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1"/>
  <workbookPr filterPrivacy="1" codeName="ThisWorkbook" defaultThemeVersion="124226"/>
  <xr:revisionPtr revIDLastSave="0" documentId="13_ncr:1_{53DC9FE3-99C5-4D40-B89E-812CAA66C866}" xr6:coauthVersionLast="46" xr6:coauthVersionMax="46" xr10:uidLastSave="{00000000-0000-0000-0000-000000000000}"/>
  <bookViews>
    <workbookView xWindow="-380" yWindow="500" windowWidth="16460" windowHeight="16260" tabRatio="955" firstSheet="3" activeTab="6" xr2:uid="{00000000-000D-0000-FFFF-FFFF00000000}"/>
  </bookViews>
  <sheets>
    <sheet name="2019-20 MASTER" sheetId="3" state="hidden" r:id="rId1"/>
    <sheet name="Maj Prod Summ" sheetId="35" r:id="rId2"/>
    <sheet name="Maj Desp Summ" sheetId="21" r:id="rId3"/>
    <sheet name="Maj Techno Summ" sheetId="36" r:id="rId4"/>
    <sheet name="DETAIL DESP  " sheetId="28" r:id="rId5"/>
    <sheet name="secondary sales" sheetId="37" r:id="rId6"/>
    <sheet name="COKE OVENS" sheetId="6" r:id="rId7"/>
    <sheet name="SINTER" sheetId="7" r:id="rId8"/>
    <sheet name="Sheet1" sheetId="40" state="hidden" r:id="rId9"/>
    <sheet name="RMHP" sheetId="39" r:id="rId10"/>
    <sheet name="Raw material consumptio" sheetId="48" state="hidden" r:id="rId11"/>
    <sheet name="B-FCE" sheetId="8" r:id="rId12"/>
    <sheet name="SMS" sheetId="9" r:id="rId13"/>
    <sheet name="billets" sheetId="41" state="hidden" r:id="rId14"/>
    <sheet name="GRD SUMM RCL 150X150 " sheetId="32" r:id="rId15"/>
    <sheet name="saleable steel 150X150  (2)" sheetId="42" state="hidden" r:id="rId16"/>
    <sheet name="GRD SUMM RCL CASTER 3" sheetId="34" r:id="rId17"/>
    <sheet name="WRM" sheetId="10" r:id="rId18"/>
    <sheet name="BM" sheetId="11" r:id="rId19"/>
    <sheet name="USM" sheetId="45" r:id="rId20"/>
    <sheet name="PBS" sheetId="17" r:id="rId21"/>
    <sheet name="POWER DISTRIBUTION" sheetId="38" r:id="rId22"/>
    <sheet name="EMD" sheetId="26" r:id="rId23"/>
    <sheet name="scrap" sheetId="44" state="hidden" r:id="rId24"/>
    <sheet name="ECD" sheetId="15" r:id="rId25"/>
    <sheet name="OXY PL" sheetId="27" r:id="rId26"/>
    <sheet name="LDCP" sheetId="22" r:id="rId27"/>
    <sheet name="SHOPS" sheetId="24" r:id="rId28"/>
  </sheets>
  <externalReferences>
    <externalReference r:id="rId29"/>
    <externalReference r:id="rId30"/>
  </externalReferences>
  <definedNames>
    <definedName name="_xlnm._FilterDatabase" localSheetId="18" hidden="1">BM!$C$5:$C$53</definedName>
    <definedName name="_xlnm._FilterDatabase" localSheetId="5" hidden="1">'secondary sales'!$C$99:$C$149</definedName>
    <definedName name="_xlnm._FilterDatabase" localSheetId="19" hidden="1">USM!$C$5:$C$65</definedName>
    <definedName name="_xlnm._FilterDatabase" localSheetId="17" hidden="1">WRM!$C$3:$C$113</definedName>
    <definedName name="_xlnm.Print_Area" localSheetId="0">'2019-20 MASTER'!$E$393:$AF$444</definedName>
    <definedName name="_xlnm.Print_Area" localSheetId="11">'B-FCE'!$B$1:$M$86</definedName>
    <definedName name="_xlnm.Print_Area" localSheetId="18">BM!$B$1:$N$53</definedName>
    <definedName name="_xlnm.Print_Area" localSheetId="4">'DETAIL DESP  '!$B$171:$Q$195</definedName>
    <definedName name="_xlnm.Print_Area" localSheetId="24">ECD!$B$1:$M$16</definedName>
    <definedName name="_xlnm.Print_Area" localSheetId="22">EMD!$B$1:$M$92</definedName>
    <definedName name="_xlnm.Print_Area" localSheetId="26">LDCP!$C$2:$N$33</definedName>
    <definedName name="_xlnm.Print_Area" localSheetId="2">'Maj Desp Summ'!$B$1:$BG$38</definedName>
    <definedName name="_xlnm.Print_Area" localSheetId="1">'Maj Prod Summ'!$B$3:$Q$46</definedName>
    <definedName name="_xlnm.Print_Area" localSheetId="3">'Maj Techno Summ'!$B$3:$BH$31</definedName>
    <definedName name="_xlnm.Print_Area" localSheetId="25">'OXY PL'!$B$1:$M$40</definedName>
    <definedName name="_xlnm.Print_Area" localSheetId="20">PBS!$B$1:$M$115</definedName>
    <definedName name="_xlnm.Print_Area" localSheetId="21">'POWER DISTRIBUTION'!$B$45:$C$81</definedName>
    <definedName name="_xlnm.Print_Area" localSheetId="10">'Raw material consumptio'!$B$1:$M$4</definedName>
    <definedName name="_xlnm.Print_Area" localSheetId="27">SHOPS!$C$2:$N$8</definedName>
    <definedName name="_xlnm.Print_Area" localSheetId="7">SINTER!$B$1:$M$94</definedName>
    <definedName name="_xlnm.Print_Area" localSheetId="12">SMS!$B$3:$Q$132</definedName>
    <definedName name="_xlnm.Print_Area" localSheetId="19">USM!$B$1:$O$65</definedName>
    <definedName name="_xlnm.Print_Area" localSheetId="17">WRM!$B$1:$N$113</definedName>
  </definedNames>
  <calcPr calcId="191029"/>
</workbook>
</file>

<file path=xl/calcChain.xml><?xml version="1.0" encoding="utf-8"?>
<calcChain xmlns="http://schemas.openxmlformats.org/spreadsheetml/2006/main">
  <c r="BC43" i="6" l="1"/>
  <c r="BC42" i="6"/>
  <c r="E92" i="26"/>
  <c r="F92" i="26"/>
  <c r="BD106" i="6" l="1"/>
  <c r="BD107" i="6"/>
  <c r="BE106" i="6"/>
  <c r="BE107" i="6"/>
  <c r="K38" i="27"/>
  <c r="AK23" i="27"/>
  <c r="BA48" i="45" l="1"/>
  <c r="AS48" i="45"/>
  <c r="AY11" i="15" l="1"/>
  <c r="AU10" i="15"/>
  <c r="AY10" i="15"/>
  <c r="AY93" i="9"/>
  <c r="AY92" i="9"/>
  <c r="AY98" i="9"/>
  <c r="AY83" i="8"/>
  <c r="AY82" i="8"/>
  <c r="AY71" i="7"/>
  <c r="AY154" i="6"/>
  <c r="AY153" i="6"/>
  <c r="AY181" i="6"/>
  <c r="AY180" i="6"/>
  <c r="AB10" i="34" l="1"/>
  <c r="AB11" i="34"/>
  <c r="AB13" i="34"/>
  <c r="AB15" i="34"/>
  <c r="AA10" i="34"/>
  <c r="Z9" i="34"/>
  <c r="AA9" i="34" s="1"/>
  <c r="Z10" i="34"/>
  <c r="Z11" i="34"/>
  <c r="AA11" i="34" s="1"/>
  <c r="Z12" i="34"/>
  <c r="Z13" i="34"/>
  <c r="Z14" i="34"/>
  <c r="Z15" i="34"/>
  <c r="Z16" i="34"/>
  <c r="Z17" i="34"/>
  <c r="Z18" i="34"/>
  <c r="Z19" i="34"/>
  <c r="Z20" i="34"/>
  <c r="AU17" i="21"/>
  <c r="AU47" i="28"/>
  <c r="AU10" i="28"/>
  <c r="AU8" i="28"/>
  <c r="AU126" i="28"/>
  <c r="AY202" i="28"/>
  <c r="AY180" i="28"/>
  <c r="AY10" i="21"/>
  <c r="AY9" i="21"/>
  <c r="AB136" i="37"/>
  <c r="AC137" i="37"/>
  <c r="AD133" i="37"/>
  <c r="AC132" i="37"/>
  <c r="AD132" i="37" s="1"/>
  <c r="AC133" i="37"/>
  <c r="AC134" i="37"/>
  <c r="AC101" i="37"/>
  <c r="AD101" i="37" s="1"/>
  <c r="AC128" i="37"/>
  <c r="AD128" i="37" s="1"/>
  <c r="AC129" i="37"/>
  <c r="AD129" i="37" s="1"/>
  <c r="AC130" i="37"/>
  <c r="AD130" i="37" s="1"/>
  <c r="AC131" i="37"/>
  <c r="AD131" i="37" s="1"/>
  <c r="AD134" i="37"/>
  <c r="AE101" i="37"/>
  <c r="AB94" i="37"/>
  <c r="AY324" i="28"/>
  <c r="AY296" i="28"/>
  <c r="BE296" i="28" s="1"/>
  <c r="AY297" i="28"/>
  <c r="BE290" i="28"/>
  <c r="BE292" i="28"/>
  <c r="BE297" i="28"/>
  <c r="BE300" i="28"/>
  <c r="BA288" i="28"/>
  <c r="BA289" i="28"/>
  <c r="BA290" i="28"/>
  <c r="BC290" i="28" s="1"/>
  <c r="BA291" i="28"/>
  <c r="BA292" i="28"/>
  <c r="BC292" i="28" s="1"/>
  <c r="BA293" i="28"/>
  <c r="BA294" i="28"/>
  <c r="BC294" i="28" s="1"/>
  <c r="BA295" i="28"/>
  <c r="BC295" i="28" s="1"/>
  <c r="BA297" i="28"/>
  <c r="BC297" i="28" s="1"/>
  <c r="BE255" i="28"/>
  <c r="BE256" i="28"/>
  <c r="BC255" i="28"/>
  <c r="BA251" i="28"/>
  <c r="BA252" i="28"/>
  <c r="BA253" i="28"/>
  <c r="BA254" i="28"/>
  <c r="BA255" i="28"/>
  <c r="BA256" i="28"/>
  <c r="BC256" i="28" s="1"/>
  <c r="BE204" i="28"/>
  <c r="BE205" i="28"/>
  <c r="BE207" i="28"/>
  <c r="BE213" i="28"/>
  <c r="BA203" i="28"/>
  <c r="BA204" i="28"/>
  <c r="BC204" i="28" s="1"/>
  <c r="BA205" i="28"/>
  <c r="BC205" i="28" s="1"/>
  <c r="BA206" i="28"/>
  <c r="BA207" i="28"/>
  <c r="BC207" i="28" s="1"/>
  <c r="BA208" i="28"/>
  <c r="BA209" i="28"/>
  <c r="BA210" i="28"/>
  <c r="BA211" i="28"/>
  <c r="BA212" i="28"/>
  <c r="BA213" i="28"/>
  <c r="BC213" i="28" s="1"/>
  <c r="BA214" i="28"/>
  <c r="BA215" i="28"/>
  <c r="BA216" i="28"/>
  <c r="BA217" i="28"/>
  <c r="BA218" i="28"/>
  <c r="BA219" i="28"/>
  <c r="BA220" i="28"/>
  <c r="BA221" i="28"/>
  <c r="BA222" i="28"/>
  <c r="BA223" i="28"/>
  <c r="BA224" i="28"/>
  <c r="BA225" i="28"/>
  <c r="BA226" i="28"/>
  <c r="BA227" i="28"/>
  <c r="BA228" i="28"/>
  <c r="BA229" i="28"/>
  <c r="BC229" i="28" s="1"/>
  <c r="BA230" i="28"/>
  <c r="BA231" i="28"/>
  <c r="BA232" i="28"/>
  <c r="BA233" i="28"/>
  <c r="BA234" i="28"/>
  <c r="BA235" i="28"/>
  <c r="BC235" i="28" s="1"/>
  <c r="BA236" i="28"/>
  <c r="BA296" i="28" l="1"/>
  <c r="BC296" i="28" s="1"/>
  <c r="AY182" i="6"/>
  <c r="AY155" i="6"/>
  <c r="BF64" i="10" l="1"/>
  <c r="BF65" i="10"/>
  <c r="BF27" i="8"/>
  <c r="BA64" i="45" l="1"/>
  <c r="BA63" i="45"/>
  <c r="BA62" i="45"/>
  <c r="AZ52" i="11"/>
  <c r="AZ51" i="11"/>
  <c r="AZ50" i="11"/>
  <c r="AZ112" i="10"/>
  <c r="AZ111" i="10"/>
  <c r="AZ110" i="10"/>
  <c r="AY17" i="21" l="1"/>
  <c r="BA12" i="45"/>
  <c r="BC12" i="45" s="1"/>
  <c r="BA35" i="45"/>
  <c r="BC35" i="45" s="1"/>
  <c r="BE40" i="45"/>
  <c r="BC40" i="45"/>
  <c r="AG41" i="45"/>
  <c r="AK41" i="45" s="1"/>
  <c r="AZ25" i="11"/>
  <c r="AZ15" i="11"/>
  <c r="AZ14" i="11"/>
  <c r="AV93" i="10"/>
  <c r="AV71" i="10"/>
  <c r="AZ56" i="10"/>
  <c r="AZ55" i="10"/>
  <c r="AZ50" i="10"/>
  <c r="AZ45" i="10"/>
  <c r="AZ54" i="10"/>
  <c r="AZ75" i="10"/>
  <c r="AZ27" i="10"/>
  <c r="AZ29" i="10"/>
  <c r="BF29" i="10" s="1"/>
  <c r="AY34" i="27"/>
  <c r="AY25" i="27"/>
  <c r="AY12" i="26"/>
  <c r="AY11" i="26"/>
  <c r="AY51" i="17"/>
  <c r="AY8" i="17"/>
  <c r="AY85" i="17"/>
  <c r="AY67" i="17"/>
  <c r="AY65" i="17"/>
  <c r="AY64" i="17"/>
  <c r="BE36" i="45"/>
  <c r="BE37" i="45"/>
  <c r="BE38" i="45"/>
  <c r="BC36" i="45"/>
  <c r="BC37" i="45"/>
  <c r="BC38" i="45"/>
  <c r="BE34" i="45"/>
  <c r="BC8" i="45"/>
  <c r="BC9" i="45"/>
  <c r="BC10" i="45"/>
  <c r="BC11" i="45"/>
  <c r="BC13" i="45"/>
  <c r="BC14" i="45"/>
  <c r="BC15" i="45"/>
  <c r="BC16" i="45"/>
  <c r="BC17" i="45"/>
  <c r="BC18" i="45"/>
  <c r="BC19" i="45"/>
  <c r="BC20" i="45"/>
  <c r="BC21" i="45"/>
  <c r="BC23" i="45"/>
  <c r="BC24" i="45"/>
  <c r="BC25" i="45"/>
  <c r="BC26" i="45"/>
  <c r="BC27" i="45"/>
  <c r="BC28" i="45"/>
  <c r="BC29" i="45"/>
  <c r="BC31" i="45"/>
  <c r="BC32" i="45"/>
  <c r="BC33" i="45"/>
  <c r="BC34" i="45"/>
  <c r="BC41" i="45"/>
  <c r="BC42" i="45"/>
  <c r="BC43" i="45"/>
  <c r="BC44" i="45"/>
  <c r="BC45" i="45"/>
  <c r="AZ125" i="10"/>
  <c r="AZ117" i="10"/>
  <c r="AZ124" i="10" s="1"/>
  <c r="BB29" i="10"/>
  <c r="BD29" i="10" s="1"/>
  <c r="J28" i="10"/>
  <c r="N28" i="10" s="1"/>
  <c r="R28" i="10" s="1"/>
  <c r="V28" i="10" s="1"/>
  <c r="AB28" i="10" s="1"/>
  <c r="AF28" i="10" s="1"/>
  <c r="AJ28" i="10" s="1"/>
  <c r="AP28" i="10" s="1"/>
  <c r="AT28" i="10" s="1"/>
  <c r="Z28" i="10"/>
  <c r="AN28" i="10"/>
  <c r="BB64" i="10"/>
  <c r="BD64" i="10" s="1"/>
  <c r="BB65" i="10"/>
  <c r="BD65" i="10" s="1"/>
  <c r="AZ98" i="10" l="1"/>
  <c r="BE35" i="45"/>
  <c r="AY33" i="35"/>
  <c r="AY35" i="9"/>
  <c r="AU29" i="9"/>
  <c r="AY29" i="9"/>
  <c r="AY20" i="9"/>
  <c r="AY21" i="9" s="1"/>
  <c r="AT45" i="6"/>
  <c r="BA106" i="6" l="1"/>
  <c r="BA107" i="6"/>
  <c r="BA88" i="6"/>
  <c r="BA89" i="6"/>
  <c r="AX38" i="21"/>
  <c r="AX37" i="21"/>
  <c r="BB27" i="22"/>
  <c r="BB25" i="22"/>
  <c r="BB31" i="22" s="1"/>
  <c r="BB22" i="22"/>
  <c r="BB21" i="22"/>
  <c r="BB13" i="22"/>
  <c r="BB11" i="22"/>
  <c r="BB18" i="22" s="1"/>
  <c r="BB8" i="22"/>
  <c r="BB44" i="22" s="1"/>
  <c r="BB7" i="22"/>
  <c r="BB3" i="22"/>
  <c r="BA3" i="22"/>
  <c r="AZ63" i="22"/>
  <c r="AZ58" i="22"/>
  <c r="AZ52" i="22"/>
  <c r="AZ44" i="22"/>
  <c r="AZ33" i="22"/>
  <c r="AY33" i="22"/>
  <c r="AY7" i="22" s="1"/>
  <c r="AZ28" i="22"/>
  <c r="AZ64" i="22" s="1"/>
  <c r="AZ65" i="22" s="1"/>
  <c r="AZ66" i="22" s="1"/>
  <c r="AZ24" i="22"/>
  <c r="AZ26" i="22" s="1"/>
  <c r="AZ23" i="22"/>
  <c r="AZ51" i="22" s="1"/>
  <c r="AZ53" i="22" s="1"/>
  <c r="AY21" i="22"/>
  <c r="AZ14" i="22"/>
  <c r="AZ59" i="22" s="1"/>
  <c r="AZ60" i="22" s="1"/>
  <c r="AZ61" i="22" s="1"/>
  <c r="AZ10" i="22"/>
  <c r="AZ12" i="22" s="1"/>
  <c r="AZ9" i="22"/>
  <c r="AZ43" i="22" s="1"/>
  <c r="AZ45" i="22" s="1"/>
  <c r="BC33" i="27"/>
  <c r="BA39" i="27"/>
  <c r="AZ39" i="27"/>
  <c r="BA33" i="27"/>
  <c r="AZ31" i="27"/>
  <c r="BA24" i="27"/>
  <c r="AZ24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8" i="27" s="1"/>
  <c r="AX40" i="27"/>
  <c r="AX34" i="27"/>
  <c r="AX25" i="27"/>
  <c r="AZ10" i="15"/>
  <c r="AX18" i="15"/>
  <c r="AY17" i="15"/>
  <c r="AX17" i="15"/>
  <c r="AY14" i="15"/>
  <c r="AY16" i="15" s="1"/>
  <c r="AX11" i="15"/>
  <c r="AX12" i="15" s="1"/>
  <c r="AY9" i="15"/>
  <c r="AX9" i="15"/>
  <c r="AY8" i="15"/>
  <c r="AX8" i="15"/>
  <c r="AY7" i="15"/>
  <c r="AY6" i="15"/>
  <c r="AY5" i="15"/>
  <c r="BB9" i="26"/>
  <c r="BB10" i="26" s="1"/>
  <c r="BG52" i="38"/>
  <c r="BA77" i="26"/>
  <c r="BA76" i="26"/>
  <c r="BA75" i="26"/>
  <c r="BA74" i="26"/>
  <c r="BA73" i="26"/>
  <c r="BA72" i="26"/>
  <c r="BA71" i="26"/>
  <c r="BA70" i="26"/>
  <c r="BA69" i="26"/>
  <c r="BA64" i="26"/>
  <c r="BA58" i="26"/>
  <c r="BA53" i="26"/>
  <c r="BA52" i="26"/>
  <c r="BA51" i="26"/>
  <c r="BA50" i="26"/>
  <c r="BA49" i="26"/>
  <c r="BA48" i="26"/>
  <c r="BA47" i="26"/>
  <c r="BA46" i="26"/>
  <c r="BA45" i="26"/>
  <c r="BA41" i="26"/>
  <c r="BA40" i="26"/>
  <c r="BA37" i="26"/>
  <c r="BA38" i="26" s="1"/>
  <c r="BA33" i="26"/>
  <c r="BA32" i="26"/>
  <c r="BA31" i="26"/>
  <c r="BA30" i="26"/>
  <c r="BA29" i="26"/>
  <c r="BA28" i="26"/>
  <c r="BA27" i="26"/>
  <c r="BA26" i="26"/>
  <c r="BA25" i="26"/>
  <c r="BA24" i="26"/>
  <c r="BA23" i="26"/>
  <c r="BA22" i="26"/>
  <c r="BA21" i="26"/>
  <c r="BA20" i="26"/>
  <c r="BA19" i="26"/>
  <c r="BA18" i="26"/>
  <c r="BA17" i="26"/>
  <c r="BA16" i="26"/>
  <c r="BD9" i="26"/>
  <c r="AZ9" i="26"/>
  <c r="BA8" i="26"/>
  <c r="BA7" i="26"/>
  <c r="BA2" i="26"/>
  <c r="AZ2" i="26"/>
  <c r="AY94" i="26"/>
  <c r="AX94" i="26"/>
  <c r="AY92" i="26"/>
  <c r="AX92" i="26"/>
  <c r="AY78" i="26"/>
  <c r="AX78" i="26"/>
  <c r="AY63" i="26"/>
  <c r="AX63" i="26"/>
  <c r="AX61" i="26"/>
  <c r="AX60" i="26"/>
  <c r="AY59" i="26"/>
  <c r="AY54" i="26"/>
  <c r="AX54" i="26"/>
  <c r="AY38" i="26"/>
  <c r="AX38" i="26"/>
  <c r="AX43" i="26" s="1"/>
  <c r="AY34" i="26"/>
  <c r="AX34" i="26"/>
  <c r="AX11" i="26"/>
  <c r="AY9" i="26"/>
  <c r="AY14" i="26" s="1"/>
  <c r="AX9" i="26"/>
  <c r="AX10" i="26" s="1"/>
  <c r="BE52" i="38"/>
  <c r="BF46" i="38"/>
  <c r="BF45" i="38"/>
  <c r="BF93" i="38" s="1"/>
  <c r="BF44" i="38"/>
  <c r="BF92" i="38" s="1"/>
  <c r="BF43" i="38"/>
  <c r="BF41" i="38"/>
  <c r="BF38" i="38"/>
  <c r="BF86" i="38" s="1"/>
  <c r="BF37" i="38"/>
  <c r="BF85" i="38" s="1"/>
  <c r="BF36" i="38"/>
  <c r="BF35" i="38"/>
  <c r="BF32" i="38"/>
  <c r="BF80" i="38" s="1"/>
  <c r="BF31" i="38"/>
  <c r="BF79" i="38" s="1"/>
  <c r="BF30" i="38"/>
  <c r="BF29" i="38"/>
  <c r="BF28" i="38"/>
  <c r="BF76" i="38" s="1"/>
  <c r="BF27" i="38"/>
  <c r="BF75" i="38" s="1"/>
  <c r="BF26" i="38"/>
  <c r="BF25" i="38"/>
  <c r="BF24" i="38"/>
  <c r="BF72" i="38" s="1"/>
  <c r="BF23" i="38"/>
  <c r="BF71" i="38" s="1"/>
  <c r="BF22" i="38"/>
  <c r="BF21" i="38"/>
  <c r="BF20" i="38"/>
  <c r="BF68" i="38" s="1"/>
  <c r="BF19" i="38"/>
  <c r="BF67" i="38" s="1"/>
  <c r="BF14" i="38"/>
  <c r="BF13" i="38"/>
  <c r="BF11" i="38"/>
  <c r="BF59" i="38" s="1"/>
  <c r="BF10" i="38"/>
  <c r="BF58" i="38" s="1"/>
  <c r="BF9" i="38"/>
  <c r="BF8" i="38"/>
  <c r="BF7" i="38"/>
  <c r="BF3" i="38"/>
  <c r="BE3" i="38"/>
  <c r="BD94" i="38"/>
  <c r="BD93" i="38"/>
  <c r="BD92" i="38"/>
  <c r="BD91" i="38"/>
  <c r="BD89" i="38"/>
  <c r="BD86" i="38"/>
  <c r="BD85" i="38"/>
  <c r="BD84" i="38"/>
  <c r="BD83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D68" i="38"/>
  <c r="BD67" i="38"/>
  <c r="BD62" i="38"/>
  <c r="BD61" i="38"/>
  <c r="BD59" i="38"/>
  <c r="BD58" i="38"/>
  <c r="BD57" i="38"/>
  <c r="BD56" i="38"/>
  <c r="BD55" i="38"/>
  <c r="BC52" i="38"/>
  <c r="BD51" i="38"/>
  <c r="BC51" i="38"/>
  <c r="BC46" i="38"/>
  <c r="BC45" i="38"/>
  <c r="BC44" i="38"/>
  <c r="BC43" i="38"/>
  <c r="BD42" i="38"/>
  <c r="BD90" i="38" s="1"/>
  <c r="BC41" i="38"/>
  <c r="BC40" i="38" s="1"/>
  <c r="BD40" i="38"/>
  <c r="BD88" i="38" s="1"/>
  <c r="BC38" i="38"/>
  <c r="BC37" i="38"/>
  <c r="BC36" i="38"/>
  <c r="BC35" i="38"/>
  <c r="BD34" i="38"/>
  <c r="BD82" i="38" s="1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C19" i="38"/>
  <c r="BD18" i="38"/>
  <c r="BD66" i="38" s="1"/>
  <c r="BC14" i="38"/>
  <c r="BC13" i="38"/>
  <c r="BD12" i="38"/>
  <c r="BD60" i="38" s="1"/>
  <c r="BC11" i="38"/>
  <c r="BC10" i="38"/>
  <c r="BC9" i="38"/>
  <c r="BC8" i="38"/>
  <c r="BC7" i="38"/>
  <c r="BD6" i="38"/>
  <c r="BD54" i="38" s="1"/>
  <c r="AY6" i="35"/>
  <c r="AY7" i="35"/>
  <c r="AI141" i="37"/>
  <c r="AY60" i="26" l="1"/>
  <c r="BF55" i="38"/>
  <c r="BF51" i="38"/>
  <c r="BE51" i="38"/>
  <c r="BC18" i="38"/>
  <c r="BF56" i="38"/>
  <c r="BF61" i="38"/>
  <c r="BF69" i="38"/>
  <c r="BF73" i="38"/>
  <c r="BF77" i="38"/>
  <c r="BF83" i="38"/>
  <c r="BF89" i="38"/>
  <c r="BF94" i="38"/>
  <c r="AY43" i="26"/>
  <c r="AY39" i="26"/>
  <c r="BC12" i="38"/>
  <c r="BF57" i="38"/>
  <c r="BF62" i="38"/>
  <c r="BF70" i="38"/>
  <c r="BF74" i="38"/>
  <c r="BF78" i="38"/>
  <c r="BF84" i="38"/>
  <c r="BF91" i="38"/>
  <c r="AX55" i="26"/>
  <c r="AY55" i="26"/>
  <c r="AX65" i="26"/>
  <c r="BB23" i="22"/>
  <c r="AZ32" i="27"/>
  <c r="BB28" i="22"/>
  <c r="BB64" i="22" s="1"/>
  <c r="BB51" i="22"/>
  <c r="BB14" i="22"/>
  <c r="BB59" i="22" s="1"/>
  <c r="BB16" i="22"/>
  <c r="AY65" i="26"/>
  <c r="BA34" i="26"/>
  <c r="BD39" i="38"/>
  <c r="BD87" i="38" s="1"/>
  <c r="AY8" i="22"/>
  <c r="AY10" i="22" s="1"/>
  <c r="AY11" i="22" s="1"/>
  <c r="AY13" i="22" s="1"/>
  <c r="BB17" i="22"/>
  <c r="BB19" i="22"/>
  <c r="BB30" i="22"/>
  <c r="BB52" i="22"/>
  <c r="BB9" i="22"/>
  <c r="BB43" i="22" s="1"/>
  <c r="BB45" i="22" s="1"/>
  <c r="AZ47" i="22"/>
  <c r="AZ48" i="22" s="1"/>
  <c r="AZ55" i="22"/>
  <c r="AZ56" i="22" s="1"/>
  <c r="AY22" i="22"/>
  <c r="AY24" i="22" s="1"/>
  <c r="AY25" i="22" s="1"/>
  <c r="AY27" i="22" s="1"/>
  <c r="AZ18" i="27"/>
  <c r="AZ19" i="27"/>
  <c r="AZ20" i="27"/>
  <c r="AZ21" i="27"/>
  <c r="AZ22" i="27"/>
  <c r="AZ23" i="27"/>
  <c r="AZ27" i="27"/>
  <c r="AZ28" i="27"/>
  <c r="AZ29" i="27"/>
  <c r="AZ30" i="27"/>
  <c r="AZ36" i="27"/>
  <c r="AZ37" i="27"/>
  <c r="AY40" i="27"/>
  <c r="AX13" i="15"/>
  <c r="AX14" i="15"/>
  <c r="BA78" i="26"/>
  <c r="BA57" i="26"/>
  <c r="AY42" i="26"/>
  <c r="AY10" i="26"/>
  <c r="AY13" i="26"/>
  <c r="BA9" i="26"/>
  <c r="BD17" i="38"/>
  <c r="BA42" i="26"/>
  <c r="BA43" i="26"/>
  <c r="BA39" i="26"/>
  <c r="AZ10" i="26"/>
  <c r="AX14" i="26"/>
  <c r="AX39" i="26"/>
  <c r="AY61" i="26"/>
  <c r="BC42" i="38"/>
  <c r="BC39" i="38" s="1"/>
  <c r="BC6" i="38"/>
  <c r="BC15" i="38" s="1"/>
  <c r="BC34" i="38"/>
  <c r="BC17" i="38" s="1"/>
  <c r="BD15" i="38"/>
  <c r="BB10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92" i="17"/>
  <c r="BA91" i="17"/>
  <c r="BA88" i="17"/>
  <c r="BA87" i="17"/>
  <c r="BA79" i="17"/>
  <c r="BA74" i="17"/>
  <c r="BA72" i="17"/>
  <c r="BA60" i="17"/>
  <c r="AZ60" i="17"/>
  <c r="BA57" i="17"/>
  <c r="BA56" i="17"/>
  <c r="BA58" i="17" s="1"/>
  <c r="BA47" i="17"/>
  <c r="BA45" i="17"/>
  <c r="BA41" i="17"/>
  <c r="BA39" i="17"/>
  <c r="BA40" i="17" s="1"/>
  <c r="BA37" i="17"/>
  <c r="BA26" i="17"/>
  <c r="AZ26" i="17"/>
  <c r="BA25" i="17"/>
  <c r="BA24" i="17"/>
  <c r="AZ24" i="17"/>
  <c r="BA23" i="17"/>
  <c r="AZ23" i="17"/>
  <c r="BA20" i="17"/>
  <c r="AZ20" i="17"/>
  <c r="BA19" i="17"/>
  <c r="BA18" i="17"/>
  <c r="BA17" i="17"/>
  <c r="AZ9" i="17"/>
  <c r="BA7" i="17"/>
  <c r="AZ7" i="17"/>
  <c r="BA2" i="17"/>
  <c r="BA70" i="17" s="1"/>
  <c r="AZ2" i="17"/>
  <c r="AX113" i="17"/>
  <c r="AY84" i="17"/>
  <c r="AY83" i="17"/>
  <c r="AY82" i="17"/>
  <c r="AY81" i="17"/>
  <c r="AX81" i="17"/>
  <c r="AY77" i="17"/>
  <c r="AX77" i="17"/>
  <c r="AX66" i="17"/>
  <c r="AX68" i="17" s="1"/>
  <c r="AY66" i="17"/>
  <c r="AY68" i="17" s="1"/>
  <c r="AY58" i="17"/>
  <c r="AY61" i="17" s="1"/>
  <c r="AX57" i="17"/>
  <c r="AX56" i="17"/>
  <c r="AX58" i="17" s="1"/>
  <c r="AY52" i="17"/>
  <c r="AX51" i="17"/>
  <c r="AX50" i="17"/>
  <c r="AX54" i="17" s="1"/>
  <c r="AY48" i="17"/>
  <c r="AX47" i="17"/>
  <c r="AY46" i="17"/>
  <c r="AX45" i="17"/>
  <c r="AY43" i="17"/>
  <c r="AY49" i="17" s="1"/>
  <c r="AX43" i="17"/>
  <c r="AY42" i="17"/>
  <c r="AY40" i="17"/>
  <c r="AY38" i="17"/>
  <c r="AX25" i="17"/>
  <c r="AY21" i="17"/>
  <c r="AX18" i="17"/>
  <c r="AX17" i="17"/>
  <c r="AX15" i="17"/>
  <c r="AX29" i="17" s="1"/>
  <c r="AX14" i="17"/>
  <c r="AY13" i="17"/>
  <c r="AY11" i="17"/>
  <c r="AY10" i="17"/>
  <c r="AY112" i="17"/>
  <c r="AX8" i="17"/>
  <c r="AX10" i="17" s="1"/>
  <c r="BC72" i="45"/>
  <c r="BC77" i="45" s="1"/>
  <c r="BC68" i="45"/>
  <c r="BC67" i="45"/>
  <c r="BC57" i="45"/>
  <c r="BB57" i="45"/>
  <c r="BC55" i="45"/>
  <c r="BB55" i="45"/>
  <c r="BC7" i="45"/>
  <c r="BC5" i="45"/>
  <c r="BC59" i="45" s="1"/>
  <c r="BB5" i="45"/>
  <c r="BB59" i="45" s="1"/>
  <c r="BC2" i="45"/>
  <c r="BB2" i="45"/>
  <c r="BB64" i="45" s="1"/>
  <c r="BA77" i="45"/>
  <c r="BA75" i="45"/>
  <c r="BA69" i="45"/>
  <c r="BA70" i="45" s="1"/>
  <c r="BA60" i="45"/>
  <c r="BA61" i="45" s="1"/>
  <c r="AZ60" i="45"/>
  <c r="AZ61" i="45" s="1"/>
  <c r="BA58" i="45"/>
  <c r="AZ58" i="45"/>
  <c r="BA56" i="45"/>
  <c r="AZ56" i="45"/>
  <c r="BA53" i="45"/>
  <c r="BA54" i="45" s="1"/>
  <c r="AZ53" i="45"/>
  <c r="AZ54" i="45" s="1"/>
  <c r="BA79" i="45"/>
  <c r="BA46" i="45"/>
  <c r="AZ46" i="45"/>
  <c r="AZ49" i="45" s="1"/>
  <c r="AZ34" i="11"/>
  <c r="BB8" i="11"/>
  <c r="BB9" i="11"/>
  <c r="BD9" i="11" s="1"/>
  <c r="BB10" i="11"/>
  <c r="BB11" i="11"/>
  <c r="BB12" i="11"/>
  <c r="BB13" i="11"/>
  <c r="BB14" i="11"/>
  <c r="BB15" i="11"/>
  <c r="BB16" i="11"/>
  <c r="BB17" i="11"/>
  <c r="BB18" i="11"/>
  <c r="BB20" i="11"/>
  <c r="BB21" i="11"/>
  <c r="BB22" i="11"/>
  <c r="BB24" i="11"/>
  <c r="BB26" i="11"/>
  <c r="BB27" i="11"/>
  <c r="BB28" i="11"/>
  <c r="BD28" i="11" s="1"/>
  <c r="BB29" i="11"/>
  <c r="BB30" i="11"/>
  <c r="BB31" i="11"/>
  <c r="BB32" i="11"/>
  <c r="BB33" i="11"/>
  <c r="BB60" i="11"/>
  <c r="BB65" i="11" s="1"/>
  <c r="BB56" i="11"/>
  <c r="BB55" i="11"/>
  <c r="BB45" i="11"/>
  <c r="BA45" i="11"/>
  <c r="BB43" i="11"/>
  <c r="BB44" i="11" s="1"/>
  <c r="BA43" i="11"/>
  <c r="BB5" i="11"/>
  <c r="BB63" i="11" s="1"/>
  <c r="BA5" i="11"/>
  <c r="BB2" i="11"/>
  <c r="BA2" i="11"/>
  <c r="BA52" i="11" s="1"/>
  <c r="AZ65" i="11"/>
  <c r="AZ63" i="11"/>
  <c r="AZ57" i="11"/>
  <c r="AZ58" i="11" s="1"/>
  <c r="AZ48" i="11"/>
  <c r="AZ49" i="11" s="1"/>
  <c r="AY48" i="11"/>
  <c r="AY49" i="11" s="1"/>
  <c r="AZ46" i="11"/>
  <c r="AY46" i="11"/>
  <c r="AZ44" i="11"/>
  <c r="AY44" i="11"/>
  <c r="AZ41" i="11"/>
  <c r="AZ42" i="11" s="1"/>
  <c r="AY41" i="11"/>
  <c r="AY42" i="11" s="1"/>
  <c r="AZ36" i="11"/>
  <c r="AZ59" i="11" s="1"/>
  <c r="AY34" i="11"/>
  <c r="AY37" i="11" s="1"/>
  <c r="BB8" i="10"/>
  <c r="BB16" i="10"/>
  <c r="BB17" i="10"/>
  <c r="BB19" i="10"/>
  <c r="BB20" i="10"/>
  <c r="BB21" i="10"/>
  <c r="BB22" i="10"/>
  <c r="BB23" i="10"/>
  <c r="BB24" i="10"/>
  <c r="BB25" i="10"/>
  <c r="BB26" i="10"/>
  <c r="BB27" i="10"/>
  <c r="BB28" i="10"/>
  <c r="BB30" i="10"/>
  <c r="BB31" i="10"/>
  <c r="BB32" i="10"/>
  <c r="BB33" i="10"/>
  <c r="BB34" i="10"/>
  <c r="BB35" i="10"/>
  <c r="BB36" i="10"/>
  <c r="BB37" i="10"/>
  <c r="BB38" i="10"/>
  <c r="BB39" i="10"/>
  <c r="BB40" i="10"/>
  <c r="BB41" i="10"/>
  <c r="BB42" i="10"/>
  <c r="BB43" i="10"/>
  <c r="BB44" i="10"/>
  <c r="BB47" i="10"/>
  <c r="BB48" i="10"/>
  <c r="BB49" i="10"/>
  <c r="BB51" i="10"/>
  <c r="BB52" i="10"/>
  <c r="BB53" i="10"/>
  <c r="BB54" i="10"/>
  <c r="BB57" i="10"/>
  <c r="BB59" i="10"/>
  <c r="BB60" i="10"/>
  <c r="BB61" i="10"/>
  <c r="BB62" i="10"/>
  <c r="BB63" i="10"/>
  <c r="BD63" i="10" s="1"/>
  <c r="BB66" i="10"/>
  <c r="BB67" i="10"/>
  <c r="BB68" i="10"/>
  <c r="BB69" i="10"/>
  <c r="BB70" i="10"/>
  <c r="BB71" i="10"/>
  <c r="BB72" i="10"/>
  <c r="BB74" i="10"/>
  <c r="BD74" i="10" s="1"/>
  <c r="BB75" i="10"/>
  <c r="BB76" i="10"/>
  <c r="BB77" i="10"/>
  <c r="BB78" i="10"/>
  <c r="BB80" i="10"/>
  <c r="BB81" i="10"/>
  <c r="BB82" i="10"/>
  <c r="BB83" i="10"/>
  <c r="BB84" i="10"/>
  <c r="BB85" i="10"/>
  <c r="BB86" i="10"/>
  <c r="BD86" i="10" s="1"/>
  <c r="BB87" i="10"/>
  <c r="BB88" i="10"/>
  <c r="BB89" i="10"/>
  <c r="BB90" i="10"/>
  <c r="BB91" i="10"/>
  <c r="BB92" i="10"/>
  <c r="BC113" i="10"/>
  <c r="BC106" i="10"/>
  <c r="BC104" i="10"/>
  <c r="BD80" i="10"/>
  <c r="BD66" i="10"/>
  <c r="BD17" i="10"/>
  <c r="BD16" i="10"/>
  <c r="BB120" i="10"/>
  <c r="BB116" i="10"/>
  <c r="BB115" i="10"/>
  <c r="BB105" i="10"/>
  <c r="BA105" i="10"/>
  <c r="BB103" i="10"/>
  <c r="BA103" i="10"/>
  <c r="BB5" i="10"/>
  <c r="BB107" i="10" s="1"/>
  <c r="BA5" i="10"/>
  <c r="BA107" i="10" s="1"/>
  <c r="BB2" i="10"/>
  <c r="BA2" i="10"/>
  <c r="BA112" i="10" s="1"/>
  <c r="AZ123" i="10"/>
  <c r="AZ118" i="10"/>
  <c r="AZ108" i="10"/>
  <c r="AZ109" i="10" s="1"/>
  <c r="AY108" i="10"/>
  <c r="AY109" i="10" s="1"/>
  <c r="AZ106" i="10"/>
  <c r="AY106" i="10"/>
  <c r="AZ104" i="10"/>
  <c r="AY104" i="10"/>
  <c r="AZ101" i="10"/>
  <c r="AZ102" i="10" s="1"/>
  <c r="AY101" i="10"/>
  <c r="AY102" i="10" s="1"/>
  <c r="AZ96" i="10"/>
  <c r="AZ119" i="10" s="1"/>
  <c r="AY94" i="10"/>
  <c r="AY97" i="10" s="1"/>
  <c r="AQ11" i="32"/>
  <c r="AQ26" i="32"/>
  <c r="AQ34" i="32"/>
  <c r="AQ50" i="32"/>
  <c r="X11" i="32"/>
  <c r="X26" i="32"/>
  <c r="X34" i="32"/>
  <c r="X50" i="32"/>
  <c r="BC117" i="9"/>
  <c r="BB47" i="9"/>
  <c r="BB46" i="9"/>
  <c r="BB44" i="9"/>
  <c r="BB43" i="9"/>
  <c r="BB42" i="9"/>
  <c r="BB41" i="9"/>
  <c r="BB39" i="9"/>
  <c r="BB38" i="9"/>
  <c r="BB37" i="9"/>
  <c r="BB36" i="9"/>
  <c r="BB35" i="9"/>
  <c r="BB34" i="9"/>
  <c r="BB33" i="9"/>
  <c r="BB32" i="9"/>
  <c r="BB25" i="9"/>
  <c r="BC85" i="9"/>
  <c r="BA2" i="9"/>
  <c r="AZ2" i="9"/>
  <c r="BA116" i="9"/>
  <c r="BA115" i="9"/>
  <c r="BA114" i="9"/>
  <c r="BA113" i="9"/>
  <c r="BA112" i="9"/>
  <c r="BA111" i="9"/>
  <c r="BA110" i="9"/>
  <c r="BA109" i="9"/>
  <c r="BA108" i="9"/>
  <c r="BA107" i="9"/>
  <c r="BA106" i="9"/>
  <c r="BA105" i="9"/>
  <c r="BA104" i="9"/>
  <c r="BA103" i="9"/>
  <c r="BA102" i="9"/>
  <c r="BA90" i="9"/>
  <c r="BA87" i="9"/>
  <c r="BE85" i="9"/>
  <c r="BA85" i="9"/>
  <c r="BA82" i="9"/>
  <c r="BA66" i="9"/>
  <c r="BB58" i="22" s="1"/>
  <c r="BB60" i="22" s="1"/>
  <c r="BB61" i="22" s="1"/>
  <c r="BA65" i="9"/>
  <c r="BA64" i="9"/>
  <c r="BA63" i="9"/>
  <c r="BA62" i="9"/>
  <c r="BA61" i="9"/>
  <c r="BB63" i="22" s="1"/>
  <c r="BB65" i="22" s="1"/>
  <c r="BB66" i="22" s="1"/>
  <c r="BA60" i="9"/>
  <c r="BA59" i="9"/>
  <c r="BA58" i="9"/>
  <c r="AZ58" i="9"/>
  <c r="BA57" i="9"/>
  <c r="BA56" i="9"/>
  <c r="BA54" i="9"/>
  <c r="AZ54" i="9"/>
  <c r="BA53" i="9"/>
  <c r="BA43" i="9"/>
  <c r="BA42" i="9"/>
  <c r="BA41" i="9"/>
  <c r="BA40" i="9"/>
  <c r="AZ40" i="9"/>
  <c r="BA35" i="9"/>
  <c r="BA34" i="9"/>
  <c r="BA31" i="9"/>
  <c r="AZ31" i="9"/>
  <c r="BA29" i="9"/>
  <c r="BA26" i="9"/>
  <c r="BA124" i="9" s="1"/>
  <c r="BA25" i="9"/>
  <c r="BA123" i="9" s="1"/>
  <c r="BA24" i="9"/>
  <c r="BA122" i="9" s="1"/>
  <c r="BA22" i="9"/>
  <c r="BA96" i="9" s="1"/>
  <c r="AZ22" i="9"/>
  <c r="AZ96" i="9" s="1"/>
  <c r="BA20" i="9"/>
  <c r="BA19" i="9"/>
  <c r="BA18" i="9"/>
  <c r="AZ18" i="9"/>
  <c r="BA13" i="9"/>
  <c r="BA12" i="9"/>
  <c r="BA11" i="9"/>
  <c r="BA9" i="9"/>
  <c r="BA121" i="9" s="1"/>
  <c r="BA8" i="9"/>
  <c r="BA120" i="9" s="1"/>
  <c r="BA7" i="9"/>
  <c r="BA119" i="9" s="1"/>
  <c r="BA5" i="9"/>
  <c r="AZ5" i="9"/>
  <c r="AZ98" i="9"/>
  <c r="AY163" i="9"/>
  <c r="AY134" i="9"/>
  <c r="AY135" i="9" s="1"/>
  <c r="AY129" i="9"/>
  <c r="AY128" i="9"/>
  <c r="AY130" i="9" s="1"/>
  <c r="AY94" i="9"/>
  <c r="AY95" i="9" s="1"/>
  <c r="AX94" i="9"/>
  <c r="AX95" i="9" s="1"/>
  <c r="AY91" i="9"/>
  <c r="AX90" i="9"/>
  <c r="AY89" i="9"/>
  <c r="AY18" i="15" s="1"/>
  <c r="AY88" i="9"/>
  <c r="AX87" i="9"/>
  <c r="AY85" i="9"/>
  <c r="AX84" i="9"/>
  <c r="AX21" i="9" s="1"/>
  <c r="AY83" i="9"/>
  <c r="AX83" i="9"/>
  <c r="AX70" i="9"/>
  <c r="AX66" i="9"/>
  <c r="AX65" i="9"/>
  <c r="AX64" i="9"/>
  <c r="AX63" i="9"/>
  <c r="AX62" i="9"/>
  <c r="AX61" i="9"/>
  <c r="AX60" i="9"/>
  <c r="AX59" i="9"/>
  <c r="AX57" i="9"/>
  <c r="AX56" i="9"/>
  <c r="AY55" i="9"/>
  <c r="AX53" i="9"/>
  <c r="AX45" i="9"/>
  <c r="AY44" i="9"/>
  <c r="AY37" i="9"/>
  <c r="AY45" i="9" s="1"/>
  <c r="AY36" i="9"/>
  <c r="AY38" i="9"/>
  <c r="AY46" i="9" s="1"/>
  <c r="AX29" i="9"/>
  <c r="AY27" i="9"/>
  <c r="AY138" i="35" s="1"/>
  <c r="AY19" i="35" s="1"/>
  <c r="AX27" i="9"/>
  <c r="AY84" i="9"/>
  <c r="AY86" i="9" s="1"/>
  <c r="AY10" i="9"/>
  <c r="AX7" i="9"/>
  <c r="BC55" i="8"/>
  <c r="BC54" i="8"/>
  <c r="BC53" i="8"/>
  <c r="BC52" i="8"/>
  <c r="BC51" i="8"/>
  <c r="BA144" i="8"/>
  <c r="BA132" i="8"/>
  <c r="BA113" i="8"/>
  <c r="BA79" i="8"/>
  <c r="AZ75" i="8"/>
  <c r="BA67" i="8"/>
  <c r="BA58" i="8" s="1"/>
  <c r="BA65" i="8"/>
  <c r="AZ62" i="8"/>
  <c r="BA61" i="8"/>
  <c r="BA59" i="8"/>
  <c r="BA56" i="8" s="1"/>
  <c r="BA57" i="8"/>
  <c r="BE55" i="8"/>
  <c r="BA55" i="8"/>
  <c r="BE54" i="8"/>
  <c r="BA54" i="8"/>
  <c r="BE53" i="8"/>
  <c r="BA53" i="8"/>
  <c r="BE52" i="8"/>
  <c r="BA52" i="8"/>
  <c r="BE51" i="8"/>
  <c r="BA51" i="8"/>
  <c r="BA32" i="8"/>
  <c r="AZ32" i="8"/>
  <c r="BA30" i="8"/>
  <c r="BA29" i="8"/>
  <c r="BA28" i="8"/>
  <c r="BA27" i="8"/>
  <c r="BA25" i="8"/>
  <c r="BA24" i="8"/>
  <c r="BA23" i="8"/>
  <c r="AZ21" i="8"/>
  <c r="BA20" i="8"/>
  <c r="AZ20" i="8"/>
  <c r="BA19" i="8"/>
  <c r="BA18" i="8"/>
  <c r="AZ18" i="8"/>
  <c r="AZ17" i="8"/>
  <c r="AZ15" i="8"/>
  <c r="AZ14" i="8"/>
  <c r="BA10" i="8"/>
  <c r="AZ10" i="8"/>
  <c r="BA9" i="8"/>
  <c r="AZ9" i="8"/>
  <c r="BA8" i="8"/>
  <c r="AZ8" i="8"/>
  <c r="BA7" i="8"/>
  <c r="AZ7" i="8"/>
  <c r="BA2" i="8"/>
  <c r="BA75" i="8" s="1"/>
  <c r="AZ2" i="8"/>
  <c r="AZ83" i="8" s="1"/>
  <c r="AY146" i="8"/>
  <c r="AY147" i="8" s="1"/>
  <c r="AY134" i="8"/>
  <c r="AY135" i="8" s="1"/>
  <c r="AY118" i="8"/>
  <c r="AY167" i="9" s="1"/>
  <c r="AY114" i="8"/>
  <c r="AY91" i="8"/>
  <c r="AY85" i="8"/>
  <c r="AX85" i="8"/>
  <c r="AX73" i="8"/>
  <c r="AY68" i="8"/>
  <c r="AY72" i="8" s="1"/>
  <c r="AY66" i="8"/>
  <c r="AY71" i="8" s="1"/>
  <c r="AY63" i="8"/>
  <c r="AY62" i="8"/>
  <c r="AY60" i="8"/>
  <c r="AY55" i="8"/>
  <c r="AY54" i="8"/>
  <c r="AY53" i="8"/>
  <c r="AY52" i="8"/>
  <c r="AY51" i="8"/>
  <c r="AX50" i="8"/>
  <c r="AY46" i="8"/>
  <c r="AX46" i="8"/>
  <c r="AX39" i="8"/>
  <c r="AX38" i="8"/>
  <c r="AX37" i="8"/>
  <c r="AY33" i="8"/>
  <c r="AY26" i="8"/>
  <c r="AY15" i="8"/>
  <c r="AY14" i="8"/>
  <c r="AY13" i="8"/>
  <c r="AX13" i="8"/>
  <c r="AX16" i="8" s="1"/>
  <c r="AY12" i="8"/>
  <c r="AY5" i="8"/>
  <c r="AX5" i="8"/>
  <c r="AX79" i="8" s="1"/>
  <c r="BE36" i="39"/>
  <c r="BE35" i="39"/>
  <c r="BE34" i="39"/>
  <c r="BE33" i="39"/>
  <c r="BE32" i="39"/>
  <c r="BE31" i="39"/>
  <c r="BE30" i="39"/>
  <c r="BE29" i="39"/>
  <c r="BD29" i="39"/>
  <c r="BE27" i="39"/>
  <c r="BE26" i="39"/>
  <c r="BE25" i="39"/>
  <c r="BE24" i="39"/>
  <c r="BE23" i="39"/>
  <c r="BD23" i="39"/>
  <c r="BE21" i="39"/>
  <c r="BE20" i="39"/>
  <c r="BE19" i="39"/>
  <c r="BE18" i="39"/>
  <c r="BD18" i="39"/>
  <c r="BB36" i="39"/>
  <c r="BB35" i="39"/>
  <c r="BB34" i="39"/>
  <c r="BB33" i="39"/>
  <c r="BB32" i="39"/>
  <c r="BB31" i="39"/>
  <c r="BB30" i="39"/>
  <c r="BB27" i="39"/>
  <c r="BB26" i="39"/>
  <c r="BB25" i="39"/>
  <c r="BB24" i="39"/>
  <c r="BB21" i="39"/>
  <c r="BB20" i="39"/>
  <c r="BB19" i="39"/>
  <c r="BA16" i="39"/>
  <c r="AZ16" i="39"/>
  <c r="BC15" i="39"/>
  <c r="BB15" i="39"/>
  <c r="BC14" i="39"/>
  <c r="BB14" i="39"/>
  <c r="BC13" i="39"/>
  <c r="BB13" i="39"/>
  <c r="BC12" i="39"/>
  <c r="BB12" i="39"/>
  <c r="BC11" i="39"/>
  <c r="BB11" i="39"/>
  <c r="BC10" i="39"/>
  <c r="BB10" i="39"/>
  <c r="BC9" i="39"/>
  <c r="BB9" i="39"/>
  <c r="BC8" i="39"/>
  <c r="BB8" i="39"/>
  <c r="BC7" i="39"/>
  <c r="BB7" i="39"/>
  <c r="BC6" i="39"/>
  <c r="BC16" i="39" s="1"/>
  <c r="BB6" i="39"/>
  <c r="AY125" i="7"/>
  <c r="AY127" i="7" s="1"/>
  <c r="AY128" i="7" s="1"/>
  <c r="AY119" i="7"/>
  <c r="AY121" i="7" s="1"/>
  <c r="AY122" i="7" s="1"/>
  <c r="AY102" i="7"/>
  <c r="BA61" i="7"/>
  <c r="AZ61" i="7"/>
  <c r="BA59" i="7"/>
  <c r="AZ59" i="7"/>
  <c r="BA53" i="7"/>
  <c r="AZ53" i="7"/>
  <c r="BA52" i="7"/>
  <c r="BA54" i="7" s="1"/>
  <c r="AZ52" i="7"/>
  <c r="AZ54" i="7" s="1"/>
  <c r="BA38" i="7"/>
  <c r="BA37" i="7"/>
  <c r="BA36" i="7"/>
  <c r="BA35" i="7"/>
  <c r="BA34" i="7"/>
  <c r="BA33" i="7"/>
  <c r="BA32" i="7"/>
  <c r="BA31" i="7"/>
  <c r="BA15" i="7"/>
  <c r="BA27" i="7" s="1"/>
  <c r="BA77" i="7" s="1"/>
  <c r="AZ15" i="7"/>
  <c r="AZ27" i="7" s="1"/>
  <c r="AZ77" i="7" s="1"/>
  <c r="BA14" i="7"/>
  <c r="BA26" i="7" s="1"/>
  <c r="BA83" i="7" s="1"/>
  <c r="AZ14" i="7"/>
  <c r="AZ26" i="7" s="1"/>
  <c r="AZ83" i="7" s="1"/>
  <c r="BA13" i="7"/>
  <c r="BA25" i="7" s="1"/>
  <c r="BA80" i="7" s="1"/>
  <c r="AZ13" i="7"/>
  <c r="AZ25" i="7" s="1"/>
  <c r="AZ80" i="7" s="1"/>
  <c r="BA12" i="7"/>
  <c r="BA24" i="7" s="1"/>
  <c r="BA79" i="7" s="1"/>
  <c r="AZ12" i="7"/>
  <c r="AZ24" i="7" s="1"/>
  <c r="AZ79" i="7" s="1"/>
  <c r="BA11" i="7"/>
  <c r="BA23" i="7" s="1"/>
  <c r="BA78" i="7" s="1"/>
  <c r="AZ11" i="7"/>
  <c r="AZ23" i="7" s="1"/>
  <c r="AZ78" i="7" s="1"/>
  <c r="BA10" i="7"/>
  <c r="AZ10" i="7"/>
  <c r="BA9" i="7"/>
  <c r="BA21" i="7" s="1"/>
  <c r="AZ9" i="7"/>
  <c r="AZ21" i="7" s="1"/>
  <c r="BA8" i="7"/>
  <c r="BA20" i="7" s="1"/>
  <c r="AZ8" i="7"/>
  <c r="AZ20" i="7" s="1"/>
  <c r="AZ76" i="7" s="1"/>
  <c r="BA7" i="7"/>
  <c r="BA19" i="7" s="1"/>
  <c r="AZ7" i="7"/>
  <c r="AZ19" i="7" s="1"/>
  <c r="BA6" i="7"/>
  <c r="BA18" i="7" s="1"/>
  <c r="AZ6" i="7"/>
  <c r="AZ18" i="7" s="1"/>
  <c r="BA2" i="7"/>
  <c r="AZ2" i="7"/>
  <c r="AZ71" i="7" s="1"/>
  <c r="AY69" i="7"/>
  <c r="AX69" i="7"/>
  <c r="AY62" i="7"/>
  <c r="AX62" i="7"/>
  <c r="AY58" i="7"/>
  <c r="AY60" i="7" s="1"/>
  <c r="AX58" i="7"/>
  <c r="AX60" i="7" s="1"/>
  <c r="AY54" i="7"/>
  <c r="AX54" i="7"/>
  <c r="AX35" i="7" s="1"/>
  <c r="AY43" i="7"/>
  <c r="AX33" i="7"/>
  <c r="AX21" i="7"/>
  <c r="AX84" i="7" s="1"/>
  <c r="AY16" i="7"/>
  <c r="AY30" i="7" s="1"/>
  <c r="AX16" i="7"/>
  <c r="AY1" i="7"/>
  <c r="AX1" i="7"/>
  <c r="BD284" i="6"/>
  <c r="AZ284" i="6"/>
  <c r="BD283" i="6"/>
  <c r="AZ283" i="6"/>
  <c r="BD282" i="6"/>
  <c r="AZ282" i="6"/>
  <c r="BD278" i="6"/>
  <c r="AZ278" i="6"/>
  <c r="BD276" i="6"/>
  <c r="AZ276" i="6"/>
  <c r="BD275" i="6"/>
  <c r="AZ275" i="6"/>
  <c r="BD274" i="6"/>
  <c r="AZ274" i="6"/>
  <c r="BD273" i="6"/>
  <c r="AZ273" i="6"/>
  <c r="BD272" i="6"/>
  <c r="AZ272" i="6"/>
  <c r="BD271" i="6"/>
  <c r="AZ271" i="6"/>
  <c r="BD270" i="6"/>
  <c r="AZ270" i="6"/>
  <c r="BE237" i="6"/>
  <c r="BA237" i="6"/>
  <c r="BE236" i="6"/>
  <c r="BA236" i="6"/>
  <c r="BE235" i="6"/>
  <c r="BE283" i="6" s="1"/>
  <c r="BA235" i="6"/>
  <c r="BA283" i="6" s="1"/>
  <c r="BE233" i="6"/>
  <c r="BA233" i="6"/>
  <c r="BE232" i="6"/>
  <c r="BA232" i="6"/>
  <c r="BE231" i="6"/>
  <c r="BE282" i="6" s="1"/>
  <c r="BA231" i="6"/>
  <c r="BA282" i="6" s="1"/>
  <c r="BE229" i="6"/>
  <c r="BA229" i="6"/>
  <c r="BE228" i="6"/>
  <c r="BA228" i="6"/>
  <c r="BE227" i="6"/>
  <c r="BE284" i="6" s="1"/>
  <c r="BA227" i="6"/>
  <c r="BA284" i="6" s="1"/>
  <c r="BE225" i="6"/>
  <c r="BA225" i="6"/>
  <c r="BE224" i="6"/>
  <c r="BA224" i="6"/>
  <c r="BE223" i="6"/>
  <c r="BE278" i="6" s="1"/>
  <c r="BA223" i="6"/>
  <c r="BA278" i="6" s="1"/>
  <c r="BE221" i="6"/>
  <c r="BA221" i="6"/>
  <c r="BE220" i="6"/>
  <c r="BA220" i="6"/>
  <c r="BE219" i="6"/>
  <c r="BE274" i="6" s="1"/>
  <c r="BA219" i="6"/>
  <c r="BA274" i="6" s="1"/>
  <c r="BE217" i="6"/>
  <c r="BA217" i="6"/>
  <c r="BE216" i="6"/>
  <c r="BA216" i="6"/>
  <c r="BE215" i="6"/>
  <c r="BE276" i="6" s="1"/>
  <c r="BA215" i="6"/>
  <c r="BA276" i="6" s="1"/>
  <c r="BE213" i="6"/>
  <c r="BA213" i="6"/>
  <c r="BE212" i="6"/>
  <c r="BA212" i="6"/>
  <c r="BE211" i="6"/>
  <c r="BA211" i="6"/>
  <c r="BE209" i="6"/>
  <c r="BA209" i="6"/>
  <c r="BE208" i="6"/>
  <c r="BA208" i="6"/>
  <c r="BE207" i="6"/>
  <c r="BE275" i="6" s="1"/>
  <c r="BA207" i="6"/>
  <c r="BA275" i="6" s="1"/>
  <c r="BE205" i="6"/>
  <c r="BA205" i="6"/>
  <c r="BE204" i="6"/>
  <c r="BA204" i="6"/>
  <c r="BE203" i="6"/>
  <c r="BE272" i="6" s="1"/>
  <c r="BA203" i="6"/>
  <c r="BA272" i="6" s="1"/>
  <c r="BE197" i="6"/>
  <c r="BA197" i="6"/>
  <c r="BE196" i="6"/>
  <c r="BA196" i="6"/>
  <c r="BE195" i="6"/>
  <c r="BE273" i="6" s="1"/>
  <c r="BA195" i="6"/>
  <c r="BA273" i="6" s="1"/>
  <c r="BE193" i="6"/>
  <c r="BA193" i="6"/>
  <c r="BE192" i="6"/>
  <c r="BA192" i="6"/>
  <c r="BE191" i="6"/>
  <c r="BE271" i="6" s="1"/>
  <c r="BA191" i="6"/>
  <c r="BA271" i="6" s="1"/>
  <c r="BE189" i="6"/>
  <c r="BA189" i="6"/>
  <c r="BE188" i="6"/>
  <c r="BA188" i="6"/>
  <c r="BE187" i="6"/>
  <c r="BE270" i="6" s="1"/>
  <c r="BA187" i="6"/>
  <c r="BA270" i="6" s="1"/>
  <c r="BA177" i="6"/>
  <c r="BA151" i="6"/>
  <c r="BA108" i="6"/>
  <c r="AZ108" i="6"/>
  <c r="BA105" i="6"/>
  <c r="AZ105" i="6"/>
  <c r="BA102" i="6"/>
  <c r="AZ102" i="6"/>
  <c r="BA101" i="6"/>
  <c r="BA103" i="6" s="1"/>
  <c r="AZ101" i="6"/>
  <c r="AZ103" i="6" s="1"/>
  <c r="BA99" i="6"/>
  <c r="AZ99" i="6"/>
  <c r="BA98" i="6"/>
  <c r="AZ98" i="6"/>
  <c r="BA97" i="6"/>
  <c r="AZ97" i="6"/>
  <c r="BA96" i="6"/>
  <c r="AZ96" i="6"/>
  <c r="BA95" i="6"/>
  <c r="AZ95" i="6"/>
  <c r="BA94" i="6"/>
  <c r="AZ94" i="6"/>
  <c r="BA93" i="6"/>
  <c r="BA100" i="6" s="1"/>
  <c r="AZ93" i="6"/>
  <c r="AZ100" i="6" s="1"/>
  <c r="BA90" i="6"/>
  <c r="AZ90" i="6"/>
  <c r="BA87" i="6"/>
  <c r="AZ87" i="6"/>
  <c r="BA84" i="6"/>
  <c r="AZ84" i="6"/>
  <c r="BA83" i="6"/>
  <c r="AZ83" i="6"/>
  <c r="BA82" i="6"/>
  <c r="BA85" i="6" s="1"/>
  <c r="AZ82" i="6"/>
  <c r="AZ85" i="6" s="1"/>
  <c r="BA80" i="6"/>
  <c r="AZ80" i="6"/>
  <c r="BA79" i="6"/>
  <c r="AZ79" i="6"/>
  <c r="BA78" i="6"/>
  <c r="AZ78" i="6"/>
  <c r="BA77" i="6"/>
  <c r="AZ77" i="6"/>
  <c r="BA76" i="6"/>
  <c r="AZ76" i="6"/>
  <c r="BA75" i="6"/>
  <c r="AZ75" i="6"/>
  <c r="BA74" i="6"/>
  <c r="AZ74" i="6"/>
  <c r="BA73" i="6"/>
  <c r="BA81" i="6" s="1"/>
  <c r="AZ73" i="6"/>
  <c r="AZ81" i="6" s="1"/>
  <c r="BA70" i="6"/>
  <c r="AZ70" i="6"/>
  <c r="BA69" i="6"/>
  <c r="AZ69" i="6"/>
  <c r="BA68" i="6"/>
  <c r="AZ68" i="6"/>
  <c r="BD66" i="6"/>
  <c r="AZ66" i="6"/>
  <c r="BA51" i="6"/>
  <c r="AZ51" i="6"/>
  <c r="BA50" i="6"/>
  <c r="AZ50" i="6"/>
  <c r="BA49" i="6"/>
  <c r="AZ49" i="6"/>
  <c r="BA48" i="6"/>
  <c r="AZ48" i="6"/>
  <c r="BA47" i="6"/>
  <c r="AZ47" i="6"/>
  <c r="AZ52" i="6" s="1"/>
  <c r="BA45" i="6"/>
  <c r="AZ45" i="6"/>
  <c r="BA43" i="6"/>
  <c r="AZ43" i="6"/>
  <c r="BA42" i="6"/>
  <c r="AZ42" i="6"/>
  <c r="BA40" i="6"/>
  <c r="AZ40" i="6"/>
  <c r="BA39" i="6"/>
  <c r="AZ39" i="6"/>
  <c r="BA27" i="6"/>
  <c r="BA26" i="6"/>
  <c r="BA24" i="6"/>
  <c r="BA23" i="6"/>
  <c r="BA25" i="6" s="1"/>
  <c r="BA21" i="6"/>
  <c r="BA20" i="6"/>
  <c r="BA2" i="6"/>
  <c r="AZ2" i="6"/>
  <c r="AX284" i="6"/>
  <c r="AX283" i="6"/>
  <c r="AX282" i="6"/>
  <c r="AX278" i="6"/>
  <c r="AX276" i="6"/>
  <c r="AX275" i="6"/>
  <c r="AX274" i="6"/>
  <c r="AX273" i="6"/>
  <c r="AX272" i="6"/>
  <c r="AX271" i="6"/>
  <c r="AX270" i="6"/>
  <c r="AY237" i="6"/>
  <c r="AY236" i="6"/>
  <c r="AY235" i="6"/>
  <c r="AY283" i="6" s="1"/>
  <c r="AY233" i="6"/>
  <c r="AY232" i="6"/>
  <c r="AY231" i="6"/>
  <c r="AY282" i="6" s="1"/>
  <c r="AY229" i="6"/>
  <c r="AY228" i="6"/>
  <c r="AY227" i="6"/>
  <c r="AY284" i="6" s="1"/>
  <c r="AY225" i="6"/>
  <c r="AY224" i="6"/>
  <c r="AY223" i="6"/>
  <c r="AY278" i="6" s="1"/>
  <c r="AY221" i="6"/>
  <c r="AY220" i="6"/>
  <c r="AY219" i="6"/>
  <c r="AY274" i="6" s="1"/>
  <c r="AY217" i="6"/>
  <c r="AY216" i="6"/>
  <c r="AY215" i="6"/>
  <c r="AY276" i="6" s="1"/>
  <c r="AY213" i="6"/>
  <c r="AY212" i="6"/>
  <c r="AY211" i="6"/>
  <c r="AY209" i="6"/>
  <c r="AY208" i="6"/>
  <c r="AY207" i="6"/>
  <c r="AY275" i="6" s="1"/>
  <c r="AY205" i="6"/>
  <c r="AY204" i="6"/>
  <c r="AY203" i="6"/>
  <c r="AY272" i="6" s="1"/>
  <c r="AY197" i="6"/>
  <c r="AY196" i="6"/>
  <c r="AY195" i="6"/>
  <c r="AY273" i="6" s="1"/>
  <c r="AY193" i="6"/>
  <c r="AY192" i="6"/>
  <c r="AY191" i="6"/>
  <c r="AY271" i="6" s="1"/>
  <c r="AY189" i="6"/>
  <c r="AY188" i="6"/>
  <c r="AY187" i="6"/>
  <c r="AY270" i="6" s="1"/>
  <c r="AX182" i="6"/>
  <c r="AX155" i="6"/>
  <c r="AY130" i="6"/>
  <c r="AX130" i="6"/>
  <c r="AY129" i="6"/>
  <c r="AX129" i="6"/>
  <c r="AY128" i="6"/>
  <c r="AX128" i="6"/>
  <c r="AY127" i="6"/>
  <c r="AX127" i="6"/>
  <c r="AY124" i="6"/>
  <c r="AX124" i="6"/>
  <c r="AY123" i="6"/>
  <c r="AX123" i="6"/>
  <c r="AY122" i="6"/>
  <c r="AX122" i="6"/>
  <c r="AY120" i="6"/>
  <c r="AX120" i="6"/>
  <c r="AY119" i="6"/>
  <c r="AX119" i="6"/>
  <c r="AY118" i="6"/>
  <c r="AX118" i="6"/>
  <c r="AY117" i="6"/>
  <c r="AX117" i="6"/>
  <c r="AY116" i="6"/>
  <c r="AX116" i="6"/>
  <c r="AY115" i="6"/>
  <c r="AX115" i="6"/>
  <c r="AY114" i="6"/>
  <c r="AX114" i="6"/>
  <c r="AY113" i="6"/>
  <c r="AX113" i="6"/>
  <c r="AY112" i="6"/>
  <c r="AX112" i="6"/>
  <c r="AY111" i="6"/>
  <c r="AX111" i="6"/>
  <c r="AY103" i="6"/>
  <c r="AX103" i="6"/>
  <c r="AY100" i="6"/>
  <c r="AX100" i="6"/>
  <c r="AY85" i="6"/>
  <c r="AX85" i="6"/>
  <c r="AY81" i="6"/>
  <c r="AX81" i="6"/>
  <c r="AX65" i="6"/>
  <c r="AX64" i="6"/>
  <c r="AX63" i="6"/>
  <c r="AX62" i="6"/>
  <c r="AX61" i="6"/>
  <c r="AY52" i="6"/>
  <c r="AX52" i="6"/>
  <c r="AY44" i="6"/>
  <c r="AX44" i="6"/>
  <c r="AY41" i="6"/>
  <c r="AX41" i="6"/>
  <c r="AX37" i="6"/>
  <c r="AY28" i="6"/>
  <c r="AY25" i="6"/>
  <c r="AY22" i="6"/>
  <c r="AY18" i="6"/>
  <c r="AY30" i="6" s="1"/>
  <c r="AY17" i="6"/>
  <c r="AY6" i="6"/>
  <c r="AY14" i="6" s="1"/>
  <c r="AY178" i="6" s="1"/>
  <c r="AX6" i="6"/>
  <c r="AX12" i="6" s="1"/>
  <c r="AY5" i="6"/>
  <c r="AX5" i="6"/>
  <c r="AD146" i="37"/>
  <c r="AD137" i="37"/>
  <c r="AD135" i="37"/>
  <c r="AD113" i="37"/>
  <c r="AD109" i="37"/>
  <c r="AD99" i="37"/>
  <c r="AD98" i="37"/>
  <c r="AD97" i="37"/>
  <c r="AD90" i="37"/>
  <c r="AD85" i="37"/>
  <c r="AD83" i="37"/>
  <c r="AD81" i="37"/>
  <c r="AD80" i="37"/>
  <c r="AD68" i="37"/>
  <c r="AD58" i="37"/>
  <c r="AD54" i="37"/>
  <c r="AD49" i="37"/>
  <c r="AD46" i="37"/>
  <c r="AD41" i="37"/>
  <c r="AD39" i="37"/>
  <c r="AD31" i="37"/>
  <c r="AD27" i="37"/>
  <c r="AD26" i="37"/>
  <c r="AD21" i="37"/>
  <c r="AD19" i="37"/>
  <c r="AD10" i="37"/>
  <c r="AC148" i="37"/>
  <c r="AC147" i="37"/>
  <c r="AC145" i="37"/>
  <c r="AC143" i="37"/>
  <c r="AC142" i="37"/>
  <c r="AC140" i="37"/>
  <c r="AC139" i="37"/>
  <c r="AC138" i="37"/>
  <c r="AC127" i="37"/>
  <c r="AC126" i="37"/>
  <c r="AC125" i="37"/>
  <c r="AC124" i="37"/>
  <c r="AC123" i="37"/>
  <c r="AC122" i="37"/>
  <c r="AC121" i="37"/>
  <c r="AC120" i="37"/>
  <c r="AC119" i="37"/>
  <c r="AC118" i="37"/>
  <c r="AC117" i="37"/>
  <c r="AC116" i="37"/>
  <c r="AC115" i="37"/>
  <c r="AC114" i="37"/>
  <c r="AC112" i="37"/>
  <c r="AC111" i="37"/>
  <c r="AC110" i="37"/>
  <c r="AC108" i="37"/>
  <c r="AC107" i="37"/>
  <c r="AC106" i="37"/>
  <c r="AC105" i="37"/>
  <c r="AC104" i="37"/>
  <c r="AC103" i="37"/>
  <c r="AC102" i="37"/>
  <c r="AC100" i="37"/>
  <c r="AC95" i="37"/>
  <c r="AC94" i="37"/>
  <c r="AC92" i="37"/>
  <c r="AC87" i="37"/>
  <c r="AC84" i="37"/>
  <c r="AC82" i="37"/>
  <c r="AC88" i="37" s="1"/>
  <c r="AC79" i="37"/>
  <c r="AC78" i="37"/>
  <c r="AC77" i="37"/>
  <c r="AC76" i="37"/>
  <c r="AC75" i="37"/>
  <c r="AC74" i="37"/>
  <c r="AC73" i="37"/>
  <c r="AC72" i="37"/>
  <c r="AC71" i="37"/>
  <c r="AC70" i="37"/>
  <c r="AC69" i="37"/>
  <c r="AC67" i="37"/>
  <c r="AC66" i="37"/>
  <c r="AC65" i="37"/>
  <c r="AC64" i="37"/>
  <c r="AC63" i="37"/>
  <c r="AC62" i="37"/>
  <c r="AC61" i="37"/>
  <c r="AC60" i="37"/>
  <c r="AC59" i="37"/>
  <c r="AC57" i="37"/>
  <c r="AC56" i="37"/>
  <c r="AC55" i="37"/>
  <c r="AC53" i="37"/>
  <c r="AC51" i="37"/>
  <c r="AC50" i="37"/>
  <c r="AC48" i="37"/>
  <c r="AC47" i="37"/>
  <c r="AC45" i="37"/>
  <c r="AC44" i="37"/>
  <c r="AC43" i="37"/>
  <c r="AC42" i="37"/>
  <c r="AC40" i="37"/>
  <c r="AC38" i="37"/>
  <c r="AC37" i="37"/>
  <c r="AC36" i="37"/>
  <c r="AC35" i="37"/>
  <c r="AC34" i="37"/>
  <c r="AC33" i="37"/>
  <c r="AC32" i="37"/>
  <c r="AC30" i="37"/>
  <c r="AC29" i="37"/>
  <c r="AC28" i="37"/>
  <c r="AC25" i="37"/>
  <c r="AC24" i="37"/>
  <c r="AC23" i="37"/>
  <c r="AC22" i="37"/>
  <c r="AC20" i="37"/>
  <c r="AC18" i="37"/>
  <c r="AC17" i="37"/>
  <c r="AC16" i="37"/>
  <c r="AC15" i="37"/>
  <c r="AC14" i="37"/>
  <c r="AC13" i="37"/>
  <c r="AC12" i="37"/>
  <c r="AC11" i="37"/>
  <c r="AC9" i="37"/>
  <c r="AC8" i="37"/>
  <c r="AC7" i="37"/>
  <c r="AB144" i="37"/>
  <c r="AB141" i="37"/>
  <c r="AB149" i="37" s="1"/>
  <c r="AB93" i="37"/>
  <c r="AB89" i="37"/>
  <c r="AB88" i="37"/>
  <c r="BC327" i="28"/>
  <c r="BB327" i="28"/>
  <c r="BB325" i="28"/>
  <c r="BC323" i="28"/>
  <c r="BB323" i="28"/>
  <c r="BB322" i="28"/>
  <c r="BB321" i="28"/>
  <c r="BC319" i="28"/>
  <c r="BB319" i="28"/>
  <c r="BB311" i="28"/>
  <c r="BB310" i="28"/>
  <c r="BB309" i="28"/>
  <c r="BB308" i="28"/>
  <c r="BB307" i="28"/>
  <c r="BB306" i="28"/>
  <c r="BB305" i="28"/>
  <c r="BB304" i="28"/>
  <c r="BB303" i="28"/>
  <c r="BB302" i="28"/>
  <c r="BB301" i="28"/>
  <c r="BB300" i="28"/>
  <c r="BB299" i="28"/>
  <c r="BB298" i="28"/>
  <c r="BB295" i="28"/>
  <c r="BB294" i="28"/>
  <c r="BB293" i="28"/>
  <c r="BB292" i="28"/>
  <c r="BB291" i="28"/>
  <c r="BB290" i="28"/>
  <c r="BB289" i="28"/>
  <c r="BB288" i="28"/>
  <c r="BB287" i="28"/>
  <c r="BC286" i="28"/>
  <c r="BB286" i="28"/>
  <c r="BB283" i="28"/>
  <c r="BB282" i="28"/>
  <c r="BB281" i="28"/>
  <c r="BB280" i="28"/>
  <c r="BB279" i="28"/>
  <c r="BB278" i="28"/>
  <c r="BB277" i="28"/>
  <c r="BB276" i="28"/>
  <c r="BB275" i="28"/>
  <c r="BB274" i="28"/>
  <c r="BB273" i="28"/>
  <c r="BB272" i="28"/>
  <c r="BB271" i="28"/>
  <c r="BB270" i="28"/>
  <c r="BB269" i="28"/>
  <c r="BB268" i="28"/>
  <c r="BB267" i="28"/>
  <c r="BB266" i="28"/>
  <c r="BB265" i="28"/>
  <c r="BB264" i="28"/>
  <c r="BB263" i="28"/>
  <c r="BB262" i="28"/>
  <c r="BB261" i="28"/>
  <c r="BB260" i="28"/>
  <c r="BB259" i="28"/>
  <c r="BB258" i="28"/>
  <c r="BB257" i="28"/>
  <c r="BB254" i="28"/>
  <c r="BB253" i="28"/>
  <c r="BB252" i="28"/>
  <c r="BB251" i="28"/>
  <c r="BB250" i="28"/>
  <c r="BB245" i="28"/>
  <c r="BB244" i="28"/>
  <c r="BB243" i="28"/>
  <c r="BB242" i="28"/>
  <c r="BB241" i="28"/>
  <c r="BC239" i="28"/>
  <c r="BB239" i="28"/>
  <c r="BB237" i="28"/>
  <c r="BB236" i="28"/>
  <c r="BB235" i="28"/>
  <c r="BB234" i="28"/>
  <c r="BB233" i="28"/>
  <c r="BB232" i="28"/>
  <c r="BB231" i="28"/>
  <c r="BB230" i="28"/>
  <c r="BB229" i="28"/>
  <c r="BB228" i="28"/>
  <c r="BB227" i="28"/>
  <c r="BB226" i="28"/>
  <c r="BB225" i="28"/>
  <c r="BB224" i="28"/>
  <c r="BB223" i="28"/>
  <c r="BB222" i="28"/>
  <c r="BB221" i="28"/>
  <c r="BB220" i="28"/>
  <c r="BB219" i="28"/>
  <c r="BB218" i="28"/>
  <c r="BB217" i="28"/>
  <c r="BB216" i="28"/>
  <c r="BB215" i="28"/>
  <c r="BB214" i="28"/>
  <c r="BB212" i="28"/>
  <c r="BB211" i="28"/>
  <c r="BB210" i="28"/>
  <c r="BB209" i="28"/>
  <c r="BB208" i="28"/>
  <c r="BB206" i="28"/>
  <c r="BB203" i="28"/>
  <c r="BB202" i="28"/>
  <c r="BB194" i="28"/>
  <c r="BB193" i="28"/>
  <c r="BB192" i="28"/>
  <c r="BB191" i="28"/>
  <c r="BB190" i="28"/>
  <c r="BB189" i="28"/>
  <c r="BB188" i="28"/>
  <c r="BB187" i="28"/>
  <c r="BB186" i="28"/>
  <c r="BB185" i="28"/>
  <c r="BB184" i="28"/>
  <c r="BB183" i="28"/>
  <c r="BB182" i="28"/>
  <c r="BB181" i="28"/>
  <c r="BB180" i="28"/>
  <c r="BB179" i="28"/>
  <c r="BB178" i="28"/>
  <c r="BB177" i="28"/>
  <c r="BB176" i="28"/>
  <c r="BB175" i="28"/>
  <c r="BB174" i="28"/>
  <c r="BB173" i="28"/>
  <c r="BB172" i="28"/>
  <c r="BB169" i="28"/>
  <c r="BB168" i="28"/>
  <c r="BB167" i="28"/>
  <c r="BB166" i="28"/>
  <c r="BB165" i="28"/>
  <c r="BB164" i="28"/>
  <c r="BB163" i="28"/>
  <c r="BB162" i="28"/>
  <c r="BB161" i="28"/>
  <c r="BB160" i="28"/>
  <c r="BB159" i="28"/>
  <c r="BB158" i="28"/>
  <c r="BB157" i="28"/>
  <c r="BB156" i="28"/>
  <c r="BB155" i="28"/>
  <c r="BB154" i="28"/>
  <c r="BB153" i="28"/>
  <c r="BB152" i="28"/>
  <c r="BB151" i="28"/>
  <c r="BB150" i="28"/>
  <c r="BB149" i="28"/>
  <c r="BB148" i="28"/>
  <c r="BC146" i="28"/>
  <c r="BB146" i="28"/>
  <c r="BB144" i="28"/>
  <c r="BB143" i="28"/>
  <c r="BB142" i="28"/>
  <c r="BB141" i="28"/>
  <c r="BB140" i="28"/>
  <c r="BB139" i="28"/>
  <c r="BB138" i="28"/>
  <c r="BB137" i="28"/>
  <c r="BB136" i="28"/>
  <c r="BB135" i="28"/>
  <c r="BB134" i="28"/>
  <c r="BB133" i="28"/>
  <c r="BB132" i="28"/>
  <c r="BB131" i="28"/>
  <c r="BB130" i="28"/>
  <c r="BB129" i="28"/>
  <c r="BB128" i="28"/>
  <c r="BB127" i="28"/>
  <c r="BB126" i="28"/>
  <c r="BB125" i="28"/>
  <c r="BB124" i="28"/>
  <c r="BB123" i="28"/>
  <c r="BB122" i="28"/>
  <c r="BB121" i="28"/>
  <c r="BB120" i="28"/>
  <c r="BB119" i="28"/>
  <c r="BB118" i="28"/>
  <c r="BB117" i="28"/>
  <c r="BB116" i="28"/>
  <c r="BB115" i="28"/>
  <c r="BB114" i="28"/>
  <c r="BB113" i="28"/>
  <c r="BB112" i="28"/>
  <c r="BB111" i="28"/>
  <c r="BB110" i="28"/>
  <c r="BB109" i="28"/>
  <c r="BB108" i="28"/>
  <c r="BB107" i="28"/>
  <c r="BB106" i="28"/>
  <c r="BB105" i="28"/>
  <c r="BB104" i="28"/>
  <c r="BB103" i="28"/>
  <c r="BB102" i="28"/>
  <c r="BB101" i="28"/>
  <c r="BB100" i="28"/>
  <c r="BB99" i="28"/>
  <c r="BB98" i="28"/>
  <c r="BB97" i="28"/>
  <c r="BB96" i="28"/>
  <c r="BB95" i="28"/>
  <c r="BB94" i="28"/>
  <c r="BB93" i="28"/>
  <c r="BB92" i="28"/>
  <c r="BB91" i="28"/>
  <c r="BB90" i="28"/>
  <c r="BB89" i="28"/>
  <c r="BB88" i="28"/>
  <c r="BB87" i="28"/>
  <c r="BB86" i="28"/>
  <c r="BB85" i="28"/>
  <c r="BB84" i="28"/>
  <c r="BB83" i="28"/>
  <c r="BB82" i="28"/>
  <c r="BB81" i="28"/>
  <c r="BB80" i="28"/>
  <c r="BB79" i="28"/>
  <c r="BB78" i="28"/>
  <c r="BB77" i="28"/>
  <c r="BB76" i="28"/>
  <c r="BB75" i="28"/>
  <c r="BB74" i="28"/>
  <c r="BB73" i="28"/>
  <c r="BB72" i="28"/>
  <c r="BB71" i="28"/>
  <c r="BB70" i="28"/>
  <c r="BB69" i="28"/>
  <c r="BB68" i="28"/>
  <c r="BB66" i="28"/>
  <c r="BB65" i="28"/>
  <c r="BB64" i="28"/>
  <c r="BB61" i="28"/>
  <c r="BB60" i="28"/>
  <c r="BB57" i="28"/>
  <c r="BB56" i="28"/>
  <c r="BB53" i="28"/>
  <c r="BB52" i="28"/>
  <c r="BB49" i="28"/>
  <c r="BB48" i="28"/>
  <c r="BB38" i="28"/>
  <c r="BB36" i="28"/>
  <c r="BB35" i="28"/>
  <c r="BB34" i="28"/>
  <c r="BB28" i="28"/>
  <c r="BB27" i="28"/>
  <c r="BB22" i="28"/>
  <c r="BB21" i="28"/>
  <c r="BB16" i="28"/>
  <c r="BB15" i="28"/>
  <c r="BB10" i="28"/>
  <c r="BB9" i="28"/>
  <c r="BA298" i="28"/>
  <c r="BA299" i="28"/>
  <c r="BA300" i="28"/>
  <c r="BC300" i="28" s="1"/>
  <c r="BA301" i="28"/>
  <c r="BA302" i="28"/>
  <c r="BA303" i="28"/>
  <c r="BA304" i="28"/>
  <c r="BA305" i="28"/>
  <c r="BA306" i="28"/>
  <c r="BA307" i="28"/>
  <c r="BA308" i="28"/>
  <c r="BA309" i="28"/>
  <c r="BA257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C268" i="28" s="1"/>
  <c r="BA269" i="28"/>
  <c r="BA270" i="28"/>
  <c r="BA271" i="28"/>
  <c r="BA272" i="28"/>
  <c r="BC272" i="28" s="1"/>
  <c r="BA273" i="28"/>
  <c r="BA274" i="28"/>
  <c r="BA275" i="28"/>
  <c r="BA276" i="28"/>
  <c r="BA277" i="28"/>
  <c r="BA278" i="28"/>
  <c r="BA279" i="28"/>
  <c r="BA280" i="28"/>
  <c r="BA281" i="28"/>
  <c r="BA282" i="28"/>
  <c r="BA241" i="28"/>
  <c r="BA242" i="28"/>
  <c r="BA243" i="28"/>
  <c r="BA240" i="28"/>
  <c r="BA193" i="28"/>
  <c r="BA192" i="28"/>
  <c r="BA191" i="28"/>
  <c r="BA190" i="28"/>
  <c r="BA189" i="28"/>
  <c r="BA188" i="28"/>
  <c r="BA187" i="28"/>
  <c r="BA186" i="28"/>
  <c r="BA185" i="28"/>
  <c r="BA184" i="28"/>
  <c r="BA183" i="28"/>
  <c r="BA182" i="28"/>
  <c r="BA181" i="28"/>
  <c r="BA180" i="28"/>
  <c r="BA179" i="28"/>
  <c r="BA178" i="28"/>
  <c r="BA177" i="28"/>
  <c r="BA176" i="28"/>
  <c r="BA175" i="28"/>
  <c r="BA174" i="28"/>
  <c r="BA173" i="28"/>
  <c r="BA148" i="28"/>
  <c r="BA149" i="28"/>
  <c r="BA150" i="28"/>
  <c r="BC150" i="28" s="1"/>
  <c r="BA151" i="28"/>
  <c r="BA152" i="28"/>
  <c r="BC152" i="28" s="1"/>
  <c r="BA153" i="28"/>
  <c r="BA154" i="28"/>
  <c r="BC154" i="28" s="1"/>
  <c r="BA155" i="28"/>
  <c r="BA156" i="28"/>
  <c r="BA157" i="28"/>
  <c r="BC157" i="28" s="1"/>
  <c r="BA158" i="28"/>
  <c r="BA159" i="28"/>
  <c r="BC159" i="28" s="1"/>
  <c r="BA160" i="28"/>
  <c r="BA161" i="28"/>
  <c r="BC161" i="28" s="1"/>
  <c r="BA162" i="28"/>
  <c r="BA163" i="28"/>
  <c r="BC163" i="28" s="1"/>
  <c r="BA164" i="28"/>
  <c r="BA165" i="28"/>
  <c r="BC165" i="28" s="1"/>
  <c r="BA166" i="28"/>
  <c r="BA167" i="28"/>
  <c r="BC167" i="28" s="1"/>
  <c r="BA168" i="28"/>
  <c r="BA147" i="28"/>
  <c r="BC147" i="28" s="1"/>
  <c r="BA69" i="28"/>
  <c r="BA70" i="28"/>
  <c r="BA71" i="28"/>
  <c r="BC71" i="28" s="1"/>
  <c r="BA72" i="28"/>
  <c r="BA73" i="28"/>
  <c r="BC73" i="28" s="1"/>
  <c r="BA74" i="28"/>
  <c r="BA75" i="28"/>
  <c r="BC75" i="28" s="1"/>
  <c r="BA76" i="28"/>
  <c r="BA77" i="28"/>
  <c r="BA78" i="28"/>
  <c r="BC78" i="28" s="1"/>
  <c r="BA79" i="28"/>
  <c r="BC79" i="28" s="1"/>
  <c r="BA80" i="28"/>
  <c r="BA81" i="28"/>
  <c r="BA82" i="28"/>
  <c r="BA83" i="28"/>
  <c r="BA84" i="28"/>
  <c r="BA85" i="28"/>
  <c r="BA86" i="28"/>
  <c r="BA87" i="28"/>
  <c r="BA88" i="28"/>
  <c r="BA89" i="28"/>
  <c r="BA90" i="28"/>
  <c r="BA91" i="28"/>
  <c r="BA92" i="28"/>
  <c r="BA93" i="28"/>
  <c r="BA94" i="28"/>
  <c r="BA95" i="28"/>
  <c r="BA96" i="28"/>
  <c r="BA97" i="28"/>
  <c r="BA98" i="28"/>
  <c r="BA99" i="28"/>
  <c r="BA100" i="28"/>
  <c r="BA101" i="28"/>
  <c r="BA102" i="28"/>
  <c r="BA103" i="28"/>
  <c r="BA104" i="28"/>
  <c r="BA105" i="28"/>
  <c r="BA106" i="28"/>
  <c r="BA107" i="28"/>
  <c r="BA108" i="28"/>
  <c r="BA109" i="28"/>
  <c r="BA110" i="28"/>
  <c r="BA111" i="28"/>
  <c r="BA112" i="28"/>
  <c r="BA113" i="28"/>
  <c r="BA114" i="28"/>
  <c r="BA115" i="28"/>
  <c r="BA116" i="28"/>
  <c r="BA117" i="28"/>
  <c r="BA118" i="28"/>
  <c r="BA119" i="28"/>
  <c r="BA120" i="28"/>
  <c r="BA121" i="28"/>
  <c r="BA122" i="28"/>
  <c r="BA123" i="28"/>
  <c r="BC123" i="28" s="1"/>
  <c r="BA124" i="28"/>
  <c r="BA125" i="28"/>
  <c r="BA126" i="28"/>
  <c r="BA127" i="28"/>
  <c r="BA128" i="28"/>
  <c r="BA129" i="28"/>
  <c r="BA130" i="28"/>
  <c r="BA131" i="28"/>
  <c r="BA132" i="28"/>
  <c r="BC132" i="28" s="1"/>
  <c r="BA133" i="28"/>
  <c r="BA134" i="28"/>
  <c r="BC134" i="28" s="1"/>
  <c r="BA135" i="28"/>
  <c r="BA136" i="28"/>
  <c r="BA137" i="28"/>
  <c r="BA138" i="28"/>
  <c r="BA139" i="28"/>
  <c r="BA140" i="28"/>
  <c r="BA141" i="28"/>
  <c r="BA142" i="28"/>
  <c r="BA143" i="28"/>
  <c r="BE268" i="28"/>
  <c r="BA328" i="28"/>
  <c r="BA326" i="28"/>
  <c r="BA324" i="28"/>
  <c r="BA325" i="28" s="1"/>
  <c r="BA321" i="28"/>
  <c r="BA320" i="28"/>
  <c r="BA317" i="28"/>
  <c r="AZ317" i="28"/>
  <c r="BA316" i="28"/>
  <c r="AZ316" i="28"/>
  <c r="BA315" i="28"/>
  <c r="BA287" i="28"/>
  <c r="AZ284" i="28"/>
  <c r="BA250" i="28"/>
  <c r="BA202" i="28"/>
  <c r="BA198" i="28"/>
  <c r="BA197" i="28"/>
  <c r="BA199" i="28" s="1"/>
  <c r="AZ197" i="28"/>
  <c r="BA172" i="28"/>
  <c r="AZ147" i="28"/>
  <c r="BA144" i="28"/>
  <c r="BA68" i="28"/>
  <c r="BA60" i="28"/>
  <c r="BA59" i="28"/>
  <c r="BA56" i="28"/>
  <c r="BA55" i="28"/>
  <c r="BA52" i="28"/>
  <c r="BA51" i="28"/>
  <c r="BA47" i="28"/>
  <c r="BA29" i="28"/>
  <c r="AZ29" i="28"/>
  <c r="BA28" i="28"/>
  <c r="BA27" i="28"/>
  <c r="BA26" i="28"/>
  <c r="BA25" i="28"/>
  <c r="AZ25" i="28"/>
  <c r="BA22" i="28"/>
  <c r="BA21" i="28"/>
  <c r="BA20" i="28"/>
  <c r="BA19" i="28"/>
  <c r="AZ19" i="28"/>
  <c r="BA16" i="28"/>
  <c r="BA15" i="28"/>
  <c r="BA14" i="28"/>
  <c r="BA13" i="28"/>
  <c r="AZ13" i="28"/>
  <c r="BA10" i="28"/>
  <c r="BA9" i="28"/>
  <c r="BA8" i="28"/>
  <c r="BA7" i="28"/>
  <c r="AZ7" i="28"/>
  <c r="AX328" i="28"/>
  <c r="AX326" i="28"/>
  <c r="AY325" i="28"/>
  <c r="AY329" i="28" s="1"/>
  <c r="AY322" i="28"/>
  <c r="AY318" i="28"/>
  <c r="AX315" i="28"/>
  <c r="AX318" i="28" s="1"/>
  <c r="AY311" i="28"/>
  <c r="AY310" i="28"/>
  <c r="AY284" i="28"/>
  <c r="AY245" i="28"/>
  <c r="AY238" i="28"/>
  <c r="AY199" i="28"/>
  <c r="AY195" i="28"/>
  <c r="AY169" i="28"/>
  <c r="AY145" i="28"/>
  <c r="AY63" i="28"/>
  <c r="AY61" i="28"/>
  <c r="AY57" i="28"/>
  <c r="AY53" i="28"/>
  <c r="AY36" i="28"/>
  <c r="AY35" i="28"/>
  <c r="AY34" i="28"/>
  <c r="AY33" i="28"/>
  <c r="AY32" i="28"/>
  <c r="AX32" i="28"/>
  <c r="AY30" i="28"/>
  <c r="AY43" i="28" s="1"/>
  <c r="AX26" i="28"/>
  <c r="AX30" i="28" s="1"/>
  <c r="AY23" i="28"/>
  <c r="AY42" i="28" s="1"/>
  <c r="AX20" i="28"/>
  <c r="AX23" i="28" s="1"/>
  <c r="AY17" i="28"/>
  <c r="AY41" i="28" s="1"/>
  <c r="AX14" i="28"/>
  <c r="AX17" i="28" s="1"/>
  <c r="AX195" i="28" s="1"/>
  <c r="AY11" i="28"/>
  <c r="AY40" i="28" s="1"/>
  <c r="AX8" i="28"/>
  <c r="AY23" i="36"/>
  <c r="AX23" i="36"/>
  <c r="AY22" i="36"/>
  <c r="AX22" i="36"/>
  <c r="AY21" i="36"/>
  <c r="AX21" i="36"/>
  <c r="AX18" i="36"/>
  <c r="AX13" i="36"/>
  <c r="AY12" i="36"/>
  <c r="AY11" i="36"/>
  <c r="AY10" i="36"/>
  <c r="AY5" i="36"/>
  <c r="AX5" i="36"/>
  <c r="AX53" i="36"/>
  <c r="AX19" i="36" s="1"/>
  <c r="AY49" i="36"/>
  <c r="AY48" i="36"/>
  <c r="AY46" i="36"/>
  <c r="AY45" i="36"/>
  <c r="AY44" i="36"/>
  <c r="AY43" i="36"/>
  <c r="AY33" i="36"/>
  <c r="AX33" i="36"/>
  <c r="BA2" i="36"/>
  <c r="AZ2" i="36"/>
  <c r="AZ46" i="36"/>
  <c r="AZ43" i="36"/>
  <c r="BA31" i="36"/>
  <c r="AZ31" i="36"/>
  <c r="BC13" i="21"/>
  <c r="BB34" i="21"/>
  <c r="BB28" i="21"/>
  <c r="AY36" i="21"/>
  <c r="AX34" i="21"/>
  <c r="AY32" i="21"/>
  <c r="AY28" i="21"/>
  <c r="AX28" i="21"/>
  <c r="AX12" i="21"/>
  <c r="AX21" i="21" s="1"/>
  <c r="AY12" i="21"/>
  <c r="BA2" i="21"/>
  <c r="AZ2" i="21"/>
  <c r="BA38" i="21"/>
  <c r="AZ38" i="21"/>
  <c r="BA37" i="21"/>
  <c r="AZ37" i="21"/>
  <c r="BA35" i="21"/>
  <c r="BA34" i="21"/>
  <c r="AZ32" i="21"/>
  <c r="BA31" i="21"/>
  <c r="BA27" i="21"/>
  <c r="AZ27" i="21"/>
  <c r="BA26" i="21"/>
  <c r="AZ26" i="21"/>
  <c r="BA25" i="21"/>
  <c r="BA28" i="21" s="1"/>
  <c r="AZ25" i="21"/>
  <c r="AZ28" i="21" s="1"/>
  <c r="BA18" i="21"/>
  <c r="BA16" i="21"/>
  <c r="BA15" i="21"/>
  <c r="BA11" i="21"/>
  <c r="AZ11" i="21"/>
  <c r="BA10" i="21"/>
  <c r="AZ10" i="21"/>
  <c r="BA9" i="21"/>
  <c r="AZ9" i="21"/>
  <c r="AZ8" i="21"/>
  <c r="BA7" i="21"/>
  <c r="AZ7" i="21"/>
  <c r="BA6" i="21"/>
  <c r="AZ6" i="21"/>
  <c r="AY59" i="35"/>
  <c r="AY58" i="35"/>
  <c r="AX58" i="35"/>
  <c r="AX59" i="35" s="1"/>
  <c r="AY55" i="35"/>
  <c r="AY54" i="35"/>
  <c r="AX54" i="35"/>
  <c r="AX55" i="35" s="1"/>
  <c r="AY50" i="35"/>
  <c r="AX50" i="35"/>
  <c r="AX51" i="35" s="1"/>
  <c r="AX63" i="35" s="1"/>
  <c r="AY46" i="35"/>
  <c r="AY45" i="35"/>
  <c r="AX40" i="35"/>
  <c r="AY39" i="35"/>
  <c r="AX39" i="35"/>
  <c r="AY37" i="35"/>
  <c r="AX37" i="35"/>
  <c r="AY34" i="35"/>
  <c r="AY43" i="35" s="1"/>
  <c r="AX34" i="35"/>
  <c r="AX43" i="35" s="1"/>
  <c r="AY31" i="35"/>
  <c r="AX31" i="35"/>
  <c r="AY24" i="35"/>
  <c r="AY34" i="36" s="1"/>
  <c r="AY35" i="36" s="1"/>
  <c r="AX24" i="35"/>
  <c r="AX34" i="36" s="1"/>
  <c r="AX35" i="36" s="1"/>
  <c r="AX19" i="35"/>
  <c r="AY16" i="35"/>
  <c r="AY15" i="35"/>
  <c r="AX15" i="35"/>
  <c r="AY11" i="35"/>
  <c r="AX10" i="35"/>
  <c r="AX9" i="35"/>
  <c r="AX11" i="35" s="1"/>
  <c r="AX8" i="35"/>
  <c r="AY8" i="35"/>
  <c r="AZ138" i="35"/>
  <c r="BB38" i="35"/>
  <c r="BA2" i="35"/>
  <c r="AZ2" i="35"/>
  <c r="BA1" i="35"/>
  <c r="AZ1" i="35"/>
  <c r="AZ6" i="35" s="1"/>
  <c r="AZ46" i="35"/>
  <c r="AZ45" i="35"/>
  <c r="BA42" i="35"/>
  <c r="AZ42" i="35"/>
  <c r="BA41" i="35"/>
  <c r="AZ41" i="35"/>
  <c r="BA40" i="35"/>
  <c r="BA38" i="35"/>
  <c r="BA33" i="35"/>
  <c r="AZ33" i="35"/>
  <c r="BA32" i="35"/>
  <c r="AZ32" i="35"/>
  <c r="BA30" i="35"/>
  <c r="AZ30" i="35"/>
  <c r="BA29" i="35"/>
  <c r="AZ29" i="35"/>
  <c r="BA28" i="35"/>
  <c r="AZ28" i="35"/>
  <c r="BA26" i="35"/>
  <c r="AZ26" i="35"/>
  <c r="BA25" i="35"/>
  <c r="AZ25" i="35"/>
  <c r="BA23" i="35"/>
  <c r="AZ23" i="35"/>
  <c r="BA22" i="35"/>
  <c r="AZ22" i="35"/>
  <c r="BA21" i="35"/>
  <c r="AZ21" i="35"/>
  <c r="BA18" i="35"/>
  <c r="BA33" i="36" s="1"/>
  <c r="AZ18" i="35"/>
  <c r="BA17" i="35"/>
  <c r="AZ17" i="35"/>
  <c r="AZ16" i="35"/>
  <c r="BA14" i="35"/>
  <c r="AZ14" i="35"/>
  <c r="BA13" i="35"/>
  <c r="AZ13" i="35"/>
  <c r="BA9" i="35"/>
  <c r="BA41" i="6" l="1"/>
  <c r="AX66" i="6"/>
  <c r="AX67" i="6" s="1"/>
  <c r="AZ5" i="6"/>
  <c r="AX44" i="36"/>
  <c r="AX49" i="36"/>
  <c r="AX45" i="36"/>
  <c r="AX47" i="36" s="1"/>
  <c r="AX48" i="36"/>
  <c r="BA329" i="28"/>
  <c r="AZ44" i="6"/>
  <c r="AZ62" i="7"/>
  <c r="AX14" i="6"/>
  <c r="AX27" i="6" s="1"/>
  <c r="AX25" i="7"/>
  <c r="AX80" i="7" s="1"/>
  <c r="AY46" i="7"/>
  <c r="AY55" i="7"/>
  <c r="BB16" i="39"/>
  <c r="AZ99" i="9"/>
  <c r="BA33" i="22"/>
  <c r="AZ94" i="26"/>
  <c r="BA37" i="9"/>
  <c r="AY43" i="8"/>
  <c r="AY80" i="8"/>
  <c r="BA135" i="8"/>
  <c r="AZ8" i="15"/>
  <c r="BA81" i="8"/>
  <c r="BA134" i="8"/>
  <c r="BA47" i="45"/>
  <c r="BA50" i="45"/>
  <c r="BA51" i="45" s="1"/>
  <c r="BA81" i="17"/>
  <c r="BA104" i="10"/>
  <c r="BB117" i="10"/>
  <c r="BB57" i="11"/>
  <c r="AX49" i="17"/>
  <c r="AZ65" i="17"/>
  <c r="AZ13" i="17"/>
  <c r="BA38" i="17"/>
  <c r="BA42" i="17"/>
  <c r="BA44" i="11"/>
  <c r="BC69" i="45"/>
  <c r="BA80" i="17"/>
  <c r="BA75" i="17"/>
  <c r="BA73" i="17"/>
  <c r="BA71" i="17"/>
  <c r="BA46" i="17"/>
  <c r="BA48" i="17"/>
  <c r="BA76" i="17"/>
  <c r="AY26" i="36"/>
  <c r="BA46" i="11"/>
  <c r="BB104" i="10"/>
  <c r="BA106" i="10"/>
  <c r="BC56" i="45"/>
  <c r="BA57" i="28"/>
  <c r="AB96" i="37"/>
  <c r="BA322" i="28"/>
  <c r="BA318" i="28"/>
  <c r="BA61" i="28"/>
  <c r="BA169" i="28"/>
  <c r="BA30" i="28"/>
  <c r="BA23" i="28"/>
  <c r="BA17" i="28"/>
  <c r="AY64" i="8"/>
  <c r="AY34" i="8" s="1"/>
  <c r="BB46" i="11"/>
  <c r="AZ67" i="11"/>
  <c r="AY51" i="35"/>
  <c r="AY52" i="35" s="1"/>
  <c r="BB53" i="22"/>
  <c r="BB55" i="22" s="1"/>
  <c r="BB56" i="22" s="1"/>
  <c r="AY44" i="17"/>
  <c r="BA77" i="17"/>
  <c r="BA21" i="17"/>
  <c r="BB58" i="45"/>
  <c r="BB47" i="11"/>
  <c r="AY55" i="36"/>
  <c r="AY54" i="36"/>
  <c r="AY52" i="36"/>
  <c r="AY53" i="36" s="1"/>
  <c r="AY51" i="36"/>
  <c r="AY28" i="9"/>
  <c r="AY14" i="9"/>
  <c r="AY17" i="36"/>
  <c r="AY16" i="36"/>
  <c r="BA99" i="9"/>
  <c r="BA94" i="26"/>
  <c r="BB33" i="22"/>
  <c r="AY19" i="6"/>
  <c r="BA9" i="15"/>
  <c r="AY116" i="8"/>
  <c r="AY117" i="8" s="1"/>
  <c r="AY104" i="7"/>
  <c r="AY105" i="7" s="1"/>
  <c r="BA8" i="15"/>
  <c r="BA11" i="36"/>
  <c r="BA12" i="36"/>
  <c r="AY13" i="36"/>
  <c r="AY127" i="9"/>
  <c r="AY132" i="9" s="1"/>
  <c r="BA10" i="36"/>
  <c r="AY41" i="8"/>
  <c r="BA17" i="15"/>
  <c r="AZ21" i="36"/>
  <c r="BA22" i="36"/>
  <c r="AZ22" i="36"/>
  <c r="BA21" i="36"/>
  <c r="AX60" i="35"/>
  <c r="AX52" i="35"/>
  <c r="AZ23" i="36"/>
  <c r="AZ9" i="15"/>
  <c r="AZ17" i="15"/>
  <c r="AZ33" i="36"/>
  <c r="AZ52" i="36"/>
  <c r="AX15" i="15"/>
  <c r="AZ16" i="36"/>
  <c r="AZ15" i="36"/>
  <c r="BB47" i="22"/>
  <c r="BB48" i="22" s="1"/>
  <c r="AZ34" i="27"/>
  <c r="AZ40" i="27"/>
  <c r="AZ25" i="27"/>
  <c r="BA10" i="26"/>
  <c r="BD65" i="38"/>
  <c r="BD16" i="38"/>
  <c r="BD63" i="38"/>
  <c r="BC16" i="38"/>
  <c r="AX19" i="7"/>
  <c r="AX75" i="7" s="1"/>
  <c r="AX27" i="7"/>
  <c r="AX77" i="7" s="1"/>
  <c r="AX23" i="7"/>
  <c r="AX78" i="7" s="1"/>
  <c r="AY7" i="6"/>
  <c r="AY33" i="17"/>
  <c r="AY32" i="17"/>
  <c r="AY30" i="17"/>
  <c r="AX111" i="17"/>
  <c r="AX115" i="17" s="1"/>
  <c r="AY59" i="17"/>
  <c r="BA61" i="17"/>
  <c r="BA59" i="17"/>
  <c r="AZ12" i="17"/>
  <c r="AZ70" i="17"/>
  <c r="AZ71" i="17"/>
  <c r="AZ72" i="17"/>
  <c r="AZ73" i="17"/>
  <c r="AZ74" i="17"/>
  <c r="AZ75" i="17"/>
  <c r="AZ76" i="17"/>
  <c r="BA11" i="17"/>
  <c r="AZ64" i="17"/>
  <c r="AZ66" i="17" s="1"/>
  <c r="AZ68" i="17" s="1"/>
  <c r="BA67" i="17"/>
  <c r="AX21" i="17"/>
  <c r="AX32" i="17" s="1"/>
  <c r="AY53" i="17"/>
  <c r="AY54" i="17" s="1"/>
  <c r="AY50" i="17"/>
  <c r="AY111" i="17" s="1"/>
  <c r="AY110" i="17"/>
  <c r="AY114" i="17" s="1"/>
  <c r="AX31" i="17"/>
  <c r="AX53" i="17"/>
  <c r="AX110" i="17"/>
  <c r="AX59" i="17"/>
  <c r="AX61" i="17"/>
  <c r="AY12" i="17"/>
  <c r="AY113" i="17" s="1"/>
  <c r="AY29" i="17"/>
  <c r="AY31" i="17"/>
  <c r="AX112" i="17"/>
  <c r="AY14" i="17"/>
  <c r="BA23" i="36"/>
  <c r="BC58" i="45"/>
  <c r="BB56" i="45"/>
  <c r="BC76" i="45"/>
  <c r="BC70" i="45"/>
  <c r="BB62" i="45"/>
  <c r="BB63" i="45"/>
  <c r="BC75" i="45"/>
  <c r="AY60" i="35"/>
  <c r="AZ65" i="45"/>
  <c r="BA71" i="45"/>
  <c r="BA78" i="45"/>
  <c r="BA80" i="45" s="1"/>
  <c r="BA65" i="45"/>
  <c r="BA49" i="45"/>
  <c r="BA76" i="45"/>
  <c r="BB36" i="11"/>
  <c r="BB58" i="11"/>
  <c r="BB64" i="11"/>
  <c r="BA47" i="11"/>
  <c r="BA50" i="11"/>
  <c r="BA51" i="11"/>
  <c r="AZ35" i="11"/>
  <c r="AZ38" i="11" s="1"/>
  <c r="AZ39" i="11" s="1"/>
  <c r="AZ37" i="11"/>
  <c r="AZ53" i="11"/>
  <c r="AZ66" i="11"/>
  <c r="AZ68" i="11" s="1"/>
  <c r="AY53" i="11"/>
  <c r="AZ64" i="11"/>
  <c r="BB106" i="10"/>
  <c r="BB125" i="10"/>
  <c r="AZ127" i="10"/>
  <c r="BB124" i="10"/>
  <c r="BB118" i="10"/>
  <c r="BA110" i="10"/>
  <c r="BA111" i="10"/>
  <c r="BB123" i="10"/>
  <c r="BB132" i="10" s="1"/>
  <c r="AY113" i="10"/>
  <c r="AZ94" i="10"/>
  <c r="AZ99" i="10" s="1"/>
  <c r="AX86" i="9"/>
  <c r="BA44" i="9"/>
  <c r="BA36" i="9"/>
  <c r="BA83" i="9"/>
  <c r="AX55" i="9"/>
  <c r="BA89" i="9"/>
  <c r="BA18" i="15" s="1"/>
  <c r="BA91" i="9"/>
  <c r="AZ83" i="9"/>
  <c r="BA10" i="9"/>
  <c r="AZ49" i="9"/>
  <c r="BA163" i="9"/>
  <c r="BA27" i="9"/>
  <c r="BA28" i="9" s="1"/>
  <c r="BA49" i="9"/>
  <c r="BA55" i="9"/>
  <c r="AZ92" i="9"/>
  <c r="AZ93" i="9"/>
  <c r="AZ97" i="9"/>
  <c r="BA88" i="9"/>
  <c r="BA97" i="9"/>
  <c r="AY47" i="9"/>
  <c r="AY70" i="9" s="1"/>
  <c r="AX82" i="9"/>
  <c r="AX28" i="9"/>
  <c r="AY33" i="9"/>
  <c r="AY39" i="9" s="1"/>
  <c r="AY131" i="9"/>
  <c r="AY165" i="9"/>
  <c r="AY110" i="7" s="1"/>
  <c r="AY112" i="7" s="1"/>
  <c r="AY113" i="7" s="1"/>
  <c r="AX29" i="8"/>
  <c r="AY37" i="8"/>
  <c r="AY42" i="8"/>
  <c r="AY48" i="8" s="1"/>
  <c r="AY16" i="8"/>
  <c r="AX40" i="8"/>
  <c r="AY39" i="8"/>
  <c r="AX30" i="8"/>
  <c r="AX23" i="8"/>
  <c r="AZ82" i="8"/>
  <c r="BA146" i="8"/>
  <c r="BA147" i="8" s="1"/>
  <c r="BA26" i="8"/>
  <c r="AY119" i="8"/>
  <c r="AX25" i="8"/>
  <c r="AX28" i="8"/>
  <c r="AY35" i="8"/>
  <c r="AY38" i="8"/>
  <c r="AY44" i="8"/>
  <c r="AY47" i="8"/>
  <c r="AX86" i="8"/>
  <c r="AY121" i="8"/>
  <c r="AY76" i="8"/>
  <c r="AY86" i="8"/>
  <c r="AX24" i="8"/>
  <c r="AX27" i="8"/>
  <c r="AX47" i="8"/>
  <c r="AY107" i="7"/>
  <c r="AY108" i="7" s="1"/>
  <c r="AY106" i="7"/>
  <c r="AY109" i="7" s="1"/>
  <c r="BA62" i="7"/>
  <c r="AY47" i="7"/>
  <c r="AY21" i="7"/>
  <c r="AY25" i="7"/>
  <c r="AY80" i="7" s="1"/>
  <c r="AY42" i="7"/>
  <c r="BA42" i="7"/>
  <c r="BA75" i="7" s="1"/>
  <c r="BA44" i="7"/>
  <c r="BA82" i="7" s="1"/>
  <c r="BA46" i="7"/>
  <c r="BA48" i="7"/>
  <c r="AY19" i="7"/>
  <c r="AY75" i="7" s="1"/>
  <c r="AY23" i="7"/>
  <c r="AY78" i="7" s="1"/>
  <c r="AY27" i="7"/>
  <c r="AY77" i="7" s="1"/>
  <c r="BA43" i="7"/>
  <c r="BA76" i="7" s="1"/>
  <c r="BA45" i="7"/>
  <c r="BA65" i="7"/>
  <c r="BA49" i="7"/>
  <c r="AX67" i="7"/>
  <c r="AY67" i="7"/>
  <c r="BA84" i="7"/>
  <c r="AY18" i="7"/>
  <c r="AY74" i="7" s="1"/>
  <c r="AY20" i="7"/>
  <c r="AY76" i="7" s="1"/>
  <c r="AY24" i="7"/>
  <c r="AY79" i="7" s="1"/>
  <c r="AY26" i="7"/>
  <c r="AY83" i="7" s="1"/>
  <c r="AX32" i="7"/>
  <c r="AX37" i="7"/>
  <c r="AY45" i="7"/>
  <c r="AY84" i="7" s="1"/>
  <c r="AY49" i="7"/>
  <c r="AY56" i="7"/>
  <c r="AY65" i="7"/>
  <c r="AX68" i="7"/>
  <c r="AX70" i="7"/>
  <c r="AX63" i="7"/>
  <c r="AY68" i="7"/>
  <c r="AY70" i="7"/>
  <c r="AX18" i="7"/>
  <c r="AX74" i="7" s="1"/>
  <c r="AX20" i="7"/>
  <c r="AX76" i="7" s="1"/>
  <c r="AX24" i="7"/>
  <c r="AX79" i="7" s="1"/>
  <c r="AX26" i="7"/>
  <c r="AX83" i="7" s="1"/>
  <c r="AX31" i="7"/>
  <c r="AX36" i="7"/>
  <c r="AX65" i="7" s="1"/>
  <c r="AY44" i="7"/>
  <c r="AY48" i="7"/>
  <c r="AX55" i="7"/>
  <c r="AY63" i="7"/>
  <c r="BA74" i="7"/>
  <c r="BA68" i="7"/>
  <c r="BA63" i="7"/>
  <c r="AZ74" i="7"/>
  <c r="AZ68" i="7"/>
  <c r="AZ63" i="7"/>
  <c r="BA104" i="7"/>
  <c r="BA105" i="7" s="1"/>
  <c r="BA119" i="7"/>
  <c r="BA121" i="7" s="1"/>
  <c r="BA122" i="7" s="1"/>
  <c r="AZ16" i="7"/>
  <c r="BA125" i="7"/>
  <c r="BA127" i="7" s="1"/>
  <c r="BA128" i="7" s="1"/>
  <c r="BA16" i="7"/>
  <c r="BA47" i="7"/>
  <c r="AY39" i="7"/>
  <c r="AY41" i="7"/>
  <c r="AX34" i="7"/>
  <c r="AX38" i="7"/>
  <c r="BA44" i="6"/>
  <c r="BA28" i="6"/>
  <c r="BA22" i="6"/>
  <c r="AX7" i="6"/>
  <c r="AY183" i="6"/>
  <c r="BA8" i="6"/>
  <c r="AZ86" i="6"/>
  <c r="AZ104" i="6"/>
  <c r="BA9" i="6"/>
  <c r="BA52" i="6"/>
  <c r="BA86" i="6"/>
  <c r="BA104" i="6"/>
  <c r="AZ181" i="6"/>
  <c r="AZ180" i="6"/>
  <c r="AZ154" i="6"/>
  <c r="AZ8" i="6"/>
  <c r="AZ11" i="6" s="1"/>
  <c r="AZ9" i="6"/>
  <c r="AZ41" i="6"/>
  <c r="AX183" i="6"/>
  <c r="AX11" i="6"/>
  <c r="AX13" i="6"/>
  <c r="AX156" i="6" s="1"/>
  <c r="AX18" i="6"/>
  <c r="AX86" i="6"/>
  <c r="AX91" i="6" s="1"/>
  <c r="AX138" i="6" s="1"/>
  <c r="AX104" i="6"/>
  <c r="AX109" i="6" s="1"/>
  <c r="AX160" i="6" s="1"/>
  <c r="AX121" i="6"/>
  <c r="AX125" i="6"/>
  <c r="AX177" i="6"/>
  <c r="AY11" i="6"/>
  <c r="AY13" i="6"/>
  <c r="AY156" i="6" s="1"/>
  <c r="AX21" i="6"/>
  <c r="AX24" i="6"/>
  <c r="AY29" i="6"/>
  <c r="AY31" i="6" s="1"/>
  <c r="AY86" i="6"/>
  <c r="AY91" i="6" s="1"/>
  <c r="AY135" i="6" s="1"/>
  <c r="AY104" i="6"/>
  <c r="AY109" i="6" s="1"/>
  <c r="AY121" i="6"/>
  <c r="AY125" i="6"/>
  <c r="AY241" i="6"/>
  <c r="AY50" i="8" s="1"/>
  <c r="AY12" i="6"/>
  <c r="AX33" i="28"/>
  <c r="AY48" i="28"/>
  <c r="AY64" i="28" s="1"/>
  <c r="AY65" i="28" s="1"/>
  <c r="AY66" i="28" s="1"/>
  <c r="AX11" i="28"/>
  <c r="AX145" i="28" s="1"/>
  <c r="BA310" i="28"/>
  <c r="AY312" i="28"/>
  <c r="BA145" i="28"/>
  <c r="BA53" i="28"/>
  <c r="BA11" i="28"/>
  <c r="AY37" i="28"/>
  <c r="AY38" i="28" s="1"/>
  <c r="AY44" i="28"/>
  <c r="AX42" i="28"/>
  <c r="AX55" i="28" s="1"/>
  <c r="AX238" i="28"/>
  <c r="AX37" i="28"/>
  <c r="AX324" i="28"/>
  <c r="AX329" i="28" s="1"/>
  <c r="AX320" i="28"/>
  <c r="AX312" i="28"/>
  <c r="AX43" i="28"/>
  <c r="AX59" i="28" s="1"/>
  <c r="AX41" i="28"/>
  <c r="AX51" i="28" s="1"/>
  <c r="AX36" i="36"/>
  <c r="AX39" i="36" s="1"/>
  <c r="AX30" i="36" s="1"/>
  <c r="AY36" i="36"/>
  <c r="AY39" i="36" s="1"/>
  <c r="AY30" i="36" s="1"/>
  <c r="AY47" i="36"/>
  <c r="AZ12" i="21"/>
  <c r="AY19" i="21"/>
  <c r="BA36" i="21"/>
  <c r="AX14" i="21"/>
  <c r="AY63" i="35"/>
  <c r="AX56" i="35"/>
  <c r="AX62" i="35"/>
  <c r="AY56" i="35"/>
  <c r="AY62" i="35"/>
  <c r="AX35" i="35"/>
  <c r="AY35" i="35"/>
  <c r="AY25" i="36" s="1"/>
  <c r="AY44" i="35"/>
  <c r="AX44" i="35"/>
  <c r="BA24" i="35"/>
  <c r="BA34" i="35"/>
  <c r="AZ15" i="35"/>
  <c r="AZ31" i="35"/>
  <c r="BA15" i="35"/>
  <c r="AZ24" i="35"/>
  <c r="AZ34" i="35"/>
  <c r="BA31" i="35"/>
  <c r="AZ19" i="35"/>
  <c r="AZ7" i="35"/>
  <c r="AZ6" i="6" s="1"/>
  <c r="AZ12" i="6" l="1"/>
  <c r="AY18" i="36"/>
  <c r="AZ73" i="8"/>
  <c r="AY69" i="8"/>
  <c r="AY70" i="8"/>
  <c r="AZ70" i="11"/>
  <c r="AY19" i="36"/>
  <c r="AY82" i="7"/>
  <c r="AY40" i="8"/>
  <c r="BA13" i="36"/>
  <c r="BA34" i="36"/>
  <c r="BA35" i="36" s="1"/>
  <c r="BA36" i="36" s="1"/>
  <c r="BA39" i="36" s="1"/>
  <c r="BA30" i="36" s="1"/>
  <c r="AY5" i="26"/>
  <c r="AZ21" i="21"/>
  <c r="AX66" i="35"/>
  <c r="AZ34" i="36"/>
  <c r="AZ35" i="36" s="1"/>
  <c r="AZ36" i="36" s="1"/>
  <c r="AZ39" i="36" s="1"/>
  <c r="AZ30" i="36" s="1"/>
  <c r="BD64" i="38"/>
  <c r="AZ77" i="17"/>
  <c r="AZ14" i="17"/>
  <c r="AX114" i="17"/>
  <c r="AX33" i="17"/>
  <c r="AX30" i="17"/>
  <c r="AY115" i="17"/>
  <c r="BA82" i="45"/>
  <c r="AY64" i="35"/>
  <c r="BB59" i="11"/>
  <c r="BB67" i="11"/>
  <c r="AZ95" i="10"/>
  <c r="AZ97" i="10"/>
  <c r="AZ113" i="10"/>
  <c r="AZ126" i="10"/>
  <c r="AZ128" i="10" s="1"/>
  <c r="BA165" i="9"/>
  <c r="BA166" i="9" s="1"/>
  <c r="AY111" i="7"/>
  <c r="AY114" i="7" s="1"/>
  <c r="AY116" i="7" s="1"/>
  <c r="AY166" i="9"/>
  <c r="AY81" i="9"/>
  <c r="AY77" i="9"/>
  <c r="AY73" i="9"/>
  <c r="AY51" i="9"/>
  <c r="AY80" i="9"/>
  <c r="AY76" i="9"/>
  <c r="AY72" i="9"/>
  <c r="AY69" i="9"/>
  <c r="AY50" i="9"/>
  <c r="AY79" i="9"/>
  <c r="AY75" i="9"/>
  <c r="AY71" i="9"/>
  <c r="AY68" i="9"/>
  <c r="AY78" i="9"/>
  <c r="AY74" i="9"/>
  <c r="AY122" i="8"/>
  <c r="AX26" i="8"/>
  <c r="AX74" i="8"/>
  <c r="AX66" i="8"/>
  <c r="AX60" i="8"/>
  <c r="AX68" i="8"/>
  <c r="AX82" i="7"/>
  <c r="BA107" i="7"/>
  <c r="BA108" i="7" s="1"/>
  <c r="BA106" i="7"/>
  <c r="AY50" i="7"/>
  <c r="AY64" i="7"/>
  <c r="BA109" i="6"/>
  <c r="AZ109" i="6"/>
  <c r="AZ91" i="6"/>
  <c r="AZ138" i="6" s="1"/>
  <c r="BA91" i="6"/>
  <c r="BA138" i="6" s="1"/>
  <c r="AY164" i="6"/>
  <c r="AY311" i="6"/>
  <c r="AY314" i="6" s="1"/>
  <c r="AY163" i="6"/>
  <c r="AX30" i="6"/>
  <c r="AX136" i="6"/>
  <c r="AY161" i="6"/>
  <c r="AY310" i="6"/>
  <c r="AY313" i="6" s="1"/>
  <c r="AY138" i="6"/>
  <c r="AY65" i="6"/>
  <c r="AY63" i="6"/>
  <c r="AY61" i="6"/>
  <c r="AY64" i="6"/>
  <c r="AY62" i="6"/>
  <c r="AY15" i="6"/>
  <c r="AY56" i="6" s="1"/>
  <c r="AX126" i="6"/>
  <c r="AX151" i="6"/>
  <c r="AX17" i="6"/>
  <c r="AX26" i="6"/>
  <c r="AX28" i="6" s="1"/>
  <c r="AX23" i="6"/>
  <c r="AX25" i="6" s="1"/>
  <c r="AX20" i="6"/>
  <c r="AX22" i="6" s="1"/>
  <c r="AX15" i="6"/>
  <c r="AX59" i="6" s="1"/>
  <c r="AX135" i="6"/>
  <c r="AY136" i="6"/>
  <c r="AY137" i="6" s="1"/>
  <c r="AY7" i="36" s="1"/>
  <c r="AX164" i="6"/>
  <c r="AX163" i="6"/>
  <c r="AY126" i="6"/>
  <c r="AX161" i="6"/>
  <c r="AX162" i="6" s="1"/>
  <c r="AX8" i="36" s="1"/>
  <c r="AY160" i="6"/>
  <c r="AY49" i="28"/>
  <c r="AX40" i="28"/>
  <c r="AX47" i="28" s="1"/>
  <c r="AX63" i="28" s="1"/>
  <c r="AY66" i="35"/>
  <c r="AY65" i="35"/>
  <c r="AX64" i="35"/>
  <c r="AX65" i="35"/>
  <c r="AZ43" i="35"/>
  <c r="BA43" i="35"/>
  <c r="BA35" i="35"/>
  <c r="AZ8" i="35"/>
  <c r="AZ7" i="6" s="1"/>
  <c r="AZ35" i="35"/>
  <c r="AY44" i="45"/>
  <c r="BE44" i="45" s="1"/>
  <c r="AW64" i="45"/>
  <c r="AW63" i="45"/>
  <c r="AW62" i="45"/>
  <c r="AU92" i="26"/>
  <c r="AU94" i="26"/>
  <c r="AX28" i="11"/>
  <c r="BF28" i="11" s="1"/>
  <c r="AV52" i="11"/>
  <c r="AV51" i="11"/>
  <c r="AV50" i="11"/>
  <c r="AV112" i="10"/>
  <c r="AV111" i="10"/>
  <c r="AV110" i="10"/>
  <c r="AU93" i="9"/>
  <c r="AU92" i="9"/>
  <c r="AU71" i="7"/>
  <c r="AU181" i="6"/>
  <c r="AU91" i="8"/>
  <c r="AU146" i="8"/>
  <c r="AU147" i="8" s="1"/>
  <c r="AU134" i="8"/>
  <c r="AU135" i="8" s="1"/>
  <c r="AU114" i="8"/>
  <c r="AV79" i="10"/>
  <c r="BB79" i="10" s="1"/>
  <c r="AA137" i="37"/>
  <c r="AE137" i="37" s="1"/>
  <c r="Z136" i="37"/>
  <c r="AA131" i="37"/>
  <c r="AE131" i="37" s="1"/>
  <c r="AA128" i="37"/>
  <c r="AE128" i="37" s="1"/>
  <c r="G127" i="37"/>
  <c r="AA129" i="37"/>
  <c r="AE129" i="37" s="1"/>
  <c r="AA130" i="37"/>
  <c r="AE130" i="37" s="1"/>
  <c r="AA134" i="37"/>
  <c r="AE134" i="37" s="1"/>
  <c r="V92" i="37"/>
  <c r="AD92" i="37" s="1"/>
  <c r="O92" i="37"/>
  <c r="G92" i="37"/>
  <c r="AA80" i="37"/>
  <c r="G79" i="37"/>
  <c r="I79" i="37" s="1"/>
  <c r="K79" i="37" s="1"/>
  <c r="Y81" i="37"/>
  <c r="AA81" i="37" s="1"/>
  <c r="Y68" i="37"/>
  <c r="AA68" i="37" s="1"/>
  <c r="AA26" i="37"/>
  <c r="AA27" i="37"/>
  <c r="Z144" i="37"/>
  <c r="Z141" i="37"/>
  <c r="Z93" i="37"/>
  <c r="AU11" i="15" s="1"/>
  <c r="Z89" i="37"/>
  <c r="Z88" i="37"/>
  <c r="AW294" i="28"/>
  <c r="BE294" i="28" s="1"/>
  <c r="AW295" i="28"/>
  <c r="BE295" i="28" s="1"/>
  <c r="AU284" i="28"/>
  <c r="AT328" i="28"/>
  <c r="AT326" i="28"/>
  <c r="AU325" i="28"/>
  <c r="AU329" i="28" s="1"/>
  <c r="AU322" i="28"/>
  <c r="AU318" i="28"/>
  <c r="AT315" i="28"/>
  <c r="AT318" i="28" s="1"/>
  <c r="AU311" i="28"/>
  <c r="AU310" i="28"/>
  <c r="AU245" i="28"/>
  <c r="AU238" i="28"/>
  <c r="AU199" i="28"/>
  <c r="AU195" i="28"/>
  <c r="AU169" i="28"/>
  <c r="AU145" i="28"/>
  <c r="AU63" i="28"/>
  <c r="AU61" i="28"/>
  <c r="AU57" i="28"/>
  <c r="AU53" i="28"/>
  <c r="AU36" i="28"/>
  <c r="AU35" i="28"/>
  <c r="AU34" i="28"/>
  <c r="AU33" i="28"/>
  <c r="AU32" i="28"/>
  <c r="AT32" i="28"/>
  <c r="AU30" i="28"/>
  <c r="AU43" i="28" s="1"/>
  <c r="AT26" i="28"/>
  <c r="AT30" i="28" s="1"/>
  <c r="AU23" i="28"/>
  <c r="AU42" i="28" s="1"/>
  <c r="AT20" i="28"/>
  <c r="AT23" i="28" s="1"/>
  <c r="AT238" i="28" s="1"/>
  <c r="AU17" i="28"/>
  <c r="AU41" i="28" s="1"/>
  <c r="AT14" i="28"/>
  <c r="AT17" i="28" s="1"/>
  <c r="AU11" i="28"/>
  <c r="AU40" i="28" s="1"/>
  <c r="AT8" i="28"/>
  <c r="AT11" i="28" s="1"/>
  <c r="AU30" i="21"/>
  <c r="BA30" i="21" s="1"/>
  <c r="BA32" i="21" s="1"/>
  <c r="AU5" i="15"/>
  <c r="AT40" i="27"/>
  <c r="AT8" i="15"/>
  <c r="AW77" i="45"/>
  <c r="AW75" i="45"/>
  <c r="AW69" i="45"/>
  <c r="AW70" i="45" s="1"/>
  <c r="AV65" i="11"/>
  <c r="AV64" i="11"/>
  <c r="AV63" i="11"/>
  <c r="AV57" i="11"/>
  <c r="AV58" i="11" s="1"/>
  <c r="AV117" i="10"/>
  <c r="AU49" i="36"/>
  <c r="AU48" i="36"/>
  <c r="AU46" i="36"/>
  <c r="AU45" i="36"/>
  <c r="BA45" i="36" s="1"/>
  <c r="AU43" i="36"/>
  <c r="AU54" i="36"/>
  <c r="AT53" i="36"/>
  <c r="AU33" i="36"/>
  <c r="AT33" i="36"/>
  <c r="AU58" i="35"/>
  <c r="AU54" i="35"/>
  <c r="AU50" i="35"/>
  <c r="AU37" i="35"/>
  <c r="BA37" i="35" s="1"/>
  <c r="AW39" i="45"/>
  <c r="AW22" i="45"/>
  <c r="BC22" i="45" s="1"/>
  <c r="AV19" i="11"/>
  <c r="BB19" i="11" s="1"/>
  <c r="AV23" i="11"/>
  <c r="BB23" i="11" s="1"/>
  <c r="AV7" i="11"/>
  <c r="BB7" i="11" s="1"/>
  <c r="AV73" i="10"/>
  <c r="AV55" i="10"/>
  <c r="AV45" i="10"/>
  <c r="W8" i="34"/>
  <c r="Z8" i="34" s="1"/>
  <c r="X9" i="34"/>
  <c r="AB9" i="34" s="1"/>
  <c r="AQ98" i="9"/>
  <c r="BA98" i="9" s="1"/>
  <c r="AK98" i="9"/>
  <c r="AG98" i="9"/>
  <c r="AC98" i="9"/>
  <c r="W98" i="9"/>
  <c r="S98" i="9"/>
  <c r="O98" i="9"/>
  <c r="AU98" i="9"/>
  <c r="AU83" i="8"/>
  <c r="AU82" i="8"/>
  <c r="AU180" i="6"/>
  <c r="AU154" i="6"/>
  <c r="AU153" i="6"/>
  <c r="BA153" i="6" s="1"/>
  <c r="AX56" i="6" l="1"/>
  <c r="Z149" i="37"/>
  <c r="AU116" i="8"/>
  <c r="AT49" i="36"/>
  <c r="AT48" i="36"/>
  <c r="AT44" i="36"/>
  <c r="AT45" i="36"/>
  <c r="AT47" i="36" s="1"/>
  <c r="BD7" i="11"/>
  <c r="BA164" i="6"/>
  <c r="AY123" i="8"/>
  <c r="BA163" i="6"/>
  <c r="AZ161" i="6"/>
  <c r="AZ163" i="6"/>
  <c r="AZ136" i="6"/>
  <c r="AY66" i="6"/>
  <c r="AY67" i="6" s="1"/>
  <c r="AZ130" i="10"/>
  <c r="BA170" i="9"/>
  <c r="AY170" i="9"/>
  <c r="AY171" i="9" s="1"/>
  <c r="AY168" i="9"/>
  <c r="AX64" i="8"/>
  <c r="AX35" i="8"/>
  <c r="AX33" i="8"/>
  <c r="BA109" i="7"/>
  <c r="BA160" i="6"/>
  <c r="AZ160" i="6"/>
  <c r="AZ162" i="6" s="1"/>
  <c r="AZ8" i="36" s="1"/>
  <c r="AZ164" i="6"/>
  <c r="BA161" i="6"/>
  <c r="AZ135" i="6"/>
  <c r="BA136" i="6"/>
  <c r="BA135" i="6"/>
  <c r="AU179" i="6"/>
  <c r="BA179" i="6" s="1"/>
  <c r="AY59" i="6"/>
  <c r="AY316" i="6"/>
  <c r="AY330" i="6"/>
  <c r="AY131" i="6"/>
  <c r="AY242" i="6" s="1"/>
  <c r="AX137" i="6"/>
  <c r="AX7" i="36" s="1"/>
  <c r="AX131" i="6"/>
  <c r="AX242" i="6" s="1"/>
  <c r="AY162" i="6"/>
  <c r="AY8" i="36" s="1"/>
  <c r="AX19" i="6"/>
  <c r="AX29" i="6"/>
  <c r="AX31" i="6" s="1"/>
  <c r="AY33" i="6"/>
  <c r="AY36" i="6"/>
  <c r="AY34" i="6"/>
  <c r="AY35" i="6"/>
  <c r="AU48" i="28"/>
  <c r="AU49" i="28" s="1"/>
  <c r="AX44" i="28"/>
  <c r="AU8" i="21"/>
  <c r="BA8" i="21" s="1"/>
  <c r="BA12" i="21" s="1"/>
  <c r="AU55" i="36"/>
  <c r="BA49" i="36"/>
  <c r="BA51" i="36"/>
  <c r="AU52" i="36"/>
  <c r="BA46" i="36"/>
  <c r="BA43" i="36"/>
  <c r="BA48" i="36"/>
  <c r="AU47" i="36"/>
  <c r="AU62" i="35"/>
  <c r="AU51" i="36"/>
  <c r="Z91" i="37"/>
  <c r="Z96" i="37" s="1"/>
  <c r="I92" i="37"/>
  <c r="AU312" i="28"/>
  <c r="AU37" i="28"/>
  <c r="AU38" i="28" s="1"/>
  <c r="AT145" i="28"/>
  <c r="AT40" i="28"/>
  <c r="AU44" i="28"/>
  <c r="AT320" i="28"/>
  <c r="AT324" i="28"/>
  <c r="AT41" i="28"/>
  <c r="AT195" i="28"/>
  <c r="AT43" i="28"/>
  <c r="AT312" i="28"/>
  <c r="AT33" i="28"/>
  <c r="AT37" i="28" s="1"/>
  <c r="AT42" i="28"/>
  <c r="AW76" i="45"/>
  <c r="AY8" i="45"/>
  <c r="BE8" i="45" s="1"/>
  <c r="AW46" i="45"/>
  <c r="AY20" i="45"/>
  <c r="BE20" i="45" s="1"/>
  <c r="AY21" i="45"/>
  <c r="BE21" i="45" s="1"/>
  <c r="AY22" i="45"/>
  <c r="BE22" i="45" s="1"/>
  <c r="AY23" i="45"/>
  <c r="BE23" i="45" s="1"/>
  <c r="AW48" i="45"/>
  <c r="BC48" i="45" s="1"/>
  <c r="AY14" i="45"/>
  <c r="BE14" i="45" s="1"/>
  <c r="AY17" i="45"/>
  <c r="BE17" i="45" s="1"/>
  <c r="AY16" i="45"/>
  <c r="BE16" i="45" s="1"/>
  <c r="K18" i="45"/>
  <c r="O18" i="45" s="1"/>
  <c r="S18" i="45" s="1"/>
  <c r="W18" i="45" s="1"/>
  <c r="AC18" i="45" s="1"/>
  <c r="AG18" i="45" s="1"/>
  <c r="AK18" i="45" s="1"/>
  <c r="AQ18" i="45" s="1"/>
  <c r="AU18" i="45" s="1"/>
  <c r="AY18" i="45" s="1"/>
  <c r="BE18" i="45" s="1"/>
  <c r="AA18" i="45"/>
  <c r="AO18" i="45"/>
  <c r="AY11" i="45"/>
  <c r="BE11" i="45" s="1"/>
  <c r="AV34" i="11"/>
  <c r="AV66" i="11" s="1"/>
  <c r="AV70" i="11" s="1"/>
  <c r="AX7" i="11"/>
  <c r="AT63" i="10"/>
  <c r="AX63" i="10" s="1"/>
  <c r="BF63" i="10" s="1"/>
  <c r="AT66" i="10"/>
  <c r="AX66" i="10" s="1"/>
  <c r="BF66" i="10" s="1"/>
  <c r="AW78" i="45" l="1"/>
  <c r="AW50" i="45"/>
  <c r="BF7" i="11"/>
  <c r="BA48" i="28"/>
  <c r="BA49" i="28" s="1"/>
  <c r="AU64" i="28"/>
  <c r="BA162" i="6"/>
  <c r="BA8" i="36" s="1"/>
  <c r="AZ137" i="6"/>
  <c r="AZ7" i="36" s="1"/>
  <c r="AY37" i="6"/>
  <c r="BC79" i="45"/>
  <c r="BC71" i="45"/>
  <c r="AW82" i="45"/>
  <c r="AU53" i="36"/>
  <c r="AY172" i="9"/>
  <c r="BA54" i="36"/>
  <c r="BA55" i="36"/>
  <c r="BA16" i="36"/>
  <c r="BA52" i="36"/>
  <c r="BA53" i="36" s="1"/>
  <c r="AX34" i="8"/>
  <c r="BA137" i="6"/>
  <c r="BA7" i="36" s="1"/>
  <c r="AY318" i="6"/>
  <c r="AY319" i="6" s="1"/>
  <c r="AY317" i="6"/>
  <c r="AY322" i="6"/>
  <c r="AY336" i="6"/>
  <c r="AX246" i="6"/>
  <c r="AX254" i="6"/>
  <c r="AX265" i="6"/>
  <c r="AX253" i="6"/>
  <c r="AX264" i="6"/>
  <c r="AX248" i="6"/>
  <c r="AX257" i="6"/>
  <c r="AX255" i="6"/>
  <c r="AX250" i="6"/>
  <c r="AX259" i="6"/>
  <c r="AX249" i="6"/>
  <c r="AX258" i="6"/>
  <c r="AX252" i="6"/>
  <c r="AX263" i="6"/>
  <c r="AX251" i="6"/>
  <c r="AX262" i="6"/>
  <c r="AX247" i="6"/>
  <c r="AY247" i="6"/>
  <c r="AY255" i="6"/>
  <c r="AY252" i="6"/>
  <c r="AY263" i="6"/>
  <c r="AY249" i="6"/>
  <c r="AY258" i="6"/>
  <c r="AY246" i="6"/>
  <c r="AY254" i="6"/>
  <c r="AY265" i="6"/>
  <c r="AY251" i="6"/>
  <c r="AY262" i="6"/>
  <c r="AY248" i="6"/>
  <c r="AY257" i="6"/>
  <c r="AY253" i="6"/>
  <c r="AY264" i="6"/>
  <c r="AY250" i="6"/>
  <c r="AY259" i="6"/>
  <c r="AY240" i="6"/>
  <c r="AY332" i="6"/>
  <c r="AY333" i="6" s="1"/>
  <c r="AY331" i="6"/>
  <c r="AY334" i="6" s="1"/>
  <c r="AU65" i="28"/>
  <c r="AU66" i="28" s="1"/>
  <c r="BA47" i="36"/>
  <c r="AU59" i="35"/>
  <c r="AU60" i="35" s="1"/>
  <c r="AW79" i="45"/>
  <c r="AW80" i="45" s="1"/>
  <c r="AW71" i="45"/>
  <c r="K92" i="37"/>
  <c r="AT55" i="28"/>
  <c r="AT51" i="28"/>
  <c r="AT47" i="28"/>
  <c r="AT44" i="28"/>
  <c r="AT329" i="28"/>
  <c r="AT59" i="28"/>
  <c r="AU51" i="17"/>
  <c r="AU8" i="17"/>
  <c r="AU85" i="17"/>
  <c r="AU84" i="17"/>
  <c r="AU83" i="17"/>
  <c r="AU82" i="17"/>
  <c r="AU65" i="17"/>
  <c r="AU64" i="17"/>
  <c r="AU38" i="27"/>
  <c r="AU36" i="27"/>
  <c r="AU30" i="27"/>
  <c r="AU29" i="27"/>
  <c r="AU28" i="27"/>
  <c r="AU20" i="27"/>
  <c r="AU19" i="27"/>
  <c r="AU18" i="27"/>
  <c r="AV24" i="22"/>
  <c r="AV23" i="22"/>
  <c r="AV51" i="22" s="1"/>
  <c r="AV10" i="22"/>
  <c r="AV9" i="22"/>
  <c r="AV43" i="22" s="1"/>
  <c r="AT94" i="26"/>
  <c r="AU63" i="26"/>
  <c r="AU12" i="26"/>
  <c r="BA12" i="26" s="1"/>
  <c r="AU11" i="26"/>
  <c r="BA11" i="26" s="1"/>
  <c r="AU1" i="7"/>
  <c r="AT1" i="7"/>
  <c r="AU89" i="9"/>
  <c r="AU88" i="9"/>
  <c r="AU32" i="9"/>
  <c r="BA32" i="9" s="1"/>
  <c r="AU182" i="6"/>
  <c r="AU155" i="6"/>
  <c r="AV63" i="22"/>
  <c r="AV58" i="22"/>
  <c r="AV52" i="22"/>
  <c r="AV44" i="22"/>
  <c r="AV33" i="22"/>
  <c r="AU33" i="22"/>
  <c r="AU7" i="22" s="1"/>
  <c r="AV28" i="22"/>
  <c r="AV64" i="22" s="1"/>
  <c r="AV26" i="22"/>
  <c r="AU21" i="22"/>
  <c r="AU22" i="22" s="1"/>
  <c r="AV14" i="22"/>
  <c r="AV59" i="22" s="1"/>
  <c r="AV12" i="22"/>
  <c r="AU37" i="27"/>
  <c r="AT34" i="27"/>
  <c r="AU32" i="27"/>
  <c r="AU31" i="27"/>
  <c r="AU27" i="27"/>
  <c r="AT25" i="27"/>
  <c r="AU22" i="27"/>
  <c r="AU21" i="27"/>
  <c r="AU14" i="15"/>
  <c r="AU16" i="15" s="1"/>
  <c r="AT11" i="15"/>
  <c r="AT12" i="15" s="1"/>
  <c r="AU9" i="15"/>
  <c r="AT9" i="15"/>
  <c r="AU8" i="15"/>
  <c r="AU7" i="15"/>
  <c r="AU6" i="15"/>
  <c r="AT18" i="15"/>
  <c r="AU17" i="15"/>
  <c r="AT17" i="15"/>
  <c r="AT92" i="26"/>
  <c r="AU78" i="26"/>
  <c r="AT78" i="26"/>
  <c r="AT63" i="26"/>
  <c r="AT65" i="26" s="1"/>
  <c r="AT61" i="26"/>
  <c r="AT60" i="26"/>
  <c r="AU59" i="26"/>
  <c r="AU54" i="26"/>
  <c r="AU55" i="26" s="1"/>
  <c r="AT54" i="26"/>
  <c r="AT55" i="26" s="1"/>
  <c r="AU38" i="26"/>
  <c r="AU43" i="26" s="1"/>
  <c r="AT38" i="26"/>
  <c r="AT39" i="26" s="1"/>
  <c r="AU34" i="26"/>
  <c r="AT34" i="26"/>
  <c r="AT11" i="26"/>
  <c r="AV9" i="26"/>
  <c r="AU9" i="26"/>
  <c r="AU10" i="26" s="1"/>
  <c r="AT9" i="26"/>
  <c r="AT10" i="26" s="1"/>
  <c r="AZ94" i="38"/>
  <c r="AZ93" i="38"/>
  <c r="AZ92" i="38"/>
  <c r="AZ91" i="38"/>
  <c r="AZ89" i="38"/>
  <c r="AZ86" i="38"/>
  <c r="AZ85" i="38"/>
  <c r="AZ84" i="38"/>
  <c r="AZ83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Z68" i="38"/>
  <c r="AZ67" i="38"/>
  <c r="AZ62" i="38"/>
  <c r="AZ61" i="38"/>
  <c r="AZ59" i="38"/>
  <c r="AZ58" i="38"/>
  <c r="AZ57" i="38"/>
  <c r="AZ56" i="38"/>
  <c r="AZ55" i="38"/>
  <c r="AY52" i="38"/>
  <c r="AZ51" i="38"/>
  <c r="AY51" i="38"/>
  <c r="AY46" i="38"/>
  <c r="AY45" i="38"/>
  <c r="AY44" i="38"/>
  <c r="AY43" i="38"/>
  <c r="AZ42" i="38"/>
  <c r="AY41" i="38"/>
  <c r="AZ40" i="38"/>
  <c r="AY38" i="38"/>
  <c r="AY37" i="38"/>
  <c r="AY36" i="38"/>
  <c r="AY35" i="38"/>
  <c r="AZ34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Y19" i="38"/>
  <c r="AZ18" i="38"/>
  <c r="AY14" i="38"/>
  <c r="AY13" i="38"/>
  <c r="AZ12" i="38"/>
  <c r="AZ60" i="38" s="1"/>
  <c r="AY11" i="38"/>
  <c r="AY10" i="38"/>
  <c r="AY9" i="38"/>
  <c r="AY8" i="38"/>
  <c r="AY7" i="38"/>
  <c r="AZ6" i="38"/>
  <c r="AT113" i="17"/>
  <c r="AU112" i="17"/>
  <c r="AU81" i="17"/>
  <c r="AT81" i="17"/>
  <c r="AU77" i="17"/>
  <c r="AT77" i="17"/>
  <c r="AT66" i="17"/>
  <c r="AT68" i="17" s="1"/>
  <c r="AT57" i="17"/>
  <c r="AT56" i="17"/>
  <c r="AU52" i="17"/>
  <c r="AT51" i="17"/>
  <c r="AT50" i="17"/>
  <c r="AT111" i="17" s="1"/>
  <c r="AT115" i="17" s="1"/>
  <c r="AU48" i="17"/>
  <c r="AT47" i="17"/>
  <c r="AU46" i="17"/>
  <c r="AT45" i="17"/>
  <c r="AU43" i="17"/>
  <c r="AU49" i="17" s="1"/>
  <c r="AT43" i="17"/>
  <c r="AU42" i="17"/>
  <c r="AU40" i="17"/>
  <c r="AU38" i="17"/>
  <c r="AT25" i="17"/>
  <c r="AU21" i="17"/>
  <c r="AU15" i="17" s="1"/>
  <c r="AT18" i="17"/>
  <c r="AT17" i="17"/>
  <c r="AT15" i="17"/>
  <c r="AT14" i="17"/>
  <c r="AU11" i="17"/>
  <c r="AU13" i="17"/>
  <c r="AU12" i="17"/>
  <c r="AT8" i="17"/>
  <c r="AW60" i="45"/>
  <c r="AW61" i="45" s="1"/>
  <c r="AV60" i="45"/>
  <c r="AV61" i="45" s="1"/>
  <c r="AW58" i="45"/>
  <c r="AV58" i="45"/>
  <c r="AW56" i="45"/>
  <c r="AV56" i="45"/>
  <c r="AW53" i="45"/>
  <c r="AW54" i="45" s="1"/>
  <c r="AV53" i="45"/>
  <c r="AV46" i="45"/>
  <c r="AV49" i="45" s="1"/>
  <c r="AV48" i="11"/>
  <c r="AV46" i="11"/>
  <c r="AU46" i="11"/>
  <c r="AV44" i="11"/>
  <c r="AU44" i="11"/>
  <c r="AV41" i="11"/>
  <c r="AV42" i="11" s="1"/>
  <c r="AU41" i="11"/>
  <c r="AU42" i="11" s="1"/>
  <c r="AV36" i="11"/>
  <c r="AU34" i="11"/>
  <c r="AV125" i="10"/>
  <c r="AV124" i="10"/>
  <c r="AV123" i="10"/>
  <c r="AV118" i="10"/>
  <c r="AV108" i="10"/>
  <c r="AU108" i="10"/>
  <c r="AV106" i="10"/>
  <c r="AU106" i="10"/>
  <c r="AV104" i="10"/>
  <c r="AU104" i="10"/>
  <c r="AV101" i="10"/>
  <c r="AV102" i="10" s="1"/>
  <c r="AU101" i="10"/>
  <c r="AU102" i="10" s="1"/>
  <c r="AU94" i="10"/>
  <c r="AU97" i="10" s="1"/>
  <c r="AV98" i="10"/>
  <c r="AV94" i="10"/>
  <c r="AU163" i="9"/>
  <c r="AU165" i="9" s="1"/>
  <c r="AU134" i="9"/>
  <c r="AU135" i="9" s="1"/>
  <c r="AU129" i="9"/>
  <c r="AU128" i="9"/>
  <c r="AU94" i="9"/>
  <c r="AT94" i="9"/>
  <c r="AU91" i="9"/>
  <c r="AT90" i="9"/>
  <c r="AU18" i="15"/>
  <c r="AT87" i="9"/>
  <c r="AW85" i="9"/>
  <c r="AU85" i="9"/>
  <c r="AU83" i="9"/>
  <c r="AT70" i="9"/>
  <c r="AT66" i="9"/>
  <c r="AT65" i="9"/>
  <c r="AT64" i="9"/>
  <c r="AT63" i="9"/>
  <c r="AT62" i="9"/>
  <c r="AT61" i="9"/>
  <c r="AT60" i="9"/>
  <c r="AT59" i="9"/>
  <c r="AT57" i="9"/>
  <c r="AT56" i="9"/>
  <c r="AU55" i="9"/>
  <c r="AT53" i="9"/>
  <c r="AT45" i="9"/>
  <c r="AU44" i="9"/>
  <c r="AU38" i="9"/>
  <c r="AU46" i="9" s="1"/>
  <c r="AU37" i="9"/>
  <c r="AU45" i="9" s="1"/>
  <c r="AU36" i="9"/>
  <c r="AU33" i="9"/>
  <c r="AT29" i="9"/>
  <c r="AU27" i="9"/>
  <c r="AT26" i="9"/>
  <c r="AT24" i="9"/>
  <c r="AU21" i="9"/>
  <c r="AU10" i="9"/>
  <c r="AT7" i="9"/>
  <c r="AU85" i="8"/>
  <c r="AT85" i="8"/>
  <c r="AW73" i="8"/>
  <c r="AU73" i="8"/>
  <c r="AT73" i="8"/>
  <c r="AU68" i="8"/>
  <c r="AU66" i="8"/>
  <c r="AU63" i="8"/>
  <c r="AU62" i="8"/>
  <c r="AU60" i="8"/>
  <c r="AW55" i="8"/>
  <c r="AU55" i="8"/>
  <c r="AW54" i="8"/>
  <c r="AU54" i="8"/>
  <c r="AW53" i="8"/>
  <c r="AU53" i="8"/>
  <c r="AW52" i="8"/>
  <c r="AU52" i="8"/>
  <c r="AW51" i="8"/>
  <c r="AU51" i="8"/>
  <c r="AT50" i="8"/>
  <c r="AU46" i="8"/>
  <c r="AT46" i="8"/>
  <c r="AT39" i="8"/>
  <c r="AT38" i="8"/>
  <c r="AT37" i="8"/>
  <c r="AU26" i="8"/>
  <c r="AU21" i="8"/>
  <c r="AU15" i="8"/>
  <c r="AU14" i="8"/>
  <c r="AU13" i="8"/>
  <c r="AT13" i="8"/>
  <c r="AU12" i="8"/>
  <c r="AU5" i="8"/>
  <c r="AT5" i="8"/>
  <c r="AW16" i="39"/>
  <c r="AV16" i="39"/>
  <c r="AU125" i="7"/>
  <c r="AU127" i="7" s="1"/>
  <c r="AU128" i="7" s="1"/>
  <c r="AU119" i="7"/>
  <c r="AU121" i="7" s="1"/>
  <c r="AU122" i="7" s="1"/>
  <c r="AU69" i="7"/>
  <c r="AT69" i="7"/>
  <c r="AU62" i="7"/>
  <c r="AT62" i="7"/>
  <c r="AU58" i="7"/>
  <c r="AU60" i="7" s="1"/>
  <c r="AT58" i="7"/>
  <c r="AT60" i="7" s="1"/>
  <c r="AU54" i="7"/>
  <c r="AU23" i="7" s="1"/>
  <c r="AU78" i="7" s="1"/>
  <c r="AT54" i="7"/>
  <c r="AT68" i="7" s="1"/>
  <c r="AU16" i="7"/>
  <c r="AU30" i="7" s="1"/>
  <c r="AT16" i="7"/>
  <c r="AT284" i="6"/>
  <c r="AT283" i="6"/>
  <c r="AT282" i="6"/>
  <c r="AT278" i="6"/>
  <c r="AT276" i="6"/>
  <c r="AT275" i="6"/>
  <c r="AT274" i="6"/>
  <c r="AT273" i="6"/>
  <c r="AT272" i="6"/>
  <c r="AT271" i="6"/>
  <c r="AT270" i="6"/>
  <c r="AW237" i="6"/>
  <c r="AU237" i="6"/>
  <c r="AW236" i="6"/>
  <c r="AU236" i="6"/>
  <c r="AW235" i="6"/>
  <c r="AU235" i="6"/>
  <c r="AU283" i="6" s="1"/>
  <c r="AW233" i="6"/>
  <c r="AU233" i="6"/>
  <c r="AW232" i="6"/>
  <c r="AU232" i="6"/>
  <c r="AW231" i="6"/>
  <c r="AU231" i="6"/>
  <c r="AU282" i="6" s="1"/>
  <c r="AW229" i="6"/>
  <c r="AU229" i="6"/>
  <c r="AW228" i="6"/>
  <c r="AU228" i="6"/>
  <c r="AW227" i="6"/>
  <c r="AU227" i="6"/>
  <c r="AU284" i="6" s="1"/>
  <c r="AW225" i="6"/>
  <c r="AU225" i="6"/>
  <c r="AW224" i="6"/>
  <c r="AU224" i="6"/>
  <c r="AW223" i="6"/>
  <c r="AU223" i="6"/>
  <c r="AU278" i="6" s="1"/>
  <c r="AW221" i="6"/>
  <c r="AU221" i="6"/>
  <c r="AW220" i="6"/>
  <c r="AU220" i="6"/>
  <c r="AW219" i="6"/>
  <c r="AU219" i="6"/>
  <c r="AU274" i="6" s="1"/>
  <c r="AW217" i="6"/>
  <c r="AU217" i="6"/>
  <c r="AW216" i="6"/>
  <c r="AU216" i="6"/>
  <c r="AW215" i="6"/>
  <c r="AU215" i="6"/>
  <c r="AU276" i="6" s="1"/>
  <c r="AW213" i="6"/>
  <c r="AU213" i="6"/>
  <c r="AW212" i="6"/>
  <c r="AU212" i="6"/>
  <c r="AW211" i="6"/>
  <c r="AU211" i="6"/>
  <c r="AW209" i="6"/>
  <c r="AU209" i="6"/>
  <c r="AW208" i="6"/>
  <c r="AU208" i="6"/>
  <c r="AW207" i="6"/>
  <c r="AU207" i="6"/>
  <c r="AU275" i="6" s="1"/>
  <c r="AW205" i="6"/>
  <c r="AU205" i="6"/>
  <c r="AW204" i="6"/>
  <c r="AU204" i="6"/>
  <c r="AW203" i="6"/>
  <c r="AU203" i="6"/>
  <c r="AU272" i="6" s="1"/>
  <c r="AW197" i="6"/>
  <c r="AU197" i="6"/>
  <c r="AW196" i="6"/>
  <c r="AU196" i="6"/>
  <c r="AW195" i="6"/>
  <c r="AU195" i="6"/>
  <c r="AU273" i="6" s="1"/>
  <c r="AW193" i="6"/>
  <c r="AU193" i="6"/>
  <c r="AW192" i="6"/>
  <c r="AU192" i="6"/>
  <c r="AW191" i="6"/>
  <c r="AU191" i="6"/>
  <c r="AU271" i="6" s="1"/>
  <c r="AW189" i="6"/>
  <c r="AU189" i="6"/>
  <c r="AW188" i="6"/>
  <c r="AU188" i="6"/>
  <c r="AW187" i="6"/>
  <c r="AU187" i="6"/>
  <c r="AU270" i="6" s="1"/>
  <c r="AT182" i="6"/>
  <c r="AT155" i="6"/>
  <c r="AU130" i="6"/>
  <c r="AT130" i="6"/>
  <c r="AU129" i="6"/>
  <c r="AT129" i="6"/>
  <c r="AU128" i="6"/>
  <c r="AT128" i="6"/>
  <c r="AU127" i="6"/>
  <c r="AT127" i="6"/>
  <c r="AU124" i="6"/>
  <c r="AT124" i="6"/>
  <c r="AU123" i="6"/>
  <c r="AT123" i="6"/>
  <c r="AU122" i="6"/>
  <c r="AT122" i="6"/>
  <c r="AU120" i="6"/>
  <c r="AT120" i="6"/>
  <c r="AU119" i="6"/>
  <c r="AT119" i="6"/>
  <c r="AU118" i="6"/>
  <c r="AT118" i="6"/>
  <c r="AU117" i="6"/>
  <c r="AT117" i="6"/>
  <c r="AU116" i="6"/>
  <c r="AT116" i="6"/>
  <c r="AU115" i="6"/>
  <c r="AT115" i="6"/>
  <c r="AU114" i="6"/>
  <c r="AT114" i="6"/>
  <c r="AU113" i="6"/>
  <c r="AT113" i="6"/>
  <c r="AU112" i="6"/>
  <c r="AT112" i="6"/>
  <c r="AU111" i="6"/>
  <c r="AT111" i="6"/>
  <c r="AU103" i="6"/>
  <c r="AT103" i="6"/>
  <c r="AU100" i="6"/>
  <c r="AT100" i="6"/>
  <c r="AU85" i="6"/>
  <c r="AT85" i="6"/>
  <c r="AU81" i="6"/>
  <c r="AT81" i="6"/>
  <c r="AV66" i="6"/>
  <c r="AT65" i="6"/>
  <c r="AT64" i="6"/>
  <c r="AT63" i="6"/>
  <c r="AT62" i="6"/>
  <c r="AT61" i="6"/>
  <c r="AU52" i="6"/>
  <c r="AT52" i="6"/>
  <c r="AU44" i="6"/>
  <c r="AU46" i="35" s="1"/>
  <c r="BA46" i="35" s="1"/>
  <c r="AT44" i="6"/>
  <c r="AU41" i="6"/>
  <c r="AU45" i="35" s="1"/>
  <c r="BA45" i="35" s="1"/>
  <c r="AT41" i="6"/>
  <c r="AT37" i="6"/>
  <c r="AU28" i="6"/>
  <c r="AU25" i="6"/>
  <c r="AU22" i="6"/>
  <c r="AU18" i="6"/>
  <c r="AU17" i="6"/>
  <c r="AT6" i="6"/>
  <c r="AT14" i="6" s="1"/>
  <c r="AT5" i="6"/>
  <c r="AT13" i="6" s="1"/>
  <c r="AT23" i="6" s="1"/>
  <c r="AU23" i="36"/>
  <c r="AT23" i="36"/>
  <c r="AU22" i="36"/>
  <c r="AT22" i="36"/>
  <c r="AU21" i="36"/>
  <c r="AT21" i="36"/>
  <c r="AU19" i="36"/>
  <c r="AT19" i="36"/>
  <c r="AT84" i="9"/>
  <c r="AT21" i="9" s="1"/>
  <c r="AU16" i="36"/>
  <c r="AT13" i="36"/>
  <c r="AU12" i="36"/>
  <c r="AU11" i="36"/>
  <c r="AU10" i="36"/>
  <c r="AU5" i="36"/>
  <c r="AU36" i="21"/>
  <c r="AT34" i="21"/>
  <c r="AU32" i="21"/>
  <c r="AU28" i="21"/>
  <c r="AT28" i="21"/>
  <c r="AU12" i="21"/>
  <c r="AU22" i="21" s="1"/>
  <c r="AT12" i="21"/>
  <c r="AT21" i="21" s="1"/>
  <c r="AT58" i="35"/>
  <c r="AT54" i="35"/>
  <c r="AT50" i="35"/>
  <c r="AT51" i="35" s="1"/>
  <c r="AT40" i="35"/>
  <c r="AU39" i="35"/>
  <c r="AT39" i="35"/>
  <c r="AT37" i="35"/>
  <c r="AU34" i="35"/>
  <c r="AU43" i="35" s="1"/>
  <c r="AT34" i="35"/>
  <c r="AT43" i="35" s="1"/>
  <c r="AU31" i="35"/>
  <c r="AT31" i="35"/>
  <c r="AU24" i="35"/>
  <c r="AU34" i="36" s="1"/>
  <c r="AU35" i="36" s="1"/>
  <c r="AU36" i="36" s="1"/>
  <c r="AU39" i="36" s="1"/>
  <c r="AU30" i="36" s="1"/>
  <c r="AT24" i="35"/>
  <c r="AT34" i="36" s="1"/>
  <c r="AT35" i="36" s="1"/>
  <c r="AT36" i="36" s="1"/>
  <c r="AT39" i="36" s="1"/>
  <c r="AT30" i="36" s="1"/>
  <c r="AT19" i="35"/>
  <c r="AU15" i="35"/>
  <c r="AT15" i="35"/>
  <c r="AU7" i="35"/>
  <c r="AU6" i="6" s="1"/>
  <c r="AU14" i="6" s="1"/>
  <c r="AU178" i="6" s="1"/>
  <c r="AT10" i="35"/>
  <c r="AT5" i="36" s="1"/>
  <c r="AT9" i="35"/>
  <c r="AT11" i="35" s="1"/>
  <c r="AT8" i="35"/>
  <c r="AU6" i="35"/>
  <c r="AT66" i="6" l="1"/>
  <c r="AT67" i="6" s="1"/>
  <c r="AT58" i="17"/>
  <c r="BA14" i="26"/>
  <c r="AV45" i="22"/>
  <c r="AU66" i="17"/>
  <c r="AU68" i="17" s="1"/>
  <c r="BA65" i="17"/>
  <c r="BA64" i="17"/>
  <c r="BA66" i="17" s="1"/>
  <c r="BA68" i="17" s="1"/>
  <c r="AT55" i="9"/>
  <c r="BA13" i="26"/>
  <c r="AU21" i="7"/>
  <c r="AU55" i="7"/>
  <c r="BA55" i="7" s="1"/>
  <c r="AU44" i="36"/>
  <c r="BA44" i="36" s="1"/>
  <c r="AT29" i="17"/>
  <c r="AU65" i="26"/>
  <c r="BA63" i="26"/>
  <c r="AU104" i="6"/>
  <c r="AU109" i="6" s="1"/>
  <c r="AU311" i="6" s="1"/>
  <c r="BA311" i="6" s="1"/>
  <c r="AT20" i="7"/>
  <c r="AT76" i="7" s="1"/>
  <c r="AT10" i="17"/>
  <c r="AT21" i="17"/>
  <c r="AT54" i="17"/>
  <c r="BA38" i="9"/>
  <c r="BA33" i="9"/>
  <c r="BA39" i="9" s="1"/>
  <c r="AZ90" i="38"/>
  <c r="AZ88" i="38"/>
  <c r="AZ82" i="38"/>
  <c r="AY320" i="6"/>
  <c r="AU17" i="36"/>
  <c r="AU18" i="36" s="1"/>
  <c r="AU95" i="9"/>
  <c r="AU28" i="9"/>
  <c r="AU138" i="35"/>
  <c r="AT95" i="9"/>
  <c r="BA19" i="36"/>
  <c r="AT14" i="15"/>
  <c r="AT15" i="15" s="1"/>
  <c r="BA17" i="36"/>
  <c r="BA18" i="36" s="1"/>
  <c r="AT28" i="8"/>
  <c r="AU127" i="9"/>
  <c r="AT25" i="7"/>
  <c r="AT80" i="7" s="1"/>
  <c r="AT34" i="7"/>
  <c r="AT26" i="7"/>
  <c r="AT83" i="7" s="1"/>
  <c r="AT35" i="7"/>
  <c r="AT32" i="7"/>
  <c r="AT21" i="7"/>
  <c r="AT84" i="7" s="1"/>
  <c r="AU63" i="7"/>
  <c r="AU16" i="35"/>
  <c r="BA16" i="35" s="1"/>
  <c r="AT18" i="7"/>
  <c r="AT74" i="7" s="1"/>
  <c r="AT23" i="7"/>
  <c r="AT78" i="7" s="1"/>
  <c r="AT27" i="7"/>
  <c r="AT77" i="7" s="1"/>
  <c r="AT37" i="7"/>
  <c r="AU241" i="6"/>
  <c r="AY323" i="6"/>
  <c r="AY324" i="6"/>
  <c r="AY325" i="6" s="1"/>
  <c r="AY260" i="6"/>
  <c r="AY280" i="6" s="1"/>
  <c r="AX256" i="6"/>
  <c r="AX260" i="6"/>
  <c r="AX280" i="6" s="1"/>
  <c r="AY266" i="6"/>
  <c r="AY285" i="6" s="1"/>
  <c r="AY256" i="6"/>
  <c r="AY277" i="6" s="1"/>
  <c r="AX266" i="6"/>
  <c r="AX285" i="6" s="1"/>
  <c r="AY338" i="6"/>
  <c r="AY339" i="6" s="1"/>
  <c r="AY337" i="6"/>
  <c r="AT40" i="8"/>
  <c r="AV59" i="11"/>
  <c r="AU55" i="35"/>
  <c r="AU56" i="35" s="1"/>
  <c r="AV67" i="11"/>
  <c r="AV68" i="11" s="1"/>
  <c r="M92" i="37"/>
  <c r="AU12" i="15"/>
  <c r="AU13" i="15" s="1"/>
  <c r="AT63" i="28"/>
  <c r="AU64" i="8"/>
  <c r="AT27" i="9"/>
  <c r="AT28" i="9" s="1"/>
  <c r="AT36" i="7"/>
  <c r="AT65" i="7" s="1"/>
  <c r="AT70" i="7"/>
  <c r="AT38" i="7"/>
  <c r="AT86" i="6"/>
  <c r="AT91" i="6" s="1"/>
  <c r="AT104" i="6"/>
  <c r="AT109" i="6" s="1"/>
  <c r="AT163" i="6" s="1"/>
  <c r="AT18" i="36"/>
  <c r="AT83" i="9"/>
  <c r="AT86" i="9" s="1"/>
  <c r="AU35" i="8"/>
  <c r="AT19" i="7"/>
  <c r="AT75" i="7" s="1"/>
  <c r="AT24" i="7"/>
  <c r="AT79" i="7" s="1"/>
  <c r="AT31" i="7"/>
  <c r="AT33" i="7"/>
  <c r="AU48" i="11"/>
  <c r="AU49" i="11" s="1"/>
  <c r="AU8" i="22"/>
  <c r="AU10" i="22" s="1"/>
  <c r="AU11" i="22" s="1"/>
  <c r="AT47" i="8"/>
  <c r="AT23" i="8"/>
  <c r="AT112" i="17"/>
  <c r="AT49" i="17"/>
  <c r="AT13" i="15"/>
  <c r="AY6" i="38"/>
  <c r="AU183" i="6"/>
  <c r="AU53" i="11"/>
  <c r="AZ39" i="38"/>
  <c r="AZ54" i="38"/>
  <c r="AZ66" i="38"/>
  <c r="AU58" i="17"/>
  <c r="AU61" i="17" s="1"/>
  <c r="AU104" i="7"/>
  <c r="AU105" i="7" s="1"/>
  <c r="AU106" i="7" s="1"/>
  <c r="AU19" i="7"/>
  <c r="AU43" i="7"/>
  <c r="AU27" i="7"/>
  <c r="AU77" i="7" s="1"/>
  <c r="AU47" i="7"/>
  <c r="AU25" i="7"/>
  <c r="AU80" i="7" s="1"/>
  <c r="AV60" i="22"/>
  <c r="AV61" i="22" s="1"/>
  <c r="AV65" i="22"/>
  <c r="AV66" i="22" s="1"/>
  <c r="AU39" i="9"/>
  <c r="AU13" i="36"/>
  <c r="AU16" i="8"/>
  <c r="AU5" i="6"/>
  <c r="AU13" i="6" s="1"/>
  <c r="AU152" i="6" s="1"/>
  <c r="AV53" i="22"/>
  <c r="AV55" i="22" s="1"/>
  <c r="AV47" i="22"/>
  <c r="AV48" i="22" s="1"/>
  <c r="AU24" i="22"/>
  <c r="AU25" i="27"/>
  <c r="AU34" i="27"/>
  <c r="AU40" i="27"/>
  <c r="AU42" i="26"/>
  <c r="AU13" i="26"/>
  <c r="AT14" i="26"/>
  <c r="AU39" i="26"/>
  <c r="AT43" i="26"/>
  <c r="AU14" i="26"/>
  <c r="AU60" i="26"/>
  <c r="AU61" i="26"/>
  <c r="AY40" i="38"/>
  <c r="AY42" i="38"/>
  <c r="AY18" i="38"/>
  <c r="AZ15" i="38"/>
  <c r="AZ17" i="38"/>
  <c r="AY12" i="38"/>
  <c r="AY34" i="38"/>
  <c r="AU30" i="17"/>
  <c r="AU33" i="17"/>
  <c r="AU29" i="17"/>
  <c r="AU32" i="17"/>
  <c r="AU31" i="17"/>
  <c r="AU113" i="17"/>
  <c r="AT59" i="17"/>
  <c r="AT61" i="17"/>
  <c r="AU50" i="17"/>
  <c r="AU111" i="17" s="1"/>
  <c r="AU53" i="17"/>
  <c r="AU54" i="17" s="1"/>
  <c r="AU110" i="17"/>
  <c r="AU114" i="17" s="1"/>
  <c r="AT33" i="17"/>
  <c r="AT31" i="17"/>
  <c r="AT30" i="17"/>
  <c r="AT32" i="17"/>
  <c r="AU14" i="17"/>
  <c r="AT53" i="17"/>
  <c r="AT110" i="17"/>
  <c r="AT114" i="17" s="1"/>
  <c r="AU10" i="17"/>
  <c r="AU44" i="17"/>
  <c r="AW49" i="45"/>
  <c r="AW47" i="45"/>
  <c r="AW65" i="45"/>
  <c r="AW51" i="45"/>
  <c r="AV65" i="45"/>
  <c r="AV54" i="45"/>
  <c r="AV37" i="11"/>
  <c r="AV53" i="11"/>
  <c r="AV35" i="11"/>
  <c r="AV38" i="11" s="1"/>
  <c r="AV39" i="11" s="1"/>
  <c r="AV49" i="11"/>
  <c r="AU37" i="11"/>
  <c r="AV99" i="10"/>
  <c r="AV97" i="10"/>
  <c r="AV113" i="10"/>
  <c r="AV126" i="10"/>
  <c r="AV96" i="10"/>
  <c r="AU109" i="10"/>
  <c r="AV109" i="10"/>
  <c r="AU113" i="10"/>
  <c r="AU14" i="9"/>
  <c r="AU166" i="9"/>
  <c r="AU170" i="9"/>
  <c r="AU47" i="9"/>
  <c r="AU70" i="9" s="1"/>
  <c r="AU84" i="9"/>
  <c r="AU86" i="9" s="1"/>
  <c r="AU130" i="9"/>
  <c r="AU118" i="8"/>
  <c r="AU72" i="8"/>
  <c r="AU33" i="8"/>
  <c r="AT16" i="8"/>
  <c r="AU69" i="8"/>
  <c r="AU34" i="8"/>
  <c r="AU39" i="8"/>
  <c r="AT68" i="8"/>
  <c r="AT86" i="8"/>
  <c r="AT27" i="8"/>
  <c r="AU43" i="8"/>
  <c r="AU71" i="8"/>
  <c r="AT79" i="8"/>
  <c r="AU86" i="8"/>
  <c r="AU38" i="8"/>
  <c r="AU44" i="8"/>
  <c r="AU76" i="8"/>
  <c r="AU80" i="8"/>
  <c r="AT25" i="8"/>
  <c r="AT30" i="8"/>
  <c r="AU42" i="8"/>
  <c r="AU70" i="8"/>
  <c r="AU37" i="8"/>
  <c r="AU47" i="8"/>
  <c r="AT24" i="8"/>
  <c r="AT29" i="8"/>
  <c r="AU41" i="8"/>
  <c r="AU18" i="7"/>
  <c r="AU74" i="7" s="1"/>
  <c r="AU20" i="7"/>
  <c r="AU24" i="7"/>
  <c r="AU79" i="7" s="1"/>
  <c r="AU26" i="7"/>
  <c r="AU83" i="7" s="1"/>
  <c r="AU45" i="7"/>
  <c r="AU84" i="7" s="1"/>
  <c r="AU49" i="7"/>
  <c r="AU56" i="7"/>
  <c r="AU68" i="7"/>
  <c r="AU42" i="7"/>
  <c r="AU46" i="7"/>
  <c r="AU65" i="7"/>
  <c r="AU44" i="7"/>
  <c r="AU48" i="7"/>
  <c r="AU67" i="7"/>
  <c r="AT63" i="7"/>
  <c r="AU41" i="7"/>
  <c r="AU39" i="7"/>
  <c r="AU70" i="7"/>
  <c r="AT55" i="7"/>
  <c r="AT67" i="7"/>
  <c r="AT161" i="6"/>
  <c r="AT121" i="6"/>
  <c r="AU164" i="6"/>
  <c r="AU163" i="6"/>
  <c r="AU62" i="6"/>
  <c r="AU86" i="6"/>
  <c r="AU91" i="6" s="1"/>
  <c r="AU161" i="6"/>
  <c r="AU314" i="6"/>
  <c r="AT26" i="6"/>
  <c r="AT20" i="6"/>
  <c r="AT17" i="6"/>
  <c r="AT15" i="6"/>
  <c r="AT151" i="6"/>
  <c r="AT177" i="6"/>
  <c r="AT24" i="6"/>
  <c r="AT18" i="6"/>
  <c r="AT27" i="6"/>
  <c r="AT21" i="6"/>
  <c r="AU64" i="6"/>
  <c r="AT138" i="6"/>
  <c r="AU160" i="6"/>
  <c r="AU29" i="6"/>
  <c r="AU30" i="6"/>
  <c r="AT136" i="6"/>
  <c r="AT7" i="6"/>
  <c r="AT11" i="6"/>
  <c r="AT12" i="6"/>
  <c r="AU125" i="6"/>
  <c r="AU12" i="6"/>
  <c r="AU50" i="8"/>
  <c r="AU19" i="6"/>
  <c r="AT135" i="6"/>
  <c r="AU121" i="6"/>
  <c r="AT156" i="6"/>
  <c r="AT183" i="6"/>
  <c r="AT125" i="6"/>
  <c r="AU19" i="21"/>
  <c r="AU23" i="21"/>
  <c r="AU24" i="21" s="1"/>
  <c r="AT14" i="21"/>
  <c r="AU35" i="35"/>
  <c r="AT52" i="35"/>
  <c r="AT62" i="35"/>
  <c r="AT59" i="35"/>
  <c r="AT55" i="35"/>
  <c r="AT56" i="35" s="1"/>
  <c r="AT35" i="35"/>
  <c r="AT44" i="35"/>
  <c r="AU44" i="35"/>
  <c r="AU8" i="35"/>
  <c r="AU11" i="35"/>
  <c r="AY340" i="6" l="1"/>
  <c r="AY341" i="6" s="1"/>
  <c r="BA56" i="7"/>
  <c r="AU25" i="36"/>
  <c r="AU26" i="36"/>
  <c r="AU115" i="17"/>
  <c r="BA65" i="26"/>
  <c r="AT82" i="9"/>
  <c r="AZ87" i="38"/>
  <c r="AY326" i="6"/>
  <c r="AY327" i="6" s="1"/>
  <c r="BA138" i="35"/>
  <c r="AU19" i="35"/>
  <c r="AT74" i="8"/>
  <c r="AU76" i="7"/>
  <c r="AU107" i="7"/>
  <c r="AU108" i="7" s="1"/>
  <c r="AU109" i="7" s="1"/>
  <c r="AT82" i="7"/>
  <c r="AX261" i="6"/>
  <c r="AY261" i="6"/>
  <c r="AX277" i="6"/>
  <c r="AU15" i="6"/>
  <c r="AU36" i="6" s="1"/>
  <c r="AU11" i="6"/>
  <c r="AU65" i="6"/>
  <c r="AU63" i="6"/>
  <c r="AU7" i="6"/>
  <c r="AU61" i="6"/>
  <c r="AU156" i="6"/>
  <c r="AV95" i="10"/>
  <c r="AU51" i="35"/>
  <c r="P92" i="37"/>
  <c r="AT164" i="6"/>
  <c r="AT160" i="6"/>
  <c r="AT162" i="6" s="1"/>
  <c r="AT8" i="36" s="1"/>
  <c r="AU135" i="6"/>
  <c r="AU310" i="6"/>
  <c r="AU102" i="7"/>
  <c r="AU167" i="9"/>
  <c r="AU168" i="9" s="1"/>
  <c r="AU59" i="17"/>
  <c r="AV56" i="22"/>
  <c r="AU75" i="7"/>
  <c r="AU82" i="7"/>
  <c r="AU40" i="8"/>
  <c r="AU48" i="8"/>
  <c r="AU5" i="26"/>
  <c r="AU136" i="6"/>
  <c r="AU137" i="6" s="1"/>
  <c r="AU7" i="36" s="1"/>
  <c r="AU330" i="6" s="1"/>
  <c r="AU25" i="22"/>
  <c r="AU13" i="22"/>
  <c r="AY39" i="38"/>
  <c r="AZ16" i="38"/>
  <c r="AZ65" i="38"/>
  <c r="AZ63" i="38"/>
  <c r="AY17" i="38"/>
  <c r="AY15" i="38"/>
  <c r="AV119" i="10"/>
  <c r="AV127" i="10"/>
  <c r="AV128" i="10" s="1"/>
  <c r="AV130" i="10"/>
  <c r="AU132" i="9"/>
  <c r="AU131" i="9"/>
  <c r="AU79" i="9"/>
  <c r="AU75" i="9"/>
  <c r="AU71" i="9"/>
  <c r="AU80" i="9"/>
  <c r="AU76" i="9"/>
  <c r="AU72" i="9"/>
  <c r="AU50" i="9"/>
  <c r="AU81" i="9"/>
  <c r="AU77" i="9"/>
  <c r="AU73" i="9"/>
  <c r="AU68" i="9"/>
  <c r="AU51" i="9"/>
  <c r="AU78" i="9"/>
  <c r="AU74" i="9"/>
  <c r="AU69" i="9"/>
  <c r="AU110" i="7"/>
  <c r="AU121" i="8"/>
  <c r="AU117" i="8"/>
  <c r="AT60" i="8"/>
  <c r="AT26" i="8"/>
  <c r="AT66" i="8"/>
  <c r="AT35" i="8"/>
  <c r="AU64" i="7"/>
  <c r="AU50" i="7"/>
  <c r="AU162" i="6"/>
  <c r="AT126" i="6"/>
  <c r="AT131" i="6" s="1"/>
  <c r="AU31" i="6"/>
  <c r="AT19" i="6"/>
  <c r="AT29" i="6"/>
  <c r="AT30" i="6"/>
  <c r="AT22" i="6"/>
  <c r="AT25" i="6"/>
  <c r="AU138" i="6"/>
  <c r="AT28" i="6"/>
  <c r="AU126" i="6"/>
  <c r="AT137" i="6"/>
  <c r="AT7" i="36" s="1"/>
  <c r="AT56" i="6"/>
  <c r="AT59" i="6"/>
  <c r="AU56" i="6"/>
  <c r="AU8" i="36"/>
  <c r="AT60" i="35"/>
  <c r="AT63" i="35"/>
  <c r="AT65" i="35" s="1"/>
  <c r="AT66" i="35"/>
  <c r="V11" i="34"/>
  <c r="AY343" i="6" l="1"/>
  <c r="BA19" i="35"/>
  <c r="AX281" i="6"/>
  <c r="AU313" i="6"/>
  <c r="AU331" i="6" s="1"/>
  <c r="BA310" i="6"/>
  <c r="AY9" i="36"/>
  <c r="AY15" i="36" s="1"/>
  <c r="AY267" i="6"/>
  <c r="AY281" i="6"/>
  <c r="AX267" i="6"/>
  <c r="AX9" i="36"/>
  <c r="AU59" i="6"/>
  <c r="AU33" i="6"/>
  <c r="AU35" i="6"/>
  <c r="AU34" i="6"/>
  <c r="AU66" i="6"/>
  <c r="AU67" i="6" s="1"/>
  <c r="AU171" i="9"/>
  <c r="AU172" i="9" s="1"/>
  <c r="AU63" i="35"/>
  <c r="AU52" i="35"/>
  <c r="AU64" i="35" s="1"/>
  <c r="R92" i="37"/>
  <c r="AU316" i="6"/>
  <c r="AU317" i="6" s="1"/>
  <c r="AU27" i="22"/>
  <c r="AY16" i="38"/>
  <c r="AZ64" i="38"/>
  <c r="AU122" i="8"/>
  <c r="AU111" i="7"/>
  <c r="AU112" i="7"/>
  <c r="AU113" i="7" s="1"/>
  <c r="AU119" i="8"/>
  <c r="AT33" i="8"/>
  <c r="AT64" i="8"/>
  <c r="AT258" i="6"/>
  <c r="AT262" i="6"/>
  <c r="AT248" i="6"/>
  <c r="AT252" i="6"/>
  <c r="AT253" i="6"/>
  <c r="AT264" i="6"/>
  <c r="AT249" i="6"/>
  <c r="AT257" i="6"/>
  <c r="AT263" i="6"/>
  <c r="AT246" i="6"/>
  <c r="AT250" i="6"/>
  <c r="AT254" i="6"/>
  <c r="AT259" i="6"/>
  <c r="AT247" i="6"/>
  <c r="AT251" i="6"/>
  <c r="AT255" i="6"/>
  <c r="AT265" i="6"/>
  <c r="AT242" i="6"/>
  <c r="AU336" i="6"/>
  <c r="AU322" i="6"/>
  <c r="AT31" i="6"/>
  <c r="AU332" i="6"/>
  <c r="AU333" i="6" s="1"/>
  <c r="AU131" i="6"/>
  <c r="AT64" i="35"/>
  <c r="V10" i="34"/>
  <c r="V35" i="34"/>
  <c r="AR11" i="32"/>
  <c r="AL13" i="32"/>
  <c r="S13" i="32"/>
  <c r="AR50" i="32"/>
  <c r="V34" i="32"/>
  <c r="Y146" i="37"/>
  <c r="AA146" i="37" s="1"/>
  <c r="Y109" i="37"/>
  <c r="AA109" i="37" s="1"/>
  <c r="AE109" i="37" s="1"/>
  <c r="Y113" i="37"/>
  <c r="AA113" i="37" s="1"/>
  <c r="AE113" i="37" s="1"/>
  <c r="E89" i="37"/>
  <c r="F89" i="37"/>
  <c r="H89" i="37"/>
  <c r="J89" i="37"/>
  <c r="L89" i="37"/>
  <c r="N89" i="37"/>
  <c r="Q89" i="37"/>
  <c r="S89" i="37"/>
  <c r="V89" i="37" s="1"/>
  <c r="U89" i="37"/>
  <c r="X89" i="37"/>
  <c r="AC89" i="37" s="1"/>
  <c r="X88" i="37"/>
  <c r="R86" i="37"/>
  <c r="T86" i="37" s="1"/>
  <c r="W86" i="37" s="1"/>
  <c r="Y86" i="37" s="1"/>
  <c r="AA86" i="37" s="1"/>
  <c r="V86" i="37"/>
  <c r="AD86" i="37" s="1"/>
  <c r="Y54" i="37"/>
  <c r="AA54" i="37" s="1"/>
  <c r="AQ310" i="28"/>
  <c r="AQ311" i="28"/>
  <c r="BA311" i="28" s="1"/>
  <c r="AQ284" i="28"/>
  <c r="AS78" i="28"/>
  <c r="AW78" i="28" s="1"/>
  <c r="AS79" i="28"/>
  <c r="AW79" i="28" s="1"/>
  <c r="AS75" i="28"/>
  <c r="AW75" i="28" s="1"/>
  <c r="AS73" i="28"/>
  <c r="AW73" i="28" s="1"/>
  <c r="AS71" i="28"/>
  <c r="AW71" i="28" s="1"/>
  <c r="AO272" i="28"/>
  <c r="AS272" i="28" s="1"/>
  <c r="AW272" i="28" s="1"/>
  <c r="BE272" i="28" s="1"/>
  <c r="AO229" i="28"/>
  <c r="AS229" i="28" s="1"/>
  <c r="AW229" i="28" s="1"/>
  <c r="BE229" i="28" s="1"/>
  <c r="AS235" i="28"/>
  <c r="AW235" i="28" s="1"/>
  <c r="BE235" i="28" s="1"/>
  <c r="AS134" i="28"/>
  <c r="AW134" i="28" s="1"/>
  <c r="AS132" i="28"/>
  <c r="AW132" i="28" s="1"/>
  <c r="AO123" i="28"/>
  <c r="AS123" i="28" s="1"/>
  <c r="AW123" i="28" s="1"/>
  <c r="AM112" i="28"/>
  <c r="BC112" i="28" s="1"/>
  <c r="AO112" i="28"/>
  <c r="AS112" i="28" s="1"/>
  <c r="AW112" i="28" s="1"/>
  <c r="G89" i="37" l="1"/>
  <c r="AD89" i="37"/>
  <c r="O89" i="37"/>
  <c r="AY73" i="8"/>
  <c r="BA15" i="36"/>
  <c r="BA73" i="8" s="1"/>
  <c r="AU114" i="7"/>
  <c r="AU116" i="7" s="1"/>
  <c r="AY286" i="6"/>
  <c r="AX286" i="6"/>
  <c r="AU37" i="6"/>
  <c r="AU65" i="35"/>
  <c r="AU66" i="35"/>
  <c r="I89" i="37"/>
  <c r="K89" i="37" s="1"/>
  <c r="M89" i="37" s="1"/>
  <c r="P89" i="37" s="1"/>
  <c r="R89" i="37" s="1"/>
  <c r="T89" i="37" s="1"/>
  <c r="W89" i="37" s="1"/>
  <c r="Y89" i="37" s="1"/>
  <c r="AA89" i="37" s="1"/>
  <c r="AE89" i="37" s="1"/>
  <c r="T92" i="37"/>
  <c r="AR26" i="32"/>
  <c r="AU334" i="6"/>
  <c r="AU318" i="6"/>
  <c r="AU319" i="6" s="1"/>
  <c r="AU320" i="6" s="1"/>
  <c r="AU123" i="8"/>
  <c r="AT34" i="8"/>
  <c r="AU251" i="6"/>
  <c r="AU258" i="6"/>
  <c r="AU264" i="6"/>
  <c r="AU247" i="6"/>
  <c r="AU255" i="6"/>
  <c r="AU257" i="6"/>
  <c r="AU262" i="6"/>
  <c r="AU253" i="6"/>
  <c r="AU246" i="6"/>
  <c r="AU249" i="6"/>
  <c r="AU250" i="6"/>
  <c r="AU263" i="6"/>
  <c r="AU252" i="6"/>
  <c r="AU248" i="6"/>
  <c r="AU259" i="6"/>
  <c r="AU265" i="6"/>
  <c r="AU254" i="6"/>
  <c r="AU240" i="6"/>
  <c r="AU242" i="6"/>
  <c r="AU323" i="6"/>
  <c r="AU324" i="6"/>
  <c r="AU325" i="6" s="1"/>
  <c r="AT256" i="6"/>
  <c r="AT277" i="6" s="1"/>
  <c r="AT266" i="6"/>
  <c r="AT285" i="6" s="1"/>
  <c r="AU338" i="6"/>
  <c r="AU339" i="6" s="1"/>
  <c r="AU337" i="6"/>
  <c r="AT260" i="6"/>
  <c r="AT280" i="6" s="1"/>
  <c r="AR34" i="32"/>
  <c r="AQ312" i="28"/>
  <c r="W92" i="37" l="1"/>
  <c r="AU340" i="6"/>
  <c r="AU341" i="6" s="1"/>
  <c r="AU326" i="6"/>
  <c r="AU327" i="6" s="1"/>
  <c r="AU266" i="6"/>
  <c r="AU285" i="6" s="1"/>
  <c r="AU260" i="6"/>
  <c r="AU280" i="6" s="1"/>
  <c r="AT261" i="6"/>
  <c r="AU256" i="6"/>
  <c r="AU277" i="6" s="1"/>
  <c r="AQ32" i="28"/>
  <c r="BA32" i="28" s="1"/>
  <c r="Y92" i="37" l="1"/>
  <c r="AU343" i="6"/>
  <c r="AT267" i="6"/>
  <c r="AT281" i="6"/>
  <c r="AU261" i="6"/>
  <c r="AU9" i="36" s="1"/>
  <c r="AA92" i="37" l="1"/>
  <c r="AE92" i="37" s="1"/>
  <c r="AT286" i="6"/>
  <c r="AU267" i="6"/>
  <c r="AU281" i="6"/>
  <c r="AT9" i="36"/>
  <c r="AS39" i="45"/>
  <c r="BC39" i="45" s="1"/>
  <c r="AU286" i="6" l="1"/>
  <c r="AS30" i="45"/>
  <c r="BC30" i="45" s="1"/>
  <c r="AU42" i="45"/>
  <c r="AY42" i="45" s="1"/>
  <c r="BE42" i="45" s="1"/>
  <c r="AU43" i="45"/>
  <c r="AY43" i="45" s="1"/>
  <c r="BE43" i="45" s="1"/>
  <c r="AR25" i="11"/>
  <c r="BB25" i="11" s="1"/>
  <c r="AT16" i="10"/>
  <c r="AX16" i="10" s="1"/>
  <c r="BF16" i="10" s="1"/>
  <c r="AT17" i="10"/>
  <c r="AX17" i="10" s="1"/>
  <c r="BF17" i="10" s="1"/>
  <c r="AT74" i="10"/>
  <c r="AX74" i="10" s="1"/>
  <c r="BF74" i="10" s="1"/>
  <c r="AT80" i="10"/>
  <c r="AX80" i="10" s="1"/>
  <c r="BF80" i="10" s="1"/>
  <c r="AT86" i="10"/>
  <c r="AX86" i="10" s="1"/>
  <c r="BF86" i="10" s="1"/>
  <c r="AR50" i="10"/>
  <c r="BB50" i="10" s="1"/>
  <c r="AR45" i="10"/>
  <c r="BB45" i="10" s="1"/>
  <c r="AR56" i="10"/>
  <c r="BB56" i="10" s="1"/>
  <c r="AR55" i="10"/>
  <c r="BB55" i="10" s="1"/>
  <c r="AR58" i="10"/>
  <c r="AR93" i="10"/>
  <c r="AR73" i="10"/>
  <c r="BB73" i="10" s="1"/>
  <c r="AR7" i="10"/>
  <c r="BB7" i="10" s="1"/>
  <c r="AR11" i="10"/>
  <c r="BB11" i="10" s="1"/>
  <c r="AR10" i="10"/>
  <c r="AR9" i="10"/>
  <c r="BB9" i="10" s="1"/>
  <c r="BD9" i="10" s="1"/>
  <c r="AR13" i="10"/>
  <c r="AR12" i="10"/>
  <c r="AR14" i="10"/>
  <c r="AR18" i="10"/>
  <c r="BB18" i="10" s="1"/>
  <c r="AR15" i="10"/>
  <c r="BB15" i="10" s="1"/>
  <c r="AR46" i="10"/>
  <c r="BB46" i="10" s="1"/>
  <c r="AT12" i="10" l="1"/>
  <c r="AX12" i="10" s="1"/>
  <c r="BF12" i="10" s="1"/>
  <c r="BB12" i="10"/>
  <c r="BD12" i="10" s="1"/>
  <c r="AT58" i="10"/>
  <c r="AX58" i="10" s="1"/>
  <c r="BF58" i="10" s="1"/>
  <c r="BB58" i="10"/>
  <c r="BD58" i="10" s="1"/>
  <c r="AT13" i="10"/>
  <c r="AX13" i="10" s="1"/>
  <c r="BF13" i="10" s="1"/>
  <c r="BB13" i="10"/>
  <c r="BD13" i="10" s="1"/>
  <c r="BB94" i="10"/>
  <c r="AT9" i="10"/>
  <c r="AX9" i="10" s="1"/>
  <c r="BF9" i="10" s="1"/>
  <c r="AT14" i="10"/>
  <c r="AX14" i="10" s="1"/>
  <c r="BF14" i="10" s="1"/>
  <c r="BB14" i="10"/>
  <c r="BD14" i="10" s="1"/>
  <c r="AT10" i="10"/>
  <c r="AX10" i="10" s="1"/>
  <c r="BF10" i="10" s="1"/>
  <c r="BB10" i="10"/>
  <c r="BD10" i="10" s="1"/>
  <c r="AR96" i="10"/>
  <c r="BB93" i="10"/>
  <c r="BB96" i="10" s="1"/>
  <c r="BB98" i="10"/>
  <c r="BB99" i="10" s="1"/>
  <c r="BB38" i="11"/>
  <c r="BB39" i="11" s="1"/>
  <c r="BB34" i="11"/>
  <c r="BC46" i="45"/>
  <c r="BC50" i="45" s="1"/>
  <c r="AR94" i="10"/>
  <c r="AR98" i="10"/>
  <c r="AS64" i="45"/>
  <c r="BC64" i="45" s="1"/>
  <c r="AS63" i="45"/>
  <c r="BC63" i="45" s="1"/>
  <c r="AS62" i="45"/>
  <c r="BC62" i="45" s="1"/>
  <c r="AU30" i="45"/>
  <c r="AY30" i="45" s="1"/>
  <c r="BE30" i="45" s="1"/>
  <c r="AU32" i="45"/>
  <c r="AY32" i="45" s="1"/>
  <c r="BE32" i="45" s="1"/>
  <c r="AU33" i="45"/>
  <c r="AY33" i="45" s="1"/>
  <c r="BE33" i="45" s="1"/>
  <c r="AU39" i="45"/>
  <c r="AY39" i="45" s="1"/>
  <c r="BE39" i="45" s="1"/>
  <c r="AR52" i="11"/>
  <c r="BB52" i="11" s="1"/>
  <c r="AR51" i="11"/>
  <c r="BB51" i="11" s="1"/>
  <c r="AR50" i="11"/>
  <c r="BB50" i="11" s="1"/>
  <c r="AT9" i="11"/>
  <c r="AX9" i="11" s="1"/>
  <c r="BF9" i="11" s="1"/>
  <c r="AR112" i="10"/>
  <c r="BB112" i="10" s="1"/>
  <c r="AR111" i="10"/>
  <c r="BB111" i="10" s="1"/>
  <c r="AR110" i="10"/>
  <c r="BB110" i="10" s="1"/>
  <c r="BB97" i="10" l="1"/>
  <c r="BB95" i="10"/>
  <c r="BB126" i="10"/>
  <c r="BB113" i="10"/>
  <c r="BB127" i="10"/>
  <c r="BB119" i="10"/>
  <c r="BF32" i="45"/>
  <c r="BB35" i="11"/>
  <c r="BB37" i="11"/>
  <c r="BB66" i="11"/>
  <c r="BB53" i="11"/>
  <c r="BC51" i="45"/>
  <c r="BC49" i="45"/>
  <c r="BC65" i="45"/>
  <c r="BC78" i="45"/>
  <c r="BC47" i="45"/>
  <c r="AS79" i="45"/>
  <c r="AS77" i="45"/>
  <c r="AS75" i="45"/>
  <c r="AS71" i="45"/>
  <c r="AS69" i="45"/>
  <c r="AS76" i="45" s="1"/>
  <c r="AS60" i="45"/>
  <c r="AS58" i="45"/>
  <c r="AR58" i="45"/>
  <c r="AS56" i="45"/>
  <c r="AR56" i="45"/>
  <c r="AS53" i="45"/>
  <c r="AR53" i="45"/>
  <c r="BB53" i="45" s="1"/>
  <c r="BB54" i="45" s="1"/>
  <c r="AS46" i="45"/>
  <c r="AR46" i="45"/>
  <c r="AR82" i="11"/>
  <c r="AR65" i="11"/>
  <c r="AR63" i="11"/>
  <c r="AR57" i="11"/>
  <c r="AR64" i="11" s="1"/>
  <c r="AR48" i="11"/>
  <c r="AR46" i="11"/>
  <c r="AQ46" i="11"/>
  <c r="AR44" i="11"/>
  <c r="AQ44" i="11"/>
  <c r="AQ42" i="11"/>
  <c r="AR41" i="11"/>
  <c r="BB41" i="11" s="1"/>
  <c r="BB42" i="11" s="1"/>
  <c r="AQ41" i="11"/>
  <c r="BA41" i="11" s="1"/>
  <c r="BA42" i="11" s="1"/>
  <c r="AR36" i="11"/>
  <c r="AR59" i="11" s="1"/>
  <c r="AQ34" i="11"/>
  <c r="AR34" i="11"/>
  <c r="AQ85" i="17"/>
  <c r="AQ84" i="17"/>
  <c r="BA84" i="17" s="1"/>
  <c r="AQ83" i="17"/>
  <c r="BA83" i="17" s="1"/>
  <c r="AQ82" i="17"/>
  <c r="BA82" i="17" s="1"/>
  <c r="AR42" i="11" l="1"/>
  <c r="BA85" i="17"/>
  <c r="BA86" i="17" s="1"/>
  <c r="BB130" i="10"/>
  <c r="BB128" i="10"/>
  <c r="BB70" i="11"/>
  <c r="BB68" i="11"/>
  <c r="AS49" i="45"/>
  <c r="AS50" i="45"/>
  <c r="AR54" i="45"/>
  <c r="BC82" i="45"/>
  <c r="BC80" i="45"/>
  <c r="AS54" i="45"/>
  <c r="BC53" i="45"/>
  <c r="BC54" i="45" s="1"/>
  <c r="AR65" i="45"/>
  <c r="BB46" i="45"/>
  <c r="AS61" i="45"/>
  <c r="BC60" i="45"/>
  <c r="BC61" i="45" s="1"/>
  <c r="AQ53" i="11"/>
  <c r="BA34" i="11"/>
  <c r="AR49" i="11"/>
  <c r="BB48" i="11"/>
  <c r="AR49" i="45"/>
  <c r="AS70" i="45"/>
  <c r="AS51" i="45"/>
  <c r="AS47" i="45"/>
  <c r="AS78" i="45"/>
  <c r="AS80" i="45" s="1"/>
  <c r="AS65" i="45"/>
  <c r="AR58" i="11"/>
  <c r="AR66" i="11"/>
  <c r="AR35" i="11"/>
  <c r="AR38" i="11" s="1"/>
  <c r="AR39" i="11" s="1"/>
  <c r="AR37" i="11"/>
  <c r="AR53" i="11"/>
  <c r="AQ37" i="11"/>
  <c r="AR67" i="11"/>
  <c r="BB49" i="11" l="1"/>
  <c r="BB65" i="45"/>
  <c r="BB49" i="45"/>
  <c r="BA53" i="11"/>
  <c r="BA37" i="11"/>
  <c r="AS82" i="45"/>
  <c r="AR68" i="11"/>
  <c r="AR70" i="11"/>
  <c r="AQ51" i="17" l="1"/>
  <c r="BA51" i="17" s="1"/>
  <c r="BA52" i="17" s="1"/>
  <c r="AQ34" i="17"/>
  <c r="AQ9" i="17"/>
  <c r="BA9" i="17" s="1"/>
  <c r="AQ8" i="17"/>
  <c r="BA8" i="17" s="1"/>
  <c r="AP113" i="17"/>
  <c r="AQ81" i="17"/>
  <c r="AP81" i="17"/>
  <c r="AQ77" i="17"/>
  <c r="AP77" i="17"/>
  <c r="AQ66" i="17"/>
  <c r="AQ68" i="17" s="1"/>
  <c r="AP66" i="17"/>
  <c r="AP68" i="17" s="1"/>
  <c r="AQ58" i="17"/>
  <c r="AP57" i="17"/>
  <c r="AZ57" i="17" s="1"/>
  <c r="AP56" i="17"/>
  <c r="AQ52" i="17"/>
  <c r="AP51" i="17"/>
  <c r="AZ51" i="17" s="1"/>
  <c r="AP50" i="17"/>
  <c r="AP111" i="17" s="1"/>
  <c r="AP115" i="17" s="1"/>
  <c r="AQ48" i="17"/>
  <c r="AP47" i="17"/>
  <c r="AZ47" i="17" s="1"/>
  <c r="AQ46" i="17"/>
  <c r="AP45" i="17"/>
  <c r="AZ45" i="17" s="1"/>
  <c r="AQ43" i="17"/>
  <c r="AP43" i="17"/>
  <c r="AZ43" i="17" s="1"/>
  <c r="AQ42" i="17"/>
  <c r="AQ40" i="17"/>
  <c r="AQ38" i="17"/>
  <c r="AP25" i="17"/>
  <c r="AZ25" i="17" s="1"/>
  <c r="AQ21" i="17"/>
  <c r="AP18" i="17"/>
  <c r="AZ18" i="17" s="1"/>
  <c r="AP17" i="17"/>
  <c r="AZ17" i="17" s="1"/>
  <c r="AP15" i="17"/>
  <c r="AP14" i="17"/>
  <c r="AQ13" i="17"/>
  <c r="AQ11" i="17"/>
  <c r="AQ10" i="17"/>
  <c r="AP8" i="17"/>
  <c r="AP10" i="17" s="1"/>
  <c r="AR9" i="26"/>
  <c r="AQ94" i="26"/>
  <c r="AP94" i="26"/>
  <c r="AQ92" i="26"/>
  <c r="AP92" i="26"/>
  <c r="AQ78" i="26"/>
  <c r="BA67" i="26" s="1"/>
  <c r="AP78" i="26"/>
  <c r="AQ65" i="26"/>
  <c r="AP63" i="26"/>
  <c r="AP65" i="26" s="1"/>
  <c r="AP61" i="26"/>
  <c r="AP60" i="26"/>
  <c r="AQ59" i="26"/>
  <c r="AQ61" i="26" s="1"/>
  <c r="AQ54" i="26"/>
  <c r="AQ55" i="26" s="1"/>
  <c r="AP54" i="26"/>
  <c r="AP55" i="26" s="1"/>
  <c r="AQ38" i="26"/>
  <c r="AQ43" i="26" s="1"/>
  <c r="AP38" i="26"/>
  <c r="AP39" i="26" s="1"/>
  <c r="AQ34" i="26"/>
  <c r="AP34" i="26"/>
  <c r="AP11" i="26"/>
  <c r="AQ9" i="26"/>
  <c r="AQ13" i="26" s="1"/>
  <c r="AP9" i="26"/>
  <c r="AP14" i="26" s="1"/>
  <c r="AQ38" i="27"/>
  <c r="BA38" i="27" s="1"/>
  <c r="AQ36" i="27"/>
  <c r="BA36" i="27" s="1"/>
  <c r="AQ30" i="27"/>
  <c r="AQ28" i="27"/>
  <c r="BA28" i="27" s="1"/>
  <c r="AQ23" i="27"/>
  <c r="BA23" i="27" s="1"/>
  <c r="AQ20" i="27"/>
  <c r="BA20" i="27" s="1"/>
  <c r="AQ19" i="27"/>
  <c r="BA19" i="27" s="1"/>
  <c r="AQ18" i="27"/>
  <c r="BA18" i="27" s="1"/>
  <c r="AZ52" i="17" l="1"/>
  <c r="AZ113" i="17" s="1"/>
  <c r="BA112" i="17"/>
  <c r="BA10" i="17"/>
  <c r="BA12" i="17"/>
  <c r="AP29" i="17"/>
  <c r="AZ15" i="17"/>
  <c r="AZ49" i="17"/>
  <c r="AZ44" i="17"/>
  <c r="AZ48" i="17"/>
  <c r="BA13" i="17"/>
  <c r="AZ21" i="17"/>
  <c r="AZ32" i="17" s="1"/>
  <c r="AQ44" i="17"/>
  <c r="BA43" i="17"/>
  <c r="AP58" i="17"/>
  <c r="AP61" i="17" s="1"/>
  <c r="AZ56" i="17"/>
  <c r="AP112" i="17"/>
  <c r="AZ8" i="17"/>
  <c r="AZ46" i="17"/>
  <c r="BA89" i="26"/>
  <c r="BA88" i="26"/>
  <c r="BA87" i="26"/>
  <c r="BA86" i="26"/>
  <c r="BA85" i="26"/>
  <c r="BA84" i="26"/>
  <c r="BA83" i="26"/>
  <c r="BA82" i="26"/>
  <c r="BA81" i="26"/>
  <c r="BA80" i="26"/>
  <c r="BA90" i="26"/>
  <c r="BA91" i="26"/>
  <c r="AQ15" i="17"/>
  <c r="BA15" i="17" s="1"/>
  <c r="BA34" i="17"/>
  <c r="AQ61" i="17"/>
  <c r="BA89" i="17"/>
  <c r="AQ112" i="17"/>
  <c r="AP10" i="26"/>
  <c r="AP21" i="17"/>
  <c r="AZ34" i="17" s="1"/>
  <c r="AP49" i="17"/>
  <c r="AP53" i="17" s="1"/>
  <c r="AP54" i="17"/>
  <c r="AQ49" i="17"/>
  <c r="AQ110" i="17" s="1"/>
  <c r="AQ114" i="17" s="1"/>
  <c r="AP32" i="17"/>
  <c r="AP110" i="17"/>
  <c r="AQ32" i="17"/>
  <c r="AQ30" i="17"/>
  <c r="AQ29" i="17"/>
  <c r="AP59" i="17"/>
  <c r="AQ12" i="17"/>
  <c r="AQ113" i="17" s="1"/>
  <c r="AQ59" i="17"/>
  <c r="AQ39" i="26"/>
  <c r="BA36" i="26" s="1"/>
  <c r="AQ42" i="26"/>
  <c r="AQ10" i="26"/>
  <c r="BA6" i="26" s="1"/>
  <c r="AQ14" i="26"/>
  <c r="AP43" i="26"/>
  <c r="AQ60" i="26"/>
  <c r="AZ29" i="17" l="1"/>
  <c r="AZ53" i="17"/>
  <c r="AZ110" i="17"/>
  <c r="AZ114" i="17" s="1"/>
  <c r="BA113" i="17"/>
  <c r="BA14" i="17"/>
  <c r="AZ58" i="17"/>
  <c r="BA44" i="17"/>
  <c r="BA49" i="17"/>
  <c r="AP114" i="17"/>
  <c r="AZ112" i="17"/>
  <c r="AZ10" i="17"/>
  <c r="AZ31" i="17"/>
  <c r="AZ33" i="17"/>
  <c r="AZ30" i="17"/>
  <c r="AZ50" i="17"/>
  <c r="BA92" i="26"/>
  <c r="AQ33" i="17"/>
  <c r="AP30" i="17"/>
  <c r="AP31" i="17"/>
  <c r="BA29" i="17"/>
  <c r="BA32" i="17"/>
  <c r="BA33" i="17"/>
  <c r="BA30" i="17"/>
  <c r="BA31" i="17"/>
  <c r="AQ31" i="17"/>
  <c r="AP33" i="17"/>
  <c r="AQ50" i="17"/>
  <c r="AQ111" i="17" s="1"/>
  <c r="AQ115" i="17" s="1"/>
  <c r="AQ53" i="17"/>
  <c r="AQ54" i="17" s="1"/>
  <c r="AQ14" i="17"/>
  <c r="AP40" i="27"/>
  <c r="AQ37" i="27"/>
  <c r="AP34" i="27"/>
  <c r="AQ32" i="27"/>
  <c r="BA32" i="27" s="1"/>
  <c r="AQ31" i="27"/>
  <c r="BA31" i="27" s="1"/>
  <c r="AQ29" i="27"/>
  <c r="BA29" i="27" s="1"/>
  <c r="AQ27" i="27"/>
  <c r="BA27" i="27" s="1"/>
  <c r="AP25" i="27"/>
  <c r="AQ22" i="27"/>
  <c r="AQ21" i="27"/>
  <c r="BA21" i="27" s="1"/>
  <c r="AQ40" i="27" l="1"/>
  <c r="BA37" i="27"/>
  <c r="BA50" i="17"/>
  <c r="BA111" i="17" s="1"/>
  <c r="BA115" i="17" s="1"/>
  <c r="BA110" i="17"/>
  <c r="BA114" i="17" s="1"/>
  <c r="BA53" i="17"/>
  <c r="BA54" i="17" s="1"/>
  <c r="AZ61" i="17"/>
  <c r="AZ59" i="17"/>
  <c r="AQ25" i="27"/>
  <c r="BA22" i="27"/>
  <c r="BA25" i="27" s="1"/>
  <c r="BA34" i="27"/>
  <c r="AZ54" i="17"/>
  <c r="AZ111" i="17"/>
  <c r="AZ115" i="17" s="1"/>
  <c r="AQ34" i="27"/>
  <c r="AV94" i="38"/>
  <c r="AV93" i="38"/>
  <c r="AV92" i="38"/>
  <c r="AV91" i="38"/>
  <c r="AU90" i="38"/>
  <c r="AV89" i="38"/>
  <c r="AU88" i="38"/>
  <c r="AV86" i="38"/>
  <c r="AV85" i="38"/>
  <c r="AV84" i="38"/>
  <c r="AV83" i="38"/>
  <c r="AU82" i="38"/>
  <c r="AV80" i="38"/>
  <c r="AV79" i="38"/>
  <c r="AV78" i="38"/>
  <c r="AV77" i="38"/>
  <c r="AV76" i="38"/>
  <c r="AV75" i="38"/>
  <c r="AV74" i="38"/>
  <c r="AV73" i="38"/>
  <c r="AV72" i="38"/>
  <c r="AV71" i="38"/>
  <c r="AV70" i="38"/>
  <c r="AV69" i="38"/>
  <c r="AV68" i="38"/>
  <c r="AV67" i="38"/>
  <c r="AU66" i="38"/>
  <c r="AV62" i="38"/>
  <c r="AV61" i="38"/>
  <c r="AU60" i="38"/>
  <c r="AV59" i="38"/>
  <c r="AV58" i="38"/>
  <c r="AV57" i="38"/>
  <c r="AV56" i="38"/>
  <c r="AV55" i="38"/>
  <c r="AU54" i="38"/>
  <c r="AU52" i="38"/>
  <c r="AV51" i="38"/>
  <c r="AU51" i="38"/>
  <c r="AU46" i="38"/>
  <c r="BE46" i="38" s="1"/>
  <c r="AU45" i="38"/>
  <c r="BE45" i="38" s="1"/>
  <c r="AU44" i="38"/>
  <c r="BE44" i="38" s="1"/>
  <c r="AU43" i="38"/>
  <c r="BE43" i="38" s="1"/>
  <c r="AV42" i="38"/>
  <c r="AU41" i="38"/>
  <c r="AV40" i="38"/>
  <c r="BF40" i="38" s="1"/>
  <c r="AU38" i="38"/>
  <c r="BE38" i="38" s="1"/>
  <c r="AU37" i="38"/>
  <c r="BE37" i="38" s="1"/>
  <c r="AU36" i="38"/>
  <c r="BE36" i="38" s="1"/>
  <c r="AU35" i="38"/>
  <c r="BE35" i="38" s="1"/>
  <c r="AV34" i="38"/>
  <c r="AU32" i="38"/>
  <c r="BE32" i="38" s="1"/>
  <c r="AU31" i="38"/>
  <c r="BE31" i="38" s="1"/>
  <c r="AU30" i="38"/>
  <c r="BE30" i="38" s="1"/>
  <c r="AU29" i="38"/>
  <c r="BE29" i="38" s="1"/>
  <c r="AU28" i="38"/>
  <c r="BE28" i="38" s="1"/>
  <c r="AU27" i="38"/>
  <c r="AU26" i="38"/>
  <c r="AU25" i="38"/>
  <c r="BE25" i="38" s="1"/>
  <c r="AU24" i="38"/>
  <c r="BE24" i="38" s="1"/>
  <c r="AU23" i="38"/>
  <c r="BE23" i="38" s="1"/>
  <c r="AU22" i="38"/>
  <c r="BE22" i="38" s="1"/>
  <c r="AU21" i="38"/>
  <c r="BE21" i="38" s="1"/>
  <c r="AU20" i="38"/>
  <c r="BE20" i="38" s="1"/>
  <c r="AU19" i="38"/>
  <c r="BE19" i="38" s="1"/>
  <c r="AV18" i="38"/>
  <c r="AU14" i="38"/>
  <c r="AU13" i="38"/>
  <c r="BE13" i="38" s="1"/>
  <c r="AV12" i="38"/>
  <c r="AU11" i="38"/>
  <c r="BE11" i="38" s="1"/>
  <c r="AU10" i="38"/>
  <c r="BE10" i="38" s="1"/>
  <c r="AU9" i="38"/>
  <c r="BE9" i="38" s="1"/>
  <c r="AU8" i="38"/>
  <c r="BE8" i="38" s="1"/>
  <c r="AU7" i="38"/>
  <c r="BE7" i="38" s="1"/>
  <c r="AV6" i="38"/>
  <c r="BE59" i="38" l="1"/>
  <c r="BE70" i="38"/>
  <c r="AQ48" i="11"/>
  <c r="BE26" i="38"/>
  <c r="BE56" i="38"/>
  <c r="AV60" i="38"/>
  <c r="BF12" i="38"/>
  <c r="BE67" i="38"/>
  <c r="BE71" i="38"/>
  <c r="AR60" i="45"/>
  <c r="BB60" i="45" s="1"/>
  <c r="BB61" i="45" s="1"/>
  <c r="BE27" i="38"/>
  <c r="BE79" i="38"/>
  <c r="BE84" i="38"/>
  <c r="AU40" i="38"/>
  <c r="BE40" i="38" s="1"/>
  <c r="BE41" i="38"/>
  <c r="BE93" i="38"/>
  <c r="BE57" i="38"/>
  <c r="BE72" i="38"/>
  <c r="BE85" i="38"/>
  <c r="BE94" i="38"/>
  <c r="BE55" i="38"/>
  <c r="BE61" i="38"/>
  <c r="BE68" i="38"/>
  <c r="BE76" i="38"/>
  <c r="BE80" i="38"/>
  <c r="AV90" i="38"/>
  <c r="BF42" i="38"/>
  <c r="AV54" i="38"/>
  <c r="BF6" i="38"/>
  <c r="BE58" i="38"/>
  <c r="AU12" i="38"/>
  <c r="BE12" i="38" s="1"/>
  <c r="BE14" i="38"/>
  <c r="BE69" i="38"/>
  <c r="BE73" i="38"/>
  <c r="BE77" i="38"/>
  <c r="AV82" i="38"/>
  <c r="BF34" i="38"/>
  <c r="BE86" i="38"/>
  <c r="BE91" i="38"/>
  <c r="BA40" i="27"/>
  <c r="AV17" i="38"/>
  <c r="BF18" i="38"/>
  <c r="BE78" i="38"/>
  <c r="BE83" i="38"/>
  <c r="BF88" i="38"/>
  <c r="BE92" i="38"/>
  <c r="AR61" i="45"/>
  <c r="AQ49" i="11"/>
  <c r="BA48" i="11"/>
  <c r="AV39" i="38"/>
  <c r="AU87" i="38"/>
  <c r="AU64" i="38" s="1"/>
  <c r="AU42" i="38"/>
  <c r="AU34" i="38"/>
  <c r="BE34" i="38" s="1"/>
  <c r="AU18" i="38"/>
  <c r="BE18" i="38" s="1"/>
  <c r="AU63" i="38"/>
  <c r="AU6" i="38"/>
  <c r="AV65" i="38"/>
  <c r="AV66" i="38"/>
  <c r="AV88" i="38"/>
  <c r="AV15" i="38"/>
  <c r="BE66" i="38" l="1"/>
  <c r="BF90" i="38"/>
  <c r="BE75" i="38"/>
  <c r="AV87" i="38"/>
  <c r="BF39" i="38"/>
  <c r="AV63" i="38"/>
  <c r="BF15" i="38"/>
  <c r="BE82" i="38"/>
  <c r="AU15" i="38"/>
  <c r="BE15" i="38" s="1"/>
  <c r="BE6" i="38"/>
  <c r="AU39" i="38"/>
  <c r="BE39" i="38" s="1"/>
  <c r="BE42" i="38"/>
  <c r="BF66" i="38"/>
  <c r="BF82" i="38"/>
  <c r="BE62" i="38"/>
  <c r="BF54" i="38"/>
  <c r="BE89" i="38"/>
  <c r="BF60" i="38"/>
  <c r="BE74" i="38"/>
  <c r="AV16" i="38"/>
  <c r="BF17" i="38"/>
  <c r="BE60" i="38"/>
  <c r="BE88" i="38"/>
  <c r="BA49" i="11"/>
  <c r="AU17" i="38"/>
  <c r="BE90" i="38" l="1"/>
  <c r="BF87" i="38"/>
  <c r="AU16" i="38"/>
  <c r="BE16" i="38" s="1"/>
  <c r="BE17" i="38"/>
  <c r="AV64" i="38"/>
  <c r="BF16" i="38"/>
  <c r="BE87" i="38"/>
  <c r="BF63" i="38"/>
  <c r="BE54" i="38"/>
  <c r="BF65" i="38"/>
  <c r="BE63" i="38"/>
  <c r="AR63" i="22"/>
  <c r="AR58" i="22"/>
  <c r="AR52" i="22"/>
  <c r="AR44" i="22"/>
  <c r="AR33" i="22"/>
  <c r="AQ33" i="22"/>
  <c r="AQ21" i="22" s="1"/>
  <c r="BA21" i="22" s="1"/>
  <c r="AR28" i="22"/>
  <c r="AR64" i="22" s="1"/>
  <c r="AR24" i="22"/>
  <c r="BB24" i="22" s="1"/>
  <c r="AR23" i="22"/>
  <c r="AR51" i="22" s="1"/>
  <c r="AR14" i="22"/>
  <c r="AR59" i="22" s="1"/>
  <c r="AR60" i="22" s="1"/>
  <c r="AR10" i="22"/>
  <c r="BB10" i="22" s="1"/>
  <c r="AR9" i="22"/>
  <c r="AR43" i="22" s="1"/>
  <c r="AR45" i="22" s="1"/>
  <c r="AQ10" i="15"/>
  <c r="BA10" i="15" s="1"/>
  <c r="AP18" i="15"/>
  <c r="AQ17" i="15"/>
  <c r="AP17" i="15"/>
  <c r="AQ14" i="15"/>
  <c r="AQ16" i="15" s="1"/>
  <c r="AP11" i="15"/>
  <c r="AQ9" i="15"/>
  <c r="AP9" i="15"/>
  <c r="AQ8" i="15"/>
  <c r="AP8" i="15"/>
  <c r="AQ7" i="15"/>
  <c r="AP7" i="15"/>
  <c r="AQ6" i="15"/>
  <c r="AP6" i="15"/>
  <c r="AQ5" i="15"/>
  <c r="AP5" i="15"/>
  <c r="AR125" i="10"/>
  <c r="AR123" i="10"/>
  <c r="AR117" i="10"/>
  <c r="AR118" i="10" s="1"/>
  <c r="AR108" i="10"/>
  <c r="AQ108" i="10"/>
  <c r="AR106" i="10"/>
  <c r="AQ106" i="10"/>
  <c r="AR104" i="10"/>
  <c r="AQ104" i="10"/>
  <c r="AR101" i="10"/>
  <c r="AQ101" i="10"/>
  <c r="AR119" i="10"/>
  <c r="AQ94" i="10"/>
  <c r="AR95" i="10"/>
  <c r="AQ93" i="9"/>
  <c r="BA93" i="9" s="1"/>
  <c r="AQ92" i="9"/>
  <c r="BA92" i="9" s="1"/>
  <c r="AQ33" i="9"/>
  <c r="AS85" i="9"/>
  <c r="AQ163" i="9"/>
  <c r="AQ165" i="9" s="1"/>
  <c r="AQ166" i="9" s="1"/>
  <c r="AQ134" i="9"/>
  <c r="AQ135" i="9" s="1"/>
  <c r="AQ129" i="9"/>
  <c r="BA129" i="9" s="1"/>
  <c r="AQ128" i="9"/>
  <c r="BA128" i="9" s="1"/>
  <c r="AQ94" i="9"/>
  <c r="BA94" i="9" s="1"/>
  <c r="AP94" i="9"/>
  <c r="AQ91" i="9"/>
  <c r="AP90" i="9"/>
  <c r="AZ90" i="9" s="1"/>
  <c r="AQ89" i="9"/>
  <c r="AQ18" i="15" s="1"/>
  <c r="AQ88" i="9"/>
  <c r="AP87" i="9"/>
  <c r="AZ87" i="9" s="1"/>
  <c r="AQ85" i="9"/>
  <c r="AQ83" i="9"/>
  <c r="AP70" i="9"/>
  <c r="AP66" i="9"/>
  <c r="AZ66" i="9" s="1"/>
  <c r="AP65" i="9"/>
  <c r="AZ65" i="9" s="1"/>
  <c r="AP64" i="9"/>
  <c r="AZ64" i="9" s="1"/>
  <c r="AP63" i="9"/>
  <c r="AZ63" i="9" s="1"/>
  <c r="AP62" i="9"/>
  <c r="AZ62" i="9" s="1"/>
  <c r="AP61" i="9"/>
  <c r="AZ61" i="9" s="1"/>
  <c r="AP60" i="9"/>
  <c r="AZ60" i="9" s="1"/>
  <c r="AP59" i="9"/>
  <c r="AZ59" i="9" s="1"/>
  <c r="AP57" i="9"/>
  <c r="AZ57" i="9" s="1"/>
  <c r="AP56" i="9"/>
  <c r="AZ56" i="9" s="1"/>
  <c r="AQ55" i="9"/>
  <c r="AP53" i="9"/>
  <c r="AP45" i="9"/>
  <c r="AZ45" i="9" s="1"/>
  <c r="AQ44" i="9"/>
  <c r="AQ38" i="9"/>
  <c r="AQ46" i="9" s="1"/>
  <c r="BA46" i="9" s="1"/>
  <c r="AQ37" i="9"/>
  <c r="AQ45" i="9" s="1"/>
  <c r="BA45" i="9" s="1"/>
  <c r="AQ36" i="9"/>
  <c r="AP29" i="9"/>
  <c r="AZ29" i="9" s="1"/>
  <c r="AQ27" i="9"/>
  <c r="AQ28" i="9" s="1"/>
  <c r="AP26" i="9"/>
  <c r="AZ26" i="9" s="1"/>
  <c r="AP24" i="9"/>
  <c r="AZ24" i="9" s="1"/>
  <c r="AQ21" i="9"/>
  <c r="BA21" i="9" s="1"/>
  <c r="AQ10" i="9"/>
  <c r="AQ14" i="9" s="1"/>
  <c r="BA14" i="9" s="1"/>
  <c r="AP7" i="9"/>
  <c r="AQ83" i="8"/>
  <c r="BA83" i="8" s="1"/>
  <c r="AQ82" i="8"/>
  <c r="BA82" i="8" s="1"/>
  <c r="AN27" i="39"/>
  <c r="BD27" i="39" s="1"/>
  <c r="Z27" i="39"/>
  <c r="J27" i="39"/>
  <c r="N27" i="39" s="1"/>
  <c r="R27" i="39" s="1"/>
  <c r="V27" i="39" s="1"/>
  <c r="AB27" i="39" s="1"/>
  <c r="AF27" i="39" s="1"/>
  <c r="AJ27" i="39" s="1"/>
  <c r="AP27" i="39" s="1"/>
  <c r="AT27" i="39" s="1"/>
  <c r="AX27" i="39" s="1"/>
  <c r="BF27" i="39" s="1"/>
  <c r="AZ81" i="9" l="1"/>
  <c r="AZ74" i="9"/>
  <c r="BA84" i="9"/>
  <c r="BA86" i="9" s="1"/>
  <c r="AZ71" i="9"/>
  <c r="AZ76" i="9"/>
  <c r="AZ80" i="9"/>
  <c r="AZ91" i="9"/>
  <c r="AR102" i="10"/>
  <c r="BB101" i="10"/>
  <c r="BB102" i="10" s="1"/>
  <c r="BF64" i="38"/>
  <c r="AZ72" i="9"/>
  <c r="AZ69" i="9"/>
  <c r="AZ51" i="9"/>
  <c r="AZ73" i="9"/>
  <c r="AZ88" i="9"/>
  <c r="AZ89" i="9"/>
  <c r="AZ18" i="15" s="1"/>
  <c r="AP55" i="9"/>
  <c r="AZ53" i="9"/>
  <c r="BB26" i="22"/>
  <c r="BE65" i="38"/>
  <c r="AZ27" i="9"/>
  <c r="AZ77" i="9"/>
  <c r="BA47" i="9"/>
  <c r="AZ78" i="9"/>
  <c r="AZ75" i="9"/>
  <c r="AZ79" i="9"/>
  <c r="AQ102" i="10"/>
  <c r="BA101" i="10"/>
  <c r="BA102" i="10" s="1"/>
  <c r="BB12" i="22"/>
  <c r="BE64" i="38"/>
  <c r="AP12" i="15"/>
  <c r="AP13" i="15" s="1"/>
  <c r="AZ11" i="15"/>
  <c r="BA95" i="9"/>
  <c r="AR109" i="10"/>
  <c r="BB108" i="10"/>
  <c r="AQ97" i="10"/>
  <c r="BA94" i="10"/>
  <c r="AQ109" i="10"/>
  <c r="BA108" i="10"/>
  <c r="BA109" i="10" s="1"/>
  <c r="AR65" i="22"/>
  <c r="AP95" i="9"/>
  <c r="AZ94" i="9"/>
  <c r="AP14" i="15"/>
  <c r="AP15" i="15" s="1"/>
  <c r="AP27" i="9"/>
  <c r="AP82" i="9" s="1"/>
  <c r="AQ130" i="9"/>
  <c r="AQ7" i="22"/>
  <c r="AR127" i="10"/>
  <c r="AR53" i="22"/>
  <c r="AR55" i="22" s="1"/>
  <c r="AR56" i="22" s="1"/>
  <c r="AR26" i="22"/>
  <c r="AR12" i="22"/>
  <c r="AQ95" i="9"/>
  <c r="AR61" i="22"/>
  <c r="AR47" i="22"/>
  <c r="AR48" i="22" s="1"/>
  <c r="AR66" i="22"/>
  <c r="AQ22" i="22"/>
  <c r="AR97" i="10"/>
  <c r="AR113" i="10"/>
  <c r="AR126" i="10"/>
  <c r="AR99" i="10"/>
  <c r="AR124" i="10"/>
  <c r="AQ113" i="10"/>
  <c r="AQ47" i="9"/>
  <c r="AQ80" i="9" s="1"/>
  <c r="AQ39" i="9"/>
  <c r="AQ84" i="9"/>
  <c r="AQ86" i="9" s="1"/>
  <c r="AP28" i="9"/>
  <c r="AQ170" i="9"/>
  <c r="BA69" i="9" l="1"/>
  <c r="BA81" i="9"/>
  <c r="BA77" i="9"/>
  <c r="BA76" i="9"/>
  <c r="BA73" i="9"/>
  <c r="BA51" i="9"/>
  <c r="BA80" i="9"/>
  <c r="BA79" i="9"/>
  <c r="BA75" i="9"/>
  <c r="BA71" i="9"/>
  <c r="BA68" i="9"/>
  <c r="BA78" i="9"/>
  <c r="BA74" i="9"/>
  <c r="BA72" i="9"/>
  <c r="BA50" i="9"/>
  <c r="BA70" i="9"/>
  <c r="AZ50" i="9"/>
  <c r="AZ7" i="9" s="1"/>
  <c r="AZ82" i="9"/>
  <c r="AZ28" i="9"/>
  <c r="AZ55" i="9"/>
  <c r="AZ68" i="9"/>
  <c r="AZ12" i="15"/>
  <c r="AZ13" i="15" s="1"/>
  <c r="AQ8" i="22"/>
  <c r="BA8" i="22" s="1"/>
  <c r="BA7" i="22"/>
  <c r="AQ24" i="22"/>
  <c r="BA22" i="22"/>
  <c r="BB109" i="10"/>
  <c r="AZ95" i="9"/>
  <c r="BA113" i="10"/>
  <c r="BA97" i="10"/>
  <c r="AQ131" i="9"/>
  <c r="BA130" i="9"/>
  <c r="AR128" i="10"/>
  <c r="AQ10" i="22"/>
  <c r="AR130" i="10"/>
  <c r="AQ75" i="9"/>
  <c r="AQ72" i="9"/>
  <c r="AQ78" i="9"/>
  <c r="AQ73" i="9"/>
  <c r="AQ71" i="9"/>
  <c r="AQ77" i="9"/>
  <c r="AQ74" i="9"/>
  <c r="AQ69" i="9"/>
  <c r="AQ81" i="9"/>
  <c r="AQ50" i="9"/>
  <c r="AQ79" i="9"/>
  <c r="AQ76" i="9"/>
  <c r="AQ70" i="9"/>
  <c r="AQ68" i="9"/>
  <c r="AQ51" i="9"/>
  <c r="AQ71" i="7"/>
  <c r="BA71" i="7" s="1"/>
  <c r="AZ70" i="9" l="1"/>
  <c r="BA23" i="22"/>
  <c r="BA9" i="22"/>
  <c r="AQ11" i="22"/>
  <c r="BA10" i="22"/>
  <c r="AQ25" i="22"/>
  <c r="BA24" i="22"/>
  <c r="BA131" i="9"/>
  <c r="AQ181" i="6"/>
  <c r="BA181" i="6" s="1"/>
  <c r="AQ180" i="6"/>
  <c r="BA180" i="6" s="1"/>
  <c r="AQ154" i="6"/>
  <c r="BA154" i="6" s="1"/>
  <c r="AQ22" i="21"/>
  <c r="AQ21" i="21"/>
  <c r="AQ13" i="22" l="1"/>
  <c r="BA13" i="22" s="1"/>
  <c r="BA11" i="22"/>
  <c r="AQ27" i="22"/>
  <c r="BA27" i="22" s="1"/>
  <c r="BA25" i="22"/>
  <c r="AQ10" i="35"/>
  <c r="BA10" i="35" s="1"/>
  <c r="BA5" i="36" s="1"/>
  <c r="AS73" i="8"/>
  <c r="AS55" i="8"/>
  <c r="AS54" i="8"/>
  <c r="AS53" i="8"/>
  <c r="AS52" i="8"/>
  <c r="AS51" i="8"/>
  <c r="AQ146" i="8"/>
  <c r="AQ147" i="8" s="1"/>
  <c r="AQ31" i="48" s="1"/>
  <c r="AQ134" i="8"/>
  <c r="AQ135" i="8" s="1"/>
  <c r="AQ34" i="48" s="1"/>
  <c r="AQ114" i="8"/>
  <c r="BA114" i="8" s="1"/>
  <c r="AQ91" i="8"/>
  <c r="BA91" i="8" s="1"/>
  <c r="AQ85" i="8"/>
  <c r="BA85" i="8" s="1"/>
  <c r="AP85" i="8"/>
  <c r="AZ85" i="8" s="1"/>
  <c r="AQ73" i="8"/>
  <c r="AP73" i="8"/>
  <c r="AQ68" i="8"/>
  <c r="AQ66" i="8"/>
  <c r="AQ63" i="8"/>
  <c r="BA63" i="8" s="1"/>
  <c r="AQ62" i="8"/>
  <c r="BA62" i="8" s="1"/>
  <c r="AQ60" i="8"/>
  <c r="AQ55" i="8"/>
  <c r="AQ54" i="8"/>
  <c r="AQ53" i="8"/>
  <c r="AQ52" i="8"/>
  <c r="AQ51" i="8"/>
  <c r="AP50" i="8"/>
  <c r="AQ46" i="8"/>
  <c r="AP46" i="8"/>
  <c r="AP39" i="8"/>
  <c r="AP38" i="8"/>
  <c r="AP37" i="8"/>
  <c r="AQ33" i="8"/>
  <c r="BA33" i="8" s="1"/>
  <c r="AQ26" i="8"/>
  <c r="AQ21" i="8"/>
  <c r="BA21" i="8" s="1"/>
  <c r="AP19" i="8"/>
  <c r="AZ19" i="8" s="1"/>
  <c r="AQ17" i="8"/>
  <c r="BA17" i="8" s="1"/>
  <c r="AQ15" i="8"/>
  <c r="BA15" i="8" s="1"/>
  <c r="AQ14" i="8"/>
  <c r="BA14" i="8" s="1"/>
  <c r="AQ13" i="8"/>
  <c r="BA13" i="8" s="1"/>
  <c r="AP13" i="8"/>
  <c r="AQ12" i="8"/>
  <c r="AQ5" i="8"/>
  <c r="AP5" i="8"/>
  <c r="AR7" i="48"/>
  <c r="AR6" i="48"/>
  <c r="AQ55" i="48"/>
  <c r="AQ54" i="48"/>
  <c r="AQ53" i="48"/>
  <c r="AQ52" i="48"/>
  <c r="AQ51" i="48"/>
  <c r="AQ50" i="48"/>
  <c r="AQ49" i="48"/>
  <c r="AQ48" i="48"/>
  <c r="AQ47" i="48"/>
  <c r="AQ46" i="48"/>
  <c r="AQ45" i="48"/>
  <c r="AQ44" i="48"/>
  <c r="AQ43" i="48"/>
  <c r="AQ42" i="48"/>
  <c r="AQ40" i="48"/>
  <c r="AQ37" i="48"/>
  <c r="AQ26" i="48"/>
  <c r="AQ21" i="48"/>
  <c r="AP7" i="48"/>
  <c r="AP6" i="48"/>
  <c r="AS16" i="39"/>
  <c r="AR16" i="39"/>
  <c r="AQ125" i="7"/>
  <c r="AQ127" i="7" s="1"/>
  <c r="AQ128" i="7" s="1"/>
  <c r="AQ27" i="48" s="1"/>
  <c r="AQ119" i="7"/>
  <c r="AQ121" i="7" s="1"/>
  <c r="AQ122" i="7" s="1"/>
  <c r="AQ22" i="48" s="1"/>
  <c r="AQ69" i="7"/>
  <c r="BA69" i="7" s="1"/>
  <c r="AP69" i="7"/>
  <c r="AZ69" i="7" s="1"/>
  <c r="AQ62" i="7"/>
  <c r="AP62" i="7"/>
  <c r="AQ58" i="7"/>
  <c r="BA58" i="7" s="1"/>
  <c r="AP58" i="7"/>
  <c r="AQ54" i="7"/>
  <c r="AP54" i="7"/>
  <c r="AQ16" i="7"/>
  <c r="AQ30" i="7" s="1"/>
  <c r="BA30" i="7" s="1"/>
  <c r="AP16" i="7"/>
  <c r="AQ1" i="7"/>
  <c r="BA1" i="7" s="1"/>
  <c r="AP1" i="7"/>
  <c r="AZ1" i="7" s="1"/>
  <c r="AZ67" i="7" s="1"/>
  <c r="AQ60" i="7" l="1"/>
  <c r="BA118" i="8"/>
  <c r="AQ71" i="8"/>
  <c r="BA66" i="8"/>
  <c r="AP60" i="7"/>
  <c r="AZ58" i="7"/>
  <c r="AP16" i="8"/>
  <c r="AZ13" i="8"/>
  <c r="AQ64" i="8"/>
  <c r="BA60" i="8"/>
  <c r="AQ72" i="8"/>
  <c r="BA68" i="8"/>
  <c r="BA60" i="7"/>
  <c r="AP40" i="8"/>
  <c r="BA14" i="22"/>
  <c r="BA29" i="22"/>
  <c r="BA26" i="22"/>
  <c r="BA28" i="22"/>
  <c r="BA15" i="22"/>
  <c r="BA12" i="22"/>
  <c r="AZ70" i="7"/>
  <c r="BA70" i="7"/>
  <c r="AP30" i="8"/>
  <c r="AZ30" i="8" s="1"/>
  <c r="AZ5" i="8"/>
  <c r="BA5" i="8"/>
  <c r="BA67" i="7"/>
  <c r="BA41" i="7"/>
  <c r="BA39" i="7"/>
  <c r="AP36" i="7"/>
  <c r="AZ72" i="7"/>
  <c r="AQ104" i="7"/>
  <c r="AQ105" i="7" s="1"/>
  <c r="BA87" i="7"/>
  <c r="BA88" i="7"/>
  <c r="BA72" i="7"/>
  <c r="BA93" i="7"/>
  <c r="BA94" i="7"/>
  <c r="BA91" i="7"/>
  <c r="BA92" i="7"/>
  <c r="BA89" i="7"/>
  <c r="BA90" i="7"/>
  <c r="AR8" i="48"/>
  <c r="BA11" i="35"/>
  <c r="AQ23" i="7"/>
  <c r="AQ78" i="7" s="1"/>
  <c r="AQ20" i="7"/>
  <c r="AQ27" i="7"/>
  <c r="AQ77" i="7" s="1"/>
  <c r="AP8" i="48"/>
  <c r="AQ41" i="8"/>
  <c r="AQ127" i="9"/>
  <c r="AQ47" i="7"/>
  <c r="AQ68" i="7"/>
  <c r="AQ24" i="7"/>
  <c r="AQ79" i="7" s="1"/>
  <c r="AQ56" i="7"/>
  <c r="AQ18" i="7"/>
  <c r="AQ25" i="7"/>
  <c r="AQ80" i="7" s="1"/>
  <c r="AQ44" i="7"/>
  <c r="AQ49" i="7"/>
  <c r="AQ21" i="7"/>
  <c r="AQ84" i="7" s="1"/>
  <c r="AQ43" i="7"/>
  <c r="AQ76" i="7" s="1"/>
  <c r="AQ48" i="7"/>
  <c r="AQ19" i="7"/>
  <c r="AQ26" i="7"/>
  <c r="AQ83" i="7" s="1"/>
  <c r="AQ45" i="7"/>
  <c r="AQ63" i="7"/>
  <c r="AQ23" i="48"/>
  <c r="AP33" i="7"/>
  <c r="AZ33" i="7" s="1"/>
  <c r="AP21" i="7"/>
  <c r="AP84" i="7" s="1"/>
  <c r="AP23" i="7"/>
  <c r="AP78" i="7" s="1"/>
  <c r="AP27" i="7"/>
  <c r="AP77" i="7" s="1"/>
  <c r="AP86" i="8"/>
  <c r="AQ16" i="8"/>
  <c r="AQ37" i="8"/>
  <c r="AQ76" i="8"/>
  <c r="AQ42" i="8"/>
  <c r="AQ39" i="8"/>
  <c r="AQ86" i="8"/>
  <c r="AQ118" i="8"/>
  <c r="AQ69" i="8"/>
  <c r="AP24" i="8"/>
  <c r="AZ24" i="8" s="1"/>
  <c r="AP79" i="8"/>
  <c r="AZ79" i="8" s="1"/>
  <c r="AP25" i="8"/>
  <c r="AZ25" i="8" s="1"/>
  <c r="AP28" i="8"/>
  <c r="AZ28" i="8" s="1"/>
  <c r="AQ35" i="8"/>
  <c r="BA35" i="8" s="1"/>
  <c r="AQ38" i="8"/>
  <c r="AQ44" i="8"/>
  <c r="AQ47" i="8"/>
  <c r="BA47" i="8" s="1"/>
  <c r="AQ70" i="8"/>
  <c r="AQ80" i="8"/>
  <c r="AP27" i="8"/>
  <c r="AZ27" i="8" s="1"/>
  <c r="AQ43" i="8"/>
  <c r="AP47" i="8"/>
  <c r="AP29" i="8"/>
  <c r="AZ29" i="8" s="1"/>
  <c r="AQ116" i="8"/>
  <c r="BA116" i="8" s="1"/>
  <c r="AP23" i="8"/>
  <c r="AZ23" i="8" s="1"/>
  <c r="AQ28" i="48"/>
  <c r="AP25" i="7"/>
  <c r="AP80" i="7" s="1"/>
  <c r="AP70" i="7"/>
  <c r="AP19" i="7"/>
  <c r="AP75" i="7" s="1"/>
  <c r="AP37" i="7"/>
  <c r="AZ37" i="7" s="1"/>
  <c r="AQ65" i="7"/>
  <c r="AQ70" i="7"/>
  <c r="AQ39" i="7"/>
  <c r="AQ41" i="7"/>
  <c r="AQ107" i="7"/>
  <c r="AQ108" i="7" s="1"/>
  <c r="AQ106" i="7"/>
  <c r="AP67" i="7"/>
  <c r="AP34" i="7"/>
  <c r="AZ34" i="7" s="1"/>
  <c r="AP38" i="7"/>
  <c r="AZ38" i="7" s="1"/>
  <c r="AQ67" i="7"/>
  <c r="AP18" i="7"/>
  <c r="AP20" i="7"/>
  <c r="AP76" i="7" s="1"/>
  <c r="AP24" i="7"/>
  <c r="AP79" i="7" s="1"/>
  <c r="AP26" i="7"/>
  <c r="AP31" i="7"/>
  <c r="AZ31" i="7" s="1"/>
  <c r="AP35" i="7"/>
  <c r="AZ35" i="7" s="1"/>
  <c r="AQ42" i="7"/>
  <c r="AQ75" i="7" s="1"/>
  <c r="AQ46" i="7"/>
  <c r="AP55" i="7"/>
  <c r="AZ55" i="7" s="1"/>
  <c r="AP63" i="7"/>
  <c r="AP68" i="7"/>
  <c r="AP32" i="7"/>
  <c r="AZ32" i="7" s="1"/>
  <c r="AS237" i="6"/>
  <c r="AS236" i="6"/>
  <c r="AS235" i="6"/>
  <c r="AS233" i="6"/>
  <c r="AS232" i="6"/>
  <c r="AS231" i="6"/>
  <c r="AS229" i="6"/>
  <c r="AS228" i="6"/>
  <c r="AS227" i="6"/>
  <c r="AS225" i="6"/>
  <c r="AS224" i="6"/>
  <c r="AS223" i="6"/>
  <c r="AS221" i="6"/>
  <c r="AS220" i="6"/>
  <c r="AS219" i="6"/>
  <c r="AS217" i="6"/>
  <c r="AS216" i="6"/>
  <c r="AS215" i="6"/>
  <c r="AS213" i="6"/>
  <c r="AS212" i="6"/>
  <c r="AS211" i="6"/>
  <c r="AS209" i="6"/>
  <c r="AS208" i="6"/>
  <c r="AS207" i="6"/>
  <c r="AS205" i="6"/>
  <c r="AS204" i="6"/>
  <c r="AS203" i="6"/>
  <c r="AS197" i="6"/>
  <c r="AS196" i="6"/>
  <c r="AS195" i="6"/>
  <c r="AS193" i="6"/>
  <c r="AS192" i="6"/>
  <c r="AS191" i="6"/>
  <c r="AS189" i="6"/>
  <c r="AS188" i="6"/>
  <c r="AS187" i="6"/>
  <c r="AR66" i="6"/>
  <c r="AP284" i="6"/>
  <c r="AP283" i="6"/>
  <c r="AP282" i="6"/>
  <c r="AP278" i="6"/>
  <c r="AP276" i="6"/>
  <c r="AP275" i="6"/>
  <c r="AP274" i="6"/>
  <c r="AP273" i="6"/>
  <c r="AP272" i="6"/>
  <c r="AP271" i="6"/>
  <c r="AP270" i="6"/>
  <c r="AQ237" i="6"/>
  <c r="AQ236" i="6"/>
  <c r="AQ235" i="6"/>
  <c r="AQ283" i="6" s="1"/>
  <c r="AQ233" i="6"/>
  <c r="AQ232" i="6"/>
  <c r="AQ231" i="6"/>
  <c r="AQ282" i="6" s="1"/>
  <c r="AQ229" i="6"/>
  <c r="AQ228" i="6"/>
  <c r="AQ227" i="6"/>
  <c r="AQ284" i="6" s="1"/>
  <c r="AQ225" i="6"/>
  <c r="AQ224" i="6"/>
  <c r="AQ223" i="6"/>
  <c r="AQ278" i="6" s="1"/>
  <c r="AQ221" i="6"/>
  <c r="AQ220" i="6"/>
  <c r="AQ219" i="6"/>
  <c r="AQ274" i="6" s="1"/>
  <c r="AQ217" i="6"/>
  <c r="AQ216" i="6"/>
  <c r="AQ215" i="6"/>
  <c r="AQ276" i="6" s="1"/>
  <c r="AQ213" i="6"/>
  <c r="AQ212" i="6"/>
  <c r="AQ211" i="6"/>
  <c r="AQ209" i="6"/>
  <c r="AQ208" i="6"/>
  <c r="AQ207" i="6"/>
  <c r="AQ275" i="6" s="1"/>
  <c r="AQ205" i="6"/>
  <c r="AQ204" i="6"/>
  <c r="AQ203" i="6"/>
  <c r="AQ272" i="6" s="1"/>
  <c r="AQ197" i="6"/>
  <c r="AQ196" i="6"/>
  <c r="AQ195" i="6"/>
  <c r="AQ273" i="6" s="1"/>
  <c r="AQ193" i="6"/>
  <c r="AQ192" i="6"/>
  <c r="AQ191" i="6"/>
  <c r="AQ271" i="6" s="1"/>
  <c r="AQ189" i="6"/>
  <c r="AQ188" i="6"/>
  <c r="AQ187" i="6"/>
  <c r="AQ270" i="6" s="1"/>
  <c r="AQ182" i="6"/>
  <c r="BA182" i="6" s="1"/>
  <c r="AP182" i="6"/>
  <c r="AZ182" i="6" s="1"/>
  <c r="AQ155" i="6"/>
  <c r="BA155" i="6" s="1"/>
  <c r="AP155" i="6"/>
  <c r="AZ155" i="6" s="1"/>
  <c r="AQ130" i="6"/>
  <c r="BA130" i="6" s="1"/>
  <c r="AP130" i="6"/>
  <c r="AZ130" i="6" s="1"/>
  <c r="AQ129" i="6"/>
  <c r="BA129" i="6" s="1"/>
  <c r="AP129" i="6"/>
  <c r="AZ129" i="6" s="1"/>
  <c r="AQ128" i="6"/>
  <c r="BA128" i="6" s="1"/>
  <c r="AP128" i="6"/>
  <c r="AZ128" i="6" s="1"/>
  <c r="AQ127" i="6"/>
  <c r="BA127" i="6" s="1"/>
  <c r="AP127" i="6"/>
  <c r="AZ127" i="6" s="1"/>
  <c r="AQ124" i="6"/>
  <c r="BA124" i="6" s="1"/>
  <c r="AP124" i="6"/>
  <c r="AZ124" i="6" s="1"/>
  <c r="AQ123" i="6"/>
  <c r="BA123" i="6" s="1"/>
  <c r="AP123" i="6"/>
  <c r="AZ123" i="6" s="1"/>
  <c r="AQ122" i="6"/>
  <c r="BA122" i="6" s="1"/>
  <c r="AP122" i="6"/>
  <c r="AZ122" i="6" s="1"/>
  <c r="AQ120" i="6"/>
  <c r="BA120" i="6" s="1"/>
  <c r="AP120" i="6"/>
  <c r="AZ120" i="6" s="1"/>
  <c r="AQ119" i="6"/>
  <c r="BA119" i="6" s="1"/>
  <c r="AP119" i="6"/>
  <c r="AZ119" i="6" s="1"/>
  <c r="AQ118" i="6"/>
  <c r="BA118" i="6" s="1"/>
  <c r="AP118" i="6"/>
  <c r="AZ118" i="6" s="1"/>
  <c r="AQ117" i="6"/>
  <c r="BA117" i="6" s="1"/>
  <c r="AP117" i="6"/>
  <c r="AZ117" i="6" s="1"/>
  <c r="AQ116" i="6"/>
  <c r="BA116" i="6" s="1"/>
  <c r="AP116" i="6"/>
  <c r="AZ116" i="6" s="1"/>
  <c r="AQ115" i="6"/>
  <c r="BA115" i="6" s="1"/>
  <c r="AP115" i="6"/>
  <c r="AZ115" i="6" s="1"/>
  <c r="AQ114" i="6"/>
  <c r="BA114" i="6" s="1"/>
  <c r="AP114" i="6"/>
  <c r="AZ114" i="6" s="1"/>
  <c r="AQ113" i="6"/>
  <c r="BA113" i="6" s="1"/>
  <c r="AP113" i="6"/>
  <c r="AZ113" i="6" s="1"/>
  <c r="AQ112" i="6"/>
  <c r="BA112" i="6" s="1"/>
  <c r="AP112" i="6"/>
  <c r="AZ112" i="6" s="1"/>
  <c r="AQ111" i="6"/>
  <c r="BA111" i="6" s="1"/>
  <c r="AP111" i="6"/>
  <c r="AZ111" i="6" s="1"/>
  <c r="AQ103" i="6"/>
  <c r="AP103" i="6"/>
  <c r="AQ100" i="6"/>
  <c r="AP100" i="6"/>
  <c r="AQ85" i="6"/>
  <c r="AP85" i="6"/>
  <c r="AQ81" i="6"/>
  <c r="AP81" i="6"/>
  <c r="AP65" i="6"/>
  <c r="AP64" i="6"/>
  <c r="AP63" i="6"/>
  <c r="AP62" i="6"/>
  <c r="AP61" i="6"/>
  <c r="AQ52" i="6"/>
  <c r="AP52" i="6"/>
  <c r="AQ44" i="6"/>
  <c r="AP44" i="6"/>
  <c r="AQ41" i="6"/>
  <c r="AP41" i="6"/>
  <c r="AP37" i="6"/>
  <c r="AQ28" i="6"/>
  <c r="AQ25" i="6"/>
  <c r="AQ22" i="6"/>
  <c r="AQ18" i="6"/>
  <c r="AQ17" i="6"/>
  <c r="AP6" i="6"/>
  <c r="AP14" i="6" s="1"/>
  <c r="AP5" i="6"/>
  <c r="X144" i="37"/>
  <c r="AC144" i="37" s="1"/>
  <c r="X141" i="37"/>
  <c r="AC141" i="37" s="1"/>
  <c r="X136" i="37"/>
  <c r="AC136" i="37" s="1"/>
  <c r="AC149" i="37" s="1"/>
  <c r="X93" i="37"/>
  <c r="AP328" i="28"/>
  <c r="AZ328" i="28" s="1"/>
  <c r="AP326" i="28"/>
  <c r="AZ326" i="28" s="1"/>
  <c r="AQ325" i="28"/>
  <c r="AQ329" i="28" s="1"/>
  <c r="AQ322" i="28"/>
  <c r="AQ318" i="28"/>
  <c r="AP315" i="28"/>
  <c r="AQ245" i="28"/>
  <c r="AQ237" i="28"/>
  <c r="AQ199" i="28"/>
  <c r="AQ194" i="28"/>
  <c r="AQ169" i="28"/>
  <c r="AQ144" i="28"/>
  <c r="AQ145" i="28" s="1"/>
  <c r="AQ63" i="28"/>
  <c r="BA63" i="28" s="1"/>
  <c r="AQ61" i="28"/>
  <c r="AQ57" i="28"/>
  <c r="AQ53" i="28"/>
  <c r="AQ49" i="28"/>
  <c r="AQ36" i="28"/>
  <c r="BA36" i="28" s="1"/>
  <c r="AQ35" i="28"/>
  <c r="BA35" i="28" s="1"/>
  <c r="AQ34" i="28"/>
  <c r="BA34" i="28" s="1"/>
  <c r="AQ33" i="28"/>
  <c r="BA33" i="28" s="1"/>
  <c r="AP32" i="28"/>
  <c r="AZ32" i="28" s="1"/>
  <c r="AQ30" i="28"/>
  <c r="AQ43" i="28" s="1"/>
  <c r="BA43" i="28" s="1"/>
  <c r="AP26" i="28"/>
  <c r="AQ23" i="28"/>
  <c r="AQ42" i="28" s="1"/>
  <c r="BA42" i="28" s="1"/>
  <c r="AP20" i="28"/>
  <c r="AQ17" i="28"/>
  <c r="AQ41" i="28" s="1"/>
  <c r="BA41" i="28" s="1"/>
  <c r="AP14" i="28"/>
  <c r="AQ11" i="28"/>
  <c r="AQ40" i="28" s="1"/>
  <c r="BA40" i="28" s="1"/>
  <c r="AP8" i="28"/>
  <c r="AZ8" i="28" s="1"/>
  <c r="AQ55" i="36"/>
  <c r="AQ54" i="36"/>
  <c r="AP53" i="36"/>
  <c r="AP19" i="36" s="1"/>
  <c r="AQ52" i="36"/>
  <c r="AQ51" i="36"/>
  <c r="AP49" i="36"/>
  <c r="AZ49" i="36" s="1"/>
  <c r="AP48" i="36"/>
  <c r="AZ48" i="36" s="1"/>
  <c r="AQ47" i="36"/>
  <c r="AP45" i="36"/>
  <c r="AQ33" i="36"/>
  <c r="AP33" i="36"/>
  <c r="AQ23" i="36"/>
  <c r="AP23" i="36"/>
  <c r="AQ22" i="36"/>
  <c r="AP22" i="36"/>
  <c r="AQ21" i="36"/>
  <c r="AP21" i="36"/>
  <c r="AQ17" i="36"/>
  <c r="AQ16" i="36"/>
  <c r="AP16" i="36"/>
  <c r="AP83" i="9" s="1"/>
  <c r="AP13" i="36"/>
  <c r="AQ12" i="36"/>
  <c r="AQ11" i="36"/>
  <c r="AQ10" i="36"/>
  <c r="AQ5" i="36"/>
  <c r="AQ36" i="21"/>
  <c r="AP34" i="21"/>
  <c r="AZ34" i="21" s="1"/>
  <c r="AQ32" i="21"/>
  <c r="AQ28" i="21"/>
  <c r="AP28" i="21"/>
  <c r="AQ23" i="21"/>
  <c r="AQ24" i="21" s="1"/>
  <c r="AQ17" i="21"/>
  <c r="BA17" i="21" s="1"/>
  <c r="AQ14" i="21"/>
  <c r="BA14" i="21" s="1"/>
  <c r="AQ12" i="21"/>
  <c r="AP12" i="21"/>
  <c r="AP21" i="21" s="1"/>
  <c r="AQ59" i="35"/>
  <c r="BA59" i="35" s="1"/>
  <c r="AQ58" i="35"/>
  <c r="BA58" i="35" s="1"/>
  <c r="AP58" i="35"/>
  <c r="AQ55" i="35"/>
  <c r="BA55" i="35" s="1"/>
  <c r="AQ54" i="35"/>
  <c r="BA54" i="35" s="1"/>
  <c r="AP54" i="35"/>
  <c r="AZ54" i="35" s="1"/>
  <c r="AQ51" i="35"/>
  <c r="BA51" i="35" s="1"/>
  <c r="AQ50" i="35"/>
  <c r="BA50" i="35" s="1"/>
  <c r="AP50" i="35"/>
  <c r="AZ50" i="35" s="1"/>
  <c r="AP40" i="35"/>
  <c r="AZ40" i="35" s="1"/>
  <c r="AQ39" i="35"/>
  <c r="BA39" i="35" s="1"/>
  <c r="AP39" i="35"/>
  <c r="AZ39" i="35" s="1"/>
  <c r="AP37" i="35"/>
  <c r="AZ37" i="35" s="1"/>
  <c r="AQ34" i="35"/>
  <c r="AQ43" i="35" s="1"/>
  <c r="AP34" i="35"/>
  <c r="AP43" i="35" s="1"/>
  <c r="AQ31" i="35"/>
  <c r="AP31" i="35"/>
  <c r="AQ24" i="35"/>
  <c r="AP24" i="35"/>
  <c r="AP34" i="36" s="1"/>
  <c r="AP35" i="36" s="1"/>
  <c r="AQ19" i="35"/>
  <c r="AP19" i="35"/>
  <c r="AQ15" i="35"/>
  <c r="AP15" i="35"/>
  <c r="AQ11" i="35"/>
  <c r="AP10" i="35"/>
  <c r="AP9" i="35"/>
  <c r="AZ9" i="35" s="1"/>
  <c r="AP8" i="35"/>
  <c r="AQ7" i="35"/>
  <c r="AQ6" i="35"/>
  <c r="BA6" i="35" s="1"/>
  <c r="AQ195" i="28" l="1"/>
  <c r="BA194" i="28"/>
  <c r="AQ34" i="8"/>
  <c r="BA34" i="8" s="1"/>
  <c r="BA64" i="8"/>
  <c r="BA71" i="8"/>
  <c r="BA19" i="21"/>
  <c r="BA37" i="28"/>
  <c r="BA38" i="28"/>
  <c r="AZ125" i="6"/>
  <c r="BA110" i="7"/>
  <c r="BA72" i="8"/>
  <c r="AZ60" i="7"/>
  <c r="BA102" i="7"/>
  <c r="BA167" i="9"/>
  <c r="AP59" i="35"/>
  <c r="AZ59" i="35" s="1"/>
  <c r="AZ58" i="35"/>
  <c r="AQ238" i="28"/>
  <c r="BA237" i="28"/>
  <c r="X91" i="37"/>
  <c r="AC93" i="37"/>
  <c r="AC91" i="37" s="1"/>
  <c r="AC96" i="37" s="1"/>
  <c r="BA125" i="6"/>
  <c r="BA70" i="8"/>
  <c r="BA44" i="28"/>
  <c r="BA84" i="8"/>
  <c r="BA74" i="8"/>
  <c r="BA5" i="26"/>
  <c r="AZ11" i="28"/>
  <c r="AZ84" i="8"/>
  <c r="BA5" i="6"/>
  <c r="BA11" i="6" s="1"/>
  <c r="AQ132" i="9"/>
  <c r="BA127" i="9"/>
  <c r="AZ86" i="8"/>
  <c r="AZ43" i="8"/>
  <c r="AZ80" i="8"/>
  <c r="BA78" i="8"/>
  <c r="AZ14" i="36"/>
  <c r="AZ47" i="8"/>
  <c r="AZ38" i="8"/>
  <c r="AZ11" i="36"/>
  <c r="AZ46" i="8"/>
  <c r="AZ76" i="8"/>
  <c r="AZ37" i="8"/>
  <c r="AZ10" i="36"/>
  <c r="AZ26" i="8"/>
  <c r="AZ42" i="8"/>
  <c r="AZ41" i="8"/>
  <c r="AZ39" i="8"/>
  <c r="AZ12" i="36"/>
  <c r="BA46" i="8"/>
  <c r="BA80" i="8"/>
  <c r="BA38" i="8"/>
  <c r="BA43" i="8"/>
  <c r="BA39" i="8"/>
  <c r="BA44" i="8"/>
  <c r="BA76" i="8"/>
  <c r="BA41" i="8"/>
  <c r="BA37" i="8"/>
  <c r="BA42" i="8"/>
  <c r="AZ44" i="8"/>
  <c r="BA77" i="8"/>
  <c r="BA86" i="8"/>
  <c r="AZ54" i="36"/>
  <c r="AZ55" i="36"/>
  <c r="AZ56" i="7"/>
  <c r="AZ43" i="7"/>
  <c r="AZ49" i="7"/>
  <c r="AZ44" i="7"/>
  <c r="AZ82" i="7" s="1"/>
  <c r="AZ46" i="7"/>
  <c r="AZ45" i="7"/>
  <c r="AZ84" i="7" s="1"/>
  <c r="AZ48" i="7"/>
  <c r="AZ42" i="7"/>
  <c r="AZ75" i="7" s="1"/>
  <c r="AP65" i="7"/>
  <c r="AZ36" i="7"/>
  <c r="BA64" i="7"/>
  <c r="BA50" i="7"/>
  <c r="AZ121" i="6"/>
  <c r="BA17" i="6"/>
  <c r="BA121" i="6"/>
  <c r="AZ14" i="6"/>
  <c r="AZ58" i="6"/>
  <c r="BA18" i="6"/>
  <c r="BA173" i="6"/>
  <c r="AZ183" i="6"/>
  <c r="AP17" i="28"/>
  <c r="AP41" i="28" s="1"/>
  <c r="AZ41" i="28" s="1"/>
  <c r="AZ14" i="28"/>
  <c r="AP30" i="28"/>
  <c r="AP312" i="28" s="1"/>
  <c r="AZ26" i="28"/>
  <c r="AP23" i="28"/>
  <c r="AP42" i="28" s="1"/>
  <c r="AZ20" i="28"/>
  <c r="AP318" i="28"/>
  <c r="AP324" i="28" s="1"/>
  <c r="AZ324" i="28" s="1"/>
  <c r="AZ315" i="28"/>
  <c r="AP44" i="36"/>
  <c r="AZ26" i="36"/>
  <c r="AZ28" i="36"/>
  <c r="AZ6" i="15" s="1"/>
  <c r="AZ29" i="36"/>
  <c r="AZ7" i="15" s="1"/>
  <c r="AZ24" i="36"/>
  <c r="AZ27" i="36"/>
  <c r="AZ5" i="15" s="1"/>
  <c r="BA27" i="36"/>
  <c r="BA29" i="36"/>
  <c r="BA26" i="36"/>
  <c r="BA28" i="36"/>
  <c r="BA24" i="36"/>
  <c r="AP47" i="36"/>
  <c r="AZ45" i="36"/>
  <c r="AQ5" i="26"/>
  <c r="BA14" i="36"/>
  <c r="BA44" i="35"/>
  <c r="AP5" i="36"/>
  <c r="AZ10" i="35"/>
  <c r="AZ5" i="36" s="1"/>
  <c r="AZ44" i="35"/>
  <c r="AQ6" i="6"/>
  <c r="AQ12" i="6" s="1"/>
  <c r="BA7" i="35"/>
  <c r="BA6" i="6" s="1"/>
  <c r="BA12" i="6" s="1"/>
  <c r="AQ48" i="8"/>
  <c r="AQ11" i="15"/>
  <c r="X96" i="37"/>
  <c r="AQ74" i="7"/>
  <c r="AQ102" i="7"/>
  <c r="AQ167" i="9"/>
  <c r="X149" i="37"/>
  <c r="AQ82" i="7"/>
  <c r="AP11" i="35"/>
  <c r="AQ60" i="35"/>
  <c r="BA60" i="35" s="1"/>
  <c r="AQ56" i="35"/>
  <c r="BA56" i="35" s="1"/>
  <c r="AQ63" i="35"/>
  <c r="BA63" i="35" s="1"/>
  <c r="AP11" i="28"/>
  <c r="AP40" i="28" s="1"/>
  <c r="AQ34" i="36"/>
  <c r="AQ35" i="36" s="1"/>
  <c r="AQ36" i="36" s="1"/>
  <c r="AQ39" i="36" s="1"/>
  <c r="AQ30" i="36" s="1"/>
  <c r="AQ30" i="6"/>
  <c r="BA30" i="6" s="1"/>
  <c r="AQ241" i="6"/>
  <c r="AQ50" i="8" s="1"/>
  <c r="AQ19" i="6"/>
  <c r="AP12" i="6"/>
  <c r="AP7" i="6"/>
  <c r="AP66" i="6"/>
  <c r="AP67" i="6" s="1"/>
  <c r="AQ18" i="36"/>
  <c r="AQ53" i="36"/>
  <c r="AQ19" i="36" s="1"/>
  <c r="AQ40" i="8"/>
  <c r="AQ13" i="36"/>
  <c r="AQ8" i="35"/>
  <c r="AQ5" i="6"/>
  <c r="AQ11" i="6" s="1"/>
  <c r="AP36" i="36"/>
  <c r="AP39" i="36" s="1"/>
  <c r="AP30" i="36" s="1"/>
  <c r="AP74" i="8"/>
  <c r="AP27" i="6"/>
  <c r="AZ27" i="6" s="1"/>
  <c r="AP177" i="6"/>
  <c r="AZ177" i="6" s="1"/>
  <c r="AZ178" i="6" s="1"/>
  <c r="AP183" i="6"/>
  <c r="AP26" i="8"/>
  <c r="AP66" i="8"/>
  <c r="AZ66" i="8" s="1"/>
  <c r="AQ117" i="8"/>
  <c r="BA117" i="8" s="1"/>
  <c r="AQ110" i="7"/>
  <c r="AQ121" i="8"/>
  <c r="BA121" i="8" s="1"/>
  <c r="AP68" i="8"/>
  <c r="AZ68" i="8" s="1"/>
  <c r="AP60" i="8"/>
  <c r="AZ60" i="8" s="1"/>
  <c r="AQ109" i="7"/>
  <c r="AQ16" i="48" s="1"/>
  <c r="AQ50" i="7"/>
  <c r="AQ64" i="7"/>
  <c r="AP74" i="7"/>
  <c r="AP83" i="7"/>
  <c r="AP82" i="7"/>
  <c r="AQ86" i="6"/>
  <c r="AQ91" i="6" s="1"/>
  <c r="AQ104" i="6"/>
  <c r="AQ109" i="6" s="1"/>
  <c r="AP121" i="6"/>
  <c r="AQ121" i="6"/>
  <c r="AP11" i="6"/>
  <c r="AP13" i="6"/>
  <c r="AP18" i="6"/>
  <c r="AP86" i="6"/>
  <c r="AP91" i="6" s="1"/>
  <c r="AP104" i="6"/>
  <c r="AP109" i="6" s="1"/>
  <c r="AP125" i="6"/>
  <c r="AP21" i="6"/>
  <c r="AZ21" i="6" s="1"/>
  <c r="AP24" i="6"/>
  <c r="AZ24" i="6" s="1"/>
  <c r="AQ29" i="6"/>
  <c r="BA29" i="6" s="1"/>
  <c r="AQ125" i="6"/>
  <c r="AP195" i="28"/>
  <c r="AQ44" i="28"/>
  <c r="AQ37" i="28"/>
  <c r="AQ38" i="28" s="1"/>
  <c r="AQ64" i="28"/>
  <c r="BA64" i="28" s="1"/>
  <c r="BA65" i="28" s="1"/>
  <c r="AQ19" i="21"/>
  <c r="AP14" i="21"/>
  <c r="AZ14" i="21" s="1"/>
  <c r="AQ35" i="35"/>
  <c r="AQ62" i="35"/>
  <c r="BA62" i="35" s="1"/>
  <c r="AP35" i="35"/>
  <c r="AZ25" i="36" s="1"/>
  <c r="AP55" i="35"/>
  <c r="AZ55" i="35" s="1"/>
  <c r="AP44" i="35"/>
  <c r="AQ44" i="35"/>
  <c r="AP60" i="35"/>
  <c r="AZ60" i="35" s="1"/>
  <c r="AP51" i="35"/>
  <c r="AZ51" i="35" s="1"/>
  <c r="AP62" i="35"/>
  <c r="AZ62" i="35" s="1"/>
  <c r="AQ52" i="35"/>
  <c r="BA52" i="35" s="1"/>
  <c r="AM311" i="6"/>
  <c r="AM310" i="6"/>
  <c r="Y311" i="6"/>
  <c r="Y310" i="6"/>
  <c r="I311" i="6"/>
  <c r="M311" i="6" s="1"/>
  <c r="Q311" i="6" s="1"/>
  <c r="U311" i="6" s="1"/>
  <c r="AA311" i="6" s="1"/>
  <c r="AE311" i="6" s="1"/>
  <c r="AI311" i="6" s="1"/>
  <c r="AO311" i="6" s="1"/>
  <c r="AS311" i="6" s="1"/>
  <c r="I310" i="6"/>
  <c r="M310" i="6" s="1"/>
  <c r="Q310" i="6" s="1"/>
  <c r="U310" i="6" s="1"/>
  <c r="AA310" i="6" s="1"/>
  <c r="AE310" i="6" s="1"/>
  <c r="AI310" i="6" s="1"/>
  <c r="AO310" i="6" s="1"/>
  <c r="AS310" i="6" s="1"/>
  <c r="AK52" i="48"/>
  <c r="AG52" i="48"/>
  <c r="AC52" i="48"/>
  <c r="W52" i="48"/>
  <c r="S52" i="48"/>
  <c r="O52" i="48"/>
  <c r="K52" i="48"/>
  <c r="G52" i="48"/>
  <c r="E52" i="48"/>
  <c r="G55" i="48"/>
  <c r="K55" i="48"/>
  <c r="O55" i="48"/>
  <c r="S55" i="48"/>
  <c r="W55" i="48"/>
  <c r="AC55" i="48"/>
  <c r="AG55" i="48"/>
  <c r="AK55" i="48"/>
  <c r="E55" i="48"/>
  <c r="G54" i="48"/>
  <c r="K54" i="48"/>
  <c r="O54" i="48"/>
  <c r="S54" i="48"/>
  <c r="W54" i="48"/>
  <c r="AC54" i="48"/>
  <c r="AG54" i="48"/>
  <c r="AK54" i="48"/>
  <c r="E54" i="48"/>
  <c r="G53" i="48"/>
  <c r="K53" i="48"/>
  <c r="O53" i="48"/>
  <c r="S53" i="48"/>
  <c r="W53" i="48"/>
  <c r="AC53" i="48"/>
  <c r="AG53" i="48"/>
  <c r="AK53" i="48"/>
  <c r="E53" i="48"/>
  <c r="G50" i="48"/>
  <c r="K50" i="48"/>
  <c r="O50" i="48"/>
  <c r="S50" i="48"/>
  <c r="W50" i="48"/>
  <c r="AC50" i="48"/>
  <c r="AG50" i="48"/>
  <c r="AK50" i="48"/>
  <c r="E50" i="48"/>
  <c r="G49" i="48"/>
  <c r="K49" i="48"/>
  <c r="O49" i="48"/>
  <c r="S49" i="48"/>
  <c r="W49" i="48"/>
  <c r="AC49" i="48"/>
  <c r="AG49" i="48"/>
  <c r="AK49" i="48"/>
  <c r="E49" i="48"/>
  <c r="G48" i="48"/>
  <c r="K48" i="48"/>
  <c r="O48" i="48"/>
  <c r="S48" i="48"/>
  <c r="W48" i="48"/>
  <c r="AC48" i="48"/>
  <c r="AG48" i="48"/>
  <c r="AK48" i="48"/>
  <c r="E48" i="48"/>
  <c r="G47" i="48"/>
  <c r="K47" i="48"/>
  <c r="O47" i="48"/>
  <c r="S47" i="48"/>
  <c r="W47" i="48"/>
  <c r="AC47" i="48"/>
  <c r="AG47" i="48"/>
  <c r="AK47" i="48"/>
  <c r="E47" i="48"/>
  <c r="AW311" i="6" l="1"/>
  <c r="BE311" i="6" s="1"/>
  <c r="BC311" i="6"/>
  <c r="BA112" i="7"/>
  <c r="BA113" i="7" s="1"/>
  <c r="BA111" i="7"/>
  <c r="BA114" i="7" s="1"/>
  <c r="BA116" i="7" s="1"/>
  <c r="BA69" i="8"/>
  <c r="BA195" i="28"/>
  <c r="BA66" i="28"/>
  <c r="BA25" i="36"/>
  <c r="AV1" i="38"/>
  <c r="BA168" i="9"/>
  <c r="BA171" i="9"/>
  <c r="AW310" i="6"/>
  <c r="BE310" i="6" s="1"/>
  <c r="BA238" i="28"/>
  <c r="AP238" i="28"/>
  <c r="BA172" i="6"/>
  <c r="BA174" i="6"/>
  <c r="BA170" i="6"/>
  <c r="BA171" i="6"/>
  <c r="BA175" i="6"/>
  <c r="BA144" i="6"/>
  <c r="BA145" i="6"/>
  <c r="BA132" i="9"/>
  <c r="BA7" i="15"/>
  <c r="BA5" i="15"/>
  <c r="BA6" i="15"/>
  <c r="AZ318" i="28"/>
  <c r="AZ329" i="28"/>
  <c r="AZ30" i="28"/>
  <c r="AZ23" i="28"/>
  <c r="AZ17" i="28"/>
  <c r="AZ145" i="28"/>
  <c r="AZ40" i="8"/>
  <c r="AZ72" i="8"/>
  <c r="AZ71" i="8"/>
  <c r="AZ74" i="8"/>
  <c r="AQ12" i="15"/>
  <c r="AQ13" i="15" s="1"/>
  <c r="BA65" i="35"/>
  <c r="BA66" i="35"/>
  <c r="BA40" i="8"/>
  <c r="BA48" i="8"/>
  <c r="AZ13" i="36"/>
  <c r="AZ48" i="8"/>
  <c r="AZ65" i="7"/>
  <c r="AZ47" i="7"/>
  <c r="BA126" i="6"/>
  <c r="AZ126" i="6"/>
  <c r="BA31" i="6"/>
  <c r="BA19" i="6"/>
  <c r="BA146" i="6"/>
  <c r="AZ13" i="6"/>
  <c r="AZ57" i="6" s="1"/>
  <c r="AZ167" i="6"/>
  <c r="AZ166" i="6"/>
  <c r="AZ168" i="6"/>
  <c r="AQ136" i="6"/>
  <c r="BA141" i="6"/>
  <c r="BA142" i="6"/>
  <c r="BA140" i="6"/>
  <c r="AZ184" i="6"/>
  <c r="AZ55" i="6"/>
  <c r="BA147" i="6"/>
  <c r="BA149" i="6"/>
  <c r="AP138" i="6"/>
  <c r="AZ141" i="6"/>
  <c r="AZ140" i="6"/>
  <c r="AZ142" i="6"/>
  <c r="AQ161" i="6"/>
  <c r="BA166" i="6"/>
  <c r="BA168" i="6"/>
  <c r="BA167" i="6"/>
  <c r="AZ18" i="6"/>
  <c r="AZ173" i="6" s="1"/>
  <c r="AZ172" i="6"/>
  <c r="BA148" i="6"/>
  <c r="AP320" i="28"/>
  <c r="AZ320" i="28" s="1"/>
  <c r="AP33" i="28"/>
  <c r="AP37" i="28" s="1"/>
  <c r="AP43" i="28"/>
  <c r="AZ43" i="28" s="1"/>
  <c r="AP329" i="28"/>
  <c r="AP47" i="28"/>
  <c r="AZ47" i="28" s="1"/>
  <c r="AZ40" i="28"/>
  <c r="AP55" i="28"/>
  <c r="AZ55" i="28" s="1"/>
  <c r="AZ42" i="28"/>
  <c r="AZ51" i="36"/>
  <c r="AZ53" i="36" s="1"/>
  <c r="AZ19" i="36" s="1"/>
  <c r="AZ47" i="36"/>
  <c r="AP17" i="36"/>
  <c r="AZ44" i="36"/>
  <c r="AZ17" i="36" s="1"/>
  <c r="AZ18" i="36" s="1"/>
  <c r="AZ11" i="35"/>
  <c r="BA8" i="35"/>
  <c r="BA7" i="6" s="1"/>
  <c r="AQ14" i="6"/>
  <c r="AQ168" i="9"/>
  <c r="AQ171" i="9"/>
  <c r="AP145" i="28"/>
  <c r="AQ65" i="35"/>
  <c r="AQ7" i="6"/>
  <c r="AQ66" i="35"/>
  <c r="AQ13" i="6"/>
  <c r="AP56" i="35"/>
  <c r="AZ56" i="35" s="1"/>
  <c r="AP33" i="8"/>
  <c r="AZ33" i="8" s="1"/>
  <c r="AP35" i="8"/>
  <c r="AZ35" i="8" s="1"/>
  <c r="AP64" i="8"/>
  <c r="AZ64" i="8" s="1"/>
  <c r="AQ122" i="8"/>
  <c r="BA122" i="8" s="1"/>
  <c r="AQ112" i="7"/>
  <c r="AQ113" i="7" s="1"/>
  <c r="AQ111" i="7"/>
  <c r="AQ119" i="8"/>
  <c r="BA119" i="8" s="1"/>
  <c r="AQ163" i="6"/>
  <c r="AQ160" i="6"/>
  <c r="AQ164" i="6"/>
  <c r="AQ138" i="6"/>
  <c r="AQ135" i="6"/>
  <c r="AQ162" i="6"/>
  <c r="AQ8" i="36" s="1"/>
  <c r="AP126" i="6"/>
  <c r="AP131" i="6" s="1"/>
  <c r="AP242" i="6" s="1"/>
  <c r="AQ126" i="6"/>
  <c r="AQ131" i="6" s="1"/>
  <c r="AQ31" i="6"/>
  <c r="AP135" i="6"/>
  <c r="AP136" i="6"/>
  <c r="AP30" i="6"/>
  <c r="AZ30" i="6" s="1"/>
  <c r="AP156" i="6"/>
  <c r="AP151" i="6"/>
  <c r="AZ151" i="6" s="1"/>
  <c r="AZ152" i="6" s="1"/>
  <c r="AP17" i="6"/>
  <c r="AP26" i="6"/>
  <c r="AZ26" i="6" s="1"/>
  <c r="AZ28" i="6" s="1"/>
  <c r="AP23" i="6"/>
  <c r="AZ23" i="6" s="1"/>
  <c r="AZ25" i="6" s="1"/>
  <c r="AP20" i="6"/>
  <c r="AZ20" i="6" s="1"/>
  <c r="AZ22" i="6" s="1"/>
  <c r="AP15" i="6"/>
  <c r="AP56" i="6" s="1"/>
  <c r="AP164" i="6"/>
  <c r="AP161" i="6"/>
  <c r="AP163" i="6"/>
  <c r="AP160" i="6"/>
  <c r="AP51" i="28"/>
  <c r="AZ51" i="28" s="1"/>
  <c r="AQ65" i="28"/>
  <c r="AQ66" i="28" s="1"/>
  <c r="AQ64" i="35"/>
  <c r="BA64" i="35" s="1"/>
  <c r="AP63" i="35"/>
  <c r="AP52" i="35"/>
  <c r="AZ52" i="35" s="1"/>
  <c r="AK51" i="48"/>
  <c r="AG51" i="48"/>
  <c r="AC51" i="48"/>
  <c r="W51" i="48"/>
  <c r="S51" i="48"/>
  <c r="O51" i="48"/>
  <c r="K51" i="48"/>
  <c r="AK46" i="48"/>
  <c r="AG46" i="48"/>
  <c r="AC46" i="48"/>
  <c r="W46" i="48"/>
  <c r="S46" i="48"/>
  <c r="O46" i="48"/>
  <c r="K46" i="48"/>
  <c r="K45" i="48"/>
  <c r="AK44" i="48"/>
  <c r="AG44" i="48"/>
  <c r="AC44" i="48"/>
  <c r="W44" i="48"/>
  <c r="S44" i="48"/>
  <c r="O44" i="48"/>
  <c r="K44" i="48"/>
  <c r="AK43" i="48"/>
  <c r="AG43" i="48"/>
  <c r="AC43" i="48"/>
  <c r="W43" i="48"/>
  <c r="S43" i="48"/>
  <c r="O43" i="48"/>
  <c r="K43" i="48"/>
  <c r="G51" i="48"/>
  <c r="G46" i="48"/>
  <c r="G45" i="48"/>
  <c r="G44" i="48"/>
  <c r="G43" i="48"/>
  <c r="E51" i="48"/>
  <c r="E46" i="48"/>
  <c r="E45" i="48"/>
  <c r="E44" i="48"/>
  <c r="E43" i="48"/>
  <c r="BA172" i="9" l="1"/>
  <c r="AP66" i="35"/>
  <c r="AZ63" i="35"/>
  <c r="BC310" i="6"/>
  <c r="AP59" i="28"/>
  <c r="AZ59" i="28" s="1"/>
  <c r="AP44" i="28"/>
  <c r="AZ33" i="28"/>
  <c r="AZ37" i="28" s="1"/>
  <c r="BA131" i="6"/>
  <c r="BA241" i="6"/>
  <c r="BA50" i="8" s="1"/>
  <c r="AZ312" i="28"/>
  <c r="AZ195" i="28"/>
  <c r="AZ238" i="28"/>
  <c r="AZ70" i="8"/>
  <c r="AZ131" i="6"/>
  <c r="AZ242" i="6" s="1"/>
  <c r="AZ175" i="6"/>
  <c r="AZ174" i="6"/>
  <c r="AZ170" i="6"/>
  <c r="BA242" i="6"/>
  <c r="AQ178" i="6"/>
  <c r="BA14" i="6"/>
  <c r="BA240" i="6"/>
  <c r="AZ34" i="6"/>
  <c r="AQ137" i="6"/>
  <c r="AQ7" i="36" s="1"/>
  <c r="AZ251" i="6"/>
  <c r="AZ250" i="6"/>
  <c r="AZ262" i="6"/>
  <c r="BA13" i="6"/>
  <c r="AZ17" i="6"/>
  <c r="AZ19" i="6" s="1"/>
  <c r="BA252" i="6"/>
  <c r="BA246" i="6"/>
  <c r="BA253" i="6"/>
  <c r="BA250" i="6"/>
  <c r="BA247" i="6"/>
  <c r="BA251" i="6"/>
  <c r="BA257" i="6"/>
  <c r="BA254" i="6"/>
  <c r="BA255" i="6"/>
  <c r="BA248" i="6"/>
  <c r="BA258" i="6"/>
  <c r="BA259" i="6"/>
  <c r="BA263" i="6"/>
  <c r="BA265" i="6"/>
  <c r="BA249" i="6"/>
  <c r="BA262" i="6"/>
  <c r="BA264" i="6"/>
  <c r="AZ157" i="6"/>
  <c r="AZ54" i="6"/>
  <c r="AZ56" i="6" s="1"/>
  <c r="AZ60" i="6"/>
  <c r="AZ67" i="6" s="1"/>
  <c r="AZ15" i="6"/>
  <c r="AZ36" i="6" s="1"/>
  <c r="AZ156" i="6"/>
  <c r="AZ44" i="28"/>
  <c r="AP84" i="9"/>
  <c r="AP18" i="36"/>
  <c r="AQ322" i="6"/>
  <c r="AQ183" i="6"/>
  <c r="AQ314" i="6"/>
  <c r="AQ172" i="9"/>
  <c r="AQ12" i="48" s="1"/>
  <c r="AQ64" i="6"/>
  <c r="AQ63" i="6"/>
  <c r="AQ61" i="6"/>
  <c r="AP162" i="6"/>
  <c r="AP8" i="36" s="1"/>
  <c r="AQ65" i="6"/>
  <c r="AQ156" i="6"/>
  <c r="AQ15" i="6"/>
  <c r="AQ36" i="6" s="1"/>
  <c r="AQ152" i="6"/>
  <c r="AQ316" i="6"/>
  <c r="AQ318" i="6" s="1"/>
  <c r="AQ62" i="6"/>
  <c r="AQ313" i="6"/>
  <c r="AP65" i="35"/>
  <c r="AP34" i="8"/>
  <c r="AZ34" i="8" s="1"/>
  <c r="AQ123" i="8"/>
  <c r="BA123" i="8" s="1"/>
  <c r="AQ114" i="7"/>
  <c r="AQ336" i="6"/>
  <c r="AQ330" i="6"/>
  <c r="AQ332" i="6" s="1"/>
  <c r="AP28" i="6"/>
  <c r="AP22" i="6"/>
  <c r="AP25" i="6"/>
  <c r="AP59" i="6"/>
  <c r="AP19" i="6"/>
  <c r="AP29" i="6"/>
  <c r="AZ29" i="6" s="1"/>
  <c r="AZ31" i="6" s="1"/>
  <c r="AQ264" i="6"/>
  <c r="AQ262" i="6"/>
  <c r="AQ258" i="6"/>
  <c r="AQ254" i="6"/>
  <c r="AQ252" i="6"/>
  <c r="AQ250" i="6"/>
  <c r="AQ248" i="6"/>
  <c r="AQ246" i="6"/>
  <c r="AQ253" i="6"/>
  <c r="AQ240" i="6"/>
  <c r="AQ259" i="6"/>
  <c r="AQ247" i="6"/>
  <c r="AQ255" i="6"/>
  <c r="AQ263" i="6"/>
  <c r="AQ249" i="6"/>
  <c r="AQ265" i="6"/>
  <c r="AQ251" i="6"/>
  <c r="AQ257" i="6"/>
  <c r="AP137" i="6"/>
  <c r="AP7" i="36" s="1"/>
  <c r="AQ242" i="6"/>
  <c r="AP264" i="6"/>
  <c r="AP262" i="6"/>
  <c r="AP258" i="6"/>
  <c r="AP254" i="6"/>
  <c r="AP252" i="6"/>
  <c r="AP250" i="6"/>
  <c r="AP248" i="6"/>
  <c r="AP246" i="6"/>
  <c r="AP247" i="6"/>
  <c r="AP255" i="6"/>
  <c r="AP263" i="6"/>
  <c r="AP249" i="6"/>
  <c r="AP265" i="6"/>
  <c r="AP251" i="6"/>
  <c r="AP257" i="6"/>
  <c r="AP253" i="6"/>
  <c r="AP259" i="6"/>
  <c r="AP64" i="35"/>
  <c r="AZ64" i="35" s="1"/>
  <c r="AH63" i="22"/>
  <c r="AD63" i="22"/>
  <c r="X63" i="22"/>
  <c r="T63" i="22"/>
  <c r="P63" i="22"/>
  <c r="L63" i="22"/>
  <c r="H63" i="22"/>
  <c r="F63" i="22"/>
  <c r="AL63" i="22"/>
  <c r="H58" i="22"/>
  <c r="L58" i="22"/>
  <c r="P58" i="22"/>
  <c r="T58" i="22"/>
  <c r="X58" i="22"/>
  <c r="AD58" i="22"/>
  <c r="AH58" i="22"/>
  <c r="AL58" i="22"/>
  <c r="F58" i="22"/>
  <c r="AM132" i="8"/>
  <c r="Y132" i="8"/>
  <c r="Y134" i="8" s="1"/>
  <c r="Y135" i="8" s="1"/>
  <c r="Y34" i="48" s="1"/>
  <c r="I132" i="8"/>
  <c r="M132" i="8" s="1"/>
  <c r="AC134" i="8"/>
  <c r="AC135" i="8" s="1"/>
  <c r="AC34" i="48" s="1"/>
  <c r="W134" i="8"/>
  <c r="W135" i="8" s="1"/>
  <c r="W34" i="48" s="1"/>
  <c r="S134" i="8"/>
  <c r="S135" i="8" s="1"/>
  <c r="S34" i="48" s="1"/>
  <c r="O134" i="8"/>
  <c r="O135" i="8" s="1"/>
  <c r="O34" i="48" s="1"/>
  <c r="K134" i="8"/>
  <c r="K135" i="8" s="1"/>
  <c r="K34" i="48" s="1"/>
  <c r="I134" i="8"/>
  <c r="I135" i="8" s="1"/>
  <c r="I34" i="48" s="1"/>
  <c r="G134" i="8"/>
  <c r="G135" i="8" s="1"/>
  <c r="G34" i="48" s="1"/>
  <c r="E134" i="8"/>
  <c r="E135" i="8" s="1"/>
  <c r="E34" i="48" s="1"/>
  <c r="AG134" i="8"/>
  <c r="AG135" i="8" s="1"/>
  <c r="AG34" i="48" s="1"/>
  <c r="AM134" i="8"/>
  <c r="AM135" i="8" s="1"/>
  <c r="AM34" i="48" s="1"/>
  <c r="AK134" i="8"/>
  <c r="AK135" i="8" s="1"/>
  <c r="AK34" i="48" s="1"/>
  <c r="AM144" i="8"/>
  <c r="AM146" i="8" s="1"/>
  <c r="AM147" i="8" s="1"/>
  <c r="AM31" i="48" s="1"/>
  <c r="Y144" i="8"/>
  <c r="Y146" i="8" s="1"/>
  <c r="Y147" i="8" s="1"/>
  <c r="Y31" i="48" s="1"/>
  <c r="I144" i="8"/>
  <c r="I146" i="8" s="1"/>
  <c r="I147" i="8" s="1"/>
  <c r="I31" i="48" s="1"/>
  <c r="E146" i="8"/>
  <c r="E147" i="8" s="1"/>
  <c r="E31" i="48" s="1"/>
  <c r="G146" i="8"/>
  <c r="G147" i="8" s="1"/>
  <c r="G31" i="48" s="1"/>
  <c r="K146" i="8"/>
  <c r="K147" i="8" s="1"/>
  <c r="K31" i="48" s="1"/>
  <c r="O146" i="8"/>
  <c r="O147" i="8" s="1"/>
  <c r="O31" i="48" s="1"/>
  <c r="S146" i="8"/>
  <c r="S147" i="8" s="1"/>
  <c r="S31" i="48" s="1"/>
  <c r="W146" i="8"/>
  <c r="W147" i="8" s="1"/>
  <c r="W31" i="48" s="1"/>
  <c r="AC146" i="8"/>
  <c r="AC147" i="8" s="1"/>
  <c r="AC31" i="48" s="1"/>
  <c r="AG146" i="8"/>
  <c r="AG147" i="8" s="1"/>
  <c r="AG31" i="48" s="1"/>
  <c r="AK146" i="8"/>
  <c r="AK147" i="8" s="1"/>
  <c r="AK31" i="48" s="1"/>
  <c r="AG125" i="7"/>
  <c r="AG127" i="7" s="1"/>
  <c r="AG128" i="7" s="1"/>
  <c r="AG27" i="48" s="1"/>
  <c r="AC125" i="7"/>
  <c r="AC127" i="7" s="1"/>
  <c r="AC128" i="7" s="1"/>
  <c r="AC27" i="48" s="1"/>
  <c r="W125" i="7"/>
  <c r="W127" i="7" s="1"/>
  <c r="W128" i="7" s="1"/>
  <c r="W27" i="48" s="1"/>
  <c r="S125" i="7"/>
  <c r="S127" i="7" s="1"/>
  <c r="S128" i="7" s="1"/>
  <c r="S27" i="48" s="1"/>
  <c r="O125" i="7"/>
  <c r="O127" i="7" s="1"/>
  <c r="O128" i="7" s="1"/>
  <c r="O27" i="48" s="1"/>
  <c r="K125" i="7"/>
  <c r="K127" i="7" s="1"/>
  <c r="K128" i="7" s="1"/>
  <c r="K27" i="48" s="1"/>
  <c r="G127" i="7"/>
  <c r="G128" i="7" s="1"/>
  <c r="G27" i="48" s="1"/>
  <c r="G125" i="7"/>
  <c r="E125" i="7"/>
  <c r="E127" i="7" s="1"/>
  <c r="E128" i="7" s="1"/>
  <c r="E27" i="48" s="1"/>
  <c r="AK125" i="7"/>
  <c r="AK127" i="7" s="1"/>
  <c r="AH52" i="22"/>
  <c r="AD52" i="22"/>
  <c r="X52" i="22"/>
  <c r="T52" i="22"/>
  <c r="P52" i="22"/>
  <c r="L52" i="22"/>
  <c r="H52" i="22"/>
  <c r="F52" i="22"/>
  <c r="AL52" i="22"/>
  <c r="AZ65" i="35" l="1"/>
  <c r="AZ66" i="35"/>
  <c r="AP63" i="28"/>
  <c r="AZ63" i="28" s="1"/>
  <c r="AZ264" i="6"/>
  <c r="AZ252" i="6"/>
  <c r="AZ258" i="6"/>
  <c r="AZ249" i="6"/>
  <c r="AZ257" i="6"/>
  <c r="AZ255" i="6"/>
  <c r="AZ247" i="6"/>
  <c r="AZ240" i="6"/>
  <c r="AZ263" i="6"/>
  <c r="AZ259" i="6"/>
  <c r="AZ246" i="6"/>
  <c r="AZ265" i="6"/>
  <c r="AZ266" i="6" s="1"/>
  <c r="AZ285" i="6" s="1"/>
  <c r="AZ254" i="6"/>
  <c r="AZ253" i="6"/>
  <c r="AZ248" i="6"/>
  <c r="BA58" i="6"/>
  <c r="AZ147" i="6"/>
  <c r="AZ149" i="6"/>
  <c r="AZ146" i="6"/>
  <c r="BA266" i="6"/>
  <c r="BA285" i="6" s="1"/>
  <c r="AZ144" i="6"/>
  <c r="AZ241" i="6" s="1"/>
  <c r="AZ50" i="8" s="1"/>
  <c r="AZ145" i="6"/>
  <c r="AZ148" i="6"/>
  <c r="AZ59" i="6"/>
  <c r="AQ337" i="6"/>
  <c r="AQ323" i="6"/>
  <c r="BA256" i="6"/>
  <c r="AZ33" i="6"/>
  <c r="BA157" i="6"/>
  <c r="BA15" i="6"/>
  <c r="BA60" i="6"/>
  <c r="BA62" i="6"/>
  <c r="BA63" i="6"/>
  <c r="BA64" i="6"/>
  <c r="BA61" i="6"/>
  <c r="BA65" i="6"/>
  <c r="BA54" i="6"/>
  <c r="BA152" i="6"/>
  <c r="BA316" i="6"/>
  <c r="BA330" i="6"/>
  <c r="BA313" i="6"/>
  <c r="BA156" i="6"/>
  <c r="BA57" i="6"/>
  <c r="AZ35" i="6"/>
  <c r="BA184" i="6"/>
  <c r="BA55" i="6"/>
  <c r="BA178" i="6"/>
  <c r="BA322" i="6"/>
  <c r="BA336" i="6"/>
  <c r="BA314" i="6"/>
  <c r="BA183" i="6"/>
  <c r="BA260" i="6"/>
  <c r="BA280" i="6" s="1"/>
  <c r="AP21" i="9"/>
  <c r="AZ21" i="9" s="1"/>
  <c r="AP86" i="9"/>
  <c r="AQ324" i="6"/>
  <c r="AQ325" i="6" s="1"/>
  <c r="AQ326" i="6" s="1"/>
  <c r="AQ35" i="6"/>
  <c r="AQ333" i="6"/>
  <c r="AQ59" i="6"/>
  <c r="AQ33" i="6"/>
  <c r="AQ319" i="6"/>
  <c r="AQ66" i="6"/>
  <c r="AQ67" i="6" s="1"/>
  <c r="AQ317" i="6"/>
  <c r="AQ34" i="6"/>
  <c r="AQ56" i="6"/>
  <c r="AQ331" i="6"/>
  <c r="AQ11" i="48"/>
  <c r="AQ13" i="48" s="1"/>
  <c r="AQ17" i="48"/>
  <c r="AQ18" i="48" s="1"/>
  <c r="AQ116" i="7"/>
  <c r="AQ338" i="6"/>
  <c r="AQ339" i="6" s="1"/>
  <c r="AP31" i="6"/>
  <c r="AQ256" i="6"/>
  <c r="AQ277" i="6" s="1"/>
  <c r="AP256" i="6"/>
  <c r="AP277" i="6" s="1"/>
  <c r="AP260" i="6"/>
  <c r="AP280" i="6" s="1"/>
  <c r="AQ260" i="6"/>
  <c r="AQ280" i="6" s="1"/>
  <c r="AQ266" i="6"/>
  <c r="AQ285" i="6" s="1"/>
  <c r="AP266" i="6"/>
  <c r="AP285" i="6" s="1"/>
  <c r="M134" i="8"/>
  <c r="M135" i="8" s="1"/>
  <c r="M34" i="48" s="1"/>
  <c r="Q132" i="8"/>
  <c r="AK128" i="7"/>
  <c r="AK27" i="48" s="1"/>
  <c r="M144" i="8"/>
  <c r="AZ84" i="9" l="1"/>
  <c r="AZ86" i="9" s="1"/>
  <c r="AZ260" i="6"/>
  <c r="AZ280" i="6" s="1"/>
  <c r="AZ256" i="6"/>
  <c r="AZ277" i="6" s="1"/>
  <c r="BA338" i="6"/>
  <c r="BA339" i="6" s="1"/>
  <c r="BA337" i="6"/>
  <c r="BA332" i="6"/>
  <c r="BA333" i="6" s="1"/>
  <c r="BA331" i="6"/>
  <c r="AZ37" i="6"/>
  <c r="BA59" i="6"/>
  <c r="BA318" i="6"/>
  <c r="BA319" i="6" s="1"/>
  <c r="BA317" i="6"/>
  <c r="BA66" i="6"/>
  <c r="BA67" i="6" s="1"/>
  <c r="BA277" i="6"/>
  <c r="BA261" i="6"/>
  <c r="BA34" i="6"/>
  <c r="BA36" i="6"/>
  <c r="BA35" i="6"/>
  <c r="BA33" i="6"/>
  <c r="BA323" i="6"/>
  <c r="BA324" i="6"/>
  <c r="BA325" i="6" s="1"/>
  <c r="BA56" i="6"/>
  <c r="AQ334" i="6"/>
  <c r="AQ37" i="6"/>
  <c r="AQ340" i="6"/>
  <c r="AQ320" i="6"/>
  <c r="AQ327" i="6" s="1"/>
  <c r="AQ6" i="48" s="1"/>
  <c r="AQ261" i="6"/>
  <c r="AQ281" i="6" s="1"/>
  <c r="AP261" i="6"/>
  <c r="U132" i="8"/>
  <c r="Q134" i="8"/>
  <c r="Q135" i="8" s="1"/>
  <c r="Q34" i="48" s="1"/>
  <c r="M146" i="8"/>
  <c r="M147" i="8" s="1"/>
  <c r="M31" i="48" s="1"/>
  <c r="Q144" i="8"/>
  <c r="AZ261" i="6" l="1"/>
  <c r="AZ281" i="6" s="1"/>
  <c r="BA281" i="6"/>
  <c r="BA320" i="6"/>
  <c r="BA334" i="6"/>
  <c r="BA37" i="6"/>
  <c r="BA326" i="6"/>
  <c r="BA267" i="6"/>
  <c r="BA9" i="36"/>
  <c r="AZ9" i="36"/>
  <c r="BA340" i="6"/>
  <c r="AQ341" i="6"/>
  <c r="AQ7" i="48" s="1"/>
  <c r="AQ8" i="48" s="1"/>
  <c r="AQ267" i="6"/>
  <c r="AQ286" i="6" s="1"/>
  <c r="AQ9" i="36"/>
  <c r="AP267" i="6"/>
  <c r="AP9" i="36"/>
  <c r="AP281" i="6"/>
  <c r="AA132" i="8"/>
  <c r="U134" i="8"/>
  <c r="U135" i="8" s="1"/>
  <c r="U34" i="48" s="1"/>
  <c r="U144" i="8"/>
  <c r="Q146" i="8"/>
  <c r="Q147" i="8" s="1"/>
  <c r="Q31" i="48" s="1"/>
  <c r="AZ267" i="6" l="1"/>
  <c r="AZ286" i="6" s="1"/>
  <c r="BA327" i="6"/>
  <c r="BA341" i="6"/>
  <c r="BA286" i="6"/>
  <c r="AQ343" i="6"/>
  <c r="AP286" i="6"/>
  <c r="AA134" i="8"/>
  <c r="AA135" i="8" s="1"/>
  <c r="AA34" i="48" s="1"/>
  <c r="AE132" i="8"/>
  <c r="U146" i="8"/>
  <c r="U147" i="8" s="1"/>
  <c r="U31" i="48" s="1"/>
  <c r="AA144" i="8"/>
  <c r="BA343" i="6" l="1"/>
  <c r="AI132" i="8"/>
  <c r="AE134" i="8"/>
  <c r="AE135" i="8" s="1"/>
  <c r="AE34" i="48" s="1"/>
  <c r="AA146" i="8"/>
  <c r="AA147" i="8" s="1"/>
  <c r="AA31" i="48" s="1"/>
  <c r="AE144" i="8"/>
  <c r="AO132" i="8" l="1"/>
  <c r="AI134" i="8"/>
  <c r="AI135" i="8" s="1"/>
  <c r="AI34" i="48" s="1"/>
  <c r="AI144" i="8"/>
  <c r="AE146" i="8"/>
  <c r="AE147" i="8" s="1"/>
  <c r="AE31" i="48" s="1"/>
  <c r="AO134" i="8" l="1"/>
  <c r="AO135" i="8" s="1"/>
  <c r="AO34" i="48" s="1"/>
  <c r="AS132" i="8"/>
  <c r="AI146" i="8"/>
  <c r="AI147" i="8" s="1"/>
  <c r="AI31" i="48" s="1"/>
  <c r="AO144" i="8"/>
  <c r="AS134" i="8" l="1"/>
  <c r="AS135" i="8" s="1"/>
  <c r="AS34" i="48" s="1"/>
  <c r="AW132" i="8"/>
  <c r="AO146" i="8"/>
  <c r="AO147" i="8" s="1"/>
  <c r="AO31" i="48" s="1"/>
  <c r="AS144" i="8"/>
  <c r="AG119" i="7"/>
  <c r="AG121" i="7" s="1"/>
  <c r="AG122" i="7" s="1"/>
  <c r="AG22" i="48" s="1"/>
  <c r="AC119" i="7"/>
  <c r="AC121" i="7" s="1"/>
  <c r="AC122" i="7" s="1"/>
  <c r="AC22" i="48" s="1"/>
  <c r="W119" i="7"/>
  <c r="W121" i="7" s="1"/>
  <c r="W122" i="7" s="1"/>
  <c r="W22" i="48" s="1"/>
  <c r="S119" i="7"/>
  <c r="S121" i="7" s="1"/>
  <c r="S122" i="7" s="1"/>
  <c r="S22" i="48" s="1"/>
  <c r="O119" i="7"/>
  <c r="O121" i="7" s="1"/>
  <c r="O122" i="7" s="1"/>
  <c r="O22" i="48" s="1"/>
  <c r="K119" i="7"/>
  <c r="K121" i="7" s="1"/>
  <c r="K122" i="7" s="1"/>
  <c r="K22" i="48" s="1"/>
  <c r="G119" i="7"/>
  <c r="G121" i="7" s="1"/>
  <c r="G122" i="7" s="1"/>
  <c r="G22" i="48" s="1"/>
  <c r="E119" i="7"/>
  <c r="E121" i="7" s="1"/>
  <c r="E122" i="7" s="1"/>
  <c r="E22" i="48" s="1"/>
  <c r="AH44" i="22"/>
  <c r="AD44" i="22"/>
  <c r="X44" i="22"/>
  <c r="T44" i="22"/>
  <c r="P44" i="22"/>
  <c r="L44" i="22"/>
  <c r="H44" i="22"/>
  <c r="F44" i="22"/>
  <c r="AL44" i="22"/>
  <c r="AK119" i="7"/>
  <c r="AK121" i="7" s="1"/>
  <c r="AK122" i="7" s="1"/>
  <c r="AK22" i="48" s="1"/>
  <c r="AN7" i="48"/>
  <c r="AL7" i="48"/>
  <c r="AJ7" i="48"/>
  <c r="AH7" i="48"/>
  <c r="AF7" i="48"/>
  <c r="AD7" i="48"/>
  <c r="AB7" i="48"/>
  <c r="Z7" i="48"/>
  <c r="X7" i="48"/>
  <c r="V7" i="48"/>
  <c r="T7" i="48"/>
  <c r="R7" i="48"/>
  <c r="P7" i="48"/>
  <c r="N7" i="48"/>
  <c r="L7" i="48"/>
  <c r="J7" i="48"/>
  <c r="H7" i="48"/>
  <c r="F7" i="48"/>
  <c r="AN6" i="48"/>
  <c r="AL6" i="48"/>
  <c r="AJ6" i="48"/>
  <c r="AH6" i="48"/>
  <c r="AF6" i="48"/>
  <c r="AD6" i="48"/>
  <c r="AB6" i="48"/>
  <c r="Z6" i="48"/>
  <c r="X6" i="48"/>
  <c r="V6" i="48"/>
  <c r="T6" i="48"/>
  <c r="R6" i="48"/>
  <c r="P6" i="48"/>
  <c r="N6" i="48"/>
  <c r="L6" i="48"/>
  <c r="J6" i="48"/>
  <c r="H6" i="48"/>
  <c r="F6" i="48"/>
  <c r="D7" i="48"/>
  <c r="D6" i="48"/>
  <c r="AM2" i="48"/>
  <c r="AL2" i="48"/>
  <c r="Y2" i="48"/>
  <c r="X2" i="48"/>
  <c r="I2" i="48"/>
  <c r="H2" i="48"/>
  <c r="L2" i="48" s="1"/>
  <c r="P2" i="48" s="1"/>
  <c r="T2" i="48" s="1"/>
  <c r="Z2" i="48" s="1"/>
  <c r="AD2" i="48" s="1"/>
  <c r="AH2" i="48" s="1"/>
  <c r="AN2" i="48" s="1"/>
  <c r="AR2" i="48" s="1"/>
  <c r="AG163" i="9"/>
  <c r="AG165" i="9" s="1"/>
  <c r="AG166" i="9" s="1"/>
  <c r="AC163" i="9"/>
  <c r="AC165" i="9" s="1"/>
  <c r="AC166" i="9" s="1"/>
  <c r="W163" i="9"/>
  <c r="W165" i="9" s="1"/>
  <c r="W166" i="9" s="1"/>
  <c r="S163" i="9"/>
  <c r="O163" i="9"/>
  <c r="O165" i="9" s="1"/>
  <c r="K163" i="9"/>
  <c r="K165" i="9" s="1"/>
  <c r="K166" i="9" s="1"/>
  <c r="G163" i="9"/>
  <c r="G165" i="9" s="1"/>
  <c r="G166" i="9" s="1"/>
  <c r="E163" i="9"/>
  <c r="AK163" i="9"/>
  <c r="AK165" i="9" s="1"/>
  <c r="AK166" i="9" s="1"/>
  <c r="AM113" i="8"/>
  <c r="Y113" i="8"/>
  <c r="I113" i="8"/>
  <c r="BE132" i="8" l="1"/>
  <c r="BC132" i="8"/>
  <c r="AW134" i="8"/>
  <c r="AW135" i="8" s="1"/>
  <c r="AS146" i="8"/>
  <c r="AS147" i="8" s="1"/>
  <c r="AS31" i="48" s="1"/>
  <c r="AW144" i="8"/>
  <c r="M113" i="8"/>
  <c r="Q113" i="8" s="1"/>
  <c r="H8" i="48"/>
  <c r="P8" i="48"/>
  <c r="X8" i="48"/>
  <c r="AF8" i="48"/>
  <c r="AN8" i="48"/>
  <c r="J8" i="48"/>
  <c r="R8" i="48"/>
  <c r="Z8" i="48"/>
  <c r="AH8" i="48"/>
  <c r="L8" i="48"/>
  <c r="T8" i="48"/>
  <c r="AB8" i="48"/>
  <c r="AJ8" i="48"/>
  <c r="F8" i="48"/>
  <c r="N8" i="48"/>
  <c r="V8" i="48"/>
  <c r="AD8" i="48"/>
  <c r="AL8" i="48"/>
  <c r="D8" i="48"/>
  <c r="M2" i="48"/>
  <c r="Q2" i="48" s="1"/>
  <c r="U2" i="48" s="1"/>
  <c r="AA2" i="48" s="1"/>
  <c r="AE2" i="48" s="1"/>
  <c r="AI2" i="48" s="1"/>
  <c r="AO2" i="48" s="1"/>
  <c r="AS2" i="48" s="1"/>
  <c r="AK170" i="9"/>
  <c r="AG170" i="9"/>
  <c r="AC170" i="9"/>
  <c r="W170" i="9"/>
  <c r="S165" i="9"/>
  <c r="S166" i="9" s="1"/>
  <c r="O166" i="9"/>
  <c r="K170" i="9"/>
  <c r="G170" i="9"/>
  <c r="E165" i="9"/>
  <c r="E166" i="9" s="1"/>
  <c r="U113" i="8"/>
  <c r="AG114" i="8"/>
  <c r="AG118" i="8" s="1"/>
  <c r="AC114" i="8"/>
  <c r="AC118" i="8" s="1"/>
  <c r="W114" i="8"/>
  <c r="S114" i="8"/>
  <c r="S118" i="8" s="1"/>
  <c r="O114" i="8"/>
  <c r="O118" i="8" s="1"/>
  <c r="K114" i="8"/>
  <c r="K118" i="8" s="1"/>
  <c r="G114" i="8"/>
  <c r="G118" i="8" s="1"/>
  <c r="E118" i="8"/>
  <c r="E114" i="8"/>
  <c r="AK114" i="8"/>
  <c r="BE134" i="8" l="1"/>
  <c r="BE135" i="8"/>
  <c r="BE144" i="8"/>
  <c r="BC144" i="8"/>
  <c r="BC146" i="8" s="1"/>
  <c r="BC147" i="8" s="1"/>
  <c r="AW146" i="8"/>
  <c r="AW147" i="8" s="1"/>
  <c r="AA113" i="8"/>
  <c r="AE113" i="8" s="1"/>
  <c r="AI113" i="8" s="1"/>
  <c r="AO113" i="8" s="1"/>
  <c r="BC134" i="8"/>
  <c r="BC135" i="8" s="1"/>
  <c r="AK116" i="8"/>
  <c r="AK110" i="7" s="1"/>
  <c r="AK118" i="8"/>
  <c r="AM114" i="8"/>
  <c r="AM118" i="8" s="1"/>
  <c r="K102" i="7"/>
  <c r="K167" i="9"/>
  <c r="K168" i="9" s="1"/>
  <c r="AC102" i="7"/>
  <c r="AC167" i="9"/>
  <c r="AC168" i="9" s="1"/>
  <c r="G167" i="9"/>
  <c r="G168" i="9" s="1"/>
  <c r="G102" i="7"/>
  <c r="Y114" i="8"/>
  <c r="W118" i="8"/>
  <c r="I114" i="8"/>
  <c r="O102" i="7"/>
  <c r="O167" i="9"/>
  <c r="O168" i="9" s="1"/>
  <c r="AG167" i="9"/>
  <c r="AG168" i="9" s="1"/>
  <c r="AG102" i="7"/>
  <c r="AC171" i="9"/>
  <c r="E102" i="7"/>
  <c r="E167" i="9"/>
  <c r="E168" i="9" s="1"/>
  <c r="S167" i="9"/>
  <c r="S168" i="9" s="1"/>
  <c r="S102" i="7"/>
  <c r="K171" i="9"/>
  <c r="K172" i="9" s="1"/>
  <c r="K12" i="48" s="1"/>
  <c r="AC172" i="9"/>
  <c r="AC12" i="48" s="1"/>
  <c r="S170" i="9"/>
  <c r="S171" i="9" s="1"/>
  <c r="O170" i="9"/>
  <c r="E170" i="9"/>
  <c r="E171" i="9" s="1"/>
  <c r="AK117" i="8"/>
  <c r="AK119" i="8" s="1"/>
  <c r="AG116" i="8"/>
  <c r="AC116" i="8"/>
  <c r="W116" i="8"/>
  <c r="W110" i="7" s="1"/>
  <c r="S116" i="8"/>
  <c r="O116" i="8"/>
  <c r="K116" i="8"/>
  <c r="G116" i="8"/>
  <c r="G121" i="8" s="1"/>
  <c r="E116" i="8"/>
  <c r="BE146" i="8" l="1"/>
  <c r="BE147" i="8" s="1"/>
  <c r="O171" i="9"/>
  <c r="AS113" i="8"/>
  <c r="AW113" i="8" s="1"/>
  <c r="BC113" i="8" s="1"/>
  <c r="BE113" i="8"/>
  <c r="O172" i="9"/>
  <c r="O12" i="48" s="1"/>
  <c r="G171" i="9"/>
  <c r="G172" i="9" s="1"/>
  <c r="G12" i="48" s="1"/>
  <c r="W102" i="7"/>
  <c r="W111" i="7" s="1"/>
  <c r="W167" i="9"/>
  <c r="AK112" i="7"/>
  <c r="K117" i="8"/>
  <c r="K110" i="7"/>
  <c r="E117" i="8"/>
  <c r="E110" i="7"/>
  <c r="O117" i="8"/>
  <c r="O110" i="7"/>
  <c r="S117" i="8"/>
  <c r="S110" i="7"/>
  <c r="G117" i="8"/>
  <c r="G110" i="7"/>
  <c r="W112" i="7"/>
  <c r="M114" i="8"/>
  <c r="AA114" i="8" s="1"/>
  <c r="I118" i="8"/>
  <c r="Y118" i="8"/>
  <c r="AK121" i="8"/>
  <c r="AK122" i="8" s="1"/>
  <c r="AG171" i="9"/>
  <c r="AG172" i="9" s="1"/>
  <c r="AG12" i="48" s="1"/>
  <c r="AM102" i="7"/>
  <c r="AM167" i="9"/>
  <c r="AC117" i="8"/>
  <c r="AC110" i="7"/>
  <c r="AG117" i="8"/>
  <c r="AG110" i="7"/>
  <c r="AK102" i="7"/>
  <c r="AK111" i="7" s="1"/>
  <c r="AK167" i="9"/>
  <c r="E172" i="9"/>
  <c r="E12" i="48" s="1"/>
  <c r="S172" i="9"/>
  <c r="S12" i="48" s="1"/>
  <c r="AM116" i="8"/>
  <c r="W117" i="8"/>
  <c r="Y117" i="8" s="1"/>
  <c r="Y116" i="8"/>
  <c r="O121" i="8"/>
  <c r="I117" i="8"/>
  <c r="M117" i="8" s="1"/>
  <c r="Q117" i="8" s="1"/>
  <c r="U117" i="8" s="1"/>
  <c r="I116" i="8"/>
  <c r="G122" i="8"/>
  <c r="S121" i="8"/>
  <c r="S122" i="8" s="1"/>
  <c r="AG121" i="8"/>
  <c r="AG122" i="8" s="1"/>
  <c r="AG119" i="8"/>
  <c r="AC121" i="8"/>
  <c r="AC122" i="8" s="1"/>
  <c r="W121" i="8"/>
  <c r="S119" i="8"/>
  <c r="O119" i="8"/>
  <c r="O122" i="8"/>
  <c r="K119" i="8"/>
  <c r="K121" i="8"/>
  <c r="K122" i="8" s="1"/>
  <c r="G119" i="8"/>
  <c r="E119" i="8"/>
  <c r="E121" i="8"/>
  <c r="E122" i="8" s="1"/>
  <c r="AK7" i="35"/>
  <c r="P52" i="37"/>
  <c r="R52" i="37" s="1"/>
  <c r="O123" i="8" l="1"/>
  <c r="O11" i="48" s="1"/>
  <c r="AM117" i="8"/>
  <c r="O13" i="48"/>
  <c r="AE114" i="8"/>
  <c r="AA118" i="8"/>
  <c r="M116" i="8"/>
  <c r="AA116" i="8" s="1"/>
  <c r="W119" i="8"/>
  <c r="Y119" i="8" s="1"/>
  <c r="AK168" i="9"/>
  <c r="AK171" i="9"/>
  <c r="S112" i="7"/>
  <c r="S113" i="7" s="1"/>
  <c r="S111" i="7"/>
  <c r="E111" i="7"/>
  <c r="E112" i="7"/>
  <c r="E113" i="7" s="1"/>
  <c r="AM121" i="8"/>
  <c r="AC119" i="8"/>
  <c r="Y102" i="7"/>
  <c r="Y167" i="9"/>
  <c r="W113" i="7"/>
  <c r="W114" i="7" s="1"/>
  <c r="W17" i="48" s="1"/>
  <c r="AK113" i="7"/>
  <c r="AK114" i="7" s="1"/>
  <c r="AK17" i="48" s="1"/>
  <c r="AC112" i="7"/>
  <c r="AC113" i="7" s="1"/>
  <c r="AC111" i="7"/>
  <c r="AC114" i="7" s="1"/>
  <c r="AC17" i="48" s="1"/>
  <c r="I102" i="7"/>
  <c r="I167" i="9"/>
  <c r="G112" i="7"/>
  <c r="G113" i="7" s="1"/>
  <c r="G111" i="7"/>
  <c r="G114" i="7" s="1"/>
  <c r="G17" i="48" s="1"/>
  <c r="O112" i="7"/>
  <c r="O113" i="7" s="1"/>
  <c r="O111" i="7"/>
  <c r="K111" i="7"/>
  <c r="K112" i="7"/>
  <c r="K113" i="7" s="1"/>
  <c r="W168" i="9"/>
  <c r="W171" i="9"/>
  <c r="AG112" i="7"/>
  <c r="AG113" i="7" s="1"/>
  <c r="AG111" i="7"/>
  <c r="AG114" i="7" s="1"/>
  <c r="AG17" i="48" s="1"/>
  <c r="M118" i="8"/>
  <c r="Q114" i="8"/>
  <c r="W122" i="8"/>
  <c r="Y122" i="8" s="1"/>
  <c r="Y121" i="8"/>
  <c r="AM119" i="8"/>
  <c r="E123" i="8"/>
  <c r="E11" i="48" s="1"/>
  <c r="E13" i="48" s="1"/>
  <c r="I121" i="8"/>
  <c r="M121" i="8" s="1"/>
  <c r="Q121" i="8" s="1"/>
  <c r="U121" i="8" s="1"/>
  <c r="AM122" i="8"/>
  <c r="I122" i="8"/>
  <c r="M122" i="8" s="1"/>
  <c r="Q122" i="8" s="1"/>
  <c r="U122" i="8" s="1"/>
  <c r="AK123" i="8"/>
  <c r="AK11" i="48" s="1"/>
  <c r="AA117" i="8"/>
  <c r="AE117" i="8" s="1"/>
  <c r="AI117" i="8" s="1"/>
  <c r="AO117" i="8" s="1"/>
  <c r="S123" i="8"/>
  <c r="S11" i="48" s="1"/>
  <c r="S13" i="48" s="1"/>
  <c r="W123" i="8"/>
  <c r="W11" i="48" s="1"/>
  <c r="AG123" i="8"/>
  <c r="AG11" i="48" s="1"/>
  <c r="AG13" i="48" s="1"/>
  <c r="G123" i="8"/>
  <c r="I119" i="8"/>
  <c r="M119" i="8" s="1"/>
  <c r="Q119" i="8" s="1"/>
  <c r="U119" i="8" s="1"/>
  <c r="K123" i="8"/>
  <c r="K11" i="48" s="1"/>
  <c r="K13" i="48" s="1"/>
  <c r="AC123" i="8"/>
  <c r="AC11" i="48" s="1"/>
  <c r="AC13" i="48" s="1"/>
  <c r="AO288" i="28"/>
  <c r="AS288" i="28" s="1"/>
  <c r="AW288" i="28" s="1"/>
  <c r="BE288" i="28" s="1"/>
  <c r="AM287" i="28"/>
  <c r="BC287" i="28" s="1"/>
  <c r="AM288" i="28"/>
  <c r="BC288" i="28" s="1"/>
  <c r="AM289" i="28"/>
  <c r="BC289" i="28" s="1"/>
  <c r="AM291" i="28"/>
  <c r="BC291" i="28" s="1"/>
  <c r="AM293" i="28"/>
  <c r="BC293" i="28" s="1"/>
  <c r="AM298" i="28"/>
  <c r="BC298" i="28" s="1"/>
  <c r="AM299" i="28"/>
  <c r="BC299" i="28" s="1"/>
  <c r="AM270" i="28"/>
  <c r="BC270" i="28" s="1"/>
  <c r="AM271" i="28"/>
  <c r="BC271" i="28" s="1"/>
  <c r="AM273" i="28"/>
  <c r="BC273" i="28" s="1"/>
  <c r="AM274" i="28"/>
  <c r="BC274" i="28" s="1"/>
  <c r="AM275" i="28"/>
  <c r="BC275" i="28" s="1"/>
  <c r="AM276" i="28"/>
  <c r="BC276" i="28" s="1"/>
  <c r="AM277" i="28"/>
  <c r="BC277" i="28" s="1"/>
  <c r="AM278" i="28"/>
  <c r="BC278" i="28" s="1"/>
  <c r="AM279" i="28"/>
  <c r="BC279" i="28" s="1"/>
  <c r="AM280" i="28"/>
  <c r="BC280" i="28" s="1"/>
  <c r="AM281" i="28"/>
  <c r="BC281" i="28" s="1"/>
  <c r="AM282" i="28"/>
  <c r="BC282" i="28" s="1"/>
  <c r="AM283" i="28"/>
  <c r="AM251" i="28"/>
  <c r="BC251" i="28" s="1"/>
  <c r="AM252" i="28"/>
  <c r="BC252" i="28" s="1"/>
  <c r="AM253" i="28"/>
  <c r="BC253" i="28" s="1"/>
  <c r="AM254" i="28"/>
  <c r="BC254" i="28" s="1"/>
  <c r="AM257" i="28"/>
  <c r="BC257" i="28" s="1"/>
  <c r="AM258" i="28"/>
  <c r="BC258" i="28" s="1"/>
  <c r="AM259" i="28"/>
  <c r="BC259" i="28" s="1"/>
  <c r="AM260" i="28"/>
  <c r="BC260" i="28" s="1"/>
  <c r="AM261" i="28"/>
  <c r="BC261" i="28" s="1"/>
  <c r="AM262" i="28"/>
  <c r="BC262" i="28" s="1"/>
  <c r="AM263" i="28"/>
  <c r="BC263" i="28" s="1"/>
  <c r="AM264" i="28"/>
  <c r="BC264" i="28" s="1"/>
  <c r="AM265" i="28"/>
  <c r="BC265" i="28" s="1"/>
  <c r="AM266" i="28"/>
  <c r="BC266" i="28" s="1"/>
  <c r="AM267" i="28"/>
  <c r="BC267" i="28" s="1"/>
  <c r="AO221" i="28"/>
  <c r="AS221" i="28" s="1"/>
  <c r="AW221" i="28" s="1"/>
  <c r="BE221" i="28" s="1"/>
  <c r="AM203" i="28"/>
  <c r="BC203" i="28" s="1"/>
  <c r="AM206" i="28"/>
  <c r="BC206" i="28" s="1"/>
  <c r="AM208" i="28"/>
  <c r="BC208" i="28" s="1"/>
  <c r="AM209" i="28"/>
  <c r="BC209" i="28" s="1"/>
  <c r="AM210" i="28"/>
  <c r="BC210" i="28" s="1"/>
  <c r="AM211" i="28"/>
  <c r="BC211" i="28" s="1"/>
  <c r="AM212" i="28"/>
  <c r="BC212" i="28" s="1"/>
  <c r="AM214" i="28"/>
  <c r="BC214" i="28" s="1"/>
  <c r="AM215" i="28"/>
  <c r="BC215" i="28" s="1"/>
  <c r="AM216" i="28"/>
  <c r="BC216" i="28" s="1"/>
  <c r="AM217" i="28"/>
  <c r="BC217" i="28" s="1"/>
  <c r="AM218" i="28"/>
  <c r="BC218" i="28" s="1"/>
  <c r="AM219" i="28"/>
  <c r="BC219" i="28" s="1"/>
  <c r="AM220" i="28"/>
  <c r="BC220" i="28" s="1"/>
  <c r="AM221" i="28"/>
  <c r="BC221" i="28" s="1"/>
  <c r="AM222" i="28"/>
  <c r="BC222" i="28" s="1"/>
  <c r="AM223" i="28"/>
  <c r="BC223" i="28" s="1"/>
  <c r="AM224" i="28"/>
  <c r="BC224" i="28" s="1"/>
  <c r="AM225" i="28"/>
  <c r="BC225" i="28" s="1"/>
  <c r="AM226" i="28"/>
  <c r="BC226" i="28" s="1"/>
  <c r="AM227" i="28"/>
  <c r="BC227" i="28" s="1"/>
  <c r="AM228" i="28"/>
  <c r="BC228" i="28" s="1"/>
  <c r="AM230" i="28"/>
  <c r="BC230" i="28" s="1"/>
  <c r="AM231" i="28"/>
  <c r="BC231" i="28" s="1"/>
  <c r="AM232" i="28"/>
  <c r="BC232" i="28" s="1"/>
  <c r="AM233" i="28"/>
  <c r="BC233" i="28" s="1"/>
  <c r="AM234" i="28"/>
  <c r="BC234" i="28" s="1"/>
  <c r="AM236" i="28"/>
  <c r="BC236" i="28" s="1"/>
  <c r="AO174" i="28"/>
  <c r="AS174" i="28" s="1"/>
  <c r="AW174" i="28" s="1"/>
  <c r="BE174" i="28" s="1"/>
  <c r="AM173" i="28"/>
  <c r="BC173" i="28" s="1"/>
  <c r="AM174" i="28"/>
  <c r="BC174" i="28" s="1"/>
  <c r="AM175" i="28"/>
  <c r="BC175" i="28" s="1"/>
  <c r="AM176" i="28"/>
  <c r="BC176" i="28" s="1"/>
  <c r="AM177" i="28"/>
  <c r="BC177" i="28" s="1"/>
  <c r="AM178" i="28"/>
  <c r="BC178" i="28" s="1"/>
  <c r="AM179" i="28"/>
  <c r="BC179" i="28" s="1"/>
  <c r="AM180" i="28"/>
  <c r="BC180" i="28" s="1"/>
  <c r="AM181" i="28"/>
  <c r="BC181" i="28" s="1"/>
  <c r="AM182" i="28"/>
  <c r="BC182" i="28" s="1"/>
  <c r="AM183" i="28"/>
  <c r="BC183" i="28" s="1"/>
  <c r="AM184" i="28"/>
  <c r="BC184" i="28" s="1"/>
  <c r="AM185" i="28"/>
  <c r="BC185" i="28" s="1"/>
  <c r="AM186" i="28"/>
  <c r="BC186" i="28" s="1"/>
  <c r="AM187" i="28"/>
  <c r="BC187" i="28" s="1"/>
  <c r="AM188" i="28"/>
  <c r="BC188" i="28" s="1"/>
  <c r="AM189" i="28"/>
  <c r="BC189" i="28" s="1"/>
  <c r="AM190" i="28"/>
  <c r="BC190" i="28" s="1"/>
  <c r="AM191" i="28"/>
  <c r="BC191" i="28" s="1"/>
  <c r="AM192" i="28"/>
  <c r="BC192" i="28" s="1"/>
  <c r="AM193" i="28"/>
  <c r="BC193" i="28" s="1"/>
  <c r="AO83" i="28"/>
  <c r="AS83" i="28" s="1"/>
  <c r="AW83" i="28" s="1"/>
  <c r="AO93" i="28"/>
  <c r="AS93" i="28" s="1"/>
  <c r="AW93" i="28" s="1"/>
  <c r="AO94" i="28"/>
  <c r="AS94" i="28" s="1"/>
  <c r="AW94" i="28" s="1"/>
  <c r="AO96" i="28"/>
  <c r="AS96" i="28" s="1"/>
  <c r="AW96" i="28" s="1"/>
  <c r="AO97" i="28"/>
  <c r="AS97" i="28" s="1"/>
  <c r="AW97" i="28" s="1"/>
  <c r="AO98" i="28"/>
  <c r="AS98" i="28" s="1"/>
  <c r="AW98" i="28" s="1"/>
  <c r="AO99" i="28"/>
  <c r="AS99" i="28" s="1"/>
  <c r="AW99" i="28" s="1"/>
  <c r="AO121" i="28"/>
  <c r="AS121" i="28" s="1"/>
  <c r="AW121" i="28" s="1"/>
  <c r="AM69" i="28"/>
  <c r="BC69" i="28" s="1"/>
  <c r="AM70" i="28"/>
  <c r="BC70" i="28" s="1"/>
  <c r="AM72" i="28"/>
  <c r="BC72" i="28" s="1"/>
  <c r="AM74" i="28"/>
  <c r="BC74" i="28" s="1"/>
  <c r="AM76" i="28"/>
  <c r="BC76" i="28" s="1"/>
  <c r="AM77" i="28"/>
  <c r="BC77" i="28" s="1"/>
  <c r="AM80" i="28"/>
  <c r="BC80" i="28" s="1"/>
  <c r="AM81" i="28"/>
  <c r="BC81" i="28" s="1"/>
  <c r="AM82" i="28"/>
  <c r="BC82" i="28" s="1"/>
  <c r="AM83" i="28"/>
  <c r="BC83" i="28" s="1"/>
  <c r="AM84" i="28"/>
  <c r="BC84" i="28" s="1"/>
  <c r="AM85" i="28"/>
  <c r="BC85" i="28" s="1"/>
  <c r="AM86" i="28"/>
  <c r="BC86" i="28" s="1"/>
  <c r="AM87" i="28"/>
  <c r="BC87" i="28" s="1"/>
  <c r="AM88" i="28"/>
  <c r="BC88" i="28" s="1"/>
  <c r="AM89" i="28"/>
  <c r="BC89" i="28" s="1"/>
  <c r="AM90" i="28"/>
  <c r="BC90" i="28" s="1"/>
  <c r="AM91" i="28"/>
  <c r="BC91" i="28" s="1"/>
  <c r="AM92" i="28"/>
  <c r="BC92" i="28" s="1"/>
  <c r="AM93" i="28"/>
  <c r="BC93" i="28" s="1"/>
  <c r="AM94" i="28"/>
  <c r="BC94" i="28" s="1"/>
  <c r="AM95" i="28"/>
  <c r="BC95" i="28" s="1"/>
  <c r="AM96" i="28"/>
  <c r="BC96" i="28" s="1"/>
  <c r="AM97" i="28"/>
  <c r="BC97" i="28" s="1"/>
  <c r="AM98" i="28"/>
  <c r="BC98" i="28" s="1"/>
  <c r="AM99" i="28"/>
  <c r="BC99" i="28" s="1"/>
  <c r="AM100" i="28"/>
  <c r="BC100" i="28" s="1"/>
  <c r="AM101" i="28"/>
  <c r="BC101" i="28" s="1"/>
  <c r="AM102" i="28"/>
  <c r="BC102" i="28" s="1"/>
  <c r="AM103" i="28"/>
  <c r="BC103" i="28" s="1"/>
  <c r="AM104" i="28"/>
  <c r="BC104" i="28" s="1"/>
  <c r="AM105" i="28"/>
  <c r="BC105" i="28" s="1"/>
  <c r="AM106" i="28"/>
  <c r="BC106" i="28" s="1"/>
  <c r="AM107" i="28"/>
  <c r="BC107" i="28" s="1"/>
  <c r="AM108" i="28"/>
  <c r="BC108" i="28" s="1"/>
  <c r="AM109" i="28"/>
  <c r="BC109" i="28" s="1"/>
  <c r="AM110" i="28"/>
  <c r="BC110" i="28" s="1"/>
  <c r="AM111" i="28"/>
  <c r="BC111" i="28" s="1"/>
  <c r="AM113" i="28"/>
  <c r="BC113" i="28" s="1"/>
  <c r="AM114" i="28"/>
  <c r="BC114" i="28" s="1"/>
  <c r="AM115" i="28"/>
  <c r="BC115" i="28" s="1"/>
  <c r="AM116" i="28"/>
  <c r="BC116" i="28" s="1"/>
  <c r="AM117" i="28"/>
  <c r="BC117" i="28" s="1"/>
  <c r="AM118" i="28"/>
  <c r="BC118" i="28" s="1"/>
  <c r="AM119" i="28"/>
  <c r="BC119" i="28" s="1"/>
  <c r="AM120" i="28"/>
  <c r="BC120" i="28" s="1"/>
  <c r="AM121" i="28"/>
  <c r="BC121" i="28" s="1"/>
  <c r="AM122" i="28"/>
  <c r="BC122" i="28" s="1"/>
  <c r="AM124" i="28"/>
  <c r="BC124" i="28" s="1"/>
  <c r="AM125" i="28"/>
  <c r="BC125" i="28" s="1"/>
  <c r="AM126" i="28"/>
  <c r="BC126" i="28" s="1"/>
  <c r="AM127" i="28"/>
  <c r="BC127" i="28" s="1"/>
  <c r="AM128" i="28"/>
  <c r="BC128" i="28" s="1"/>
  <c r="AM129" i="28"/>
  <c r="BC129" i="28" s="1"/>
  <c r="AM130" i="28"/>
  <c r="BC130" i="28" s="1"/>
  <c r="AM131" i="28"/>
  <c r="BC131" i="28" s="1"/>
  <c r="AM133" i="28"/>
  <c r="BC133" i="28" s="1"/>
  <c r="AM135" i="28"/>
  <c r="BC135" i="28" s="1"/>
  <c r="AM136" i="28"/>
  <c r="BC136" i="28" s="1"/>
  <c r="AM137" i="28"/>
  <c r="BC137" i="28" s="1"/>
  <c r="AM138" i="28"/>
  <c r="BC138" i="28" s="1"/>
  <c r="AM139" i="28"/>
  <c r="BC139" i="28" s="1"/>
  <c r="AM140" i="28"/>
  <c r="BC140" i="28" s="1"/>
  <c r="AM141" i="28"/>
  <c r="BC141" i="28" s="1"/>
  <c r="AM142" i="28"/>
  <c r="BC142" i="28" s="1"/>
  <c r="AM143" i="28"/>
  <c r="BC143" i="28" s="1"/>
  <c r="Y183" i="28"/>
  <c r="I183" i="28"/>
  <c r="M183" i="28" s="1"/>
  <c r="Q183" i="28" s="1"/>
  <c r="U183" i="28" s="1"/>
  <c r="AA183" i="28" s="1"/>
  <c r="AE183" i="28" s="1"/>
  <c r="AI183" i="28" s="1"/>
  <c r="AO183" i="28" s="1"/>
  <c r="AS183" i="28" s="1"/>
  <c r="AW183" i="28" s="1"/>
  <c r="BE183" i="28" s="1"/>
  <c r="Y182" i="28"/>
  <c r="I182" i="28"/>
  <c r="M182" i="28" s="1"/>
  <c r="Q182" i="28" s="1"/>
  <c r="U182" i="28" s="1"/>
  <c r="AA182" i="28" s="1"/>
  <c r="AE182" i="28" s="1"/>
  <c r="AI182" i="28" s="1"/>
  <c r="AO182" i="28" s="1"/>
  <c r="AS182" i="28" s="1"/>
  <c r="AW182" i="28" s="1"/>
  <c r="BE182" i="28" s="1"/>
  <c r="Y181" i="28"/>
  <c r="I181" i="28"/>
  <c r="M181" i="28" s="1"/>
  <c r="Q181" i="28" s="1"/>
  <c r="U181" i="28" s="1"/>
  <c r="AA181" i="28" s="1"/>
  <c r="AE181" i="28" s="1"/>
  <c r="AI181" i="28" s="1"/>
  <c r="AO181" i="28" s="1"/>
  <c r="AS181" i="28" s="1"/>
  <c r="AW181" i="28" s="1"/>
  <c r="BE181" i="28" s="1"/>
  <c r="Y180" i="28"/>
  <c r="I180" i="28"/>
  <c r="M180" i="28" s="1"/>
  <c r="Q180" i="28" s="1"/>
  <c r="U180" i="28" s="1"/>
  <c r="AA180" i="28" s="1"/>
  <c r="AE180" i="28" s="1"/>
  <c r="AI180" i="28" s="1"/>
  <c r="AO180" i="28" s="1"/>
  <c r="AS180" i="28" s="1"/>
  <c r="AW180" i="28" s="1"/>
  <c r="BE180" i="28" s="1"/>
  <c r="Y179" i="28"/>
  <c r="I179" i="28"/>
  <c r="M179" i="28" s="1"/>
  <c r="Q179" i="28" s="1"/>
  <c r="U179" i="28" s="1"/>
  <c r="AA179" i="28" s="1"/>
  <c r="AE179" i="28" s="1"/>
  <c r="AI179" i="28" s="1"/>
  <c r="AO179" i="28" s="1"/>
  <c r="AS179" i="28" s="1"/>
  <c r="AW179" i="28" s="1"/>
  <c r="BE179" i="28" s="1"/>
  <c r="Y178" i="28"/>
  <c r="I178" i="28"/>
  <c r="M178" i="28" s="1"/>
  <c r="Q178" i="28" s="1"/>
  <c r="U178" i="28" s="1"/>
  <c r="AA178" i="28" s="1"/>
  <c r="AE178" i="28" s="1"/>
  <c r="AI178" i="28" s="1"/>
  <c r="AO178" i="28" s="1"/>
  <c r="AS178" i="28" s="1"/>
  <c r="AW178" i="28" s="1"/>
  <c r="BE178" i="28" s="1"/>
  <c r="Y177" i="28"/>
  <c r="I177" i="28"/>
  <c r="M177" i="28" s="1"/>
  <c r="Q177" i="28" s="1"/>
  <c r="U177" i="28" s="1"/>
  <c r="AA177" i="28" s="1"/>
  <c r="AE177" i="28" s="1"/>
  <c r="AI177" i="28" s="1"/>
  <c r="AO177" i="28" s="1"/>
  <c r="AS177" i="28" s="1"/>
  <c r="AW177" i="28" s="1"/>
  <c r="BE177" i="28" s="1"/>
  <c r="AI176" i="28"/>
  <c r="AO176" i="28" s="1"/>
  <c r="AS176" i="28" s="1"/>
  <c r="AW176" i="28" s="1"/>
  <c r="BE176" i="28" s="1"/>
  <c r="Y175" i="28"/>
  <c r="I175" i="28"/>
  <c r="M175" i="28" s="1"/>
  <c r="Q175" i="28" s="1"/>
  <c r="U175" i="28" s="1"/>
  <c r="AA175" i="28" s="1"/>
  <c r="AE175" i="28" s="1"/>
  <c r="AI175" i="28" s="1"/>
  <c r="AO175" i="28" s="1"/>
  <c r="AS175" i="28" s="1"/>
  <c r="AW175" i="28" s="1"/>
  <c r="BE175" i="28" s="1"/>
  <c r="AM172" i="28"/>
  <c r="BC172" i="28" s="1"/>
  <c r="AS117" i="8" l="1"/>
  <c r="AW117" i="8" s="1"/>
  <c r="BC117" i="8" s="1"/>
  <c r="BE117" i="8"/>
  <c r="W172" i="9"/>
  <c r="W12" i="48" s="1"/>
  <c r="AK172" i="9"/>
  <c r="AK12" i="48" s="1"/>
  <c r="AK13" i="48" s="1"/>
  <c r="S114" i="7"/>
  <c r="S17" i="48" s="1"/>
  <c r="E114" i="7"/>
  <c r="E17" i="48" s="1"/>
  <c r="O114" i="7"/>
  <c r="O17" i="48" s="1"/>
  <c r="AE116" i="8"/>
  <c r="U114" i="8"/>
  <c r="U118" i="8" s="1"/>
  <c r="Q118" i="8"/>
  <c r="W13" i="48"/>
  <c r="M167" i="9"/>
  <c r="M102" i="7"/>
  <c r="K114" i="7"/>
  <c r="K17" i="48" s="1"/>
  <c r="AA167" i="9"/>
  <c r="AA102" i="7"/>
  <c r="Q116" i="8"/>
  <c r="AI114" i="8"/>
  <c r="AE118" i="8"/>
  <c r="I123" i="8"/>
  <c r="G11" i="48"/>
  <c r="G13" i="48" s="1"/>
  <c r="Y123" i="8"/>
  <c r="AA121" i="8"/>
  <c r="AE121" i="8" s="1"/>
  <c r="AI121" i="8" s="1"/>
  <c r="AO121" i="8" s="1"/>
  <c r="AM123" i="8"/>
  <c r="AM11" i="48" s="1"/>
  <c r="AA119" i="8"/>
  <c r="AE119" i="8" s="1"/>
  <c r="AI119" i="8" s="1"/>
  <c r="AO119" i="8" s="1"/>
  <c r="AA122" i="8"/>
  <c r="AE122" i="8" s="1"/>
  <c r="AI122" i="8" s="1"/>
  <c r="AO122" i="8" s="1"/>
  <c r="AI82" i="28"/>
  <c r="AO82" i="28" s="1"/>
  <c r="AS82" i="28" s="1"/>
  <c r="AW82" i="28" s="1"/>
  <c r="AI84" i="28"/>
  <c r="AO84" i="28" s="1"/>
  <c r="AS84" i="28" s="1"/>
  <c r="AW84" i="28" s="1"/>
  <c r="AS121" i="8" l="1"/>
  <c r="AW121" i="8" s="1"/>
  <c r="BC121" i="8" s="1"/>
  <c r="BE121" i="8"/>
  <c r="AS122" i="8"/>
  <c r="AW122" i="8" s="1"/>
  <c r="BC122" i="8" s="1"/>
  <c r="BE122" i="8"/>
  <c r="AS119" i="8"/>
  <c r="AW119" i="8" s="1"/>
  <c r="BC119" i="8" s="1"/>
  <c r="BE119" i="8"/>
  <c r="Q102" i="7"/>
  <c r="Q167" i="9"/>
  <c r="M123" i="8"/>
  <c r="I11" i="48"/>
  <c r="U116" i="8"/>
  <c r="U102" i="7"/>
  <c r="U167" i="9"/>
  <c r="AE102" i="7"/>
  <c r="AE167" i="9"/>
  <c r="AA123" i="8"/>
  <c r="Y11" i="48"/>
  <c r="AO114" i="8"/>
  <c r="BE114" i="8" s="1"/>
  <c r="BE118" i="8" s="1"/>
  <c r="AI118" i="8"/>
  <c r="AI116" i="8"/>
  <c r="AK60" i="28"/>
  <c r="AK56" i="28"/>
  <c r="AK32" i="28"/>
  <c r="BC102" i="7" l="1"/>
  <c r="BE102" i="7"/>
  <c r="AI102" i="7"/>
  <c r="AI167" i="9"/>
  <c r="AS114" i="8"/>
  <c r="AO118" i="8"/>
  <c r="AO116" i="8"/>
  <c r="BE116" i="8" s="1"/>
  <c r="AE123" i="8"/>
  <c r="AA11" i="48"/>
  <c r="Q123" i="8"/>
  <c r="M11" i="48"/>
  <c r="AK85" i="17"/>
  <c r="AK84" i="17"/>
  <c r="AK83" i="17"/>
  <c r="AK82" i="17"/>
  <c r="AK51" i="17"/>
  <c r="AK34" i="17"/>
  <c r="AK9" i="17"/>
  <c r="AK8" i="17"/>
  <c r="AK38" i="27"/>
  <c r="AK36" i="27"/>
  <c r="AK30" i="27"/>
  <c r="AK29" i="27"/>
  <c r="AK28" i="27"/>
  <c r="AK32" i="27"/>
  <c r="AK31" i="27"/>
  <c r="AK27" i="27"/>
  <c r="AK20" i="27"/>
  <c r="AK19" i="27"/>
  <c r="AK18" i="27"/>
  <c r="AI123" i="8" l="1"/>
  <c r="AE11" i="48"/>
  <c r="AO102" i="7"/>
  <c r="AO167" i="9"/>
  <c r="AW114" i="8"/>
  <c r="AS118" i="8"/>
  <c r="Q11" i="48"/>
  <c r="U123" i="8"/>
  <c r="U11" i="48" s="1"/>
  <c r="AS116" i="8"/>
  <c r="AJ34" i="27"/>
  <c r="AJ25" i="27"/>
  <c r="AW118" i="8" l="1"/>
  <c r="BC114" i="8"/>
  <c r="BC118" i="8" s="1"/>
  <c r="AS102" i="7"/>
  <c r="AS167" i="9"/>
  <c r="AW116" i="8"/>
  <c r="BC116" i="8" s="1"/>
  <c r="AW102" i="7"/>
  <c r="AW167" i="9"/>
  <c r="AO123" i="8"/>
  <c r="BE123" i="8" s="1"/>
  <c r="AI11" i="48"/>
  <c r="BC167" i="9" l="1"/>
  <c r="BE167" i="9"/>
  <c r="AS123" i="8"/>
  <c r="AO11" i="48"/>
  <c r="AK36" i="35"/>
  <c r="AJ36" i="35"/>
  <c r="AS11" i="48" l="1"/>
  <c r="AW123" i="8"/>
  <c r="BC123" i="8" s="1"/>
  <c r="AK10" i="15"/>
  <c r="S13" i="34"/>
  <c r="AA13" i="34" s="1"/>
  <c r="T13" i="34"/>
  <c r="V13" i="34" s="1"/>
  <c r="P42" i="37"/>
  <c r="R42" i="37" s="1"/>
  <c r="O42" i="37"/>
  <c r="O33" i="37"/>
  <c r="P33" i="37"/>
  <c r="R33" i="37" s="1"/>
  <c r="T33" i="37" s="1"/>
  <c r="G102" i="37" l="1"/>
  <c r="G103" i="37"/>
  <c r="G104" i="37"/>
  <c r="G105" i="37"/>
  <c r="G106" i="37"/>
  <c r="G107" i="37"/>
  <c r="G108" i="37"/>
  <c r="G110" i="37"/>
  <c r="G111" i="37"/>
  <c r="G112" i="37"/>
  <c r="G114" i="37"/>
  <c r="G115" i="37"/>
  <c r="G116" i="37"/>
  <c r="G117" i="37"/>
  <c r="G118" i="37"/>
  <c r="G119" i="37"/>
  <c r="G120" i="37"/>
  <c r="G121" i="37"/>
  <c r="G122" i="37"/>
  <c r="G123" i="37"/>
  <c r="G124" i="37"/>
  <c r="G125" i="37"/>
  <c r="I125" i="37" s="1"/>
  <c r="K125" i="37" s="1"/>
  <c r="M125" i="37" s="1"/>
  <c r="P125" i="37" s="1"/>
  <c r="R125" i="37" s="1"/>
  <c r="T125" i="37" s="1"/>
  <c r="G126" i="37"/>
  <c r="I126" i="37" s="1"/>
  <c r="K126" i="37" s="1"/>
  <c r="M126" i="37" s="1"/>
  <c r="P126" i="37" s="1"/>
  <c r="R126" i="37" s="1"/>
  <c r="T126" i="37" s="1"/>
  <c r="I127" i="37"/>
  <c r="K127" i="37" s="1"/>
  <c r="M127" i="37" s="1"/>
  <c r="P127" i="37" s="1"/>
  <c r="R127" i="37" s="1"/>
  <c r="T127" i="37" s="1"/>
  <c r="I102" i="37"/>
  <c r="K102" i="37" s="1"/>
  <c r="M102" i="37" s="1"/>
  <c r="P102" i="37" s="1"/>
  <c r="R102" i="37" s="1"/>
  <c r="T102" i="37" s="1"/>
  <c r="I103" i="37"/>
  <c r="K103" i="37" s="1"/>
  <c r="M103" i="37" s="1"/>
  <c r="P103" i="37" s="1"/>
  <c r="R103" i="37" s="1"/>
  <c r="T103" i="37" s="1"/>
  <c r="I104" i="37"/>
  <c r="K104" i="37" s="1"/>
  <c r="M104" i="37" s="1"/>
  <c r="P104" i="37" s="1"/>
  <c r="R104" i="37" s="1"/>
  <c r="T104" i="37" s="1"/>
  <c r="I105" i="37"/>
  <c r="K105" i="37" s="1"/>
  <c r="M105" i="37" s="1"/>
  <c r="P105" i="37" s="1"/>
  <c r="R105" i="37" s="1"/>
  <c r="T105" i="37" s="1"/>
  <c r="I106" i="37"/>
  <c r="K106" i="37" s="1"/>
  <c r="M106" i="37" s="1"/>
  <c r="P106" i="37" s="1"/>
  <c r="R106" i="37" s="1"/>
  <c r="T106" i="37" s="1"/>
  <c r="I107" i="37"/>
  <c r="K107" i="37" s="1"/>
  <c r="M107" i="37" s="1"/>
  <c r="P107" i="37" s="1"/>
  <c r="R107" i="37" s="1"/>
  <c r="T107" i="37" s="1"/>
  <c r="I108" i="37"/>
  <c r="K108" i="37" s="1"/>
  <c r="M108" i="37" s="1"/>
  <c r="P108" i="37" s="1"/>
  <c r="R108" i="37" s="1"/>
  <c r="T108" i="37" s="1"/>
  <c r="I110" i="37"/>
  <c r="K110" i="37" s="1"/>
  <c r="M110" i="37" s="1"/>
  <c r="P110" i="37" s="1"/>
  <c r="R110" i="37" s="1"/>
  <c r="T110" i="37" s="1"/>
  <c r="I111" i="37"/>
  <c r="K111" i="37" s="1"/>
  <c r="M111" i="37" s="1"/>
  <c r="P111" i="37" s="1"/>
  <c r="R111" i="37" s="1"/>
  <c r="T111" i="37" s="1"/>
  <c r="I112" i="37"/>
  <c r="K112" i="37" s="1"/>
  <c r="M112" i="37" s="1"/>
  <c r="P112" i="37" s="1"/>
  <c r="R112" i="37" s="1"/>
  <c r="T112" i="37" s="1"/>
  <c r="I114" i="37"/>
  <c r="K114" i="37" s="1"/>
  <c r="M114" i="37" s="1"/>
  <c r="P114" i="37" s="1"/>
  <c r="R114" i="37" s="1"/>
  <c r="T114" i="37" s="1"/>
  <c r="I115" i="37"/>
  <c r="K115" i="37" s="1"/>
  <c r="M115" i="37" s="1"/>
  <c r="P115" i="37" s="1"/>
  <c r="R115" i="37" s="1"/>
  <c r="T115" i="37" s="1"/>
  <c r="I116" i="37"/>
  <c r="K116" i="37" s="1"/>
  <c r="M116" i="37" s="1"/>
  <c r="P116" i="37" s="1"/>
  <c r="R116" i="37" s="1"/>
  <c r="T116" i="37" s="1"/>
  <c r="I117" i="37"/>
  <c r="K117" i="37" s="1"/>
  <c r="M117" i="37" s="1"/>
  <c r="P117" i="37" s="1"/>
  <c r="R117" i="37" s="1"/>
  <c r="T117" i="37" s="1"/>
  <c r="I118" i="37"/>
  <c r="K118" i="37" s="1"/>
  <c r="M118" i="37" s="1"/>
  <c r="P118" i="37" s="1"/>
  <c r="R118" i="37" s="1"/>
  <c r="T118" i="37" s="1"/>
  <c r="I119" i="37"/>
  <c r="K119" i="37" s="1"/>
  <c r="M119" i="37" s="1"/>
  <c r="P119" i="37" s="1"/>
  <c r="R119" i="37" s="1"/>
  <c r="T119" i="37" s="1"/>
  <c r="W119" i="37" s="1"/>
  <c r="Y119" i="37" s="1"/>
  <c r="AA119" i="37" s="1"/>
  <c r="AE119" i="37" s="1"/>
  <c r="I120" i="37"/>
  <c r="K120" i="37" s="1"/>
  <c r="M120" i="37" s="1"/>
  <c r="P120" i="37" s="1"/>
  <c r="R120" i="37" s="1"/>
  <c r="T120" i="37" s="1"/>
  <c r="I121" i="37"/>
  <c r="K121" i="37" s="1"/>
  <c r="M121" i="37" s="1"/>
  <c r="P121" i="37" s="1"/>
  <c r="R121" i="37" s="1"/>
  <c r="T121" i="37" s="1"/>
  <c r="I122" i="37"/>
  <c r="K122" i="37" s="1"/>
  <c r="M122" i="37" s="1"/>
  <c r="P122" i="37" s="1"/>
  <c r="R122" i="37" s="1"/>
  <c r="T122" i="37" s="1"/>
  <c r="W122" i="37" s="1"/>
  <c r="Y122" i="37" s="1"/>
  <c r="AA122" i="37" s="1"/>
  <c r="AE122" i="37" s="1"/>
  <c r="I123" i="37"/>
  <c r="K123" i="37" s="1"/>
  <c r="M123" i="37" s="1"/>
  <c r="P123" i="37" s="1"/>
  <c r="R123" i="37" s="1"/>
  <c r="T123" i="37" s="1"/>
  <c r="I124" i="37"/>
  <c r="K124" i="37" s="1"/>
  <c r="M124" i="37" s="1"/>
  <c r="P124" i="37" s="1"/>
  <c r="R124" i="37" s="1"/>
  <c r="T124" i="37" s="1"/>
  <c r="O102" i="37"/>
  <c r="O103" i="37"/>
  <c r="O104" i="37"/>
  <c r="O105" i="37"/>
  <c r="O106" i="37"/>
  <c r="O107" i="37"/>
  <c r="O108" i="37"/>
  <c r="O110" i="37"/>
  <c r="O111" i="37"/>
  <c r="O112" i="37"/>
  <c r="O114" i="37"/>
  <c r="O115" i="37"/>
  <c r="O116" i="37"/>
  <c r="O117" i="37"/>
  <c r="O118" i="37"/>
  <c r="O119" i="37"/>
  <c r="O120" i="37"/>
  <c r="O121" i="37"/>
  <c r="O122" i="37"/>
  <c r="O123" i="37"/>
  <c r="O124" i="37"/>
  <c r="O125" i="37"/>
  <c r="O126" i="37"/>
  <c r="O127" i="37"/>
  <c r="V122" i="37"/>
  <c r="AD122" i="37" s="1"/>
  <c r="V119" i="37"/>
  <c r="AD119" i="37" s="1"/>
  <c r="V33" i="37"/>
  <c r="AD33" i="37" s="1"/>
  <c r="W33" i="37"/>
  <c r="Y33" i="37" s="1"/>
  <c r="AA33" i="37" s="1"/>
  <c r="AE33" i="37" s="1"/>
  <c r="AG10" i="45"/>
  <c r="AK10" i="45" s="1"/>
  <c r="AG19" i="45"/>
  <c r="AK19" i="45" s="1"/>
  <c r="AG25" i="45"/>
  <c r="AK25" i="45" s="1"/>
  <c r="AG27" i="45"/>
  <c r="AK27" i="45" s="1"/>
  <c r="AG45" i="45"/>
  <c r="AK45" i="45" s="1"/>
  <c r="AM64" i="45"/>
  <c r="AM63" i="45"/>
  <c r="AM62" i="45"/>
  <c r="AS52" i="38"/>
  <c r="AM2" i="9" l="1"/>
  <c r="BC2" i="9" s="1"/>
  <c r="AL2" i="9"/>
  <c r="BB2" i="9" s="1"/>
  <c r="AK93" i="9"/>
  <c r="AK92" i="9"/>
  <c r="AK90" i="9"/>
  <c r="AK60" i="9"/>
  <c r="AK45" i="48" s="1"/>
  <c r="AK29" i="9"/>
  <c r="AM103" i="9" l="1"/>
  <c r="BC103" i="9" s="1"/>
  <c r="AM104" i="9"/>
  <c r="AM105" i="9"/>
  <c r="AM106" i="9"/>
  <c r="AM107" i="9"/>
  <c r="AM108" i="9"/>
  <c r="AM109" i="9"/>
  <c r="BC109" i="9" s="1"/>
  <c r="AM110" i="9"/>
  <c r="AM111" i="9"/>
  <c r="BC111" i="9" s="1"/>
  <c r="AM112" i="9"/>
  <c r="AM113" i="9"/>
  <c r="BC113" i="9" s="1"/>
  <c r="AM114" i="9"/>
  <c r="BC114" i="9" s="1"/>
  <c r="AM115" i="9"/>
  <c r="BC115" i="9" s="1"/>
  <c r="AM116" i="9"/>
  <c r="BC116" i="9" s="1"/>
  <c r="AM53" i="48" l="1"/>
  <c r="BC106" i="9"/>
  <c r="AM47" i="48"/>
  <c r="BC105" i="9"/>
  <c r="AM49" i="48"/>
  <c r="BC104" i="9"/>
  <c r="AM50" i="48"/>
  <c r="BC110" i="9"/>
  <c r="AM54" i="48"/>
  <c r="BC112" i="9"/>
  <c r="AM48" i="48"/>
  <c r="BC108" i="9"/>
  <c r="AM55" i="48"/>
  <c r="BC107" i="9"/>
  <c r="AK181" i="6"/>
  <c r="AK180" i="6"/>
  <c r="AK154" i="6"/>
  <c r="AQ10" i="45" l="1"/>
  <c r="AU10" i="45" s="1"/>
  <c r="AY10" i="45" s="1"/>
  <c r="BE10" i="45" s="1"/>
  <c r="AQ19" i="45"/>
  <c r="AU19" i="45" s="1"/>
  <c r="AY19" i="45" s="1"/>
  <c r="BE19" i="45" s="1"/>
  <c r="AQ25" i="45"/>
  <c r="AU25" i="45" s="1"/>
  <c r="AY25" i="45" s="1"/>
  <c r="BE25" i="45" s="1"/>
  <c r="AQ27" i="45"/>
  <c r="AU27" i="45" s="1"/>
  <c r="AY27" i="45" s="1"/>
  <c r="BE27" i="45" s="1"/>
  <c r="AQ41" i="45"/>
  <c r="AU41" i="45" s="1"/>
  <c r="AY41" i="45" s="1"/>
  <c r="BE41" i="45" s="1"/>
  <c r="AQ45" i="45"/>
  <c r="AU45" i="45" s="1"/>
  <c r="AY45" i="45" s="1"/>
  <c r="BE45" i="45" s="1"/>
  <c r="AO9" i="45"/>
  <c r="AO10" i="45"/>
  <c r="AO12" i="45"/>
  <c r="AO15" i="45"/>
  <c r="AO19" i="45"/>
  <c r="AO24" i="45"/>
  <c r="AO25" i="45"/>
  <c r="AO26" i="45"/>
  <c r="AO27" i="45"/>
  <c r="AO28" i="45"/>
  <c r="AO29" i="45"/>
  <c r="AO31" i="45"/>
  <c r="AO41" i="45"/>
  <c r="AO45" i="45"/>
  <c r="Y50" i="45"/>
  <c r="U50" i="45"/>
  <c r="Q50" i="45"/>
  <c r="M50" i="45"/>
  <c r="I50" i="45"/>
  <c r="G50" i="45"/>
  <c r="AL20" i="11"/>
  <c r="AL15" i="11"/>
  <c r="AL13" i="11"/>
  <c r="AL21" i="11" l="1"/>
  <c r="AL38" i="11" s="1"/>
  <c r="AL52" i="11"/>
  <c r="AL51" i="11"/>
  <c r="AL50" i="11"/>
  <c r="AL112" i="10"/>
  <c r="AL111" i="10"/>
  <c r="AL110" i="10"/>
  <c r="AK83" i="8"/>
  <c r="AK82" i="8"/>
  <c r="AL96" i="10" l="1"/>
  <c r="AL40" i="10"/>
  <c r="AL39" i="10"/>
  <c r="AL41" i="10"/>
  <c r="AL50" i="10"/>
  <c r="AL45" i="10"/>
  <c r="AL52" i="10"/>
  <c r="AL60" i="10"/>
  <c r="AL61" i="10"/>
  <c r="AL55" i="10"/>
  <c r="AL22" i="10"/>
  <c r="AL35" i="10"/>
  <c r="AL36" i="10"/>
  <c r="AL33" i="10"/>
  <c r="AP84" i="10"/>
  <c r="AT84" i="10" s="1"/>
  <c r="AX84" i="10" s="1"/>
  <c r="BF84" i="10" s="1"/>
  <c r="AN84" i="10"/>
  <c r="BD84" i="10" s="1"/>
  <c r="AL98" i="10" l="1"/>
  <c r="J8" i="10"/>
  <c r="J11" i="10"/>
  <c r="J15" i="10"/>
  <c r="N15" i="10" s="1"/>
  <c r="R15" i="10" s="1"/>
  <c r="V15" i="10" s="1"/>
  <c r="AB15" i="10" s="1"/>
  <c r="AF15" i="10" s="1"/>
  <c r="AJ15" i="10" s="1"/>
  <c r="AP15" i="10" s="1"/>
  <c r="AT15" i="10" s="1"/>
  <c r="AX15" i="10" s="1"/>
  <c r="BF15" i="10" s="1"/>
  <c r="J18" i="10"/>
  <c r="J19" i="10"/>
  <c r="N19" i="10" s="1"/>
  <c r="R19" i="10" s="1"/>
  <c r="V19" i="10" s="1"/>
  <c r="AB19" i="10" s="1"/>
  <c r="AF19" i="10" s="1"/>
  <c r="AJ19" i="10" s="1"/>
  <c r="AP19" i="10" s="1"/>
  <c r="AT19" i="10" s="1"/>
  <c r="AX19" i="10" s="1"/>
  <c r="BF19" i="10" s="1"/>
  <c r="J20" i="10"/>
  <c r="N20" i="10" s="1"/>
  <c r="R20" i="10" s="1"/>
  <c r="V20" i="10" s="1"/>
  <c r="AB20" i="10" s="1"/>
  <c r="AF20" i="10" s="1"/>
  <c r="AJ20" i="10" s="1"/>
  <c r="AP20" i="10" s="1"/>
  <c r="AT20" i="10" s="1"/>
  <c r="AX20" i="10" s="1"/>
  <c r="BF20" i="10" s="1"/>
  <c r="J21" i="10"/>
  <c r="N21" i="10" s="1"/>
  <c r="R21" i="10" s="1"/>
  <c r="V21" i="10" s="1"/>
  <c r="AB21" i="10" s="1"/>
  <c r="AF21" i="10" s="1"/>
  <c r="AJ21" i="10" s="1"/>
  <c r="AP21" i="10" s="1"/>
  <c r="AT21" i="10" s="1"/>
  <c r="AX21" i="10" s="1"/>
  <c r="BF21" i="10" s="1"/>
  <c r="J22" i="10"/>
  <c r="N22" i="10" s="1"/>
  <c r="R22" i="10" s="1"/>
  <c r="V22" i="10" s="1"/>
  <c r="AB22" i="10" s="1"/>
  <c r="AF22" i="10" s="1"/>
  <c r="AJ22" i="10" s="1"/>
  <c r="AP22" i="10" s="1"/>
  <c r="AT22" i="10" s="1"/>
  <c r="AX22" i="10" s="1"/>
  <c r="BF22" i="10" s="1"/>
  <c r="J23" i="10"/>
  <c r="N23" i="10" s="1"/>
  <c r="R23" i="10" s="1"/>
  <c r="V23" i="10" s="1"/>
  <c r="AB23" i="10" s="1"/>
  <c r="AF23" i="10" s="1"/>
  <c r="AJ23" i="10" s="1"/>
  <c r="AP23" i="10" s="1"/>
  <c r="AT23" i="10" s="1"/>
  <c r="AX23" i="10" s="1"/>
  <c r="BF23" i="10" s="1"/>
  <c r="J24" i="10"/>
  <c r="N24" i="10" s="1"/>
  <c r="R24" i="10" s="1"/>
  <c r="V24" i="10" s="1"/>
  <c r="AB24" i="10" s="1"/>
  <c r="AF24" i="10" s="1"/>
  <c r="AJ24" i="10" s="1"/>
  <c r="AP24" i="10" s="1"/>
  <c r="AT24" i="10" s="1"/>
  <c r="AX24" i="10" s="1"/>
  <c r="BF24" i="10" s="1"/>
  <c r="J25" i="10"/>
  <c r="N25" i="10" s="1"/>
  <c r="R25" i="10" s="1"/>
  <c r="V25" i="10" s="1"/>
  <c r="AB25" i="10" s="1"/>
  <c r="AF25" i="10" s="1"/>
  <c r="AJ25" i="10" s="1"/>
  <c r="AP25" i="10" s="1"/>
  <c r="AT25" i="10" s="1"/>
  <c r="AX25" i="10" s="1"/>
  <c r="BF25" i="10" s="1"/>
  <c r="J26" i="10"/>
  <c r="N26" i="10" s="1"/>
  <c r="R26" i="10" s="1"/>
  <c r="V26" i="10" s="1"/>
  <c r="AB26" i="10" s="1"/>
  <c r="AF26" i="10" s="1"/>
  <c r="AJ26" i="10" s="1"/>
  <c r="AP26" i="10" s="1"/>
  <c r="AT26" i="10" s="1"/>
  <c r="AX26" i="10" s="1"/>
  <c r="BF26" i="10" s="1"/>
  <c r="AX28" i="10"/>
  <c r="BF28" i="10" s="1"/>
  <c r="J30" i="10"/>
  <c r="J31" i="10"/>
  <c r="N31" i="10" s="1"/>
  <c r="R31" i="10" s="1"/>
  <c r="V31" i="10" s="1"/>
  <c r="AB31" i="10" s="1"/>
  <c r="J32" i="10"/>
  <c r="J33" i="10"/>
  <c r="N33" i="10" s="1"/>
  <c r="R33" i="10" s="1"/>
  <c r="V33" i="10" s="1"/>
  <c r="AB33" i="10" s="1"/>
  <c r="AF33" i="10" s="1"/>
  <c r="AJ33" i="10" s="1"/>
  <c r="AP33" i="10" s="1"/>
  <c r="AT33" i="10" s="1"/>
  <c r="AX33" i="10" s="1"/>
  <c r="BF33" i="10" s="1"/>
  <c r="J34" i="10"/>
  <c r="N34" i="10" s="1"/>
  <c r="R34" i="10" s="1"/>
  <c r="V34" i="10" s="1"/>
  <c r="AB34" i="10" s="1"/>
  <c r="AF34" i="10" s="1"/>
  <c r="AJ34" i="10" s="1"/>
  <c r="AP34" i="10" s="1"/>
  <c r="AT34" i="10" s="1"/>
  <c r="AX34" i="10" s="1"/>
  <c r="BF34" i="10" s="1"/>
  <c r="J35" i="10"/>
  <c r="N35" i="10" s="1"/>
  <c r="R35" i="10" s="1"/>
  <c r="V35" i="10" s="1"/>
  <c r="AB35" i="10" s="1"/>
  <c r="AF35" i="10" s="1"/>
  <c r="AJ35" i="10" s="1"/>
  <c r="AP35" i="10" s="1"/>
  <c r="AT35" i="10" s="1"/>
  <c r="AX35" i="10" s="1"/>
  <c r="BF35" i="10" s="1"/>
  <c r="J36" i="10"/>
  <c r="N36" i="10" s="1"/>
  <c r="R36" i="10" s="1"/>
  <c r="V36" i="10" s="1"/>
  <c r="AB36" i="10" s="1"/>
  <c r="AF36" i="10" s="1"/>
  <c r="AJ36" i="10" s="1"/>
  <c r="AP36" i="10" s="1"/>
  <c r="AT36" i="10" s="1"/>
  <c r="AX36" i="10" s="1"/>
  <c r="BF36" i="10" s="1"/>
  <c r="J37" i="10"/>
  <c r="N37" i="10" s="1"/>
  <c r="R37" i="10" s="1"/>
  <c r="V37" i="10" s="1"/>
  <c r="AB37" i="10" s="1"/>
  <c r="AF37" i="10" s="1"/>
  <c r="AJ37" i="10" s="1"/>
  <c r="AP37" i="10" s="1"/>
  <c r="AT37" i="10" s="1"/>
  <c r="AX37" i="10" s="1"/>
  <c r="BF37" i="10" s="1"/>
  <c r="J38" i="10"/>
  <c r="N38" i="10" s="1"/>
  <c r="R38" i="10" s="1"/>
  <c r="V38" i="10" s="1"/>
  <c r="AB38" i="10" s="1"/>
  <c r="AF38" i="10" s="1"/>
  <c r="AJ38" i="10" s="1"/>
  <c r="AP38" i="10" s="1"/>
  <c r="AT38" i="10" s="1"/>
  <c r="AX38" i="10" s="1"/>
  <c r="BF38" i="10" s="1"/>
  <c r="J39" i="10"/>
  <c r="N39" i="10" s="1"/>
  <c r="R39" i="10" s="1"/>
  <c r="V39" i="10" s="1"/>
  <c r="J40" i="10"/>
  <c r="N40" i="10" s="1"/>
  <c r="J41" i="10"/>
  <c r="N41" i="10" s="1"/>
  <c r="R41" i="10" s="1"/>
  <c r="V41" i="10" s="1"/>
  <c r="AB41" i="10" s="1"/>
  <c r="AF41" i="10" s="1"/>
  <c r="AJ41" i="10" s="1"/>
  <c r="AP41" i="10" s="1"/>
  <c r="AT41" i="10" s="1"/>
  <c r="AX41" i="10" s="1"/>
  <c r="BF41" i="10" s="1"/>
  <c r="J42" i="10"/>
  <c r="N42" i="10" s="1"/>
  <c r="J43" i="10"/>
  <c r="N43" i="10" s="1"/>
  <c r="R43" i="10" s="1"/>
  <c r="V43" i="10" s="1"/>
  <c r="AB43" i="10" s="1"/>
  <c r="AF43" i="10" s="1"/>
  <c r="AJ43" i="10" s="1"/>
  <c r="AP43" i="10" s="1"/>
  <c r="AT43" i="10" s="1"/>
  <c r="AX43" i="10" s="1"/>
  <c r="BF43" i="10" s="1"/>
  <c r="J45" i="10"/>
  <c r="N45" i="10" s="1"/>
  <c r="J47" i="10"/>
  <c r="N47" i="10" s="1"/>
  <c r="R47" i="10" s="1"/>
  <c r="V47" i="10" s="1"/>
  <c r="AB47" i="10" s="1"/>
  <c r="AF47" i="10" s="1"/>
  <c r="AJ47" i="10" s="1"/>
  <c r="AP47" i="10" s="1"/>
  <c r="AT47" i="10" s="1"/>
  <c r="AX47" i="10" s="1"/>
  <c r="BF47" i="10" s="1"/>
  <c r="J48" i="10"/>
  <c r="N48" i="10" s="1"/>
  <c r="R48" i="10" s="1"/>
  <c r="V48" i="10" s="1"/>
  <c r="AB48" i="10" s="1"/>
  <c r="AF48" i="10" s="1"/>
  <c r="AJ48" i="10" s="1"/>
  <c r="AP48" i="10" s="1"/>
  <c r="AT48" i="10" s="1"/>
  <c r="AX48" i="10" s="1"/>
  <c r="BF48" i="10" s="1"/>
  <c r="J49" i="10"/>
  <c r="N49" i="10" s="1"/>
  <c r="R49" i="10" s="1"/>
  <c r="V49" i="10" s="1"/>
  <c r="AB49" i="10" s="1"/>
  <c r="AF49" i="10" s="1"/>
  <c r="J50" i="10"/>
  <c r="N50" i="10" s="1"/>
  <c r="J51" i="10"/>
  <c r="N51" i="10" s="1"/>
  <c r="R51" i="10" s="1"/>
  <c r="V51" i="10" s="1"/>
  <c r="AB51" i="10" s="1"/>
  <c r="AF51" i="10" s="1"/>
  <c r="AJ51" i="10" s="1"/>
  <c r="AP51" i="10" s="1"/>
  <c r="AT51" i="10" s="1"/>
  <c r="AX51" i="10" s="1"/>
  <c r="BF51" i="10" s="1"/>
  <c r="J52" i="10"/>
  <c r="N52" i="10" s="1"/>
  <c r="R52" i="10" s="1"/>
  <c r="V52" i="10" s="1"/>
  <c r="AB52" i="10" s="1"/>
  <c r="AF52" i="10" s="1"/>
  <c r="AJ52" i="10" s="1"/>
  <c r="AP52" i="10" s="1"/>
  <c r="AT52" i="10" s="1"/>
  <c r="AX52" i="10" s="1"/>
  <c r="BF52" i="10" s="1"/>
  <c r="J53" i="10"/>
  <c r="N53" i="10" s="1"/>
  <c r="R53" i="10" s="1"/>
  <c r="V53" i="10" s="1"/>
  <c r="J54" i="10"/>
  <c r="N54" i="10" s="1"/>
  <c r="R54" i="10" s="1"/>
  <c r="J55" i="10"/>
  <c r="J56" i="10"/>
  <c r="N56" i="10" s="1"/>
  <c r="R56" i="10" s="1"/>
  <c r="J60" i="10"/>
  <c r="N60" i="10" s="1"/>
  <c r="R60" i="10" s="1"/>
  <c r="V60" i="10" s="1"/>
  <c r="AB60" i="10" s="1"/>
  <c r="AF60" i="10" s="1"/>
  <c r="AJ60" i="10" s="1"/>
  <c r="AP60" i="10" s="1"/>
  <c r="AT60" i="10" s="1"/>
  <c r="AX60" i="10" s="1"/>
  <c r="BF60" i="10" s="1"/>
  <c r="J61" i="10"/>
  <c r="N61" i="10" s="1"/>
  <c r="J62" i="10"/>
  <c r="N62" i="10" s="1"/>
  <c r="R62" i="10" s="1"/>
  <c r="J67" i="10"/>
  <c r="N67" i="10" s="1"/>
  <c r="R67" i="10" s="1"/>
  <c r="V67" i="10" s="1"/>
  <c r="J70" i="10"/>
  <c r="N70" i="10" s="1"/>
  <c r="R70" i="10" s="1"/>
  <c r="J71" i="10"/>
  <c r="N71" i="10" s="1"/>
  <c r="R71" i="10" s="1"/>
  <c r="V71" i="10" s="1"/>
  <c r="J72" i="10"/>
  <c r="N72" i="10" s="1"/>
  <c r="R72" i="10" s="1"/>
  <c r="V72" i="10" s="1"/>
  <c r="AB72" i="10" s="1"/>
  <c r="AF72" i="10" s="1"/>
  <c r="AJ72" i="10" s="1"/>
  <c r="AP72" i="10" s="1"/>
  <c r="AT72" i="10" s="1"/>
  <c r="AX72" i="10" s="1"/>
  <c r="BF72" i="10" s="1"/>
  <c r="J73" i="10"/>
  <c r="N73" i="10" s="1"/>
  <c r="R73" i="10" s="1"/>
  <c r="V73" i="10" s="1"/>
  <c r="J75" i="10"/>
  <c r="N75" i="10" s="1"/>
  <c r="J77" i="10"/>
  <c r="J79" i="10"/>
  <c r="N79" i="10" s="1"/>
  <c r="R79" i="10" s="1"/>
  <c r="V79" i="10" s="1"/>
  <c r="AB79" i="10" s="1"/>
  <c r="AF79" i="10" s="1"/>
  <c r="AJ79" i="10" s="1"/>
  <c r="AP79" i="10" s="1"/>
  <c r="AT79" i="10" s="1"/>
  <c r="AX79" i="10" s="1"/>
  <c r="BF79" i="10" s="1"/>
  <c r="J81" i="10"/>
  <c r="N81" i="10" s="1"/>
  <c r="R81" i="10" s="1"/>
  <c r="V81" i="10" s="1"/>
  <c r="AB81" i="10" s="1"/>
  <c r="AF81" i="10" s="1"/>
  <c r="AJ81" i="10" s="1"/>
  <c r="AP81" i="10" s="1"/>
  <c r="AT81" i="10" s="1"/>
  <c r="AX81" i="10" s="1"/>
  <c r="BF81" i="10" s="1"/>
  <c r="J82" i="10"/>
  <c r="N82" i="10" s="1"/>
  <c r="R82" i="10" s="1"/>
  <c r="V82" i="10" s="1"/>
  <c r="AB82" i="10" s="1"/>
  <c r="AF82" i="10" s="1"/>
  <c r="AJ82" i="10" s="1"/>
  <c r="AP82" i="10" s="1"/>
  <c r="AT82" i="10" s="1"/>
  <c r="AX82" i="10" s="1"/>
  <c r="BF82" i="10" s="1"/>
  <c r="J83" i="10"/>
  <c r="N83" i="10" s="1"/>
  <c r="R83" i="10" s="1"/>
  <c r="V83" i="10" s="1"/>
  <c r="AB83" i="10" s="1"/>
  <c r="AF83" i="10" s="1"/>
  <c r="AJ83" i="10" s="1"/>
  <c r="AP83" i="10" s="1"/>
  <c r="AT83" i="10" s="1"/>
  <c r="AX83" i="10" s="1"/>
  <c r="BF83" i="10" s="1"/>
  <c r="J85" i="10"/>
  <c r="N85" i="10" s="1"/>
  <c r="R85" i="10" s="1"/>
  <c r="V85" i="10" s="1"/>
  <c r="AB85" i="10" s="1"/>
  <c r="AF85" i="10" s="1"/>
  <c r="AJ85" i="10" s="1"/>
  <c r="AP85" i="10" s="1"/>
  <c r="AT85" i="10" s="1"/>
  <c r="AX85" i="10" s="1"/>
  <c r="BF85" i="10" s="1"/>
  <c r="J87" i="10"/>
  <c r="N87" i="10" s="1"/>
  <c r="R87" i="10" s="1"/>
  <c r="V87" i="10" s="1"/>
  <c r="AB87" i="10" s="1"/>
  <c r="AF87" i="10" s="1"/>
  <c r="AJ87" i="10" s="1"/>
  <c r="AP87" i="10" s="1"/>
  <c r="AT87" i="10" s="1"/>
  <c r="AX87" i="10" s="1"/>
  <c r="BF87" i="10" s="1"/>
  <c r="J88" i="10"/>
  <c r="N88" i="10" s="1"/>
  <c r="R88" i="10" s="1"/>
  <c r="V88" i="10" s="1"/>
  <c r="AB88" i="10" s="1"/>
  <c r="AF88" i="10" s="1"/>
  <c r="AJ88" i="10" s="1"/>
  <c r="AP88" i="10" s="1"/>
  <c r="AT88" i="10" s="1"/>
  <c r="AX88" i="10" s="1"/>
  <c r="BF88" i="10" s="1"/>
  <c r="J89" i="10"/>
  <c r="N89" i="10" s="1"/>
  <c r="R89" i="10" s="1"/>
  <c r="V89" i="10" s="1"/>
  <c r="AB89" i="10" s="1"/>
  <c r="AF89" i="10" s="1"/>
  <c r="AJ89" i="10" s="1"/>
  <c r="AP89" i="10" s="1"/>
  <c r="AT89" i="10" s="1"/>
  <c r="AX89" i="10" s="1"/>
  <c r="BF89" i="10" s="1"/>
  <c r="J90" i="10"/>
  <c r="N90" i="10" s="1"/>
  <c r="R90" i="10" s="1"/>
  <c r="V90" i="10" s="1"/>
  <c r="AB90" i="10" s="1"/>
  <c r="AF90" i="10" s="1"/>
  <c r="AJ90" i="10" s="1"/>
  <c r="AP90" i="10" s="1"/>
  <c r="AT90" i="10" s="1"/>
  <c r="AX90" i="10" s="1"/>
  <c r="BF90" i="10" s="1"/>
  <c r="J91" i="10"/>
  <c r="N91" i="10" s="1"/>
  <c r="R91" i="10" s="1"/>
  <c r="V91" i="10" s="1"/>
  <c r="AB91" i="10" s="1"/>
  <c r="AF91" i="10" s="1"/>
  <c r="AJ91" i="10" s="1"/>
  <c r="AP91" i="10" s="1"/>
  <c r="AT91" i="10" s="1"/>
  <c r="AX91" i="10" s="1"/>
  <c r="BF91" i="10" s="1"/>
  <c r="J92" i="10"/>
  <c r="N92" i="10" s="1"/>
  <c r="R92" i="10" s="1"/>
  <c r="V92" i="10" s="1"/>
  <c r="AB92" i="10" s="1"/>
  <c r="J93" i="10"/>
  <c r="N93" i="10" s="1"/>
  <c r="R93" i="10" s="1"/>
  <c r="V93" i="10" s="1"/>
  <c r="AB93" i="10" s="1"/>
  <c r="AF93" i="10" s="1"/>
  <c r="AJ93" i="10" s="1"/>
  <c r="AP93" i="10" s="1"/>
  <c r="AT93" i="10" s="1"/>
  <c r="AX93" i="10" s="1"/>
  <c r="BF93" i="10" s="1"/>
  <c r="Z8" i="10"/>
  <c r="Z11" i="10"/>
  <c r="Z15" i="10"/>
  <c r="Z19" i="10"/>
  <c r="Z20" i="10"/>
  <c r="Z21" i="10"/>
  <c r="Z22" i="10"/>
  <c r="Z23" i="10"/>
  <c r="Z24" i="10"/>
  <c r="Z25" i="10"/>
  <c r="Z26" i="10"/>
  <c r="Z30" i="10"/>
  <c r="Z31" i="10"/>
  <c r="Z33" i="10"/>
  <c r="Z34" i="10"/>
  <c r="Z35" i="10"/>
  <c r="Z36" i="10"/>
  <c r="Z37" i="10"/>
  <c r="Z38" i="10"/>
  <c r="Z41" i="10"/>
  <c r="Z43" i="10"/>
  <c r="Z46" i="10"/>
  <c r="Z47" i="10"/>
  <c r="Z48" i="10"/>
  <c r="Z49" i="10"/>
  <c r="Z51" i="10"/>
  <c r="Z52" i="10"/>
  <c r="Z59" i="10"/>
  <c r="Z60" i="10"/>
  <c r="Z72" i="10"/>
  <c r="Z76" i="10"/>
  <c r="Z77" i="10"/>
  <c r="Z78" i="10"/>
  <c r="Z79" i="10"/>
  <c r="Z81" i="10"/>
  <c r="Z82" i="10"/>
  <c r="Z83" i="10"/>
  <c r="Z85" i="10"/>
  <c r="Z87" i="10"/>
  <c r="Z88" i="10"/>
  <c r="Z89" i="10"/>
  <c r="Z90" i="10"/>
  <c r="Z91" i="10"/>
  <c r="Z92" i="10"/>
  <c r="Z93" i="10"/>
  <c r="AN8" i="10"/>
  <c r="BD8" i="10" s="1"/>
  <c r="AN15" i="10"/>
  <c r="BD15" i="10" s="1"/>
  <c r="AN18" i="10"/>
  <c r="BD18" i="10" s="1"/>
  <c r="AN19" i="10"/>
  <c r="BD19" i="10" s="1"/>
  <c r="AN20" i="10"/>
  <c r="BD20" i="10" s="1"/>
  <c r="AN21" i="10"/>
  <c r="BD21" i="10" s="1"/>
  <c r="AN22" i="10"/>
  <c r="BD22" i="10" s="1"/>
  <c r="AN23" i="10"/>
  <c r="BD23" i="10" s="1"/>
  <c r="AN24" i="10"/>
  <c r="BD24" i="10" s="1"/>
  <c r="AN25" i="10"/>
  <c r="BD25" i="10" s="1"/>
  <c r="AN26" i="10"/>
  <c r="BD26" i="10" s="1"/>
  <c r="BD28" i="10"/>
  <c r="AN30" i="10"/>
  <c r="BD30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6" i="10"/>
  <c r="BD46" i="10" s="1"/>
  <c r="AN47" i="10"/>
  <c r="BD47" i="10" s="1"/>
  <c r="AN48" i="10"/>
  <c r="BD48" i="10" s="1"/>
  <c r="AN50" i="10"/>
  <c r="BD50" i="10" s="1"/>
  <c r="AN51" i="10"/>
  <c r="BD51" i="10" s="1"/>
  <c r="AN52" i="10"/>
  <c r="BD52" i="10" s="1"/>
  <c r="AN53" i="10"/>
  <c r="BD53" i="10" s="1"/>
  <c r="AN54" i="10"/>
  <c r="BD54" i="10" s="1"/>
  <c r="AN56" i="10"/>
  <c r="BD56" i="10" s="1"/>
  <c r="AN57" i="10"/>
  <c r="BD57" i="10" s="1"/>
  <c r="AN59" i="10"/>
  <c r="BD59" i="10" s="1"/>
  <c r="AN60" i="10"/>
  <c r="BD60" i="10" s="1"/>
  <c r="AN62" i="10"/>
  <c r="BD62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5" i="10"/>
  <c r="BD75" i="10" s="1"/>
  <c r="AN76" i="10"/>
  <c r="BD76" i="10" s="1"/>
  <c r="AN77" i="10"/>
  <c r="BD77" i="10" s="1"/>
  <c r="AN78" i="10"/>
  <c r="BD78" i="10" s="1"/>
  <c r="AN79" i="10"/>
  <c r="BD79" i="10" s="1"/>
  <c r="AN81" i="10"/>
  <c r="BD81" i="10" s="1"/>
  <c r="AN82" i="10"/>
  <c r="BD82" i="10" s="1"/>
  <c r="AN83" i="10"/>
  <c r="BD83" i="10" s="1"/>
  <c r="AN85" i="10"/>
  <c r="BD85" i="10" s="1"/>
  <c r="AN87" i="10"/>
  <c r="BD87" i="10" s="1"/>
  <c r="AN88" i="10"/>
  <c r="BD88" i="10" s="1"/>
  <c r="AN89" i="10"/>
  <c r="BD89" i="10" s="1"/>
  <c r="AN90" i="10"/>
  <c r="BD90" i="10" s="1"/>
  <c r="AN91" i="10"/>
  <c r="BD91" i="10" s="1"/>
  <c r="AN93" i="10"/>
  <c r="BD93" i="10" s="1"/>
  <c r="AL94" i="10"/>
  <c r="AK46" i="35"/>
  <c r="AK45" i="35"/>
  <c r="AK39" i="35"/>
  <c r="E130" i="6" l="1"/>
  <c r="D130" i="6"/>
  <c r="E129" i="6"/>
  <c r="D129" i="6"/>
  <c r="E128" i="6"/>
  <c r="D128" i="6"/>
  <c r="E127" i="6"/>
  <c r="D127" i="6"/>
  <c r="G130" i="6"/>
  <c r="F130" i="6"/>
  <c r="G129" i="6"/>
  <c r="F129" i="6"/>
  <c r="G128" i="6"/>
  <c r="F128" i="6"/>
  <c r="G127" i="6"/>
  <c r="F127" i="6"/>
  <c r="K130" i="6"/>
  <c r="J130" i="6"/>
  <c r="K129" i="6"/>
  <c r="J129" i="6"/>
  <c r="K128" i="6"/>
  <c r="J128" i="6"/>
  <c r="K127" i="6"/>
  <c r="J127" i="6"/>
  <c r="O130" i="6"/>
  <c r="N130" i="6"/>
  <c r="O129" i="6"/>
  <c r="N129" i="6"/>
  <c r="O128" i="6"/>
  <c r="N128" i="6"/>
  <c r="O127" i="6"/>
  <c r="N127" i="6"/>
  <c r="S130" i="6"/>
  <c r="R130" i="6"/>
  <c r="S129" i="6"/>
  <c r="R129" i="6"/>
  <c r="S128" i="6"/>
  <c r="R128" i="6"/>
  <c r="S127" i="6"/>
  <c r="R127" i="6"/>
  <c r="W130" i="6"/>
  <c r="V130" i="6"/>
  <c r="W129" i="6"/>
  <c r="V129" i="6"/>
  <c r="W128" i="6"/>
  <c r="V128" i="6"/>
  <c r="W127" i="6"/>
  <c r="V127" i="6"/>
  <c r="AC130" i="6"/>
  <c r="AB130" i="6"/>
  <c r="AC129" i="6"/>
  <c r="AB129" i="6"/>
  <c r="AC128" i="6"/>
  <c r="AB128" i="6"/>
  <c r="AC127" i="6"/>
  <c r="AB127" i="6"/>
  <c r="AF130" i="6"/>
  <c r="AG129" i="6"/>
  <c r="AF129" i="6"/>
  <c r="AG128" i="6"/>
  <c r="AF128" i="6"/>
  <c r="AG127" i="6"/>
  <c r="AF127" i="6"/>
  <c r="AJ130" i="6"/>
  <c r="AK130" i="6"/>
  <c r="AK129" i="6"/>
  <c r="AJ129" i="6"/>
  <c r="AK128" i="6"/>
  <c r="AJ128" i="6"/>
  <c r="AK127" i="6"/>
  <c r="AL106" i="6"/>
  <c r="BB106" i="6" s="1"/>
  <c r="AM106" i="6"/>
  <c r="BC106" i="6" s="1"/>
  <c r="AN106" i="6"/>
  <c r="AR106" i="6" s="1"/>
  <c r="AV106" i="6" s="1"/>
  <c r="AO106" i="6"/>
  <c r="AS106" i="6" s="1"/>
  <c r="AW106" i="6" s="1"/>
  <c r="AL107" i="6"/>
  <c r="BB107" i="6" s="1"/>
  <c r="AM107" i="6"/>
  <c r="BC107" i="6" s="1"/>
  <c r="AN107" i="6"/>
  <c r="AR107" i="6" s="1"/>
  <c r="AV107" i="6" s="1"/>
  <c r="AO107" i="6"/>
  <c r="AS107" i="6" s="1"/>
  <c r="AW107" i="6" s="1"/>
  <c r="AN88" i="6"/>
  <c r="AR88" i="6" s="1"/>
  <c r="AV88" i="6" s="1"/>
  <c r="AL88" i="6"/>
  <c r="BB88" i="6" s="1"/>
  <c r="AM88" i="6"/>
  <c r="BC88" i="6" s="1"/>
  <c r="AO88" i="6"/>
  <c r="AS88" i="6" s="1"/>
  <c r="AW88" i="6" s="1"/>
  <c r="AL89" i="6"/>
  <c r="BB89" i="6" s="1"/>
  <c r="AM89" i="6"/>
  <c r="BC89" i="6" s="1"/>
  <c r="AN89" i="6"/>
  <c r="AR89" i="6" s="1"/>
  <c r="AV89" i="6" s="1"/>
  <c r="AO89" i="6"/>
  <c r="AS89" i="6" s="1"/>
  <c r="AW89" i="6" s="1"/>
  <c r="AM127" i="6" l="1"/>
  <c r="BC127" i="6" s="1"/>
  <c r="AM129" i="6"/>
  <c r="BC129" i="6" s="1"/>
  <c r="Y127" i="6"/>
  <c r="Y129" i="6"/>
  <c r="X128" i="6"/>
  <c r="X130" i="6"/>
  <c r="Y128" i="6"/>
  <c r="Y130" i="6"/>
  <c r="I128" i="6"/>
  <c r="M128" i="6" s="1"/>
  <c r="I130" i="6"/>
  <c r="M130" i="6" s="1"/>
  <c r="X127" i="6"/>
  <c r="X129" i="6"/>
  <c r="I129" i="6"/>
  <c r="AM128" i="6"/>
  <c r="BC128" i="6" s="1"/>
  <c r="AL130" i="6"/>
  <c r="BB130" i="6" s="1"/>
  <c r="H129" i="6"/>
  <c r="H130" i="6"/>
  <c r="H128" i="6"/>
  <c r="AL129" i="6"/>
  <c r="BB129" i="6" s="1"/>
  <c r="AL128" i="6"/>
  <c r="BB128" i="6" s="1"/>
  <c r="AK6" i="35"/>
  <c r="L128" i="6" l="1"/>
  <c r="L129" i="6"/>
  <c r="M129" i="6"/>
  <c r="Q128" i="6"/>
  <c r="L130" i="6"/>
  <c r="Q130" i="6"/>
  <c r="AK55" i="36"/>
  <c r="AK54" i="36"/>
  <c r="AJ53" i="36"/>
  <c r="AJ19" i="36" s="1"/>
  <c r="AK52" i="36"/>
  <c r="AK51" i="36"/>
  <c r="AM49" i="36"/>
  <c r="BC49" i="36" s="1"/>
  <c r="AM48" i="36"/>
  <c r="BC48" i="36" s="1"/>
  <c r="AK47" i="36"/>
  <c r="AM46" i="36"/>
  <c r="BC46" i="36" s="1"/>
  <c r="AL46" i="36"/>
  <c r="BB46" i="36" s="1"/>
  <c r="AM45" i="36"/>
  <c r="BC45" i="36" s="1"/>
  <c r="AM44" i="36"/>
  <c r="BC44" i="36" s="1"/>
  <c r="AM43" i="36"/>
  <c r="BC43" i="36" s="1"/>
  <c r="AL43" i="36"/>
  <c r="BB43" i="36" s="1"/>
  <c r="AK33" i="36"/>
  <c r="AM31" i="36"/>
  <c r="BC31" i="36" s="1"/>
  <c r="AL31" i="36"/>
  <c r="BB31" i="36" s="1"/>
  <c r="AK23" i="36"/>
  <c r="AJ23" i="36"/>
  <c r="AK22" i="36"/>
  <c r="AJ22" i="36"/>
  <c r="AK21" i="36"/>
  <c r="AJ21" i="36"/>
  <c r="AK17" i="36"/>
  <c r="AK16" i="36"/>
  <c r="AJ13" i="36"/>
  <c r="AK12" i="36"/>
  <c r="AK11" i="36"/>
  <c r="AK10" i="36"/>
  <c r="AK5" i="36"/>
  <c r="AK17" i="21"/>
  <c r="AK14" i="21"/>
  <c r="AL6" i="21"/>
  <c r="BB6" i="21" s="1"/>
  <c r="AM38" i="21"/>
  <c r="BC38" i="21" s="1"/>
  <c r="AL38" i="21"/>
  <c r="AM37" i="21"/>
  <c r="BC37" i="21" s="1"/>
  <c r="AL37" i="21"/>
  <c r="AK36" i="21"/>
  <c r="AM35" i="21"/>
  <c r="BC35" i="21" s="1"/>
  <c r="AM34" i="21"/>
  <c r="BC34" i="21" s="1"/>
  <c r="BC36" i="21" s="1"/>
  <c r="AJ34" i="21"/>
  <c r="AL32" i="21"/>
  <c r="AK32" i="21"/>
  <c r="AM31" i="21"/>
  <c r="BC31" i="21" s="1"/>
  <c r="AM30" i="21"/>
  <c r="BC30" i="21" s="1"/>
  <c r="BC32" i="21" s="1"/>
  <c r="AK28" i="21"/>
  <c r="AJ28" i="21"/>
  <c r="AM27" i="21"/>
  <c r="BC27" i="21" s="1"/>
  <c r="AL27" i="21"/>
  <c r="AM26" i="21"/>
  <c r="BC26" i="21" s="1"/>
  <c r="AL26" i="21"/>
  <c r="AM25" i="21"/>
  <c r="BC25" i="21" s="1"/>
  <c r="BC28" i="21" s="1"/>
  <c r="AL25" i="21"/>
  <c r="AK23" i="21"/>
  <c r="AK24" i="21" s="1"/>
  <c r="AM21" i="21"/>
  <c r="AM18" i="21"/>
  <c r="BC18" i="21" s="1"/>
  <c r="AM16" i="21"/>
  <c r="BC16" i="21" s="1"/>
  <c r="AM15" i="21"/>
  <c r="BC15" i="21" s="1"/>
  <c r="AK12" i="21"/>
  <c r="AJ12" i="21"/>
  <c r="AJ21" i="21" s="1"/>
  <c r="AM11" i="21"/>
  <c r="BC11" i="21" s="1"/>
  <c r="AL11" i="21"/>
  <c r="BB11" i="21" s="1"/>
  <c r="AM10" i="21"/>
  <c r="BC10" i="21" s="1"/>
  <c r="AL10" i="21"/>
  <c r="BB10" i="21" s="1"/>
  <c r="AM9" i="21"/>
  <c r="BC9" i="21" s="1"/>
  <c r="AL9" i="21"/>
  <c r="BB9" i="21" s="1"/>
  <c r="AM8" i="21"/>
  <c r="BC8" i="21" s="1"/>
  <c r="AL8" i="21"/>
  <c r="BB8" i="21" s="1"/>
  <c r="AM7" i="21"/>
  <c r="BC7" i="21" s="1"/>
  <c r="AL7" i="21"/>
  <c r="BB7" i="21" s="1"/>
  <c r="AM6" i="21"/>
  <c r="BC6" i="21" s="1"/>
  <c r="AM2" i="21"/>
  <c r="BC2" i="21" s="1"/>
  <c r="AL2" i="21"/>
  <c r="BB2" i="21" s="1"/>
  <c r="AL138" i="35"/>
  <c r="BB138" i="35" s="1"/>
  <c r="AL12" i="21" l="1"/>
  <c r="P129" i="6"/>
  <c r="U130" i="6"/>
  <c r="U128" i="6"/>
  <c r="P130" i="6"/>
  <c r="P128" i="6"/>
  <c r="Q129" i="6"/>
  <c r="AM36" i="21"/>
  <c r="AM28" i="21"/>
  <c r="AK18" i="36"/>
  <c r="AK13" i="36"/>
  <c r="AM47" i="36"/>
  <c r="AK53" i="36"/>
  <c r="AK19" i="36" s="1"/>
  <c r="AL28" i="21"/>
  <c r="AM32" i="21"/>
  <c r="AK19" i="21"/>
  <c r="AM12" i="21"/>
  <c r="BC12" i="21" s="1"/>
  <c r="AJ14" i="21"/>
  <c r="AL21" i="21" l="1"/>
  <c r="BB12" i="21"/>
  <c r="T130" i="6"/>
  <c r="AA130" i="6"/>
  <c r="T129" i="6"/>
  <c r="U129" i="6"/>
  <c r="T128" i="6"/>
  <c r="AA128" i="6"/>
  <c r="BB21" i="21" l="1"/>
  <c r="BB14" i="21"/>
  <c r="AA129" i="6"/>
  <c r="Z128" i="6"/>
  <c r="Z130" i="6"/>
  <c r="AE128" i="6"/>
  <c r="AE130" i="6"/>
  <c r="Z129" i="6"/>
  <c r="V147" i="37"/>
  <c r="AD147" i="37" s="1"/>
  <c r="O147" i="37"/>
  <c r="G147" i="37"/>
  <c r="I147" i="37" s="1"/>
  <c r="K147" i="37" s="1"/>
  <c r="M147" i="37" s="1"/>
  <c r="P147" i="37" s="1"/>
  <c r="R147" i="37" s="1"/>
  <c r="T147" i="37" s="1"/>
  <c r="W147" i="37" s="1"/>
  <c r="Y147" i="37" s="1"/>
  <c r="AA147" i="37" s="1"/>
  <c r="AE147" i="37" s="1"/>
  <c r="AD128" i="6" l="1"/>
  <c r="AD129" i="6"/>
  <c r="AD130" i="6"/>
  <c r="AI128" i="6"/>
  <c r="AE129" i="6"/>
  <c r="BH35" i="35"/>
  <c r="AI129" i="6" l="1"/>
  <c r="AO128" i="6"/>
  <c r="AS128" i="6" s="1"/>
  <c r="AW128" i="6" s="1"/>
  <c r="BE128" i="6" s="1"/>
  <c r="AH130" i="6"/>
  <c r="AH129" i="6"/>
  <c r="AH128" i="6"/>
  <c r="AM6" i="24"/>
  <c r="AL33" i="22"/>
  <c r="AN31" i="22"/>
  <c r="AL28" i="22"/>
  <c r="AL64" i="22" s="1"/>
  <c r="AL65" i="22" s="1"/>
  <c r="AL66" i="22" s="1"/>
  <c r="AK40" i="48" s="1"/>
  <c r="AN27" i="22"/>
  <c r="AN25" i="22"/>
  <c r="BD25" i="22" s="1"/>
  <c r="AL24" i="22"/>
  <c r="AL23" i="22"/>
  <c r="AL51" i="22" s="1"/>
  <c r="AL53" i="22" s="1"/>
  <c r="AL55" i="22" s="1"/>
  <c r="AL56" i="22" s="1"/>
  <c r="AK26" i="48" s="1"/>
  <c r="AK28" i="48" s="1"/>
  <c r="AN22" i="22"/>
  <c r="AN21" i="22"/>
  <c r="BD21" i="22" s="1"/>
  <c r="AL14" i="22"/>
  <c r="AL59" i="22" s="1"/>
  <c r="AL60" i="22" s="1"/>
  <c r="AL61" i="22" s="1"/>
  <c r="AK37" i="48" s="1"/>
  <c r="AN13" i="22"/>
  <c r="BD13" i="22" s="1"/>
  <c r="AN11" i="22"/>
  <c r="BD11" i="22" s="1"/>
  <c r="AL10" i="22"/>
  <c r="AL12" i="22" s="1"/>
  <c r="AL9" i="22"/>
  <c r="AL43" i="22" s="1"/>
  <c r="AL45" i="22" s="1"/>
  <c r="AL47" i="22" s="1"/>
  <c r="AL48" i="22" s="1"/>
  <c r="AK21" i="48" s="1"/>
  <c r="AK23" i="48" s="1"/>
  <c r="AN8" i="22"/>
  <c r="AN7" i="22"/>
  <c r="BD7" i="22" s="1"/>
  <c r="AN3" i="22"/>
  <c r="BD3" i="22" s="1"/>
  <c r="AM3" i="22"/>
  <c r="BC3" i="22" s="1"/>
  <c r="AJ40" i="27"/>
  <c r="AM39" i="27"/>
  <c r="AL39" i="27"/>
  <c r="BB39" i="27" s="1"/>
  <c r="AK37" i="27"/>
  <c r="AK40" i="27" s="1"/>
  <c r="AM33" i="27"/>
  <c r="AM24" i="27"/>
  <c r="AL24" i="27"/>
  <c r="AK22" i="27"/>
  <c r="AK21" i="27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AJ18" i="15"/>
  <c r="AK17" i="15"/>
  <c r="AK14" i="15"/>
  <c r="AJ11" i="15"/>
  <c r="AJ12" i="15" s="1"/>
  <c r="AL10" i="15"/>
  <c r="AK9" i="15"/>
  <c r="AJ9" i="15"/>
  <c r="AK8" i="15"/>
  <c r="AJ8" i="15"/>
  <c r="AK7" i="15"/>
  <c r="AJ7" i="15"/>
  <c r="AK6" i="15"/>
  <c r="AJ6" i="15"/>
  <c r="AK5" i="15"/>
  <c r="AJ5" i="15"/>
  <c r="AK94" i="26"/>
  <c r="AJ94" i="26"/>
  <c r="AK92" i="26"/>
  <c r="AJ92" i="26"/>
  <c r="AK78" i="26"/>
  <c r="AJ78" i="26"/>
  <c r="AM77" i="26"/>
  <c r="BC77" i="26" s="1"/>
  <c r="AM76" i="26"/>
  <c r="BC76" i="26" s="1"/>
  <c r="AM75" i="26"/>
  <c r="BC75" i="26" s="1"/>
  <c r="AM74" i="26"/>
  <c r="BC74" i="26" s="1"/>
  <c r="AM73" i="26"/>
  <c r="BC73" i="26" s="1"/>
  <c r="AM72" i="26"/>
  <c r="BC72" i="26" s="1"/>
  <c r="AM71" i="26"/>
  <c r="BC71" i="26" s="1"/>
  <c r="AM70" i="26"/>
  <c r="BC70" i="26" s="1"/>
  <c r="AM69" i="26"/>
  <c r="BC69" i="26" s="1"/>
  <c r="AK65" i="26"/>
  <c r="AM64" i="26"/>
  <c r="AM63" i="26"/>
  <c r="BC63" i="26" s="1"/>
  <c r="AJ63" i="26"/>
  <c r="AJ65" i="26" s="1"/>
  <c r="AJ61" i="26"/>
  <c r="AJ60" i="26"/>
  <c r="AK59" i="26"/>
  <c r="AM58" i="26"/>
  <c r="BC58" i="26" s="1"/>
  <c r="AK54" i="26"/>
  <c r="AJ54" i="26"/>
  <c r="AM53" i="26"/>
  <c r="BC53" i="26" s="1"/>
  <c r="AM52" i="26"/>
  <c r="BC52" i="26" s="1"/>
  <c r="AM51" i="26"/>
  <c r="BC51" i="26" s="1"/>
  <c r="AM50" i="26"/>
  <c r="BC50" i="26" s="1"/>
  <c r="AM49" i="26"/>
  <c r="BC49" i="26" s="1"/>
  <c r="AM48" i="26"/>
  <c r="BC48" i="26" s="1"/>
  <c r="AM47" i="26"/>
  <c r="BC47" i="26" s="1"/>
  <c r="AM46" i="26"/>
  <c r="BC46" i="26" s="1"/>
  <c r="AM45" i="26"/>
  <c r="BC45" i="26" s="1"/>
  <c r="AM41" i="26"/>
  <c r="BC41" i="26" s="1"/>
  <c r="AM40" i="26"/>
  <c r="BC40" i="26" s="1"/>
  <c r="AK38" i="26"/>
  <c r="AK39" i="26" s="1"/>
  <c r="AJ38" i="26"/>
  <c r="AJ39" i="26" s="1"/>
  <c r="AM37" i="26"/>
  <c r="AK34" i="26"/>
  <c r="AJ34" i="26"/>
  <c r="AM33" i="26"/>
  <c r="BC33" i="26" s="1"/>
  <c r="AM32" i="26"/>
  <c r="BC32" i="26" s="1"/>
  <c r="AM31" i="26"/>
  <c r="BC31" i="26" s="1"/>
  <c r="AM30" i="26"/>
  <c r="BC30" i="26" s="1"/>
  <c r="AM29" i="26"/>
  <c r="BC29" i="26" s="1"/>
  <c r="AM28" i="26"/>
  <c r="BC28" i="26" s="1"/>
  <c r="AM27" i="26"/>
  <c r="BC27" i="26" s="1"/>
  <c r="AM26" i="26"/>
  <c r="BC26" i="26" s="1"/>
  <c r="AM25" i="26"/>
  <c r="BC25" i="26" s="1"/>
  <c r="AM24" i="26"/>
  <c r="BC24" i="26" s="1"/>
  <c r="AM23" i="26"/>
  <c r="BC23" i="26" s="1"/>
  <c r="AM22" i="26"/>
  <c r="BC22" i="26" s="1"/>
  <c r="AM21" i="26"/>
  <c r="BC21" i="26" s="1"/>
  <c r="AM20" i="26"/>
  <c r="BC20" i="26" s="1"/>
  <c r="AM19" i="26"/>
  <c r="BC19" i="26" s="1"/>
  <c r="AM18" i="26"/>
  <c r="BC18" i="26" s="1"/>
  <c r="AM17" i="26"/>
  <c r="BC17" i="26" s="1"/>
  <c r="AM16" i="26"/>
  <c r="BC16" i="26" s="1"/>
  <c r="AM12" i="26"/>
  <c r="BC12" i="26" s="1"/>
  <c r="AM11" i="26"/>
  <c r="BC11" i="26" s="1"/>
  <c r="AJ11" i="26"/>
  <c r="AN9" i="26"/>
  <c r="AL9" i="26"/>
  <c r="AK9" i="26"/>
  <c r="AK14" i="26" s="1"/>
  <c r="AJ9" i="26"/>
  <c r="AJ14" i="26" s="1"/>
  <c r="AM8" i="26"/>
  <c r="BC8" i="26" s="1"/>
  <c r="AM7" i="26"/>
  <c r="BC7" i="26" s="1"/>
  <c r="BC9" i="26" s="1"/>
  <c r="AM2" i="26"/>
  <c r="AL2" i="26"/>
  <c r="AP94" i="38"/>
  <c r="AP93" i="38"/>
  <c r="AP92" i="38"/>
  <c r="AP91" i="38"/>
  <c r="AO90" i="38"/>
  <c r="AP89" i="38"/>
  <c r="AO88" i="38"/>
  <c r="AP86" i="38"/>
  <c r="AP85" i="38"/>
  <c r="AP84" i="38"/>
  <c r="AP83" i="38"/>
  <c r="AO82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P68" i="38"/>
  <c r="AP67" i="38"/>
  <c r="AO66" i="38"/>
  <c r="AP62" i="38"/>
  <c r="AP61" i="38"/>
  <c r="AO60" i="38"/>
  <c r="AP59" i="38"/>
  <c r="AP58" i="38"/>
  <c r="AP57" i="38"/>
  <c r="AP56" i="38"/>
  <c r="AP55" i="38"/>
  <c r="AO54" i="38"/>
  <c r="AQ52" i="38"/>
  <c r="AO52" i="38"/>
  <c r="AP51" i="38"/>
  <c r="AO51" i="38"/>
  <c r="AR46" i="38"/>
  <c r="BH46" i="38" s="1"/>
  <c r="AO46" i="38"/>
  <c r="AR45" i="38"/>
  <c r="BH45" i="38" s="1"/>
  <c r="AO45" i="38"/>
  <c r="AR44" i="38"/>
  <c r="BH44" i="38" s="1"/>
  <c r="AO44" i="38"/>
  <c r="AR43" i="38"/>
  <c r="BH43" i="38" s="1"/>
  <c r="AO43" i="38"/>
  <c r="AP42" i="38"/>
  <c r="AR41" i="38"/>
  <c r="BH41" i="38" s="1"/>
  <c r="AO41" i="38"/>
  <c r="AP40" i="38"/>
  <c r="AR38" i="38"/>
  <c r="BH38" i="38" s="1"/>
  <c r="AO38" i="38"/>
  <c r="AR37" i="38"/>
  <c r="BH37" i="38" s="1"/>
  <c r="AO37" i="38"/>
  <c r="AR36" i="38"/>
  <c r="BH36" i="38" s="1"/>
  <c r="AO36" i="38"/>
  <c r="AR35" i="38"/>
  <c r="BH35" i="38" s="1"/>
  <c r="AO35" i="38"/>
  <c r="AP34" i="38"/>
  <c r="AR32" i="38"/>
  <c r="BH32" i="38" s="1"/>
  <c r="AO32" i="38"/>
  <c r="AR31" i="38"/>
  <c r="BH31" i="38" s="1"/>
  <c r="AO31" i="38"/>
  <c r="AR30" i="38"/>
  <c r="BH30" i="38" s="1"/>
  <c r="AO30" i="38"/>
  <c r="AR29" i="38"/>
  <c r="BH29" i="38" s="1"/>
  <c r="AO29" i="38"/>
  <c r="AR28" i="38"/>
  <c r="BH28" i="38" s="1"/>
  <c r="AO28" i="38"/>
  <c r="AR27" i="38"/>
  <c r="BH27" i="38" s="1"/>
  <c r="AO27" i="38"/>
  <c r="AR26" i="38"/>
  <c r="BH26" i="38" s="1"/>
  <c r="AO26" i="38"/>
  <c r="AR25" i="38"/>
  <c r="BH25" i="38" s="1"/>
  <c r="AO25" i="38"/>
  <c r="AR24" i="38"/>
  <c r="BH24" i="38" s="1"/>
  <c r="AO24" i="38"/>
  <c r="AR23" i="38"/>
  <c r="BH23" i="38" s="1"/>
  <c r="AO23" i="38"/>
  <c r="AR22" i="38"/>
  <c r="BH22" i="38" s="1"/>
  <c r="AO22" i="38"/>
  <c r="AR21" i="38"/>
  <c r="BH21" i="38" s="1"/>
  <c r="AO21" i="38"/>
  <c r="AR20" i="38"/>
  <c r="BH20" i="38" s="1"/>
  <c r="AO20" i="38"/>
  <c r="AR19" i="38"/>
  <c r="BH19" i="38" s="1"/>
  <c r="AO19" i="38"/>
  <c r="AP18" i="38"/>
  <c r="AR14" i="38"/>
  <c r="BH14" i="38" s="1"/>
  <c r="AO14" i="38"/>
  <c r="AR13" i="38"/>
  <c r="BH13" i="38" s="1"/>
  <c r="AO13" i="38"/>
  <c r="AP12" i="38"/>
  <c r="AR11" i="38"/>
  <c r="BH11" i="38" s="1"/>
  <c r="AO11" i="38"/>
  <c r="AR10" i="38"/>
  <c r="BH10" i="38" s="1"/>
  <c r="AO10" i="38"/>
  <c r="AR9" i="38"/>
  <c r="BH9" i="38" s="1"/>
  <c r="AO9" i="38"/>
  <c r="AR8" i="38"/>
  <c r="BH8" i="38" s="1"/>
  <c r="AO8" i="38"/>
  <c r="AR7" i="38"/>
  <c r="BH7" i="38" s="1"/>
  <c r="AO7" i="38"/>
  <c r="AP6" i="38"/>
  <c r="AR3" i="38"/>
  <c r="AQ3" i="38"/>
  <c r="AJ113" i="17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92" i="17"/>
  <c r="BC92" i="17" s="1"/>
  <c r="AM91" i="17"/>
  <c r="BC91" i="17" s="1"/>
  <c r="AM88" i="17"/>
  <c r="AW88" i="17" s="1"/>
  <c r="AM87" i="17"/>
  <c r="BC87" i="17" s="1"/>
  <c r="AK81" i="17"/>
  <c r="AJ81" i="17"/>
  <c r="AK77" i="17"/>
  <c r="AJ77" i="17"/>
  <c r="AK66" i="17"/>
  <c r="AK68" i="17" s="1"/>
  <c r="AJ66" i="17"/>
  <c r="AJ68" i="17" s="1"/>
  <c r="AM60" i="17"/>
  <c r="BC60" i="17" s="1"/>
  <c r="AL60" i="17"/>
  <c r="AK58" i="17"/>
  <c r="AM57" i="17"/>
  <c r="BC57" i="17" s="1"/>
  <c r="AJ57" i="17"/>
  <c r="AM56" i="17"/>
  <c r="BC56" i="17" s="1"/>
  <c r="BC58" i="17" s="1"/>
  <c r="AJ56" i="17"/>
  <c r="AJ51" i="17"/>
  <c r="AJ50" i="17"/>
  <c r="AJ111" i="17" s="1"/>
  <c r="AJ115" i="17" s="1"/>
  <c r="AK48" i="17"/>
  <c r="AM47" i="17"/>
  <c r="BC47" i="17" s="1"/>
  <c r="AJ47" i="17"/>
  <c r="AK46" i="17"/>
  <c r="AM45" i="17"/>
  <c r="AJ45" i="17"/>
  <c r="AK43" i="17"/>
  <c r="AJ43" i="17"/>
  <c r="AK42" i="17"/>
  <c r="AM41" i="17"/>
  <c r="BC41" i="17" s="1"/>
  <c r="AK40" i="17"/>
  <c r="AM39" i="17"/>
  <c r="BC39" i="17" s="1"/>
  <c r="AK38" i="17"/>
  <c r="AM37" i="17"/>
  <c r="BC37" i="17" s="1"/>
  <c r="AM26" i="17"/>
  <c r="BC26" i="17" s="1"/>
  <c r="AL26" i="17"/>
  <c r="AM25" i="17"/>
  <c r="BC25" i="17" s="1"/>
  <c r="AJ25" i="17"/>
  <c r="AM24" i="17"/>
  <c r="BC24" i="17" s="1"/>
  <c r="AL24" i="17"/>
  <c r="AM23" i="17"/>
  <c r="BC23" i="17" s="1"/>
  <c r="AL23" i="17"/>
  <c r="AK21" i="17"/>
  <c r="AK15" i="17" s="1"/>
  <c r="AM20" i="17"/>
  <c r="BC20" i="17" s="1"/>
  <c r="AL20" i="17"/>
  <c r="AM19" i="17"/>
  <c r="BC19" i="17" s="1"/>
  <c r="AM18" i="17"/>
  <c r="BC18" i="17" s="1"/>
  <c r="AJ18" i="17"/>
  <c r="AM17" i="17"/>
  <c r="BC17" i="17" s="1"/>
  <c r="AJ17" i="17"/>
  <c r="AJ21" i="17" s="1"/>
  <c r="AJ30" i="17" s="1"/>
  <c r="AJ15" i="17"/>
  <c r="AJ14" i="17"/>
  <c r="AK12" i="17"/>
  <c r="AK11" i="17"/>
  <c r="AK10" i="17"/>
  <c r="AL9" i="17"/>
  <c r="AJ8" i="17"/>
  <c r="AM7" i="17"/>
  <c r="BC7" i="17" s="1"/>
  <c r="AL7" i="17"/>
  <c r="AM2" i="17"/>
  <c r="AL2" i="17"/>
  <c r="AL76" i="17" s="1"/>
  <c r="AO5" i="45"/>
  <c r="AO59" i="45" s="1"/>
  <c r="AM79" i="45"/>
  <c r="AM77" i="45"/>
  <c r="AM75" i="45"/>
  <c r="AO72" i="45"/>
  <c r="AO77" i="45" s="1"/>
  <c r="AM71" i="45"/>
  <c r="AM69" i="45"/>
  <c r="AM70" i="45" s="1"/>
  <c r="AO68" i="45"/>
  <c r="AO67" i="45"/>
  <c r="AM60" i="45"/>
  <c r="AM58" i="45"/>
  <c r="AL58" i="45"/>
  <c r="AO57" i="45"/>
  <c r="AN57" i="45"/>
  <c r="AM56" i="45"/>
  <c r="AL56" i="45"/>
  <c r="AO55" i="45"/>
  <c r="AN55" i="45"/>
  <c r="AM53" i="45"/>
  <c r="AL53" i="45"/>
  <c r="AM46" i="45"/>
  <c r="AL46" i="45"/>
  <c r="AN5" i="45"/>
  <c r="AN59" i="45" s="1"/>
  <c r="AO2" i="45"/>
  <c r="AN2" i="45"/>
  <c r="AN63" i="45" s="1"/>
  <c r="AR93" i="38" l="1"/>
  <c r="BH3" i="38"/>
  <c r="BH51" i="38" s="1"/>
  <c r="BH83" i="38"/>
  <c r="BH91" i="38"/>
  <c r="AL32" i="27"/>
  <c r="BB32" i="27" s="1"/>
  <c r="BB2" i="27"/>
  <c r="BH56" i="38"/>
  <c r="BH68" i="38"/>
  <c r="BH72" i="38"/>
  <c r="BH74" i="38"/>
  <c r="BH76" i="38"/>
  <c r="BH80" i="38"/>
  <c r="BH89" i="38"/>
  <c r="BC10" i="26"/>
  <c r="BC14" i="26"/>
  <c r="BC13" i="26"/>
  <c r="BC24" i="27"/>
  <c r="BC21" i="17"/>
  <c r="BC61" i="17"/>
  <c r="BH61" i="38"/>
  <c r="BH84" i="38"/>
  <c r="BH92" i="38"/>
  <c r="BH94" i="38"/>
  <c r="BC34" i="26"/>
  <c r="AM38" i="26"/>
  <c r="BC37" i="26"/>
  <c r="BC38" i="26" s="1"/>
  <c r="BC42" i="26" s="1"/>
  <c r="BC78" i="26"/>
  <c r="AN52" i="22"/>
  <c r="BD22" i="22"/>
  <c r="AN28" i="22"/>
  <c r="AN64" i="22" s="1"/>
  <c r="BD27" i="22"/>
  <c r="BD28" i="22" s="1"/>
  <c r="BD64" i="22" s="1"/>
  <c r="AM65" i="45"/>
  <c r="AM50" i="45"/>
  <c r="AM80" i="17"/>
  <c r="BC2" i="17"/>
  <c r="BC11" i="17" s="1"/>
  <c r="AQ51" i="38"/>
  <c r="BG3" i="38"/>
  <c r="BG51" i="38" s="1"/>
  <c r="BH55" i="38"/>
  <c r="BH57" i="38"/>
  <c r="BH59" i="38"/>
  <c r="BH67" i="38"/>
  <c r="BH69" i="38"/>
  <c r="BH71" i="38"/>
  <c r="BH73" i="38"/>
  <c r="BH75" i="38"/>
  <c r="BH77" i="38"/>
  <c r="BH79" i="38"/>
  <c r="AN44" i="22"/>
  <c r="BD8" i="22"/>
  <c r="BD14" i="22"/>
  <c r="BD59" i="22" s="1"/>
  <c r="AN58" i="45"/>
  <c r="AO69" i="45"/>
  <c r="AK55" i="26"/>
  <c r="AJ54" i="17"/>
  <c r="AN18" i="22"/>
  <c r="AN16" i="22"/>
  <c r="AL70" i="17"/>
  <c r="AL73" i="17"/>
  <c r="AJ43" i="26"/>
  <c r="AJ55" i="26"/>
  <c r="AJ13" i="15"/>
  <c r="AN129" i="6"/>
  <c r="AR129" i="6" s="1"/>
  <c r="AV129" i="6" s="1"/>
  <c r="BD129" i="6" s="1"/>
  <c r="AN128" i="6"/>
  <c r="AR128" i="6" s="1"/>
  <c r="AV128" i="6" s="1"/>
  <c r="BD128" i="6" s="1"/>
  <c r="AN130" i="6"/>
  <c r="AR130" i="6" s="1"/>
  <c r="AV130" i="6" s="1"/>
  <c r="BD130" i="6" s="1"/>
  <c r="AO129" i="6"/>
  <c r="AS129" i="6" s="1"/>
  <c r="AW129" i="6" s="1"/>
  <c r="BE129" i="6" s="1"/>
  <c r="AM58" i="17"/>
  <c r="AK30" i="17"/>
  <c r="AM78" i="26"/>
  <c r="AM34" i="26"/>
  <c r="AM9" i="26"/>
  <c r="AM65" i="26"/>
  <c r="AN14" i="22"/>
  <c r="AN59" i="22" s="1"/>
  <c r="AN23" i="22"/>
  <c r="AN51" i="22" s="1"/>
  <c r="AN53" i="22" s="1"/>
  <c r="AN55" i="22" s="1"/>
  <c r="AN56" i="22" s="1"/>
  <c r="AM26" i="48" s="1"/>
  <c r="AN9" i="22"/>
  <c r="AN43" i="22" s="1"/>
  <c r="AN45" i="22" s="1"/>
  <c r="AO58" i="45"/>
  <c r="AP88" i="38"/>
  <c r="AP82" i="38"/>
  <c r="AP66" i="38"/>
  <c r="AP17" i="38"/>
  <c r="AO87" i="38"/>
  <c r="AO64" i="38" s="1"/>
  <c r="AO63" i="38"/>
  <c r="AK16" i="15"/>
  <c r="AM76" i="45"/>
  <c r="AL49" i="45"/>
  <c r="AL65" i="45"/>
  <c r="AM51" i="45"/>
  <c r="AK49" i="17"/>
  <c r="AK53" i="17" s="1"/>
  <c r="AK54" i="17" s="1"/>
  <c r="AN17" i="22"/>
  <c r="AN19" i="22"/>
  <c r="AL26" i="22"/>
  <c r="AN30" i="22"/>
  <c r="AK25" i="27"/>
  <c r="AK34" i="27"/>
  <c r="AL21" i="27"/>
  <c r="BB21" i="27" s="1"/>
  <c r="AL30" i="27"/>
  <c r="BB30" i="27" s="1"/>
  <c r="AL36" i="27"/>
  <c r="BB36" i="27" s="1"/>
  <c r="AL18" i="27"/>
  <c r="BB18" i="27" s="1"/>
  <c r="AL22" i="27"/>
  <c r="BB22" i="27" s="1"/>
  <c r="AL27" i="27"/>
  <c r="BB27" i="27" s="1"/>
  <c r="AL37" i="27"/>
  <c r="BB37" i="27" s="1"/>
  <c r="AL19" i="27"/>
  <c r="BB19" i="27" s="1"/>
  <c r="AL23" i="27"/>
  <c r="BB23" i="27" s="1"/>
  <c r="AL28" i="27"/>
  <c r="BB28" i="27" s="1"/>
  <c r="AL38" i="27"/>
  <c r="BB38" i="27" s="1"/>
  <c r="AL20" i="27"/>
  <c r="BB20" i="27" s="1"/>
  <c r="AL29" i="27"/>
  <c r="BB29" i="27" s="1"/>
  <c r="AL31" i="27"/>
  <c r="BB31" i="27" s="1"/>
  <c r="AM10" i="26"/>
  <c r="AM14" i="26"/>
  <c r="AM13" i="26"/>
  <c r="AM42" i="26"/>
  <c r="AM43" i="26"/>
  <c r="AM39" i="26"/>
  <c r="AK61" i="26"/>
  <c r="AJ10" i="26"/>
  <c r="AK42" i="26"/>
  <c r="AK43" i="26"/>
  <c r="AK10" i="26"/>
  <c r="AK13" i="26"/>
  <c r="AM57" i="26"/>
  <c r="BC57" i="26" s="1"/>
  <c r="AK60" i="26"/>
  <c r="AL10" i="26"/>
  <c r="AR94" i="38"/>
  <c r="AR67" i="38"/>
  <c r="AR89" i="38"/>
  <c r="AR92" i="38"/>
  <c r="AR75" i="38"/>
  <c r="AR85" i="38"/>
  <c r="AR59" i="38"/>
  <c r="AR62" i="38"/>
  <c r="AO42" i="38"/>
  <c r="AP54" i="38"/>
  <c r="AO6" i="38"/>
  <c r="AR80" i="38"/>
  <c r="AR76" i="38"/>
  <c r="AR72" i="38"/>
  <c r="AR68" i="38"/>
  <c r="AR55" i="38"/>
  <c r="AO12" i="38"/>
  <c r="AO18" i="38"/>
  <c r="AR73" i="38"/>
  <c r="AL60" i="45"/>
  <c r="AR83" i="38"/>
  <c r="AR51" i="38"/>
  <c r="AR56" i="38"/>
  <c r="AR84" i="38"/>
  <c r="AP60" i="38"/>
  <c r="AR69" i="38"/>
  <c r="AR70" i="38"/>
  <c r="AR71" i="38"/>
  <c r="AR74" i="38"/>
  <c r="AR77" i="38"/>
  <c r="AR78" i="38"/>
  <c r="AR79" i="38"/>
  <c r="AO40" i="38"/>
  <c r="AR57" i="38"/>
  <c r="AR58" i="38"/>
  <c r="AP15" i="38"/>
  <c r="AO34" i="38"/>
  <c r="AP90" i="38"/>
  <c r="AP39" i="38"/>
  <c r="AR61" i="38"/>
  <c r="AP16" i="38"/>
  <c r="AR86" i="38"/>
  <c r="AR91" i="38"/>
  <c r="AM38" i="17"/>
  <c r="AM73" i="17"/>
  <c r="BC73" i="17" s="1"/>
  <c r="AM75" i="17"/>
  <c r="BC75" i="17" s="1"/>
  <c r="AM48" i="17"/>
  <c r="AM70" i="17"/>
  <c r="BC70" i="17" s="1"/>
  <c r="AM72" i="17"/>
  <c r="BC72" i="17" s="1"/>
  <c r="AM40" i="17"/>
  <c r="AM74" i="17"/>
  <c r="BC74" i="17" s="1"/>
  <c r="AM76" i="17"/>
  <c r="BC76" i="17" s="1"/>
  <c r="AM46" i="17"/>
  <c r="AM42" i="17"/>
  <c r="AM67" i="17"/>
  <c r="BC67" i="17" s="1"/>
  <c r="AM71" i="17"/>
  <c r="BC71" i="17" s="1"/>
  <c r="AL13" i="17"/>
  <c r="AJ58" i="17"/>
  <c r="AJ61" i="17" s="1"/>
  <c r="AL74" i="17"/>
  <c r="AJ33" i="17"/>
  <c r="AJ31" i="17"/>
  <c r="AJ112" i="17"/>
  <c r="AJ29" i="17"/>
  <c r="AJ32" i="17"/>
  <c r="AJ49" i="17"/>
  <c r="AJ59" i="17"/>
  <c r="AL72" i="17"/>
  <c r="AL65" i="17"/>
  <c r="AL64" i="17"/>
  <c r="AL12" i="17"/>
  <c r="AJ10" i="17"/>
  <c r="AM21" i="17"/>
  <c r="AK33" i="17"/>
  <c r="AK31" i="17"/>
  <c r="AK29" i="17"/>
  <c r="AK32" i="17"/>
  <c r="AK112" i="17"/>
  <c r="AK52" i="17"/>
  <c r="AK113" i="17" s="1"/>
  <c r="AM61" i="17"/>
  <c r="AM59" i="17"/>
  <c r="AL71" i="17"/>
  <c r="AL75" i="17"/>
  <c r="AK61" i="17"/>
  <c r="AK13" i="17"/>
  <c r="AK14" i="17" s="1"/>
  <c r="AK44" i="17"/>
  <c r="AM11" i="17"/>
  <c r="AK59" i="17"/>
  <c r="AM64" i="17"/>
  <c r="BC64" i="17" s="1"/>
  <c r="BC66" i="17" s="1"/>
  <c r="BC68" i="17" s="1"/>
  <c r="AM65" i="17"/>
  <c r="BC65" i="17" s="1"/>
  <c r="AM79" i="17"/>
  <c r="AN62" i="45"/>
  <c r="AN64" i="45"/>
  <c r="AO76" i="45"/>
  <c r="AO70" i="45"/>
  <c r="AL54" i="45"/>
  <c r="AN56" i="45"/>
  <c r="AO75" i="45"/>
  <c r="AM78" i="45"/>
  <c r="AM80" i="45" s="1"/>
  <c r="AM47" i="45"/>
  <c r="AM54" i="45"/>
  <c r="AO56" i="45"/>
  <c r="AM61" i="45"/>
  <c r="AM49" i="45"/>
  <c r="AM81" i="17" l="1"/>
  <c r="BC79" i="17"/>
  <c r="BB40" i="27"/>
  <c r="BC42" i="17"/>
  <c r="AL66" i="17"/>
  <c r="AL68" i="17" s="1"/>
  <c r="BB34" i="27"/>
  <c r="BC80" i="17"/>
  <c r="BH58" i="38"/>
  <c r="BC38" i="17"/>
  <c r="BH85" i="38"/>
  <c r="BC77" i="17"/>
  <c r="BD52" i="22"/>
  <c r="BD23" i="22"/>
  <c r="BD51" i="22" s="1"/>
  <c r="BD53" i="22" s="1"/>
  <c r="BD55" i="22" s="1"/>
  <c r="BD56" i="22" s="1"/>
  <c r="BC39" i="26"/>
  <c r="BC43" i="26"/>
  <c r="BC59" i="17"/>
  <c r="BB25" i="27"/>
  <c r="BD44" i="22"/>
  <c r="BD9" i="22"/>
  <c r="BD43" i="22" s="1"/>
  <c r="BD45" i="22" s="1"/>
  <c r="BD47" i="22" s="1"/>
  <c r="BD48" i="22" s="1"/>
  <c r="BC40" i="17"/>
  <c r="BH86" i="38"/>
  <c r="BH78" i="38"/>
  <c r="BH70" i="38"/>
  <c r="BC48" i="17"/>
  <c r="BH93" i="38"/>
  <c r="BH62" i="38"/>
  <c r="AN47" i="22"/>
  <c r="AN48" i="22" s="1"/>
  <c r="AM21" i="48" s="1"/>
  <c r="AP65" i="38"/>
  <c r="AK110" i="17"/>
  <c r="AK114" i="17" s="1"/>
  <c r="AK50" i="17"/>
  <c r="AK111" i="17" s="1"/>
  <c r="AK115" i="17" s="1"/>
  <c r="AL25" i="27"/>
  <c r="AL40" i="27"/>
  <c r="AL34" i="27"/>
  <c r="AL61" i="45"/>
  <c r="AO15" i="38"/>
  <c r="AP64" i="38"/>
  <c r="AP87" i="38"/>
  <c r="AO39" i="38"/>
  <c r="AP63" i="38"/>
  <c r="AO17" i="38"/>
  <c r="AM77" i="17"/>
  <c r="AL77" i="17"/>
  <c r="AJ53" i="17"/>
  <c r="AJ110" i="17"/>
  <c r="AJ114" i="17" s="1"/>
  <c r="AL14" i="17"/>
  <c r="AM66" i="17"/>
  <c r="AM68" i="17" s="1"/>
  <c r="AM82" i="45"/>
  <c r="BC81" i="17" l="1"/>
  <c r="AO16" i="38"/>
  <c r="AL82" i="11" l="1"/>
  <c r="AL65" i="11"/>
  <c r="AL63" i="11"/>
  <c r="AN60" i="11"/>
  <c r="AL57" i="11"/>
  <c r="AL64" i="11" s="1"/>
  <c r="AN56" i="11"/>
  <c r="BD56" i="11" s="1"/>
  <c r="AN55" i="11"/>
  <c r="BD55" i="11" s="1"/>
  <c r="AL48" i="11"/>
  <c r="AK48" i="11"/>
  <c r="AL46" i="11"/>
  <c r="AK46" i="11"/>
  <c r="AN45" i="11"/>
  <c r="BD45" i="11" s="1"/>
  <c r="AM45" i="11"/>
  <c r="BC45" i="11" s="1"/>
  <c r="AL44" i="11"/>
  <c r="AK44" i="11"/>
  <c r="AN43" i="11"/>
  <c r="BD43" i="11" s="1"/>
  <c r="AM43" i="11"/>
  <c r="BC43" i="11" s="1"/>
  <c r="AK42" i="11"/>
  <c r="AL41" i="11"/>
  <c r="AK41" i="11"/>
  <c r="AL36" i="11"/>
  <c r="AL67" i="11" s="1"/>
  <c r="AK34" i="11"/>
  <c r="AK37" i="11" s="1"/>
  <c r="AN33" i="11"/>
  <c r="BD33" i="11" s="1"/>
  <c r="AN32" i="11"/>
  <c r="BD32" i="11" s="1"/>
  <c r="AN31" i="11"/>
  <c r="BD31" i="11" s="1"/>
  <c r="AN30" i="11"/>
  <c r="BD30" i="11" s="1"/>
  <c r="AN29" i="11"/>
  <c r="BD29" i="11" s="1"/>
  <c r="AN27" i="11"/>
  <c r="BD27" i="11" s="1"/>
  <c r="AN26" i="11"/>
  <c r="BD26" i="11" s="1"/>
  <c r="AN24" i="11"/>
  <c r="BD24" i="11" s="1"/>
  <c r="AN23" i="11"/>
  <c r="BD23" i="11" s="1"/>
  <c r="AN22" i="11"/>
  <c r="BD22" i="11" s="1"/>
  <c r="AN21" i="11"/>
  <c r="BD21" i="11" s="1"/>
  <c r="AN18" i="11"/>
  <c r="BD18" i="11" s="1"/>
  <c r="AN16" i="11"/>
  <c r="BD16" i="11" s="1"/>
  <c r="AL34" i="11"/>
  <c r="AN13" i="11"/>
  <c r="BD13" i="11" s="1"/>
  <c r="AN12" i="11"/>
  <c r="BD12" i="11" s="1"/>
  <c r="AN11" i="11"/>
  <c r="BD11" i="11" s="1"/>
  <c r="AN10" i="11"/>
  <c r="BD10" i="11" s="1"/>
  <c r="AN8" i="11"/>
  <c r="BD8" i="11" s="1"/>
  <c r="AN5" i="11"/>
  <c r="AM5" i="11"/>
  <c r="BC5" i="11" s="1"/>
  <c r="AN2" i="11"/>
  <c r="BD2" i="11" s="1"/>
  <c r="AM2" i="11"/>
  <c r="AL125" i="10"/>
  <c r="AL123" i="10"/>
  <c r="AN120" i="10"/>
  <c r="AL117" i="10"/>
  <c r="AL118" i="10" s="1"/>
  <c r="AN116" i="10"/>
  <c r="BD116" i="10" s="1"/>
  <c r="AN115" i="10"/>
  <c r="BD115" i="10" s="1"/>
  <c r="AL108" i="10"/>
  <c r="AL109" i="10" s="1"/>
  <c r="AK108" i="10"/>
  <c r="AL106" i="10"/>
  <c r="AK106" i="10"/>
  <c r="AN105" i="10"/>
  <c r="BD105" i="10" s="1"/>
  <c r="AM105" i="10"/>
  <c r="AL104" i="10"/>
  <c r="AK104" i="10"/>
  <c r="AN103" i="10"/>
  <c r="BD103" i="10" s="1"/>
  <c r="AM103" i="10"/>
  <c r="AL101" i="10"/>
  <c r="AL102" i="10" s="1"/>
  <c r="AK101" i="10"/>
  <c r="AL127" i="10"/>
  <c r="AL113" i="10"/>
  <c r="AK94" i="10"/>
  <c r="AN5" i="10"/>
  <c r="AM5" i="10"/>
  <c r="BC5" i="10" s="1"/>
  <c r="AN2" i="10"/>
  <c r="BD2" i="10" s="1"/>
  <c r="BD101" i="10" s="1"/>
  <c r="AM2" i="10"/>
  <c r="BC2" i="10" s="1"/>
  <c r="BC101" i="10" s="1"/>
  <c r="BC102" i="10" s="1"/>
  <c r="S33" i="34"/>
  <c r="S34" i="34"/>
  <c r="S36" i="34"/>
  <c r="S37" i="34"/>
  <c r="S38" i="34"/>
  <c r="S25" i="34"/>
  <c r="S26" i="34"/>
  <c r="S28" i="34"/>
  <c r="S8" i="34"/>
  <c r="AA8" i="34" s="1"/>
  <c r="S12" i="34"/>
  <c r="AA12" i="34" s="1"/>
  <c r="S14" i="34"/>
  <c r="AA14" i="34" s="1"/>
  <c r="S15" i="34"/>
  <c r="AA15" i="34" s="1"/>
  <c r="S16" i="34"/>
  <c r="AA16" i="34" s="1"/>
  <c r="S17" i="34"/>
  <c r="AA17" i="34" s="1"/>
  <c r="S18" i="34"/>
  <c r="AA18" i="34" s="1"/>
  <c r="S19" i="34"/>
  <c r="AA19" i="34" s="1"/>
  <c r="S20" i="34"/>
  <c r="AA20" i="34" s="1"/>
  <c r="AK7" i="32"/>
  <c r="AK8" i="32"/>
  <c r="AK9" i="32"/>
  <c r="AK10" i="32"/>
  <c r="AK12" i="32"/>
  <c r="AK13" i="32"/>
  <c r="AK14" i="32"/>
  <c r="AK15" i="32"/>
  <c r="AK16" i="32"/>
  <c r="AK17" i="32"/>
  <c r="AK18" i="32"/>
  <c r="AK19" i="32"/>
  <c r="AK20" i="32"/>
  <c r="AK21" i="32"/>
  <c r="AK22" i="32"/>
  <c r="AK23" i="32"/>
  <c r="AK24" i="32"/>
  <c r="AK25" i="32"/>
  <c r="AK27" i="32"/>
  <c r="AK28" i="32"/>
  <c r="AK29" i="32"/>
  <c r="AK30" i="32"/>
  <c r="AK31" i="32"/>
  <c r="AK32" i="32"/>
  <c r="AK33" i="32"/>
  <c r="AK35" i="32"/>
  <c r="AQ35" i="32" s="1"/>
  <c r="AK36" i="32"/>
  <c r="AK37" i="32"/>
  <c r="AK38" i="32"/>
  <c r="AK39" i="32"/>
  <c r="AK40" i="32"/>
  <c r="AK41" i="32"/>
  <c r="AK42" i="32"/>
  <c r="AK43" i="32"/>
  <c r="AK44" i="32"/>
  <c r="AK45" i="32"/>
  <c r="AK46" i="32"/>
  <c r="AK47" i="32"/>
  <c r="AK48" i="32"/>
  <c r="AK49" i="32"/>
  <c r="AK51" i="32"/>
  <c r="AK52" i="32"/>
  <c r="AK53" i="32"/>
  <c r="AK54" i="32"/>
  <c r="AK55" i="32"/>
  <c r="AK56" i="32"/>
  <c r="AK57" i="32"/>
  <c r="AK58" i="32"/>
  <c r="AK59" i="32"/>
  <c r="AK60" i="32"/>
  <c r="R7" i="32"/>
  <c r="R8" i="32"/>
  <c r="R9" i="32"/>
  <c r="R10" i="32"/>
  <c r="R12" i="32"/>
  <c r="R13" i="32"/>
  <c r="R14" i="32"/>
  <c r="R15" i="32"/>
  <c r="R16" i="32"/>
  <c r="R17" i="32"/>
  <c r="R18" i="32"/>
  <c r="R19" i="32"/>
  <c r="R20" i="32"/>
  <c r="R21" i="32"/>
  <c r="R22" i="32"/>
  <c r="R23" i="32"/>
  <c r="R24" i="32"/>
  <c r="R25" i="32"/>
  <c r="R27" i="32"/>
  <c r="R28" i="32"/>
  <c r="R29" i="32"/>
  <c r="R30" i="32"/>
  <c r="R31" i="32"/>
  <c r="R32" i="32"/>
  <c r="R33" i="32"/>
  <c r="R35" i="32"/>
  <c r="X35" i="32" s="1"/>
  <c r="R36" i="32"/>
  <c r="R37" i="32"/>
  <c r="R38" i="32"/>
  <c r="R39" i="32"/>
  <c r="R40" i="32"/>
  <c r="R41" i="32"/>
  <c r="R42" i="32"/>
  <c r="R43" i="32"/>
  <c r="R44" i="32"/>
  <c r="R45" i="32"/>
  <c r="R46" i="32"/>
  <c r="R47" i="32"/>
  <c r="R48" i="32"/>
  <c r="R49" i="32"/>
  <c r="R51" i="32"/>
  <c r="R52" i="32"/>
  <c r="R53" i="32"/>
  <c r="R54" i="32"/>
  <c r="R55" i="32"/>
  <c r="R56" i="32"/>
  <c r="R57" i="32"/>
  <c r="R58" i="32"/>
  <c r="R59" i="32"/>
  <c r="R60" i="32"/>
  <c r="R6" i="32"/>
  <c r="AK134" i="9"/>
  <c r="AK135" i="9" s="1"/>
  <c r="AK129" i="9"/>
  <c r="AK128" i="9"/>
  <c r="AK130" i="9" s="1"/>
  <c r="AM102" i="9"/>
  <c r="AK94" i="9"/>
  <c r="AJ94" i="9"/>
  <c r="AK91" i="9"/>
  <c r="AJ90" i="9"/>
  <c r="AK89" i="9"/>
  <c r="AK18" i="15" s="1"/>
  <c r="AK88" i="9"/>
  <c r="AM87" i="9"/>
  <c r="BC87" i="9" s="1"/>
  <c r="AJ87" i="9"/>
  <c r="AO85" i="9"/>
  <c r="AM85" i="9"/>
  <c r="AK85" i="9"/>
  <c r="AK83" i="9"/>
  <c r="AM82" i="9"/>
  <c r="AJ70" i="9"/>
  <c r="AM66" i="9"/>
  <c r="AJ66" i="9"/>
  <c r="AM65" i="9"/>
  <c r="AJ65" i="9"/>
  <c r="AM64" i="9"/>
  <c r="BC64" i="9" s="1"/>
  <c r="AJ64" i="9"/>
  <c r="AM63" i="9"/>
  <c r="BC63" i="9" s="1"/>
  <c r="AJ63" i="9"/>
  <c r="AM62" i="9"/>
  <c r="AJ62" i="9"/>
  <c r="AM61" i="9"/>
  <c r="AJ61" i="9"/>
  <c r="AJ60" i="9"/>
  <c r="AM59" i="9"/>
  <c r="AJ59" i="9"/>
  <c r="AM58" i="9"/>
  <c r="BC58" i="9" s="1"/>
  <c r="AL58" i="9"/>
  <c r="BB58" i="9" s="1"/>
  <c r="AM57" i="9"/>
  <c r="AJ57" i="9"/>
  <c r="AM56" i="9"/>
  <c r="AJ56" i="9"/>
  <c r="AK55" i="9"/>
  <c r="AK42" i="48" s="1"/>
  <c r="AM54" i="9"/>
  <c r="BC54" i="9" s="1"/>
  <c r="AL54" i="9"/>
  <c r="BB54" i="9" s="1"/>
  <c r="AM53" i="9"/>
  <c r="BC53" i="9" s="1"/>
  <c r="AJ53" i="9"/>
  <c r="AJ55" i="9" s="1"/>
  <c r="AJ45" i="9"/>
  <c r="AK44" i="9"/>
  <c r="AM43" i="9"/>
  <c r="BC43" i="9" s="1"/>
  <c r="AM42" i="9"/>
  <c r="BC42" i="9" s="1"/>
  <c r="AM40" i="9"/>
  <c r="BC40" i="9" s="1"/>
  <c r="AL40" i="9"/>
  <c r="BB40" i="9" s="1"/>
  <c r="AK38" i="9"/>
  <c r="AK46" i="9" s="1"/>
  <c r="AK37" i="9"/>
  <c r="AK45" i="9" s="1"/>
  <c r="AK36" i="9"/>
  <c r="AM35" i="9"/>
  <c r="BC35" i="9" s="1"/>
  <c r="AM34" i="9"/>
  <c r="BC34" i="9" s="1"/>
  <c r="BC36" i="9" s="1"/>
  <c r="AK33" i="9"/>
  <c r="AM31" i="9"/>
  <c r="BC31" i="9" s="1"/>
  <c r="AL31" i="9"/>
  <c r="BB31" i="9" s="1"/>
  <c r="AJ29" i="9"/>
  <c r="AK27" i="9"/>
  <c r="AM26" i="9"/>
  <c r="AJ26" i="9"/>
  <c r="AM25" i="9"/>
  <c r="AM24" i="9"/>
  <c r="BC24" i="9" s="1"/>
  <c r="AJ24" i="9"/>
  <c r="AM22" i="9"/>
  <c r="AL22" i="9"/>
  <c r="BB22" i="9" s="1"/>
  <c r="AK21" i="9"/>
  <c r="AM19" i="9"/>
  <c r="BC19" i="9" s="1"/>
  <c r="AM18" i="9"/>
  <c r="BC18" i="9" s="1"/>
  <c r="AL18" i="9"/>
  <c r="AM13" i="9"/>
  <c r="BC13" i="9" s="1"/>
  <c r="AM12" i="9"/>
  <c r="BC12" i="9" s="1"/>
  <c r="AM11" i="9"/>
  <c r="BC11" i="9" s="1"/>
  <c r="AK10" i="9"/>
  <c r="AM9" i="9"/>
  <c r="AM8" i="9"/>
  <c r="AM7" i="9"/>
  <c r="BC7" i="9" s="1"/>
  <c r="AJ7" i="9"/>
  <c r="AM5" i="9"/>
  <c r="AL5" i="9"/>
  <c r="AL98" i="9"/>
  <c r="AL83" i="9" l="1"/>
  <c r="BB18" i="9"/>
  <c r="AM123" i="9"/>
  <c r="BC25" i="9"/>
  <c r="BC123" i="9" s="1"/>
  <c r="AM51" i="48"/>
  <c r="BC62" i="9"/>
  <c r="AN58" i="22"/>
  <c r="AN60" i="22" s="1"/>
  <c r="AN61" i="22" s="1"/>
  <c r="AM37" i="48" s="1"/>
  <c r="BC66" i="9"/>
  <c r="AN65" i="11"/>
  <c r="BD60" i="11"/>
  <c r="BD65" i="11" s="1"/>
  <c r="AM96" i="9"/>
  <c r="BC22" i="9"/>
  <c r="BC96" i="9" s="1"/>
  <c r="AM44" i="48"/>
  <c r="BC56" i="9"/>
  <c r="AN63" i="11"/>
  <c r="BD5" i="11"/>
  <c r="BD63" i="11" s="1"/>
  <c r="BB5" i="9"/>
  <c r="AM120" i="9"/>
  <c r="BC8" i="9"/>
  <c r="BC120" i="9" s="1"/>
  <c r="AM124" i="9"/>
  <c r="BC26" i="9"/>
  <c r="BC124" i="9" s="1"/>
  <c r="AN63" i="22"/>
  <c r="BC61" i="9"/>
  <c r="AM163" i="9"/>
  <c r="AM165" i="9" s="1"/>
  <c r="BC65" i="9"/>
  <c r="AM50" i="11"/>
  <c r="BC2" i="11"/>
  <c r="BC5" i="9"/>
  <c r="AM121" i="9"/>
  <c r="BC9" i="9"/>
  <c r="BC121" i="9" s="1"/>
  <c r="BC27" i="9"/>
  <c r="BC28" i="9" s="1"/>
  <c r="AM43" i="48"/>
  <c r="BC57" i="9"/>
  <c r="AM46" i="48"/>
  <c r="BC59" i="9"/>
  <c r="AM52" i="48"/>
  <c r="BC102" i="9"/>
  <c r="AN125" i="10"/>
  <c r="BD120" i="10"/>
  <c r="BD125" i="10" s="1"/>
  <c r="AL58" i="11"/>
  <c r="BC46" i="11"/>
  <c r="BC44" i="11"/>
  <c r="BD36" i="11"/>
  <c r="BD67" i="11" s="1"/>
  <c r="BD44" i="11"/>
  <c r="BD46" i="11"/>
  <c r="AN123" i="10"/>
  <c r="BD5" i="10"/>
  <c r="BD104" i="10"/>
  <c r="BD102" i="10"/>
  <c r="BD106" i="10"/>
  <c r="AM44" i="11"/>
  <c r="AN65" i="22"/>
  <c r="AN66" i="22" s="1"/>
  <c r="AM40" i="48" s="1"/>
  <c r="AM166" i="9"/>
  <c r="AM110" i="7"/>
  <c r="AN46" i="11"/>
  <c r="AN57" i="11"/>
  <c r="BD57" i="11" s="1"/>
  <c r="AN117" i="10"/>
  <c r="BD117" i="10" s="1"/>
  <c r="BD124" i="10" s="1"/>
  <c r="AN107" i="10"/>
  <c r="AR35" i="32"/>
  <c r="AK39" i="9"/>
  <c r="AM27" i="9"/>
  <c r="AK14" i="9"/>
  <c r="AL49" i="9"/>
  <c r="AM36" i="9"/>
  <c r="AM37" i="9"/>
  <c r="BC37" i="9" s="1"/>
  <c r="AK28" i="9"/>
  <c r="AM88" i="9"/>
  <c r="AM10" i="9"/>
  <c r="AM119" i="9"/>
  <c r="BC119" i="9" s="1"/>
  <c r="AM99" i="9"/>
  <c r="BC99" i="9" s="1"/>
  <c r="AN33" i="22"/>
  <c r="AM94" i="26"/>
  <c r="AM83" i="9"/>
  <c r="AM89" i="9"/>
  <c r="AM18" i="15" s="1"/>
  <c r="AM33" i="22"/>
  <c r="AL94" i="26"/>
  <c r="AM46" i="11"/>
  <c r="AM104" i="10"/>
  <c r="AN104" i="10"/>
  <c r="AN36" i="11"/>
  <c r="AN59" i="11" s="1"/>
  <c r="BD59" i="11" s="1"/>
  <c r="AM47" i="11"/>
  <c r="AN58" i="11"/>
  <c r="AM107" i="10"/>
  <c r="AJ95" i="9"/>
  <c r="AK95" i="9"/>
  <c r="AK49" i="11"/>
  <c r="AM51" i="11"/>
  <c r="AL66" i="11"/>
  <c r="AL68" i="11" s="1"/>
  <c r="AL37" i="11"/>
  <c r="AL53" i="11"/>
  <c r="AL35" i="11"/>
  <c r="AL39" i="11"/>
  <c r="AN15" i="11"/>
  <c r="BD15" i="11" s="1"/>
  <c r="AN25" i="11"/>
  <c r="BD25" i="11" s="1"/>
  <c r="AL42" i="11"/>
  <c r="AN44" i="11"/>
  <c r="AL49" i="11"/>
  <c r="AM52" i="11"/>
  <c r="AK53" i="11"/>
  <c r="AL59" i="11"/>
  <c r="AN64" i="11"/>
  <c r="AN47" i="11"/>
  <c r="AL99" i="10"/>
  <c r="AK113" i="10"/>
  <c r="AK102" i="10"/>
  <c r="AN124" i="10"/>
  <c r="AN118" i="10"/>
  <c r="AM112" i="10"/>
  <c r="AM111" i="10"/>
  <c r="AM110" i="10"/>
  <c r="AK97" i="10"/>
  <c r="AM106" i="10"/>
  <c r="AL97" i="10"/>
  <c r="AN106" i="10"/>
  <c r="AL126" i="10"/>
  <c r="AL128" i="10" s="1"/>
  <c r="AL95" i="10"/>
  <c r="AK109" i="10"/>
  <c r="AL119" i="10"/>
  <c r="AL124" i="10"/>
  <c r="AM28" i="9"/>
  <c r="AK47" i="9"/>
  <c r="AK84" i="9"/>
  <c r="AK86" i="9" s="1"/>
  <c r="AK131" i="9"/>
  <c r="AM49" i="9"/>
  <c r="BC49" i="9" s="1"/>
  <c r="AL93" i="9"/>
  <c r="AL96" i="9"/>
  <c r="AL97" i="9"/>
  <c r="AJ27" i="9"/>
  <c r="AL92" i="9"/>
  <c r="AM55" i="9"/>
  <c r="AM97" i="9"/>
  <c r="BC97" i="9" s="1"/>
  <c r="AL99" i="9"/>
  <c r="BB99" i="9" s="1"/>
  <c r="AM122" i="9"/>
  <c r="BC122" i="9" s="1"/>
  <c r="AK91" i="8"/>
  <c r="AK85" i="8"/>
  <c r="AJ85" i="8"/>
  <c r="AM79" i="8"/>
  <c r="AL75" i="8"/>
  <c r="AO73" i="8"/>
  <c r="AM73" i="8"/>
  <c r="AK73" i="8"/>
  <c r="AJ73" i="8"/>
  <c r="AK68" i="8"/>
  <c r="AM67" i="8"/>
  <c r="AK66" i="8"/>
  <c r="AK33" i="8" s="1"/>
  <c r="AM65" i="8"/>
  <c r="AK63" i="8"/>
  <c r="AL62" i="8"/>
  <c r="AK62" i="8"/>
  <c r="AM61" i="8"/>
  <c r="BC61" i="8" s="1"/>
  <c r="AK60" i="8"/>
  <c r="AM59" i="8"/>
  <c r="AO55" i="8"/>
  <c r="AM55" i="8"/>
  <c r="AK55" i="8"/>
  <c r="AO54" i="8"/>
  <c r="AM54" i="8"/>
  <c r="AK54" i="8"/>
  <c r="AO53" i="8"/>
  <c r="AM53" i="8"/>
  <c r="AK53" i="8"/>
  <c r="AO52" i="8"/>
  <c r="AM52" i="8"/>
  <c r="AK52" i="8"/>
  <c r="AO51" i="8"/>
  <c r="AM51" i="8"/>
  <c r="AK51" i="8"/>
  <c r="AJ50" i="8"/>
  <c r="AK46" i="8"/>
  <c r="AJ46" i="8"/>
  <c r="AJ39" i="8"/>
  <c r="AJ38" i="8"/>
  <c r="AJ37" i="8"/>
  <c r="AM32" i="8"/>
  <c r="BC32" i="8" s="1"/>
  <c r="AL32" i="8"/>
  <c r="BB32" i="8" s="1"/>
  <c r="AM30" i="8"/>
  <c r="BC30" i="8" s="1"/>
  <c r="AM29" i="8"/>
  <c r="BC29" i="8" s="1"/>
  <c r="AM28" i="8"/>
  <c r="BC28" i="8" s="1"/>
  <c r="AM27" i="8"/>
  <c r="BC27" i="8" s="1"/>
  <c r="AK26" i="8"/>
  <c r="AM25" i="8"/>
  <c r="BC25" i="8" s="1"/>
  <c r="AM24" i="8"/>
  <c r="BC24" i="8" s="1"/>
  <c r="AM23" i="8"/>
  <c r="BC23" i="8" s="1"/>
  <c r="AL21" i="8"/>
  <c r="BB21" i="8" s="1"/>
  <c r="AK21" i="8"/>
  <c r="AM20" i="8"/>
  <c r="BC20" i="8" s="1"/>
  <c r="AL20" i="8"/>
  <c r="BB20" i="8" s="1"/>
  <c r="AM19" i="8"/>
  <c r="BC19" i="8" s="1"/>
  <c r="AJ19" i="8"/>
  <c r="AM18" i="8"/>
  <c r="AL18" i="8"/>
  <c r="BB18" i="8" s="1"/>
  <c r="AL17" i="8"/>
  <c r="BB17" i="8" s="1"/>
  <c r="AK17" i="8"/>
  <c r="AL15" i="8"/>
  <c r="BB15" i="8" s="1"/>
  <c r="AK15" i="8"/>
  <c r="AL14" i="8"/>
  <c r="BB14" i="8" s="1"/>
  <c r="AK14" i="8"/>
  <c r="AK13" i="8"/>
  <c r="AJ13" i="8"/>
  <c r="AJ16" i="8" s="1"/>
  <c r="AK12" i="8"/>
  <c r="AM10" i="8"/>
  <c r="BC10" i="8" s="1"/>
  <c r="AL10" i="8"/>
  <c r="BB10" i="8" s="1"/>
  <c r="AM9" i="8"/>
  <c r="BC9" i="8" s="1"/>
  <c r="AL9" i="8"/>
  <c r="BB9" i="8" s="1"/>
  <c r="AM8" i="8"/>
  <c r="BC8" i="8" s="1"/>
  <c r="AL8" i="8"/>
  <c r="BB8" i="8" s="1"/>
  <c r="AM7" i="8"/>
  <c r="BC7" i="8" s="1"/>
  <c r="AL7" i="8"/>
  <c r="BB7" i="8" s="1"/>
  <c r="AK5" i="8"/>
  <c r="AM2" i="8"/>
  <c r="BC2" i="8" s="1"/>
  <c r="AL2" i="8"/>
  <c r="AN36" i="39"/>
  <c r="BD36" i="39" s="1"/>
  <c r="AN35" i="39"/>
  <c r="BD35" i="39" s="1"/>
  <c r="AN34" i="39"/>
  <c r="BD34" i="39" s="1"/>
  <c r="AN33" i="39"/>
  <c r="BD33" i="39" s="1"/>
  <c r="AN32" i="39"/>
  <c r="BD32" i="39" s="1"/>
  <c r="AN31" i="39"/>
  <c r="BD31" i="39" s="1"/>
  <c r="AN30" i="39"/>
  <c r="BD30" i="39" s="1"/>
  <c r="AN26" i="39"/>
  <c r="BD26" i="39" s="1"/>
  <c r="AN25" i="39"/>
  <c r="BD25" i="39" s="1"/>
  <c r="AN24" i="39"/>
  <c r="BD24" i="39" s="1"/>
  <c r="AN21" i="39"/>
  <c r="BD21" i="39" s="1"/>
  <c r="AN20" i="39"/>
  <c r="BD20" i="39" s="1"/>
  <c r="AN19" i="39"/>
  <c r="BD19" i="39" s="1"/>
  <c r="AM16" i="39"/>
  <c r="AL16" i="39"/>
  <c r="AO15" i="39"/>
  <c r="BE15" i="39" s="1"/>
  <c r="AN15" i="39"/>
  <c r="BD15" i="39" s="1"/>
  <c r="AO14" i="39"/>
  <c r="BE14" i="39" s="1"/>
  <c r="AN14" i="39"/>
  <c r="BD14" i="39" s="1"/>
  <c r="AO13" i="39"/>
  <c r="BE13" i="39" s="1"/>
  <c r="AN13" i="39"/>
  <c r="BD13" i="39" s="1"/>
  <c r="AO12" i="39"/>
  <c r="BE12" i="39" s="1"/>
  <c r="AN12" i="39"/>
  <c r="BD12" i="39" s="1"/>
  <c r="AO11" i="39"/>
  <c r="BE11" i="39" s="1"/>
  <c r="AN11" i="39"/>
  <c r="BD11" i="39" s="1"/>
  <c r="AO10" i="39"/>
  <c r="BE10" i="39" s="1"/>
  <c r="AN10" i="39"/>
  <c r="BD10" i="39" s="1"/>
  <c r="AO9" i="39"/>
  <c r="BE9" i="39" s="1"/>
  <c r="AN9" i="39"/>
  <c r="BD9" i="39" s="1"/>
  <c r="AO8" i="39"/>
  <c r="BE8" i="39" s="1"/>
  <c r="AN8" i="39"/>
  <c r="BD8" i="39" s="1"/>
  <c r="AO7" i="39"/>
  <c r="BE7" i="39" s="1"/>
  <c r="AN7" i="39"/>
  <c r="BD7" i="39" s="1"/>
  <c r="AO6" i="39"/>
  <c r="BE6" i="39" s="1"/>
  <c r="AN6" i="39"/>
  <c r="BD6" i="39" s="1"/>
  <c r="AK71" i="7"/>
  <c r="AK69" i="7"/>
  <c r="AJ69" i="7"/>
  <c r="AK62" i="7"/>
  <c r="AJ62" i="7"/>
  <c r="AM61" i="7"/>
  <c r="BC61" i="7" s="1"/>
  <c r="AL61" i="7"/>
  <c r="BB61" i="7" s="1"/>
  <c r="AM59" i="7"/>
  <c r="BC59" i="7" s="1"/>
  <c r="AL59" i="7"/>
  <c r="BB59" i="7" s="1"/>
  <c r="AK58" i="7"/>
  <c r="AJ58" i="7"/>
  <c r="AM55" i="7"/>
  <c r="BC55" i="7" s="1"/>
  <c r="AK54" i="7"/>
  <c r="AK49" i="7" s="1"/>
  <c r="AJ54" i="7"/>
  <c r="AJ36" i="7" s="1"/>
  <c r="AM53" i="7"/>
  <c r="BC53" i="7" s="1"/>
  <c r="AL53" i="7"/>
  <c r="BB53" i="7" s="1"/>
  <c r="AM52" i="7"/>
  <c r="AL52" i="7"/>
  <c r="AM38" i="7"/>
  <c r="BC38" i="7" s="1"/>
  <c r="AM37" i="7"/>
  <c r="BC37" i="7" s="1"/>
  <c r="AM36" i="7"/>
  <c r="BC36" i="7" s="1"/>
  <c r="AM35" i="7"/>
  <c r="BC35" i="7" s="1"/>
  <c r="AM34" i="7"/>
  <c r="BC34" i="7" s="1"/>
  <c r="AM33" i="7"/>
  <c r="BC33" i="7" s="1"/>
  <c r="AJ33" i="7"/>
  <c r="AM32" i="7"/>
  <c r="AM31" i="7"/>
  <c r="BC31" i="7" s="1"/>
  <c r="AJ23" i="7"/>
  <c r="AJ78" i="7" s="1"/>
  <c r="AJ19" i="7"/>
  <c r="AJ75" i="7" s="1"/>
  <c r="AK16" i="7"/>
  <c r="AK30" i="7" s="1"/>
  <c r="AJ16" i="7"/>
  <c r="AM15" i="7"/>
  <c r="AL15" i="7"/>
  <c r="BB15" i="7" s="1"/>
  <c r="AM14" i="7"/>
  <c r="AL14" i="7"/>
  <c r="BB14" i="7" s="1"/>
  <c r="AM13" i="7"/>
  <c r="AL13" i="7"/>
  <c r="BB13" i="7" s="1"/>
  <c r="AM12" i="7"/>
  <c r="AL12" i="7"/>
  <c r="BB12" i="7" s="1"/>
  <c r="AM11" i="7"/>
  <c r="AL11" i="7"/>
  <c r="BB11" i="7" s="1"/>
  <c r="AM10" i="7"/>
  <c r="BC10" i="7" s="1"/>
  <c r="AL10" i="7"/>
  <c r="BB10" i="7" s="1"/>
  <c r="AM9" i="7"/>
  <c r="AL9" i="7"/>
  <c r="BB9" i="7" s="1"/>
  <c r="AM8" i="7"/>
  <c r="BC8" i="7" s="1"/>
  <c r="AL8" i="7"/>
  <c r="BB8" i="7" s="1"/>
  <c r="AM7" i="7"/>
  <c r="BC7" i="7" s="1"/>
  <c r="AL7" i="7"/>
  <c r="BB7" i="7" s="1"/>
  <c r="AM6" i="7"/>
  <c r="BC6" i="7" s="1"/>
  <c r="AL6" i="7"/>
  <c r="BB6" i="7" s="1"/>
  <c r="AM2" i="7"/>
  <c r="BC2" i="7" s="1"/>
  <c r="AL2" i="7"/>
  <c r="AK1" i="7"/>
  <c r="AJ1" i="7"/>
  <c r="AN284" i="6"/>
  <c r="AL284" i="6"/>
  <c r="AJ284" i="6"/>
  <c r="AN283" i="6"/>
  <c r="AL283" i="6"/>
  <c r="AJ283" i="6"/>
  <c r="AN282" i="6"/>
  <c r="AL282" i="6"/>
  <c r="AJ282" i="6"/>
  <c r="AN278" i="6"/>
  <c r="AL278" i="6"/>
  <c r="AJ278" i="6"/>
  <c r="AN276" i="6"/>
  <c r="AL276" i="6"/>
  <c r="AJ276" i="6"/>
  <c r="AN275" i="6"/>
  <c r="AL275" i="6"/>
  <c r="AJ275" i="6"/>
  <c r="AN274" i="6"/>
  <c r="AL274" i="6"/>
  <c r="AJ274" i="6"/>
  <c r="AN273" i="6"/>
  <c r="AL273" i="6"/>
  <c r="AJ273" i="6"/>
  <c r="AN272" i="6"/>
  <c r="AL272" i="6"/>
  <c r="AJ272" i="6"/>
  <c r="AN271" i="6"/>
  <c r="AL271" i="6"/>
  <c r="AJ271" i="6"/>
  <c r="AN270" i="6"/>
  <c r="AL270" i="6"/>
  <c r="AJ270" i="6"/>
  <c r="AO237" i="6"/>
  <c r="AM237" i="6"/>
  <c r="AK237" i="6"/>
  <c r="AO236" i="6"/>
  <c r="AM236" i="6"/>
  <c r="AK236" i="6"/>
  <c r="AO235" i="6"/>
  <c r="AO283" i="6" s="1"/>
  <c r="AM235" i="6"/>
  <c r="AM283" i="6" s="1"/>
  <c r="AK235" i="6"/>
  <c r="AK283" i="6" s="1"/>
  <c r="AO233" i="6"/>
  <c r="AM233" i="6"/>
  <c r="AK233" i="6"/>
  <c r="AO232" i="6"/>
  <c r="AM232" i="6"/>
  <c r="AK232" i="6"/>
  <c r="AO231" i="6"/>
  <c r="AO282" i="6" s="1"/>
  <c r="AM231" i="6"/>
  <c r="AM282" i="6" s="1"/>
  <c r="AK231" i="6"/>
  <c r="AK282" i="6" s="1"/>
  <c r="AO229" i="6"/>
  <c r="AM229" i="6"/>
  <c r="AK229" i="6"/>
  <c r="AO228" i="6"/>
  <c r="AM228" i="6"/>
  <c r="AK228" i="6"/>
  <c r="AO227" i="6"/>
  <c r="AO284" i="6" s="1"/>
  <c r="AM227" i="6"/>
  <c r="AM284" i="6" s="1"/>
  <c r="AK227" i="6"/>
  <c r="AK284" i="6" s="1"/>
  <c r="AO225" i="6"/>
  <c r="AM225" i="6"/>
  <c r="AK225" i="6"/>
  <c r="AO224" i="6"/>
  <c r="AM224" i="6"/>
  <c r="AK224" i="6"/>
  <c r="AO223" i="6"/>
  <c r="AO278" i="6" s="1"/>
  <c r="AM223" i="6"/>
  <c r="AM278" i="6" s="1"/>
  <c r="AK223" i="6"/>
  <c r="AK278" i="6" s="1"/>
  <c r="AO221" i="6"/>
  <c r="AM221" i="6"/>
  <c r="AK221" i="6"/>
  <c r="AO220" i="6"/>
  <c r="AM220" i="6"/>
  <c r="AK220" i="6"/>
  <c r="AO219" i="6"/>
  <c r="AO274" i="6" s="1"/>
  <c r="AM219" i="6"/>
  <c r="AM274" i="6" s="1"/>
  <c r="AK219" i="6"/>
  <c r="AK274" i="6" s="1"/>
  <c r="AO217" i="6"/>
  <c r="AM217" i="6"/>
  <c r="AK217" i="6"/>
  <c r="AO216" i="6"/>
  <c r="AM216" i="6"/>
  <c r="AK216" i="6"/>
  <c r="AO215" i="6"/>
  <c r="AO276" i="6" s="1"/>
  <c r="AM215" i="6"/>
  <c r="AM276" i="6" s="1"/>
  <c r="AK215" i="6"/>
  <c r="AK276" i="6" s="1"/>
  <c r="AO213" i="6"/>
  <c r="AM213" i="6"/>
  <c r="AK213" i="6"/>
  <c r="AO212" i="6"/>
  <c r="AM212" i="6"/>
  <c r="AK212" i="6"/>
  <c r="AO211" i="6"/>
  <c r="AM211" i="6"/>
  <c r="AK211" i="6"/>
  <c r="AO209" i="6"/>
  <c r="AM209" i="6"/>
  <c r="AK209" i="6"/>
  <c r="AO208" i="6"/>
  <c r="AM208" i="6"/>
  <c r="AK208" i="6"/>
  <c r="AO207" i="6"/>
  <c r="AO275" i="6" s="1"/>
  <c r="AM207" i="6"/>
  <c r="AM275" i="6" s="1"/>
  <c r="AK207" i="6"/>
  <c r="AK275" i="6" s="1"/>
  <c r="AO205" i="6"/>
  <c r="AM205" i="6"/>
  <c r="AK205" i="6"/>
  <c r="AO204" i="6"/>
  <c r="AM204" i="6"/>
  <c r="AK204" i="6"/>
  <c r="AO203" i="6"/>
  <c r="AO272" i="6" s="1"/>
  <c r="AM203" i="6"/>
  <c r="AM272" i="6" s="1"/>
  <c r="AK203" i="6"/>
  <c r="AK272" i="6" s="1"/>
  <c r="AO197" i="6"/>
  <c r="AM197" i="6"/>
  <c r="AK197" i="6"/>
  <c r="AO196" i="6"/>
  <c r="AM196" i="6"/>
  <c r="AK196" i="6"/>
  <c r="AO195" i="6"/>
  <c r="AO273" i="6" s="1"/>
  <c r="AM195" i="6"/>
  <c r="AM273" i="6" s="1"/>
  <c r="AK195" i="6"/>
  <c r="AK273" i="6" s="1"/>
  <c r="AO193" i="6"/>
  <c r="AM193" i="6"/>
  <c r="AK193" i="6"/>
  <c r="AO192" i="6"/>
  <c r="AM192" i="6"/>
  <c r="AK192" i="6"/>
  <c r="AO191" i="6"/>
  <c r="AO271" i="6" s="1"/>
  <c r="AM191" i="6"/>
  <c r="AM271" i="6" s="1"/>
  <c r="AK191" i="6"/>
  <c r="AK271" i="6" s="1"/>
  <c r="AO189" i="6"/>
  <c r="AM189" i="6"/>
  <c r="AK189" i="6"/>
  <c r="AO188" i="6"/>
  <c r="AM188" i="6"/>
  <c r="AK188" i="6"/>
  <c r="AO187" i="6"/>
  <c r="AO270" i="6" s="1"/>
  <c r="AM187" i="6"/>
  <c r="AM270" i="6" s="1"/>
  <c r="AK187" i="6"/>
  <c r="AK270" i="6" s="1"/>
  <c r="AK182" i="6"/>
  <c r="AJ182" i="6"/>
  <c r="AM177" i="6"/>
  <c r="AK155" i="6"/>
  <c r="AJ155" i="6"/>
  <c r="AM151" i="6"/>
  <c r="AJ127" i="6"/>
  <c r="AK124" i="6"/>
  <c r="AJ124" i="6"/>
  <c r="AK123" i="6"/>
  <c r="AJ123" i="6"/>
  <c r="AK122" i="6"/>
  <c r="AJ122" i="6"/>
  <c r="AK120" i="6"/>
  <c r="AJ120" i="6"/>
  <c r="AK119" i="6"/>
  <c r="AJ119" i="6"/>
  <c r="AK118" i="6"/>
  <c r="AJ118" i="6"/>
  <c r="AK117" i="6"/>
  <c r="AJ117" i="6"/>
  <c r="AK116" i="6"/>
  <c r="AJ116" i="6"/>
  <c r="AK115" i="6"/>
  <c r="AJ115" i="6"/>
  <c r="AK114" i="6"/>
  <c r="AJ114" i="6"/>
  <c r="AK113" i="6"/>
  <c r="AJ113" i="6"/>
  <c r="AK112" i="6"/>
  <c r="AJ112" i="6"/>
  <c r="AK111" i="6"/>
  <c r="AJ111" i="6"/>
  <c r="AL108" i="6"/>
  <c r="BB108" i="6" s="1"/>
  <c r="AM105" i="6"/>
  <c r="BC105" i="6" s="1"/>
  <c r="AL105" i="6"/>
  <c r="BB105" i="6" s="1"/>
  <c r="AK103" i="6"/>
  <c r="AJ103" i="6"/>
  <c r="AM102" i="6"/>
  <c r="BC102" i="6" s="1"/>
  <c r="AL102" i="6"/>
  <c r="BB102" i="6" s="1"/>
  <c r="AM101" i="6"/>
  <c r="BC101" i="6" s="1"/>
  <c r="AL101" i="6"/>
  <c r="BB101" i="6" s="1"/>
  <c r="AK100" i="6"/>
  <c r="AJ100" i="6"/>
  <c r="AM99" i="6"/>
  <c r="BC99" i="6" s="1"/>
  <c r="AL99" i="6"/>
  <c r="BB99" i="6" s="1"/>
  <c r="AM98" i="6"/>
  <c r="BC98" i="6" s="1"/>
  <c r="AL98" i="6"/>
  <c r="BB98" i="6" s="1"/>
  <c r="AM97" i="6"/>
  <c r="BC97" i="6" s="1"/>
  <c r="AL97" i="6"/>
  <c r="BB97" i="6" s="1"/>
  <c r="AM96" i="6"/>
  <c r="BC96" i="6" s="1"/>
  <c r="AL96" i="6"/>
  <c r="BB96" i="6" s="1"/>
  <c r="AM95" i="6"/>
  <c r="BC95" i="6" s="1"/>
  <c r="AL95" i="6"/>
  <c r="BB95" i="6" s="1"/>
  <c r="AM94" i="6"/>
  <c r="BC94" i="6" s="1"/>
  <c r="AL94" i="6"/>
  <c r="BB94" i="6" s="1"/>
  <c r="AM93" i="6"/>
  <c r="BC93" i="6" s="1"/>
  <c r="AL93" i="6"/>
  <c r="BB93" i="6" s="1"/>
  <c r="AM90" i="6"/>
  <c r="BC90" i="6" s="1"/>
  <c r="AL90" i="6"/>
  <c r="BB90" i="6" s="1"/>
  <c r="AM87" i="6"/>
  <c r="BC87" i="6" s="1"/>
  <c r="AL87" i="6"/>
  <c r="BB87" i="6" s="1"/>
  <c r="AK85" i="6"/>
  <c r="AJ85" i="6"/>
  <c r="AM84" i="6"/>
  <c r="BC84" i="6" s="1"/>
  <c r="AL84" i="6"/>
  <c r="BB84" i="6" s="1"/>
  <c r="AM83" i="6"/>
  <c r="BC83" i="6" s="1"/>
  <c r="AL83" i="6"/>
  <c r="BB83" i="6" s="1"/>
  <c r="AM82" i="6"/>
  <c r="BC82" i="6" s="1"/>
  <c r="AL82" i="6"/>
  <c r="BB82" i="6" s="1"/>
  <c r="AK81" i="6"/>
  <c r="AJ81" i="6"/>
  <c r="AM80" i="6"/>
  <c r="BC80" i="6" s="1"/>
  <c r="AL80" i="6"/>
  <c r="BB80" i="6" s="1"/>
  <c r="AM79" i="6"/>
  <c r="BC79" i="6" s="1"/>
  <c r="AL79" i="6"/>
  <c r="BB79" i="6" s="1"/>
  <c r="AM78" i="6"/>
  <c r="BC78" i="6" s="1"/>
  <c r="AL78" i="6"/>
  <c r="BB78" i="6" s="1"/>
  <c r="AM77" i="6"/>
  <c r="BC77" i="6" s="1"/>
  <c r="AL77" i="6"/>
  <c r="BB77" i="6" s="1"/>
  <c r="AM76" i="6"/>
  <c r="BC76" i="6" s="1"/>
  <c r="AL76" i="6"/>
  <c r="BB76" i="6" s="1"/>
  <c r="AM75" i="6"/>
  <c r="BC75" i="6" s="1"/>
  <c r="AL75" i="6"/>
  <c r="BB75" i="6" s="1"/>
  <c r="AM74" i="6"/>
  <c r="BC74" i="6" s="1"/>
  <c r="AL74" i="6"/>
  <c r="BB74" i="6" s="1"/>
  <c r="AM73" i="6"/>
  <c r="BC73" i="6" s="1"/>
  <c r="AL73" i="6"/>
  <c r="BB73" i="6" s="1"/>
  <c r="AM70" i="6"/>
  <c r="BC70" i="6" s="1"/>
  <c r="AL70" i="6"/>
  <c r="BB70" i="6" s="1"/>
  <c r="AM69" i="6"/>
  <c r="BC69" i="6" s="1"/>
  <c r="AL69" i="6"/>
  <c r="BB69" i="6" s="1"/>
  <c r="AM68" i="6"/>
  <c r="BC68" i="6" s="1"/>
  <c r="AL68" i="6"/>
  <c r="BB68" i="6" s="1"/>
  <c r="AN66" i="6"/>
  <c r="AL66" i="6"/>
  <c r="AJ65" i="6"/>
  <c r="AJ64" i="6"/>
  <c r="AJ63" i="6"/>
  <c r="AJ62" i="6"/>
  <c r="AJ61" i="6"/>
  <c r="AK52" i="6"/>
  <c r="AJ52" i="6"/>
  <c r="AM51" i="6"/>
  <c r="BC51" i="6" s="1"/>
  <c r="AL51" i="6"/>
  <c r="BB51" i="6" s="1"/>
  <c r="AM50" i="6"/>
  <c r="BC50" i="6" s="1"/>
  <c r="AL50" i="6"/>
  <c r="BB50" i="6" s="1"/>
  <c r="AM49" i="6"/>
  <c r="BC49" i="6" s="1"/>
  <c r="AL49" i="6"/>
  <c r="BB49" i="6" s="1"/>
  <c r="AM48" i="6"/>
  <c r="BC48" i="6" s="1"/>
  <c r="AL48" i="6"/>
  <c r="BB48" i="6" s="1"/>
  <c r="AM47" i="6"/>
  <c r="BC47" i="6" s="1"/>
  <c r="AL47" i="6"/>
  <c r="BB47" i="6" s="1"/>
  <c r="AM45" i="6"/>
  <c r="BC45" i="6" s="1"/>
  <c r="AL45" i="6"/>
  <c r="BB45" i="6" s="1"/>
  <c r="AK44" i="6"/>
  <c r="AJ44" i="6"/>
  <c r="AM43" i="6"/>
  <c r="AL43" i="6"/>
  <c r="BB43" i="6" s="1"/>
  <c r="AM42" i="6"/>
  <c r="AL42" i="6"/>
  <c r="BB42" i="6" s="1"/>
  <c r="AK41" i="6"/>
  <c r="AJ41" i="6"/>
  <c r="AM40" i="6"/>
  <c r="BC40" i="6" s="1"/>
  <c r="AL40" i="6"/>
  <c r="BB40" i="6" s="1"/>
  <c r="AM39" i="6"/>
  <c r="BC39" i="6" s="1"/>
  <c r="AL39" i="6"/>
  <c r="BB39" i="6" s="1"/>
  <c r="AJ37" i="6"/>
  <c r="AK28" i="6"/>
  <c r="AM27" i="6"/>
  <c r="BC27" i="6" s="1"/>
  <c r="AM26" i="6"/>
  <c r="BC26" i="6" s="1"/>
  <c r="AK25" i="6"/>
  <c r="AM24" i="6"/>
  <c r="BC24" i="6" s="1"/>
  <c r="AM23" i="6"/>
  <c r="BC23" i="6" s="1"/>
  <c r="AK22" i="6"/>
  <c r="AM21" i="6"/>
  <c r="BC21" i="6" s="1"/>
  <c r="AM20" i="6"/>
  <c r="BC20" i="6" s="1"/>
  <c r="AK18" i="6"/>
  <c r="AK30" i="6" s="1"/>
  <c r="AK17" i="6"/>
  <c r="AK6" i="6"/>
  <c r="AK12" i="6" s="1"/>
  <c r="AJ6" i="6"/>
  <c r="AJ12" i="6" s="1"/>
  <c r="AK5" i="6"/>
  <c r="AJ5" i="6"/>
  <c r="AJ13" i="6" s="1"/>
  <c r="AJ17" i="6" s="1"/>
  <c r="AM2" i="6"/>
  <c r="BC2" i="6" s="1"/>
  <c r="AL2" i="6"/>
  <c r="BB2" i="6" s="1"/>
  <c r="AL2" i="36"/>
  <c r="BB2" i="36" s="1"/>
  <c r="AM2" i="36"/>
  <c r="BC2" i="36" s="1"/>
  <c r="AM328" i="28"/>
  <c r="BC328" i="28" s="1"/>
  <c r="AJ328" i="28"/>
  <c r="AM326" i="28"/>
  <c r="BC326" i="28" s="1"/>
  <c r="AJ326" i="28"/>
  <c r="AK325" i="28"/>
  <c r="AK329" i="28" s="1"/>
  <c r="AM324" i="28"/>
  <c r="AK322" i="28"/>
  <c r="AM321" i="28"/>
  <c r="BC321" i="28" s="1"/>
  <c r="AM320" i="28"/>
  <c r="BC320" i="28" s="1"/>
  <c r="AK318" i="28"/>
  <c r="AM317" i="28"/>
  <c r="BC317" i="28" s="1"/>
  <c r="AL317" i="28"/>
  <c r="BB317" i="28" s="1"/>
  <c r="AM316" i="28"/>
  <c r="BC316" i="28" s="1"/>
  <c r="AL316" i="28"/>
  <c r="BB316" i="28" s="1"/>
  <c r="AM315" i="28"/>
  <c r="BC315" i="28" s="1"/>
  <c r="AJ315" i="28"/>
  <c r="AK311" i="28"/>
  <c r="AK310" i="28"/>
  <c r="AM309" i="28"/>
  <c r="BC309" i="28" s="1"/>
  <c r="AM308" i="28"/>
  <c r="BC308" i="28" s="1"/>
  <c r="AM307" i="28"/>
  <c r="BC307" i="28" s="1"/>
  <c r="AM306" i="28"/>
  <c r="BC306" i="28" s="1"/>
  <c r="AM305" i="28"/>
  <c r="BC305" i="28" s="1"/>
  <c r="AM304" i="28"/>
  <c r="BC304" i="28" s="1"/>
  <c r="AM303" i="28"/>
  <c r="BC303" i="28" s="1"/>
  <c r="AM302" i="28"/>
  <c r="BC302" i="28" s="1"/>
  <c r="AM301" i="28"/>
  <c r="BC301" i="28" s="1"/>
  <c r="AL284" i="28"/>
  <c r="BB284" i="28" s="1"/>
  <c r="AK284" i="28"/>
  <c r="AM269" i="28"/>
  <c r="BC269" i="28" s="1"/>
  <c r="AM250" i="28"/>
  <c r="BC250" i="28" s="1"/>
  <c r="AK245" i="28"/>
  <c r="AK237" i="28"/>
  <c r="AK238" i="28" s="1"/>
  <c r="AM202" i="28"/>
  <c r="BC202" i="28" s="1"/>
  <c r="AK199" i="28"/>
  <c r="AM198" i="28"/>
  <c r="AM197" i="28"/>
  <c r="AL197" i="28"/>
  <c r="AK194" i="28"/>
  <c r="AK195" i="28" s="1"/>
  <c r="AM168" i="28"/>
  <c r="BC168" i="28" s="1"/>
  <c r="AM166" i="28"/>
  <c r="BC166" i="28" s="1"/>
  <c r="AM162" i="28"/>
  <c r="BC162" i="28" s="1"/>
  <c r="AM160" i="28"/>
  <c r="BC160" i="28" s="1"/>
  <c r="AM158" i="28"/>
  <c r="BC158" i="28" s="1"/>
  <c r="AM156" i="28"/>
  <c r="BC156" i="28" s="1"/>
  <c r="AM155" i="28"/>
  <c r="BC155" i="28" s="1"/>
  <c r="AM153" i="28"/>
  <c r="BC153" i="28" s="1"/>
  <c r="AM151" i="28"/>
  <c r="BC151" i="28" s="1"/>
  <c r="AM149" i="28"/>
  <c r="BC149" i="28" s="1"/>
  <c r="AK169" i="28"/>
  <c r="AM148" i="28"/>
  <c r="BC148" i="28" s="1"/>
  <c r="AL147" i="28"/>
  <c r="BB147" i="28" s="1"/>
  <c r="AK144" i="28"/>
  <c r="AK145" i="28" s="1"/>
  <c r="AM68" i="28"/>
  <c r="BC68" i="28" s="1"/>
  <c r="AK63" i="28"/>
  <c r="AK61" i="28"/>
  <c r="AM59" i="28"/>
  <c r="BC59" i="28" s="1"/>
  <c r="AM56" i="28"/>
  <c r="BC56" i="28" s="1"/>
  <c r="AK64" i="28"/>
  <c r="AM55" i="28"/>
  <c r="BC55" i="28" s="1"/>
  <c r="AK53" i="28"/>
  <c r="AM52" i="28"/>
  <c r="BC52" i="28" s="1"/>
  <c r="AM51" i="28"/>
  <c r="BC51" i="28" s="1"/>
  <c r="AK49" i="28"/>
  <c r="AM48" i="28"/>
  <c r="BC48" i="28" s="1"/>
  <c r="AM47" i="28"/>
  <c r="BC47" i="28" s="1"/>
  <c r="AK36" i="28"/>
  <c r="AK35" i="28"/>
  <c r="AK34" i="28"/>
  <c r="AK33" i="28"/>
  <c r="AJ32" i="28"/>
  <c r="AK30" i="28"/>
  <c r="AK43" i="28" s="1"/>
  <c r="AM29" i="28"/>
  <c r="BC29" i="28" s="1"/>
  <c r="AL29" i="28"/>
  <c r="BB29" i="28" s="1"/>
  <c r="AM28" i="28"/>
  <c r="BC28" i="28" s="1"/>
  <c r="AM27" i="28"/>
  <c r="BC27" i="28" s="1"/>
  <c r="AM26" i="28"/>
  <c r="BC26" i="28" s="1"/>
  <c r="AJ26" i="28"/>
  <c r="AJ30" i="28" s="1"/>
  <c r="AM25" i="28"/>
  <c r="BC25" i="28" s="1"/>
  <c r="AL25" i="28"/>
  <c r="BB25" i="28" s="1"/>
  <c r="AK23" i="28"/>
  <c r="AK42" i="28" s="1"/>
  <c r="AM22" i="28"/>
  <c r="BC22" i="28" s="1"/>
  <c r="AM21" i="28"/>
  <c r="BC21" i="28" s="1"/>
  <c r="AM20" i="28"/>
  <c r="BC20" i="28" s="1"/>
  <c r="AJ20" i="28"/>
  <c r="AM19" i="28"/>
  <c r="AL19" i="28"/>
  <c r="BB19" i="28" s="1"/>
  <c r="AK17" i="28"/>
  <c r="AK41" i="28" s="1"/>
  <c r="AM16" i="28"/>
  <c r="BC16" i="28" s="1"/>
  <c r="AM15" i="28"/>
  <c r="BC15" i="28" s="1"/>
  <c r="AM14" i="28"/>
  <c r="BC14" i="28" s="1"/>
  <c r="AJ14" i="28"/>
  <c r="AM13" i="28"/>
  <c r="AL13" i="28"/>
  <c r="BB13" i="28" s="1"/>
  <c r="AK11" i="28"/>
  <c r="AK40" i="28" s="1"/>
  <c r="AM10" i="28"/>
  <c r="BC10" i="28" s="1"/>
  <c r="AM9" i="28"/>
  <c r="BC9" i="28" s="1"/>
  <c r="AM8" i="28"/>
  <c r="BC8" i="28" s="1"/>
  <c r="AJ8" i="28"/>
  <c r="AM7" i="28"/>
  <c r="AL7" i="28"/>
  <c r="BB7" i="28" s="1"/>
  <c r="AK59" i="35"/>
  <c r="AK58" i="35"/>
  <c r="AJ58" i="35"/>
  <c r="AK55" i="35"/>
  <c r="AK54" i="35"/>
  <c r="AJ54" i="35"/>
  <c r="AJ55" i="35" s="1"/>
  <c r="AK51" i="35"/>
  <c r="AK50" i="35"/>
  <c r="AJ50" i="35"/>
  <c r="AM194" i="28" l="1"/>
  <c r="BC194" i="28" s="1"/>
  <c r="BC13" i="28"/>
  <c r="BC119" i="7"/>
  <c r="BC121" i="7" s="1"/>
  <c r="BC122" i="7" s="1"/>
  <c r="BC9" i="7"/>
  <c r="BC11" i="7"/>
  <c r="BC13" i="7"/>
  <c r="BC15" i="7"/>
  <c r="AM8" i="15"/>
  <c r="BC18" i="8"/>
  <c r="AM57" i="8"/>
  <c r="BC65" i="8"/>
  <c r="AM42" i="48"/>
  <c r="BC55" i="9"/>
  <c r="BC163" i="9"/>
  <c r="BC165" i="9" s="1"/>
  <c r="BC166" i="9" s="1"/>
  <c r="BD58" i="22"/>
  <c r="BD60" i="22" s="1"/>
  <c r="BD61" i="22" s="1"/>
  <c r="AM144" i="28"/>
  <c r="BC144" i="28" s="1"/>
  <c r="BC7" i="28"/>
  <c r="AM179" i="6"/>
  <c r="BC177" i="6"/>
  <c r="BC178" i="6" s="1"/>
  <c r="BB16" i="7"/>
  <c r="BB62" i="7"/>
  <c r="AM81" i="8"/>
  <c r="BC79" i="8"/>
  <c r="BD33" i="22"/>
  <c r="BC94" i="26"/>
  <c r="BB83" i="9"/>
  <c r="BB94" i="26"/>
  <c r="BC33" i="22"/>
  <c r="AM153" i="6"/>
  <c r="BC151" i="6"/>
  <c r="BC16" i="7"/>
  <c r="BC12" i="7"/>
  <c r="BC14" i="7"/>
  <c r="BC32" i="7"/>
  <c r="AL54" i="7"/>
  <c r="BB52" i="7"/>
  <c r="BB54" i="7" s="1"/>
  <c r="BC62" i="7"/>
  <c r="AM56" i="8"/>
  <c r="BC59" i="8"/>
  <c r="BC56" i="8" s="1"/>
  <c r="AM58" i="8"/>
  <c r="BC58" i="8" s="1"/>
  <c r="BC67" i="8"/>
  <c r="BD64" i="11"/>
  <c r="BD58" i="11"/>
  <c r="BC83" i="9"/>
  <c r="BC88" i="9"/>
  <c r="AM237" i="28"/>
  <c r="BC237" i="28" s="1"/>
  <c r="BC19" i="28"/>
  <c r="AM325" i="28"/>
  <c r="BC325" i="28" s="1"/>
  <c r="BC324" i="28"/>
  <c r="AL71" i="7"/>
  <c r="BB71" i="7" s="1"/>
  <c r="BB2" i="7"/>
  <c r="BB19" i="7"/>
  <c r="BB21" i="7"/>
  <c r="BB23" i="7"/>
  <c r="BB78" i="7" s="1"/>
  <c r="BB25" i="7"/>
  <c r="BB80" i="7" s="1"/>
  <c r="BB27" i="7"/>
  <c r="BB77" i="7" s="1"/>
  <c r="BC65" i="7"/>
  <c r="AM54" i="7"/>
  <c r="AM23" i="7" s="1"/>
  <c r="AM78" i="7" s="1"/>
  <c r="BC52" i="7"/>
  <c r="BC54" i="7" s="1"/>
  <c r="AL83" i="8"/>
  <c r="BB2" i="8"/>
  <c r="BD8" i="15"/>
  <c r="BB8" i="15"/>
  <c r="BC26" i="8"/>
  <c r="BD63" i="22"/>
  <c r="BD65" i="22" s="1"/>
  <c r="BD66" i="22" s="1"/>
  <c r="BC10" i="9"/>
  <c r="BC89" i="9"/>
  <c r="BD107" i="10"/>
  <c r="BD123" i="10"/>
  <c r="BD118" i="10"/>
  <c r="AM48" i="7"/>
  <c r="AM20" i="7"/>
  <c r="AM125" i="7"/>
  <c r="AM127" i="7" s="1"/>
  <c r="AM128" i="7" s="1"/>
  <c r="AM27" i="48" s="1"/>
  <c r="AM28" i="48" s="1"/>
  <c r="AM46" i="7"/>
  <c r="AO16" i="39"/>
  <c r="BE16" i="39" s="1"/>
  <c r="AM112" i="7"/>
  <c r="AM113" i="7" s="1"/>
  <c r="AM111" i="7"/>
  <c r="AM47" i="7"/>
  <c r="AM168" i="9"/>
  <c r="AM170" i="9"/>
  <c r="AM171" i="9" s="1"/>
  <c r="AM19" i="7"/>
  <c r="AM119" i="7"/>
  <c r="AM121" i="7" s="1"/>
  <c r="AM122" i="7" s="1"/>
  <c r="AM22" i="48" s="1"/>
  <c r="AM23" i="48" s="1"/>
  <c r="AN16" i="39"/>
  <c r="BD16" i="39" s="1"/>
  <c r="AK7" i="6"/>
  <c r="AJ56" i="35"/>
  <c r="AJ62" i="35"/>
  <c r="AJ21" i="7"/>
  <c r="AJ84" i="7" s="1"/>
  <c r="AJ25" i="7"/>
  <c r="AJ80" i="7" s="1"/>
  <c r="AJ32" i="7"/>
  <c r="AK45" i="7"/>
  <c r="AK104" i="7"/>
  <c r="AK105" i="7" s="1"/>
  <c r="AJ27" i="7"/>
  <c r="AJ77" i="7" s="1"/>
  <c r="AJ37" i="7"/>
  <c r="AM18" i="7"/>
  <c r="AM104" i="7"/>
  <c r="AM105" i="7" s="1"/>
  <c r="AJ34" i="7"/>
  <c r="AK241" i="6"/>
  <c r="AL44" i="6"/>
  <c r="BB44" i="6" s="1"/>
  <c r="AM57" i="28"/>
  <c r="BC57" i="28" s="1"/>
  <c r="AM199" i="28"/>
  <c r="AM318" i="28"/>
  <c r="BC318" i="28" s="1"/>
  <c r="AM329" i="28"/>
  <c r="BC329" i="28" s="1"/>
  <c r="AM322" i="28"/>
  <c r="BC322" i="28" s="1"/>
  <c r="AM310" i="28"/>
  <c r="BC310" i="28" s="1"/>
  <c r="AK312" i="28"/>
  <c r="AM53" i="28"/>
  <c r="BC53" i="28" s="1"/>
  <c r="AM49" i="28"/>
  <c r="BC49" i="28" s="1"/>
  <c r="AM30" i="28"/>
  <c r="BC30" i="28" s="1"/>
  <c r="AM17" i="28"/>
  <c r="BC17" i="28" s="1"/>
  <c r="AK37" i="28"/>
  <c r="AK38" i="28" s="1"/>
  <c r="AM63" i="7"/>
  <c r="AM62" i="7"/>
  <c r="AM49" i="7"/>
  <c r="AJ38" i="7"/>
  <c r="AK67" i="7"/>
  <c r="AJ67" i="7"/>
  <c r="AL62" i="7"/>
  <c r="AL127" i="6"/>
  <c r="BB127" i="6" s="1"/>
  <c r="AN67" i="11"/>
  <c r="AL70" i="11"/>
  <c r="AL130" i="10"/>
  <c r="AK63" i="35"/>
  <c r="AJ104" i="6"/>
  <c r="AJ109" i="6" s="1"/>
  <c r="AJ163" i="6" s="1"/>
  <c r="AK71" i="8"/>
  <c r="AK64" i="8"/>
  <c r="AK69" i="8" s="1"/>
  <c r="AL8" i="15"/>
  <c r="AL41" i="6"/>
  <c r="BB41" i="6" s="1"/>
  <c r="AM41" i="6"/>
  <c r="BC41" i="6" s="1"/>
  <c r="AJ66" i="6"/>
  <c r="AJ67" i="6" s="1"/>
  <c r="AM100" i="6"/>
  <c r="BC100" i="6" s="1"/>
  <c r="AL103" i="6"/>
  <c r="BB103" i="6" s="1"/>
  <c r="AM103" i="6"/>
  <c r="BC103" i="6" s="1"/>
  <c r="AM22" i="6"/>
  <c r="BC22" i="6" s="1"/>
  <c r="AL52" i="6"/>
  <c r="BB52" i="6" s="1"/>
  <c r="AL100" i="6"/>
  <c r="BB100" i="6" s="1"/>
  <c r="AM81" i="6"/>
  <c r="BC81" i="6" s="1"/>
  <c r="AM52" i="6"/>
  <c r="BC52" i="6" s="1"/>
  <c r="AL85" i="6"/>
  <c r="BB85" i="6" s="1"/>
  <c r="AL81" i="6"/>
  <c r="BB81" i="6" s="1"/>
  <c r="AM85" i="6"/>
  <c r="BC85" i="6" s="1"/>
  <c r="AJ14" i="6"/>
  <c r="AJ21" i="6" s="1"/>
  <c r="AM44" i="6"/>
  <c r="BC44" i="6" s="1"/>
  <c r="AJ86" i="6"/>
  <c r="AJ91" i="6" s="1"/>
  <c r="AM28" i="6"/>
  <c r="BC28" i="6" s="1"/>
  <c r="AM25" i="6"/>
  <c r="BC25" i="6" s="1"/>
  <c r="AK19" i="6"/>
  <c r="AK62" i="35"/>
  <c r="AK56" i="35"/>
  <c r="AK60" i="35"/>
  <c r="AK14" i="6"/>
  <c r="AJ11" i="28"/>
  <c r="AJ40" i="28" s="1"/>
  <c r="AJ47" i="28" s="1"/>
  <c r="AJ23" i="28"/>
  <c r="AJ42" i="28" s="1"/>
  <c r="AK80" i="8"/>
  <c r="AK127" i="9"/>
  <c r="AK78" i="9"/>
  <c r="AK74" i="9"/>
  <c r="AK79" i="9"/>
  <c r="AK75" i="9"/>
  <c r="AK68" i="9"/>
  <c r="AK81" i="9"/>
  <c r="AK77" i="9"/>
  <c r="AK73" i="9"/>
  <c r="AK50" i="9"/>
  <c r="AK80" i="9"/>
  <c r="AK76" i="9"/>
  <c r="AK72" i="9"/>
  <c r="AK69" i="9"/>
  <c r="AK51" i="9"/>
  <c r="AK71" i="9"/>
  <c r="AJ82" i="9"/>
  <c r="AJ28" i="9"/>
  <c r="AK70" i="9"/>
  <c r="AL82" i="8"/>
  <c r="AK16" i="8"/>
  <c r="AM75" i="8"/>
  <c r="BC75" i="8" s="1"/>
  <c r="AK47" i="8"/>
  <c r="AK72" i="8"/>
  <c r="AK86" i="8"/>
  <c r="AJ40" i="8"/>
  <c r="AK38" i="8"/>
  <c r="AK44" i="8"/>
  <c r="AM26" i="8"/>
  <c r="AK43" i="8"/>
  <c r="AK76" i="8"/>
  <c r="AK42" i="8"/>
  <c r="AK39" i="8"/>
  <c r="AK37" i="8"/>
  <c r="AK35" i="8"/>
  <c r="AK41" i="8"/>
  <c r="AM74" i="7"/>
  <c r="AK39" i="7"/>
  <c r="AK41" i="7"/>
  <c r="AK18" i="7"/>
  <c r="AK19" i="7"/>
  <c r="AK20" i="7"/>
  <c r="AK21" i="7"/>
  <c r="AK84" i="7" s="1"/>
  <c r="AM42" i="7"/>
  <c r="AM75" i="7" s="1"/>
  <c r="AM44" i="7"/>
  <c r="AM45" i="7"/>
  <c r="AM65" i="7"/>
  <c r="AM16" i="7"/>
  <c r="AK23" i="7"/>
  <c r="AK78" i="7" s="1"/>
  <c r="AK24" i="7"/>
  <c r="AK79" i="7" s="1"/>
  <c r="AK25" i="7"/>
  <c r="AK80" i="7" s="1"/>
  <c r="AK26" i="7"/>
  <c r="AK83" i="7" s="1"/>
  <c r="AK27" i="7"/>
  <c r="AK77" i="7" s="1"/>
  <c r="AM56" i="7"/>
  <c r="AK70" i="7"/>
  <c r="AL68" i="7"/>
  <c r="AL63" i="7"/>
  <c r="AL18" i="7"/>
  <c r="AL19" i="7"/>
  <c r="AL20" i="7"/>
  <c r="AL76" i="7" s="1"/>
  <c r="AL21" i="7"/>
  <c r="AL23" i="7"/>
  <c r="AL78" i="7" s="1"/>
  <c r="AL24" i="7"/>
  <c r="AL79" i="7" s="1"/>
  <c r="AL25" i="7"/>
  <c r="AL80" i="7" s="1"/>
  <c r="AL26" i="7"/>
  <c r="AL83" i="7" s="1"/>
  <c r="AL27" i="7"/>
  <c r="AL77" i="7" s="1"/>
  <c r="AK48" i="7"/>
  <c r="AK44" i="7"/>
  <c r="AK82" i="7" s="1"/>
  <c r="AK68" i="7"/>
  <c r="AK65" i="7"/>
  <c r="AK63" i="7"/>
  <c r="AK56" i="7"/>
  <c r="AK47" i="7"/>
  <c r="AK43" i="7"/>
  <c r="AK46" i="7"/>
  <c r="AK42" i="7"/>
  <c r="AK60" i="7"/>
  <c r="AM68" i="7"/>
  <c r="AL16" i="7"/>
  <c r="AJ18" i="7"/>
  <c r="AJ20" i="7"/>
  <c r="AJ76" i="7" s="1"/>
  <c r="AJ24" i="7"/>
  <c r="AJ79" i="7" s="1"/>
  <c r="AJ26" i="7"/>
  <c r="AJ31" i="7"/>
  <c r="AJ35" i="7"/>
  <c r="AJ55" i="7"/>
  <c r="AJ60" i="7"/>
  <c r="AJ63" i="7"/>
  <c r="AJ65" i="7"/>
  <c r="AJ68" i="7"/>
  <c r="AJ70" i="7"/>
  <c r="AJ11" i="6"/>
  <c r="AL181" i="6"/>
  <c r="AL180" i="6"/>
  <c r="AL154" i="6"/>
  <c r="AJ151" i="6"/>
  <c r="AJ26" i="6"/>
  <c r="AJ23" i="6"/>
  <c r="AJ20" i="6"/>
  <c r="AJ7" i="6"/>
  <c r="AL9" i="6"/>
  <c r="BB9" i="6" s="1"/>
  <c r="AK50" i="8"/>
  <c r="AK29" i="6"/>
  <c r="AM9" i="6"/>
  <c r="BC9" i="6" s="1"/>
  <c r="AM8" i="6"/>
  <c r="BC8" i="6" s="1"/>
  <c r="AL8" i="6"/>
  <c r="BB8" i="6" s="1"/>
  <c r="AK13" i="6"/>
  <c r="AK11" i="6"/>
  <c r="AK125" i="6"/>
  <c r="AJ121" i="6"/>
  <c r="AJ156" i="6"/>
  <c r="AJ160" i="6"/>
  <c r="AJ161" i="6"/>
  <c r="AJ125" i="6"/>
  <c r="AK86" i="6"/>
  <c r="AK91" i="6" s="1"/>
  <c r="AK104" i="6"/>
  <c r="AK121" i="6"/>
  <c r="AK126" i="6" s="1"/>
  <c r="AJ312" i="28"/>
  <c r="AJ43" i="28"/>
  <c r="AJ33" i="28"/>
  <c r="AM238" i="28"/>
  <c r="BC238" i="28" s="1"/>
  <c r="AM195" i="28"/>
  <c r="BC195" i="28" s="1"/>
  <c r="AK65" i="28"/>
  <c r="AK66" i="28" s="1"/>
  <c r="AM11" i="28"/>
  <c r="BC11" i="28" s="1"/>
  <c r="AJ17" i="28"/>
  <c r="AK57" i="28"/>
  <c r="AM145" i="28"/>
  <c r="BC145" i="28" s="1"/>
  <c r="AM164" i="28"/>
  <c r="AJ318" i="28"/>
  <c r="AK44" i="28"/>
  <c r="AM23" i="28"/>
  <c r="BC23" i="28" s="1"/>
  <c r="AK52" i="35"/>
  <c r="AJ51" i="35"/>
  <c r="AJ59" i="35"/>
  <c r="AJ60" i="35" s="1"/>
  <c r="BC63" i="7" l="1"/>
  <c r="BC68" i="7"/>
  <c r="BB68" i="7"/>
  <c r="BB63" i="7"/>
  <c r="AM43" i="7"/>
  <c r="AM76" i="7" s="1"/>
  <c r="AM24" i="7"/>
  <c r="AM79" i="7" s="1"/>
  <c r="BC49" i="7"/>
  <c r="BB24" i="7"/>
  <c r="BB79" i="7" s="1"/>
  <c r="BB18" i="7"/>
  <c r="BC8" i="15"/>
  <c r="BE8" i="15"/>
  <c r="BC48" i="7"/>
  <c r="BC25" i="7"/>
  <c r="BC80" i="7" s="1"/>
  <c r="BC21" i="7"/>
  <c r="AM169" i="28"/>
  <c r="BC169" i="28" s="1"/>
  <c r="BC164" i="28"/>
  <c r="BC26" i="7"/>
  <c r="BC83" i="7" s="1"/>
  <c r="BC18" i="7"/>
  <c r="BC45" i="7"/>
  <c r="BC44" i="7"/>
  <c r="BC82" i="7" s="1"/>
  <c r="AM25" i="7"/>
  <c r="AM80" i="7" s="1"/>
  <c r="AM21" i="7"/>
  <c r="BE18" i="15"/>
  <c r="BC18" i="15"/>
  <c r="BC46" i="7"/>
  <c r="AM26" i="7"/>
  <c r="AM83" i="7" s="1"/>
  <c r="BC20" i="7"/>
  <c r="BC76" i="7" s="1"/>
  <c r="BC104" i="7"/>
  <c r="BC105" i="7" s="1"/>
  <c r="BC42" i="7"/>
  <c r="BB20" i="7"/>
  <c r="BB76" i="7" s="1"/>
  <c r="BC27" i="7"/>
  <c r="BC77" i="7" s="1"/>
  <c r="BC23" i="7"/>
  <c r="BC78" i="7" s="1"/>
  <c r="BC19" i="7"/>
  <c r="BC75" i="7" s="1"/>
  <c r="AM84" i="7"/>
  <c r="BC47" i="7"/>
  <c r="BC43" i="7"/>
  <c r="BC24" i="7"/>
  <c r="BC79" i="7" s="1"/>
  <c r="BC125" i="7"/>
  <c r="BC127" i="7" s="1"/>
  <c r="BC128" i="7" s="1"/>
  <c r="BC81" i="8"/>
  <c r="BB26" i="7"/>
  <c r="BB83" i="7" s="1"/>
  <c r="BC170" i="9"/>
  <c r="BC171" i="9" s="1"/>
  <c r="BC168" i="9"/>
  <c r="BC172" i="9" s="1"/>
  <c r="BC56" i="7"/>
  <c r="AM27" i="7"/>
  <c r="AM77" i="7" s="1"/>
  <c r="AM172" i="9"/>
  <c r="AM12" i="48" s="1"/>
  <c r="AM13" i="48" s="1"/>
  <c r="AM114" i="7"/>
  <c r="AM17" i="48" s="1"/>
  <c r="AJ63" i="35"/>
  <c r="AK178" i="6"/>
  <c r="AK314" i="6"/>
  <c r="AK313" i="6"/>
  <c r="AK107" i="7"/>
  <c r="AK108" i="7" s="1"/>
  <c r="AK106" i="7"/>
  <c r="AM106" i="7"/>
  <c r="AM107" i="7"/>
  <c r="AM108" i="7" s="1"/>
  <c r="AK75" i="7"/>
  <c r="AK131" i="6"/>
  <c r="AK138" i="6"/>
  <c r="AJ145" i="28"/>
  <c r="AK76" i="7"/>
  <c r="AJ164" i="6"/>
  <c r="AJ138" i="6"/>
  <c r="AJ136" i="6"/>
  <c r="AJ135" i="6"/>
  <c r="AK70" i="8"/>
  <c r="AK65" i="35"/>
  <c r="AK34" i="8"/>
  <c r="AL104" i="6"/>
  <c r="AK136" i="6"/>
  <c r="AK109" i="6"/>
  <c r="AK135" i="6"/>
  <c r="AM104" i="6"/>
  <c r="BC104" i="6" s="1"/>
  <c r="AL86" i="6"/>
  <c r="AM86" i="6"/>
  <c r="AJ183" i="6"/>
  <c r="AK183" i="6"/>
  <c r="AJ24" i="6"/>
  <c r="AJ25" i="6" s="1"/>
  <c r="AJ18" i="6"/>
  <c r="AJ27" i="6"/>
  <c r="AJ28" i="6" s="1"/>
  <c r="AJ177" i="6"/>
  <c r="AJ15" i="6"/>
  <c r="AJ56" i="6" s="1"/>
  <c r="AJ29" i="6"/>
  <c r="AK64" i="35"/>
  <c r="AJ238" i="28"/>
  <c r="AJ55" i="28"/>
  <c r="AK5" i="26"/>
  <c r="AK132" i="9"/>
  <c r="AK40" i="8"/>
  <c r="AK48" i="8"/>
  <c r="AJ74" i="7"/>
  <c r="AJ83" i="7"/>
  <c r="AJ82" i="7"/>
  <c r="AK74" i="7"/>
  <c r="AK50" i="7"/>
  <c r="AK64" i="7"/>
  <c r="AL74" i="7"/>
  <c r="AJ162" i="6"/>
  <c r="AJ8" i="36" s="1"/>
  <c r="AJ126" i="6"/>
  <c r="AK161" i="6"/>
  <c r="AK156" i="6"/>
  <c r="AK65" i="6"/>
  <c r="AK64" i="6"/>
  <c r="AK63" i="6"/>
  <c r="AK62" i="6"/>
  <c r="AK61" i="6"/>
  <c r="AK152" i="6"/>
  <c r="AK15" i="6"/>
  <c r="AK56" i="6" s="1"/>
  <c r="AJ22" i="6"/>
  <c r="AK31" i="6"/>
  <c r="AJ195" i="28"/>
  <c r="AJ41" i="28"/>
  <c r="AJ320" i="28"/>
  <c r="AJ324" i="28"/>
  <c r="AJ37" i="28"/>
  <c r="AJ59" i="28"/>
  <c r="AJ52" i="35"/>
  <c r="AJ64" i="35" s="1"/>
  <c r="AJ65" i="35"/>
  <c r="AM91" i="6" l="1"/>
  <c r="BC86" i="6"/>
  <c r="BC106" i="7"/>
  <c r="BC109" i="7" s="1"/>
  <c r="BC107" i="7"/>
  <c r="BC108" i="7" s="1"/>
  <c r="BC74" i="7"/>
  <c r="AL91" i="6"/>
  <c r="BB91" i="6" s="1"/>
  <c r="BB86" i="6"/>
  <c r="BB74" i="7"/>
  <c r="AL109" i="6"/>
  <c r="BB104" i="6"/>
  <c r="BC84" i="7"/>
  <c r="AM82" i="7"/>
  <c r="AM109" i="7"/>
  <c r="AK109" i="7"/>
  <c r="AK160" i="6"/>
  <c r="AK162" i="6" s="1"/>
  <c r="AK8" i="36" s="1"/>
  <c r="AK163" i="6"/>
  <c r="AK240" i="6"/>
  <c r="AJ131" i="6"/>
  <c r="AJ242" i="6" s="1"/>
  <c r="AK265" i="6"/>
  <c r="AK264" i="6"/>
  <c r="AK263" i="6"/>
  <c r="AK262" i="6"/>
  <c r="AK137" i="6"/>
  <c r="AK7" i="36" s="1"/>
  <c r="AK242" i="6"/>
  <c r="AJ137" i="6"/>
  <c r="AJ7" i="36" s="1"/>
  <c r="AK164" i="6"/>
  <c r="AL160" i="6"/>
  <c r="AM135" i="6"/>
  <c r="AM136" i="6"/>
  <c r="AL164" i="6"/>
  <c r="AL138" i="6"/>
  <c r="AL135" i="6"/>
  <c r="AJ30" i="6"/>
  <c r="AJ31" i="6" s="1"/>
  <c r="AJ19" i="6"/>
  <c r="AL136" i="6"/>
  <c r="AJ59" i="6"/>
  <c r="AK66" i="6"/>
  <c r="AK67" i="6" s="1"/>
  <c r="AK259" i="6"/>
  <c r="AK258" i="6"/>
  <c r="AK257" i="6"/>
  <c r="AK246" i="6"/>
  <c r="AK250" i="6"/>
  <c r="AK254" i="6"/>
  <c r="AK249" i="6"/>
  <c r="AK255" i="6"/>
  <c r="AK247" i="6"/>
  <c r="AK253" i="6"/>
  <c r="AK251" i="6"/>
  <c r="AK248" i="6"/>
  <c r="AK252" i="6"/>
  <c r="AK34" i="6"/>
  <c r="AK36" i="6"/>
  <c r="AK33" i="6"/>
  <c r="AK35" i="6"/>
  <c r="AK59" i="6"/>
  <c r="AJ51" i="28"/>
  <c r="AJ44" i="28"/>
  <c r="AJ329" i="28"/>
  <c r="AL161" i="6" l="1"/>
  <c r="BB109" i="6"/>
  <c r="BB138" i="6"/>
  <c r="BB135" i="6"/>
  <c r="BB136" i="6"/>
  <c r="AL162" i="6"/>
  <c r="AL8" i="36" s="1"/>
  <c r="AL163" i="6"/>
  <c r="AM138" i="6"/>
  <c r="BC91" i="6"/>
  <c r="AK330" i="6"/>
  <c r="AK316" i="6"/>
  <c r="AK336" i="6"/>
  <c r="AK322" i="6"/>
  <c r="AK16" i="48"/>
  <c r="AK116" i="7"/>
  <c r="AM16" i="48"/>
  <c r="AM18" i="48" s="1"/>
  <c r="AM116" i="7"/>
  <c r="AJ253" i="6"/>
  <c r="AK266" i="6"/>
  <c r="AK285" i="6" s="1"/>
  <c r="AJ246" i="6"/>
  <c r="AJ263" i="6"/>
  <c r="AJ254" i="6"/>
  <c r="AJ265" i="6"/>
  <c r="AJ257" i="6"/>
  <c r="AJ262" i="6"/>
  <c r="AJ248" i="6"/>
  <c r="AJ258" i="6"/>
  <c r="AJ251" i="6"/>
  <c r="AJ259" i="6"/>
  <c r="AJ250" i="6"/>
  <c r="AJ255" i="6"/>
  <c r="AJ247" i="6"/>
  <c r="AJ252" i="6"/>
  <c r="AJ249" i="6"/>
  <c r="AJ264" i="6"/>
  <c r="AM137" i="6"/>
  <c r="AM7" i="36" s="1"/>
  <c r="AL137" i="6"/>
  <c r="AL7" i="36" s="1"/>
  <c r="AK256" i="6"/>
  <c r="AK277" i="6" s="1"/>
  <c r="AK260" i="6"/>
  <c r="AK280" i="6" s="1"/>
  <c r="AK37" i="6"/>
  <c r="AJ63" i="28"/>
  <c r="BC138" i="6" l="1"/>
  <c r="BC136" i="6"/>
  <c r="BC135" i="6"/>
  <c r="BC137" i="6" s="1"/>
  <c r="BC7" i="36" s="1"/>
  <c r="BB163" i="6"/>
  <c r="BB160" i="6"/>
  <c r="BB162" i="6" s="1"/>
  <c r="BB8" i="36" s="1"/>
  <c r="BB161" i="6"/>
  <c r="BB137" i="6"/>
  <c r="BB7" i="36" s="1"/>
  <c r="AJ256" i="6"/>
  <c r="AJ277" i="6" s="1"/>
  <c r="AJ260" i="6"/>
  <c r="AJ280" i="6" s="1"/>
  <c r="AK18" i="48"/>
  <c r="AK323" i="6"/>
  <c r="AK324" i="6"/>
  <c r="AK325" i="6" s="1"/>
  <c r="AK338" i="6"/>
  <c r="AK339" i="6" s="1"/>
  <c r="AK337" i="6"/>
  <c r="AK318" i="6"/>
  <c r="AK319" i="6" s="1"/>
  <c r="AK317" i="6"/>
  <c r="AK331" i="6"/>
  <c r="AK332" i="6"/>
  <c r="AK333" i="6" s="1"/>
  <c r="AJ266" i="6"/>
  <c r="AJ285" i="6" s="1"/>
  <c r="AK261" i="6"/>
  <c r="AK9" i="36" s="1"/>
  <c r="AJ261" i="6"/>
  <c r="AJ9" i="36" s="1"/>
  <c r="AK320" i="6" l="1"/>
  <c r="AK340" i="6"/>
  <c r="AK334" i="6"/>
  <c r="AK326" i="6"/>
  <c r="AJ281" i="6"/>
  <c r="AK267" i="6"/>
  <c r="AK281" i="6"/>
  <c r="AJ267" i="6"/>
  <c r="AK341" i="6" l="1"/>
  <c r="AK7" i="48" s="1"/>
  <c r="AK327" i="6"/>
  <c r="AK343" i="6" s="1"/>
  <c r="AJ286" i="6"/>
  <c r="AK286" i="6"/>
  <c r="AK6" i="48" l="1"/>
  <c r="AK8" i="48"/>
  <c r="V52" i="37"/>
  <c r="AD52" i="37" s="1"/>
  <c r="V42" i="37"/>
  <c r="AD42" i="37" s="1"/>
  <c r="V7" i="37"/>
  <c r="AD7" i="37" s="1"/>
  <c r="V148" i="37"/>
  <c r="AD148" i="37" s="1"/>
  <c r="V145" i="37"/>
  <c r="AD145" i="37" s="1"/>
  <c r="U144" i="37"/>
  <c r="V143" i="37"/>
  <c r="AD143" i="37" s="1"/>
  <c r="V142" i="37"/>
  <c r="AD142" i="37" s="1"/>
  <c r="U141" i="37"/>
  <c r="V140" i="37"/>
  <c r="AD140" i="37" s="1"/>
  <c r="V139" i="37"/>
  <c r="AD139" i="37" s="1"/>
  <c r="V138" i="37"/>
  <c r="AD138" i="37" s="1"/>
  <c r="U136" i="37"/>
  <c r="V118" i="37"/>
  <c r="AD118" i="37" s="1"/>
  <c r="V126" i="37"/>
  <c r="AD126" i="37" s="1"/>
  <c r="V121" i="37"/>
  <c r="AD121" i="37" s="1"/>
  <c r="V108" i="37"/>
  <c r="AD108" i="37" s="1"/>
  <c r="V120" i="37"/>
  <c r="AD120" i="37" s="1"/>
  <c r="V116" i="37"/>
  <c r="AD116" i="37" s="1"/>
  <c r="V115" i="37"/>
  <c r="AD115" i="37" s="1"/>
  <c r="V117" i="37"/>
  <c r="AD117" i="37" s="1"/>
  <c r="V127" i="37"/>
  <c r="AD127" i="37" s="1"/>
  <c r="V124" i="37"/>
  <c r="AD124" i="37" s="1"/>
  <c r="V104" i="37"/>
  <c r="AD104" i="37" s="1"/>
  <c r="V112" i="37"/>
  <c r="AD112" i="37" s="1"/>
  <c r="V110" i="37"/>
  <c r="AD110" i="37" s="1"/>
  <c r="V100" i="37"/>
  <c r="AD100" i="37" s="1"/>
  <c r="V114" i="37"/>
  <c r="AD114" i="37" s="1"/>
  <c r="V111" i="37"/>
  <c r="AD111" i="37" s="1"/>
  <c r="V125" i="37"/>
  <c r="AD125" i="37" s="1"/>
  <c r="V103" i="37"/>
  <c r="AD103" i="37" s="1"/>
  <c r="V107" i="37"/>
  <c r="AD107" i="37" s="1"/>
  <c r="V106" i="37"/>
  <c r="AD106" i="37" s="1"/>
  <c r="V105" i="37"/>
  <c r="AD105" i="37" s="1"/>
  <c r="V102" i="37"/>
  <c r="AD102" i="37" s="1"/>
  <c r="V123" i="37"/>
  <c r="AD123" i="37" s="1"/>
  <c r="V95" i="37"/>
  <c r="AD95" i="37" s="1"/>
  <c r="V94" i="37"/>
  <c r="AD94" i="37" s="1"/>
  <c r="U93" i="37"/>
  <c r="U91" i="37" s="1"/>
  <c r="U88" i="37"/>
  <c r="V87" i="37"/>
  <c r="AD87" i="37" s="1"/>
  <c r="V84" i="37"/>
  <c r="AD84" i="37" s="1"/>
  <c r="V82" i="37"/>
  <c r="AD82" i="37" s="1"/>
  <c r="V79" i="37"/>
  <c r="AD79" i="37" s="1"/>
  <c r="V74" i="37"/>
  <c r="AD74" i="37" s="1"/>
  <c r="V73" i="37"/>
  <c r="AD73" i="37" s="1"/>
  <c r="V71" i="37"/>
  <c r="AD71" i="37" s="1"/>
  <c r="V67" i="37"/>
  <c r="AD67" i="37" s="1"/>
  <c r="V78" i="37"/>
  <c r="AD78" i="37" s="1"/>
  <c r="V77" i="37"/>
  <c r="AD77" i="37" s="1"/>
  <c r="V70" i="37"/>
  <c r="AD70" i="37" s="1"/>
  <c r="V69" i="37"/>
  <c r="AD69" i="37" s="1"/>
  <c r="V66" i="37"/>
  <c r="AD66" i="37" s="1"/>
  <c r="V76" i="37"/>
  <c r="AD76" i="37" s="1"/>
  <c r="V75" i="37"/>
  <c r="AD75" i="37" s="1"/>
  <c r="V72" i="37"/>
  <c r="AD72" i="37" s="1"/>
  <c r="V65" i="37"/>
  <c r="AD65" i="37" s="1"/>
  <c r="V64" i="37"/>
  <c r="AD64" i="37" s="1"/>
  <c r="V63" i="37"/>
  <c r="AD63" i="37" s="1"/>
  <c r="V62" i="37"/>
  <c r="AD62" i="37" s="1"/>
  <c r="V61" i="37"/>
  <c r="AD61" i="37" s="1"/>
  <c r="V60" i="37"/>
  <c r="AD60" i="37" s="1"/>
  <c r="V59" i="37"/>
  <c r="AD59" i="37" s="1"/>
  <c r="V56" i="37"/>
  <c r="AD56" i="37" s="1"/>
  <c r="V57" i="37"/>
  <c r="AD57" i="37" s="1"/>
  <c r="V55" i="37"/>
  <c r="AD55" i="37" s="1"/>
  <c r="V53" i="37"/>
  <c r="AD53" i="37" s="1"/>
  <c r="V51" i="37"/>
  <c r="AD51" i="37" s="1"/>
  <c r="V50" i="37"/>
  <c r="AD50" i="37" s="1"/>
  <c r="V48" i="37"/>
  <c r="AD48" i="37" s="1"/>
  <c r="V47" i="37"/>
  <c r="AD47" i="37" s="1"/>
  <c r="V45" i="37"/>
  <c r="AD45" i="37" s="1"/>
  <c r="V44" i="37"/>
  <c r="AD44" i="37" s="1"/>
  <c r="V43" i="37"/>
  <c r="AD43" i="37" s="1"/>
  <c r="V40" i="37"/>
  <c r="AD40" i="37" s="1"/>
  <c r="V38" i="37"/>
  <c r="AD38" i="37" s="1"/>
  <c r="V35" i="37"/>
  <c r="AD35" i="37" s="1"/>
  <c r="V36" i="37"/>
  <c r="AD36" i="37" s="1"/>
  <c r="V37" i="37"/>
  <c r="AD37" i="37" s="1"/>
  <c r="V34" i="37"/>
  <c r="AD34" i="37" s="1"/>
  <c r="V32" i="37"/>
  <c r="AD32" i="37" s="1"/>
  <c r="V30" i="37"/>
  <c r="AD30" i="37" s="1"/>
  <c r="V29" i="37"/>
  <c r="AD29" i="37" s="1"/>
  <c r="V28" i="37"/>
  <c r="AD28" i="37" s="1"/>
  <c r="V25" i="37"/>
  <c r="AD25" i="37" s="1"/>
  <c r="V24" i="37"/>
  <c r="AD24" i="37" s="1"/>
  <c r="V23" i="37"/>
  <c r="AD23" i="37" s="1"/>
  <c r="V22" i="37"/>
  <c r="AD22" i="37" s="1"/>
  <c r="V20" i="37"/>
  <c r="AD20" i="37" s="1"/>
  <c r="V17" i="37"/>
  <c r="AD17" i="37" s="1"/>
  <c r="V18" i="37"/>
  <c r="AD18" i="37" s="1"/>
  <c r="V15" i="37"/>
  <c r="AD15" i="37" s="1"/>
  <c r="V16" i="37"/>
  <c r="AD16" i="37" s="1"/>
  <c r="V14" i="37"/>
  <c r="AD14" i="37" s="1"/>
  <c r="V13" i="37"/>
  <c r="AD13" i="37" s="1"/>
  <c r="V12" i="37"/>
  <c r="AD12" i="37" s="1"/>
  <c r="V11" i="37"/>
  <c r="AD11" i="37" s="1"/>
  <c r="V9" i="37"/>
  <c r="AD9" i="37" s="1"/>
  <c r="V8" i="37"/>
  <c r="AD8" i="37" s="1"/>
  <c r="AM1" i="35"/>
  <c r="BC1" i="35" s="1"/>
  <c r="AL1" i="35"/>
  <c r="BB1" i="35" s="1"/>
  <c r="BB19" i="35" s="1"/>
  <c r="V88" i="37" l="1"/>
  <c r="AD88" i="37" s="1"/>
  <c r="U149" i="37"/>
  <c r="AK11" i="15"/>
  <c r="AK12" i="15" s="1"/>
  <c r="AK13" i="15" s="1"/>
  <c r="U96" i="37"/>
  <c r="AJ18" i="35"/>
  <c r="AJ17" i="35"/>
  <c r="AJ16" i="35"/>
  <c r="AJ5" i="8" l="1"/>
  <c r="AJ33" i="36"/>
  <c r="AJ44" i="36" s="1"/>
  <c r="AJ17" i="36" s="1"/>
  <c r="AJ84" i="9" s="1"/>
  <c r="AJ21" i="9" s="1"/>
  <c r="AJ16" i="36"/>
  <c r="AJ48" i="36"/>
  <c r="AJ45" i="36"/>
  <c r="AJ47" i="36" s="1"/>
  <c r="AJ49" i="36"/>
  <c r="AK33" i="22"/>
  <c r="AJ17" i="15"/>
  <c r="AJ14" i="15" s="1"/>
  <c r="AJ15" i="15" s="1"/>
  <c r="AL28" i="35"/>
  <c r="AL14" i="35"/>
  <c r="BB14" i="35" s="1"/>
  <c r="AL7" i="35"/>
  <c r="AL6" i="35"/>
  <c r="BB6" i="35" s="1"/>
  <c r="BB5" i="6" s="1"/>
  <c r="BB11" i="6" s="1"/>
  <c r="AL46" i="35"/>
  <c r="BB46" i="35" s="1"/>
  <c r="AL45" i="35"/>
  <c r="BB45" i="35" s="1"/>
  <c r="AM42" i="35"/>
  <c r="BC42" i="35" s="1"/>
  <c r="AL42" i="35"/>
  <c r="BB42" i="35" s="1"/>
  <c r="AM41" i="35"/>
  <c r="BC41" i="35" s="1"/>
  <c r="AL41" i="35"/>
  <c r="BB41" i="35" s="1"/>
  <c r="AM40" i="35"/>
  <c r="BC40" i="35" s="1"/>
  <c r="AM39" i="35"/>
  <c r="BC39" i="35" s="1"/>
  <c r="AM38" i="35"/>
  <c r="BC38" i="35" s="1"/>
  <c r="AM37" i="35"/>
  <c r="BC37" i="35" s="1"/>
  <c r="AM33" i="35"/>
  <c r="BC33" i="35" s="1"/>
  <c r="AL33" i="35"/>
  <c r="BB33" i="35" s="1"/>
  <c r="AL32" i="35"/>
  <c r="BB32" i="35" s="1"/>
  <c r="AM30" i="35"/>
  <c r="AL30" i="35"/>
  <c r="AM29" i="35"/>
  <c r="AL29" i="35"/>
  <c r="AM28" i="35"/>
  <c r="AM26" i="35"/>
  <c r="AL26" i="35"/>
  <c r="AM25" i="35"/>
  <c r="BC25" i="35" s="1"/>
  <c r="AL25" i="35"/>
  <c r="BB25" i="35" s="1"/>
  <c r="AM23" i="35"/>
  <c r="BC23" i="35" s="1"/>
  <c r="AL23" i="35"/>
  <c r="BB23" i="35" s="1"/>
  <c r="AM22" i="35"/>
  <c r="BC22" i="35" s="1"/>
  <c r="AL22" i="35"/>
  <c r="BB22" i="35" s="1"/>
  <c r="AM21" i="35"/>
  <c r="BC21" i="35" s="1"/>
  <c r="AL21" i="35"/>
  <c r="BB21" i="35" s="1"/>
  <c r="AM18" i="35"/>
  <c r="BC18" i="35" s="1"/>
  <c r="AM17" i="35"/>
  <c r="AM16" i="35"/>
  <c r="BC16" i="35" s="1"/>
  <c r="AM14" i="35"/>
  <c r="BC14" i="35" s="1"/>
  <c r="AM13" i="35"/>
  <c r="BC13" i="35" s="1"/>
  <c r="AL13" i="35"/>
  <c r="BB13" i="35" s="1"/>
  <c r="AM10" i="35"/>
  <c r="BC10" i="35" s="1"/>
  <c r="AM9" i="35"/>
  <c r="BC9" i="35" s="1"/>
  <c r="AM2" i="35"/>
  <c r="BC2" i="35" s="1"/>
  <c r="AL2" i="35"/>
  <c r="BB2" i="35" s="1"/>
  <c r="AL19" i="35"/>
  <c r="AJ40" i="35"/>
  <c r="AJ39" i="35"/>
  <c r="AJ37" i="35"/>
  <c r="AJ34" i="35"/>
  <c r="AJ43" i="35" s="1"/>
  <c r="AK34" i="35"/>
  <c r="AK31" i="35"/>
  <c r="AJ31" i="35"/>
  <c r="AK24" i="35"/>
  <c r="AK34" i="36" s="1"/>
  <c r="AK35" i="36" s="1"/>
  <c r="AK36" i="36" s="1"/>
  <c r="AK39" i="36" s="1"/>
  <c r="AK30" i="36" s="1"/>
  <c r="AJ24" i="35"/>
  <c r="AJ34" i="36" s="1"/>
  <c r="AJ35" i="36" s="1"/>
  <c r="AK19" i="35"/>
  <c r="AJ19" i="35"/>
  <c r="AK15" i="35"/>
  <c r="AJ15" i="35"/>
  <c r="AK11" i="35"/>
  <c r="AJ10" i="35"/>
  <c r="AJ9" i="35"/>
  <c r="AK8" i="35"/>
  <c r="AJ8" i="35"/>
  <c r="BE5" i="36" l="1"/>
  <c r="BC5" i="36"/>
  <c r="AL9" i="15"/>
  <c r="BB9" i="15" s="1"/>
  <c r="BB26" i="35"/>
  <c r="BD9" i="15" s="1"/>
  <c r="AM9" i="15"/>
  <c r="BC26" i="35"/>
  <c r="AL23" i="36"/>
  <c r="BB30" i="35"/>
  <c r="BB7" i="35"/>
  <c r="AM22" i="36"/>
  <c r="BC29" i="35"/>
  <c r="BC22" i="36" s="1"/>
  <c r="BC17" i="35"/>
  <c r="AM21" i="36"/>
  <c r="BC28" i="35"/>
  <c r="BC21" i="36" s="1"/>
  <c r="AM23" i="36"/>
  <c r="BC30" i="35"/>
  <c r="BC17" i="15"/>
  <c r="BC33" i="36"/>
  <c r="BE17" i="15"/>
  <c r="AL22" i="36"/>
  <c r="BB29" i="35"/>
  <c r="BB22" i="36" s="1"/>
  <c r="AL21" i="36"/>
  <c r="BB28" i="35"/>
  <c r="BB21" i="36" s="1"/>
  <c r="AJ36" i="36"/>
  <c r="AJ39" i="36" s="1"/>
  <c r="AJ30" i="36" s="1"/>
  <c r="AK21" i="22"/>
  <c r="AK22" i="22" s="1"/>
  <c r="AK24" i="22" s="1"/>
  <c r="AK25" i="22" s="1"/>
  <c r="AK27" i="22" s="1"/>
  <c r="AK7" i="22"/>
  <c r="AJ5" i="36"/>
  <c r="AM5" i="36"/>
  <c r="AN6" i="6"/>
  <c r="AL6" i="6"/>
  <c r="AL12" i="6" s="1"/>
  <c r="AJ18" i="36"/>
  <c r="AJ83" i="9"/>
  <c r="AJ86" i="9" s="1"/>
  <c r="AN5" i="6"/>
  <c r="AL5" i="6"/>
  <c r="AJ30" i="8"/>
  <c r="AJ29" i="8"/>
  <c r="AJ47" i="8"/>
  <c r="AJ74" i="8" s="1"/>
  <c r="AJ24" i="8"/>
  <c r="AJ28" i="8"/>
  <c r="AJ68" i="8" s="1"/>
  <c r="AJ35" i="8" s="1"/>
  <c r="AJ79" i="8"/>
  <c r="AJ25" i="8"/>
  <c r="AJ86" i="8"/>
  <c r="AJ23" i="8"/>
  <c r="AJ27" i="8"/>
  <c r="AM12" i="36"/>
  <c r="AM10" i="36"/>
  <c r="AM11" i="36"/>
  <c r="AM51" i="36"/>
  <c r="AM33" i="36"/>
  <c r="AM16" i="36"/>
  <c r="AM17" i="36"/>
  <c r="AM52" i="36"/>
  <c r="AM54" i="36"/>
  <c r="AM55" i="36"/>
  <c r="AM11" i="35"/>
  <c r="AM17" i="15"/>
  <c r="AM31" i="35"/>
  <c r="BC31" i="35" s="1"/>
  <c r="AJ35" i="35"/>
  <c r="AJ66" i="35" s="1"/>
  <c r="AJ44" i="35"/>
  <c r="AL34" i="35"/>
  <c r="AL31" i="35"/>
  <c r="BB31" i="35" s="1"/>
  <c r="AL24" i="35"/>
  <c r="AM24" i="35"/>
  <c r="AL15" i="35"/>
  <c r="AM15" i="35"/>
  <c r="AJ11" i="35"/>
  <c r="AL8" i="35"/>
  <c r="AK43" i="35"/>
  <c r="AK44" i="35" s="1"/>
  <c r="AK35" i="35"/>
  <c r="BC16" i="36" l="1"/>
  <c r="BC17" i="36"/>
  <c r="BC11" i="36"/>
  <c r="BC12" i="36"/>
  <c r="BC10" i="36"/>
  <c r="AL43" i="35"/>
  <c r="BB43" i="35" s="1"/>
  <c r="BB34" i="35"/>
  <c r="AM34" i="36"/>
  <c r="AM35" i="36" s="1"/>
  <c r="BC24" i="35"/>
  <c r="BC34" i="36" s="1"/>
  <c r="BC35" i="36" s="1"/>
  <c r="BC36" i="36" s="1"/>
  <c r="BC39" i="36" s="1"/>
  <c r="BC30" i="36" s="1"/>
  <c r="BE9" i="15"/>
  <c r="BC9" i="15"/>
  <c r="AL34" i="36"/>
  <c r="AL35" i="36" s="1"/>
  <c r="BB24" i="35"/>
  <c r="BB34" i="36" s="1"/>
  <c r="BB35" i="36" s="1"/>
  <c r="BC15" i="36"/>
  <c r="BB8" i="35"/>
  <c r="BB7" i="6" s="1"/>
  <c r="BB6" i="6"/>
  <c r="BB12" i="6" s="1"/>
  <c r="AJ60" i="8"/>
  <c r="AJ64" i="8" s="1"/>
  <c r="AJ34" i="8" s="1"/>
  <c r="AK8" i="22"/>
  <c r="AK10" i="22" s="1"/>
  <c r="AK11" i="22" s="1"/>
  <c r="AK13" i="22" s="1"/>
  <c r="AJ26" i="8"/>
  <c r="AJ66" i="8"/>
  <c r="AJ33" i="8" s="1"/>
  <c r="AL7" i="6"/>
  <c r="AL11" i="6"/>
  <c r="AN7" i="6"/>
  <c r="AM13" i="36"/>
  <c r="AM18" i="36"/>
  <c r="AM36" i="36"/>
  <c r="AM39" i="36" s="1"/>
  <c r="AM30" i="36" s="1"/>
  <c r="AM53" i="36"/>
  <c r="AM19" i="36" s="1"/>
  <c r="AK66" i="35"/>
  <c r="AL35" i="35"/>
  <c r="BB35" i="35" s="1"/>
  <c r="BC13" i="36" l="1"/>
  <c r="BC18" i="36"/>
  <c r="BC73" i="8"/>
  <c r="BE73" i="8"/>
  <c r="AG17" i="36"/>
  <c r="AC17" i="36"/>
  <c r="AI218" i="28" l="1"/>
  <c r="AO218" i="28" s="1"/>
  <c r="AS218" i="28" s="1"/>
  <c r="AW218" i="28" s="1"/>
  <c r="BE218" i="28" s="1"/>
  <c r="AI225" i="28"/>
  <c r="AO225" i="28" s="1"/>
  <c r="AS225" i="28" s="1"/>
  <c r="AW225" i="28" s="1"/>
  <c r="BE225" i="28" s="1"/>
  <c r="AI234" i="28"/>
  <c r="AO234" i="28" s="1"/>
  <c r="AS234" i="28" s="1"/>
  <c r="AW234" i="28" s="1"/>
  <c r="BE234" i="28" s="1"/>
  <c r="AI109" i="28"/>
  <c r="AO109" i="28" s="1"/>
  <c r="AS109" i="28" s="1"/>
  <c r="AW109" i="28" s="1"/>
  <c r="AI111" i="28"/>
  <c r="AO111" i="28" s="1"/>
  <c r="AS111" i="28" s="1"/>
  <c r="AW111" i="28" s="1"/>
  <c r="AI114" i="28"/>
  <c r="AO114" i="28" s="1"/>
  <c r="AS114" i="28" s="1"/>
  <c r="AW114" i="28" s="1"/>
  <c r="AI141" i="28"/>
  <c r="AO141" i="28" s="1"/>
  <c r="AS141" i="28" s="1"/>
  <c r="AW141" i="28" s="1"/>
  <c r="AG60" i="28"/>
  <c r="W107" i="37" l="1"/>
  <c r="Y107" i="37" s="1"/>
  <c r="AA107" i="37" s="1"/>
  <c r="AE107" i="37" s="1"/>
  <c r="G100" i="37"/>
  <c r="I100" i="37" s="1"/>
  <c r="K100" i="37" s="1"/>
  <c r="M100" i="37" s="1"/>
  <c r="P100" i="37" s="1"/>
  <c r="R100" i="37" s="1"/>
  <c r="W104" i="37"/>
  <c r="Y104" i="37" s="1"/>
  <c r="AA104" i="37" s="1"/>
  <c r="AE104" i="37" s="1"/>
  <c r="W124" i="37"/>
  <c r="Y124" i="37" s="1"/>
  <c r="AA124" i="37" s="1"/>
  <c r="AE124" i="37" s="1"/>
  <c r="O100" i="37"/>
  <c r="T52" i="37"/>
  <c r="W52" i="37" s="1"/>
  <c r="Y52" i="37" s="1"/>
  <c r="AA52" i="37" s="1"/>
  <c r="AE52" i="37" s="1"/>
  <c r="T42" i="37"/>
  <c r="W42" i="37" s="1"/>
  <c r="Y42" i="37" s="1"/>
  <c r="AA42" i="37" s="1"/>
  <c r="AE42" i="37" s="1"/>
  <c r="K70" i="37"/>
  <c r="M70" i="37" s="1"/>
  <c r="P70" i="37" s="1"/>
  <c r="R70" i="37" s="1"/>
  <c r="T70" i="37" s="1"/>
  <c r="W70" i="37" s="1"/>
  <c r="Y70" i="37" s="1"/>
  <c r="AA70" i="37" s="1"/>
  <c r="AE70" i="37" s="1"/>
  <c r="O70" i="37"/>
  <c r="AH33" i="22" l="1"/>
  <c r="AH28" i="22"/>
  <c r="AH64" i="22" s="1"/>
  <c r="AH65" i="22" s="1"/>
  <c r="AH66" i="22" s="1"/>
  <c r="AG40" i="48" s="1"/>
  <c r="AH24" i="22"/>
  <c r="AH26" i="22" s="1"/>
  <c r="AH23" i="22"/>
  <c r="AH51" i="22" s="1"/>
  <c r="AH53" i="22" s="1"/>
  <c r="AH55" i="22" s="1"/>
  <c r="AH56" i="22" s="1"/>
  <c r="AG26" i="48" s="1"/>
  <c r="AG28" i="48" s="1"/>
  <c r="AH14" i="22"/>
  <c r="AH59" i="22" s="1"/>
  <c r="AH60" i="22" s="1"/>
  <c r="AH61" i="22" s="1"/>
  <c r="AG37" i="48" s="1"/>
  <c r="AH10" i="22"/>
  <c r="AH12" i="22" s="1"/>
  <c r="AH9" i="22"/>
  <c r="AH43" i="22" s="1"/>
  <c r="AH45" i="22" s="1"/>
  <c r="AH47" i="22" s="1"/>
  <c r="AH48" i="22" s="1"/>
  <c r="AG21" i="48" s="1"/>
  <c r="AG23" i="48" s="1"/>
  <c r="AF34" i="27"/>
  <c r="AF25" i="27"/>
  <c r="AG38" i="27"/>
  <c r="AG36" i="27"/>
  <c r="AF40" i="27"/>
  <c r="AB40" i="27"/>
  <c r="V40" i="27"/>
  <c r="R40" i="27"/>
  <c r="N40" i="27"/>
  <c r="J40" i="27"/>
  <c r="F40" i="27"/>
  <c r="AB34" i="27"/>
  <c r="V34" i="27"/>
  <c r="R34" i="27"/>
  <c r="N34" i="27"/>
  <c r="J34" i="27"/>
  <c r="F34" i="27"/>
  <c r="D34" i="27"/>
  <c r="AB25" i="27"/>
  <c r="V25" i="27"/>
  <c r="R25" i="27"/>
  <c r="N25" i="27"/>
  <c r="F25" i="27"/>
  <c r="D25" i="27"/>
  <c r="AG32" i="27"/>
  <c r="AM32" i="27" s="1"/>
  <c r="AG28" i="27"/>
  <c r="AG30" i="27"/>
  <c r="AG29" i="27"/>
  <c r="AG23" i="27"/>
  <c r="AG20" i="27"/>
  <c r="AG19" i="27"/>
  <c r="AG18" i="27"/>
  <c r="AG37" i="27" l="1"/>
  <c r="AG31" i="27"/>
  <c r="AG27" i="27"/>
  <c r="AG22" i="27"/>
  <c r="AG21" i="27"/>
  <c r="AG34" i="27" l="1"/>
  <c r="AG40" i="27"/>
  <c r="AG25" i="27"/>
  <c r="AG94" i="26" l="1"/>
  <c r="AF94" i="26"/>
  <c r="AG92" i="26"/>
  <c r="AF92" i="26"/>
  <c r="AG78" i="26"/>
  <c r="AF78" i="26"/>
  <c r="AG65" i="26"/>
  <c r="AF63" i="26"/>
  <c r="AF65" i="26" s="1"/>
  <c r="AF61" i="26"/>
  <c r="AF60" i="26"/>
  <c r="AG59" i="26"/>
  <c r="AG54" i="26"/>
  <c r="AG55" i="26" s="1"/>
  <c r="AF54" i="26"/>
  <c r="AF55" i="26" s="1"/>
  <c r="AG38" i="26"/>
  <c r="AG39" i="26" s="1"/>
  <c r="AF38" i="26"/>
  <c r="AF39" i="26" s="1"/>
  <c r="AG34" i="26"/>
  <c r="AF34" i="26"/>
  <c r="AF11" i="26"/>
  <c r="AH9" i="26"/>
  <c r="AG9" i="26"/>
  <c r="AG10" i="26" s="1"/>
  <c r="AF9" i="26"/>
  <c r="AF10" i="26" s="1"/>
  <c r="AG85" i="17"/>
  <c r="AG84" i="17"/>
  <c r="AG83" i="17"/>
  <c r="AG82" i="17"/>
  <c r="AG51" i="17"/>
  <c r="AG34" i="17"/>
  <c r="AG9" i="17"/>
  <c r="AF43" i="26" l="1"/>
  <c r="AG13" i="26"/>
  <c r="AF14" i="26"/>
  <c r="AG14" i="26"/>
  <c r="AG43" i="26"/>
  <c r="AG60" i="26"/>
  <c r="AG61" i="26"/>
  <c r="AG42" i="26"/>
  <c r="AG8" i="17" l="1"/>
  <c r="AF113" i="17"/>
  <c r="AG81" i="17"/>
  <c r="AF81" i="17"/>
  <c r="AG77" i="17"/>
  <c r="AF77" i="17"/>
  <c r="AF68" i="17"/>
  <c r="AG66" i="17"/>
  <c r="AG68" i="17" s="1"/>
  <c r="AF66" i="17"/>
  <c r="AG58" i="17"/>
  <c r="AG61" i="17" s="1"/>
  <c r="AF57" i="17"/>
  <c r="AF56" i="17"/>
  <c r="AG52" i="17"/>
  <c r="AF51" i="17"/>
  <c r="AF50" i="17"/>
  <c r="AF54" i="17" s="1"/>
  <c r="AG48" i="17"/>
  <c r="AF47" i="17"/>
  <c r="AG46" i="17"/>
  <c r="AF45" i="17"/>
  <c r="AG43" i="17"/>
  <c r="AF43" i="17"/>
  <c r="AG42" i="17"/>
  <c r="AG40" i="17"/>
  <c r="AG38" i="17"/>
  <c r="AF25" i="17"/>
  <c r="AG21" i="17"/>
  <c r="AG15" i="17" s="1"/>
  <c r="AF18" i="17"/>
  <c r="AF17" i="17"/>
  <c r="AF15" i="17"/>
  <c r="AF29" i="17" s="1"/>
  <c r="AF14" i="17"/>
  <c r="AG11" i="17"/>
  <c r="AG13" i="17"/>
  <c r="AG12" i="17"/>
  <c r="AF8" i="17"/>
  <c r="AI13" i="45"/>
  <c r="AO13" i="45" s="1"/>
  <c r="AI7" i="45"/>
  <c r="AI48" i="45"/>
  <c r="AO48" i="45" s="1"/>
  <c r="G46" i="45"/>
  <c r="I46" i="45"/>
  <c r="M46" i="45"/>
  <c r="Q46" i="45"/>
  <c r="U46" i="45"/>
  <c r="Y46" i="45"/>
  <c r="AE46" i="45"/>
  <c r="AI46" i="45"/>
  <c r="AI78" i="45" l="1"/>
  <c r="AI50" i="45"/>
  <c r="AI71" i="45"/>
  <c r="AF10" i="17"/>
  <c r="AF21" i="17"/>
  <c r="AF33" i="17" s="1"/>
  <c r="AF49" i="17"/>
  <c r="AF110" i="17" s="1"/>
  <c r="AF58" i="17"/>
  <c r="AF59" i="17" s="1"/>
  <c r="AO71" i="45"/>
  <c r="AO79" i="45"/>
  <c r="AO7" i="45"/>
  <c r="AG113" i="17"/>
  <c r="AG44" i="17"/>
  <c r="AG49" i="17"/>
  <c r="AG50" i="17" s="1"/>
  <c r="AG111" i="17" s="1"/>
  <c r="AG14" i="17"/>
  <c r="AF32" i="17"/>
  <c r="AF31" i="17"/>
  <c r="AF30" i="17"/>
  <c r="AF53" i="17"/>
  <c r="AG33" i="17"/>
  <c r="AG32" i="17"/>
  <c r="AG31" i="17"/>
  <c r="AG30" i="17"/>
  <c r="AG29" i="17"/>
  <c r="AG59" i="17"/>
  <c r="AF111" i="17"/>
  <c r="AF115" i="17" s="1"/>
  <c r="AF112" i="17"/>
  <c r="AF61" i="17"/>
  <c r="AG112" i="17"/>
  <c r="AG10" i="17"/>
  <c r="AI47" i="45"/>
  <c r="AO46" i="45" l="1"/>
  <c r="AO50" i="45" s="1"/>
  <c r="AG115" i="17"/>
  <c r="AG53" i="17"/>
  <c r="AG54" i="17" s="1"/>
  <c r="AG110" i="17"/>
  <c r="AG114" i="17" s="1"/>
  <c r="AF114" i="17"/>
  <c r="AI64" i="45"/>
  <c r="AI63" i="45"/>
  <c r="AI62" i="45"/>
  <c r="AH82" i="11"/>
  <c r="AH52" i="11"/>
  <c r="AH51" i="11"/>
  <c r="AO47" i="45" l="1"/>
  <c r="AO49" i="45"/>
  <c r="AO78" i="45"/>
  <c r="AO65" i="45"/>
  <c r="AO51" i="45"/>
  <c r="AO80" i="45" l="1"/>
  <c r="AO82" i="45"/>
  <c r="AG10" i="15"/>
  <c r="S144" i="37"/>
  <c r="S141" i="37"/>
  <c r="S136" i="37"/>
  <c r="S93" i="37"/>
  <c r="S88" i="37"/>
  <c r="P27" i="34"/>
  <c r="S27" i="34" s="1"/>
  <c r="AO7" i="32"/>
  <c r="AP7" i="32" s="1"/>
  <c r="AO8" i="32"/>
  <c r="AP8" i="32" s="1"/>
  <c r="AO9" i="32"/>
  <c r="AP9" i="32" s="1"/>
  <c r="AO10" i="32"/>
  <c r="AP10" i="32" s="1"/>
  <c r="AO12" i="32"/>
  <c r="AP12" i="32" s="1"/>
  <c r="AO13" i="32"/>
  <c r="AP13" i="32" s="1"/>
  <c r="AO14" i="32"/>
  <c r="AP14" i="32" s="1"/>
  <c r="AO15" i="32"/>
  <c r="AP15" i="32" s="1"/>
  <c r="AO16" i="32"/>
  <c r="AP16" i="32" s="1"/>
  <c r="AO17" i="32"/>
  <c r="AP17" i="32" s="1"/>
  <c r="AO18" i="32"/>
  <c r="AP18" i="32" s="1"/>
  <c r="AO19" i="32"/>
  <c r="AP19" i="32" s="1"/>
  <c r="AO20" i="32"/>
  <c r="AP20" i="32" s="1"/>
  <c r="AO21" i="32"/>
  <c r="AP21" i="32" s="1"/>
  <c r="AO22" i="32"/>
  <c r="AO23" i="32"/>
  <c r="AP23" i="32" s="1"/>
  <c r="AO24" i="32"/>
  <c r="AP24" i="32" s="1"/>
  <c r="AO25" i="32"/>
  <c r="AP25" i="32" s="1"/>
  <c r="AO27" i="32"/>
  <c r="AO28" i="32"/>
  <c r="AP28" i="32" s="1"/>
  <c r="AO29" i="32"/>
  <c r="AP29" i="32" s="1"/>
  <c r="AO30" i="32"/>
  <c r="AP30" i="32" s="1"/>
  <c r="AO31" i="32"/>
  <c r="AP31" i="32" s="1"/>
  <c r="AO32" i="32"/>
  <c r="AP32" i="32" s="1"/>
  <c r="AO33" i="32"/>
  <c r="AP33" i="32" s="1"/>
  <c r="AO36" i="32"/>
  <c r="AP36" i="32" s="1"/>
  <c r="AO37" i="32"/>
  <c r="AP37" i="32" s="1"/>
  <c r="AO38" i="32"/>
  <c r="AP38" i="32" s="1"/>
  <c r="AO39" i="32"/>
  <c r="AP39" i="32" s="1"/>
  <c r="AO40" i="32"/>
  <c r="AP40" i="32" s="1"/>
  <c r="AO41" i="32"/>
  <c r="AP41" i="32" s="1"/>
  <c r="AO42" i="32"/>
  <c r="AP42" i="32" s="1"/>
  <c r="AO43" i="32"/>
  <c r="AP43" i="32" s="1"/>
  <c r="AO44" i="32"/>
  <c r="AP44" i="32" s="1"/>
  <c r="AO45" i="32"/>
  <c r="AP45" i="32" s="1"/>
  <c r="AO46" i="32"/>
  <c r="AP46" i="32" s="1"/>
  <c r="AO47" i="32"/>
  <c r="AP47" i="32" s="1"/>
  <c r="AO48" i="32"/>
  <c r="AP48" i="32" s="1"/>
  <c r="AO49" i="32"/>
  <c r="AP49" i="32" s="1"/>
  <c r="AO51" i="32"/>
  <c r="AP51" i="32" s="1"/>
  <c r="AO52" i="32"/>
  <c r="AP52" i="32" s="1"/>
  <c r="AO53" i="32"/>
  <c r="AP53" i="32" s="1"/>
  <c r="AO54" i="32"/>
  <c r="AP54" i="32" s="1"/>
  <c r="AO55" i="32"/>
  <c r="AP55" i="32" s="1"/>
  <c r="AO56" i="32"/>
  <c r="AP56" i="32" s="1"/>
  <c r="AO57" i="32"/>
  <c r="AP57" i="32" s="1"/>
  <c r="AO58" i="32"/>
  <c r="AP58" i="32" s="1"/>
  <c r="AO59" i="32"/>
  <c r="AP59" i="32" s="1"/>
  <c r="AO60" i="32"/>
  <c r="AP60" i="32" s="1"/>
  <c r="AP22" i="32"/>
  <c r="AP27" i="32"/>
  <c r="AF7" i="32"/>
  <c r="AF8" i="32"/>
  <c r="AF9" i="32"/>
  <c r="AF10" i="32"/>
  <c r="AF12" i="32"/>
  <c r="AF13" i="32"/>
  <c r="AF14" i="32"/>
  <c r="AF15" i="32"/>
  <c r="AF16" i="32"/>
  <c r="AF17" i="32"/>
  <c r="AF18" i="32"/>
  <c r="AF19" i="32"/>
  <c r="AF20" i="32"/>
  <c r="AF21" i="32"/>
  <c r="AF22" i="32"/>
  <c r="AF23" i="32"/>
  <c r="AF24" i="32"/>
  <c r="AF25" i="32"/>
  <c r="AF27" i="32"/>
  <c r="AF28" i="32"/>
  <c r="AF29" i="32"/>
  <c r="AF30" i="32"/>
  <c r="AF31" i="32"/>
  <c r="AF32" i="32"/>
  <c r="AF33" i="32"/>
  <c r="AF36" i="32"/>
  <c r="AF37" i="32"/>
  <c r="AF38" i="32"/>
  <c r="AF39" i="32"/>
  <c r="AF40" i="32"/>
  <c r="AF41" i="32"/>
  <c r="AF42" i="32"/>
  <c r="AF43" i="32"/>
  <c r="AF44" i="32"/>
  <c r="AF45" i="32"/>
  <c r="AF46" i="32"/>
  <c r="AF47" i="32"/>
  <c r="AF48" i="32"/>
  <c r="AF49" i="32"/>
  <c r="AF51" i="32"/>
  <c r="AF52" i="32"/>
  <c r="AF53" i="32"/>
  <c r="AF54" i="32"/>
  <c r="AF55" i="32"/>
  <c r="AF56" i="32"/>
  <c r="AF57" i="32"/>
  <c r="AF58" i="32"/>
  <c r="AF59" i="32"/>
  <c r="AF60" i="32"/>
  <c r="AB7" i="32"/>
  <c r="AQ7" i="32" s="1"/>
  <c r="AB8" i="32"/>
  <c r="AQ8" i="32" s="1"/>
  <c r="AB9" i="32"/>
  <c r="AQ9" i="32" s="1"/>
  <c r="AB10" i="32"/>
  <c r="AQ10" i="32" s="1"/>
  <c r="AB12" i="32"/>
  <c r="AQ12" i="32" s="1"/>
  <c r="AB13" i="32"/>
  <c r="AQ13" i="32" s="1"/>
  <c r="AB14" i="32"/>
  <c r="AQ14" i="32" s="1"/>
  <c r="AB15" i="32"/>
  <c r="AQ15" i="32" s="1"/>
  <c r="AB16" i="32"/>
  <c r="AQ16" i="32" s="1"/>
  <c r="AB17" i="32"/>
  <c r="AQ17" i="32" s="1"/>
  <c r="AB18" i="32"/>
  <c r="AQ18" i="32" s="1"/>
  <c r="AB19" i="32"/>
  <c r="AQ19" i="32" s="1"/>
  <c r="AB20" i="32"/>
  <c r="AQ20" i="32" s="1"/>
  <c r="AB21" i="32"/>
  <c r="AQ21" i="32" s="1"/>
  <c r="AB22" i="32"/>
  <c r="AQ22" i="32" s="1"/>
  <c r="AB23" i="32"/>
  <c r="AQ23" i="32" s="1"/>
  <c r="AB24" i="32"/>
  <c r="AQ24" i="32" s="1"/>
  <c r="AB25" i="32"/>
  <c r="AQ25" i="32" s="1"/>
  <c r="AB27" i="32"/>
  <c r="AQ27" i="32" s="1"/>
  <c r="AB28" i="32"/>
  <c r="AQ28" i="32" s="1"/>
  <c r="AB29" i="32"/>
  <c r="AQ29" i="32" s="1"/>
  <c r="AB30" i="32"/>
  <c r="AQ30" i="32" s="1"/>
  <c r="AB31" i="32"/>
  <c r="AQ31" i="32" s="1"/>
  <c r="AB32" i="32"/>
  <c r="AQ32" i="32" s="1"/>
  <c r="AB33" i="32"/>
  <c r="AQ33" i="32" s="1"/>
  <c r="AB36" i="32"/>
  <c r="AQ36" i="32" s="1"/>
  <c r="AB37" i="32"/>
  <c r="AQ37" i="32" s="1"/>
  <c r="AB38" i="32"/>
  <c r="AQ38" i="32" s="1"/>
  <c r="AB39" i="32"/>
  <c r="AQ39" i="32" s="1"/>
  <c r="AB40" i="32"/>
  <c r="AQ40" i="32" s="1"/>
  <c r="AB41" i="32"/>
  <c r="AQ41" i="32" s="1"/>
  <c r="AB42" i="32"/>
  <c r="AQ42" i="32" s="1"/>
  <c r="AB43" i="32"/>
  <c r="AQ43" i="32" s="1"/>
  <c r="AB44" i="32"/>
  <c r="AQ44" i="32" s="1"/>
  <c r="AB45" i="32"/>
  <c r="AQ45" i="32" s="1"/>
  <c r="AB46" i="32"/>
  <c r="AQ46" i="32" s="1"/>
  <c r="AB47" i="32"/>
  <c r="AQ47" i="32" s="1"/>
  <c r="AB48" i="32"/>
  <c r="AQ48" i="32" s="1"/>
  <c r="AB49" i="32"/>
  <c r="AQ49" i="32" s="1"/>
  <c r="AB51" i="32"/>
  <c r="AQ51" i="32" s="1"/>
  <c r="AB52" i="32"/>
  <c r="AQ52" i="32" s="1"/>
  <c r="AB53" i="32"/>
  <c r="AQ53" i="32" s="1"/>
  <c r="AB54" i="32"/>
  <c r="AQ54" i="32" s="1"/>
  <c r="AB55" i="32"/>
  <c r="AQ55" i="32" s="1"/>
  <c r="AB56" i="32"/>
  <c r="AQ56" i="32" s="1"/>
  <c r="AB57" i="32"/>
  <c r="AQ57" i="32" s="1"/>
  <c r="AB58" i="32"/>
  <c r="AQ58" i="32" s="1"/>
  <c r="AB59" i="32"/>
  <c r="AQ59" i="32" s="1"/>
  <c r="AB60" i="32"/>
  <c r="AQ60" i="32" s="1"/>
  <c r="M7" i="32"/>
  <c r="M8" i="32"/>
  <c r="M9" i="32"/>
  <c r="M10" i="32"/>
  <c r="M12" i="32"/>
  <c r="M13" i="32"/>
  <c r="M14" i="32"/>
  <c r="M15" i="32"/>
  <c r="M16" i="32"/>
  <c r="M17" i="32"/>
  <c r="M18" i="32"/>
  <c r="M19" i="32"/>
  <c r="M20" i="32"/>
  <c r="M21" i="32"/>
  <c r="M22" i="32"/>
  <c r="M23" i="32"/>
  <c r="M24" i="32"/>
  <c r="M25" i="32"/>
  <c r="M27" i="32"/>
  <c r="M28" i="32"/>
  <c r="M29" i="32"/>
  <c r="M30" i="32"/>
  <c r="M31" i="32"/>
  <c r="M32" i="32"/>
  <c r="M33" i="32"/>
  <c r="M36" i="32"/>
  <c r="M37" i="32"/>
  <c r="M38" i="32"/>
  <c r="M39" i="32"/>
  <c r="M40" i="32"/>
  <c r="M41" i="32"/>
  <c r="M42" i="32"/>
  <c r="M43" i="32"/>
  <c r="M44" i="32"/>
  <c r="M45" i="32"/>
  <c r="M46" i="32"/>
  <c r="M47" i="32"/>
  <c r="M48" i="32"/>
  <c r="M49" i="32"/>
  <c r="M51" i="32"/>
  <c r="M52" i="32"/>
  <c r="M53" i="32"/>
  <c r="M54" i="32"/>
  <c r="M55" i="32"/>
  <c r="M56" i="32"/>
  <c r="M57" i="32"/>
  <c r="M58" i="32"/>
  <c r="M59" i="32"/>
  <c r="M60" i="32"/>
  <c r="I7" i="32"/>
  <c r="X7" i="32" s="1"/>
  <c r="I8" i="32"/>
  <c r="X8" i="32" s="1"/>
  <c r="I9" i="32"/>
  <c r="X9" i="32" s="1"/>
  <c r="I10" i="32"/>
  <c r="X10" i="32" s="1"/>
  <c r="I12" i="32"/>
  <c r="I13" i="32"/>
  <c r="X13" i="32" s="1"/>
  <c r="I14" i="32"/>
  <c r="X14" i="32" s="1"/>
  <c r="I15" i="32"/>
  <c r="X15" i="32" s="1"/>
  <c r="I16" i="32"/>
  <c r="X16" i="32" s="1"/>
  <c r="I17" i="32"/>
  <c r="X17" i="32" s="1"/>
  <c r="I18" i="32"/>
  <c r="X18" i="32" s="1"/>
  <c r="I19" i="32"/>
  <c r="X19" i="32" s="1"/>
  <c r="I20" i="32"/>
  <c r="X20" i="32" s="1"/>
  <c r="I21" i="32"/>
  <c r="X21" i="32" s="1"/>
  <c r="I22" i="32"/>
  <c r="X22" i="32" s="1"/>
  <c r="I23" i="32"/>
  <c r="X23" i="32" s="1"/>
  <c r="I24" i="32"/>
  <c r="X24" i="32" s="1"/>
  <c r="I25" i="32"/>
  <c r="X25" i="32" s="1"/>
  <c r="I27" i="32"/>
  <c r="X27" i="32" s="1"/>
  <c r="I28" i="32"/>
  <c r="X28" i="32" s="1"/>
  <c r="I29" i="32"/>
  <c r="X29" i="32" s="1"/>
  <c r="I30" i="32"/>
  <c r="X30" i="32" s="1"/>
  <c r="I31" i="32"/>
  <c r="X31" i="32" s="1"/>
  <c r="I32" i="32"/>
  <c r="X32" i="32" s="1"/>
  <c r="I33" i="32"/>
  <c r="X33" i="32" s="1"/>
  <c r="I36" i="32"/>
  <c r="X36" i="32" s="1"/>
  <c r="I37" i="32"/>
  <c r="X37" i="32" s="1"/>
  <c r="I38" i="32"/>
  <c r="X38" i="32" s="1"/>
  <c r="I39" i="32"/>
  <c r="X39" i="32" s="1"/>
  <c r="I40" i="32"/>
  <c r="X40" i="32" s="1"/>
  <c r="I41" i="32"/>
  <c r="X41" i="32" s="1"/>
  <c r="I42" i="32"/>
  <c r="X42" i="32" s="1"/>
  <c r="I43" i="32"/>
  <c r="X43" i="32" s="1"/>
  <c r="I44" i="32"/>
  <c r="X44" i="32" s="1"/>
  <c r="I45" i="32"/>
  <c r="X45" i="32" s="1"/>
  <c r="I46" i="32"/>
  <c r="X46" i="32" s="1"/>
  <c r="I47" i="32"/>
  <c r="X47" i="32" s="1"/>
  <c r="I48" i="32"/>
  <c r="X48" i="32" s="1"/>
  <c r="I49" i="32"/>
  <c r="X49" i="32" s="1"/>
  <c r="I51" i="32"/>
  <c r="X51" i="32" s="1"/>
  <c r="I52" i="32"/>
  <c r="X52" i="32" s="1"/>
  <c r="I53" i="32"/>
  <c r="X53" i="32" s="1"/>
  <c r="I54" i="32"/>
  <c r="X54" i="32" s="1"/>
  <c r="I55" i="32"/>
  <c r="X55" i="32" s="1"/>
  <c r="I56" i="32"/>
  <c r="X56" i="32" s="1"/>
  <c r="I57" i="32"/>
  <c r="X57" i="32" s="1"/>
  <c r="I58" i="32"/>
  <c r="X58" i="32" s="1"/>
  <c r="I59" i="32"/>
  <c r="X59" i="32" s="1"/>
  <c r="I60" i="32"/>
  <c r="X60" i="32" s="1"/>
  <c r="V7" i="32"/>
  <c r="W7" i="32" s="1"/>
  <c r="V8" i="32"/>
  <c r="W8" i="32" s="1"/>
  <c r="V9" i="32"/>
  <c r="W9" i="32" s="1"/>
  <c r="V10" i="32"/>
  <c r="W10" i="32" s="1"/>
  <c r="V12" i="32"/>
  <c r="V13" i="32"/>
  <c r="W13" i="32" s="1"/>
  <c r="V14" i="32"/>
  <c r="W14" i="32" s="1"/>
  <c r="V15" i="32"/>
  <c r="W15" i="32" s="1"/>
  <c r="V16" i="32"/>
  <c r="W16" i="32" s="1"/>
  <c r="V17" i="32"/>
  <c r="W17" i="32" s="1"/>
  <c r="V18" i="32"/>
  <c r="W18" i="32" s="1"/>
  <c r="V19" i="32"/>
  <c r="V20" i="32"/>
  <c r="V21" i="32"/>
  <c r="W21" i="32" s="1"/>
  <c r="V22" i="32"/>
  <c r="W22" i="32" s="1"/>
  <c r="V23" i="32"/>
  <c r="W23" i="32" s="1"/>
  <c r="V24" i="32"/>
  <c r="W24" i="32" s="1"/>
  <c r="V25" i="32"/>
  <c r="W25" i="32" s="1"/>
  <c r="V27" i="32"/>
  <c r="W27" i="32" s="1"/>
  <c r="V28" i="32"/>
  <c r="W28" i="32" s="1"/>
  <c r="V29" i="32"/>
  <c r="V30" i="32"/>
  <c r="W30" i="32" s="1"/>
  <c r="V31" i="32"/>
  <c r="W31" i="32" s="1"/>
  <c r="V32" i="32"/>
  <c r="W32" i="32" s="1"/>
  <c r="V33" i="32"/>
  <c r="W33" i="32" s="1"/>
  <c r="V36" i="32"/>
  <c r="W36" i="32" s="1"/>
  <c r="V37" i="32"/>
  <c r="W37" i="32" s="1"/>
  <c r="V38" i="32"/>
  <c r="V39" i="32"/>
  <c r="V40" i="32"/>
  <c r="W40" i="32" s="1"/>
  <c r="V41" i="32"/>
  <c r="W41" i="32" s="1"/>
  <c r="V42" i="32"/>
  <c r="W42" i="32" s="1"/>
  <c r="V43" i="32"/>
  <c r="W43" i="32" s="1"/>
  <c r="V44" i="32"/>
  <c r="W44" i="32" s="1"/>
  <c r="V45" i="32"/>
  <c r="W45" i="32" s="1"/>
  <c r="V46" i="32"/>
  <c r="W46" i="32" s="1"/>
  <c r="V47" i="32"/>
  <c r="V48" i="32"/>
  <c r="W48" i="32" s="1"/>
  <c r="V49" i="32"/>
  <c r="W49" i="32" s="1"/>
  <c r="V51" i="32"/>
  <c r="W51" i="32" s="1"/>
  <c r="V52" i="32"/>
  <c r="W52" i="32" s="1"/>
  <c r="V53" i="32"/>
  <c r="W53" i="32" s="1"/>
  <c r="V54" i="32"/>
  <c r="W54" i="32" s="1"/>
  <c r="V55" i="32"/>
  <c r="W55" i="32" s="1"/>
  <c r="V56" i="32"/>
  <c r="V57" i="32"/>
  <c r="W57" i="32" s="1"/>
  <c r="V58" i="32"/>
  <c r="W58" i="32" s="1"/>
  <c r="V59" i="32"/>
  <c r="W59" i="32" s="1"/>
  <c r="V60" i="32"/>
  <c r="AG32" i="9"/>
  <c r="AM32" i="9" s="1"/>
  <c r="BC32" i="9" s="1"/>
  <c r="BC33" i="9" s="1"/>
  <c r="BC39" i="9" s="1"/>
  <c r="A40" i="9"/>
  <c r="A41" i="9"/>
  <c r="N12" i="32" l="1"/>
  <c r="X12" i="32"/>
  <c r="AG11" i="15"/>
  <c r="S91" i="37"/>
  <c r="S96" i="37" s="1"/>
  <c r="AG38" i="32"/>
  <c r="N47" i="32"/>
  <c r="AG55" i="32"/>
  <c r="AG19" i="32"/>
  <c r="N39" i="32"/>
  <c r="AR15" i="32"/>
  <c r="AG32" i="32"/>
  <c r="AR20" i="32"/>
  <c r="N29" i="32"/>
  <c r="N56" i="32"/>
  <c r="N20" i="32"/>
  <c r="AG51" i="32"/>
  <c r="AG15" i="32"/>
  <c r="N18" i="32"/>
  <c r="AR53" i="32"/>
  <c r="AR36" i="32"/>
  <c r="N37" i="32"/>
  <c r="N27" i="32"/>
  <c r="AR44" i="32"/>
  <c r="AR17" i="32"/>
  <c r="AR23" i="32"/>
  <c r="AR19" i="32"/>
  <c r="AG46" i="32"/>
  <c r="AG28" i="32"/>
  <c r="AG10" i="32"/>
  <c r="N54" i="32"/>
  <c r="N45" i="32"/>
  <c r="N9" i="32"/>
  <c r="AR40" i="32"/>
  <c r="AR25" i="32"/>
  <c r="AR33" i="32"/>
  <c r="AR43" i="32"/>
  <c r="AR16" i="32"/>
  <c r="AR7" i="32"/>
  <c r="N58" i="32"/>
  <c r="N49" i="32"/>
  <c r="N41" i="32"/>
  <c r="N31" i="32"/>
  <c r="N22" i="32"/>
  <c r="N14" i="32"/>
  <c r="AR55" i="32"/>
  <c r="AR42" i="32"/>
  <c r="N60" i="32"/>
  <c r="N52" i="32"/>
  <c r="N43" i="32"/>
  <c r="N33" i="32"/>
  <c r="N24" i="32"/>
  <c r="N16" i="32"/>
  <c r="N7" i="32"/>
  <c r="AR54" i="32"/>
  <c r="AR37" i="32"/>
  <c r="AR27" i="32"/>
  <c r="AG59" i="32"/>
  <c r="AG42" i="32"/>
  <c r="AG23" i="32"/>
  <c r="S149" i="37"/>
  <c r="AM38" i="9"/>
  <c r="BC38" i="9" s="1"/>
  <c r="AM33" i="9"/>
  <c r="AM39" i="9" s="1"/>
  <c r="AG13" i="32"/>
  <c r="AR29" i="32"/>
  <c r="AR24" i="32"/>
  <c r="N59" i="32"/>
  <c r="N57" i="32"/>
  <c r="N55" i="32"/>
  <c r="N53" i="32"/>
  <c r="N51" i="32"/>
  <c r="N48" i="32"/>
  <c r="N46" i="32"/>
  <c r="N44" i="32"/>
  <c r="N42" i="32"/>
  <c r="N40" i="32"/>
  <c r="N38" i="32"/>
  <c r="N36" i="32"/>
  <c r="N32" i="32"/>
  <c r="N30" i="32"/>
  <c r="N28" i="32"/>
  <c r="N25" i="32"/>
  <c r="N23" i="32"/>
  <c r="N21" i="32"/>
  <c r="N19" i="32"/>
  <c r="N17" i="32"/>
  <c r="N15" i="32"/>
  <c r="N13" i="32"/>
  <c r="N10" i="32"/>
  <c r="N8" i="32"/>
  <c r="AR46" i="32"/>
  <c r="AR10" i="32"/>
  <c r="AG60" i="32"/>
  <c r="AG58" i="32"/>
  <c r="AG56" i="32"/>
  <c r="AG54" i="32"/>
  <c r="AG52" i="32"/>
  <c r="AG49" i="32"/>
  <c r="AG47" i="32"/>
  <c r="AG45" i="32"/>
  <c r="AG43" i="32"/>
  <c r="AG41" i="32"/>
  <c r="AG39" i="32"/>
  <c r="AG37" i="32"/>
  <c r="AG33" i="32"/>
  <c r="AG31" i="32"/>
  <c r="AG29" i="32"/>
  <c r="AG27" i="32"/>
  <c r="AG24" i="32"/>
  <c r="AG22" i="32"/>
  <c r="AG20" i="32"/>
  <c r="AG18" i="32"/>
  <c r="AG16" i="32"/>
  <c r="AG14" i="32"/>
  <c r="AG12" i="32"/>
  <c r="AG9" i="32"/>
  <c r="AG7" i="32"/>
  <c r="AG48" i="32"/>
  <c r="AR60" i="32"/>
  <c r="AR56" i="32"/>
  <c r="AR52" i="32"/>
  <c r="AR47" i="32"/>
  <c r="AR39" i="32"/>
  <c r="AR58" i="32"/>
  <c r="AR49" i="32"/>
  <c r="AR45" i="32"/>
  <c r="AR31" i="32"/>
  <c r="AR14" i="32"/>
  <c r="AR9" i="32"/>
  <c r="AG57" i="32"/>
  <c r="AG53" i="32"/>
  <c r="AG44" i="32"/>
  <c r="AG40" i="32"/>
  <c r="AG36" i="32"/>
  <c r="AG30" i="32"/>
  <c r="AG25" i="32"/>
  <c r="AG21" i="32"/>
  <c r="AG17" i="32"/>
  <c r="AG8" i="32"/>
  <c r="W60" i="32"/>
  <c r="W19" i="32"/>
  <c r="W38" i="32"/>
  <c r="W56" i="32"/>
  <c r="W47" i="32"/>
  <c r="W39" i="32"/>
  <c r="W29" i="32"/>
  <c r="W20" i="32"/>
  <c r="W12" i="32"/>
  <c r="AR28" i="32" l="1"/>
  <c r="AR32" i="32"/>
  <c r="AR22" i="32"/>
  <c r="AR18" i="32"/>
  <c r="AR8" i="32"/>
  <c r="AR41" i="32"/>
  <c r="AR12" i="32"/>
  <c r="AR48" i="32"/>
  <c r="AR51" i="32"/>
  <c r="AR38" i="32"/>
  <c r="AR59" i="32"/>
  <c r="AR13" i="32"/>
  <c r="AR30" i="32"/>
  <c r="AR21" i="32"/>
  <c r="AR57" i="32"/>
  <c r="AH75" i="8"/>
  <c r="BD75" i="8" s="1"/>
  <c r="AG83" i="8"/>
  <c r="AG82" i="8"/>
  <c r="AG71" i="7"/>
  <c r="AG181" i="6"/>
  <c r="AG180" i="6"/>
  <c r="AG154" i="6"/>
  <c r="AH14" i="11" l="1"/>
  <c r="AH20" i="11"/>
  <c r="AN20" i="11" s="1"/>
  <c r="BD20" i="11" s="1"/>
  <c r="AH19" i="11"/>
  <c r="AH17" i="11"/>
  <c r="AH49" i="10"/>
  <c r="AH61" i="10"/>
  <c r="AH55" i="10"/>
  <c r="AN49" i="10" l="1"/>
  <c r="BD49" i="10" s="1"/>
  <c r="AJ49" i="10"/>
  <c r="AP49" i="10" s="1"/>
  <c r="AT49" i="10" s="1"/>
  <c r="AX49" i="10" s="1"/>
  <c r="BF49" i="10" s="1"/>
  <c r="AH38" i="11"/>
  <c r="AN14" i="11"/>
  <c r="BD14" i="11" s="1"/>
  <c r="AH67" i="10"/>
  <c r="AN67" i="10" s="1"/>
  <c r="BD67" i="10" s="1"/>
  <c r="AH73" i="10"/>
  <c r="AN73" i="10" s="1"/>
  <c r="BD73" i="10" s="1"/>
  <c r="AH98" i="10" l="1"/>
  <c r="AH94" i="10"/>
  <c r="AH50" i="11"/>
  <c r="AH112" i="10"/>
  <c r="AH111" i="10"/>
  <c r="AH110" i="10"/>
  <c r="AG55" i="36" l="1"/>
  <c r="AG54" i="36"/>
  <c r="AF53" i="36"/>
  <c r="AF19" i="36" s="1"/>
  <c r="AG52" i="36"/>
  <c r="AG51" i="36"/>
  <c r="AG47" i="36"/>
  <c r="AG33" i="36"/>
  <c r="AG23" i="36"/>
  <c r="AF23" i="36"/>
  <c r="AG22" i="36"/>
  <c r="AF22" i="36"/>
  <c r="AG21" i="36"/>
  <c r="AF21" i="36"/>
  <c r="AG16" i="36"/>
  <c r="AG18" i="36" s="1"/>
  <c r="AF13" i="36"/>
  <c r="AG12" i="36"/>
  <c r="AG11" i="36"/>
  <c r="AG10" i="36"/>
  <c r="AG5" i="36"/>
  <c r="AG13" i="36" l="1"/>
  <c r="AG53" i="36"/>
  <c r="AG19" i="36" s="1"/>
  <c r="AG93" i="9" l="1"/>
  <c r="AG92" i="9"/>
  <c r="AG90" i="9"/>
  <c r="AC90" i="9"/>
  <c r="AG60" i="9"/>
  <c r="AG45" i="48" s="1"/>
  <c r="AG41" i="9"/>
  <c r="AG29" i="9"/>
  <c r="AG20" i="9"/>
  <c r="AI146" i="9"/>
  <c r="AI145" i="9"/>
  <c r="AI144" i="9"/>
  <c r="AI143" i="9"/>
  <c r="AI142" i="9"/>
  <c r="AI141" i="9"/>
  <c r="AI140" i="9"/>
  <c r="AI139" i="9"/>
  <c r="AI138" i="9"/>
  <c r="AI137" i="9"/>
  <c r="AG134" i="9"/>
  <c r="AG135" i="9" s="1"/>
  <c r="AG129" i="9"/>
  <c r="AG128" i="9"/>
  <c r="AG94" i="9"/>
  <c r="AF90" i="9"/>
  <c r="AG89" i="9"/>
  <c r="AG88" i="9"/>
  <c r="AF87" i="9"/>
  <c r="AI85" i="9"/>
  <c r="AG85" i="9"/>
  <c r="AG83" i="9"/>
  <c r="AF70" i="9"/>
  <c r="AF66" i="9"/>
  <c r="AF65" i="9"/>
  <c r="AF64" i="9"/>
  <c r="AF63" i="9"/>
  <c r="AF62" i="9"/>
  <c r="AF61" i="9"/>
  <c r="AF60" i="9"/>
  <c r="AF59" i="9"/>
  <c r="AF57" i="9"/>
  <c r="AF56" i="9"/>
  <c r="AG55" i="9"/>
  <c r="AG42" i="48" s="1"/>
  <c r="AF53" i="9"/>
  <c r="AF45" i="9"/>
  <c r="AG38" i="9"/>
  <c r="AG46" i="9" s="1"/>
  <c r="AG37" i="9"/>
  <c r="AG36" i="9"/>
  <c r="AG33" i="9"/>
  <c r="AF29" i="9"/>
  <c r="AG27" i="9"/>
  <c r="AG28" i="9" s="1"/>
  <c r="AF26" i="9"/>
  <c r="AF24" i="9"/>
  <c r="AG21" i="9"/>
  <c r="AG10" i="9"/>
  <c r="AF7" i="9"/>
  <c r="AG14" i="9" l="1"/>
  <c r="AO137" i="9"/>
  <c r="AS137" i="9" s="1"/>
  <c r="AW137" i="9" s="1"/>
  <c r="AM137" i="9"/>
  <c r="AO141" i="9"/>
  <c r="AS141" i="9" s="1"/>
  <c r="AW141" i="9" s="1"/>
  <c r="AM141" i="9"/>
  <c r="AG44" i="9"/>
  <c r="AM41" i="9"/>
  <c r="AG91" i="9"/>
  <c r="AM90" i="9"/>
  <c r="AF27" i="9"/>
  <c r="AF82" i="9" s="1"/>
  <c r="AG95" i="9"/>
  <c r="AM138" i="9"/>
  <c r="AO138" i="9"/>
  <c r="AS138" i="9" s="1"/>
  <c r="AW138" i="9" s="1"/>
  <c r="AM142" i="9"/>
  <c r="AO142" i="9"/>
  <c r="AS142" i="9" s="1"/>
  <c r="AW142" i="9" s="1"/>
  <c r="AM146" i="9"/>
  <c r="AO146" i="9"/>
  <c r="AS146" i="9" s="1"/>
  <c r="AW146" i="9" s="1"/>
  <c r="AO139" i="9"/>
  <c r="AS139" i="9" s="1"/>
  <c r="AW139" i="9" s="1"/>
  <c r="AM139" i="9"/>
  <c r="AO143" i="9"/>
  <c r="AS143" i="9" s="1"/>
  <c r="AW143" i="9" s="1"/>
  <c r="AM143" i="9"/>
  <c r="AO145" i="9"/>
  <c r="AS145" i="9" s="1"/>
  <c r="AW145" i="9" s="1"/>
  <c r="AM145" i="9"/>
  <c r="AG84" i="9"/>
  <c r="AG86" i="9" s="1"/>
  <c r="AG45" i="9"/>
  <c r="AF55" i="9"/>
  <c r="AM140" i="9"/>
  <c r="AO140" i="9"/>
  <c r="AS140" i="9" s="1"/>
  <c r="AW140" i="9" s="1"/>
  <c r="AM144" i="9"/>
  <c r="AO144" i="9"/>
  <c r="AS144" i="9" s="1"/>
  <c r="AW144" i="9" s="1"/>
  <c r="AG39" i="9"/>
  <c r="AG47" i="9"/>
  <c r="AG74" i="9" s="1"/>
  <c r="AF28" i="9"/>
  <c r="AG130" i="9"/>
  <c r="AI16" i="39"/>
  <c r="AH16" i="39"/>
  <c r="BE143" i="9" l="1"/>
  <c r="BA143" i="9"/>
  <c r="BC143" i="9" s="1"/>
  <c r="BE141" i="9"/>
  <c r="BA141" i="9"/>
  <c r="BC141" i="9" s="1"/>
  <c r="BE144" i="9"/>
  <c r="BA144" i="9"/>
  <c r="BC144" i="9" s="1"/>
  <c r="BE142" i="9"/>
  <c r="BA142" i="9"/>
  <c r="BC142" i="9" s="1"/>
  <c r="AM44" i="9"/>
  <c r="BC41" i="9"/>
  <c r="BC44" i="9" s="1"/>
  <c r="BE139" i="9"/>
  <c r="BA139" i="9"/>
  <c r="BC139" i="9" s="1"/>
  <c r="BE137" i="9"/>
  <c r="BA137" i="9"/>
  <c r="BC137" i="9" s="1"/>
  <c r="BE145" i="9"/>
  <c r="BA145" i="9"/>
  <c r="BC145" i="9" s="1"/>
  <c r="BE140" i="9"/>
  <c r="BA140" i="9"/>
  <c r="BC140" i="9" s="1"/>
  <c r="BE146" i="9"/>
  <c r="BA146" i="9"/>
  <c r="BC146" i="9" s="1"/>
  <c r="BE138" i="9"/>
  <c r="BA138" i="9"/>
  <c r="BC138" i="9" s="1"/>
  <c r="AM91" i="9"/>
  <c r="BC90" i="9"/>
  <c r="BC91" i="9" s="1"/>
  <c r="AG80" i="9"/>
  <c r="AG70" i="9"/>
  <c r="AG79" i="9"/>
  <c r="AG77" i="9"/>
  <c r="AG51" i="9"/>
  <c r="AG73" i="9"/>
  <c r="AG76" i="9"/>
  <c r="AG78" i="9"/>
  <c r="AG50" i="9"/>
  <c r="AG81" i="9"/>
  <c r="AG71" i="9"/>
  <c r="AG69" i="9"/>
  <c r="AG68" i="9"/>
  <c r="AG72" i="9"/>
  <c r="AG75" i="9"/>
  <c r="AG131" i="9"/>
  <c r="B38" i="36"/>
  <c r="AG69" i="7" l="1"/>
  <c r="AG62" i="7"/>
  <c r="AF62" i="7"/>
  <c r="AG58" i="7"/>
  <c r="AG60" i="7" s="1"/>
  <c r="AF58" i="7"/>
  <c r="AF60" i="7" s="1"/>
  <c r="AG54" i="7"/>
  <c r="AG45" i="7" s="1"/>
  <c r="AF54" i="7"/>
  <c r="AF68" i="7" s="1"/>
  <c r="AG26" i="7"/>
  <c r="AG83" i="7" s="1"/>
  <c r="AG16" i="7"/>
  <c r="AG30" i="7" s="1"/>
  <c r="AF16" i="7"/>
  <c r="AG1" i="7"/>
  <c r="AF1" i="7"/>
  <c r="AG18" i="7" l="1"/>
  <c r="AF23" i="7"/>
  <c r="AF78" i="7" s="1"/>
  <c r="AF27" i="7"/>
  <c r="AF77" i="7" s="1"/>
  <c r="AF38" i="7"/>
  <c r="AF18" i="7"/>
  <c r="AF24" i="7"/>
  <c r="AF79" i="7" s="1"/>
  <c r="AF31" i="7"/>
  <c r="AF25" i="7"/>
  <c r="AF80" i="7" s="1"/>
  <c r="AF33" i="7"/>
  <c r="AF19" i="7"/>
  <c r="AF75" i="7" s="1"/>
  <c r="AF35" i="7"/>
  <c r="AF36" i="7"/>
  <c r="AF65" i="7" s="1"/>
  <c r="AF21" i="7"/>
  <c r="AF84" i="7" s="1"/>
  <c r="AF26" i="7"/>
  <c r="AF83" i="7" s="1"/>
  <c r="AF32" i="7"/>
  <c r="AF37" i="7"/>
  <c r="AG63" i="7"/>
  <c r="AG104" i="7"/>
  <c r="AG105" i="7" s="1"/>
  <c r="AG24" i="7"/>
  <c r="AG79" i="7" s="1"/>
  <c r="AG65" i="7"/>
  <c r="AG67" i="7"/>
  <c r="AG21" i="7"/>
  <c r="AG84" i="7" s="1"/>
  <c r="AG47" i="7"/>
  <c r="AG68" i="7"/>
  <c r="AG19" i="7"/>
  <c r="AG23" i="7"/>
  <c r="AG78" i="7" s="1"/>
  <c r="AG25" i="7"/>
  <c r="AG80" i="7" s="1"/>
  <c r="AG27" i="7"/>
  <c r="AG77" i="7" s="1"/>
  <c r="AG49" i="7"/>
  <c r="AG56" i="7"/>
  <c r="AG20" i="7"/>
  <c r="AG43" i="7"/>
  <c r="AF63" i="7"/>
  <c r="AF20" i="7"/>
  <c r="AF76" i="7" s="1"/>
  <c r="AF34" i="7"/>
  <c r="AF74" i="7"/>
  <c r="AG41" i="7"/>
  <c r="AG39" i="7"/>
  <c r="AG70" i="7"/>
  <c r="AG42" i="7"/>
  <c r="AG46" i="7"/>
  <c r="AG74" i="7"/>
  <c r="AG44" i="7"/>
  <c r="AG82" i="7" s="1"/>
  <c r="AG48" i="7"/>
  <c r="AF67" i="7"/>
  <c r="AF82" i="7" l="1"/>
  <c r="AG107" i="7"/>
  <c r="AG108" i="7" s="1"/>
  <c r="AG106" i="7"/>
  <c r="AG75" i="7"/>
  <c r="AG76" i="7"/>
  <c r="AG50" i="7"/>
  <c r="AG64" i="7"/>
  <c r="AG109" i="7" l="1"/>
  <c r="AG16" i="48"/>
  <c r="AG18" i="48" s="1"/>
  <c r="AG116" i="7"/>
  <c r="AG66" i="8" l="1"/>
  <c r="AG108" i="6" l="1"/>
  <c r="AG130" i="6" s="1"/>
  <c r="AG46" i="35"/>
  <c r="AG45" i="35"/>
  <c r="AG138" i="35"/>
  <c r="AM130" i="6" l="1"/>
  <c r="BC130" i="6" s="1"/>
  <c r="AI130" i="6"/>
  <c r="AM108" i="6"/>
  <c r="BC108" i="6" s="1"/>
  <c r="AG18" i="15"/>
  <c r="AF18" i="15"/>
  <c r="AG17" i="15"/>
  <c r="AG14" i="15"/>
  <c r="AG16" i="15" s="1"/>
  <c r="AF11" i="15"/>
  <c r="AG12" i="15"/>
  <c r="AG9" i="15"/>
  <c r="AF9" i="15"/>
  <c r="AG8" i="15"/>
  <c r="AF8" i="15"/>
  <c r="AG7" i="15"/>
  <c r="AF7" i="15"/>
  <c r="AG6" i="15"/>
  <c r="AF6" i="15"/>
  <c r="AG5" i="15"/>
  <c r="AF5" i="15"/>
  <c r="AO130" i="6" l="1"/>
  <c r="AS130" i="6" s="1"/>
  <c r="AW130" i="6" s="1"/>
  <c r="BE130" i="6" s="1"/>
  <c r="AM109" i="6"/>
  <c r="AG13" i="15"/>
  <c r="AF12" i="15"/>
  <c r="AF13" i="15" s="1"/>
  <c r="AG91" i="8"/>
  <c r="AG85" i="8"/>
  <c r="AI73" i="8"/>
  <c r="AG73" i="8"/>
  <c r="AF73" i="8"/>
  <c r="AG68" i="8"/>
  <c r="AG63" i="8"/>
  <c r="AG62" i="8"/>
  <c r="AG60" i="8"/>
  <c r="AF50" i="8"/>
  <c r="AG46" i="8"/>
  <c r="AF46" i="8"/>
  <c r="AF39" i="8"/>
  <c r="AF38" i="8"/>
  <c r="AF37" i="8"/>
  <c r="AG26" i="8"/>
  <c r="AG21" i="8"/>
  <c r="AF19" i="8"/>
  <c r="AG17" i="8"/>
  <c r="AG15" i="8"/>
  <c r="AG14" i="8"/>
  <c r="AG13" i="8"/>
  <c r="AF13" i="8"/>
  <c r="AG5" i="8"/>
  <c r="AF111" i="6"/>
  <c r="AI233" i="6"/>
  <c r="AG233" i="6"/>
  <c r="AI232" i="6"/>
  <c r="AG232" i="6"/>
  <c r="AI231" i="6"/>
  <c r="AG231" i="6"/>
  <c r="AG182" i="6"/>
  <c r="AG155" i="6"/>
  <c r="AG124" i="6"/>
  <c r="AF124" i="6"/>
  <c r="AG123" i="6"/>
  <c r="AF123" i="6"/>
  <c r="AG122" i="6"/>
  <c r="AF122" i="6"/>
  <c r="AG120" i="6"/>
  <c r="AF120" i="6"/>
  <c r="AG119" i="6"/>
  <c r="AF119" i="6"/>
  <c r="AG118" i="6"/>
  <c r="AF118" i="6"/>
  <c r="AG117" i="6"/>
  <c r="AF117" i="6"/>
  <c r="AG116" i="6"/>
  <c r="AF116" i="6"/>
  <c r="AG115" i="6"/>
  <c r="AF115" i="6"/>
  <c r="AG114" i="6"/>
  <c r="AF114" i="6"/>
  <c r="AG113" i="6"/>
  <c r="AF113" i="6"/>
  <c r="AG112" i="6"/>
  <c r="AF112" i="6"/>
  <c r="AG111" i="6"/>
  <c r="AG103" i="6"/>
  <c r="AF103" i="6"/>
  <c r="AG100" i="6"/>
  <c r="AF100" i="6"/>
  <c r="AG85" i="6"/>
  <c r="AF85" i="6"/>
  <c r="AG81" i="6"/>
  <c r="AF81" i="6"/>
  <c r="AH66" i="6"/>
  <c r="AF65" i="6"/>
  <c r="AF64" i="6"/>
  <c r="AF63" i="6"/>
  <c r="AF62" i="6"/>
  <c r="AF61" i="6"/>
  <c r="AG52" i="6"/>
  <c r="AF52" i="6"/>
  <c r="AG44" i="6"/>
  <c r="AF44" i="6"/>
  <c r="AG41" i="6"/>
  <c r="AF41" i="6"/>
  <c r="AF37" i="6"/>
  <c r="AG28" i="6"/>
  <c r="AG25" i="6"/>
  <c r="AG22" i="6"/>
  <c r="AG18" i="6"/>
  <c r="AG17" i="6"/>
  <c r="AF6" i="6"/>
  <c r="AF14" i="6" s="1"/>
  <c r="AF5" i="6"/>
  <c r="AF13" i="6" s="1"/>
  <c r="AG144" i="28"/>
  <c r="AG145" i="28" s="1"/>
  <c r="AF328" i="28"/>
  <c r="AF326" i="28"/>
  <c r="AG325" i="28"/>
  <c r="AG329" i="28" s="1"/>
  <c r="AG322" i="28"/>
  <c r="AG318" i="28"/>
  <c r="AF315" i="28"/>
  <c r="AF318" i="28" s="1"/>
  <c r="AF324" i="28" s="1"/>
  <c r="AG311" i="28"/>
  <c r="AG310" i="28"/>
  <c r="AG284" i="28"/>
  <c r="AG245" i="28"/>
  <c r="AG237" i="28"/>
  <c r="AG238" i="28" s="1"/>
  <c r="AG199" i="28"/>
  <c r="AG194" i="28"/>
  <c r="AG195" i="28" s="1"/>
  <c r="AG169" i="28"/>
  <c r="AG64" i="28"/>
  <c r="AG63" i="28"/>
  <c r="AG61" i="28"/>
  <c r="AG57" i="28"/>
  <c r="AG53" i="28"/>
  <c r="AG49" i="28"/>
  <c r="AG36" i="28"/>
  <c r="AG35" i="28"/>
  <c r="AG34" i="28"/>
  <c r="AG33" i="28"/>
  <c r="AG32" i="28"/>
  <c r="AF32" i="28"/>
  <c r="AG30" i="28"/>
  <c r="AG43" i="28" s="1"/>
  <c r="AF26" i="28"/>
  <c r="AF30" i="28" s="1"/>
  <c r="AF312" i="28" s="1"/>
  <c r="AG23" i="28"/>
  <c r="AG42" i="28" s="1"/>
  <c r="AF20" i="28"/>
  <c r="AF23" i="28" s="1"/>
  <c r="AF238" i="28" s="1"/>
  <c r="AG17" i="28"/>
  <c r="AG41" i="28" s="1"/>
  <c r="AF14" i="28"/>
  <c r="AF17" i="28" s="1"/>
  <c r="AF195" i="28" s="1"/>
  <c r="AG11" i="28"/>
  <c r="AG40" i="28" s="1"/>
  <c r="AF8" i="28"/>
  <c r="AF11" i="28" s="1"/>
  <c r="AL94" i="38"/>
  <c r="AL93" i="38"/>
  <c r="AL92" i="38"/>
  <c r="AL91" i="38"/>
  <c r="AK90" i="38"/>
  <c r="AL89" i="38"/>
  <c r="AK88" i="38"/>
  <c r="AL86" i="38"/>
  <c r="AL85" i="38"/>
  <c r="AL84" i="38"/>
  <c r="AL83" i="38"/>
  <c r="AK82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L68" i="38"/>
  <c r="AL67" i="38"/>
  <c r="AK66" i="38"/>
  <c r="AL62" i="38"/>
  <c r="AL61" i="38"/>
  <c r="AK60" i="38"/>
  <c r="AL59" i="38"/>
  <c r="AL58" i="38"/>
  <c r="AL57" i="38"/>
  <c r="AL56" i="38"/>
  <c r="AL55" i="38"/>
  <c r="AK54" i="38"/>
  <c r="AK52" i="38"/>
  <c r="AL51" i="38"/>
  <c r="AK51" i="38"/>
  <c r="AK46" i="38"/>
  <c r="AK45" i="38"/>
  <c r="AK44" i="38"/>
  <c r="AK43" i="38"/>
  <c r="AL42" i="38"/>
  <c r="AL90" i="38" s="1"/>
  <c r="AK41" i="38"/>
  <c r="AK40" i="38" s="1"/>
  <c r="AL40" i="38"/>
  <c r="AK38" i="38"/>
  <c r="AK37" i="38"/>
  <c r="AK36" i="38"/>
  <c r="AK35" i="38"/>
  <c r="AL34" i="38"/>
  <c r="AL82" i="38" s="1"/>
  <c r="AK32" i="38"/>
  <c r="AK31" i="38"/>
  <c r="AK30" i="38"/>
  <c r="AK29" i="38"/>
  <c r="AK28" i="38"/>
  <c r="AK27" i="38"/>
  <c r="AK26" i="38"/>
  <c r="AK25" i="38"/>
  <c r="AG108" i="10" s="1"/>
  <c r="AG109" i="10" s="1"/>
  <c r="AK24" i="38"/>
  <c r="AK23" i="38"/>
  <c r="AK22" i="38"/>
  <c r="AK21" i="38"/>
  <c r="AF69" i="7" s="1"/>
  <c r="AK20" i="38"/>
  <c r="AK19" i="38"/>
  <c r="AF182" i="6" s="1"/>
  <c r="AL18" i="38"/>
  <c r="AL66" i="38" s="1"/>
  <c r="AK14" i="38"/>
  <c r="AK13" i="38"/>
  <c r="AL12" i="38"/>
  <c r="AL60" i="38" s="1"/>
  <c r="AK11" i="38"/>
  <c r="AK10" i="38"/>
  <c r="AK9" i="38"/>
  <c r="AK8" i="38"/>
  <c r="AK7" i="38"/>
  <c r="AL6" i="38"/>
  <c r="AL54" i="38" s="1"/>
  <c r="AA48" i="45"/>
  <c r="K48" i="45"/>
  <c r="O48" i="45" s="1"/>
  <c r="S48" i="45" s="1"/>
  <c r="W48" i="45" s="1"/>
  <c r="AC48" i="45" s="1"/>
  <c r="AI79" i="45"/>
  <c r="AI80" i="45" s="1"/>
  <c r="AI77" i="45"/>
  <c r="AI75" i="45"/>
  <c r="AI69" i="45"/>
  <c r="AI70" i="45" s="1"/>
  <c r="AI60" i="45"/>
  <c r="AI58" i="45"/>
  <c r="AH58" i="45"/>
  <c r="AI56" i="45"/>
  <c r="AH56" i="45"/>
  <c r="AI53" i="45"/>
  <c r="AI54" i="45" s="1"/>
  <c r="AH53" i="45"/>
  <c r="AI65" i="45"/>
  <c r="AH46" i="45"/>
  <c r="AH49" i="45" s="1"/>
  <c r="AH65" i="11"/>
  <c r="AH63" i="11"/>
  <c r="AH57" i="11"/>
  <c r="AH58" i="11" s="1"/>
  <c r="AH48" i="11"/>
  <c r="AH46" i="11"/>
  <c r="AG46" i="11"/>
  <c r="AH44" i="11"/>
  <c r="AG44" i="11"/>
  <c r="AH41" i="11"/>
  <c r="AH42" i="11" s="1"/>
  <c r="AG41" i="11"/>
  <c r="AG42" i="11" s="1"/>
  <c r="AH36" i="11"/>
  <c r="AH59" i="11" s="1"/>
  <c r="AG34" i="11"/>
  <c r="AI29" i="11"/>
  <c r="AO29" i="11" s="1"/>
  <c r="AS29" i="11" s="1"/>
  <c r="AW29" i="11" s="1"/>
  <c r="BE29" i="11" s="1"/>
  <c r="AI23" i="11"/>
  <c r="AO23" i="11" s="1"/>
  <c r="AS23" i="11" s="1"/>
  <c r="AW23" i="11" s="1"/>
  <c r="BE23" i="11" s="1"/>
  <c r="AI21" i="11"/>
  <c r="AO21" i="11" s="1"/>
  <c r="AS21" i="11" s="1"/>
  <c r="AW21" i="11" s="1"/>
  <c r="BE21" i="11" s="1"/>
  <c r="AH34" i="11"/>
  <c r="AH53" i="11" s="1"/>
  <c r="AI13" i="11"/>
  <c r="AO13" i="11" s="1"/>
  <c r="AS13" i="11" s="1"/>
  <c r="AW13" i="11" s="1"/>
  <c r="BE13" i="11" s="1"/>
  <c r="AI11" i="11"/>
  <c r="AO11" i="11" s="1"/>
  <c r="AS11" i="11" s="1"/>
  <c r="AW11" i="11" s="1"/>
  <c r="BE11" i="11" s="1"/>
  <c r="AI8" i="11"/>
  <c r="AO8" i="11" s="1"/>
  <c r="AS8" i="11" s="1"/>
  <c r="AW8" i="11" s="1"/>
  <c r="BE8" i="11" s="1"/>
  <c r="AH125" i="10"/>
  <c r="AH123" i="10"/>
  <c r="AH117" i="10"/>
  <c r="AH118" i="10" s="1"/>
  <c r="AH108" i="10"/>
  <c r="AH106" i="10"/>
  <c r="AG106" i="10"/>
  <c r="AH104" i="10"/>
  <c r="AG104" i="10"/>
  <c r="AH101" i="10"/>
  <c r="AH102" i="10" s="1"/>
  <c r="AG101" i="10"/>
  <c r="AG102" i="10" s="1"/>
  <c r="AH96" i="10"/>
  <c r="AH119" i="10" s="1"/>
  <c r="AH97" i="10"/>
  <c r="AG94" i="10"/>
  <c r="AG97" i="10" s="1"/>
  <c r="AM163" i="6" l="1"/>
  <c r="BC109" i="6"/>
  <c r="AI76" i="45"/>
  <c r="AG86" i="45" s="1"/>
  <c r="AK87" i="38"/>
  <c r="AK64" i="38" s="1"/>
  <c r="AF94" i="9"/>
  <c r="AF95" i="9" s="1"/>
  <c r="AF16" i="8"/>
  <c r="AF40" i="8"/>
  <c r="AG72" i="8"/>
  <c r="AG312" i="28"/>
  <c r="AG86" i="6"/>
  <c r="AG91" i="6" s="1"/>
  <c r="AG138" i="6" s="1"/>
  <c r="AM161" i="6"/>
  <c r="AM164" i="6"/>
  <c r="AM160" i="6"/>
  <c r="AG80" i="8"/>
  <c r="AG127" i="9"/>
  <c r="AG43" i="8"/>
  <c r="AG86" i="8"/>
  <c r="AG42" i="8"/>
  <c r="AG37" i="11"/>
  <c r="AG53" i="11"/>
  <c r="AH64" i="11"/>
  <c r="AI49" i="45"/>
  <c r="AI51" i="45"/>
  <c r="AF125" i="6"/>
  <c r="AF66" i="6"/>
  <c r="AF67" i="6" s="1"/>
  <c r="AF155" i="6"/>
  <c r="AF156" i="6" s="1"/>
  <c r="AG48" i="11"/>
  <c r="AG49" i="11" s="1"/>
  <c r="AF70" i="7"/>
  <c r="AF85" i="8"/>
  <c r="AG71" i="8"/>
  <c r="AH126" i="10"/>
  <c r="AH99" i="10"/>
  <c r="AG33" i="8"/>
  <c r="AG64" i="8"/>
  <c r="AG41" i="8"/>
  <c r="AG35" i="8"/>
  <c r="AG37" i="8"/>
  <c r="AG38" i="8"/>
  <c r="AG39" i="8"/>
  <c r="AG44" i="8"/>
  <c r="AG47" i="8"/>
  <c r="AG76" i="8"/>
  <c r="AG136" i="6"/>
  <c r="AF104" i="6"/>
  <c r="AF109" i="6" s="1"/>
  <c r="AF121" i="6"/>
  <c r="AF151" i="6"/>
  <c r="AF26" i="6"/>
  <c r="AF15" i="6"/>
  <c r="AF59" i="6" s="1"/>
  <c r="AF23" i="6"/>
  <c r="AF20" i="6"/>
  <c r="AF17" i="6"/>
  <c r="AF177" i="6"/>
  <c r="AF24" i="6"/>
  <c r="AF27" i="6"/>
  <c r="AF21" i="6"/>
  <c r="AF18" i="6"/>
  <c r="AF12" i="6"/>
  <c r="AF86" i="6"/>
  <c r="AG121" i="6"/>
  <c r="AF7" i="6"/>
  <c r="AF11" i="6"/>
  <c r="AF183" i="6"/>
  <c r="AG29" i="6"/>
  <c r="AG30" i="6"/>
  <c r="AG241" i="6"/>
  <c r="AG50" i="8" s="1"/>
  <c r="AG19" i="6"/>
  <c r="AG125" i="6"/>
  <c r="AG104" i="6"/>
  <c r="AG109" i="6" s="1"/>
  <c r="AG37" i="28"/>
  <c r="AG38" i="28" s="1"/>
  <c r="AF42" i="28"/>
  <c r="AF55" i="28" s="1"/>
  <c r="AF145" i="28"/>
  <c r="AF40" i="28"/>
  <c r="AF329" i="28"/>
  <c r="AF33" i="28"/>
  <c r="AF37" i="28" s="1"/>
  <c r="AF41" i="28"/>
  <c r="AF43" i="28"/>
  <c r="AF320" i="28"/>
  <c r="AG65" i="28"/>
  <c r="AG66" i="28" s="1"/>
  <c r="AG44" i="28"/>
  <c r="AL39" i="38"/>
  <c r="AL87" i="38" s="1"/>
  <c r="AK34" i="38"/>
  <c r="AK12" i="38"/>
  <c r="AK63" i="38"/>
  <c r="AH60" i="45"/>
  <c r="AK6" i="38"/>
  <c r="AK42" i="38"/>
  <c r="AK18" i="38"/>
  <c r="AL15" i="38"/>
  <c r="AL17" i="38"/>
  <c r="AL88" i="38"/>
  <c r="AI61" i="45"/>
  <c r="AH54" i="45"/>
  <c r="AH65" i="45"/>
  <c r="AH37" i="11"/>
  <c r="AH35" i="11"/>
  <c r="AH66" i="11"/>
  <c r="AH39" i="11"/>
  <c r="AH67" i="11"/>
  <c r="AH49" i="11"/>
  <c r="AH124" i="10"/>
  <c r="AH109" i="10"/>
  <c r="AG113" i="10"/>
  <c r="AH95" i="10"/>
  <c r="AH113" i="10"/>
  <c r="AH127" i="10"/>
  <c r="AH128" i="10" s="1"/>
  <c r="AG32" i="35"/>
  <c r="AM32" i="35" s="1"/>
  <c r="AF18" i="35"/>
  <c r="AF17" i="35"/>
  <c r="AF16" i="35"/>
  <c r="AL16" i="35" s="1"/>
  <c r="BB16" i="35" s="1"/>
  <c r="AG36" i="21"/>
  <c r="AF34" i="21"/>
  <c r="AG32" i="21"/>
  <c r="AG28" i="21"/>
  <c r="AF28" i="21"/>
  <c r="AG23" i="21"/>
  <c r="AG24" i="21" s="1"/>
  <c r="AG17" i="21"/>
  <c r="AG14" i="21"/>
  <c r="AG12" i="21"/>
  <c r="AF12" i="21"/>
  <c r="AF21" i="21" s="1"/>
  <c r="AG59" i="35"/>
  <c r="AF110" i="35"/>
  <c r="AG107" i="35"/>
  <c r="AF107" i="35"/>
  <c r="AF75" i="35" s="1"/>
  <c r="AF74" i="35"/>
  <c r="AF71" i="35"/>
  <c r="AF68" i="35"/>
  <c r="AG58" i="35"/>
  <c r="AF58" i="35"/>
  <c r="AF59" i="35" s="1"/>
  <c r="AG55" i="35"/>
  <c r="AG54" i="35"/>
  <c r="AF54" i="35"/>
  <c r="AG51" i="35"/>
  <c r="AG50" i="35"/>
  <c r="AF50" i="35"/>
  <c r="AF40" i="35"/>
  <c r="AF39" i="35"/>
  <c r="AF37" i="35"/>
  <c r="AG34" i="35"/>
  <c r="AG43" i="35" s="1"/>
  <c r="AG44" i="35" s="1"/>
  <c r="AF34" i="35"/>
  <c r="AF43" i="35" s="1"/>
  <c r="AG31" i="35"/>
  <c r="AF31" i="35"/>
  <c r="AG24" i="35"/>
  <c r="AG34" i="36" s="1"/>
  <c r="AG35" i="36" s="1"/>
  <c r="AG36" i="36" s="1"/>
  <c r="AG39" i="36" s="1"/>
  <c r="AG30" i="36" s="1"/>
  <c r="AF24" i="35"/>
  <c r="AF34" i="36" s="1"/>
  <c r="AF35" i="36" s="1"/>
  <c r="AG19" i="35"/>
  <c r="AF19" i="35"/>
  <c r="AG15" i="35"/>
  <c r="AF15" i="35"/>
  <c r="AG11" i="35"/>
  <c r="AF10" i="35"/>
  <c r="AF5" i="36" s="1"/>
  <c r="AF9" i="35"/>
  <c r="AF8" i="35"/>
  <c r="AG7" i="35"/>
  <c r="AG6" i="35"/>
  <c r="AM34" i="35" l="1"/>
  <c r="BC34" i="35" s="1"/>
  <c r="BC32" i="35"/>
  <c r="BC160" i="6"/>
  <c r="BC161" i="6"/>
  <c r="BC163" i="6"/>
  <c r="AH70" i="11"/>
  <c r="AI82" i="45"/>
  <c r="AF126" i="6"/>
  <c r="AF131" i="6" s="1"/>
  <c r="AL18" i="35"/>
  <c r="BB18" i="35" s="1"/>
  <c r="AG33" i="22"/>
  <c r="AF45" i="36"/>
  <c r="AF47" i="36" s="1"/>
  <c r="AF16" i="36"/>
  <c r="AF83" i="9" s="1"/>
  <c r="AF49" i="36"/>
  <c r="AF48" i="36"/>
  <c r="AF33" i="36"/>
  <c r="AF44" i="36" s="1"/>
  <c r="AF17" i="36" s="1"/>
  <c r="AF17" i="15"/>
  <c r="AF14" i="15" s="1"/>
  <c r="AF15" i="15" s="1"/>
  <c r="AM43" i="35"/>
  <c r="AM35" i="35"/>
  <c r="BC35" i="35" s="1"/>
  <c r="AG6" i="6"/>
  <c r="AG8" i="35"/>
  <c r="AG5" i="6"/>
  <c r="AL17" i="35"/>
  <c r="AF5" i="8"/>
  <c r="AG48" i="8"/>
  <c r="AG5" i="26"/>
  <c r="AH130" i="10"/>
  <c r="AF164" i="6"/>
  <c r="AF163" i="6"/>
  <c r="AM162" i="6"/>
  <c r="AM8" i="36" s="1"/>
  <c r="AG135" i="6"/>
  <c r="AG137" i="6" s="1"/>
  <c r="AG7" i="36" s="1"/>
  <c r="AF91" i="6"/>
  <c r="AF138" i="6" s="1"/>
  <c r="AG132" i="9"/>
  <c r="AF56" i="6"/>
  <c r="AF160" i="6"/>
  <c r="AF161" i="6"/>
  <c r="AK39" i="38"/>
  <c r="AG70" i="8"/>
  <c r="AG69" i="8"/>
  <c r="AG34" i="8"/>
  <c r="AG40" i="8"/>
  <c r="AF19" i="6"/>
  <c r="AF29" i="6"/>
  <c r="AG31" i="6"/>
  <c r="AF30" i="6"/>
  <c r="AF22" i="6"/>
  <c r="AF28" i="6"/>
  <c r="AG164" i="6"/>
  <c r="AF25" i="6"/>
  <c r="AG126" i="6"/>
  <c r="AF59" i="28"/>
  <c r="AF51" i="28"/>
  <c r="AF47" i="28"/>
  <c r="AF44" i="28"/>
  <c r="AK15" i="38"/>
  <c r="AH61" i="45"/>
  <c r="AK17" i="38"/>
  <c r="AL16" i="38"/>
  <c r="AL65" i="38"/>
  <c r="AL63" i="38"/>
  <c r="AG60" i="35"/>
  <c r="AH68" i="11"/>
  <c r="AG63" i="35"/>
  <c r="AF14" i="21"/>
  <c r="AG19" i="21"/>
  <c r="AG62" i="35"/>
  <c r="AF35" i="35"/>
  <c r="AF62" i="35"/>
  <c r="AF11" i="35"/>
  <c r="AF44" i="35"/>
  <c r="AF60" i="35"/>
  <c r="AG35" i="35"/>
  <c r="AG56" i="35"/>
  <c r="AG52" i="35"/>
  <c r="AF51" i="35"/>
  <c r="AF52" i="35" s="1"/>
  <c r="AF55" i="35"/>
  <c r="I69" i="28"/>
  <c r="I70" i="28"/>
  <c r="I72" i="28"/>
  <c r="I74" i="28"/>
  <c r="I76" i="28"/>
  <c r="I77" i="28"/>
  <c r="I80" i="28"/>
  <c r="I81" i="28"/>
  <c r="I85" i="28"/>
  <c r="I86" i="28"/>
  <c r="I87" i="28"/>
  <c r="I88" i="28"/>
  <c r="I89" i="28"/>
  <c r="I90" i="28"/>
  <c r="I91" i="28"/>
  <c r="I92" i="28"/>
  <c r="I95" i="28"/>
  <c r="I100" i="28"/>
  <c r="I101" i="28"/>
  <c r="I102" i="28"/>
  <c r="I103" i="28"/>
  <c r="I104" i="28"/>
  <c r="I105" i="28"/>
  <c r="I106" i="28"/>
  <c r="I107" i="28"/>
  <c r="I108" i="28"/>
  <c r="I110" i="28"/>
  <c r="I113" i="28"/>
  <c r="M113" i="28" s="1"/>
  <c r="Q113" i="28" s="1"/>
  <c r="U113" i="28" s="1"/>
  <c r="AA113" i="28" s="1"/>
  <c r="AE113" i="28" s="1"/>
  <c r="AI113" i="28" s="1"/>
  <c r="AO113" i="28" s="1"/>
  <c r="AS113" i="28" s="1"/>
  <c r="AW113" i="28" s="1"/>
  <c r="BE113" i="28" s="1"/>
  <c r="I115" i="28"/>
  <c r="M115" i="28" s="1"/>
  <c r="Q115" i="28" s="1"/>
  <c r="U115" i="28" s="1"/>
  <c r="AA115" i="28" s="1"/>
  <c r="AE115" i="28" s="1"/>
  <c r="AI115" i="28" s="1"/>
  <c r="AO115" i="28" s="1"/>
  <c r="AS115" i="28" s="1"/>
  <c r="AW115" i="28" s="1"/>
  <c r="BE115" i="28" s="1"/>
  <c r="I116" i="28"/>
  <c r="M116" i="28" s="1"/>
  <c r="Q116" i="28" s="1"/>
  <c r="U116" i="28" s="1"/>
  <c r="AA116" i="28" s="1"/>
  <c r="AE116" i="28" s="1"/>
  <c r="AI116" i="28" s="1"/>
  <c r="AO116" i="28" s="1"/>
  <c r="AS116" i="28" s="1"/>
  <c r="AW116" i="28" s="1"/>
  <c r="BE116" i="28" s="1"/>
  <c r="I117" i="28"/>
  <c r="M117" i="28" s="1"/>
  <c r="Q117" i="28" s="1"/>
  <c r="U117" i="28" s="1"/>
  <c r="AA117" i="28" s="1"/>
  <c r="AE117" i="28" s="1"/>
  <c r="AI117" i="28" s="1"/>
  <c r="AO117" i="28" s="1"/>
  <c r="AS117" i="28" s="1"/>
  <c r="AW117" i="28" s="1"/>
  <c r="BE117" i="28" s="1"/>
  <c r="I118" i="28"/>
  <c r="M118" i="28" s="1"/>
  <c r="Q118" i="28" s="1"/>
  <c r="U118" i="28" s="1"/>
  <c r="AA118" i="28" s="1"/>
  <c r="AE118" i="28" s="1"/>
  <c r="AI118" i="28" s="1"/>
  <c r="AO118" i="28" s="1"/>
  <c r="AS118" i="28" s="1"/>
  <c r="AW118" i="28" s="1"/>
  <c r="BE118" i="28" s="1"/>
  <c r="I119" i="28"/>
  <c r="M119" i="28" s="1"/>
  <c r="Q119" i="28" s="1"/>
  <c r="U119" i="28" s="1"/>
  <c r="AA119" i="28" s="1"/>
  <c r="AE119" i="28" s="1"/>
  <c r="AI119" i="28" s="1"/>
  <c r="AO119" i="28" s="1"/>
  <c r="AS119" i="28" s="1"/>
  <c r="AW119" i="28" s="1"/>
  <c r="BE119" i="28" s="1"/>
  <c r="I120" i="28"/>
  <c r="M120" i="28" s="1"/>
  <c r="Q120" i="28" s="1"/>
  <c r="U120" i="28" s="1"/>
  <c r="AA120" i="28" s="1"/>
  <c r="AE120" i="28" s="1"/>
  <c r="AI120" i="28" s="1"/>
  <c r="AO120" i="28" s="1"/>
  <c r="AS120" i="28" s="1"/>
  <c r="AW120" i="28" s="1"/>
  <c r="BE120" i="28" s="1"/>
  <c r="I122" i="28"/>
  <c r="M122" i="28" s="1"/>
  <c r="Q122" i="28" s="1"/>
  <c r="U122" i="28" s="1"/>
  <c r="AA122" i="28" s="1"/>
  <c r="AE122" i="28" s="1"/>
  <c r="AI122" i="28" s="1"/>
  <c r="AO122" i="28" s="1"/>
  <c r="AS122" i="28" s="1"/>
  <c r="AW122" i="28" s="1"/>
  <c r="BE122" i="28" s="1"/>
  <c r="I124" i="28"/>
  <c r="M124" i="28" s="1"/>
  <c r="Q124" i="28" s="1"/>
  <c r="U124" i="28" s="1"/>
  <c r="AA124" i="28" s="1"/>
  <c r="AE124" i="28" s="1"/>
  <c r="AI124" i="28" s="1"/>
  <c r="AO124" i="28" s="1"/>
  <c r="AS124" i="28" s="1"/>
  <c r="AW124" i="28" s="1"/>
  <c r="BE124" i="28" s="1"/>
  <c r="I125" i="28"/>
  <c r="M125" i="28" s="1"/>
  <c r="Q125" i="28" s="1"/>
  <c r="U125" i="28" s="1"/>
  <c r="AA125" i="28" s="1"/>
  <c r="AE125" i="28" s="1"/>
  <c r="AI125" i="28" s="1"/>
  <c r="AO125" i="28" s="1"/>
  <c r="AS125" i="28" s="1"/>
  <c r="AW125" i="28" s="1"/>
  <c r="BE125" i="28" s="1"/>
  <c r="I126" i="28"/>
  <c r="M126" i="28" s="1"/>
  <c r="Q126" i="28" s="1"/>
  <c r="U126" i="28" s="1"/>
  <c r="AA126" i="28" s="1"/>
  <c r="AE126" i="28" s="1"/>
  <c r="AI126" i="28" s="1"/>
  <c r="AO126" i="28" s="1"/>
  <c r="AS126" i="28" s="1"/>
  <c r="AW126" i="28" s="1"/>
  <c r="BE126" i="28" s="1"/>
  <c r="I127" i="28"/>
  <c r="M127" i="28" s="1"/>
  <c r="Q127" i="28" s="1"/>
  <c r="U127" i="28" s="1"/>
  <c r="AA127" i="28" s="1"/>
  <c r="AE127" i="28" s="1"/>
  <c r="AI127" i="28" s="1"/>
  <c r="AO127" i="28" s="1"/>
  <c r="AS127" i="28" s="1"/>
  <c r="AW127" i="28" s="1"/>
  <c r="BE127" i="28" s="1"/>
  <c r="I128" i="28"/>
  <c r="M128" i="28" s="1"/>
  <c r="Q128" i="28" s="1"/>
  <c r="U128" i="28" s="1"/>
  <c r="AA128" i="28" s="1"/>
  <c r="AE128" i="28" s="1"/>
  <c r="AI128" i="28" s="1"/>
  <c r="AO128" i="28" s="1"/>
  <c r="AS128" i="28" s="1"/>
  <c r="AW128" i="28" s="1"/>
  <c r="BE128" i="28" s="1"/>
  <c r="I129" i="28"/>
  <c r="M129" i="28" s="1"/>
  <c r="Q129" i="28" s="1"/>
  <c r="U129" i="28" s="1"/>
  <c r="AA129" i="28" s="1"/>
  <c r="AE129" i="28" s="1"/>
  <c r="AI129" i="28" s="1"/>
  <c r="AO129" i="28" s="1"/>
  <c r="AS129" i="28" s="1"/>
  <c r="AW129" i="28" s="1"/>
  <c r="BE129" i="28" s="1"/>
  <c r="I130" i="28"/>
  <c r="M130" i="28" s="1"/>
  <c r="Q130" i="28" s="1"/>
  <c r="U130" i="28" s="1"/>
  <c r="AA130" i="28" s="1"/>
  <c r="AE130" i="28" s="1"/>
  <c r="AI130" i="28" s="1"/>
  <c r="AO130" i="28" s="1"/>
  <c r="AS130" i="28" s="1"/>
  <c r="AW130" i="28" s="1"/>
  <c r="BE130" i="28" s="1"/>
  <c r="I131" i="28"/>
  <c r="M131" i="28" s="1"/>
  <c r="Q131" i="28" s="1"/>
  <c r="U131" i="28" s="1"/>
  <c r="AA131" i="28" s="1"/>
  <c r="AE131" i="28" s="1"/>
  <c r="AI131" i="28" s="1"/>
  <c r="AO131" i="28" s="1"/>
  <c r="AS131" i="28" s="1"/>
  <c r="AW131" i="28" s="1"/>
  <c r="BE131" i="28" s="1"/>
  <c r="I133" i="28"/>
  <c r="M133" i="28" s="1"/>
  <c r="Q133" i="28" s="1"/>
  <c r="U133" i="28" s="1"/>
  <c r="AA133" i="28" s="1"/>
  <c r="AE133" i="28" s="1"/>
  <c r="AI133" i="28" s="1"/>
  <c r="AO133" i="28" s="1"/>
  <c r="AS133" i="28" s="1"/>
  <c r="AW133" i="28" s="1"/>
  <c r="BE133" i="28" s="1"/>
  <c r="I135" i="28"/>
  <c r="M135" i="28" s="1"/>
  <c r="Q135" i="28" s="1"/>
  <c r="U135" i="28" s="1"/>
  <c r="AA135" i="28" s="1"/>
  <c r="AE135" i="28" s="1"/>
  <c r="AI135" i="28" s="1"/>
  <c r="AO135" i="28" s="1"/>
  <c r="AS135" i="28" s="1"/>
  <c r="AW135" i="28" s="1"/>
  <c r="BE135" i="28" s="1"/>
  <c r="I136" i="28"/>
  <c r="M136" i="28" s="1"/>
  <c r="Q136" i="28" s="1"/>
  <c r="U136" i="28" s="1"/>
  <c r="I137" i="28"/>
  <c r="M137" i="28" s="1"/>
  <c r="Q137" i="28" s="1"/>
  <c r="U137" i="28" s="1"/>
  <c r="AA137" i="28" s="1"/>
  <c r="AE137" i="28" s="1"/>
  <c r="AI137" i="28" s="1"/>
  <c r="AO137" i="28" s="1"/>
  <c r="AS137" i="28" s="1"/>
  <c r="AW137" i="28" s="1"/>
  <c r="BE137" i="28" s="1"/>
  <c r="I138" i="28"/>
  <c r="M138" i="28" s="1"/>
  <c r="Q138" i="28" s="1"/>
  <c r="U138" i="28" s="1"/>
  <c r="AA138" i="28" s="1"/>
  <c r="I139" i="28"/>
  <c r="M139" i="28" s="1"/>
  <c r="Q139" i="28" s="1"/>
  <c r="U139" i="28" s="1"/>
  <c r="AA139" i="28" s="1"/>
  <c r="I140" i="28"/>
  <c r="M140" i="28" s="1"/>
  <c r="Q140" i="28" s="1"/>
  <c r="U140" i="28" s="1"/>
  <c r="AA140" i="28" s="1"/>
  <c r="I142" i="28"/>
  <c r="M142" i="28" s="1"/>
  <c r="Q142" i="28" s="1"/>
  <c r="U142" i="28" s="1"/>
  <c r="AA142" i="28" s="1"/>
  <c r="I143" i="28"/>
  <c r="M143" i="28" s="1"/>
  <c r="Q143" i="28" s="1"/>
  <c r="U143" i="28" s="1"/>
  <c r="AA143" i="28" s="1"/>
  <c r="M69" i="28"/>
  <c r="Q69" i="28" s="1"/>
  <c r="U69" i="28" s="1"/>
  <c r="AA69" i="28" s="1"/>
  <c r="AE69" i="28" s="1"/>
  <c r="AI69" i="28" s="1"/>
  <c r="AO69" i="28" s="1"/>
  <c r="AS69" i="28" s="1"/>
  <c r="AW69" i="28" s="1"/>
  <c r="BE69" i="28" s="1"/>
  <c r="M70" i="28"/>
  <c r="Q70" i="28" s="1"/>
  <c r="U70" i="28" s="1"/>
  <c r="AA70" i="28" s="1"/>
  <c r="AE70" i="28" s="1"/>
  <c r="AI70" i="28" s="1"/>
  <c r="AO70" i="28" s="1"/>
  <c r="AS70" i="28" s="1"/>
  <c r="AW70" i="28" s="1"/>
  <c r="BE70" i="28" s="1"/>
  <c r="M72" i="28"/>
  <c r="Q72" i="28" s="1"/>
  <c r="U72" i="28" s="1"/>
  <c r="AA72" i="28" s="1"/>
  <c r="AE72" i="28" s="1"/>
  <c r="AI72" i="28" s="1"/>
  <c r="AO72" i="28" s="1"/>
  <c r="AS72" i="28" s="1"/>
  <c r="AW72" i="28" s="1"/>
  <c r="BE72" i="28" s="1"/>
  <c r="M74" i="28"/>
  <c r="Q74" i="28" s="1"/>
  <c r="U74" i="28" s="1"/>
  <c r="AA74" i="28" s="1"/>
  <c r="AE74" i="28" s="1"/>
  <c r="AI74" i="28" s="1"/>
  <c r="AO74" i="28" s="1"/>
  <c r="AS74" i="28" s="1"/>
  <c r="AW74" i="28" s="1"/>
  <c r="BE74" i="28" s="1"/>
  <c r="M76" i="28"/>
  <c r="Q76" i="28" s="1"/>
  <c r="U76" i="28" s="1"/>
  <c r="AA76" i="28" s="1"/>
  <c r="AE76" i="28" s="1"/>
  <c r="AI76" i="28" s="1"/>
  <c r="AO76" i="28" s="1"/>
  <c r="AS76" i="28" s="1"/>
  <c r="AW76" i="28" s="1"/>
  <c r="BE76" i="28" s="1"/>
  <c r="M77" i="28"/>
  <c r="Q77" i="28" s="1"/>
  <c r="U77" i="28" s="1"/>
  <c r="AA77" i="28" s="1"/>
  <c r="AE77" i="28" s="1"/>
  <c r="AI77" i="28" s="1"/>
  <c r="AO77" i="28" s="1"/>
  <c r="AS77" i="28" s="1"/>
  <c r="AW77" i="28" s="1"/>
  <c r="BE77" i="28" s="1"/>
  <c r="M80" i="28"/>
  <c r="Q80" i="28" s="1"/>
  <c r="U80" i="28" s="1"/>
  <c r="AA80" i="28" s="1"/>
  <c r="AE80" i="28" s="1"/>
  <c r="AI80" i="28" s="1"/>
  <c r="AO80" i="28" s="1"/>
  <c r="AS80" i="28" s="1"/>
  <c r="AW80" i="28" s="1"/>
  <c r="BE80" i="28" s="1"/>
  <c r="M81" i="28"/>
  <c r="Q81" i="28" s="1"/>
  <c r="U81" i="28" s="1"/>
  <c r="AA81" i="28" s="1"/>
  <c r="AE81" i="28" s="1"/>
  <c r="AI81" i="28" s="1"/>
  <c r="AO81" i="28" s="1"/>
  <c r="AS81" i="28" s="1"/>
  <c r="AW81" i="28" s="1"/>
  <c r="BE81" i="28" s="1"/>
  <c r="M85" i="28"/>
  <c r="Q85" i="28" s="1"/>
  <c r="U85" i="28" s="1"/>
  <c r="AA85" i="28" s="1"/>
  <c r="AE85" i="28" s="1"/>
  <c r="AI85" i="28" s="1"/>
  <c r="AO85" i="28" s="1"/>
  <c r="AS85" i="28" s="1"/>
  <c r="AW85" i="28" s="1"/>
  <c r="BE85" i="28" s="1"/>
  <c r="M86" i="28"/>
  <c r="Q86" i="28" s="1"/>
  <c r="U86" i="28" s="1"/>
  <c r="AA86" i="28" s="1"/>
  <c r="AE86" i="28" s="1"/>
  <c r="AI86" i="28" s="1"/>
  <c r="AO86" i="28" s="1"/>
  <c r="AS86" i="28" s="1"/>
  <c r="AW86" i="28" s="1"/>
  <c r="BE86" i="28" s="1"/>
  <c r="M87" i="28"/>
  <c r="Q87" i="28" s="1"/>
  <c r="U87" i="28" s="1"/>
  <c r="AA87" i="28" s="1"/>
  <c r="AE87" i="28" s="1"/>
  <c r="AI87" i="28" s="1"/>
  <c r="AO87" i="28" s="1"/>
  <c r="AS87" i="28" s="1"/>
  <c r="AW87" i="28" s="1"/>
  <c r="BE87" i="28" s="1"/>
  <c r="M88" i="28"/>
  <c r="Q88" i="28" s="1"/>
  <c r="U88" i="28" s="1"/>
  <c r="AA88" i="28" s="1"/>
  <c r="AE88" i="28" s="1"/>
  <c r="AI88" i="28" s="1"/>
  <c r="AO88" i="28" s="1"/>
  <c r="AS88" i="28" s="1"/>
  <c r="AW88" i="28" s="1"/>
  <c r="BE88" i="28" s="1"/>
  <c r="M89" i="28"/>
  <c r="Q89" i="28" s="1"/>
  <c r="U89" i="28" s="1"/>
  <c r="AA89" i="28" s="1"/>
  <c r="AE89" i="28" s="1"/>
  <c r="AI89" i="28" s="1"/>
  <c r="AO89" i="28" s="1"/>
  <c r="AS89" i="28" s="1"/>
  <c r="AW89" i="28" s="1"/>
  <c r="BE89" i="28" s="1"/>
  <c r="M90" i="28"/>
  <c r="Q90" i="28" s="1"/>
  <c r="U90" i="28" s="1"/>
  <c r="AA90" i="28" s="1"/>
  <c r="AE90" i="28" s="1"/>
  <c r="AI90" i="28" s="1"/>
  <c r="AO90" i="28" s="1"/>
  <c r="AS90" i="28" s="1"/>
  <c r="AW90" i="28" s="1"/>
  <c r="BE90" i="28" s="1"/>
  <c r="M91" i="28"/>
  <c r="Q91" i="28" s="1"/>
  <c r="U91" i="28" s="1"/>
  <c r="AA91" i="28" s="1"/>
  <c r="AE91" i="28" s="1"/>
  <c r="AI91" i="28" s="1"/>
  <c r="AO91" i="28" s="1"/>
  <c r="AS91" i="28" s="1"/>
  <c r="AW91" i="28" s="1"/>
  <c r="BE91" i="28" s="1"/>
  <c r="M92" i="28"/>
  <c r="Q92" i="28" s="1"/>
  <c r="U92" i="28" s="1"/>
  <c r="AA92" i="28" s="1"/>
  <c r="AE92" i="28" s="1"/>
  <c r="AI92" i="28" s="1"/>
  <c r="AO92" i="28" s="1"/>
  <c r="AS92" i="28" s="1"/>
  <c r="AW92" i="28" s="1"/>
  <c r="BE92" i="28" s="1"/>
  <c r="M95" i="28"/>
  <c r="Q95" i="28" s="1"/>
  <c r="U95" i="28" s="1"/>
  <c r="AA95" i="28" s="1"/>
  <c r="AE95" i="28" s="1"/>
  <c r="AI95" i="28" s="1"/>
  <c r="AO95" i="28" s="1"/>
  <c r="AS95" i="28" s="1"/>
  <c r="AW95" i="28" s="1"/>
  <c r="BE95" i="28" s="1"/>
  <c r="M100" i="28"/>
  <c r="Q100" i="28" s="1"/>
  <c r="U100" i="28" s="1"/>
  <c r="AA100" i="28" s="1"/>
  <c r="AE100" i="28" s="1"/>
  <c r="AI100" i="28" s="1"/>
  <c r="AO100" i="28" s="1"/>
  <c r="AS100" i="28" s="1"/>
  <c r="AW100" i="28" s="1"/>
  <c r="BE100" i="28" s="1"/>
  <c r="M101" i="28"/>
  <c r="Q101" i="28" s="1"/>
  <c r="U101" i="28" s="1"/>
  <c r="AA101" i="28" s="1"/>
  <c r="AE101" i="28" s="1"/>
  <c r="AI101" i="28" s="1"/>
  <c r="AO101" i="28" s="1"/>
  <c r="AS101" i="28" s="1"/>
  <c r="AW101" i="28" s="1"/>
  <c r="BE101" i="28" s="1"/>
  <c r="M102" i="28"/>
  <c r="Q102" i="28" s="1"/>
  <c r="U102" i="28" s="1"/>
  <c r="AA102" i="28" s="1"/>
  <c r="AE102" i="28" s="1"/>
  <c r="AI102" i="28" s="1"/>
  <c r="AO102" i="28" s="1"/>
  <c r="AS102" i="28" s="1"/>
  <c r="AW102" i="28" s="1"/>
  <c r="BE102" i="28" s="1"/>
  <c r="M103" i="28"/>
  <c r="Q103" i="28" s="1"/>
  <c r="U103" i="28" s="1"/>
  <c r="AA103" i="28" s="1"/>
  <c r="AE103" i="28" s="1"/>
  <c r="AI103" i="28" s="1"/>
  <c r="AO103" i="28" s="1"/>
  <c r="AS103" i="28" s="1"/>
  <c r="AW103" i="28" s="1"/>
  <c r="BE103" i="28" s="1"/>
  <c r="M104" i="28"/>
  <c r="Q104" i="28" s="1"/>
  <c r="U104" i="28" s="1"/>
  <c r="AA104" i="28" s="1"/>
  <c r="AE104" i="28" s="1"/>
  <c r="AI104" i="28" s="1"/>
  <c r="AO104" i="28" s="1"/>
  <c r="AS104" i="28" s="1"/>
  <c r="AW104" i="28" s="1"/>
  <c r="BE104" i="28" s="1"/>
  <c r="M105" i="28"/>
  <c r="Q105" i="28" s="1"/>
  <c r="U105" i="28" s="1"/>
  <c r="M106" i="28"/>
  <c r="Q106" i="28" s="1"/>
  <c r="U106" i="28" s="1"/>
  <c r="AA106" i="28" s="1"/>
  <c r="AE106" i="28" s="1"/>
  <c r="AI106" i="28" s="1"/>
  <c r="AO106" i="28" s="1"/>
  <c r="AS106" i="28" s="1"/>
  <c r="AW106" i="28" s="1"/>
  <c r="BE106" i="28" s="1"/>
  <c r="M107" i="28"/>
  <c r="Q107" i="28" s="1"/>
  <c r="U107" i="28" s="1"/>
  <c r="AA107" i="28" s="1"/>
  <c r="AE107" i="28" s="1"/>
  <c r="AI107" i="28" s="1"/>
  <c r="AO107" i="28" s="1"/>
  <c r="AS107" i="28" s="1"/>
  <c r="AW107" i="28" s="1"/>
  <c r="BE107" i="28" s="1"/>
  <c r="M108" i="28"/>
  <c r="Q108" i="28" s="1"/>
  <c r="U108" i="28" s="1"/>
  <c r="AA108" i="28" s="1"/>
  <c r="AE108" i="28" s="1"/>
  <c r="AI108" i="28" s="1"/>
  <c r="AO108" i="28" s="1"/>
  <c r="AS108" i="28" s="1"/>
  <c r="AW108" i="28" s="1"/>
  <c r="BE108" i="28" s="1"/>
  <c r="M110" i="28"/>
  <c r="Q110" i="28" s="1"/>
  <c r="U110" i="28" s="1"/>
  <c r="AA110" i="28" s="1"/>
  <c r="AE110" i="28" s="1"/>
  <c r="AI110" i="28" s="1"/>
  <c r="AO110" i="28" s="1"/>
  <c r="AS110" i="28" s="1"/>
  <c r="AW110" i="28" s="1"/>
  <c r="BE110" i="28" s="1"/>
  <c r="Y69" i="28"/>
  <c r="Y70" i="28"/>
  <c r="Y72" i="28"/>
  <c r="Y74" i="28"/>
  <c r="Y76" i="28"/>
  <c r="Y77" i="28"/>
  <c r="Y80" i="28"/>
  <c r="Y81" i="28"/>
  <c r="Y85" i="28"/>
  <c r="Y86" i="28"/>
  <c r="Y87" i="28"/>
  <c r="Y88" i="28"/>
  <c r="Y89" i="28"/>
  <c r="Y90" i="28"/>
  <c r="Y91" i="28"/>
  <c r="Y92" i="28"/>
  <c r="Y95" i="28"/>
  <c r="Y100" i="28"/>
  <c r="Y101" i="28"/>
  <c r="Y102" i="28"/>
  <c r="Y103" i="28"/>
  <c r="Y104" i="28"/>
  <c r="Y106" i="28"/>
  <c r="Y107" i="28"/>
  <c r="Y108" i="28"/>
  <c r="Y110" i="28"/>
  <c r="Y113" i="28"/>
  <c r="Y115" i="28"/>
  <c r="Y116" i="28"/>
  <c r="Y117" i="28"/>
  <c r="Y118" i="28"/>
  <c r="Y119" i="28"/>
  <c r="Y120" i="28"/>
  <c r="Y122" i="28"/>
  <c r="Y124" i="28"/>
  <c r="Y125" i="28"/>
  <c r="Y126" i="28"/>
  <c r="Y127" i="28"/>
  <c r="Y128" i="28"/>
  <c r="Y129" i="28"/>
  <c r="Y130" i="28"/>
  <c r="Y131" i="28"/>
  <c r="Y133" i="28"/>
  <c r="Y135" i="28"/>
  <c r="Y137" i="28"/>
  <c r="Y138" i="28"/>
  <c r="Y139" i="28"/>
  <c r="Y140" i="28"/>
  <c r="Y142" i="28"/>
  <c r="Y143" i="28"/>
  <c r="BC162" i="6" l="1"/>
  <c r="BC8" i="36" s="1"/>
  <c r="AL15" i="36"/>
  <c r="BB17" i="35"/>
  <c r="AM44" i="35"/>
  <c r="BC44" i="35" s="1"/>
  <c r="BC43" i="35"/>
  <c r="BD17" i="15"/>
  <c r="BB17" i="15"/>
  <c r="BB33" i="36"/>
  <c r="AF259" i="6"/>
  <c r="AF246" i="6"/>
  <c r="AF250" i="6"/>
  <c r="AF252" i="6"/>
  <c r="AF47" i="8"/>
  <c r="AF74" i="8" s="1"/>
  <c r="AF27" i="8"/>
  <c r="AF60" i="8" s="1"/>
  <c r="AF64" i="8" s="1"/>
  <c r="AF24" i="8"/>
  <c r="AF23" i="8"/>
  <c r="AF79" i="8"/>
  <c r="AF30" i="8"/>
  <c r="AF25" i="8"/>
  <c r="AF29" i="8"/>
  <c r="AF28" i="8"/>
  <c r="AF68" i="8" s="1"/>
  <c r="AF35" i="8" s="1"/>
  <c r="AF18" i="36"/>
  <c r="AF84" i="9"/>
  <c r="AF21" i="9" s="1"/>
  <c r="AF36" i="36"/>
  <c r="AF39" i="36" s="1"/>
  <c r="AF30" i="36" s="1"/>
  <c r="AG7" i="22"/>
  <c r="AG21" i="22"/>
  <c r="AL33" i="36"/>
  <c r="AL36" i="36" s="1"/>
  <c r="AL39" i="36" s="1"/>
  <c r="AL30" i="36" s="1"/>
  <c r="AL52" i="36"/>
  <c r="AL16" i="36"/>
  <c r="AL17" i="15"/>
  <c r="AF86" i="8"/>
  <c r="AG13" i="6"/>
  <c r="AG11" i="6"/>
  <c r="AG7" i="6"/>
  <c r="AG14" i="6"/>
  <c r="AG12" i="6"/>
  <c r="AG131" i="6"/>
  <c r="AF262" i="6"/>
  <c r="AF265" i="6"/>
  <c r="AF263" i="6"/>
  <c r="AF264" i="6"/>
  <c r="AF242" i="6"/>
  <c r="AF136" i="6"/>
  <c r="AF254" i="6"/>
  <c r="AF258" i="6"/>
  <c r="AG163" i="6"/>
  <c r="AG160" i="6"/>
  <c r="AF251" i="6"/>
  <c r="AF257" i="6"/>
  <c r="AF260" i="6" s="1"/>
  <c r="AF255" i="6"/>
  <c r="AF249" i="6"/>
  <c r="AG161" i="6"/>
  <c r="AF248" i="6"/>
  <c r="AF247" i="6"/>
  <c r="AF253" i="6"/>
  <c r="AF135" i="6"/>
  <c r="AF162" i="6"/>
  <c r="AF8" i="36" s="1"/>
  <c r="AF56" i="35"/>
  <c r="AF64" i="35" s="1"/>
  <c r="AF31" i="6"/>
  <c r="AF63" i="28"/>
  <c r="AL64" i="38"/>
  <c r="AK16" i="38"/>
  <c r="AG65" i="35"/>
  <c r="AG66" i="35"/>
  <c r="AG64" i="35"/>
  <c r="AF63" i="35"/>
  <c r="AC60" i="28"/>
  <c r="AM60" i="28" s="1"/>
  <c r="L15" i="34"/>
  <c r="F15" i="34"/>
  <c r="H15" i="34" s="1"/>
  <c r="J15" i="34" s="1"/>
  <c r="D15" i="34"/>
  <c r="BB36" i="36" l="1"/>
  <c r="BB39" i="36" s="1"/>
  <c r="BB30" i="36" s="1"/>
  <c r="BB16" i="36"/>
  <c r="AM61" i="28"/>
  <c r="BC61" i="28" s="1"/>
  <c r="BC60" i="28"/>
  <c r="AL73" i="8"/>
  <c r="BB15" i="36"/>
  <c r="AF86" i="9"/>
  <c r="AF66" i="8"/>
  <c r="AF33" i="8" s="1"/>
  <c r="AF26" i="8"/>
  <c r="AG183" i="6"/>
  <c r="AG314" i="6"/>
  <c r="AG178" i="6"/>
  <c r="AG313" i="6"/>
  <c r="AG63" i="6"/>
  <c r="AG152" i="6"/>
  <c r="AG156" i="6"/>
  <c r="AG64" i="6"/>
  <c r="AG65" i="6"/>
  <c r="AG316" i="6"/>
  <c r="AG15" i="6"/>
  <c r="AG330" i="6"/>
  <c r="AG62" i="6"/>
  <c r="AG61" i="6"/>
  <c r="AG56" i="6"/>
  <c r="AG22" i="22"/>
  <c r="AG24" i="22" s="1"/>
  <c r="AG25" i="22" s="1"/>
  <c r="AG27" i="22" s="1"/>
  <c r="AG8" i="22"/>
  <c r="AG10" i="22" s="1"/>
  <c r="AG11" i="22" s="1"/>
  <c r="AG13" i="22" s="1"/>
  <c r="AF34" i="8"/>
  <c r="AF266" i="6"/>
  <c r="AF256" i="6"/>
  <c r="AF261" i="6" s="1"/>
  <c r="AG264" i="6"/>
  <c r="AG262" i="6"/>
  <c r="AG263" i="6"/>
  <c r="AG265" i="6"/>
  <c r="AG242" i="6"/>
  <c r="AG162" i="6"/>
  <c r="AG8" i="36" s="1"/>
  <c r="AG322" i="6" s="1"/>
  <c r="AF137" i="6"/>
  <c r="AF7" i="36" s="1"/>
  <c r="AG247" i="6"/>
  <c r="AG251" i="6"/>
  <c r="AG255" i="6"/>
  <c r="AG246" i="6"/>
  <c r="AG250" i="6"/>
  <c r="AG254" i="6"/>
  <c r="AG259" i="6"/>
  <c r="AG253" i="6"/>
  <c r="AG249" i="6"/>
  <c r="AG252" i="6"/>
  <c r="AG258" i="6"/>
  <c r="AG248" i="6"/>
  <c r="AG257" i="6"/>
  <c r="AG240" i="6"/>
  <c r="AF66" i="35"/>
  <c r="AF65" i="35"/>
  <c r="M15" i="34"/>
  <c r="O15" i="34" s="1"/>
  <c r="Q15" i="34" s="1"/>
  <c r="T15" i="34" s="1"/>
  <c r="V15" i="34" s="1"/>
  <c r="BB73" i="8" l="1"/>
  <c r="BD73" i="8"/>
  <c r="AF267" i="6"/>
  <c r="AG336" i="6"/>
  <c r="AG324" i="6"/>
  <c r="AG325" i="6" s="1"/>
  <c r="AG323" i="6"/>
  <c r="AG59" i="6"/>
  <c r="AG33" i="6"/>
  <c r="AG36" i="6"/>
  <c r="AG34" i="6"/>
  <c r="AG35" i="6"/>
  <c r="AG338" i="6"/>
  <c r="AG339" i="6" s="1"/>
  <c r="AG337" i="6"/>
  <c r="AG332" i="6"/>
  <c r="AG333" i="6" s="1"/>
  <c r="AG331" i="6"/>
  <c r="AG66" i="6"/>
  <c r="AG67" i="6" s="1"/>
  <c r="AG317" i="6"/>
  <c r="AG318" i="6"/>
  <c r="AG319" i="6" s="1"/>
  <c r="AG266" i="6"/>
  <c r="AF9" i="36"/>
  <c r="AG260" i="6"/>
  <c r="AG256" i="6"/>
  <c r="AG326" i="6" l="1"/>
  <c r="AG37" i="6"/>
  <c r="AG334" i="6"/>
  <c r="AG320" i="6"/>
  <c r="AG340" i="6"/>
  <c r="AG261" i="6"/>
  <c r="AG267" i="6" s="1"/>
  <c r="AG327" i="6" l="1"/>
  <c r="AG6" i="48" s="1"/>
  <c r="AG341" i="6"/>
  <c r="AG7" i="48" s="1"/>
  <c r="AG9" i="36"/>
  <c r="AG343" i="6" l="1"/>
  <c r="AG8" i="48"/>
  <c r="L28" i="34"/>
  <c r="F28" i="34"/>
  <c r="D28" i="34"/>
  <c r="Q144" i="37"/>
  <c r="V144" i="37" s="1"/>
  <c r="AD144" i="37" s="1"/>
  <c r="N144" i="37"/>
  <c r="L144" i="37"/>
  <c r="J144" i="37"/>
  <c r="H144" i="37"/>
  <c r="F144" i="37"/>
  <c r="E144" i="37"/>
  <c r="Q141" i="37"/>
  <c r="V141" i="37" s="1"/>
  <c r="AD141" i="37" s="1"/>
  <c r="N141" i="37"/>
  <c r="L141" i="37"/>
  <c r="J141" i="37"/>
  <c r="H141" i="37"/>
  <c r="F141" i="37"/>
  <c r="E141" i="37"/>
  <c r="Q136" i="37"/>
  <c r="N136" i="37"/>
  <c r="L136" i="37"/>
  <c r="J136" i="37"/>
  <c r="H136" i="37"/>
  <c r="F136" i="37"/>
  <c r="E136" i="37"/>
  <c r="O138" i="37"/>
  <c r="O139" i="37"/>
  <c r="O140" i="37"/>
  <c r="O142" i="37"/>
  <c r="O143" i="37"/>
  <c r="O145" i="37"/>
  <c r="O148" i="37"/>
  <c r="G139" i="37"/>
  <c r="I139" i="37" s="1"/>
  <c r="K139" i="37" s="1"/>
  <c r="M139" i="37" s="1"/>
  <c r="P139" i="37" s="1"/>
  <c r="R139" i="37" s="1"/>
  <c r="T139" i="37" s="1"/>
  <c r="W139" i="37" s="1"/>
  <c r="Y139" i="37" s="1"/>
  <c r="AA139" i="37" s="1"/>
  <c r="AE139" i="37" s="1"/>
  <c r="G140" i="37"/>
  <c r="I140" i="37" s="1"/>
  <c r="K140" i="37" s="1"/>
  <c r="M140" i="37" s="1"/>
  <c r="P140" i="37" s="1"/>
  <c r="R140" i="37" s="1"/>
  <c r="T140" i="37" s="1"/>
  <c r="W140" i="37" s="1"/>
  <c r="Y140" i="37" s="1"/>
  <c r="AA140" i="37" s="1"/>
  <c r="AE140" i="37" s="1"/>
  <c r="G142" i="37"/>
  <c r="I142" i="37" s="1"/>
  <c r="K142" i="37" s="1"/>
  <c r="M142" i="37" s="1"/>
  <c r="P142" i="37" s="1"/>
  <c r="R142" i="37" s="1"/>
  <c r="T142" i="37" s="1"/>
  <c r="W142" i="37" s="1"/>
  <c r="Y142" i="37" s="1"/>
  <c r="AA142" i="37" s="1"/>
  <c r="AE142" i="37" s="1"/>
  <c r="G143" i="37"/>
  <c r="I143" i="37" s="1"/>
  <c r="K143" i="37" s="1"/>
  <c r="M143" i="37" s="1"/>
  <c r="P143" i="37" s="1"/>
  <c r="R143" i="37" s="1"/>
  <c r="T143" i="37" s="1"/>
  <c r="W143" i="37" s="1"/>
  <c r="Y143" i="37" s="1"/>
  <c r="AA143" i="37" s="1"/>
  <c r="AE143" i="37" s="1"/>
  <c r="G145" i="37"/>
  <c r="I145" i="37" s="1"/>
  <c r="K145" i="37" s="1"/>
  <c r="M145" i="37" s="1"/>
  <c r="P145" i="37" s="1"/>
  <c r="R145" i="37" s="1"/>
  <c r="T145" i="37" s="1"/>
  <c r="W145" i="37" s="1"/>
  <c r="Y145" i="37" s="1"/>
  <c r="AA145" i="37" s="1"/>
  <c r="AE145" i="37" s="1"/>
  <c r="G148" i="37"/>
  <c r="I148" i="37" s="1"/>
  <c r="K148" i="37" s="1"/>
  <c r="M148" i="37" s="1"/>
  <c r="P148" i="37" s="1"/>
  <c r="R148" i="37" s="1"/>
  <c r="T148" i="37" s="1"/>
  <c r="W148" i="37" s="1"/>
  <c r="Y148" i="37" s="1"/>
  <c r="AA148" i="37" s="1"/>
  <c r="AE148" i="37" s="1"/>
  <c r="W127" i="37"/>
  <c r="Y127" i="37" s="1"/>
  <c r="AA127" i="37" s="1"/>
  <c r="AE127" i="37" s="1"/>
  <c r="W111" i="37"/>
  <c r="Y111" i="37" s="1"/>
  <c r="AA111" i="37" s="1"/>
  <c r="AE111" i="37" s="1"/>
  <c r="W110" i="37"/>
  <c r="Y110" i="37" s="1"/>
  <c r="AA110" i="37" s="1"/>
  <c r="AE110" i="37" s="1"/>
  <c r="O78" i="37"/>
  <c r="G78" i="37"/>
  <c r="I78" i="37" s="1"/>
  <c r="K78" i="37" s="1"/>
  <c r="M78" i="37" s="1"/>
  <c r="P78" i="37" s="1"/>
  <c r="R78" i="37" s="1"/>
  <c r="T78" i="37" s="1"/>
  <c r="W78" i="37" s="1"/>
  <c r="Y78" i="37" s="1"/>
  <c r="AA78" i="37" s="1"/>
  <c r="AE78" i="37" s="1"/>
  <c r="O72" i="37"/>
  <c r="G72" i="37"/>
  <c r="I72" i="37" s="1"/>
  <c r="K72" i="37" s="1"/>
  <c r="M72" i="37" s="1"/>
  <c r="P72" i="37" s="1"/>
  <c r="R72" i="37" s="1"/>
  <c r="T72" i="37" s="1"/>
  <c r="W72" i="37" s="1"/>
  <c r="Y72" i="37" s="1"/>
  <c r="AA72" i="37" s="1"/>
  <c r="AE72" i="37" s="1"/>
  <c r="G35" i="37"/>
  <c r="I35" i="37" s="1"/>
  <c r="K35" i="37" s="1"/>
  <c r="M35" i="37" s="1"/>
  <c r="P35" i="37" s="1"/>
  <c r="R35" i="37" s="1"/>
  <c r="T35" i="37" s="1"/>
  <c r="W35" i="37" s="1"/>
  <c r="Y35" i="37" s="1"/>
  <c r="AA35" i="37" s="1"/>
  <c r="AE35" i="37" s="1"/>
  <c r="O35" i="37"/>
  <c r="G37" i="37"/>
  <c r="I37" i="37" s="1"/>
  <c r="K37" i="37" s="1"/>
  <c r="M37" i="37" s="1"/>
  <c r="P37" i="37" s="1"/>
  <c r="R37" i="37" s="1"/>
  <c r="T37" i="37" s="1"/>
  <c r="W37" i="37" s="1"/>
  <c r="Y37" i="37" s="1"/>
  <c r="AA37" i="37" s="1"/>
  <c r="AE37" i="37" s="1"/>
  <c r="O37" i="37"/>
  <c r="AC22" i="21"/>
  <c r="AM22" i="21" s="1"/>
  <c r="AM23" i="21" s="1"/>
  <c r="AM24" i="21" s="1"/>
  <c r="N149" i="37" l="1"/>
  <c r="G136" i="37"/>
  <c r="I136" i="37" s="1"/>
  <c r="K136" i="37" s="1"/>
  <c r="M136" i="37" s="1"/>
  <c r="P136" i="37" s="1"/>
  <c r="R136" i="37" s="1"/>
  <c r="T136" i="37" s="1"/>
  <c r="W136" i="37" s="1"/>
  <c r="Y136" i="37" s="1"/>
  <c r="AA136" i="37" s="1"/>
  <c r="AE136" i="37" s="1"/>
  <c r="F149" i="37"/>
  <c r="H149" i="37"/>
  <c r="Q149" i="37"/>
  <c r="V136" i="37"/>
  <c r="O144" i="37"/>
  <c r="J149" i="37"/>
  <c r="E149" i="37"/>
  <c r="L149" i="37"/>
  <c r="M28" i="34"/>
  <c r="O28" i="34" s="1"/>
  <c r="Q28" i="34" s="1"/>
  <c r="T28" i="34" s="1"/>
  <c r="V28" i="34" s="1"/>
  <c r="H28" i="34"/>
  <c r="J28" i="34" s="1"/>
  <c r="O141" i="37"/>
  <c r="G141" i="37"/>
  <c r="I141" i="37" s="1"/>
  <c r="K141" i="37" s="1"/>
  <c r="M141" i="37" s="1"/>
  <c r="P141" i="37" s="1"/>
  <c r="R141" i="37" s="1"/>
  <c r="T141" i="37" s="1"/>
  <c r="W141" i="37" s="1"/>
  <c r="Y141" i="37" s="1"/>
  <c r="AA141" i="37" s="1"/>
  <c r="AE141" i="37" s="1"/>
  <c r="G144" i="37"/>
  <c r="I144" i="37" s="1"/>
  <c r="K144" i="37" s="1"/>
  <c r="M144" i="37" s="1"/>
  <c r="P144" i="37" s="1"/>
  <c r="R144" i="37" s="1"/>
  <c r="T144" i="37" s="1"/>
  <c r="W144" i="37" s="1"/>
  <c r="Y144" i="37" s="1"/>
  <c r="AA144" i="37" s="1"/>
  <c r="AE144" i="37" s="1"/>
  <c r="O136" i="37"/>
  <c r="AC85" i="17"/>
  <c r="AM85" i="17" s="1"/>
  <c r="AC84" i="17"/>
  <c r="AM84" i="17" s="1"/>
  <c r="BC84" i="17" s="1"/>
  <c r="AC83" i="17"/>
  <c r="AM83" i="17" s="1"/>
  <c r="BC83" i="17" s="1"/>
  <c r="AC82" i="17"/>
  <c r="AM82" i="17" s="1"/>
  <c r="BC82" i="17" s="1"/>
  <c r="AC51" i="17"/>
  <c r="AM51" i="17" s="1"/>
  <c r="AC34" i="17"/>
  <c r="AC9" i="17"/>
  <c r="AM9" i="17" s="1"/>
  <c r="AC8" i="17"/>
  <c r="AM8" i="17" s="1"/>
  <c r="BC8" i="17" s="1"/>
  <c r="AC38" i="27"/>
  <c r="AM38" i="27" s="1"/>
  <c r="AC36" i="27"/>
  <c r="AC30" i="27"/>
  <c r="AC28" i="27"/>
  <c r="AM28" i="27" s="1"/>
  <c r="AC23" i="27"/>
  <c r="AM23" i="27" s="1"/>
  <c r="BC23" i="27" s="1"/>
  <c r="AC20" i="27"/>
  <c r="AM20" i="27" s="1"/>
  <c r="BC20" i="27" s="1"/>
  <c r="AC19" i="27"/>
  <c r="AM19" i="27" s="1"/>
  <c r="BC19" i="27" s="1"/>
  <c r="AC18" i="27"/>
  <c r="AM13" i="17" l="1"/>
  <c r="BC9" i="17"/>
  <c r="BC13" i="17" s="1"/>
  <c r="AM86" i="17"/>
  <c r="BC85" i="17"/>
  <c r="AM52" i="17"/>
  <c r="BC51" i="17"/>
  <c r="BC52" i="17" s="1"/>
  <c r="BC12" i="17"/>
  <c r="BC10" i="17"/>
  <c r="V149" i="37"/>
  <c r="AD136" i="37"/>
  <c r="AD149" i="37" s="1"/>
  <c r="AM36" i="27"/>
  <c r="AM18" i="27"/>
  <c r="BC18" i="27" s="1"/>
  <c r="AM12" i="17"/>
  <c r="AM10" i="17"/>
  <c r="AM112" i="17"/>
  <c r="AD111" i="10"/>
  <c r="AN111" i="10" s="1"/>
  <c r="BD111" i="10" s="1"/>
  <c r="AD110" i="10"/>
  <c r="AN110" i="10" s="1"/>
  <c r="BD110" i="10" s="1"/>
  <c r="AB70" i="9"/>
  <c r="V70" i="9"/>
  <c r="R70" i="9"/>
  <c r="N70" i="9"/>
  <c r="J70" i="9"/>
  <c r="F70" i="9"/>
  <c r="D70" i="9"/>
  <c r="W55" i="9"/>
  <c r="W42" i="48" s="1"/>
  <c r="S55" i="9"/>
  <c r="S42" i="48" s="1"/>
  <c r="O55" i="9"/>
  <c r="O42" i="48" s="1"/>
  <c r="K55" i="9"/>
  <c r="K42" i="48" s="1"/>
  <c r="G55" i="9"/>
  <c r="G42" i="48" s="1"/>
  <c r="I54" i="9"/>
  <c r="X54" i="9"/>
  <c r="H54" i="9"/>
  <c r="L54" i="9" s="1"/>
  <c r="AC55" i="9"/>
  <c r="AC42" i="48" s="1"/>
  <c r="AC52" i="36"/>
  <c r="W47" i="36"/>
  <c r="S47" i="36"/>
  <c r="O47" i="36"/>
  <c r="K52" i="36"/>
  <c r="I46" i="36"/>
  <c r="G52" i="36"/>
  <c r="F53" i="36"/>
  <c r="F19" i="36" s="1"/>
  <c r="J53" i="36"/>
  <c r="J19" i="36" s="1"/>
  <c r="N53" i="36"/>
  <c r="N19" i="36" s="1"/>
  <c r="R53" i="36"/>
  <c r="R19" i="36" s="1"/>
  <c r="V53" i="36"/>
  <c r="V19" i="36" s="1"/>
  <c r="AB53" i="36"/>
  <c r="AB19" i="36" s="1"/>
  <c r="D53" i="36"/>
  <c r="D19" i="36" s="1"/>
  <c r="X46" i="36"/>
  <c r="L46" i="36"/>
  <c r="P46" i="36" s="1"/>
  <c r="H46" i="36"/>
  <c r="G47" i="36"/>
  <c r="AM98" i="9"/>
  <c r="BC98" i="9" s="1"/>
  <c r="AC93" i="9"/>
  <c r="AM93" i="9" s="1"/>
  <c r="BC93" i="9" s="1"/>
  <c r="AC92" i="9"/>
  <c r="AM92" i="9" s="1"/>
  <c r="BC92" i="9" s="1"/>
  <c r="AC60" i="9"/>
  <c r="AC29" i="9"/>
  <c r="AM29" i="9" s="1"/>
  <c r="BC29" i="9" s="1"/>
  <c r="AC20" i="9"/>
  <c r="AM20" i="9" s="1"/>
  <c r="BC20" i="9" s="1"/>
  <c r="AC83" i="8"/>
  <c r="AM83" i="8" s="1"/>
  <c r="BC83" i="8" s="1"/>
  <c r="AC82" i="8"/>
  <c r="AM82" i="8" s="1"/>
  <c r="BC82" i="8" s="1"/>
  <c r="AC71" i="7"/>
  <c r="AM71" i="7" s="1"/>
  <c r="BC71" i="7" s="1"/>
  <c r="AC181" i="6"/>
  <c r="AM181" i="6" s="1"/>
  <c r="AC180" i="6"/>
  <c r="AM180" i="6" s="1"/>
  <c r="BC180" i="6" s="1"/>
  <c r="AC154" i="6"/>
  <c r="AM154" i="6" s="1"/>
  <c r="BC154" i="6" s="1"/>
  <c r="BC113" i="17" l="1"/>
  <c r="BC14" i="17"/>
  <c r="BC112" i="17"/>
  <c r="AM14" i="17"/>
  <c r="AM113" i="17"/>
  <c r="AM60" i="9"/>
  <c r="AC45" i="48"/>
  <c r="P54" i="9"/>
  <c r="Y54" i="9"/>
  <c r="M54" i="9"/>
  <c r="E55" i="9"/>
  <c r="E42" i="48" s="1"/>
  <c r="T46" i="36"/>
  <c r="Z46" i="36" s="1"/>
  <c r="K47" i="36"/>
  <c r="E47" i="36"/>
  <c r="S52" i="36"/>
  <c r="M46" i="36"/>
  <c r="E52" i="36"/>
  <c r="AC47" i="36"/>
  <c r="W52" i="36"/>
  <c r="Y46" i="36"/>
  <c r="O52" i="36"/>
  <c r="AM45" i="48" l="1"/>
  <c r="BC60" i="9"/>
  <c r="T54" i="9"/>
  <c r="Q54" i="9"/>
  <c r="Q46" i="36"/>
  <c r="AD46" i="36"/>
  <c r="AH46" i="36" s="1"/>
  <c r="AN46" i="36" s="1"/>
  <c r="AR46" i="36" s="1"/>
  <c r="AV46" i="36" s="1"/>
  <c r="BD46" i="36" s="1"/>
  <c r="BB52" i="36" l="1"/>
  <c r="U46" i="36"/>
  <c r="AA46" i="36" s="1"/>
  <c r="Z54" i="9"/>
  <c r="U54" i="9"/>
  <c r="AC23" i="36"/>
  <c r="AB23" i="36"/>
  <c r="W23" i="36"/>
  <c r="V23" i="36"/>
  <c r="S23" i="36"/>
  <c r="R23" i="36"/>
  <c r="O23" i="36"/>
  <c r="N23" i="36"/>
  <c r="K23" i="36"/>
  <c r="J23" i="36"/>
  <c r="G23" i="36"/>
  <c r="F23" i="36"/>
  <c r="E23" i="36"/>
  <c r="AC22" i="36"/>
  <c r="AB22" i="36"/>
  <c r="W22" i="36"/>
  <c r="V22" i="36"/>
  <c r="S22" i="36"/>
  <c r="R22" i="36"/>
  <c r="O22" i="36"/>
  <c r="N22" i="36"/>
  <c r="K22" i="36"/>
  <c r="J22" i="36"/>
  <c r="G22" i="36"/>
  <c r="F22" i="36"/>
  <c r="E22" i="36"/>
  <c r="AC21" i="36"/>
  <c r="AB21" i="36"/>
  <c r="W21" i="36"/>
  <c r="V21" i="36"/>
  <c r="S21" i="36"/>
  <c r="R21" i="36"/>
  <c r="O21" i="36"/>
  <c r="N21" i="36"/>
  <c r="K21" i="36"/>
  <c r="J21" i="36"/>
  <c r="G21" i="36"/>
  <c r="F21" i="36"/>
  <c r="E21" i="36"/>
  <c r="D23" i="36"/>
  <c r="AC59" i="35"/>
  <c r="AM59" i="35" s="1"/>
  <c r="BC59" i="35" s="1"/>
  <c r="AD54" i="9" l="1"/>
  <c r="AH54" i="9" s="1"/>
  <c r="AA54" i="9"/>
  <c r="AE46" i="36"/>
  <c r="AI46" i="36" s="1"/>
  <c r="AO46" i="36" s="1"/>
  <c r="AS46" i="36" s="1"/>
  <c r="AW46" i="36" s="1"/>
  <c r="BE46" i="36" s="1"/>
  <c r="AF79" i="11"/>
  <c r="AF80" i="11"/>
  <c r="AF81" i="11"/>
  <c r="AF77" i="11"/>
  <c r="AD82" i="11"/>
  <c r="X82" i="11"/>
  <c r="BC52" i="36" l="1"/>
  <c r="AF82" i="11"/>
  <c r="AN54" i="9"/>
  <c r="AR54" i="9" s="1"/>
  <c r="AE54" i="9"/>
  <c r="AI54" i="9" s="1"/>
  <c r="AD45" i="10"/>
  <c r="AD55" i="10"/>
  <c r="AN55" i="10" s="1"/>
  <c r="BD55" i="10" s="1"/>
  <c r="AD92" i="10"/>
  <c r="AD61" i="10"/>
  <c r="AN61" i="10" s="1"/>
  <c r="BD61" i="10" s="1"/>
  <c r="AD7" i="10"/>
  <c r="AN7" i="10" s="1"/>
  <c r="BD7" i="10" s="1"/>
  <c r="AD11" i="10"/>
  <c r="AN11" i="10" s="1"/>
  <c r="BD11" i="10" s="1"/>
  <c r="AD27" i="10"/>
  <c r="AN27" i="10" s="1"/>
  <c r="BD27" i="10" s="1"/>
  <c r="AD31" i="10"/>
  <c r="AD112" i="10"/>
  <c r="AN112" i="10" s="1"/>
  <c r="BD112" i="10" s="1"/>
  <c r="AD52" i="11"/>
  <c r="AN52" i="11" s="1"/>
  <c r="BD52" i="11" s="1"/>
  <c r="AD51" i="11"/>
  <c r="AN51" i="11" s="1"/>
  <c r="BD51" i="11" s="1"/>
  <c r="AD50" i="11"/>
  <c r="AN50" i="11" s="1"/>
  <c r="BD50" i="11" s="1"/>
  <c r="AD17" i="11"/>
  <c r="AE64" i="45"/>
  <c r="AO64" i="45" s="1"/>
  <c r="AE62" i="45"/>
  <c r="AO62" i="45" s="1"/>
  <c r="AE63" i="45"/>
  <c r="AO63" i="45" s="1"/>
  <c r="AD98" i="10" l="1"/>
  <c r="AN45" i="10"/>
  <c r="BD45" i="10" s="1"/>
  <c r="AV54" i="9"/>
  <c r="BD54" i="9" s="1"/>
  <c r="AN17" i="11"/>
  <c r="BD17" i="11" s="1"/>
  <c r="AN31" i="10"/>
  <c r="AF31" i="10"/>
  <c r="AJ31" i="10" s="1"/>
  <c r="AP31" i="10" s="1"/>
  <c r="AT31" i="10" s="1"/>
  <c r="AX31" i="10" s="1"/>
  <c r="BF31" i="10" s="1"/>
  <c r="AN92" i="10"/>
  <c r="AF92" i="10"/>
  <c r="AJ92" i="10" s="1"/>
  <c r="AP92" i="10" s="1"/>
  <c r="AT92" i="10" s="1"/>
  <c r="AO54" i="9"/>
  <c r="AS54" i="9" s="1"/>
  <c r="AD19" i="11"/>
  <c r="AN19" i="11" s="1"/>
  <c r="BD19" i="11" s="1"/>
  <c r="AG48" i="45"/>
  <c r="AK48" i="45" s="1"/>
  <c r="BD34" i="11" l="1"/>
  <c r="BD38" i="11"/>
  <c r="AN96" i="10"/>
  <c r="BD96" i="10" s="1"/>
  <c r="BD119" i="10" s="1"/>
  <c r="BD92" i="10"/>
  <c r="AN94" i="10"/>
  <c r="BD94" i="10" s="1"/>
  <c r="BD31" i="10"/>
  <c r="BD98" i="10" s="1"/>
  <c r="AW54" i="9"/>
  <c r="BE54" i="9" s="1"/>
  <c r="AX92" i="10"/>
  <c r="AT96" i="10"/>
  <c r="AN38" i="11"/>
  <c r="AN34" i="11"/>
  <c r="AN98" i="10"/>
  <c r="AD38" i="11"/>
  <c r="AK71" i="45"/>
  <c r="AQ48" i="45"/>
  <c r="AK79" i="45"/>
  <c r="AA15" i="45"/>
  <c r="K15" i="45"/>
  <c r="O15" i="45" s="1"/>
  <c r="S15" i="45" s="1"/>
  <c r="W15" i="45" s="1"/>
  <c r="AC15" i="45" s="1"/>
  <c r="AG15" i="45" s="1"/>
  <c r="AK15" i="45" s="1"/>
  <c r="AQ15" i="45" s="1"/>
  <c r="AU15" i="45" s="1"/>
  <c r="AY15" i="45" s="1"/>
  <c r="BE15" i="45" s="1"/>
  <c r="BD39" i="11" l="1"/>
  <c r="BD37" i="11"/>
  <c r="BD66" i="11"/>
  <c r="BD35" i="11"/>
  <c r="BD53" i="11"/>
  <c r="AN127" i="10"/>
  <c r="BD127" i="10"/>
  <c r="AN119" i="10"/>
  <c r="AN99" i="10"/>
  <c r="AN97" i="10"/>
  <c r="BD113" i="10"/>
  <c r="BD126" i="10"/>
  <c r="BD97" i="10"/>
  <c r="BD99" i="10"/>
  <c r="AX96" i="10"/>
  <c r="AX119" i="10" s="1"/>
  <c r="BF92" i="10"/>
  <c r="BF96" i="10" s="1"/>
  <c r="AN126" i="10"/>
  <c r="AN95" i="10"/>
  <c r="BD95" i="10" s="1"/>
  <c r="AN113" i="10"/>
  <c r="AN35" i="11"/>
  <c r="AN66" i="11"/>
  <c r="AN53" i="11"/>
  <c r="AN37" i="11"/>
  <c r="AN39" i="11"/>
  <c r="AT127" i="10"/>
  <c r="AT119" i="10"/>
  <c r="AQ79" i="45"/>
  <c r="AU48" i="45"/>
  <c r="AQ71" i="45"/>
  <c r="AC45" i="35"/>
  <c r="AM45" i="35" s="1"/>
  <c r="BC45" i="35" s="1"/>
  <c r="AC46" i="35"/>
  <c r="AM46" i="35" s="1"/>
  <c r="BC46" i="35" s="1"/>
  <c r="AY48" i="45" l="1"/>
  <c r="AY71" i="45" s="1"/>
  <c r="BD68" i="11"/>
  <c r="BD70" i="11"/>
  <c r="AN128" i="10"/>
  <c r="AX127" i="10"/>
  <c r="AN130" i="10"/>
  <c r="BF127" i="10"/>
  <c r="BF119" i="10"/>
  <c r="BD128" i="10"/>
  <c r="BD130" i="10"/>
  <c r="AN70" i="11"/>
  <c r="AN68" i="11"/>
  <c r="AU71" i="45"/>
  <c r="AU79" i="45"/>
  <c r="AC138" i="35"/>
  <c r="AM138" i="35" s="1"/>
  <c r="AM19" i="35" l="1"/>
  <c r="BC138" i="35"/>
  <c r="BC19" i="35" s="1"/>
  <c r="BE48" i="45"/>
  <c r="AY79" i="45"/>
  <c r="AE71" i="45"/>
  <c r="AE69" i="45"/>
  <c r="AE70" i="45" s="1"/>
  <c r="Y71" i="45"/>
  <c r="Y69" i="45"/>
  <c r="Y70" i="45" s="1"/>
  <c r="U71" i="45"/>
  <c r="U69" i="45"/>
  <c r="U70" i="45" s="1"/>
  <c r="Q71" i="45"/>
  <c r="Q69" i="45"/>
  <c r="Q70" i="45" s="1"/>
  <c r="M71" i="45"/>
  <c r="M69" i="45"/>
  <c r="M70" i="45" s="1"/>
  <c r="I71" i="45"/>
  <c r="I69" i="45"/>
  <c r="I70" i="45" s="1"/>
  <c r="AE60" i="45"/>
  <c r="AE58" i="45"/>
  <c r="AD58" i="45"/>
  <c r="AE56" i="45"/>
  <c r="AD56" i="45"/>
  <c r="AE53" i="45"/>
  <c r="AD53" i="45"/>
  <c r="Y60" i="45"/>
  <c r="Y61" i="45" s="1"/>
  <c r="Y58" i="45"/>
  <c r="X58" i="45"/>
  <c r="Y56" i="45"/>
  <c r="X56" i="45"/>
  <c r="Y53" i="45"/>
  <c r="Y54" i="45" s="1"/>
  <c r="X53" i="45"/>
  <c r="X54" i="45" s="1"/>
  <c r="U60" i="45"/>
  <c r="U61" i="45" s="1"/>
  <c r="U58" i="45"/>
  <c r="T58" i="45"/>
  <c r="U56" i="45"/>
  <c r="T56" i="45"/>
  <c r="U53" i="45"/>
  <c r="U54" i="45" s="1"/>
  <c r="T53" i="45"/>
  <c r="T54" i="45" s="1"/>
  <c r="Q60" i="45"/>
  <c r="Q61" i="45" s="1"/>
  <c r="Q58" i="45"/>
  <c r="P58" i="45"/>
  <c r="Q56" i="45"/>
  <c r="P56" i="45"/>
  <c r="Q53" i="45"/>
  <c r="Q54" i="45" s="1"/>
  <c r="P53" i="45"/>
  <c r="P54" i="45" s="1"/>
  <c r="M60" i="45"/>
  <c r="M61" i="45" s="1"/>
  <c r="M58" i="45"/>
  <c r="L58" i="45"/>
  <c r="M56" i="45"/>
  <c r="L56" i="45"/>
  <c r="M53" i="45"/>
  <c r="M54" i="45" s="1"/>
  <c r="L53" i="45"/>
  <c r="L54" i="45" s="1"/>
  <c r="I60" i="45"/>
  <c r="I61" i="45" s="1"/>
  <c r="I58" i="45"/>
  <c r="H58" i="45"/>
  <c r="I56" i="45"/>
  <c r="H56" i="45"/>
  <c r="I53" i="45"/>
  <c r="I54" i="45" s="1"/>
  <c r="H53" i="45"/>
  <c r="H54" i="45" s="1"/>
  <c r="G60" i="45"/>
  <c r="G61" i="45" s="1"/>
  <c r="AD46" i="45"/>
  <c r="X46" i="45"/>
  <c r="X65" i="45" s="1"/>
  <c r="T46" i="45"/>
  <c r="T65" i="45" s="1"/>
  <c r="P46" i="45"/>
  <c r="P65" i="45" s="1"/>
  <c r="L46" i="45"/>
  <c r="L65" i="45" s="1"/>
  <c r="H46" i="45"/>
  <c r="H65" i="45" s="1"/>
  <c r="F46" i="45"/>
  <c r="AA9" i="45"/>
  <c r="AA12" i="45"/>
  <c r="AA13" i="45"/>
  <c r="AA24" i="45"/>
  <c r="AA26" i="45"/>
  <c r="AA28" i="45"/>
  <c r="AA29" i="45"/>
  <c r="AA31" i="45"/>
  <c r="K9" i="45"/>
  <c r="K12" i="45"/>
  <c r="O12" i="45" s="1"/>
  <c r="S12" i="45" s="1"/>
  <c r="W12" i="45" s="1"/>
  <c r="AC12" i="45" s="1"/>
  <c r="AG12" i="45" s="1"/>
  <c r="AK12" i="45" s="1"/>
  <c r="AQ12" i="45" s="1"/>
  <c r="AU12" i="45" s="1"/>
  <c r="AY12" i="45" s="1"/>
  <c r="BE12" i="45" s="1"/>
  <c r="K13" i="45"/>
  <c r="O13" i="45" s="1"/>
  <c r="S13" i="45" s="1"/>
  <c r="W13" i="45" s="1"/>
  <c r="AC13" i="45" s="1"/>
  <c r="AG13" i="45" s="1"/>
  <c r="AK13" i="45" s="1"/>
  <c r="AQ13" i="45" s="1"/>
  <c r="AU13" i="45" s="1"/>
  <c r="AY13" i="45" s="1"/>
  <c r="BE13" i="45" s="1"/>
  <c r="K24" i="45"/>
  <c r="O24" i="45" s="1"/>
  <c r="S24" i="45" s="1"/>
  <c r="W24" i="45" s="1"/>
  <c r="AC24" i="45" s="1"/>
  <c r="AG24" i="45" s="1"/>
  <c r="AK24" i="45" s="1"/>
  <c r="AQ24" i="45" s="1"/>
  <c r="AU24" i="45" s="1"/>
  <c r="AY24" i="45" s="1"/>
  <c r="BE24" i="45" s="1"/>
  <c r="K26" i="45"/>
  <c r="O26" i="45" s="1"/>
  <c r="S26" i="45" s="1"/>
  <c r="W26" i="45" s="1"/>
  <c r="AC26" i="45" s="1"/>
  <c r="AG26" i="45" s="1"/>
  <c r="AK26" i="45" s="1"/>
  <c r="AQ26" i="45" s="1"/>
  <c r="AU26" i="45" s="1"/>
  <c r="AY26" i="45" s="1"/>
  <c r="BE26" i="45" s="1"/>
  <c r="K28" i="45"/>
  <c r="O28" i="45" s="1"/>
  <c r="S28" i="45" s="1"/>
  <c r="W28" i="45" s="1"/>
  <c r="AC28" i="45" s="1"/>
  <c r="AG28" i="45" s="1"/>
  <c r="AK28" i="45" s="1"/>
  <c r="AQ28" i="45" s="1"/>
  <c r="AU28" i="45" s="1"/>
  <c r="AY28" i="45" s="1"/>
  <c r="BE28" i="45" s="1"/>
  <c r="K29" i="45"/>
  <c r="O29" i="45" s="1"/>
  <c r="S29" i="45" s="1"/>
  <c r="W29" i="45" s="1"/>
  <c r="AC29" i="45" s="1"/>
  <c r="AG29" i="45" s="1"/>
  <c r="AK29" i="45" s="1"/>
  <c r="AQ29" i="45" s="1"/>
  <c r="AU29" i="45" s="1"/>
  <c r="AY29" i="45" s="1"/>
  <c r="BE29" i="45" s="1"/>
  <c r="K31" i="45"/>
  <c r="O31" i="45" s="1"/>
  <c r="S31" i="45" s="1"/>
  <c r="W31" i="45" s="1"/>
  <c r="AC31" i="45" s="1"/>
  <c r="AG31" i="45" s="1"/>
  <c r="AK31" i="45" s="1"/>
  <c r="AQ31" i="45" s="1"/>
  <c r="AU31" i="45" s="1"/>
  <c r="AY31" i="45" s="1"/>
  <c r="BE31" i="45" s="1"/>
  <c r="AE77" i="45"/>
  <c r="Y77" i="45"/>
  <c r="U77" i="45"/>
  <c r="Q77" i="45"/>
  <c r="M77" i="45"/>
  <c r="I77" i="45"/>
  <c r="G77" i="45"/>
  <c r="AE75" i="45"/>
  <c r="Y75" i="45"/>
  <c r="U75" i="45"/>
  <c r="Q75" i="45"/>
  <c r="M75" i="45"/>
  <c r="I75" i="45"/>
  <c r="G75" i="45"/>
  <c r="AA72" i="45"/>
  <c r="AA77" i="45" s="1"/>
  <c r="K72" i="45"/>
  <c r="K77" i="45" s="1"/>
  <c r="U76" i="45"/>
  <c r="G69" i="45"/>
  <c r="AA68" i="45"/>
  <c r="K68" i="45"/>
  <c r="O68" i="45" s="1"/>
  <c r="S68" i="45" s="1"/>
  <c r="W68" i="45" s="1"/>
  <c r="AC68" i="45" s="1"/>
  <c r="AG68" i="45" s="1"/>
  <c r="AK68" i="45" s="1"/>
  <c r="AQ68" i="45" s="1"/>
  <c r="AU68" i="45" s="1"/>
  <c r="AY68" i="45" s="1"/>
  <c r="BE68" i="45" s="1"/>
  <c r="AA67" i="45"/>
  <c r="K67" i="45"/>
  <c r="O67" i="45" s="1"/>
  <c r="S67" i="45" s="1"/>
  <c r="G58" i="45"/>
  <c r="F58" i="45"/>
  <c r="AA57" i="45"/>
  <c r="Z57" i="45"/>
  <c r="K57" i="45"/>
  <c r="J57" i="45"/>
  <c r="G56" i="45"/>
  <c r="F56" i="45"/>
  <c r="AA55" i="45"/>
  <c r="Z55" i="45"/>
  <c r="K55" i="45"/>
  <c r="O55" i="45" s="1"/>
  <c r="J55" i="45"/>
  <c r="G53" i="45"/>
  <c r="G54" i="45" s="1"/>
  <c r="F53" i="45"/>
  <c r="F54" i="45" s="1"/>
  <c r="Y79" i="45"/>
  <c r="Q79" i="45"/>
  <c r="I79" i="45"/>
  <c r="AE49" i="45"/>
  <c r="AA5" i="45"/>
  <c r="Z5" i="45"/>
  <c r="K5" i="45"/>
  <c r="J59" i="45"/>
  <c r="AA2" i="45"/>
  <c r="AA64" i="45" s="1"/>
  <c r="Z2" i="45"/>
  <c r="K2" i="45"/>
  <c r="J2" i="45"/>
  <c r="N2" i="45" s="1"/>
  <c r="R2" i="45" s="1"/>
  <c r="V2" i="45" s="1"/>
  <c r="AB2" i="45" s="1"/>
  <c r="AF2" i="45" s="1"/>
  <c r="AJ2" i="45" s="1"/>
  <c r="AP2" i="45" s="1"/>
  <c r="AT2" i="45" s="1"/>
  <c r="AX2" i="45" s="1"/>
  <c r="BD2" i="45" s="1"/>
  <c r="AD75" i="8"/>
  <c r="BE79" i="45" l="1"/>
  <c r="BE71" i="45"/>
  <c r="AD54" i="45"/>
  <c r="AN53" i="45"/>
  <c r="AN54" i="45" s="1"/>
  <c r="AE54" i="45"/>
  <c r="AO53" i="45"/>
  <c r="AO54" i="45" s="1"/>
  <c r="AD65" i="45"/>
  <c r="AN46" i="45"/>
  <c r="AE61" i="45"/>
  <c r="AO60" i="45"/>
  <c r="AO61" i="45" s="1"/>
  <c r="O9" i="45"/>
  <c r="M76" i="45"/>
  <c r="O5" i="45"/>
  <c r="O75" i="45" s="1"/>
  <c r="Z59" i="45"/>
  <c r="AE65" i="45"/>
  <c r="L49" i="45"/>
  <c r="S69" i="45"/>
  <c r="S76" i="45" s="1"/>
  <c r="AA56" i="45"/>
  <c r="AA53" i="45"/>
  <c r="AA54" i="45" s="1"/>
  <c r="T49" i="45"/>
  <c r="J56" i="45"/>
  <c r="K56" i="45"/>
  <c r="AA69" i="45"/>
  <c r="AA76" i="45" s="1"/>
  <c r="AA60" i="45"/>
  <c r="AA61" i="45" s="1"/>
  <c r="Z58" i="45"/>
  <c r="Q76" i="45"/>
  <c r="AA79" i="45"/>
  <c r="N55" i="45"/>
  <c r="R55" i="45" s="1"/>
  <c r="AA58" i="45"/>
  <c r="Y76" i="45"/>
  <c r="U79" i="45"/>
  <c r="I65" i="45"/>
  <c r="Q65" i="45"/>
  <c r="J63" i="45"/>
  <c r="N63" i="45" s="1"/>
  <c r="R63" i="45" s="1"/>
  <c r="V63" i="45" s="1"/>
  <c r="AB63" i="45" s="1"/>
  <c r="AF63" i="45" s="1"/>
  <c r="AJ63" i="45" s="1"/>
  <c r="AP63" i="45" s="1"/>
  <c r="AT63" i="45" s="1"/>
  <c r="AX63" i="45" s="1"/>
  <c r="BD63" i="45" s="1"/>
  <c r="J62" i="45"/>
  <c r="N62" i="45" s="1"/>
  <c r="R62" i="45" s="1"/>
  <c r="V62" i="45" s="1"/>
  <c r="AB62" i="45" s="1"/>
  <c r="AF62" i="45" s="1"/>
  <c r="AJ62" i="45" s="1"/>
  <c r="AP62" i="45" s="1"/>
  <c r="AT62" i="45" s="1"/>
  <c r="AX62" i="45" s="1"/>
  <c r="BD62" i="45" s="1"/>
  <c r="J64" i="45"/>
  <c r="N64" i="45" s="1"/>
  <c r="R64" i="45" s="1"/>
  <c r="V64" i="45" s="1"/>
  <c r="AB64" i="45" s="1"/>
  <c r="AF64" i="45" s="1"/>
  <c r="AJ64" i="45" s="1"/>
  <c r="AP64" i="45" s="1"/>
  <c r="AT64" i="45" s="1"/>
  <c r="AX64" i="45" s="1"/>
  <c r="BD64" i="45" s="1"/>
  <c r="K63" i="45"/>
  <c r="K62" i="45"/>
  <c r="O2" i="45"/>
  <c r="S2" i="45" s="1"/>
  <c r="W2" i="45" s="1"/>
  <c r="AC2" i="45" s="1"/>
  <c r="AG2" i="45" s="1"/>
  <c r="AK2" i="45" s="1"/>
  <c r="AQ2" i="45" s="1"/>
  <c r="AU2" i="45" s="1"/>
  <c r="AY2" i="45" s="1"/>
  <c r="BE2" i="45" s="1"/>
  <c r="K64" i="45"/>
  <c r="R5" i="45"/>
  <c r="K7" i="45"/>
  <c r="K50" i="45" s="1"/>
  <c r="G78" i="45"/>
  <c r="G65" i="45"/>
  <c r="G47" i="45"/>
  <c r="G49" i="45"/>
  <c r="G79" i="45"/>
  <c r="G71" i="45"/>
  <c r="AE79" i="45"/>
  <c r="AE47" i="45"/>
  <c r="AE50" i="45" s="1"/>
  <c r="AE51" i="45" s="1"/>
  <c r="Y65" i="45"/>
  <c r="Z64" i="45"/>
  <c r="Z62" i="45"/>
  <c r="Z63" i="45"/>
  <c r="S5" i="45"/>
  <c r="AA7" i="45"/>
  <c r="AA50" i="45" s="1"/>
  <c r="M65" i="45"/>
  <c r="F65" i="45"/>
  <c r="F49" i="45"/>
  <c r="P49" i="45"/>
  <c r="Z46" i="45"/>
  <c r="G51" i="45"/>
  <c r="K58" i="45"/>
  <c r="O57" i="45"/>
  <c r="K60" i="45"/>
  <c r="AE76" i="45"/>
  <c r="K75" i="45"/>
  <c r="K59" i="45"/>
  <c r="O59" i="45" s="1"/>
  <c r="AA75" i="45"/>
  <c r="AA59" i="45"/>
  <c r="U65" i="45"/>
  <c r="J46" i="45"/>
  <c r="AE78" i="45"/>
  <c r="M79" i="45"/>
  <c r="H49" i="45"/>
  <c r="X49" i="45"/>
  <c r="AD49" i="45"/>
  <c r="J53" i="45"/>
  <c r="Z53" i="45"/>
  <c r="Z54" i="45" s="1"/>
  <c r="O69" i="45"/>
  <c r="G76" i="45"/>
  <c r="G70" i="45"/>
  <c r="K53" i="45"/>
  <c r="S55" i="45"/>
  <c r="AA63" i="45"/>
  <c r="I76" i="45"/>
  <c r="Z56" i="45"/>
  <c r="J58" i="45"/>
  <c r="N57" i="45"/>
  <c r="AA62" i="45"/>
  <c r="W67" i="45"/>
  <c r="K69" i="45"/>
  <c r="O72" i="45"/>
  <c r="K46" i="45" l="1"/>
  <c r="AA46" i="45"/>
  <c r="AN65" i="45"/>
  <c r="AN49" i="45"/>
  <c r="S9" i="45"/>
  <c r="O64" i="45"/>
  <c r="S64" i="45" s="1"/>
  <c r="W64" i="45" s="1"/>
  <c r="AC64" i="45" s="1"/>
  <c r="AG64" i="45" s="1"/>
  <c r="AK64" i="45" s="1"/>
  <c r="AQ64" i="45" s="1"/>
  <c r="AU64" i="45" s="1"/>
  <c r="AY64" i="45" s="1"/>
  <c r="BE64" i="45" s="1"/>
  <c r="V5" i="45"/>
  <c r="O62" i="45"/>
  <c r="S62" i="45" s="1"/>
  <c r="W62" i="45" s="1"/>
  <c r="AC62" i="45" s="1"/>
  <c r="AG62" i="45" s="1"/>
  <c r="AK62" i="45" s="1"/>
  <c r="AQ62" i="45" s="1"/>
  <c r="AU62" i="45" s="1"/>
  <c r="AY62" i="45" s="1"/>
  <c r="BE62" i="45" s="1"/>
  <c r="G82" i="45"/>
  <c r="AE80" i="45"/>
  <c r="U51" i="45"/>
  <c r="O63" i="45"/>
  <c r="S63" i="45" s="1"/>
  <c r="W63" i="45" s="1"/>
  <c r="AC63" i="45" s="1"/>
  <c r="AG63" i="45" s="1"/>
  <c r="AK63" i="45" s="1"/>
  <c r="AQ63" i="45" s="1"/>
  <c r="AU63" i="45" s="1"/>
  <c r="AY63" i="45" s="1"/>
  <c r="BE63" i="45" s="1"/>
  <c r="I51" i="45"/>
  <c r="AA70" i="45"/>
  <c r="Q51" i="45"/>
  <c r="AE82" i="45"/>
  <c r="AA71" i="45"/>
  <c r="J54" i="45"/>
  <c r="N53" i="45"/>
  <c r="J65" i="45"/>
  <c r="N46" i="45"/>
  <c r="J49" i="45"/>
  <c r="K61" i="45"/>
  <c r="O60" i="45"/>
  <c r="Z65" i="45"/>
  <c r="Z49" i="45"/>
  <c r="M51" i="45"/>
  <c r="Q49" i="45"/>
  <c r="Q47" i="45"/>
  <c r="Q78" i="45"/>
  <c r="S75" i="45"/>
  <c r="W5" i="45"/>
  <c r="Y78" i="45"/>
  <c r="Y49" i="45"/>
  <c r="Y47" i="45"/>
  <c r="O7" i="45"/>
  <c r="O46" i="45" s="1"/>
  <c r="O77" i="45"/>
  <c r="S72" i="45"/>
  <c r="K76" i="45"/>
  <c r="K70" i="45"/>
  <c r="S70" i="45"/>
  <c r="O58" i="45"/>
  <c r="S57" i="45"/>
  <c r="O56" i="45"/>
  <c r="K54" i="45"/>
  <c r="O53" i="45"/>
  <c r="O76" i="45"/>
  <c r="O70" i="45"/>
  <c r="M78" i="45"/>
  <c r="M49" i="45"/>
  <c r="M47" i="45"/>
  <c r="AC67" i="45"/>
  <c r="W69" i="45"/>
  <c r="N58" i="45"/>
  <c r="R57" i="45"/>
  <c r="N56" i="45"/>
  <c r="W55" i="45"/>
  <c r="V55" i="45"/>
  <c r="U78" i="45"/>
  <c r="U49" i="45"/>
  <c r="U47" i="45"/>
  <c r="S59" i="45"/>
  <c r="K79" i="45"/>
  <c r="K71" i="45"/>
  <c r="N59" i="45"/>
  <c r="R59" i="45" s="1"/>
  <c r="Y51" i="45"/>
  <c r="G80" i="45"/>
  <c r="I78" i="45"/>
  <c r="I49" i="45"/>
  <c r="I47" i="45"/>
  <c r="V59" i="45" l="1"/>
  <c r="O50" i="45"/>
  <c r="W9" i="45"/>
  <c r="AB5" i="45"/>
  <c r="W59" i="45"/>
  <c r="W79" i="45"/>
  <c r="W71" i="45"/>
  <c r="R58" i="45"/>
  <c r="V57" i="45"/>
  <c r="R56" i="45"/>
  <c r="M80" i="45"/>
  <c r="M82" i="45"/>
  <c r="S53" i="45"/>
  <c r="O54" i="45"/>
  <c r="AA65" i="45"/>
  <c r="AA78" i="45"/>
  <c r="AA49" i="45"/>
  <c r="AA47" i="45"/>
  <c r="K65" i="45"/>
  <c r="K78" i="45"/>
  <c r="K49" i="45"/>
  <c r="K47" i="45"/>
  <c r="N65" i="45"/>
  <c r="N49" i="45"/>
  <c r="R46" i="45"/>
  <c r="AC55" i="45"/>
  <c r="AA51" i="45"/>
  <c r="S7" i="45"/>
  <c r="S46" i="45" s="1"/>
  <c r="Q80" i="45"/>
  <c r="Q82" i="45"/>
  <c r="O61" i="45"/>
  <c r="S60" i="45"/>
  <c r="U80" i="45"/>
  <c r="U82" i="45"/>
  <c r="W76" i="45"/>
  <c r="W70" i="45"/>
  <c r="O79" i="45"/>
  <c r="O71" i="45"/>
  <c r="S77" i="45"/>
  <c r="W72" i="45"/>
  <c r="K51" i="45"/>
  <c r="Y80" i="45"/>
  <c r="Y82" i="45"/>
  <c r="R53" i="45"/>
  <c r="N54" i="45"/>
  <c r="I80" i="45"/>
  <c r="I82" i="45"/>
  <c r="AB55" i="45"/>
  <c r="AC69" i="45"/>
  <c r="AG67" i="45"/>
  <c r="S79" i="45"/>
  <c r="S71" i="45"/>
  <c r="S58" i="45"/>
  <c r="W57" i="45"/>
  <c r="S56" i="45"/>
  <c r="W75" i="45"/>
  <c r="AC5" i="45"/>
  <c r="S50" i="45" l="1"/>
  <c r="AG69" i="45"/>
  <c r="AK67" i="45"/>
  <c r="AC9" i="45"/>
  <c r="AF5" i="45"/>
  <c r="AJ5" i="45" s="1"/>
  <c r="AP5" i="45" s="1"/>
  <c r="AT5" i="45" s="1"/>
  <c r="AX5" i="45" s="1"/>
  <c r="BD5" i="45" s="1"/>
  <c r="AB59" i="45"/>
  <c r="AF55" i="45"/>
  <c r="AJ55" i="45" s="1"/>
  <c r="W7" i="45"/>
  <c r="W46" i="45" s="1"/>
  <c r="R65" i="45"/>
  <c r="R49" i="45"/>
  <c r="V46" i="45"/>
  <c r="V53" i="45"/>
  <c r="R54" i="45"/>
  <c r="W58" i="45"/>
  <c r="AC57" i="45"/>
  <c r="W56" i="45"/>
  <c r="AG76" i="45"/>
  <c r="O51" i="45"/>
  <c r="AG79" i="45"/>
  <c r="AG71" i="45"/>
  <c r="K80" i="45"/>
  <c r="K82" i="45"/>
  <c r="AA80" i="45"/>
  <c r="AA82" i="45"/>
  <c r="AC75" i="45"/>
  <c r="AG5" i="45"/>
  <c r="AC76" i="45"/>
  <c r="AC70" i="45"/>
  <c r="AC59" i="45"/>
  <c r="AC71" i="45"/>
  <c r="AC79" i="45"/>
  <c r="S61" i="45"/>
  <c r="W60" i="45"/>
  <c r="AG55" i="45"/>
  <c r="AK55" i="45" s="1"/>
  <c r="AQ55" i="45" s="1"/>
  <c r="AC72" i="45"/>
  <c r="W77" i="45"/>
  <c r="O78" i="45"/>
  <c r="O65" i="45"/>
  <c r="O47" i="45"/>
  <c r="O49" i="45"/>
  <c r="W53" i="45"/>
  <c r="S54" i="45"/>
  <c r="V58" i="45"/>
  <c r="AB57" i="45"/>
  <c r="V56" i="45"/>
  <c r="BD59" i="45" l="1"/>
  <c r="W50" i="45"/>
  <c r="AF59" i="45"/>
  <c r="AJ59" i="45" s="1"/>
  <c r="AP59" i="45" s="1"/>
  <c r="AT59" i="45" s="1"/>
  <c r="AG75" i="45"/>
  <c r="AK5" i="45"/>
  <c r="AK69" i="45"/>
  <c r="AQ67" i="45"/>
  <c r="AU55" i="45"/>
  <c r="AY55" i="45" s="1"/>
  <c r="BE55" i="45" s="1"/>
  <c r="AP55" i="45"/>
  <c r="AT55" i="45" s="1"/>
  <c r="AX55" i="45" s="1"/>
  <c r="BD55" i="45" s="1"/>
  <c r="AG9" i="45"/>
  <c r="AG59" i="45"/>
  <c r="AG70" i="45"/>
  <c r="AB56" i="45"/>
  <c r="AF57" i="45"/>
  <c r="AJ57" i="45" s="1"/>
  <c r="AB58" i="45"/>
  <c r="AC77" i="45"/>
  <c r="AG72" i="45"/>
  <c r="AC56" i="45"/>
  <c r="AC58" i="45"/>
  <c r="AG57" i="45"/>
  <c r="AK57" i="45" s="1"/>
  <c r="V65" i="45"/>
  <c r="V49" i="45"/>
  <c r="AB46" i="45"/>
  <c r="S65" i="45"/>
  <c r="S78" i="45"/>
  <c r="S49" i="45"/>
  <c r="S47" i="45"/>
  <c r="AC53" i="45"/>
  <c r="W54" i="45"/>
  <c r="O80" i="45"/>
  <c r="O82" i="45"/>
  <c r="AC60" i="45"/>
  <c r="W61" i="45"/>
  <c r="AB53" i="45"/>
  <c r="V54" i="45"/>
  <c r="AC7" i="45"/>
  <c r="AC46" i="45" s="1"/>
  <c r="S51" i="45"/>
  <c r="AJ58" i="45" l="1"/>
  <c r="AP57" i="45"/>
  <c r="AJ56" i="45"/>
  <c r="AC50" i="45"/>
  <c r="AK76" i="45"/>
  <c r="AK70" i="45"/>
  <c r="AG77" i="45"/>
  <c r="AK72" i="45"/>
  <c r="AK56" i="45"/>
  <c r="AQ57" i="45"/>
  <c r="AK58" i="45"/>
  <c r="AQ5" i="45"/>
  <c r="AK75" i="45"/>
  <c r="AK59" i="45"/>
  <c r="AU67" i="45"/>
  <c r="AQ69" i="45"/>
  <c r="AK9" i="45"/>
  <c r="AC61" i="45"/>
  <c r="AG60" i="45"/>
  <c r="AG56" i="45"/>
  <c r="AG58" i="45"/>
  <c r="AF56" i="45"/>
  <c r="AF58" i="45"/>
  <c r="AG7" i="45"/>
  <c r="AK7" i="45" s="1"/>
  <c r="AQ7" i="45" s="1"/>
  <c r="AU7" i="45" s="1"/>
  <c r="AY7" i="45" s="1"/>
  <c r="BE7" i="45" s="1"/>
  <c r="AF53" i="45"/>
  <c r="AB54" i="45"/>
  <c r="W78" i="45"/>
  <c r="W65" i="45"/>
  <c r="W47" i="45"/>
  <c r="W49" i="45"/>
  <c r="AG53" i="45"/>
  <c r="AC54" i="45"/>
  <c r="AB65" i="45"/>
  <c r="AB49" i="45"/>
  <c r="AF46" i="45"/>
  <c r="AJ46" i="45" s="1"/>
  <c r="AP46" i="45" s="1"/>
  <c r="AT46" i="45" s="1"/>
  <c r="AX46" i="45" s="1"/>
  <c r="BD46" i="45" s="1"/>
  <c r="W51" i="45"/>
  <c r="S80" i="45"/>
  <c r="S82" i="45"/>
  <c r="AU69" i="45" l="1"/>
  <c r="AY67" i="45"/>
  <c r="BD49" i="45"/>
  <c r="AG50" i="45"/>
  <c r="AQ59" i="45"/>
  <c r="AX49" i="45"/>
  <c r="AF54" i="45"/>
  <c r="AJ53" i="45"/>
  <c r="AU57" i="45"/>
  <c r="AY57" i="45" s="1"/>
  <c r="BE57" i="45" s="1"/>
  <c r="AQ58" i="45"/>
  <c r="AQ56" i="45"/>
  <c r="AQ75" i="45"/>
  <c r="AU5" i="45"/>
  <c r="AY5" i="45" s="1"/>
  <c r="AP58" i="45"/>
  <c r="AT57" i="45"/>
  <c r="AX57" i="45" s="1"/>
  <c r="BD57" i="45" s="1"/>
  <c r="AP56" i="45"/>
  <c r="AQ70" i="45"/>
  <c r="AQ76" i="45"/>
  <c r="AG54" i="45"/>
  <c r="AK53" i="45"/>
  <c r="AG46" i="45"/>
  <c r="AU76" i="45"/>
  <c r="AK77" i="45"/>
  <c r="AQ72" i="45"/>
  <c r="AT49" i="45"/>
  <c r="AQ9" i="45"/>
  <c r="AP65" i="45"/>
  <c r="AP49" i="45"/>
  <c r="AK46" i="45"/>
  <c r="AJ65" i="45"/>
  <c r="AJ49" i="45"/>
  <c r="AG61" i="45"/>
  <c r="AK60" i="45"/>
  <c r="AF49" i="45"/>
  <c r="AF65" i="45"/>
  <c r="W80" i="45"/>
  <c r="W82" i="45"/>
  <c r="AC78" i="45"/>
  <c r="AC49" i="45"/>
  <c r="AC47" i="45"/>
  <c r="AC65" i="45"/>
  <c r="AC51" i="45"/>
  <c r="AK49" i="45" l="1"/>
  <c r="AK50" i="45"/>
  <c r="AK51" i="45" s="1"/>
  <c r="BE67" i="45"/>
  <c r="BE69" i="45" s="1"/>
  <c r="AY69" i="45"/>
  <c r="BD58" i="45"/>
  <c r="BD56" i="45"/>
  <c r="BE5" i="45"/>
  <c r="BE59" i="45"/>
  <c r="AY75" i="45"/>
  <c r="BE58" i="45"/>
  <c r="BE56" i="45"/>
  <c r="BD65" i="45"/>
  <c r="AY58" i="45"/>
  <c r="AY56" i="45"/>
  <c r="AX58" i="45"/>
  <c r="AX56" i="45"/>
  <c r="AT65" i="45"/>
  <c r="AX65" i="45"/>
  <c r="AU9" i="45"/>
  <c r="AQ77" i="45"/>
  <c r="AU72" i="45"/>
  <c r="AU59" i="45"/>
  <c r="AU75" i="45"/>
  <c r="AU58" i="45"/>
  <c r="AU56" i="45"/>
  <c r="AP53" i="45"/>
  <c r="AJ54" i="45"/>
  <c r="AK54" i="45"/>
  <c r="AQ53" i="45"/>
  <c r="AU70" i="45"/>
  <c r="AT58" i="45"/>
  <c r="AT56" i="45"/>
  <c r="AK78" i="45"/>
  <c r="AK80" i="45" s="1"/>
  <c r="AQ46" i="45"/>
  <c r="AQ50" i="45" s="1"/>
  <c r="AK65" i="45"/>
  <c r="AK61" i="45"/>
  <c r="AQ60" i="45"/>
  <c r="AK47" i="45"/>
  <c r="AG51" i="45"/>
  <c r="AG65" i="45"/>
  <c r="AG49" i="45"/>
  <c r="AG78" i="45"/>
  <c r="AG47" i="45"/>
  <c r="AC80" i="45"/>
  <c r="AC82" i="45"/>
  <c r="BC23" i="36" l="1"/>
  <c r="AU77" i="45"/>
  <c r="AY72" i="45"/>
  <c r="AY76" i="45"/>
  <c r="AY70" i="45"/>
  <c r="BE75" i="45"/>
  <c r="BE76" i="45"/>
  <c r="BE70" i="45"/>
  <c r="AY9" i="45"/>
  <c r="BE9" i="45" s="1"/>
  <c r="AP54" i="45"/>
  <c r="AT53" i="45"/>
  <c r="AU53" i="45"/>
  <c r="AQ54" i="45"/>
  <c r="AQ61" i="45"/>
  <c r="AU60" i="45"/>
  <c r="AU46" i="45"/>
  <c r="AU50" i="45" s="1"/>
  <c r="AK82" i="45"/>
  <c r="AQ51" i="45"/>
  <c r="AQ78" i="45"/>
  <c r="AQ47" i="45"/>
  <c r="AQ65" i="45"/>
  <c r="AQ49" i="45"/>
  <c r="AG80" i="45"/>
  <c r="AG82" i="45"/>
  <c r="AY77" i="45" l="1"/>
  <c r="BE72" i="45"/>
  <c r="BE77" i="45" s="1"/>
  <c r="BE46" i="45"/>
  <c r="BE50" i="45" s="1"/>
  <c r="AT54" i="45"/>
  <c r="AX53" i="45"/>
  <c r="AU54" i="45"/>
  <c r="AY53" i="45"/>
  <c r="AU61" i="45"/>
  <c r="AY60" i="45"/>
  <c r="AY46" i="45"/>
  <c r="AU51" i="45"/>
  <c r="AU65" i="45"/>
  <c r="AU78" i="45"/>
  <c r="AU47" i="45"/>
  <c r="AU49" i="45"/>
  <c r="AQ82" i="45"/>
  <c r="AQ80" i="45"/>
  <c r="AD33" i="22"/>
  <c r="AC33" i="22"/>
  <c r="AC21" i="22" s="1"/>
  <c r="AD28" i="22"/>
  <c r="AD64" i="22" s="1"/>
  <c r="AD65" i="22" s="1"/>
  <c r="AD66" i="22" s="1"/>
  <c r="AC40" i="48" s="1"/>
  <c r="AD24" i="22"/>
  <c r="AD23" i="22"/>
  <c r="AD51" i="22" s="1"/>
  <c r="AD53" i="22" s="1"/>
  <c r="AD55" i="22" s="1"/>
  <c r="AD56" i="22" s="1"/>
  <c r="AC26" i="48" s="1"/>
  <c r="AC28" i="48" s="1"/>
  <c r="AD14" i="22"/>
  <c r="AD59" i="22" s="1"/>
  <c r="AD60" i="22" s="1"/>
  <c r="AD61" i="22" s="1"/>
  <c r="AC37" i="48" s="1"/>
  <c r="AD10" i="22"/>
  <c r="AD9" i="22"/>
  <c r="AD43" i="22" s="1"/>
  <c r="AD45" i="22" s="1"/>
  <c r="AD47" i="22" s="1"/>
  <c r="AD48" i="22" s="1"/>
  <c r="AC21" i="48" s="1"/>
  <c r="AC23" i="48" s="1"/>
  <c r="AC37" i="27"/>
  <c r="AC31" i="27"/>
  <c r="AM31" i="27" s="1"/>
  <c r="AC29" i="27"/>
  <c r="AM29" i="27" s="1"/>
  <c r="AC27" i="27"/>
  <c r="AC22" i="27"/>
  <c r="AC21" i="27"/>
  <c r="AC10" i="15"/>
  <c r="AM10" i="15" s="1"/>
  <c r="AB18" i="15"/>
  <c r="AC17" i="15"/>
  <c r="AB17" i="15"/>
  <c r="AC14" i="15"/>
  <c r="AC16" i="15" s="1"/>
  <c r="AB11" i="15"/>
  <c r="AC9" i="15"/>
  <c r="AB9" i="15"/>
  <c r="AC8" i="15"/>
  <c r="AB8" i="15"/>
  <c r="AC7" i="15"/>
  <c r="AB7" i="15"/>
  <c r="AC6" i="15"/>
  <c r="AB6" i="15"/>
  <c r="AC5" i="15"/>
  <c r="AB5" i="15"/>
  <c r="AC94" i="26"/>
  <c r="AB94" i="26"/>
  <c r="AC92" i="26"/>
  <c r="AB92" i="26"/>
  <c r="AC78" i="26"/>
  <c r="AM67" i="26" s="1"/>
  <c r="BC67" i="26" s="1"/>
  <c r="AB78" i="26"/>
  <c r="AC65" i="26"/>
  <c r="AB63" i="26"/>
  <c r="AB65" i="26" s="1"/>
  <c r="AB61" i="26"/>
  <c r="AB60" i="26"/>
  <c r="AC59" i="26"/>
  <c r="AC61" i="26" s="1"/>
  <c r="AC54" i="26"/>
  <c r="AC55" i="26" s="1"/>
  <c r="AB54" i="26"/>
  <c r="AB55" i="26" s="1"/>
  <c r="AC38" i="26"/>
  <c r="AC43" i="26" s="1"/>
  <c r="AB38" i="26"/>
  <c r="AB39" i="26" s="1"/>
  <c r="AC34" i="26"/>
  <c r="AB34" i="26"/>
  <c r="AB11" i="26"/>
  <c r="AD9" i="26"/>
  <c r="AC9" i="26"/>
  <c r="AC10" i="26" s="1"/>
  <c r="AM6" i="26" s="1"/>
  <c r="BC6" i="26" s="1"/>
  <c r="AB9" i="26"/>
  <c r="AB10" i="26" s="1"/>
  <c r="AH94" i="38"/>
  <c r="AH93" i="38"/>
  <c r="AH92" i="38"/>
  <c r="AH91" i="38"/>
  <c r="AG90" i="38"/>
  <c r="AH89" i="38"/>
  <c r="AG88" i="38"/>
  <c r="AG87" i="38" s="1"/>
  <c r="AG64" i="38" s="1"/>
  <c r="AH86" i="38"/>
  <c r="AH85" i="38"/>
  <c r="AH84" i="38"/>
  <c r="AH83" i="38"/>
  <c r="AG82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H68" i="38"/>
  <c r="AH67" i="38"/>
  <c r="AG66" i="38"/>
  <c r="AH62" i="38"/>
  <c r="AH61" i="38"/>
  <c r="AG60" i="38"/>
  <c r="AH59" i="38"/>
  <c r="AH58" i="38"/>
  <c r="AH57" i="38"/>
  <c r="AH56" i="38"/>
  <c r="AH55" i="38"/>
  <c r="AG54" i="38"/>
  <c r="AG52" i="38"/>
  <c r="AH51" i="38"/>
  <c r="AG51" i="38"/>
  <c r="AG46" i="38"/>
  <c r="AG45" i="38"/>
  <c r="AG44" i="38"/>
  <c r="AG43" i="38"/>
  <c r="AH42" i="38"/>
  <c r="AG41" i="38"/>
  <c r="AH40" i="38"/>
  <c r="AG38" i="38"/>
  <c r="AG37" i="38"/>
  <c r="AG36" i="38"/>
  <c r="AG35" i="38"/>
  <c r="AH34" i="38"/>
  <c r="AG32" i="38"/>
  <c r="AG31" i="38"/>
  <c r="AG30" i="38"/>
  <c r="AG29" i="38"/>
  <c r="AG28" i="38"/>
  <c r="AQ28" i="38" s="1"/>
  <c r="AG27" i="38"/>
  <c r="AG26" i="38"/>
  <c r="AG25" i="38"/>
  <c r="AG24" i="38"/>
  <c r="AG23" i="38"/>
  <c r="AG22" i="38"/>
  <c r="AG21" i="38"/>
  <c r="AQ21" i="38" s="1"/>
  <c r="AG20" i="38"/>
  <c r="AG19" i="38"/>
  <c r="AH18" i="38"/>
  <c r="AG14" i="38"/>
  <c r="AG13" i="38"/>
  <c r="AH12" i="38"/>
  <c r="AG11" i="38"/>
  <c r="AG10" i="38"/>
  <c r="AG9" i="38"/>
  <c r="AG8" i="38"/>
  <c r="AG7" i="38"/>
  <c r="AQ7" i="38" s="1"/>
  <c r="AH6" i="38"/>
  <c r="AE88" i="17"/>
  <c r="AB113" i="17"/>
  <c r="AC81" i="17"/>
  <c r="AB81" i="17"/>
  <c r="AC77" i="17"/>
  <c r="AB77" i="17"/>
  <c r="AC66" i="17"/>
  <c r="AC68" i="17" s="1"/>
  <c r="AB66" i="17"/>
  <c r="AB68" i="17" s="1"/>
  <c r="AC58" i="17"/>
  <c r="AB57" i="17"/>
  <c r="AB56" i="17"/>
  <c r="AL56" i="17" s="1"/>
  <c r="AC52" i="17"/>
  <c r="AB51" i="17"/>
  <c r="AB50" i="17"/>
  <c r="AB54" i="17" s="1"/>
  <c r="AC48" i="17"/>
  <c r="AB47" i="17"/>
  <c r="AC46" i="17"/>
  <c r="AB45" i="17"/>
  <c r="AC43" i="17"/>
  <c r="AB43" i="17"/>
  <c r="AC42" i="17"/>
  <c r="AC40" i="17"/>
  <c r="AC38" i="17"/>
  <c r="AB25" i="17"/>
  <c r="AC21" i="17"/>
  <c r="AB18" i="17"/>
  <c r="AB17" i="17"/>
  <c r="AL17" i="17" s="1"/>
  <c r="AB15" i="17"/>
  <c r="AL15" i="17" s="1"/>
  <c r="AL29" i="17" s="1"/>
  <c r="AB14" i="17"/>
  <c r="AC11" i="17"/>
  <c r="AC13" i="17"/>
  <c r="AC112" i="17"/>
  <c r="AB8" i="17"/>
  <c r="AD65" i="11"/>
  <c r="AD63" i="11"/>
  <c r="AD57" i="11"/>
  <c r="AD64" i="11" s="1"/>
  <c r="AD48" i="11"/>
  <c r="AN48" i="11" s="1"/>
  <c r="AD46" i="11"/>
  <c r="AC46" i="11"/>
  <c r="AD44" i="11"/>
  <c r="AC44" i="11"/>
  <c r="AD41" i="11"/>
  <c r="AC41" i="11"/>
  <c r="AD36" i="11"/>
  <c r="AD59" i="11" s="1"/>
  <c r="AC34" i="11"/>
  <c r="AD34" i="11"/>
  <c r="AQ76" i="38" l="1"/>
  <c r="BG28" i="38"/>
  <c r="BG76" i="38" s="1"/>
  <c r="AQ69" i="38"/>
  <c r="BG21" i="38"/>
  <c r="BG69" i="38" s="1"/>
  <c r="AQ55" i="38"/>
  <c r="BG7" i="38"/>
  <c r="BG55" i="38" s="1"/>
  <c r="AY78" i="45"/>
  <c r="AY50" i="45"/>
  <c r="BC10" i="15"/>
  <c r="BD28" i="15"/>
  <c r="BE51" i="45"/>
  <c r="AN49" i="11"/>
  <c r="BD48" i="11"/>
  <c r="BD49" i="11" s="1"/>
  <c r="BE49" i="45"/>
  <c r="BF33" i="45" s="1"/>
  <c r="BF1" i="45" s="1"/>
  <c r="BE47" i="45"/>
  <c r="BE78" i="45"/>
  <c r="BE80" i="45" s="1"/>
  <c r="BE65" i="45"/>
  <c r="AX54" i="45"/>
  <c r="BD53" i="45"/>
  <c r="BD54" i="45" s="1"/>
  <c r="AY54" i="45"/>
  <c r="BE53" i="45"/>
  <c r="BE54" i="45" s="1"/>
  <c r="AY61" i="45"/>
  <c r="BE60" i="45"/>
  <c r="BE61" i="45" s="1"/>
  <c r="AY80" i="45"/>
  <c r="AY82" i="45"/>
  <c r="AC15" i="17"/>
  <c r="AM34" i="17"/>
  <c r="AL43" i="17"/>
  <c r="AQ14" i="38"/>
  <c r="AQ29" i="38"/>
  <c r="AQ31" i="38"/>
  <c r="AH82" i="38"/>
  <c r="AR34" i="38"/>
  <c r="AH90" i="38"/>
  <c r="AR42" i="38"/>
  <c r="AD12" i="22"/>
  <c r="AN10" i="22"/>
  <c r="AC42" i="11"/>
  <c r="AM41" i="11"/>
  <c r="AL25" i="17"/>
  <c r="AB29" i="17"/>
  <c r="AC44" i="17"/>
  <c r="AM43" i="17"/>
  <c r="BC43" i="17" s="1"/>
  <c r="AL47" i="17"/>
  <c r="AL48" i="17" s="1"/>
  <c r="AL51" i="17"/>
  <c r="AL52" i="17" s="1"/>
  <c r="AL113" i="17" s="1"/>
  <c r="AB58" i="17"/>
  <c r="AB59" i="17" s="1"/>
  <c r="AH54" i="38"/>
  <c r="AR6" i="38"/>
  <c r="AQ8" i="38"/>
  <c r="AQ10" i="38"/>
  <c r="AH60" i="38"/>
  <c r="AR12" i="38"/>
  <c r="AQ20" i="38"/>
  <c r="AQ22" i="38"/>
  <c r="AQ24" i="38"/>
  <c r="AQ26" i="38"/>
  <c r="AQ35" i="38"/>
  <c r="AQ37" i="38"/>
  <c r="AR40" i="38"/>
  <c r="AQ43" i="38"/>
  <c r="AQ45" i="38"/>
  <c r="AM21" i="27"/>
  <c r="BC21" i="27" s="1"/>
  <c r="BC25" i="27" s="1"/>
  <c r="AC25" i="27"/>
  <c r="AD42" i="11"/>
  <c r="AN41" i="11"/>
  <c r="AL18" i="17"/>
  <c r="AL21" i="17" s="1"/>
  <c r="AL45" i="17"/>
  <c r="AL46" i="17" s="1"/>
  <c r="AC61" i="17"/>
  <c r="AM89" i="17"/>
  <c r="BC89" i="17" s="1"/>
  <c r="AQ13" i="38"/>
  <c r="AH66" i="38"/>
  <c r="AR18" i="38"/>
  <c r="AQ30" i="38"/>
  <c r="AQ32" i="38"/>
  <c r="AQ41" i="38"/>
  <c r="AM22" i="27"/>
  <c r="BC22" i="27" s="1"/>
  <c r="AM37" i="27"/>
  <c r="AM40" i="27" s="1"/>
  <c r="AC40" i="27"/>
  <c r="AB10" i="17"/>
  <c r="AL8" i="17"/>
  <c r="AB21" i="17"/>
  <c r="AB33" i="17" s="1"/>
  <c r="AL57" i="17"/>
  <c r="AL58" i="17" s="1"/>
  <c r="AQ9" i="38"/>
  <c r="AQ11" i="38"/>
  <c r="AQ19" i="38"/>
  <c r="AQ23" i="38"/>
  <c r="AQ25" i="38"/>
  <c r="AQ27" i="38"/>
  <c r="AD60" i="45"/>
  <c r="AQ36" i="38"/>
  <c r="AQ38" i="38"/>
  <c r="AQ44" i="38"/>
  <c r="AQ46" i="38"/>
  <c r="AH88" i="38"/>
  <c r="AM27" i="27"/>
  <c r="AM34" i="27" s="1"/>
  <c r="AC34" i="27"/>
  <c r="AD26" i="22"/>
  <c r="AN24" i="22"/>
  <c r="AY65" i="45"/>
  <c r="AY47" i="45"/>
  <c r="AY49" i="45"/>
  <c r="AY51" i="45"/>
  <c r="AU80" i="45"/>
  <c r="AU82" i="45"/>
  <c r="AB12" i="15"/>
  <c r="AB13" i="15" s="1"/>
  <c r="AL11" i="15"/>
  <c r="AL12" i="15" s="1"/>
  <c r="AL13" i="15" s="1"/>
  <c r="AC37" i="11"/>
  <c r="AM34" i="11"/>
  <c r="AC22" i="22"/>
  <c r="AM22" i="22" s="1"/>
  <c r="BC22" i="22" s="1"/>
  <c r="AM21" i="22"/>
  <c r="BC21" i="22" s="1"/>
  <c r="AM89" i="26"/>
  <c r="BC89" i="26" s="1"/>
  <c r="AM81" i="26"/>
  <c r="BC81" i="26" s="1"/>
  <c r="AM82" i="26"/>
  <c r="BC82" i="26" s="1"/>
  <c r="AM83" i="26"/>
  <c r="BC83" i="26" s="1"/>
  <c r="AM87" i="26"/>
  <c r="BC87" i="26" s="1"/>
  <c r="AM86" i="26"/>
  <c r="BC86" i="26" s="1"/>
  <c r="AM80" i="26"/>
  <c r="BC80" i="26" s="1"/>
  <c r="AM91" i="26"/>
  <c r="BC91" i="26" s="1"/>
  <c r="AM88" i="26"/>
  <c r="BC88" i="26" s="1"/>
  <c r="AM85" i="26"/>
  <c r="BC85" i="26" s="1"/>
  <c r="AM90" i="26"/>
  <c r="BC90" i="26" s="1"/>
  <c r="AM84" i="26"/>
  <c r="BC84" i="26" s="1"/>
  <c r="AC13" i="26"/>
  <c r="AB14" i="15"/>
  <c r="AB15" i="15" s="1"/>
  <c r="AG40" i="38"/>
  <c r="AC7" i="22"/>
  <c r="AC42" i="26"/>
  <c r="AB14" i="26"/>
  <c r="AC39" i="26"/>
  <c r="AM36" i="26" s="1"/>
  <c r="BC36" i="26" s="1"/>
  <c r="AB43" i="26"/>
  <c r="AC14" i="26"/>
  <c r="AC60" i="26"/>
  <c r="AH15" i="38"/>
  <c r="AG18" i="38"/>
  <c r="AG63" i="38"/>
  <c r="AH17" i="38"/>
  <c r="AR17" i="38" s="1"/>
  <c r="AG42" i="38"/>
  <c r="AQ42" i="38" s="1"/>
  <c r="AC48" i="11"/>
  <c r="AG6" i="38"/>
  <c r="AQ6" i="38" s="1"/>
  <c r="AH39" i="38"/>
  <c r="AR39" i="38" s="1"/>
  <c r="AG12" i="38"/>
  <c r="AG34" i="38"/>
  <c r="AC49" i="17"/>
  <c r="AC110" i="17" s="1"/>
  <c r="AC114" i="17" s="1"/>
  <c r="AC10" i="17"/>
  <c r="AC12" i="17"/>
  <c r="AC29" i="17"/>
  <c r="AC30" i="17"/>
  <c r="AC31" i="17"/>
  <c r="AC32" i="17"/>
  <c r="AC59" i="17"/>
  <c r="AB111" i="17"/>
  <c r="AB115" i="17" s="1"/>
  <c r="AB112" i="17"/>
  <c r="AB61" i="17"/>
  <c r="AB49" i="17"/>
  <c r="AB30" i="17"/>
  <c r="AB31" i="17"/>
  <c r="AD58" i="11"/>
  <c r="AD66" i="11"/>
  <c r="AD37" i="11"/>
  <c r="AD53" i="11"/>
  <c r="AD35" i="11"/>
  <c r="AD39" i="11"/>
  <c r="AD49" i="11"/>
  <c r="AC53" i="11"/>
  <c r="AD67" i="11"/>
  <c r="AD125" i="10"/>
  <c r="AD123" i="10"/>
  <c r="AD117" i="10"/>
  <c r="AD118" i="10" s="1"/>
  <c r="AD108" i="10"/>
  <c r="AN108" i="10" s="1"/>
  <c r="AC108" i="10"/>
  <c r="AM108" i="10" s="1"/>
  <c r="AM109" i="10" s="1"/>
  <c r="AD106" i="10"/>
  <c r="AC106" i="10"/>
  <c r="AD104" i="10"/>
  <c r="AC104" i="10"/>
  <c r="AD101" i="10"/>
  <c r="AC101" i="10"/>
  <c r="AD96" i="10"/>
  <c r="AD119" i="10" s="1"/>
  <c r="AD94" i="10"/>
  <c r="AD97" i="10" s="1"/>
  <c r="AC94" i="10"/>
  <c r="O33" i="34"/>
  <c r="Q33" i="34" s="1"/>
  <c r="T33" i="34" s="1"/>
  <c r="V33" i="34" s="1"/>
  <c r="AC129" i="9"/>
  <c r="AM129" i="9" s="1"/>
  <c r="BC129" i="9" s="1"/>
  <c r="AC128" i="9"/>
  <c r="AM128" i="9" s="1"/>
  <c r="BC128" i="9" s="1"/>
  <c r="AC94" i="9"/>
  <c r="AB94" i="9"/>
  <c r="AL94" i="9" s="1"/>
  <c r="AB90" i="9"/>
  <c r="AL90" i="9" s="1"/>
  <c r="AC89" i="9"/>
  <c r="AC18" i="15" s="1"/>
  <c r="AC88" i="9"/>
  <c r="AB87" i="9"/>
  <c r="AL87" i="9" s="1"/>
  <c r="AC83" i="9"/>
  <c r="AB66" i="9"/>
  <c r="AL66" i="9" s="1"/>
  <c r="BB66" i="9" s="1"/>
  <c r="AB65" i="9"/>
  <c r="AL65" i="9" s="1"/>
  <c r="BB65" i="9" s="1"/>
  <c r="AB64" i="9"/>
  <c r="AL64" i="9" s="1"/>
  <c r="BB64" i="9" s="1"/>
  <c r="AB63" i="9"/>
  <c r="AL63" i="9" s="1"/>
  <c r="BB63" i="9" s="1"/>
  <c r="AB62" i="9"/>
  <c r="AL62" i="9" s="1"/>
  <c r="BB62" i="9" s="1"/>
  <c r="AB61" i="9"/>
  <c r="AL61" i="9" s="1"/>
  <c r="BB61" i="9" s="1"/>
  <c r="AB60" i="9"/>
  <c r="AL60" i="9" s="1"/>
  <c r="BB60" i="9" s="1"/>
  <c r="AB59" i="9"/>
  <c r="AL59" i="9" s="1"/>
  <c r="BB59" i="9" s="1"/>
  <c r="AB57" i="9"/>
  <c r="AL57" i="9" s="1"/>
  <c r="BB57" i="9" s="1"/>
  <c r="AB56" i="9"/>
  <c r="AL56" i="9" s="1"/>
  <c r="BB56" i="9" s="1"/>
  <c r="AB53" i="9"/>
  <c r="AL53" i="9" s="1"/>
  <c r="BB53" i="9" s="1"/>
  <c r="BB68" i="9" s="1"/>
  <c r="AB45" i="9"/>
  <c r="AL45" i="9" s="1"/>
  <c r="BB45" i="9" s="1"/>
  <c r="AC44" i="9"/>
  <c r="AC38" i="9"/>
  <c r="AC46" i="9" s="1"/>
  <c r="AM46" i="9" s="1"/>
  <c r="BC46" i="9" s="1"/>
  <c r="AC37" i="9"/>
  <c r="AC45" i="9" s="1"/>
  <c r="AM45" i="9" s="1"/>
  <c r="BC45" i="9" s="1"/>
  <c r="BC47" i="9" s="1"/>
  <c r="AC36" i="9"/>
  <c r="AC33" i="9"/>
  <c r="AB29" i="9"/>
  <c r="AL29" i="9" s="1"/>
  <c r="BB29" i="9" s="1"/>
  <c r="AC27" i="9"/>
  <c r="AB26" i="9"/>
  <c r="AL26" i="9" s="1"/>
  <c r="BB26" i="9" s="1"/>
  <c r="AB24" i="9"/>
  <c r="AL24" i="9" s="1"/>
  <c r="BB24" i="9" s="1"/>
  <c r="AC10" i="9"/>
  <c r="AB7" i="9"/>
  <c r="AC91" i="8"/>
  <c r="AM91" i="8" s="1"/>
  <c r="AC85" i="8"/>
  <c r="AM85" i="8" s="1"/>
  <c r="BC85" i="8" s="1"/>
  <c r="AB85" i="8"/>
  <c r="AE73" i="8"/>
  <c r="AC73" i="8"/>
  <c r="AB73" i="8"/>
  <c r="AC68" i="8"/>
  <c r="AC66" i="8"/>
  <c r="AM66" i="8" s="1"/>
  <c r="AC63" i="8"/>
  <c r="AC62" i="8"/>
  <c r="AM62" i="8" s="1"/>
  <c r="BC62" i="8" s="1"/>
  <c r="AC60" i="8"/>
  <c r="AM60" i="8" s="1"/>
  <c r="BC60" i="8" s="1"/>
  <c r="BC57" i="8" s="1"/>
  <c r="AC55" i="8"/>
  <c r="AC54" i="8"/>
  <c r="AC53" i="8"/>
  <c r="AC52" i="8"/>
  <c r="AC51" i="8"/>
  <c r="AB50" i="8"/>
  <c r="AC46" i="8"/>
  <c r="AB46" i="8"/>
  <c r="AB39" i="8"/>
  <c r="AB38" i="8"/>
  <c r="AB37" i="8"/>
  <c r="AC26" i="8"/>
  <c r="AC21" i="8"/>
  <c r="AM21" i="8" s="1"/>
  <c r="BC21" i="8" s="1"/>
  <c r="AB19" i="8"/>
  <c r="AC17" i="8"/>
  <c r="AM17" i="8" s="1"/>
  <c r="BC17" i="8" s="1"/>
  <c r="AC15" i="8"/>
  <c r="AM15" i="8" s="1"/>
  <c r="BC15" i="8" s="1"/>
  <c r="AC14" i="8"/>
  <c r="AM14" i="8" s="1"/>
  <c r="BC14" i="8" s="1"/>
  <c r="AC13" i="8"/>
  <c r="AM13" i="8" s="1"/>
  <c r="BC13" i="8" s="1"/>
  <c r="AB13" i="8"/>
  <c r="AC12" i="8"/>
  <c r="AC5" i="8"/>
  <c r="AB5" i="8"/>
  <c r="AE16" i="39"/>
  <c r="AD16" i="39"/>
  <c r="AC69" i="7"/>
  <c r="AB69" i="7"/>
  <c r="AC62" i="7"/>
  <c r="AB62" i="7"/>
  <c r="AC58" i="7"/>
  <c r="AB58" i="7"/>
  <c r="AC54" i="7"/>
  <c r="AC47" i="7" s="1"/>
  <c r="AB54" i="7"/>
  <c r="AB26" i="7" s="1"/>
  <c r="AB83" i="7" s="1"/>
  <c r="AC18" i="7"/>
  <c r="AB18" i="7"/>
  <c r="AC16" i="7"/>
  <c r="AC30" i="7" s="1"/>
  <c r="AM30" i="7" s="1"/>
  <c r="BC30" i="7" s="1"/>
  <c r="AB16" i="7"/>
  <c r="AC1" i="7"/>
  <c r="AM1" i="7" s="1"/>
  <c r="AM67" i="7" s="1"/>
  <c r="AB1" i="7"/>
  <c r="AD284" i="6"/>
  <c r="AB284" i="6"/>
  <c r="AD283" i="6"/>
  <c r="AB283" i="6"/>
  <c r="AD282" i="6"/>
  <c r="AB282" i="6"/>
  <c r="AD278" i="6"/>
  <c r="AB278" i="6"/>
  <c r="AD276" i="6"/>
  <c r="AB276" i="6"/>
  <c r="AD275" i="6"/>
  <c r="AB275" i="6"/>
  <c r="AD274" i="6"/>
  <c r="AB274" i="6"/>
  <c r="AD273" i="6"/>
  <c r="AB273" i="6"/>
  <c r="AD272" i="6"/>
  <c r="AB272" i="6"/>
  <c r="AD271" i="6"/>
  <c r="AB271" i="6"/>
  <c r="AD270" i="6"/>
  <c r="AB270" i="6"/>
  <c r="AC237" i="6"/>
  <c r="AC236" i="6"/>
  <c r="AC235" i="6"/>
  <c r="AC283" i="6" s="1"/>
  <c r="AE233" i="6"/>
  <c r="AC233" i="6"/>
  <c r="AE232" i="6"/>
  <c r="AC232" i="6"/>
  <c r="AE231" i="6"/>
  <c r="AE282" i="6" s="1"/>
  <c r="AC231" i="6"/>
  <c r="AC282" i="6" s="1"/>
  <c r="AC229" i="6"/>
  <c r="AC228" i="6"/>
  <c r="AC227" i="6"/>
  <c r="AC284" i="6" s="1"/>
  <c r="AC225" i="6"/>
  <c r="AC224" i="6"/>
  <c r="AC223" i="6"/>
  <c r="AC278" i="6" s="1"/>
  <c r="AC221" i="6"/>
  <c r="AC220" i="6"/>
  <c r="AC219" i="6"/>
  <c r="AC274" i="6" s="1"/>
  <c r="AC217" i="6"/>
  <c r="AC216" i="6"/>
  <c r="AC215" i="6"/>
  <c r="AC276" i="6" s="1"/>
  <c r="AC213" i="6"/>
  <c r="AC212" i="6"/>
  <c r="AC211" i="6"/>
  <c r="AC209" i="6"/>
  <c r="AC208" i="6"/>
  <c r="AC207" i="6"/>
  <c r="AC275" i="6" s="1"/>
  <c r="AC205" i="6"/>
  <c r="AC204" i="6"/>
  <c r="AC203" i="6"/>
  <c r="AC272" i="6" s="1"/>
  <c r="AC197" i="6"/>
  <c r="AC196" i="6"/>
  <c r="AC195" i="6"/>
  <c r="AC273" i="6" s="1"/>
  <c r="AC193" i="6"/>
  <c r="AC192" i="6"/>
  <c r="AC191" i="6"/>
  <c r="AC271" i="6" s="1"/>
  <c r="AC189" i="6"/>
  <c r="AC188" i="6"/>
  <c r="AC187" i="6"/>
  <c r="AC270" i="6" s="1"/>
  <c r="AC182" i="6"/>
  <c r="AB182" i="6"/>
  <c r="AC155" i="6"/>
  <c r="AM155" i="6" s="1"/>
  <c r="AB155" i="6"/>
  <c r="AC124" i="6"/>
  <c r="AM124" i="6" s="1"/>
  <c r="BC124" i="6" s="1"/>
  <c r="AB124" i="6"/>
  <c r="AL124" i="6" s="1"/>
  <c r="BB124" i="6" s="1"/>
  <c r="AC123" i="6"/>
  <c r="AM123" i="6" s="1"/>
  <c r="BC123" i="6" s="1"/>
  <c r="AB123" i="6"/>
  <c r="AL123" i="6" s="1"/>
  <c r="BB123" i="6" s="1"/>
  <c r="AC122" i="6"/>
  <c r="AM122" i="6" s="1"/>
  <c r="BC122" i="6" s="1"/>
  <c r="AB122" i="6"/>
  <c r="AL122" i="6" s="1"/>
  <c r="BB122" i="6" s="1"/>
  <c r="AC120" i="6"/>
  <c r="AM120" i="6" s="1"/>
  <c r="BC120" i="6" s="1"/>
  <c r="AB120" i="6"/>
  <c r="AL120" i="6" s="1"/>
  <c r="BB120" i="6" s="1"/>
  <c r="AC119" i="6"/>
  <c r="AM119" i="6" s="1"/>
  <c r="BC119" i="6" s="1"/>
  <c r="AB119" i="6"/>
  <c r="AL119" i="6" s="1"/>
  <c r="BB119" i="6" s="1"/>
  <c r="AC118" i="6"/>
  <c r="AM118" i="6" s="1"/>
  <c r="BC118" i="6" s="1"/>
  <c r="AB118" i="6"/>
  <c r="AL118" i="6" s="1"/>
  <c r="BB118" i="6" s="1"/>
  <c r="AC117" i="6"/>
  <c r="AM117" i="6" s="1"/>
  <c r="BC117" i="6" s="1"/>
  <c r="AB117" i="6"/>
  <c r="AL117" i="6" s="1"/>
  <c r="BB117" i="6" s="1"/>
  <c r="AC116" i="6"/>
  <c r="AM116" i="6" s="1"/>
  <c r="BC116" i="6" s="1"/>
  <c r="AB116" i="6"/>
  <c r="AL116" i="6" s="1"/>
  <c r="BB116" i="6" s="1"/>
  <c r="AC115" i="6"/>
  <c r="AM115" i="6" s="1"/>
  <c r="BC115" i="6" s="1"/>
  <c r="AB115" i="6"/>
  <c r="AL115" i="6" s="1"/>
  <c r="BB115" i="6" s="1"/>
  <c r="AC114" i="6"/>
  <c r="AM114" i="6" s="1"/>
  <c r="BC114" i="6" s="1"/>
  <c r="AB114" i="6"/>
  <c r="AL114" i="6" s="1"/>
  <c r="BB114" i="6" s="1"/>
  <c r="AC113" i="6"/>
  <c r="AM113" i="6" s="1"/>
  <c r="BC113" i="6" s="1"/>
  <c r="AB113" i="6"/>
  <c r="AL113" i="6" s="1"/>
  <c r="BB113" i="6" s="1"/>
  <c r="AC112" i="6"/>
  <c r="AM112" i="6" s="1"/>
  <c r="BC112" i="6" s="1"/>
  <c r="AB112" i="6"/>
  <c r="AL112" i="6" s="1"/>
  <c r="BB112" i="6" s="1"/>
  <c r="AC111" i="6"/>
  <c r="AB111" i="6"/>
  <c r="AL111" i="6" s="1"/>
  <c r="BB111" i="6" s="1"/>
  <c r="AC103" i="6"/>
  <c r="AB103" i="6"/>
  <c r="AC100" i="6"/>
  <c r="AB100" i="6"/>
  <c r="AC85" i="6"/>
  <c r="AB85" i="6"/>
  <c r="AC81" i="6"/>
  <c r="AB81" i="6"/>
  <c r="AD66" i="6"/>
  <c r="AB65" i="6"/>
  <c r="AB64" i="6"/>
  <c r="AB63" i="6"/>
  <c r="AB62" i="6"/>
  <c r="AB61" i="6"/>
  <c r="AC52" i="6"/>
  <c r="AB52" i="6"/>
  <c r="AC44" i="6"/>
  <c r="AB44" i="6"/>
  <c r="AC41" i="6"/>
  <c r="AB41" i="6"/>
  <c r="AB37" i="6"/>
  <c r="AC28" i="6"/>
  <c r="AC25" i="6"/>
  <c r="AC22" i="6"/>
  <c r="AC18" i="6"/>
  <c r="AC17" i="6"/>
  <c r="AB6" i="6"/>
  <c r="AB14" i="6" s="1"/>
  <c r="AB5" i="6"/>
  <c r="AB11" i="6" s="1"/>
  <c r="Q93" i="37"/>
  <c r="Q91" i="37" s="1"/>
  <c r="Q88" i="37"/>
  <c r="BC41" i="7" l="1"/>
  <c r="BC39" i="7"/>
  <c r="AC20" i="7"/>
  <c r="AM71" i="8"/>
  <c r="BC66" i="8"/>
  <c r="BC71" i="8" s="1"/>
  <c r="BC75" i="9"/>
  <c r="BC68" i="9"/>
  <c r="BC79" i="9"/>
  <c r="BC78" i="9"/>
  <c r="BC69" i="9"/>
  <c r="BC73" i="9"/>
  <c r="BC72" i="9"/>
  <c r="BC80" i="9"/>
  <c r="BC81" i="9"/>
  <c r="BC77" i="9"/>
  <c r="BC74" i="9"/>
  <c r="BC71" i="9"/>
  <c r="BC76" i="9"/>
  <c r="BC70" i="9"/>
  <c r="BB75" i="9"/>
  <c r="BB79" i="9"/>
  <c r="AR87" i="38"/>
  <c r="BH39" i="38"/>
  <c r="BH87" i="38" s="1"/>
  <c r="AR65" i="38"/>
  <c r="BH17" i="38"/>
  <c r="BH65" i="38" s="1"/>
  <c r="AQ92" i="38"/>
  <c r="BG44" i="38"/>
  <c r="BG92" i="38" s="1"/>
  <c r="AQ75" i="38"/>
  <c r="BG27" i="38"/>
  <c r="BG75" i="38" s="1"/>
  <c r="AQ59" i="38"/>
  <c r="BG11" i="38"/>
  <c r="BG59" i="38" s="1"/>
  <c r="AR66" i="38"/>
  <c r="BH18" i="38"/>
  <c r="BH66" i="38" s="1"/>
  <c r="AQ91" i="38"/>
  <c r="BG43" i="38"/>
  <c r="BG91" i="38" s="1"/>
  <c r="AQ74" i="38"/>
  <c r="BG26" i="38"/>
  <c r="BG74" i="38" s="1"/>
  <c r="AR60" i="38"/>
  <c r="BH12" i="38"/>
  <c r="BH60" i="38" s="1"/>
  <c r="AR54" i="38"/>
  <c r="BH6" i="38"/>
  <c r="BH54" i="38" s="1"/>
  <c r="BB71" i="9"/>
  <c r="BB76" i="9"/>
  <c r="BB80" i="9"/>
  <c r="AQ54" i="38"/>
  <c r="BG6" i="38"/>
  <c r="BG54" i="38" s="1"/>
  <c r="AQ86" i="38"/>
  <c r="BG38" i="38"/>
  <c r="BG86" i="38" s="1"/>
  <c r="AQ73" i="38"/>
  <c r="BG25" i="38"/>
  <c r="BG73" i="38" s="1"/>
  <c r="AQ57" i="38"/>
  <c r="BG9" i="38"/>
  <c r="BG57" i="38" s="1"/>
  <c r="AQ89" i="38"/>
  <c r="BG41" i="38"/>
  <c r="BG89" i="38" s="1"/>
  <c r="AR88" i="38"/>
  <c r="BH40" i="38"/>
  <c r="BH88" i="38" s="1"/>
  <c r="AQ72" i="38"/>
  <c r="BG24" i="38"/>
  <c r="BG72" i="38" s="1"/>
  <c r="BC44" i="17"/>
  <c r="AR90" i="38"/>
  <c r="BH42" i="38"/>
  <c r="BH90" i="38" s="1"/>
  <c r="AQ79" i="38"/>
  <c r="BG31" i="38"/>
  <c r="BG79" i="38" s="1"/>
  <c r="BB72" i="9"/>
  <c r="BB77" i="9"/>
  <c r="BB81" i="9"/>
  <c r="AN26" i="22"/>
  <c r="BD24" i="22"/>
  <c r="BD26" i="22" s="1"/>
  <c r="AQ84" i="38"/>
  <c r="BG36" i="38"/>
  <c r="BG84" i="38" s="1"/>
  <c r="AQ71" i="38"/>
  <c r="BG23" i="38"/>
  <c r="BG71" i="38" s="1"/>
  <c r="AQ80" i="38"/>
  <c r="BG32" i="38"/>
  <c r="BG80" i="38" s="1"/>
  <c r="AQ61" i="38"/>
  <c r="BG13" i="38"/>
  <c r="BG61" i="38" s="1"/>
  <c r="AQ85" i="38"/>
  <c r="BG37" i="38"/>
  <c r="BG85" i="38" s="1"/>
  <c r="AQ70" i="38"/>
  <c r="BG22" i="38"/>
  <c r="BG70" i="38" s="1"/>
  <c r="AQ58" i="38"/>
  <c r="BG10" i="38"/>
  <c r="BG58" i="38" s="1"/>
  <c r="AQ77" i="38"/>
  <c r="BG29" i="38"/>
  <c r="BG77" i="38" s="1"/>
  <c r="AB20" i="7"/>
  <c r="AB76" i="7" s="1"/>
  <c r="BB51" i="9"/>
  <c r="BB69" i="9"/>
  <c r="BB73" i="9"/>
  <c r="BB74" i="9"/>
  <c r="BB78" i="9"/>
  <c r="AL91" i="9"/>
  <c r="BB90" i="9"/>
  <c r="BB91" i="9" s="1"/>
  <c r="AQ90" i="38"/>
  <c r="BG42" i="38"/>
  <c r="BG90" i="38" s="1"/>
  <c r="BC23" i="22"/>
  <c r="AQ94" i="38"/>
  <c r="BG46" i="38"/>
  <c r="BG94" i="38" s="1"/>
  <c r="AQ67" i="38"/>
  <c r="BG19" i="38"/>
  <c r="BG67" i="38" s="1"/>
  <c r="AQ78" i="38"/>
  <c r="BG30" i="38"/>
  <c r="BG78" i="38" s="1"/>
  <c r="AQ93" i="38"/>
  <c r="BG45" i="38"/>
  <c r="BG93" i="38" s="1"/>
  <c r="AQ83" i="38"/>
  <c r="BG35" i="38"/>
  <c r="BG83" i="38" s="1"/>
  <c r="AQ68" i="38"/>
  <c r="BG20" i="38"/>
  <c r="BG68" i="38" s="1"/>
  <c r="AQ56" i="38"/>
  <c r="BG8" i="38"/>
  <c r="BG56" i="38" s="1"/>
  <c r="AN12" i="22"/>
  <c r="BD10" i="22"/>
  <c r="BD12" i="22" s="1"/>
  <c r="AR82" i="38"/>
  <c r="BH34" i="38"/>
  <c r="BH82" i="38" s="1"/>
  <c r="AQ62" i="38"/>
  <c r="BG14" i="38"/>
  <c r="BG62" i="38" s="1"/>
  <c r="AM42" i="11"/>
  <c r="BC41" i="11"/>
  <c r="BC42" i="11" s="1"/>
  <c r="AN42" i="11"/>
  <c r="BD41" i="11"/>
  <c r="BD42" i="11" s="1"/>
  <c r="AN109" i="10"/>
  <c r="BD108" i="10"/>
  <c r="BD109" i="10" s="1"/>
  <c r="AL95" i="9"/>
  <c r="BB94" i="9"/>
  <c r="BB95" i="9" s="1"/>
  <c r="BE82" i="45"/>
  <c r="AC21" i="7"/>
  <c r="AB24" i="7"/>
  <c r="AB79" i="7" s="1"/>
  <c r="AL61" i="17"/>
  <c r="AL59" i="17"/>
  <c r="AC23" i="7"/>
  <c r="AC78" i="7" s="1"/>
  <c r="AC102" i="10"/>
  <c r="AM101" i="10"/>
  <c r="AM102" i="10" s="1"/>
  <c r="AQ12" i="38"/>
  <c r="AL44" i="17"/>
  <c r="AL50" i="17" s="1"/>
  <c r="AL49" i="17"/>
  <c r="AL74" i="9"/>
  <c r="AD102" i="10"/>
  <c r="AN101" i="10"/>
  <c r="AN102" i="10" s="1"/>
  <c r="AD61" i="45"/>
  <c r="AN60" i="45"/>
  <c r="AN61" i="45" s="1"/>
  <c r="AL112" i="17"/>
  <c r="AL10" i="17"/>
  <c r="AL34" i="17"/>
  <c r="AL31" i="17"/>
  <c r="AL30" i="17"/>
  <c r="AL33" i="17"/>
  <c r="AM47" i="9"/>
  <c r="AQ34" i="38"/>
  <c r="AQ18" i="38"/>
  <c r="AQ40" i="38"/>
  <c r="AM25" i="27"/>
  <c r="AL32" i="17"/>
  <c r="AH63" i="38"/>
  <c r="AR15" i="38"/>
  <c r="AM44" i="17"/>
  <c r="AM49" i="17"/>
  <c r="AB32" i="17"/>
  <c r="AC33" i="17"/>
  <c r="AM15" i="17"/>
  <c r="AC24" i="22"/>
  <c r="AM24" i="22" s="1"/>
  <c r="BC24" i="22" s="1"/>
  <c r="AC49" i="11"/>
  <c r="AM48" i="11"/>
  <c r="AC11" i="15"/>
  <c r="AC12" i="15" s="1"/>
  <c r="AC13" i="15" s="1"/>
  <c r="V93" i="37"/>
  <c r="AD93" i="37" s="1"/>
  <c r="AM53" i="11"/>
  <c r="AM37" i="11"/>
  <c r="AM23" i="22"/>
  <c r="AB67" i="7"/>
  <c r="AL1" i="7"/>
  <c r="AL67" i="7" s="1"/>
  <c r="AC26" i="7"/>
  <c r="AC83" i="7" s="1"/>
  <c r="AC43" i="7"/>
  <c r="AC76" i="7" s="1"/>
  <c r="AM39" i="7"/>
  <c r="AM41" i="7"/>
  <c r="AB60" i="7"/>
  <c r="AL58" i="7"/>
  <c r="AB63" i="7"/>
  <c r="AL72" i="7"/>
  <c r="AB68" i="7"/>
  <c r="AC60" i="7"/>
  <c r="AM58" i="7"/>
  <c r="AC49" i="7"/>
  <c r="AC104" i="7"/>
  <c r="AC105" i="7" s="1"/>
  <c r="AM94" i="7"/>
  <c r="BC94" i="7" s="1"/>
  <c r="AM87" i="7"/>
  <c r="BC87" i="7" s="1"/>
  <c r="AM88" i="7"/>
  <c r="BC88" i="7" s="1"/>
  <c r="AM92" i="7"/>
  <c r="BC92" i="7" s="1"/>
  <c r="AM93" i="7"/>
  <c r="BC93" i="7" s="1"/>
  <c r="AM89" i="7"/>
  <c r="BC89" i="7" s="1"/>
  <c r="AM90" i="7"/>
  <c r="BC90" i="7" s="1"/>
  <c r="AM72" i="7"/>
  <c r="BC72" i="7" s="1"/>
  <c r="AM91" i="7"/>
  <c r="BC91" i="7" s="1"/>
  <c r="AL69" i="7"/>
  <c r="AM69" i="7"/>
  <c r="AL51" i="9"/>
  <c r="AL69" i="9"/>
  <c r="AL73" i="9"/>
  <c r="AC95" i="9"/>
  <c r="AM94" i="9"/>
  <c r="AM72" i="9"/>
  <c r="AM73" i="9"/>
  <c r="AM68" i="9"/>
  <c r="AM77" i="9"/>
  <c r="AM79" i="9"/>
  <c r="AM81" i="9"/>
  <c r="AM80" i="9"/>
  <c r="AM70" i="9"/>
  <c r="AM50" i="9"/>
  <c r="BC50" i="9" s="1"/>
  <c r="AM76" i="9"/>
  <c r="AM69" i="9"/>
  <c r="AM74" i="9"/>
  <c r="AM71" i="9"/>
  <c r="AM51" i="9"/>
  <c r="BC51" i="9" s="1"/>
  <c r="AM78" i="9"/>
  <c r="AM75" i="9"/>
  <c r="AL68" i="9"/>
  <c r="AL55" i="9"/>
  <c r="AL75" i="9"/>
  <c r="AL79" i="9"/>
  <c r="AC8" i="22"/>
  <c r="AM8" i="22" s="1"/>
  <c r="BC8" i="22" s="1"/>
  <c r="BC9" i="22" s="1"/>
  <c r="AM7" i="22"/>
  <c r="BC7" i="22" s="1"/>
  <c r="AL71" i="9"/>
  <c r="AL76" i="9"/>
  <c r="AL80" i="9"/>
  <c r="AL78" i="9"/>
  <c r="AL27" i="9"/>
  <c r="BB27" i="9" s="1"/>
  <c r="AC39" i="9"/>
  <c r="AL72" i="9"/>
  <c r="AL77" i="9"/>
  <c r="AL81" i="9"/>
  <c r="AL88" i="9"/>
  <c r="AL89" i="9"/>
  <c r="AL18" i="15" s="1"/>
  <c r="AM92" i="26"/>
  <c r="BC92" i="26" s="1"/>
  <c r="AL19" i="8"/>
  <c r="BB19" i="8" s="1"/>
  <c r="AL85" i="8"/>
  <c r="BB85" i="8" s="1"/>
  <c r="AM63" i="8"/>
  <c r="BC63" i="8" s="1"/>
  <c r="AC72" i="8"/>
  <c r="AM68" i="8"/>
  <c r="AB79" i="8"/>
  <c r="AL79" i="8" s="1"/>
  <c r="AL5" i="8"/>
  <c r="AM5" i="8"/>
  <c r="AB16" i="8"/>
  <c r="AL13" i="8"/>
  <c r="BB13" i="8" s="1"/>
  <c r="AC97" i="10"/>
  <c r="AM94" i="10"/>
  <c r="AL121" i="6"/>
  <c r="BB121" i="6" s="1"/>
  <c r="AL125" i="6"/>
  <c r="BB125" i="6" s="1"/>
  <c r="AM111" i="6"/>
  <c r="BC111" i="6" s="1"/>
  <c r="AM125" i="6"/>
  <c r="BC125" i="6" s="1"/>
  <c r="AL182" i="6"/>
  <c r="BB182" i="6" s="1"/>
  <c r="AC30" i="6"/>
  <c r="AM30" i="6" s="1"/>
  <c r="BC30" i="6" s="1"/>
  <c r="AM18" i="6"/>
  <c r="AL155" i="6"/>
  <c r="AM182" i="6"/>
  <c r="BC182" i="6" s="1"/>
  <c r="AC29" i="6"/>
  <c r="AM29" i="6" s="1"/>
  <c r="BC29" i="6" s="1"/>
  <c r="AM17" i="6"/>
  <c r="AL14" i="6"/>
  <c r="BB14" i="6" s="1"/>
  <c r="BB55" i="6" s="1"/>
  <c r="AB40" i="8"/>
  <c r="Q96" i="37"/>
  <c r="AB55" i="9"/>
  <c r="AC47" i="8"/>
  <c r="AC14" i="9"/>
  <c r="AM14" i="9" s="1"/>
  <c r="BC14" i="9" s="1"/>
  <c r="AC71" i="8"/>
  <c r="AC42" i="7"/>
  <c r="AC46" i="7"/>
  <c r="AC125" i="6"/>
  <c r="AD126" i="10"/>
  <c r="AD99" i="10"/>
  <c r="AB31" i="7"/>
  <c r="AC41" i="8"/>
  <c r="AC127" i="9"/>
  <c r="AM127" i="9" s="1"/>
  <c r="BC127" i="9" s="1"/>
  <c r="AC43" i="8"/>
  <c r="AC86" i="8"/>
  <c r="AC25" i="22"/>
  <c r="AC113" i="10"/>
  <c r="AB27" i="8"/>
  <c r="AB86" i="8"/>
  <c r="AG39" i="38"/>
  <c r="AH16" i="38"/>
  <c r="AR16" i="38" s="1"/>
  <c r="AH65" i="38"/>
  <c r="AH87" i="38"/>
  <c r="AG15" i="38"/>
  <c r="AG17" i="38"/>
  <c r="AQ17" i="38" s="1"/>
  <c r="AC50" i="17"/>
  <c r="AC111" i="17" s="1"/>
  <c r="AC53" i="17"/>
  <c r="AC54" i="17" s="1"/>
  <c r="AB53" i="17"/>
  <c r="AB110" i="17"/>
  <c r="AB114" i="17" s="1"/>
  <c r="AC113" i="17"/>
  <c r="AC14" i="17"/>
  <c r="AD68" i="11"/>
  <c r="AD70" i="11"/>
  <c r="AD124" i="10"/>
  <c r="AC109" i="10"/>
  <c r="AD109" i="10"/>
  <c r="AD95" i="10"/>
  <c r="AD113" i="10"/>
  <c r="AD127" i="10"/>
  <c r="AC47" i="9"/>
  <c r="AC28" i="9"/>
  <c r="AB95" i="9"/>
  <c r="AC130" i="9"/>
  <c r="AM130" i="9" s="1"/>
  <c r="AC21" i="9"/>
  <c r="AM21" i="9" s="1"/>
  <c r="AB27" i="9"/>
  <c r="AC91" i="9"/>
  <c r="AC33" i="8"/>
  <c r="AC64" i="8"/>
  <c r="AC16" i="8"/>
  <c r="AB25" i="8"/>
  <c r="AL25" i="8" s="1"/>
  <c r="BB25" i="8" s="1"/>
  <c r="AB30" i="8"/>
  <c r="AL30" i="8" s="1"/>
  <c r="BB30" i="8" s="1"/>
  <c r="AC42" i="8"/>
  <c r="AB24" i="8"/>
  <c r="AL24" i="8" s="1"/>
  <c r="BB24" i="8" s="1"/>
  <c r="AB29" i="8"/>
  <c r="AL29" i="8" s="1"/>
  <c r="BB29" i="8" s="1"/>
  <c r="AB47" i="8"/>
  <c r="AC76" i="8"/>
  <c r="AC80" i="8"/>
  <c r="AB23" i="8"/>
  <c r="AL23" i="8" s="1"/>
  <c r="BB23" i="8" s="1"/>
  <c r="AB28" i="8"/>
  <c r="AL28" i="8" s="1"/>
  <c r="BB28" i="8" s="1"/>
  <c r="AC35" i="8"/>
  <c r="AC37" i="8"/>
  <c r="AC38" i="8"/>
  <c r="AC39" i="8"/>
  <c r="AC44" i="8"/>
  <c r="AC19" i="7"/>
  <c r="AC75" i="7" s="1"/>
  <c r="AC24" i="7"/>
  <c r="AC79" i="7" s="1"/>
  <c r="AC27" i="7"/>
  <c r="AC77" i="7" s="1"/>
  <c r="AC44" i="7"/>
  <c r="AC82" i="7" s="1"/>
  <c r="AC48" i="7"/>
  <c r="AC25" i="7"/>
  <c r="AC80" i="7" s="1"/>
  <c r="AC45" i="7"/>
  <c r="AC84" i="7" s="1"/>
  <c r="AB37" i="7"/>
  <c r="AB19" i="7"/>
  <c r="AB75" i="7" s="1"/>
  <c r="AB21" i="7"/>
  <c r="AB84" i="7" s="1"/>
  <c r="AB23" i="7"/>
  <c r="AB78" i="7" s="1"/>
  <c r="AB25" i="7"/>
  <c r="AB80" i="7" s="1"/>
  <c r="AB27" i="7"/>
  <c r="AB77" i="7" s="1"/>
  <c r="AB35" i="7"/>
  <c r="AB33" i="7"/>
  <c r="AC41" i="7"/>
  <c r="AC39" i="7"/>
  <c r="AB70" i="7"/>
  <c r="AB32" i="7"/>
  <c r="AB36" i="7"/>
  <c r="AL36" i="7" s="1"/>
  <c r="BB36" i="7" s="1"/>
  <c r="AC56" i="7"/>
  <c r="AC63" i="7"/>
  <c r="AC65" i="7"/>
  <c r="AC67" i="7"/>
  <c r="AC68" i="7"/>
  <c r="AC70" i="7"/>
  <c r="AB74" i="7"/>
  <c r="AB82" i="7"/>
  <c r="AC74" i="7"/>
  <c r="AB55" i="7"/>
  <c r="AB34" i="7"/>
  <c r="AB38" i="7"/>
  <c r="AB66" i="6"/>
  <c r="AB67" i="6" s="1"/>
  <c r="AB177" i="6"/>
  <c r="AL177" i="6" s="1"/>
  <c r="BB177" i="6" s="1"/>
  <c r="BB178" i="6" s="1"/>
  <c r="AB18" i="6"/>
  <c r="AB27" i="6"/>
  <c r="AL27" i="6" s="1"/>
  <c r="BB27" i="6" s="1"/>
  <c r="AB21" i="6"/>
  <c r="AL21" i="6" s="1"/>
  <c r="BB21" i="6" s="1"/>
  <c r="AB24" i="6"/>
  <c r="AL24" i="6" s="1"/>
  <c r="BB24" i="6" s="1"/>
  <c r="AB12" i="6"/>
  <c r="AB13" i="6"/>
  <c r="AB104" i="6"/>
  <c r="AC241" i="6"/>
  <c r="AC50" i="8" s="1"/>
  <c r="AC19" i="6"/>
  <c r="AC104" i="6"/>
  <c r="AB86" i="6"/>
  <c r="AB121" i="6"/>
  <c r="AC86" i="6"/>
  <c r="AC91" i="6" s="1"/>
  <c r="AC121" i="6"/>
  <c r="AC126" i="6" s="1"/>
  <c r="AB7" i="6"/>
  <c r="AB125" i="6"/>
  <c r="AB183" i="6"/>
  <c r="AB328" i="28"/>
  <c r="AL328" i="28" s="1"/>
  <c r="BB328" i="28" s="1"/>
  <c r="AB326" i="28"/>
  <c r="AL326" i="28" s="1"/>
  <c r="BB326" i="28" s="1"/>
  <c r="AC325" i="28"/>
  <c r="AC329" i="28" s="1"/>
  <c r="AC322" i="28"/>
  <c r="AC318" i="28"/>
  <c r="AB315" i="28"/>
  <c r="AC311" i="28"/>
  <c r="AM311" i="28" s="1"/>
  <c r="BC311" i="28" s="1"/>
  <c r="AC310" i="28"/>
  <c r="AC284" i="28"/>
  <c r="AC245" i="28"/>
  <c r="AC237" i="28"/>
  <c r="AC238" i="28" s="1"/>
  <c r="AC199" i="28"/>
  <c r="AC194" i="28"/>
  <c r="AC195" i="28" s="1"/>
  <c r="AC169" i="28"/>
  <c r="AC144" i="28"/>
  <c r="AC145" i="28" s="1"/>
  <c r="AB144" i="28"/>
  <c r="AC64" i="28"/>
  <c r="AM64" i="28" s="1"/>
  <c r="BC64" i="28" s="1"/>
  <c r="AC63" i="28"/>
  <c r="AM63" i="28" s="1"/>
  <c r="BC63" i="28" s="1"/>
  <c r="AC61" i="28"/>
  <c r="AC57" i="28"/>
  <c r="AC53" i="28"/>
  <c r="AC49" i="28"/>
  <c r="AC36" i="28"/>
  <c r="AM36" i="28" s="1"/>
  <c r="BC36" i="28" s="1"/>
  <c r="AC35" i="28"/>
  <c r="AM35" i="28" s="1"/>
  <c r="BC35" i="28" s="1"/>
  <c r="AC34" i="28"/>
  <c r="AM34" i="28" s="1"/>
  <c r="BC34" i="28" s="1"/>
  <c r="AC33" i="28"/>
  <c r="AM33" i="28" s="1"/>
  <c r="BC33" i="28" s="1"/>
  <c r="AC32" i="28"/>
  <c r="AM32" i="28" s="1"/>
  <c r="BC32" i="28" s="1"/>
  <c r="AB32" i="28"/>
  <c r="AL32" i="28" s="1"/>
  <c r="BB32" i="28" s="1"/>
  <c r="AC30" i="28"/>
  <c r="AC43" i="28" s="1"/>
  <c r="AM43" i="28" s="1"/>
  <c r="BC43" i="28" s="1"/>
  <c r="AB26" i="28"/>
  <c r="AL26" i="28" s="1"/>
  <c r="AC23" i="28"/>
  <c r="AC42" i="28" s="1"/>
  <c r="AM42" i="28" s="1"/>
  <c r="BC42" i="28" s="1"/>
  <c r="AB20" i="28"/>
  <c r="AC17" i="28"/>
  <c r="AC41" i="28" s="1"/>
  <c r="AM41" i="28" s="1"/>
  <c r="BC41" i="28" s="1"/>
  <c r="AB14" i="28"/>
  <c r="AC11" i="28"/>
  <c r="AC40" i="28" s="1"/>
  <c r="AM40" i="28" s="1"/>
  <c r="BC40" i="28" s="1"/>
  <c r="AB8" i="28"/>
  <c r="AL8" i="28" s="1"/>
  <c r="AC55" i="36"/>
  <c r="AC54" i="36"/>
  <c r="AC51" i="36"/>
  <c r="AC53" i="36" s="1"/>
  <c r="AB49" i="36"/>
  <c r="AL49" i="36" s="1"/>
  <c r="AB48" i="36"/>
  <c r="AL48" i="36" s="1"/>
  <c r="AB45" i="36"/>
  <c r="AC33" i="36"/>
  <c r="AB33" i="36"/>
  <c r="AC16" i="36"/>
  <c r="AB16" i="36"/>
  <c r="AB13" i="36"/>
  <c r="AC12" i="36"/>
  <c r="AC11" i="36"/>
  <c r="AC10" i="36"/>
  <c r="AC5" i="36"/>
  <c r="AC14" i="21"/>
  <c r="AM14" i="21" s="1"/>
  <c r="BC14" i="21" s="1"/>
  <c r="AC36" i="21"/>
  <c r="AB34" i="21"/>
  <c r="AL34" i="21" s="1"/>
  <c r="AC32" i="21"/>
  <c r="AC28" i="21"/>
  <c r="AB28" i="21"/>
  <c r="AC23" i="21"/>
  <c r="AC24" i="21" s="1"/>
  <c r="AC17" i="21"/>
  <c r="AM17" i="21" s="1"/>
  <c r="AC12" i="21"/>
  <c r="AB12" i="21"/>
  <c r="AB14" i="21" s="1"/>
  <c r="AL14" i="21" s="1"/>
  <c r="AB110" i="35"/>
  <c r="AC107" i="35"/>
  <c r="AB107" i="35"/>
  <c r="AB75" i="35" s="1"/>
  <c r="AB74" i="35"/>
  <c r="AB71" i="35"/>
  <c r="AB68" i="35"/>
  <c r="AC58" i="35"/>
  <c r="AB58" i="35"/>
  <c r="AC55" i="35"/>
  <c r="AM55" i="35" s="1"/>
  <c r="BC55" i="35" s="1"/>
  <c r="AC54" i="35"/>
  <c r="AM54" i="35" s="1"/>
  <c r="BC54" i="35" s="1"/>
  <c r="AB54" i="35"/>
  <c r="AL54" i="35" s="1"/>
  <c r="BB54" i="35" s="1"/>
  <c r="AC51" i="35"/>
  <c r="AM51" i="35" s="1"/>
  <c r="BC51" i="35" s="1"/>
  <c r="AC50" i="35"/>
  <c r="AM50" i="35" s="1"/>
  <c r="BC50" i="35" s="1"/>
  <c r="AB50" i="35"/>
  <c r="AL50" i="35" s="1"/>
  <c r="BB50" i="35" s="1"/>
  <c r="AB40" i="35"/>
  <c r="AB39" i="35"/>
  <c r="AL39" i="35" s="1"/>
  <c r="BB39" i="35" s="1"/>
  <c r="AB37" i="35"/>
  <c r="AB34" i="35"/>
  <c r="AB43" i="35" s="1"/>
  <c r="AC34" i="35"/>
  <c r="AC31" i="35"/>
  <c r="AB31" i="35"/>
  <c r="AC24" i="35"/>
  <c r="AC34" i="36" s="1"/>
  <c r="AC35" i="36" s="1"/>
  <c r="AB24" i="35"/>
  <c r="AB34" i="36" s="1"/>
  <c r="AB35" i="36" s="1"/>
  <c r="AC19" i="35"/>
  <c r="AB19" i="35"/>
  <c r="AC15" i="35"/>
  <c r="AB15" i="35"/>
  <c r="AC11" i="35"/>
  <c r="AB10" i="35"/>
  <c r="AL10" i="35" s="1"/>
  <c r="AB9" i="35"/>
  <c r="AL9" i="35" s="1"/>
  <c r="BB9" i="35" s="1"/>
  <c r="AB8" i="35"/>
  <c r="AC7" i="35"/>
  <c r="AM7" i="35" s="1"/>
  <c r="BC7" i="35" s="1"/>
  <c r="BC6" i="6" s="1"/>
  <c r="BC12" i="6" s="1"/>
  <c r="AC6" i="35"/>
  <c r="AL54" i="36" l="1"/>
  <c r="BB48" i="36"/>
  <c r="BB47" i="7"/>
  <c r="BB65" i="7"/>
  <c r="AM84" i="9"/>
  <c r="AM86" i="9" s="1"/>
  <c r="BC21" i="9"/>
  <c r="BC84" i="9" s="1"/>
  <c r="BC86" i="9" s="1"/>
  <c r="AM72" i="8"/>
  <c r="BC68" i="8"/>
  <c r="BC72" i="8" s="1"/>
  <c r="BB28" i="9"/>
  <c r="BB82" i="9"/>
  <c r="AQ66" i="38"/>
  <c r="BG18" i="38"/>
  <c r="BG66" i="38" s="1"/>
  <c r="AQ60" i="38"/>
  <c r="BG12" i="38"/>
  <c r="BG60" i="38" s="1"/>
  <c r="AL55" i="36"/>
  <c r="BB49" i="36"/>
  <c r="AM131" i="9"/>
  <c r="BC130" i="9"/>
  <c r="BC131" i="9" s="1"/>
  <c r="AM86" i="8"/>
  <c r="BC5" i="8"/>
  <c r="AL70" i="9"/>
  <c r="BB55" i="9"/>
  <c r="BB70" i="9" s="1"/>
  <c r="AM60" i="7"/>
  <c r="BC58" i="7"/>
  <c r="BC60" i="7" s="1"/>
  <c r="AQ82" i="38"/>
  <c r="BG34" i="38"/>
  <c r="BG82" i="38" s="1"/>
  <c r="BC50" i="7"/>
  <c r="BC64" i="7"/>
  <c r="AM19" i="21"/>
  <c r="BC17" i="21"/>
  <c r="BC19" i="21" s="1"/>
  <c r="BB10" i="36"/>
  <c r="BB26" i="8"/>
  <c r="BB12" i="36"/>
  <c r="AM146" i="6"/>
  <c r="BC146" i="6" s="1"/>
  <c r="BC17" i="6"/>
  <c r="AM175" i="6"/>
  <c r="BC175" i="6" s="1"/>
  <c r="BC18" i="6"/>
  <c r="AL84" i="8"/>
  <c r="BB5" i="8"/>
  <c r="BB44" i="8" s="1"/>
  <c r="AL60" i="7"/>
  <c r="BB58" i="7"/>
  <c r="BB60" i="7" s="1"/>
  <c r="BB50" i="9"/>
  <c r="BB7" i="9" s="1"/>
  <c r="AL5" i="36"/>
  <c r="BB10" i="35"/>
  <c r="BB11" i="36"/>
  <c r="BB38" i="8"/>
  <c r="AQ65" i="38"/>
  <c r="BG17" i="38"/>
  <c r="BG65" i="38" s="1"/>
  <c r="AR64" i="38"/>
  <c r="BH16" i="38"/>
  <c r="BH64" i="38" s="1"/>
  <c r="BC132" i="9"/>
  <c r="BB86" i="8"/>
  <c r="AR63" i="38"/>
  <c r="BH15" i="38"/>
  <c r="BH63" i="38" s="1"/>
  <c r="AQ88" i="38"/>
  <c r="BG40" i="38"/>
  <c r="BG88" i="38" s="1"/>
  <c r="AY12" i="15"/>
  <c r="AY13" i="15" s="1"/>
  <c r="BA11" i="15"/>
  <c r="AL11" i="28"/>
  <c r="BB8" i="28"/>
  <c r="AL30" i="28"/>
  <c r="BB26" i="28"/>
  <c r="AL70" i="7"/>
  <c r="BB69" i="7"/>
  <c r="BB70" i="7" s="1"/>
  <c r="AM95" i="9"/>
  <c r="BC94" i="9"/>
  <c r="BC95" i="9" s="1"/>
  <c r="AM49" i="11"/>
  <c r="BC48" i="11"/>
  <c r="BC49" i="11" s="1"/>
  <c r="AM70" i="7"/>
  <c r="BC69" i="7"/>
  <c r="BC70" i="7" s="1"/>
  <c r="V91" i="37"/>
  <c r="AQ15" i="38"/>
  <c r="AQ39" i="38"/>
  <c r="AM110" i="17"/>
  <c r="AM114" i="17" s="1"/>
  <c r="AM50" i="17"/>
  <c r="AM111" i="17" s="1"/>
  <c r="AM115" i="17" s="1"/>
  <c r="AM53" i="17"/>
  <c r="AM54" i="17" s="1"/>
  <c r="AL53" i="17"/>
  <c r="AL110" i="17"/>
  <c r="AL114" i="17" s="1"/>
  <c r="AM33" i="17"/>
  <c r="AM31" i="17"/>
  <c r="AM30" i="17"/>
  <c r="AM32" i="17"/>
  <c r="AM29" i="17"/>
  <c r="AL54" i="17"/>
  <c r="AL111" i="17"/>
  <c r="AL115" i="17" s="1"/>
  <c r="AL11" i="35"/>
  <c r="AM11" i="15"/>
  <c r="AM12" i="15" s="1"/>
  <c r="AM13" i="15" s="1"/>
  <c r="AB5" i="36"/>
  <c r="AC5" i="6"/>
  <c r="AC13" i="6" s="1"/>
  <c r="AC156" i="6" s="1"/>
  <c r="AM6" i="35"/>
  <c r="BC6" i="35" s="1"/>
  <c r="AL37" i="35"/>
  <c r="BB37" i="35" s="1"/>
  <c r="AC60" i="35"/>
  <c r="AM60" i="35" s="1"/>
  <c r="BC60" i="35" s="1"/>
  <c r="AM58" i="35"/>
  <c r="BC58" i="35" s="1"/>
  <c r="AB59" i="35"/>
  <c r="AL59" i="35" s="1"/>
  <c r="BB59" i="35" s="1"/>
  <c r="AL58" i="35"/>
  <c r="BB58" i="35" s="1"/>
  <c r="AO6" i="6"/>
  <c r="AM6" i="6"/>
  <c r="AM12" i="6" s="1"/>
  <c r="AL40" i="35"/>
  <c r="BB40" i="35" s="1"/>
  <c r="AB44" i="36"/>
  <c r="AL44" i="36" s="1"/>
  <c r="AL29" i="36"/>
  <c r="AL28" i="36"/>
  <c r="AL27" i="36"/>
  <c r="AL24" i="36"/>
  <c r="BB24" i="36" s="1"/>
  <c r="AL26" i="36"/>
  <c r="BB26" i="36" s="1"/>
  <c r="AM29" i="36"/>
  <c r="AM7" i="15" s="1"/>
  <c r="AM26" i="36"/>
  <c r="BC26" i="36" s="1"/>
  <c r="AM27" i="36"/>
  <c r="AM24" i="36"/>
  <c r="BC24" i="36" s="1"/>
  <c r="AM28" i="36"/>
  <c r="AC10" i="22"/>
  <c r="AM10" i="22" s="1"/>
  <c r="BC10" i="22" s="1"/>
  <c r="AL32" i="7"/>
  <c r="AL55" i="7"/>
  <c r="AL65" i="7"/>
  <c r="AL47" i="7"/>
  <c r="AL35" i="7"/>
  <c r="AL31" i="7"/>
  <c r="AC106" i="7"/>
  <c r="AC107" i="7"/>
  <c r="AC108" i="7" s="1"/>
  <c r="AL38" i="7"/>
  <c r="AL33" i="7"/>
  <c r="AL37" i="7"/>
  <c r="AM50" i="7"/>
  <c r="AM64" i="7"/>
  <c r="AL34" i="7"/>
  <c r="AL50" i="9"/>
  <c r="AL7" i="9" s="1"/>
  <c r="AL82" i="9"/>
  <c r="AL28" i="9"/>
  <c r="AC27" i="22"/>
  <c r="AM27" i="22" s="1"/>
  <c r="BC27" i="22" s="1"/>
  <c r="AM25" i="22"/>
  <c r="AM9" i="22"/>
  <c r="AL42" i="8"/>
  <c r="AL44" i="8"/>
  <c r="AL43" i="8"/>
  <c r="AM77" i="8"/>
  <c r="BC77" i="8" s="1"/>
  <c r="AM78" i="8"/>
  <c r="BC78" i="8" s="1"/>
  <c r="AL80" i="8"/>
  <c r="AM84" i="8"/>
  <c r="BC84" i="8" s="1"/>
  <c r="AL86" i="8"/>
  <c r="AL11" i="36"/>
  <c r="AL38" i="8"/>
  <c r="AL12" i="36"/>
  <c r="AL39" i="8"/>
  <c r="AM33" i="8"/>
  <c r="BC33" i="8" s="1"/>
  <c r="AM132" i="9"/>
  <c r="AM35" i="8"/>
  <c r="BC35" i="8" s="1"/>
  <c r="AC5" i="26"/>
  <c r="AM14" i="36"/>
  <c r="AM47" i="8"/>
  <c r="AL14" i="36"/>
  <c r="AL47" i="8"/>
  <c r="AL10" i="36"/>
  <c r="AL37" i="8"/>
  <c r="AL26" i="8"/>
  <c r="AC34" i="8"/>
  <c r="AM64" i="8"/>
  <c r="BC64" i="8" s="1"/>
  <c r="AB60" i="8"/>
  <c r="AL27" i="8"/>
  <c r="AM37" i="8"/>
  <c r="AM41" i="8"/>
  <c r="AM42" i="8"/>
  <c r="AM76" i="8"/>
  <c r="AM80" i="8"/>
  <c r="AM39" i="8"/>
  <c r="AM38" i="8"/>
  <c r="AM44" i="8"/>
  <c r="AM46" i="8"/>
  <c r="AM43" i="8"/>
  <c r="AL76" i="8"/>
  <c r="AL46" i="8"/>
  <c r="AL55" i="6"/>
  <c r="AC131" i="6"/>
  <c r="AM44" i="28"/>
  <c r="BC44" i="28" s="1"/>
  <c r="AM37" i="28"/>
  <c r="AM65" i="28"/>
  <c r="AB318" i="28"/>
  <c r="AB324" i="28" s="1"/>
  <c r="AL324" i="28" s="1"/>
  <c r="AL315" i="28"/>
  <c r="AB17" i="28"/>
  <c r="AB41" i="28" s="1"/>
  <c r="AL41" i="28" s="1"/>
  <c r="BB41" i="28" s="1"/>
  <c r="AL14" i="28"/>
  <c r="AB23" i="28"/>
  <c r="AB42" i="28" s="1"/>
  <c r="AL42" i="28" s="1"/>
  <c r="BB42" i="28" s="1"/>
  <c r="AL20" i="28"/>
  <c r="AM97" i="10"/>
  <c r="AM113" i="10"/>
  <c r="AL126" i="6"/>
  <c r="BB126" i="6" s="1"/>
  <c r="AM121" i="6"/>
  <c r="AC109" i="6"/>
  <c r="AC161" i="6" s="1"/>
  <c r="AC138" i="6"/>
  <c r="AM140" i="6"/>
  <c r="BC140" i="6" s="1"/>
  <c r="AM141" i="6"/>
  <c r="BC141" i="6" s="1"/>
  <c r="AM142" i="6"/>
  <c r="BC142" i="6" s="1"/>
  <c r="AB91" i="6"/>
  <c r="AB109" i="6"/>
  <c r="AB160" i="6" s="1"/>
  <c r="AL58" i="6"/>
  <c r="AL178" i="6"/>
  <c r="AM174" i="6"/>
  <c r="BC174" i="6" s="1"/>
  <c r="AM147" i="6"/>
  <c r="BC147" i="6" s="1"/>
  <c r="AL184" i="6"/>
  <c r="AM149" i="6"/>
  <c r="BC149" i="6" s="1"/>
  <c r="AM19" i="6"/>
  <c r="BC19" i="6" s="1"/>
  <c r="AM172" i="6"/>
  <c r="BC172" i="6" s="1"/>
  <c r="AL18" i="6"/>
  <c r="AM148" i="6"/>
  <c r="BC148" i="6" s="1"/>
  <c r="AM31" i="6"/>
  <c r="BC31" i="6" s="1"/>
  <c r="AM173" i="6"/>
  <c r="BC173" i="6" s="1"/>
  <c r="AM170" i="6"/>
  <c r="BC170" i="6" s="1"/>
  <c r="AL183" i="6"/>
  <c r="BB183" i="6" s="1"/>
  <c r="AL13" i="6"/>
  <c r="BB13" i="6" s="1"/>
  <c r="AC31" i="6"/>
  <c r="AM145" i="6"/>
  <c r="BC145" i="6" s="1"/>
  <c r="AM144" i="6"/>
  <c r="BC144" i="6" s="1"/>
  <c r="BC241" i="6" s="1"/>
  <c r="AM171" i="6"/>
  <c r="BC171" i="6" s="1"/>
  <c r="AB47" i="36"/>
  <c r="AL45" i="36"/>
  <c r="BB45" i="36" s="1"/>
  <c r="AC48" i="8"/>
  <c r="AB156" i="6"/>
  <c r="AD130" i="10"/>
  <c r="AC65" i="28"/>
  <c r="AC66" i="28" s="1"/>
  <c r="AB30" i="28"/>
  <c r="AB43" i="28" s="1"/>
  <c r="AC81" i="9"/>
  <c r="AC69" i="9"/>
  <c r="AC70" i="9"/>
  <c r="AC19" i="36"/>
  <c r="AB74" i="8"/>
  <c r="AB36" i="36"/>
  <c r="AB39" i="36" s="1"/>
  <c r="AB30" i="36" s="1"/>
  <c r="AC18" i="36"/>
  <c r="AD128" i="10"/>
  <c r="AC13" i="36"/>
  <c r="AC40" i="8"/>
  <c r="AC6" i="6"/>
  <c r="AC36" i="36"/>
  <c r="AB62" i="35"/>
  <c r="AL62" i="35" s="1"/>
  <c r="BB62" i="35" s="1"/>
  <c r="AB83" i="9"/>
  <c r="AH64" i="38"/>
  <c r="AG16" i="38"/>
  <c r="AC115" i="17"/>
  <c r="AC63" i="35"/>
  <c r="AM63" i="35" s="1"/>
  <c r="BC63" i="35" s="1"/>
  <c r="AC56" i="35"/>
  <c r="AM56" i="35" s="1"/>
  <c r="BC56" i="35" s="1"/>
  <c r="AC68" i="9"/>
  <c r="AC76" i="9"/>
  <c r="AC74" i="9"/>
  <c r="AC75" i="9"/>
  <c r="AC73" i="9"/>
  <c r="AC50" i="9"/>
  <c r="AC51" i="9"/>
  <c r="AC79" i="9"/>
  <c r="AC80" i="9"/>
  <c r="AC77" i="9"/>
  <c r="AC71" i="9"/>
  <c r="AC72" i="9"/>
  <c r="AC78" i="9"/>
  <c r="AB82" i="9"/>
  <c r="AB28" i="9"/>
  <c r="AC84" i="9"/>
  <c r="AC132" i="9"/>
  <c r="AC131" i="9"/>
  <c r="AC69" i="8"/>
  <c r="AC70" i="8"/>
  <c r="AB26" i="8"/>
  <c r="AB66" i="8"/>
  <c r="AL66" i="8" s="1"/>
  <c r="AL71" i="8" s="1"/>
  <c r="AB68" i="8"/>
  <c r="AL68" i="8" s="1"/>
  <c r="AL72" i="8" s="1"/>
  <c r="AB65" i="7"/>
  <c r="AC50" i="7"/>
  <c r="AC64" i="7"/>
  <c r="AC135" i="6"/>
  <c r="AB30" i="6"/>
  <c r="AL30" i="6" s="1"/>
  <c r="BB30" i="6" s="1"/>
  <c r="AB151" i="6"/>
  <c r="AL151" i="6" s="1"/>
  <c r="AB20" i="6"/>
  <c r="AL20" i="6" s="1"/>
  <c r="AB17" i="6"/>
  <c r="AB23" i="6"/>
  <c r="AL23" i="6" s="1"/>
  <c r="AB26" i="6"/>
  <c r="AL26" i="6" s="1"/>
  <c r="AB15" i="6"/>
  <c r="AB56" i="6" s="1"/>
  <c r="AC136" i="6"/>
  <c r="AB126" i="6"/>
  <c r="AC312" i="28"/>
  <c r="AC37" i="28"/>
  <c r="AC38" i="28" s="1"/>
  <c r="AC44" i="28"/>
  <c r="AB11" i="28"/>
  <c r="AB21" i="21"/>
  <c r="AC19" i="21"/>
  <c r="AC62" i="35"/>
  <c r="AM62" i="35" s="1"/>
  <c r="BC62" i="35" s="1"/>
  <c r="AC8" i="35"/>
  <c r="AB35" i="35"/>
  <c r="AL25" i="36" s="1"/>
  <c r="BB25" i="36" s="1"/>
  <c r="AC43" i="35"/>
  <c r="AC44" i="35" s="1"/>
  <c r="AC35" i="35"/>
  <c r="AM25" i="36" s="1"/>
  <c r="BC25" i="36" s="1"/>
  <c r="AB44" i="35"/>
  <c r="AB60" i="35"/>
  <c r="AL60" i="35" s="1"/>
  <c r="BB60" i="35" s="1"/>
  <c r="AB11" i="35"/>
  <c r="AC52" i="35"/>
  <c r="AM52" i="35" s="1"/>
  <c r="BC52" i="35" s="1"/>
  <c r="AB51" i="35"/>
  <c r="AB55" i="35"/>
  <c r="AL55" i="35" s="1"/>
  <c r="BB55" i="35" s="1"/>
  <c r="BC50" i="8" l="1"/>
  <c r="BE50" i="8"/>
  <c r="AL41" i="8"/>
  <c r="BB27" i="8"/>
  <c r="BB41" i="8" s="1"/>
  <c r="AM26" i="22"/>
  <c r="BC25" i="22"/>
  <c r="BC26" i="22" s="1"/>
  <c r="AL48" i="7"/>
  <c r="BB37" i="7"/>
  <c r="BB48" i="7" s="1"/>
  <c r="AM6" i="15"/>
  <c r="BC28" i="36"/>
  <c r="AL6" i="15"/>
  <c r="BB28" i="36"/>
  <c r="AQ87" i="38"/>
  <c r="BG39" i="38"/>
  <c r="BG87" i="38" s="1"/>
  <c r="BB43" i="8"/>
  <c r="AM126" i="6"/>
  <c r="BC126" i="6" s="1"/>
  <c r="BC121" i="6"/>
  <c r="BC47" i="8"/>
  <c r="BC14" i="36"/>
  <c r="BC28" i="22"/>
  <c r="AL45" i="7"/>
  <c r="AL84" i="7" s="1"/>
  <c r="BB34" i="7"/>
  <c r="BB45" i="7" s="1"/>
  <c r="BB84" i="7" s="1"/>
  <c r="AL44" i="7"/>
  <c r="AL82" i="7" s="1"/>
  <c r="BB33" i="7"/>
  <c r="BB44" i="7" s="1"/>
  <c r="BB82" i="7" s="1"/>
  <c r="AL42" i="7"/>
  <c r="AL75" i="7" s="1"/>
  <c r="BB31" i="7"/>
  <c r="BB42" i="7" s="1"/>
  <c r="BB75" i="7" s="1"/>
  <c r="AL56" i="7"/>
  <c r="BB55" i="7"/>
  <c r="BB56" i="7" s="1"/>
  <c r="AL7" i="15"/>
  <c r="BB29" i="36"/>
  <c r="AQ63" i="38"/>
  <c r="BG15" i="38"/>
  <c r="BG63" i="38" s="1"/>
  <c r="BB37" i="8"/>
  <c r="AL49" i="7"/>
  <c r="BB38" i="7"/>
  <c r="BB49" i="7" s="1"/>
  <c r="AL46" i="7"/>
  <c r="BB35" i="7"/>
  <c r="BB46" i="7" s="1"/>
  <c r="AL43" i="7"/>
  <c r="BB32" i="7"/>
  <c r="BB43" i="7" s="1"/>
  <c r="AM5" i="15"/>
  <c r="BC27" i="36"/>
  <c r="AL17" i="36"/>
  <c r="AL18" i="36" s="1"/>
  <c r="BB44" i="36"/>
  <c r="BB17" i="36" s="1"/>
  <c r="BB18" i="36" s="1"/>
  <c r="BB5" i="36"/>
  <c r="BD5" i="36"/>
  <c r="BB39" i="8"/>
  <c r="BC46" i="8"/>
  <c r="BC37" i="8"/>
  <c r="BC38" i="8"/>
  <c r="BC44" i="8"/>
  <c r="BC41" i="8"/>
  <c r="BC42" i="8"/>
  <c r="BC39" i="8"/>
  <c r="BC43" i="8"/>
  <c r="BC76" i="8"/>
  <c r="BC80" i="8"/>
  <c r="BC86" i="8"/>
  <c r="BB151" i="6"/>
  <c r="BB54" i="6"/>
  <c r="BB60" i="6"/>
  <c r="AM66" i="28"/>
  <c r="BC66" i="28" s="1"/>
  <c r="BC65" i="28"/>
  <c r="AL74" i="8"/>
  <c r="BB14" i="36"/>
  <c r="AL5" i="15"/>
  <c r="BB27" i="36"/>
  <c r="BC5" i="6"/>
  <c r="BC11" i="6" s="1"/>
  <c r="BC8" i="35"/>
  <c r="BC7" i="6" s="1"/>
  <c r="BB76" i="8"/>
  <c r="BB13" i="36"/>
  <c r="BB42" i="8"/>
  <c r="V96" i="37"/>
  <c r="AD96" i="37" s="1"/>
  <c r="AD91" i="37"/>
  <c r="BA12" i="15"/>
  <c r="BA13" i="15" s="1"/>
  <c r="BC11" i="15"/>
  <c r="BC12" i="15" s="1"/>
  <c r="BC13" i="15" s="1"/>
  <c r="AL17" i="28"/>
  <c r="BB14" i="28"/>
  <c r="AM38" i="28"/>
  <c r="BC37" i="28"/>
  <c r="BC38" i="28" s="1"/>
  <c r="AL312" i="28"/>
  <c r="BB312" i="28" s="1"/>
  <c r="BB30" i="28"/>
  <c r="AL23" i="28"/>
  <c r="BB20" i="28"/>
  <c r="AL318" i="28"/>
  <c r="BB318" i="28" s="1"/>
  <c r="BB315" i="28"/>
  <c r="AL329" i="28"/>
  <c r="BB329" i="28" s="1"/>
  <c r="BB324" i="28"/>
  <c r="AL145" i="28"/>
  <c r="BB145" i="28" s="1"/>
  <c r="BB11" i="28"/>
  <c r="AL22" i="6"/>
  <c r="BB22" i="6" s="1"/>
  <c r="BB20" i="6"/>
  <c r="AL28" i="6"/>
  <c r="BB28" i="6" s="1"/>
  <c r="BB26" i="6"/>
  <c r="AL25" i="6"/>
  <c r="BB25" i="6" s="1"/>
  <c r="BB23" i="6"/>
  <c r="AL174" i="6"/>
  <c r="BB18" i="6"/>
  <c r="AC11" i="22"/>
  <c r="AM11" i="22" s="1"/>
  <c r="AQ16" i="38"/>
  <c r="AC54" i="6"/>
  <c r="AC63" i="6"/>
  <c r="AC7" i="6"/>
  <c r="AM13" i="6"/>
  <c r="AC62" i="6"/>
  <c r="AC11" i="6"/>
  <c r="AC61" i="6"/>
  <c r="AC64" i="6"/>
  <c r="AC65" i="6"/>
  <c r="AC152" i="6"/>
  <c r="AC313" i="6"/>
  <c r="AB17" i="36"/>
  <c r="AB84" i="9" s="1"/>
  <c r="AB21" i="9" s="1"/>
  <c r="AL21" i="9" s="1"/>
  <c r="AL44" i="35"/>
  <c r="BB44" i="35" s="1"/>
  <c r="AB52" i="35"/>
  <c r="AL52" i="35" s="1"/>
  <c r="BB52" i="35" s="1"/>
  <c r="AL51" i="35"/>
  <c r="BB51" i="35" s="1"/>
  <c r="AM5" i="6"/>
  <c r="AO5" i="6"/>
  <c r="AO7" i="6" s="1"/>
  <c r="AM8" i="35"/>
  <c r="AM28" i="22"/>
  <c r="AM29" i="22"/>
  <c r="BC29" i="22" s="1"/>
  <c r="AC109" i="7"/>
  <c r="AL48" i="8"/>
  <c r="AM48" i="8"/>
  <c r="AM40" i="8"/>
  <c r="AM70" i="8"/>
  <c r="AM69" i="8"/>
  <c r="AL13" i="36"/>
  <c r="AM74" i="8"/>
  <c r="AM5" i="26"/>
  <c r="AM34" i="8"/>
  <c r="BC34" i="8" s="1"/>
  <c r="AB64" i="8"/>
  <c r="AL60" i="8"/>
  <c r="AL40" i="8"/>
  <c r="AB131" i="6"/>
  <c r="AB258" i="6" s="1"/>
  <c r="AM131" i="6"/>
  <c r="AL131" i="6"/>
  <c r="AC264" i="6"/>
  <c r="AC262" i="6"/>
  <c r="AC265" i="6"/>
  <c r="AC263" i="6"/>
  <c r="AB136" i="6"/>
  <c r="AL140" i="6"/>
  <c r="AC242" i="6"/>
  <c r="AB195" i="28"/>
  <c r="AB320" i="28"/>
  <c r="AL320" i="28" s="1"/>
  <c r="BB320" i="28" s="1"/>
  <c r="AB329" i="28"/>
  <c r="AB59" i="28"/>
  <c r="AL59" i="28" s="1"/>
  <c r="BB59" i="28" s="1"/>
  <c r="AL43" i="28"/>
  <c r="BB43" i="28" s="1"/>
  <c r="AB238" i="28"/>
  <c r="AB55" i="28"/>
  <c r="AL55" i="28" s="1"/>
  <c r="BB55" i="28" s="1"/>
  <c r="AM65" i="35"/>
  <c r="BC65" i="35" s="1"/>
  <c r="AM66" i="35"/>
  <c r="BC66" i="35" s="1"/>
  <c r="AC240" i="6"/>
  <c r="AB164" i="6"/>
  <c r="AB163" i="6"/>
  <c r="AL167" i="6"/>
  <c r="AL166" i="6"/>
  <c r="AL168" i="6"/>
  <c r="AC164" i="6"/>
  <c r="AC163" i="6"/>
  <c r="AM167" i="6"/>
  <c r="BC167" i="6" s="1"/>
  <c r="AM168" i="6"/>
  <c r="BC168" i="6" s="1"/>
  <c r="AM166" i="6"/>
  <c r="BC166" i="6" s="1"/>
  <c r="AB138" i="6"/>
  <c r="AL141" i="6"/>
  <c r="AL142" i="6"/>
  <c r="AB135" i="6"/>
  <c r="AB161" i="6"/>
  <c r="AB162" i="6" s="1"/>
  <c r="AB8" i="36" s="1"/>
  <c r="AC160" i="6"/>
  <c r="AC162" i="6" s="1"/>
  <c r="AC8" i="36" s="1"/>
  <c r="AL172" i="6"/>
  <c r="AL175" i="6"/>
  <c r="AL170" i="6"/>
  <c r="AL57" i="6"/>
  <c r="AL15" i="6"/>
  <c r="BB15" i="6" s="1"/>
  <c r="AL60" i="6"/>
  <c r="AL67" i="6" s="1"/>
  <c r="AL54" i="6"/>
  <c r="AL17" i="6"/>
  <c r="AL152" i="6"/>
  <c r="AL156" i="6"/>
  <c r="AM241" i="6"/>
  <c r="AM50" i="8" s="1"/>
  <c r="AL157" i="6"/>
  <c r="AL173" i="6"/>
  <c r="AL51" i="36"/>
  <c r="AL53" i="36" s="1"/>
  <c r="AL19" i="36" s="1"/>
  <c r="AL47" i="36"/>
  <c r="AB312" i="28"/>
  <c r="AB33" i="28"/>
  <c r="AC39" i="36"/>
  <c r="AC30" i="36" s="1"/>
  <c r="AC65" i="35"/>
  <c r="AC14" i="6"/>
  <c r="AC12" i="6"/>
  <c r="AB56" i="35"/>
  <c r="AB59" i="6"/>
  <c r="AC13" i="22"/>
  <c r="AM13" i="22" s="1"/>
  <c r="BC13" i="22" s="1"/>
  <c r="AC66" i="35"/>
  <c r="AB35" i="8"/>
  <c r="AL35" i="8" s="1"/>
  <c r="BB35" i="8" s="1"/>
  <c r="AB33" i="8"/>
  <c r="AL33" i="8" s="1"/>
  <c r="BB33" i="8" s="1"/>
  <c r="AB28" i="6"/>
  <c r="AB25" i="6"/>
  <c r="AB22" i="6"/>
  <c r="AC249" i="6"/>
  <c r="AC248" i="6"/>
  <c r="AC252" i="6"/>
  <c r="AC258" i="6"/>
  <c r="AC251" i="6"/>
  <c r="AC246" i="6"/>
  <c r="AC253" i="6"/>
  <c r="AC257" i="6"/>
  <c r="AC259" i="6"/>
  <c r="AC250" i="6"/>
  <c r="AC254" i="6"/>
  <c r="AC247" i="6"/>
  <c r="AC255" i="6"/>
  <c r="AB29" i="6"/>
  <c r="AL29" i="6" s="1"/>
  <c r="AB19" i="6"/>
  <c r="AC137" i="6"/>
  <c r="AC7" i="36" s="1"/>
  <c r="AC316" i="6" s="1"/>
  <c r="AB145" i="28"/>
  <c r="AB40" i="28"/>
  <c r="AL40" i="28" s="1"/>
  <c r="BB40" i="28" s="1"/>
  <c r="AB51" i="28"/>
  <c r="AL51" i="28" s="1"/>
  <c r="BB51" i="28" s="1"/>
  <c r="AB63" i="35"/>
  <c r="AL63" i="35" s="1"/>
  <c r="BB63" i="35" s="1"/>
  <c r="AC64" i="35"/>
  <c r="AM64" i="35" s="1"/>
  <c r="BC64" i="35" s="1"/>
  <c r="BB5" i="15" l="1"/>
  <c r="BD5" i="15"/>
  <c r="BD6" i="15"/>
  <c r="BB6" i="15"/>
  <c r="BB48" i="8"/>
  <c r="BC5" i="15"/>
  <c r="BE5" i="15"/>
  <c r="AL242" i="6"/>
  <c r="BB131" i="6"/>
  <c r="AL84" i="9"/>
  <c r="AL86" i="9" s="1"/>
  <c r="BB21" i="9"/>
  <c r="BB84" i="9" s="1"/>
  <c r="BB86" i="9" s="1"/>
  <c r="AM313" i="6"/>
  <c r="BC13" i="6"/>
  <c r="AQ64" i="38"/>
  <c r="BG16" i="38"/>
  <c r="BG64" i="38" s="1"/>
  <c r="BC40" i="8"/>
  <c r="BB7" i="15"/>
  <c r="BD7" i="15"/>
  <c r="BC5" i="26"/>
  <c r="BC74" i="8"/>
  <c r="BC6" i="15"/>
  <c r="BE6" i="15"/>
  <c r="AM242" i="6"/>
  <c r="BC131" i="6"/>
  <c r="AM12" i="22"/>
  <c r="BD30" i="22"/>
  <c r="BD19" i="22"/>
  <c r="BD18" i="22"/>
  <c r="BD17" i="22"/>
  <c r="BD16" i="22"/>
  <c r="BC11" i="22"/>
  <c r="BC12" i="22" s="1"/>
  <c r="BD31" i="22"/>
  <c r="BB56" i="6"/>
  <c r="BC48" i="8"/>
  <c r="BB40" i="8"/>
  <c r="AL238" i="28"/>
  <c r="BB238" i="28" s="1"/>
  <c r="BB23" i="28"/>
  <c r="AL195" i="28"/>
  <c r="BB195" i="28" s="1"/>
  <c r="BB17" i="28"/>
  <c r="AL36" i="6"/>
  <c r="BB36" i="6" s="1"/>
  <c r="AL31" i="6"/>
  <c r="BB31" i="6" s="1"/>
  <c r="BB29" i="6"/>
  <c r="AL144" i="6"/>
  <c r="BB17" i="6"/>
  <c r="BB241" i="6" s="1"/>
  <c r="AM62" i="6"/>
  <c r="AM330" i="6"/>
  <c r="AM332" i="6" s="1"/>
  <c r="AM333" i="6" s="1"/>
  <c r="AM64" i="6"/>
  <c r="AM65" i="6"/>
  <c r="AM152" i="6"/>
  <c r="AM156" i="6"/>
  <c r="AM61" i="6"/>
  <c r="AM63" i="6"/>
  <c r="AM157" i="6"/>
  <c r="BC157" i="6" s="1"/>
  <c r="AM316" i="6"/>
  <c r="AM317" i="6" s="1"/>
  <c r="AM60" i="6"/>
  <c r="AM54" i="6"/>
  <c r="AM57" i="6"/>
  <c r="AB257" i="6"/>
  <c r="AC317" i="6"/>
  <c r="AC66" i="6"/>
  <c r="AC67" i="6" s="1"/>
  <c r="AB254" i="6"/>
  <c r="AB253" i="6"/>
  <c r="AB137" i="6"/>
  <c r="AB7" i="36" s="1"/>
  <c r="AC318" i="6"/>
  <c r="AC319" i="6" s="1"/>
  <c r="AC330" i="6"/>
  <c r="AB18" i="36"/>
  <c r="AB86" i="9"/>
  <c r="AM7" i="6"/>
  <c r="AM11" i="6"/>
  <c r="AL65" i="35"/>
  <c r="BB65" i="35" s="1"/>
  <c r="AL66" i="35"/>
  <c r="BB66" i="35" s="1"/>
  <c r="AB64" i="35"/>
  <c r="AL64" i="35" s="1"/>
  <c r="BB64" i="35" s="1"/>
  <c r="AL56" i="35"/>
  <c r="BB56" i="35" s="1"/>
  <c r="AM331" i="6"/>
  <c r="AC336" i="6"/>
  <c r="AC322" i="6"/>
  <c r="AC314" i="6"/>
  <c r="AM14" i="22"/>
  <c r="AC16" i="48"/>
  <c r="AC18" i="48" s="1"/>
  <c r="AC116" i="7"/>
  <c r="AM15" i="22"/>
  <c r="BC15" i="22" s="1"/>
  <c r="AL64" i="8"/>
  <c r="AL70" i="8" s="1"/>
  <c r="AB34" i="8"/>
  <c r="AL34" i="8" s="1"/>
  <c r="BB34" i="8" s="1"/>
  <c r="AL253" i="6"/>
  <c r="AL257" i="6"/>
  <c r="AL262" i="6"/>
  <c r="AB247" i="6"/>
  <c r="AB249" i="6"/>
  <c r="AB251" i="6"/>
  <c r="AB250" i="6"/>
  <c r="AB248" i="6"/>
  <c r="AL247" i="6"/>
  <c r="AB255" i="6"/>
  <c r="AB252" i="6"/>
  <c r="AB246" i="6"/>
  <c r="AB259" i="6"/>
  <c r="AB260" i="6" s="1"/>
  <c r="AB280" i="6" s="1"/>
  <c r="AL240" i="6"/>
  <c r="AL251" i="6"/>
  <c r="AL254" i="6"/>
  <c r="AL250" i="6"/>
  <c r="AL248" i="6"/>
  <c r="AL263" i="6"/>
  <c r="AC266" i="6"/>
  <c r="AC285" i="6" s="1"/>
  <c r="AL259" i="6"/>
  <c r="AL258" i="6"/>
  <c r="AL246" i="6"/>
  <c r="AL265" i="6"/>
  <c r="AL252" i="6"/>
  <c r="AL249" i="6"/>
  <c r="AL255" i="6"/>
  <c r="AL264" i="6"/>
  <c r="AM262" i="6"/>
  <c r="AM264" i="6"/>
  <c r="AM263" i="6"/>
  <c r="AM265" i="6"/>
  <c r="AB262" i="6"/>
  <c r="AB263" i="6"/>
  <c r="AB264" i="6"/>
  <c r="AB265" i="6"/>
  <c r="AL149" i="6"/>
  <c r="AB242" i="6"/>
  <c r="AL35" i="6"/>
  <c r="BB35" i="6" s="1"/>
  <c r="AL44" i="28"/>
  <c r="BB44" i="28" s="1"/>
  <c r="AB37" i="28"/>
  <c r="AL33" i="28"/>
  <c r="AL241" i="6"/>
  <c r="AL50" i="8" s="1"/>
  <c r="AL145" i="6"/>
  <c r="AM240" i="6"/>
  <c r="AL147" i="6"/>
  <c r="AL34" i="6"/>
  <c r="BB34" i="6" s="1"/>
  <c r="AL146" i="6"/>
  <c r="AM251" i="6"/>
  <c r="AM253" i="6"/>
  <c r="AM250" i="6"/>
  <c r="AM257" i="6"/>
  <c r="AM248" i="6"/>
  <c r="AM255" i="6"/>
  <c r="AM258" i="6"/>
  <c r="AM252" i="6"/>
  <c r="AM259" i="6"/>
  <c r="AM247" i="6"/>
  <c r="AM254" i="6"/>
  <c r="AM249" i="6"/>
  <c r="AM246" i="6"/>
  <c r="AL56" i="6"/>
  <c r="AL148" i="6"/>
  <c r="AL19" i="6"/>
  <c r="AM14" i="6"/>
  <c r="BC14" i="6" s="1"/>
  <c r="AL59" i="6"/>
  <c r="AC178" i="6"/>
  <c r="AC183" i="6"/>
  <c r="AC55" i="6"/>
  <c r="AC15" i="6"/>
  <c r="AC260" i="6"/>
  <c r="AC280" i="6" s="1"/>
  <c r="AB31" i="6"/>
  <c r="AC256" i="6"/>
  <c r="AC277" i="6" s="1"/>
  <c r="AB44" i="28"/>
  <c r="AB47" i="28"/>
  <c r="AL47" i="28" s="1"/>
  <c r="BB47" i="28" s="1"/>
  <c r="AB66" i="35"/>
  <c r="AB65" i="35"/>
  <c r="BC314" i="6" l="1"/>
  <c r="BC55" i="6"/>
  <c r="BC336" i="6"/>
  <c r="BC322" i="6"/>
  <c r="BC240" i="6"/>
  <c r="BC262" i="6"/>
  <c r="BC266" i="6" s="1"/>
  <c r="BC264" i="6"/>
  <c r="BC263" i="6"/>
  <c r="BC265" i="6"/>
  <c r="BC249" i="6"/>
  <c r="BC258" i="6"/>
  <c r="BC254" i="6"/>
  <c r="BC251" i="6"/>
  <c r="BC248" i="6"/>
  <c r="BC257" i="6"/>
  <c r="BC253" i="6"/>
  <c r="BC250" i="6"/>
  <c r="BC259" i="6"/>
  <c r="BC247" i="6"/>
  <c r="BC255" i="6"/>
  <c r="BC252" i="6"/>
  <c r="BC246" i="6"/>
  <c r="BC256" i="6" s="1"/>
  <c r="BC313" i="6"/>
  <c r="BC54" i="6"/>
  <c r="BC60" i="6"/>
  <c r="BC152" i="6"/>
  <c r="BC316" i="6"/>
  <c r="BC330" i="6"/>
  <c r="BB265" i="6"/>
  <c r="BB263" i="6"/>
  <c r="BB264" i="6"/>
  <c r="BB262" i="6"/>
  <c r="BB240" i="6"/>
  <c r="BB247" i="6"/>
  <c r="BB255" i="6"/>
  <c r="BB246" i="6"/>
  <c r="BB254" i="6"/>
  <c r="BB249" i="6"/>
  <c r="BB258" i="6"/>
  <c r="BB248" i="6"/>
  <c r="BB257" i="6"/>
  <c r="BB251" i="6"/>
  <c r="BB250" i="6"/>
  <c r="BB259" i="6"/>
  <c r="BB253" i="6"/>
  <c r="BB252" i="6"/>
  <c r="BB242" i="6"/>
  <c r="BC14" i="22"/>
  <c r="BC242" i="6"/>
  <c r="AL37" i="28"/>
  <c r="BB37" i="28" s="1"/>
  <c r="BB33" i="28"/>
  <c r="BB50" i="8"/>
  <c r="BD50" i="8"/>
  <c r="AL33" i="6"/>
  <c r="BB33" i="6" s="1"/>
  <c r="BB19" i="6"/>
  <c r="AM318" i="6"/>
  <c r="AM319" i="6" s="1"/>
  <c r="AM66" i="6"/>
  <c r="AM67" i="6" s="1"/>
  <c r="AC320" i="6"/>
  <c r="AC331" i="6"/>
  <c r="AC332" i="6"/>
  <c r="AC333" i="6" s="1"/>
  <c r="AM334" i="6"/>
  <c r="AC338" i="6"/>
  <c r="AC339" i="6" s="1"/>
  <c r="AC337" i="6"/>
  <c r="AM322" i="6"/>
  <c r="AM336" i="6"/>
  <c r="AM314" i="6"/>
  <c r="AC324" i="6"/>
  <c r="AC325" i="6" s="1"/>
  <c r="AC323" i="6"/>
  <c r="AL260" i="6"/>
  <c r="AL280" i="6" s="1"/>
  <c r="AB256" i="6"/>
  <c r="AB277" i="6" s="1"/>
  <c r="AL266" i="6"/>
  <c r="AL285" i="6" s="1"/>
  <c r="AL256" i="6"/>
  <c r="AL277" i="6" s="1"/>
  <c r="AM58" i="6"/>
  <c r="AB266" i="6"/>
  <c r="AB285" i="6" s="1"/>
  <c r="AM266" i="6"/>
  <c r="AM285" i="6" s="1"/>
  <c r="AM256" i="6"/>
  <c r="AM260" i="6"/>
  <c r="AM280" i="6" s="1"/>
  <c r="AM55" i="6"/>
  <c r="AM178" i="6"/>
  <c r="AM183" i="6"/>
  <c r="BC183" i="6" s="1"/>
  <c r="AM15" i="6"/>
  <c r="BC15" i="6" s="1"/>
  <c r="AM184" i="6"/>
  <c r="BC184" i="6" s="1"/>
  <c r="AC34" i="6"/>
  <c r="AC33" i="6"/>
  <c r="AC36" i="6"/>
  <c r="AC35" i="6"/>
  <c r="AC59" i="6"/>
  <c r="AC56" i="6"/>
  <c r="AC261" i="6"/>
  <c r="AC267" i="6" s="1"/>
  <c r="AB63" i="28"/>
  <c r="AL63" i="28" s="1"/>
  <c r="BB63" i="28" s="1"/>
  <c r="W10" i="15"/>
  <c r="S10" i="15"/>
  <c r="O10" i="15"/>
  <c r="K10" i="15"/>
  <c r="G10" i="15"/>
  <c r="E10" i="15"/>
  <c r="E194" i="28"/>
  <c r="G194" i="28"/>
  <c r="K194" i="28"/>
  <c r="O194" i="28"/>
  <c r="S194" i="28"/>
  <c r="W194" i="28"/>
  <c r="E144" i="28"/>
  <c r="G144" i="28"/>
  <c r="K144" i="28"/>
  <c r="O144" i="28"/>
  <c r="S144" i="28"/>
  <c r="W144" i="28"/>
  <c r="G237" i="28"/>
  <c r="K237" i="28"/>
  <c r="O237" i="28"/>
  <c r="S237" i="28"/>
  <c r="W237" i="28"/>
  <c r="E237" i="28"/>
  <c r="Y8" i="28"/>
  <c r="W149" i="28"/>
  <c r="W164" i="28"/>
  <c r="W105" i="28"/>
  <c r="W136" i="28"/>
  <c r="AA288" i="28"/>
  <c r="AE288" i="28" s="1"/>
  <c r="Y288" i="28"/>
  <c r="BB256" i="6" l="1"/>
  <c r="BB266" i="6"/>
  <c r="BC332" i="6"/>
  <c r="BC333" i="6" s="1"/>
  <c r="BC331" i="6"/>
  <c r="BC334" i="6" s="1"/>
  <c r="BC341" i="6" s="1"/>
  <c r="BC323" i="6"/>
  <c r="BC326" i="6" s="1"/>
  <c r="BC324" i="6"/>
  <c r="BC325" i="6" s="1"/>
  <c r="BC317" i="6"/>
  <c r="BC318" i="6"/>
  <c r="BC319" i="6" s="1"/>
  <c r="BC260" i="6"/>
  <c r="BC261" i="6" s="1"/>
  <c r="BC338" i="6"/>
  <c r="BC339" i="6" s="1"/>
  <c r="BC337" i="6"/>
  <c r="BC340" i="6" s="1"/>
  <c r="BC56" i="6"/>
  <c r="BB260" i="6"/>
  <c r="AL37" i="6"/>
  <c r="BB37" i="6" s="1"/>
  <c r="AM320" i="6"/>
  <c r="AC334" i="6"/>
  <c r="AC340" i="6"/>
  <c r="AC326" i="6"/>
  <c r="AC327" i="6" s="1"/>
  <c r="AC6" i="48" s="1"/>
  <c r="AM324" i="6"/>
  <c r="AM325" i="6" s="1"/>
  <c r="AM323" i="6"/>
  <c r="AM338" i="6"/>
  <c r="AM339" i="6" s="1"/>
  <c r="AM337" i="6"/>
  <c r="AB261" i="6"/>
  <c r="AB267" i="6" s="1"/>
  <c r="AL261" i="6"/>
  <c r="AL267" i="6" s="1"/>
  <c r="Y136" i="28"/>
  <c r="AA136" i="28"/>
  <c r="AE136" i="28" s="1"/>
  <c r="AI136" i="28" s="1"/>
  <c r="AO136" i="28" s="1"/>
  <c r="AS136" i="28" s="1"/>
  <c r="AW136" i="28" s="1"/>
  <c r="BE136" i="28" s="1"/>
  <c r="Y105" i="28"/>
  <c r="AA105" i="28"/>
  <c r="AE105" i="28" s="1"/>
  <c r="AI105" i="28" s="1"/>
  <c r="AO105" i="28" s="1"/>
  <c r="AS105" i="28" s="1"/>
  <c r="AW105" i="28" s="1"/>
  <c r="BE105" i="28" s="1"/>
  <c r="AL281" i="6"/>
  <c r="AM277" i="6"/>
  <c r="AM261" i="6"/>
  <c r="AM267" i="6" s="1"/>
  <c r="AM59" i="6"/>
  <c r="AM36" i="6"/>
  <c r="BC36" i="6" s="1"/>
  <c r="AM34" i="6"/>
  <c r="BC34" i="6" s="1"/>
  <c r="AM35" i="6"/>
  <c r="BC35" i="6" s="1"/>
  <c r="AM33" i="6"/>
  <c r="BC33" i="6" s="1"/>
  <c r="AM56" i="6"/>
  <c r="AC37" i="6"/>
  <c r="AC9" i="36"/>
  <c r="AB9" i="36"/>
  <c r="AB281" i="6"/>
  <c r="AC281" i="6"/>
  <c r="W60" i="28"/>
  <c r="W61" i="28" s="1"/>
  <c r="W56" i="28"/>
  <c r="W57" i="28" s="1"/>
  <c r="N1" i="37"/>
  <c r="Y326" i="28"/>
  <c r="Y287" i="28"/>
  <c r="Y289" i="28"/>
  <c r="Y291" i="28"/>
  <c r="Y293" i="28"/>
  <c r="Y298" i="28"/>
  <c r="Y299" i="28"/>
  <c r="Y301" i="28"/>
  <c r="Y302" i="28"/>
  <c r="Y303" i="28"/>
  <c r="Y304" i="28"/>
  <c r="Y305" i="28"/>
  <c r="Y306" i="28"/>
  <c r="Y307" i="28"/>
  <c r="Y308" i="28"/>
  <c r="Y309" i="28"/>
  <c r="Y251" i="28"/>
  <c r="Y252" i="28"/>
  <c r="Y253" i="28"/>
  <c r="Y254" i="28"/>
  <c r="Y257" i="28"/>
  <c r="Y258" i="28"/>
  <c r="Y259" i="28"/>
  <c r="Y260" i="28"/>
  <c r="Y261" i="28"/>
  <c r="Y262" i="28"/>
  <c r="Y263" i="28"/>
  <c r="Y264" i="28"/>
  <c r="Y265" i="28"/>
  <c r="Y266" i="28"/>
  <c r="Y267" i="28"/>
  <c r="Y269" i="28"/>
  <c r="Y270" i="28"/>
  <c r="Y271" i="28"/>
  <c r="Y273" i="28"/>
  <c r="Y274" i="28"/>
  <c r="Y275" i="28"/>
  <c r="Y276" i="28"/>
  <c r="Y277" i="28"/>
  <c r="Y278" i="28"/>
  <c r="Y279" i="28"/>
  <c r="Y280" i="28"/>
  <c r="Y281" i="28"/>
  <c r="Y282" i="28"/>
  <c r="Y203" i="28"/>
  <c r="Y206" i="28"/>
  <c r="Y208" i="28"/>
  <c r="Y209" i="28"/>
  <c r="Y210" i="28"/>
  <c r="Y211" i="28"/>
  <c r="Y212" i="28"/>
  <c r="Y214" i="28"/>
  <c r="Y215" i="28"/>
  <c r="Y216" i="28"/>
  <c r="Y217" i="28"/>
  <c r="Y219" i="28"/>
  <c r="Y220" i="28"/>
  <c r="Y222" i="28"/>
  <c r="Y223" i="28"/>
  <c r="Y224" i="28"/>
  <c r="Y226" i="28"/>
  <c r="Y227" i="28"/>
  <c r="Y228" i="28"/>
  <c r="Y230" i="28"/>
  <c r="Y231" i="28"/>
  <c r="Y232" i="28"/>
  <c r="Y233" i="28"/>
  <c r="Y236" i="28"/>
  <c r="Y198" i="28"/>
  <c r="Y172" i="28"/>
  <c r="Y173" i="28"/>
  <c r="Y184" i="28"/>
  <c r="Y185" i="28"/>
  <c r="Y186" i="28"/>
  <c r="Y187" i="28"/>
  <c r="Y188" i="28"/>
  <c r="Y189" i="28"/>
  <c r="Y190" i="28"/>
  <c r="Y191" i="28"/>
  <c r="Y192" i="28"/>
  <c r="Y193" i="28"/>
  <c r="Y148" i="28"/>
  <c r="Y149" i="28"/>
  <c r="Y151" i="28"/>
  <c r="Y153" i="28"/>
  <c r="Y155" i="28"/>
  <c r="Y156" i="28"/>
  <c r="Y158" i="28"/>
  <c r="Y160" i="28"/>
  <c r="Y162" i="28"/>
  <c r="Y164" i="28"/>
  <c r="Y166" i="28"/>
  <c r="Y168" i="28"/>
  <c r="X316" i="28"/>
  <c r="X317" i="28"/>
  <c r="X284" i="28"/>
  <c r="Y328" i="28"/>
  <c r="Y324" i="28"/>
  <c r="Y325" i="28" s="1"/>
  <c r="Y321" i="28"/>
  <c r="Y320" i="28"/>
  <c r="Y316" i="28"/>
  <c r="Y317" i="28"/>
  <c r="Y315" i="28"/>
  <c r="Y250" i="28"/>
  <c r="Y202" i="28"/>
  <c r="Y197" i="28"/>
  <c r="Y68" i="28"/>
  <c r="Y59" i="28"/>
  <c r="Y55" i="28"/>
  <c r="Y52" i="28"/>
  <c r="Y51" i="28"/>
  <c r="Y48" i="28"/>
  <c r="Y47" i="28"/>
  <c r="Y26" i="28"/>
  <c r="Y27" i="28"/>
  <c r="Y28" i="28"/>
  <c r="Y29" i="28"/>
  <c r="Y25" i="28"/>
  <c r="Y20" i="28"/>
  <c r="Y21" i="28"/>
  <c r="Y22" i="28"/>
  <c r="Y19" i="28"/>
  <c r="Y237" i="28" s="1"/>
  <c r="Y14" i="28"/>
  <c r="Y15" i="28"/>
  <c r="Y16" i="28"/>
  <c r="Y13" i="28"/>
  <c r="Y194" i="28" s="1"/>
  <c r="Y10" i="28"/>
  <c r="Y7" i="28"/>
  <c r="Y144" i="28" s="1"/>
  <c r="X197" i="28"/>
  <c r="X147" i="28"/>
  <c r="X29" i="28"/>
  <c r="X25" i="28"/>
  <c r="X19" i="28"/>
  <c r="X13" i="28"/>
  <c r="X7" i="28"/>
  <c r="Y9" i="28"/>
  <c r="V328" i="28"/>
  <c r="V326" i="28"/>
  <c r="W325" i="28"/>
  <c r="W329" i="28" s="1"/>
  <c r="W322" i="28"/>
  <c r="W318" i="28"/>
  <c r="V315" i="28"/>
  <c r="V318" i="28" s="1"/>
  <c r="W311" i="28"/>
  <c r="W310" i="28"/>
  <c r="W284" i="28"/>
  <c r="W245" i="28"/>
  <c r="W238" i="28"/>
  <c r="W199" i="28"/>
  <c r="W195" i="28"/>
  <c r="W169" i="28"/>
  <c r="W145" i="28"/>
  <c r="W63" i="28"/>
  <c r="W53" i="28"/>
  <c r="W49" i="28"/>
  <c r="W36" i="28"/>
  <c r="W35" i="28"/>
  <c r="W34" i="28"/>
  <c r="W33" i="28"/>
  <c r="W32" i="28"/>
  <c r="V32" i="28"/>
  <c r="W30" i="28"/>
  <c r="W43" i="28" s="1"/>
  <c r="V26" i="28"/>
  <c r="V30" i="28" s="1"/>
  <c r="V312" i="28" s="1"/>
  <c r="W23" i="28"/>
  <c r="W42" i="28" s="1"/>
  <c r="V20" i="28"/>
  <c r="V23" i="28" s="1"/>
  <c r="V42" i="28" s="1"/>
  <c r="W17" i="28"/>
  <c r="W41" i="28" s="1"/>
  <c r="V14" i="28"/>
  <c r="V17" i="28" s="1"/>
  <c r="V195" i="28" s="1"/>
  <c r="W11" i="28"/>
  <c r="W40" i="28" s="1"/>
  <c r="V8" i="28"/>
  <c r="V11" i="28" s="1"/>
  <c r="BC267" i="6" l="1"/>
  <c r="BC9" i="36"/>
  <c r="BC320" i="6"/>
  <c r="BC327" i="6" s="1"/>
  <c r="BC343" i="6" s="1"/>
  <c r="AL9" i="36"/>
  <c r="BB261" i="6"/>
  <c r="AC341" i="6"/>
  <c r="AC7" i="48" s="1"/>
  <c r="AC8" i="48" s="1"/>
  <c r="AM326" i="6"/>
  <c r="AM327" i="6" s="1"/>
  <c r="AM6" i="48" s="1"/>
  <c r="AM340" i="6"/>
  <c r="AM341" i="6" s="1"/>
  <c r="AL286" i="6"/>
  <c r="AM281" i="6"/>
  <c r="AM286" i="6" s="1"/>
  <c r="AM9" i="36"/>
  <c r="AM37" i="6"/>
  <c r="BC37" i="6" s="1"/>
  <c r="Y56" i="28"/>
  <c r="Y57" i="28" s="1"/>
  <c r="Y49" i="28"/>
  <c r="W64" i="28"/>
  <c r="W65" i="28" s="1"/>
  <c r="W66" i="28" s="1"/>
  <c r="AC286" i="6"/>
  <c r="AB286" i="6"/>
  <c r="Y318" i="28"/>
  <c r="W312" i="28"/>
  <c r="Y11" i="28"/>
  <c r="V33" i="28"/>
  <c r="V37" i="28" s="1"/>
  <c r="Y329" i="28"/>
  <c r="Y53" i="28"/>
  <c r="Y23" i="28"/>
  <c r="Y322" i="28"/>
  <c r="Y310" i="28"/>
  <c r="Y30" i="28"/>
  <c r="Y17" i="28"/>
  <c r="W37" i="28"/>
  <c r="W38" i="28" s="1"/>
  <c r="V145" i="28"/>
  <c r="V40" i="28"/>
  <c r="V238" i="28"/>
  <c r="V320" i="28"/>
  <c r="V324" i="28"/>
  <c r="V41" i="28"/>
  <c r="V43" i="28"/>
  <c r="W44" i="28"/>
  <c r="BB9" i="36" l="1"/>
  <c r="BB267" i="6"/>
  <c r="AC343" i="6"/>
  <c r="AM343" i="6"/>
  <c r="AM7" i="48"/>
  <c r="AM8" i="48" s="1"/>
  <c r="V59" i="28"/>
  <c r="V329" i="28"/>
  <c r="V55" i="28"/>
  <c r="V51" i="28"/>
  <c r="V47" i="28"/>
  <c r="V44" i="28"/>
  <c r="Z27" i="22"/>
  <c r="Z25" i="22"/>
  <c r="Z22" i="22"/>
  <c r="Z52" i="22" s="1"/>
  <c r="Z21" i="22"/>
  <c r="Z13" i="22"/>
  <c r="Z11" i="22"/>
  <c r="Z18" i="22" s="1"/>
  <c r="Z8" i="22"/>
  <c r="Z44" i="22" s="1"/>
  <c r="Z7" i="22"/>
  <c r="Z3" i="22"/>
  <c r="Y3" i="22"/>
  <c r="X33" i="22"/>
  <c r="W33" i="22"/>
  <c r="X28" i="22"/>
  <c r="X64" i="22" s="1"/>
  <c r="X65" i="22" s="1"/>
  <c r="X66" i="22" s="1"/>
  <c r="W40" i="48" s="1"/>
  <c r="X24" i="22"/>
  <c r="X26" i="22" s="1"/>
  <c r="X23" i="22"/>
  <c r="X51" i="22" s="1"/>
  <c r="X53" i="22" s="1"/>
  <c r="X55" i="22" s="1"/>
  <c r="X56" i="22" s="1"/>
  <c r="W26" i="48" s="1"/>
  <c r="W28" i="48" s="1"/>
  <c r="X14" i="22"/>
  <c r="X59" i="22" s="1"/>
  <c r="X60" i="22" s="1"/>
  <c r="X61" i="22" s="1"/>
  <c r="W37" i="48" s="1"/>
  <c r="X10" i="22"/>
  <c r="X9" i="22"/>
  <c r="X43" i="22" s="1"/>
  <c r="X45" i="22" s="1"/>
  <c r="X47" i="22" s="1"/>
  <c r="X48" i="22" s="1"/>
  <c r="W21" i="48" s="1"/>
  <c r="W23" i="48" s="1"/>
  <c r="J3" i="22"/>
  <c r="N3" i="22" s="1"/>
  <c r="R3" i="22" s="1"/>
  <c r="V3" i="22" s="1"/>
  <c r="AB3" i="22" s="1"/>
  <c r="AF3" i="22" s="1"/>
  <c r="AJ3" i="22" s="1"/>
  <c r="AP3" i="22" s="1"/>
  <c r="AT3" i="22" s="1"/>
  <c r="AX3" i="22" s="1"/>
  <c r="BF3" i="22" s="1"/>
  <c r="I3" i="22"/>
  <c r="M3" i="22" s="1"/>
  <c r="Q3" i="22" s="1"/>
  <c r="U3" i="22" s="1"/>
  <c r="AA3" i="22" s="1"/>
  <c r="AE3" i="22" s="1"/>
  <c r="AI3" i="22" s="1"/>
  <c r="AO3" i="22" s="1"/>
  <c r="AS3" i="22" s="1"/>
  <c r="AW3" i="22" s="1"/>
  <c r="BE3" i="22" s="1"/>
  <c r="Z17" i="22" l="1"/>
  <c r="W21" i="22"/>
  <c r="W22" i="22" s="1"/>
  <c r="W7" i="22"/>
  <c r="W8" i="22" s="1"/>
  <c r="V63" i="28"/>
  <c r="Z28" i="22"/>
  <c r="Z64" i="22" s="1"/>
  <c r="Z30" i="22"/>
  <c r="Z31" i="22"/>
  <c r="Z16" i="22"/>
  <c r="Z19" i="22"/>
  <c r="X12" i="22"/>
  <c r="Z9" i="22"/>
  <c r="Z43" i="22" s="1"/>
  <c r="Z45" i="22" s="1"/>
  <c r="Z47" i="22" s="1"/>
  <c r="Z48" i="22" s="1"/>
  <c r="Y21" i="48" s="1"/>
  <c r="Z23" i="22"/>
  <c r="Z51" i="22" s="1"/>
  <c r="Z53" i="22" s="1"/>
  <c r="Z55" i="22" s="1"/>
  <c r="Z56" i="22" s="1"/>
  <c r="Y26" i="48" s="1"/>
  <c r="Z14" i="22"/>
  <c r="Z59" i="22" s="1"/>
  <c r="W10" i="22" l="1"/>
  <c r="W24" i="22"/>
  <c r="W25" i="22" l="1"/>
  <c r="W11" i="22"/>
  <c r="W13" i="22" l="1"/>
  <c r="W27" i="22"/>
  <c r="Y39" i="27" l="1"/>
  <c r="X39" i="27"/>
  <c r="W38" i="27"/>
  <c r="W36" i="27"/>
  <c r="W30" i="27"/>
  <c r="W29" i="27"/>
  <c r="W28" i="27"/>
  <c r="W23" i="27"/>
  <c r="W20" i="27"/>
  <c r="W19" i="27"/>
  <c r="W18" i="27"/>
  <c r="X12" i="27"/>
  <c r="Y24" i="27" l="1"/>
  <c r="X24" i="27"/>
  <c r="X7" i="27"/>
  <c r="Y7" i="27"/>
  <c r="X8" i="27"/>
  <c r="Y8" i="27"/>
  <c r="X9" i="27"/>
  <c r="Y9" i="27"/>
  <c r="X10" i="27"/>
  <c r="Y10" i="27"/>
  <c r="X11" i="27"/>
  <c r="Y11" i="27"/>
  <c r="Y12" i="27"/>
  <c r="X13" i="27"/>
  <c r="Y13" i="27"/>
  <c r="X14" i="27"/>
  <c r="Y14" i="27"/>
  <c r="X15" i="27"/>
  <c r="Y15" i="27"/>
  <c r="Y6" i="27"/>
  <c r="X6" i="27"/>
  <c r="Y2" i="27"/>
  <c r="Y32" i="27" s="1"/>
  <c r="X2" i="27"/>
  <c r="X32" i="27" s="1"/>
  <c r="Y33" i="27"/>
  <c r="W37" i="27"/>
  <c r="W40" i="27" s="1"/>
  <c r="W31" i="27"/>
  <c r="W27" i="27"/>
  <c r="W34" i="27" s="1"/>
  <c r="W22" i="27"/>
  <c r="W21" i="27"/>
  <c r="W25" i="27" s="1"/>
  <c r="S14" i="15"/>
  <c r="O14" i="15"/>
  <c r="K14" i="15"/>
  <c r="G14" i="15"/>
  <c r="E14" i="15"/>
  <c r="W14" i="15"/>
  <c r="G138" i="37"/>
  <c r="N88" i="37"/>
  <c r="W102" i="37"/>
  <c r="Y102" i="37" s="1"/>
  <c r="AA102" i="37" s="1"/>
  <c r="AE102" i="37" s="1"/>
  <c r="W105" i="37"/>
  <c r="Y105" i="37" s="1"/>
  <c r="AA105" i="37" s="1"/>
  <c r="AE105" i="37" s="1"/>
  <c r="W106" i="37"/>
  <c r="Y106" i="37" s="1"/>
  <c r="AA106" i="37" s="1"/>
  <c r="AE106" i="37" s="1"/>
  <c r="W103" i="37"/>
  <c r="Y103" i="37" s="1"/>
  <c r="AA103" i="37" s="1"/>
  <c r="AE103" i="37" s="1"/>
  <c r="W125" i="37"/>
  <c r="Y125" i="37" s="1"/>
  <c r="AA125" i="37" s="1"/>
  <c r="AE125" i="37" s="1"/>
  <c r="W114" i="37"/>
  <c r="Y114" i="37" s="1"/>
  <c r="AA114" i="37" s="1"/>
  <c r="AE114" i="37" s="1"/>
  <c r="T100" i="37"/>
  <c r="W100" i="37" s="1"/>
  <c r="Y100" i="37" s="1"/>
  <c r="AA100" i="37" s="1"/>
  <c r="AE100" i="37" s="1"/>
  <c r="W117" i="37"/>
  <c r="Y117" i="37" s="1"/>
  <c r="AA117" i="37" s="1"/>
  <c r="AE117" i="37" s="1"/>
  <c r="G77" i="37"/>
  <c r="I77" i="37" s="1"/>
  <c r="K77" i="37" s="1"/>
  <c r="M77" i="37" s="1"/>
  <c r="P77" i="37" s="1"/>
  <c r="R77" i="37" s="1"/>
  <c r="T77" i="37" s="1"/>
  <c r="W77" i="37" s="1"/>
  <c r="Y77" i="37" s="1"/>
  <c r="AA77" i="37" s="1"/>
  <c r="AE77" i="37" s="1"/>
  <c r="G55" i="37"/>
  <c r="I55" i="37" s="1"/>
  <c r="K55" i="37" s="1"/>
  <c r="M55" i="37" s="1"/>
  <c r="P55" i="37" s="1"/>
  <c r="R55" i="37" s="1"/>
  <c r="T55" i="37" s="1"/>
  <c r="W55" i="37" s="1"/>
  <c r="Y55" i="37" s="1"/>
  <c r="AA55" i="37" s="1"/>
  <c r="AE55" i="37" s="1"/>
  <c r="G47" i="37"/>
  <c r="I47" i="37" s="1"/>
  <c r="K47" i="37" s="1"/>
  <c r="M47" i="37" s="1"/>
  <c r="P47" i="37" s="1"/>
  <c r="R47" i="37" s="1"/>
  <c r="T47" i="37" s="1"/>
  <c r="W47" i="37" s="1"/>
  <c r="Y47" i="37" s="1"/>
  <c r="AA47" i="37" s="1"/>
  <c r="AE47" i="37" s="1"/>
  <c r="G45" i="37"/>
  <c r="I45" i="37" s="1"/>
  <c r="K45" i="37" s="1"/>
  <c r="M45" i="37" s="1"/>
  <c r="P45" i="37" s="1"/>
  <c r="R45" i="37" s="1"/>
  <c r="T45" i="37" s="1"/>
  <c r="W45" i="37" s="1"/>
  <c r="Y45" i="37" s="1"/>
  <c r="AA45" i="37" s="1"/>
  <c r="AE45" i="37" s="1"/>
  <c r="O45" i="37"/>
  <c r="O55" i="37"/>
  <c r="O47" i="37"/>
  <c r="O77" i="37"/>
  <c r="G64" i="37"/>
  <c r="I64" i="37" s="1"/>
  <c r="K64" i="37" s="1"/>
  <c r="M64" i="37" s="1"/>
  <c r="P64" i="37" s="1"/>
  <c r="R64" i="37" s="1"/>
  <c r="T64" i="37" s="1"/>
  <c r="W64" i="37" s="1"/>
  <c r="Y64" i="37" s="1"/>
  <c r="AA64" i="37" s="1"/>
  <c r="AE64" i="37" s="1"/>
  <c r="O64" i="37"/>
  <c r="G25" i="37"/>
  <c r="I25" i="37" s="1"/>
  <c r="K25" i="37" s="1"/>
  <c r="M25" i="37" s="1"/>
  <c r="P25" i="37" s="1"/>
  <c r="R25" i="37" s="1"/>
  <c r="T25" i="37" s="1"/>
  <c r="W25" i="37" s="1"/>
  <c r="Y25" i="37" s="1"/>
  <c r="AA25" i="37" s="1"/>
  <c r="AE25" i="37" s="1"/>
  <c r="O23" i="37"/>
  <c r="O24" i="37"/>
  <c r="O25" i="37"/>
  <c r="O28" i="37"/>
  <c r="O29" i="37"/>
  <c r="O149" i="37"/>
  <c r="O95" i="37"/>
  <c r="O94" i="37"/>
  <c r="O87" i="37"/>
  <c r="O84" i="37"/>
  <c r="O82" i="37"/>
  <c r="O79" i="37"/>
  <c r="O74" i="37"/>
  <c r="O73" i="37"/>
  <c r="O71" i="37"/>
  <c r="O67" i="37"/>
  <c r="O69" i="37"/>
  <c r="O66" i="37"/>
  <c r="O76" i="37"/>
  <c r="O75" i="37"/>
  <c r="O65" i="37"/>
  <c r="O63" i="37"/>
  <c r="O62" i="37"/>
  <c r="O61" i="37"/>
  <c r="O60" i="37"/>
  <c r="O59" i="37"/>
  <c r="O56" i="37"/>
  <c r="O57" i="37"/>
  <c r="O53" i="37"/>
  <c r="O51" i="37"/>
  <c r="O50" i="37"/>
  <c r="O48" i="37"/>
  <c r="O44" i="37"/>
  <c r="O43" i="37"/>
  <c r="O40" i="37"/>
  <c r="O38" i="37"/>
  <c r="O36" i="37"/>
  <c r="O34" i="37"/>
  <c r="O32" i="37"/>
  <c r="O30" i="37"/>
  <c r="O22" i="37"/>
  <c r="O20" i="37"/>
  <c r="O17" i="37"/>
  <c r="O18" i="37"/>
  <c r="O15" i="37"/>
  <c r="O16" i="37"/>
  <c r="O14" i="37"/>
  <c r="O13" i="37"/>
  <c r="O12" i="37"/>
  <c r="O11" i="37"/>
  <c r="O8" i="37"/>
  <c r="O9" i="37"/>
  <c r="O7" i="37"/>
  <c r="N93" i="37"/>
  <c r="X19" i="27" l="1"/>
  <c r="X23" i="27"/>
  <c r="W11" i="15"/>
  <c r="N91" i="37"/>
  <c r="N96" i="37" s="1"/>
  <c r="X18" i="27"/>
  <c r="X20" i="27"/>
  <c r="X28" i="27"/>
  <c r="X31" i="27"/>
  <c r="X36" i="27"/>
  <c r="X38" i="27"/>
  <c r="X22" i="27"/>
  <c r="X27" i="27"/>
  <c r="X29" i="27"/>
  <c r="X37" i="27"/>
  <c r="X21" i="27"/>
  <c r="X30" i="27"/>
  <c r="W120" i="37"/>
  <c r="Y120" i="37" s="1"/>
  <c r="AA120" i="37" s="1"/>
  <c r="AE120" i="37" s="1"/>
  <c r="W116" i="37"/>
  <c r="Y116" i="37" s="1"/>
  <c r="AA116" i="37" s="1"/>
  <c r="AE116" i="37" s="1"/>
  <c r="W115" i="37"/>
  <c r="Y115" i="37" s="1"/>
  <c r="AA115" i="37" s="1"/>
  <c r="AE115" i="37" s="1"/>
  <c r="W108" i="37"/>
  <c r="Y108" i="37" s="1"/>
  <c r="AA108" i="37" s="1"/>
  <c r="AE108" i="37" s="1"/>
  <c r="W112" i="37"/>
  <c r="Y112" i="37" s="1"/>
  <c r="AA112" i="37" s="1"/>
  <c r="AE112" i="37" s="1"/>
  <c r="I138" i="37"/>
  <c r="K138" i="37" s="1"/>
  <c r="M138" i="37" s="1"/>
  <c r="P138" i="37" s="1"/>
  <c r="R138" i="37" s="1"/>
  <c r="T138" i="37" s="1"/>
  <c r="W138" i="37" s="1"/>
  <c r="Y138" i="37" s="1"/>
  <c r="AA138" i="37" s="1"/>
  <c r="AE138" i="37" s="1"/>
  <c r="O88" i="37"/>
  <c r="F18" i="15"/>
  <c r="J18" i="15"/>
  <c r="N18" i="15"/>
  <c r="R18" i="15"/>
  <c r="V18" i="15"/>
  <c r="D18" i="15"/>
  <c r="Y10" i="15"/>
  <c r="X10" i="15"/>
  <c r="V11" i="15"/>
  <c r="R9" i="15"/>
  <c r="S9" i="15"/>
  <c r="V9" i="15"/>
  <c r="W9" i="15"/>
  <c r="R8" i="15"/>
  <c r="S8" i="15"/>
  <c r="V8" i="15"/>
  <c r="W8" i="15"/>
  <c r="R7" i="15"/>
  <c r="S7" i="15"/>
  <c r="V7" i="15"/>
  <c r="W7" i="15"/>
  <c r="R6" i="15"/>
  <c r="S6" i="15"/>
  <c r="V6" i="15"/>
  <c r="W6" i="15"/>
  <c r="R5" i="15"/>
  <c r="S5" i="15"/>
  <c r="V5" i="15"/>
  <c r="W5" i="15"/>
  <c r="N17" i="15"/>
  <c r="O17" i="15"/>
  <c r="R17" i="15"/>
  <c r="S17" i="15"/>
  <c r="V17" i="15"/>
  <c r="W17" i="15"/>
  <c r="W16" i="15"/>
  <c r="X34" i="27" l="1"/>
  <c r="X40" i="27"/>
  <c r="X25" i="27"/>
  <c r="V14" i="15"/>
  <c r="V15" i="15" s="1"/>
  <c r="V12" i="15"/>
  <c r="V13" i="15" s="1"/>
  <c r="W12" i="15"/>
  <c r="W13" i="15" s="1"/>
  <c r="V94" i="26"/>
  <c r="W94" i="26"/>
  <c r="Y77" i="26"/>
  <c r="Y76" i="26"/>
  <c r="Y75" i="26"/>
  <c r="Y74" i="26"/>
  <c r="Y73" i="26"/>
  <c r="Y72" i="26"/>
  <c r="Y71" i="26"/>
  <c r="Y70" i="26"/>
  <c r="Y69" i="26"/>
  <c r="Y64" i="26"/>
  <c r="Y63" i="26"/>
  <c r="Y58" i="26"/>
  <c r="Y57" i="26" s="1"/>
  <c r="Y53" i="26"/>
  <c r="Y52" i="26"/>
  <c r="Y51" i="26"/>
  <c r="Y50" i="26"/>
  <c r="Y49" i="26"/>
  <c r="Y48" i="26"/>
  <c r="Y47" i="26"/>
  <c r="Y46" i="26"/>
  <c r="Y45" i="26"/>
  <c r="Y41" i="26"/>
  <c r="Y40" i="26"/>
  <c r="Y37" i="26"/>
  <c r="Y38" i="26" s="1"/>
  <c r="Y33" i="26"/>
  <c r="Y32" i="26"/>
  <c r="Y31" i="26"/>
  <c r="Y30" i="26"/>
  <c r="Y29" i="26"/>
  <c r="Y28" i="26"/>
  <c r="Y27" i="26"/>
  <c r="Y26" i="26"/>
  <c r="Y25" i="26"/>
  <c r="Y24" i="26"/>
  <c r="Y23" i="26"/>
  <c r="Y22" i="26"/>
  <c r="Y21" i="26"/>
  <c r="Y20" i="26"/>
  <c r="Y19" i="26"/>
  <c r="Y18" i="26"/>
  <c r="Y17" i="26"/>
  <c r="Y16" i="26"/>
  <c r="Y12" i="26"/>
  <c r="Y11" i="26"/>
  <c r="Y8" i="26"/>
  <c r="Y7" i="26"/>
  <c r="X2" i="26"/>
  <c r="Y2" i="26"/>
  <c r="X9" i="26"/>
  <c r="X10" i="26" s="1"/>
  <c r="W92" i="26"/>
  <c r="V92" i="26"/>
  <c r="W78" i="26"/>
  <c r="V78" i="26"/>
  <c r="W65" i="26"/>
  <c r="V63" i="26"/>
  <c r="V65" i="26" s="1"/>
  <c r="V61" i="26"/>
  <c r="V60" i="26"/>
  <c r="V54" i="26"/>
  <c r="V55" i="26" s="1"/>
  <c r="W38" i="26"/>
  <c r="W43" i="26" s="1"/>
  <c r="V38" i="26"/>
  <c r="V39" i="26" s="1"/>
  <c r="W34" i="26"/>
  <c r="V34" i="26"/>
  <c r="V11" i="26"/>
  <c r="Z9" i="26"/>
  <c r="W9" i="26"/>
  <c r="W13" i="26" s="1"/>
  <c r="V9" i="26"/>
  <c r="V10" i="26" s="1"/>
  <c r="W85" i="17"/>
  <c r="W84" i="17"/>
  <c r="W83" i="17"/>
  <c r="W82" i="17"/>
  <c r="W51" i="17"/>
  <c r="W34" i="17"/>
  <c r="W9" i="17"/>
  <c r="W13" i="17"/>
  <c r="W8" i="17"/>
  <c r="W10" i="17" s="1"/>
  <c r="AA88" i="17"/>
  <c r="Y92" i="17"/>
  <c r="Y93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91" i="17"/>
  <c r="Y88" i="17"/>
  <c r="AI88" i="17" s="1"/>
  <c r="Y87" i="17"/>
  <c r="Y60" i="17"/>
  <c r="X60" i="17"/>
  <c r="Y57" i="17"/>
  <c r="Y56" i="17"/>
  <c r="Y47" i="17"/>
  <c r="Y45" i="17"/>
  <c r="Y41" i="17"/>
  <c r="Y39" i="17"/>
  <c r="Y37" i="17"/>
  <c r="Y26" i="17"/>
  <c r="X26" i="17"/>
  <c r="Y25" i="17"/>
  <c r="Y24" i="17"/>
  <c r="X24" i="17"/>
  <c r="Y23" i="17"/>
  <c r="X23" i="17"/>
  <c r="Y19" i="17"/>
  <c r="Y18" i="17"/>
  <c r="Y20" i="17"/>
  <c r="X20" i="17"/>
  <c r="Y17" i="17"/>
  <c r="X9" i="17"/>
  <c r="Y7" i="17"/>
  <c r="X7" i="17"/>
  <c r="Y2" i="17"/>
  <c r="X2" i="17"/>
  <c r="X13" i="17" s="1"/>
  <c r="Y48" i="17"/>
  <c r="Y46" i="17"/>
  <c r="V113" i="17"/>
  <c r="W81" i="17"/>
  <c r="V81" i="17"/>
  <c r="W77" i="17"/>
  <c r="V77" i="17"/>
  <c r="W66" i="17"/>
  <c r="W68" i="17" s="1"/>
  <c r="V66" i="17"/>
  <c r="V68" i="17" s="1"/>
  <c r="W58" i="17"/>
  <c r="W61" i="17" s="1"/>
  <c r="V57" i="17"/>
  <c r="V56" i="17"/>
  <c r="W52" i="17"/>
  <c r="V51" i="17"/>
  <c r="V50" i="17"/>
  <c r="V54" i="17" s="1"/>
  <c r="W48" i="17"/>
  <c r="V47" i="17"/>
  <c r="W46" i="17"/>
  <c r="V45" i="17"/>
  <c r="W43" i="17"/>
  <c r="V43" i="17"/>
  <c r="W42" i="17"/>
  <c r="W40" i="17"/>
  <c r="W38" i="17"/>
  <c r="V25" i="17"/>
  <c r="W21" i="17"/>
  <c r="W15" i="17" s="1"/>
  <c r="V18" i="17"/>
  <c r="V17" i="17"/>
  <c r="V15" i="17"/>
  <c r="V29" i="17" s="1"/>
  <c r="V14" i="17"/>
  <c r="W11" i="17"/>
  <c r="V8" i="17"/>
  <c r="V10" i="17" s="1"/>
  <c r="Z36" i="39"/>
  <c r="Z35" i="39"/>
  <c r="Z34" i="39"/>
  <c r="Z33" i="39"/>
  <c r="Z32" i="39"/>
  <c r="Z31" i="39"/>
  <c r="Z30" i="39"/>
  <c r="Z26" i="39"/>
  <c r="Z25" i="39"/>
  <c r="Z24" i="39"/>
  <c r="Z21" i="39"/>
  <c r="Z20" i="39"/>
  <c r="Z19" i="39"/>
  <c r="Z7" i="39"/>
  <c r="AA7" i="39"/>
  <c r="Z8" i="39"/>
  <c r="AA8" i="39"/>
  <c r="Z9" i="39"/>
  <c r="AA9" i="39"/>
  <c r="Z10" i="39"/>
  <c r="AA10" i="39"/>
  <c r="Z11" i="39"/>
  <c r="AA11" i="39"/>
  <c r="Z12" i="39"/>
  <c r="AA12" i="39"/>
  <c r="Z13" i="39"/>
  <c r="AA13" i="39"/>
  <c r="Z14" i="39"/>
  <c r="AA14" i="39"/>
  <c r="Z15" i="39"/>
  <c r="AA15" i="39"/>
  <c r="AA6" i="39"/>
  <c r="Z6" i="39"/>
  <c r="Y16" i="39"/>
  <c r="X16" i="39"/>
  <c r="W71" i="7"/>
  <c r="D7" i="9"/>
  <c r="F7" i="9"/>
  <c r="J7" i="9"/>
  <c r="N7" i="9"/>
  <c r="R7" i="9"/>
  <c r="V7" i="9"/>
  <c r="W90" i="9"/>
  <c r="W91" i="9" s="1"/>
  <c r="S90" i="9"/>
  <c r="Y116" i="9"/>
  <c r="Y115" i="9"/>
  <c r="Y114" i="9"/>
  <c r="Y113" i="9"/>
  <c r="Y112" i="9"/>
  <c r="Y54" i="48" s="1"/>
  <c r="Y111" i="9"/>
  <c r="Y110" i="9"/>
  <c r="Y50" i="48" s="1"/>
  <c r="Y109" i="9"/>
  <c r="Y108" i="9"/>
  <c r="Y48" i="48" s="1"/>
  <c r="Y107" i="9"/>
  <c r="Y55" i="48" s="1"/>
  <c r="Y106" i="9"/>
  <c r="Y53" i="48" s="1"/>
  <c r="Y105" i="9"/>
  <c r="Y47" i="48" s="1"/>
  <c r="Y104" i="9"/>
  <c r="Y49" i="48" s="1"/>
  <c r="Y103" i="9"/>
  <c r="Y102" i="9"/>
  <c r="Y52" i="48" s="1"/>
  <c r="Y82" i="9"/>
  <c r="Y87" i="9"/>
  <c r="Y66" i="9"/>
  <c r="Z58" i="22" s="1"/>
  <c r="Z60" i="22" s="1"/>
  <c r="Z61" i="22" s="1"/>
  <c r="Y37" i="48" s="1"/>
  <c r="Y65" i="9"/>
  <c r="Y163" i="9" s="1"/>
  <c r="Y165" i="9" s="1"/>
  <c r="Y64" i="9"/>
  <c r="Y63" i="9"/>
  <c r="Y62" i="9"/>
  <c r="Y51" i="48" s="1"/>
  <c r="Y61" i="9"/>
  <c r="Z63" i="22" s="1"/>
  <c r="Z65" i="22" s="1"/>
  <c r="Z66" i="22" s="1"/>
  <c r="Y40" i="48" s="1"/>
  <c r="Y59" i="9"/>
  <c r="Y46" i="48" s="1"/>
  <c r="Y58" i="9"/>
  <c r="X58" i="9"/>
  <c r="Y57" i="9"/>
  <c r="Y43" i="48" s="1"/>
  <c r="Y56" i="9"/>
  <c r="Y44" i="48" s="1"/>
  <c r="Y53" i="9"/>
  <c r="Y55" i="9" s="1"/>
  <c r="Y42" i="48" s="1"/>
  <c r="X40" i="9"/>
  <c r="Y43" i="9"/>
  <c r="Y42" i="9"/>
  <c r="Y41" i="9"/>
  <c r="Y40" i="9"/>
  <c r="X31" i="9"/>
  <c r="Y35" i="9"/>
  <c r="Y34" i="9"/>
  <c r="Y32" i="9"/>
  <c r="Y31" i="9"/>
  <c r="Y26" i="9"/>
  <c r="Y124" i="9" s="1"/>
  <c r="Y25" i="9"/>
  <c r="Y123" i="9" s="1"/>
  <c r="Y24" i="9"/>
  <c r="Y122" i="9" s="1"/>
  <c r="X22" i="9"/>
  <c r="X96" i="9" s="1"/>
  <c r="X18" i="9"/>
  <c r="X49" i="9" s="1"/>
  <c r="Y19" i="9"/>
  <c r="Y22" i="9"/>
  <c r="Y96" i="9" s="1"/>
  <c r="Y18" i="9"/>
  <c r="Y49" i="9" s="1"/>
  <c r="Y13" i="9"/>
  <c r="Y12" i="9"/>
  <c r="Y11" i="9"/>
  <c r="Y8" i="9"/>
  <c r="Y120" i="9" s="1"/>
  <c r="Y9" i="9"/>
  <c r="Y121" i="9" s="1"/>
  <c r="Y7" i="9"/>
  <c r="Y119" i="9" s="1"/>
  <c r="Y5" i="9"/>
  <c r="Z33" i="22" s="1"/>
  <c r="X5" i="9"/>
  <c r="Y33" i="22" s="1"/>
  <c r="W93" i="9"/>
  <c r="W92" i="9"/>
  <c r="I109" i="9"/>
  <c r="M109" i="9" s="1"/>
  <c r="Q109" i="9" s="1"/>
  <c r="W60" i="9"/>
  <c r="W45" i="48" s="1"/>
  <c r="AS88" i="17" l="1"/>
  <c r="BC88" i="17" s="1"/>
  <c r="BE88" i="17"/>
  <c r="Y76" i="17"/>
  <c r="BB2" i="17"/>
  <c r="BB13" i="17" s="1"/>
  <c r="V58" i="17"/>
  <c r="V59" i="17" s="1"/>
  <c r="Y64" i="17"/>
  <c r="X71" i="17"/>
  <c r="X73" i="17"/>
  <c r="X75" i="17"/>
  <c r="Y79" i="17"/>
  <c r="X64" i="17"/>
  <c r="Y67" i="17"/>
  <c r="Y71" i="17"/>
  <c r="Y73" i="17"/>
  <c r="Y75" i="17"/>
  <c r="Y80" i="17"/>
  <c r="X12" i="17"/>
  <c r="V49" i="17"/>
  <c r="V53" i="17" s="1"/>
  <c r="X65" i="17"/>
  <c r="X70" i="17"/>
  <c r="X72" i="17"/>
  <c r="X74" i="17"/>
  <c r="X76" i="17"/>
  <c r="Y166" i="9"/>
  <c r="Y110" i="7"/>
  <c r="Y65" i="17"/>
  <c r="Y70" i="17"/>
  <c r="Y72" i="17"/>
  <c r="Y74" i="17"/>
  <c r="Y99" i="9"/>
  <c r="X99" i="9"/>
  <c r="X97" i="9"/>
  <c r="Y97" i="9"/>
  <c r="X94" i="26"/>
  <c r="Y94" i="26"/>
  <c r="Y78" i="26"/>
  <c r="Y65" i="26"/>
  <c r="Y34" i="26"/>
  <c r="Y9" i="26"/>
  <c r="Y14" i="26" s="1"/>
  <c r="Y39" i="26"/>
  <c r="Y43" i="26"/>
  <c r="Y42" i="26"/>
  <c r="W42" i="26"/>
  <c r="W10" i="26"/>
  <c r="V14" i="26"/>
  <c r="W39" i="26"/>
  <c r="V43" i="26"/>
  <c r="W14" i="26"/>
  <c r="Y58" i="17"/>
  <c r="W44" i="17"/>
  <c r="W49" i="17"/>
  <c r="W53" i="17" s="1"/>
  <c r="W54" i="17" s="1"/>
  <c r="Y21" i="17"/>
  <c r="Y61" i="17"/>
  <c r="Y59" i="17"/>
  <c r="Y38" i="17"/>
  <c r="Y42" i="17"/>
  <c r="Y11" i="17"/>
  <c r="Y40" i="17"/>
  <c r="Y66" i="17"/>
  <c r="Y81" i="17"/>
  <c r="V21" i="17"/>
  <c r="V31" i="17" s="1"/>
  <c r="V110" i="17"/>
  <c r="W33" i="17"/>
  <c r="W32" i="17"/>
  <c r="W31" i="17"/>
  <c r="W30" i="17"/>
  <c r="W29" i="17"/>
  <c r="W59" i="17"/>
  <c r="V111" i="17"/>
  <c r="V115" i="17" s="1"/>
  <c r="V112" i="17"/>
  <c r="W12" i="17"/>
  <c r="W113" i="17" s="1"/>
  <c r="V61" i="17"/>
  <c r="W112" i="17"/>
  <c r="AA16" i="39"/>
  <c r="Z16" i="39"/>
  <c r="W29" i="9"/>
  <c r="W20" i="9"/>
  <c r="Y13" i="26" l="1"/>
  <c r="X66" i="17"/>
  <c r="X68" i="17" s="1"/>
  <c r="Y168" i="9"/>
  <c r="Y170" i="9"/>
  <c r="Y171" i="9" s="1"/>
  <c r="Y112" i="7"/>
  <c r="Y113" i="7" s="1"/>
  <c r="Y111" i="7"/>
  <c r="X77" i="17"/>
  <c r="Y10" i="26"/>
  <c r="W110" i="17"/>
  <c r="W114" i="17" s="1"/>
  <c r="W50" i="17"/>
  <c r="W111" i="17" s="1"/>
  <c r="W115" i="17" s="1"/>
  <c r="W14" i="17"/>
  <c r="Y77" i="17"/>
  <c r="X14" i="17"/>
  <c r="Y68" i="17"/>
  <c r="V33" i="17"/>
  <c r="V30" i="17"/>
  <c r="V32" i="17"/>
  <c r="V114" i="17"/>
  <c r="F26" i="9"/>
  <c r="F24" i="9"/>
  <c r="D26" i="9"/>
  <c r="D24" i="9"/>
  <c r="Y89" i="9"/>
  <c r="Y18" i="15" s="1"/>
  <c r="Y44" i="9"/>
  <c r="Y37" i="9"/>
  <c r="Y10" i="9"/>
  <c r="W134" i="9"/>
  <c r="W135" i="9" s="1"/>
  <c r="W129" i="9"/>
  <c r="W128" i="9"/>
  <c r="W94" i="9"/>
  <c r="V90" i="9"/>
  <c r="W89" i="9"/>
  <c r="W18" i="15" s="1"/>
  <c r="W88" i="9"/>
  <c r="V87" i="9"/>
  <c r="W83" i="9"/>
  <c r="V66" i="9"/>
  <c r="V65" i="9"/>
  <c r="V64" i="9"/>
  <c r="V63" i="9"/>
  <c r="V62" i="9"/>
  <c r="V61" i="9"/>
  <c r="V60" i="9"/>
  <c r="V59" i="9"/>
  <c r="V57" i="9"/>
  <c r="V56" i="9"/>
  <c r="V53" i="9"/>
  <c r="V45" i="9"/>
  <c r="W44" i="9"/>
  <c r="W38" i="9"/>
  <c r="W46" i="9" s="1"/>
  <c r="W37" i="9"/>
  <c r="W45" i="9" s="1"/>
  <c r="W36" i="9"/>
  <c r="W33" i="9"/>
  <c r="V29" i="9"/>
  <c r="W27" i="9"/>
  <c r="W28" i="9" s="1"/>
  <c r="V26" i="9"/>
  <c r="V24" i="9"/>
  <c r="W21" i="9"/>
  <c r="W10" i="9"/>
  <c r="Y114" i="7" l="1"/>
  <c r="Y17" i="48" s="1"/>
  <c r="Y172" i="9"/>
  <c r="Y12" i="48" s="1"/>
  <c r="Y13" i="48" s="1"/>
  <c r="W84" i="9"/>
  <c r="V27" i="9"/>
  <c r="V82" i="9" s="1"/>
  <c r="V55" i="9"/>
  <c r="W95" i="9"/>
  <c r="Y38" i="9"/>
  <c r="Y36" i="9"/>
  <c r="W39" i="9"/>
  <c r="Y27" i="9"/>
  <c r="Y83" i="9"/>
  <c r="W130" i="9"/>
  <c r="Y88" i="9"/>
  <c r="Y33" i="9"/>
  <c r="W14" i="9"/>
  <c r="W47" i="9"/>
  <c r="V28" i="9" l="1"/>
  <c r="W50" i="9"/>
  <c r="W69" i="9"/>
  <c r="W70" i="9"/>
  <c r="W131" i="9"/>
  <c r="Y39" i="9"/>
  <c r="W78" i="9"/>
  <c r="W74" i="9"/>
  <c r="W68" i="9"/>
  <c r="W80" i="9"/>
  <c r="W76" i="9"/>
  <c r="W72" i="9"/>
  <c r="W79" i="9"/>
  <c r="W71" i="9"/>
  <c r="W81" i="9"/>
  <c r="W77" i="9"/>
  <c r="W73" i="9"/>
  <c r="W51" i="9"/>
  <c r="W75" i="9"/>
  <c r="E102" i="8"/>
  <c r="E105" i="8" s="1"/>
  <c r="Y61" i="7"/>
  <c r="X61" i="7"/>
  <c r="Y59" i="7"/>
  <c r="X59" i="7"/>
  <c r="Y55" i="7"/>
  <c r="Y53" i="7"/>
  <c r="X53" i="7"/>
  <c r="Y52" i="7"/>
  <c r="X52" i="7"/>
  <c r="Y38" i="7"/>
  <c r="Y37" i="7"/>
  <c r="Y36" i="7"/>
  <c r="Y35" i="7"/>
  <c r="Y34" i="7"/>
  <c r="Y33" i="7"/>
  <c r="Y32" i="7"/>
  <c r="Y31" i="7"/>
  <c r="Y7" i="7"/>
  <c r="Y8" i="7"/>
  <c r="Y9" i="7"/>
  <c r="Y10" i="7"/>
  <c r="Y11" i="7"/>
  <c r="Y12" i="7"/>
  <c r="Y13" i="7"/>
  <c r="Y14" i="7"/>
  <c r="Y15" i="7"/>
  <c r="Y6" i="7"/>
  <c r="X7" i="7"/>
  <c r="X8" i="7"/>
  <c r="X9" i="7"/>
  <c r="X10" i="7"/>
  <c r="X11" i="7"/>
  <c r="X12" i="7"/>
  <c r="X13" i="7"/>
  <c r="X14" i="7"/>
  <c r="X15" i="7"/>
  <c r="X6" i="7"/>
  <c r="Y2" i="7"/>
  <c r="X2" i="7"/>
  <c r="X71" i="7" s="1"/>
  <c r="W69" i="7"/>
  <c r="W62" i="7"/>
  <c r="V62" i="7"/>
  <c r="W58" i="7"/>
  <c r="W60" i="7" s="1"/>
  <c r="V58" i="7"/>
  <c r="V60" i="7" s="1"/>
  <c r="W54" i="7"/>
  <c r="W21" i="7" s="1"/>
  <c r="V54" i="7"/>
  <c r="V38" i="7" s="1"/>
  <c r="W16" i="7"/>
  <c r="W30" i="7" s="1"/>
  <c r="V16" i="7"/>
  <c r="W1" i="7"/>
  <c r="V1" i="7"/>
  <c r="Y125" i="7" l="1"/>
  <c r="Y127" i="7" s="1"/>
  <c r="Y128" i="7" s="1"/>
  <c r="Y27" i="48" s="1"/>
  <c r="Y28" i="48" s="1"/>
  <c r="V31" i="7"/>
  <c r="X54" i="7"/>
  <c r="Y119" i="7"/>
  <c r="Y121" i="7" s="1"/>
  <c r="Y122" i="7" s="1"/>
  <c r="Y22" i="48" s="1"/>
  <c r="Y23" i="48" s="1"/>
  <c r="Y54" i="7"/>
  <c r="Y24" i="7" s="1"/>
  <c r="Y79" i="7" s="1"/>
  <c r="Y62" i="7"/>
  <c r="X62" i="7"/>
  <c r="W25" i="7"/>
  <c r="W80" i="7" s="1"/>
  <c r="W104" i="7"/>
  <c r="W105" i="7" s="1"/>
  <c r="W18" i="7"/>
  <c r="W74" i="7" s="1"/>
  <c r="Y104" i="7"/>
  <c r="Y105" i="7" s="1"/>
  <c r="Y65" i="7"/>
  <c r="Y49" i="7"/>
  <c r="Y47" i="7"/>
  <c r="Y45" i="7"/>
  <c r="Y43" i="7"/>
  <c r="Y48" i="7"/>
  <c r="Y46" i="7"/>
  <c r="Y44" i="7"/>
  <c r="Y42" i="7"/>
  <c r="V63" i="7"/>
  <c r="V19" i="7"/>
  <c r="V75" i="7" s="1"/>
  <c r="V26" i="7"/>
  <c r="V83" i="7" s="1"/>
  <c r="W23" i="7"/>
  <c r="W78" i="7" s="1"/>
  <c r="W26" i="7"/>
  <c r="W83" i="7" s="1"/>
  <c r="W45" i="7"/>
  <c r="W84" i="7" s="1"/>
  <c r="W19" i="7"/>
  <c r="W24" i="7"/>
  <c r="W79" i="7" s="1"/>
  <c r="W27" i="7"/>
  <c r="W77" i="7" s="1"/>
  <c r="W49" i="7"/>
  <c r="Y20" i="7"/>
  <c r="W20" i="7"/>
  <c r="V24" i="7"/>
  <c r="V79" i="7" s="1"/>
  <c r="V36" i="7"/>
  <c r="V21" i="7"/>
  <c r="V84" i="7" s="1"/>
  <c r="Y18" i="7"/>
  <c r="Y74" i="7" s="1"/>
  <c r="Y26" i="7"/>
  <c r="Y83" i="7" s="1"/>
  <c r="X16" i="7"/>
  <c r="X27" i="7"/>
  <c r="X77" i="7" s="1"/>
  <c r="X25" i="7"/>
  <c r="X80" i="7" s="1"/>
  <c r="X23" i="7"/>
  <c r="X78" i="7" s="1"/>
  <c r="X21" i="7"/>
  <c r="X19" i="7"/>
  <c r="X68" i="7"/>
  <c r="X63" i="7"/>
  <c r="Y68" i="7"/>
  <c r="Y63" i="7"/>
  <c r="Y27" i="7"/>
  <c r="Y77" i="7" s="1"/>
  <c r="Y25" i="7"/>
  <c r="Y80" i="7" s="1"/>
  <c r="Y23" i="7"/>
  <c r="Y78" i="7" s="1"/>
  <c r="Y21" i="7"/>
  <c r="Y19" i="7"/>
  <c r="Y56" i="7"/>
  <c r="X20" i="7"/>
  <c r="X76" i="7" s="1"/>
  <c r="X24" i="7"/>
  <c r="X79" i="7" s="1"/>
  <c r="X26" i="7"/>
  <c r="Y16" i="7"/>
  <c r="X18" i="7"/>
  <c r="V68" i="7"/>
  <c r="V34" i="7"/>
  <c r="V18" i="7"/>
  <c r="V74" i="7" s="1"/>
  <c r="V20" i="7"/>
  <c r="V76" i="7" s="1"/>
  <c r="V23" i="7"/>
  <c r="V78" i="7" s="1"/>
  <c r="V25" i="7"/>
  <c r="V80" i="7" s="1"/>
  <c r="V27" i="7"/>
  <c r="V77" i="7" s="1"/>
  <c r="V32" i="7"/>
  <c r="V37" i="7"/>
  <c r="V33" i="7"/>
  <c r="V35" i="7"/>
  <c r="V67" i="7"/>
  <c r="W39" i="7"/>
  <c r="W41" i="7"/>
  <c r="W70" i="7"/>
  <c r="W44" i="7"/>
  <c r="W65" i="7"/>
  <c r="W68" i="7"/>
  <c r="W43" i="7"/>
  <c r="W47" i="7"/>
  <c r="W56" i="7"/>
  <c r="W48" i="7"/>
  <c r="W63" i="7"/>
  <c r="W67" i="7"/>
  <c r="W42" i="7"/>
  <c r="W75" i="7" s="1"/>
  <c r="W46" i="7"/>
  <c r="V55" i="7"/>
  <c r="W76" i="7" l="1"/>
  <c r="Y107" i="7"/>
  <c r="Y108" i="7" s="1"/>
  <c r="Y106" i="7"/>
  <c r="W106" i="7"/>
  <c r="W107" i="7"/>
  <c r="W108" i="7" s="1"/>
  <c r="W82" i="7"/>
  <c r="Y76" i="7"/>
  <c r="W64" i="7"/>
  <c r="V82" i="7"/>
  <c r="V65" i="7"/>
  <c r="Y84" i="7"/>
  <c r="Y82" i="7"/>
  <c r="Y75" i="7"/>
  <c r="X74" i="7"/>
  <c r="X83" i="7"/>
  <c r="W50" i="7"/>
  <c r="W109" i="7" l="1"/>
  <c r="Y109" i="7"/>
  <c r="W16" i="48" l="1"/>
  <c r="W18" i="48" s="1"/>
  <c r="W116" i="7"/>
  <c r="Y16" i="48"/>
  <c r="Y18" i="48" s="1"/>
  <c r="Y116" i="7"/>
  <c r="K51" i="38"/>
  <c r="L51" i="38"/>
  <c r="O51" i="38"/>
  <c r="P51" i="38"/>
  <c r="S51" i="38"/>
  <c r="T51" i="38"/>
  <c r="W51" i="38"/>
  <c r="X51" i="38"/>
  <c r="AA51" i="38"/>
  <c r="AB51" i="38"/>
  <c r="J51" i="38"/>
  <c r="AD46" i="38"/>
  <c r="AD45" i="38"/>
  <c r="AD44" i="38"/>
  <c r="AD43" i="38"/>
  <c r="AD41" i="38"/>
  <c r="AD38" i="38"/>
  <c r="AD37" i="38"/>
  <c r="AD36" i="38"/>
  <c r="AD35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AD19" i="38"/>
  <c r="AD14" i="38"/>
  <c r="AD13" i="38"/>
  <c r="AD11" i="38"/>
  <c r="AD10" i="38"/>
  <c r="AD9" i="38"/>
  <c r="AD8" i="38"/>
  <c r="AD7" i="38"/>
  <c r="AD3" i="38"/>
  <c r="AD51" i="38" s="1"/>
  <c r="AC3" i="38"/>
  <c r="AC51" i="38" s="1"/>
  <c r="AC52" i="38"/>
  <c r="AD59" i="38" l="1"/>
  <c r="AD61" i="38"/>
  <c r="AD56" i="38"/>
  <c r="AD70" i="38"/>
  <c r="AD76" i="38"/>
  <c r="AD80" i="38"/>
  <c r="AD85" i="38"/>
  <c r="AD89" i="38"/>
  <c r="AD93" i="38"/>
  <c r="AD57" i="38"/>
  <c r="AD69" i="38"/>
  <c r="AD94" i="38"/>
  <c r="AD55" i="38"/>
  <c r="AD67" i="38"/>
  <c r="AD58" i="38"/>
  <c r="AD62" i="38"/>
  <c r="AD68" i="38"/>
  <c r="AD72" i="38"/>
  <c r="AD74" i="38"/>
  <c r="AD78" i="38"/>
  <c r="AD83" i="38"/>
  <c r="AD91" i="38"/>
  <c r="AD71" i="38"/>
  <c r="AD73" i="38"/>
  <c r="AD75" i="38"/>
  <c r="AD77" i="38"/>
  <c r="AD79" i="38"/>
  <c r="AD84" i="38"/>
  <c r="AD86" i="38"/>
  <c r="AD92" i="38"/>
  <c r="X8" i="8"/>
  <c r="W83" i="8"/>
  <c r="W82" i="8"/>
  <c r="W21" i="8"/>
  <c r="S21" i="8"/>
  <c r="O21" i="8"/>
  <c r="K21" i="8"/>
  <c r="G21" i="8"/>
  <c r="E21" i="8"/>
  <c r="W17" i="8"/>
  <c r="S17" i="8"/>
  <c r="O17" i="8"/>
  <c r="K17" i="8"/>
  <c r="G17" i="8"/>
  <c r="E17" i="8"/>
  <c r="W15" i="8"/>
  <c r="W14" i="8"/>
  <c r="W13" i="8"/>
  <c r="S15" i="8"/>
  <c r="S14" i="8"/>
  <c r="S13" i="8"/>
  <c r="O14" i="8"/>
  <c r="O13" i="8"/>
  <c r="K15" i="8"/>
  <c r="K14" i="8"/>
  <c r="K13" i="8"/>
  <c r="G14" i="8"/>
  <c r="G13" i="8"/>
  <c r="E14" i="8"/>
  <c r="E13" i="8"/>
  <c r="AB94" i="38"/>
  <c r="AB93" i="38"/>
  <c r="AB92" i="38"/>
  <c r="AB91" i="38"/>
  <c r="AA90" i="38"/>
  <c r="AB89" i="38"/>
  <c r="AA88" i="38"/>
  <c r="AB86" i="38"/>
  <c r="AB85" i="38"/>
  <c r="AB84" i="38"/>
  <c r="AB83" i="38"/>
  <c r="AA82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B68" i="38"/>
  <c r="AB67" i="38"/>
  <c r="AA66" i="38"/>
  <c r="AB62" i="38"/>
  <c r="AB61" i="38"/>
  <c r="AA60" i="38"/>
  <c r="AB59" i="38"/>
  <c r="AB58" i="38"/>
  <c r="AB57" i="38"/>
  <c r="AB56" i="38"/>
  <c r="AB55" i="38"/>
  <c r="AA54" i="38"/>
  <c r="AA52" i="38"/>
  <c r="AA46" i="38"/>
  <c r="AA45" i="38"/>
  <c r="AA44" i="38"/>
  <c r="AA43" i="38"/>
  <c r="AB42" i="38"/>
  <c r="AA41" i="38"/>
  <c r="AB40" i="38"/>
  <c r="AA38" i="38"/>
  <c r="AA37" i="38"/>
  <c r="AA36" i="38"/>
  <c r="AA35" i="38"/>
  <c r="AB34" i="38"/>
  <c r="AA32" i="38"/>
  <c r="AA31" i="38"/>
  <c r="AA30" i="38"/>
  <c r="AA29" i="38"/>
  <c r="AA28" i="38"/>
  <c r="AA27" i="38"/>
  <c r="X60" i="45" s="1"/>
  <c r="X61" i="45" s="1"/>
  <c r="AA26" i="38"/>
  <c r="AA25" i="38"/>
  <c r="AA24" i="38"/>
  <c r="AA23" i="38"/>
  <c r="V94" i="9" s="1"/>
  <c r="V95" i="9" s="1"/>
  <c r="AA22" i="38"/>
  <c r="AA21" i="38"/>
  <c r="V69" i="7" s="1"/>
  <c r="V70" i="7" s="1"/>
  <c r="AA20" i="38"/>
  <c r="AA19" i="38"/>
  <c r="AB18" i="38"/>
  <c r="AA14" i="38"/>
  <c r="AA13" i="38"/>
  <c r="AB12" i="38"/>
  <c r="AA11" i="38"/>
  <c r="AA10" i="38"/>
  <c r="AA9" i="38"/>
  <c r="AA8" i="38"/>
  <c r="AA7" i="38"/>
  <c r="AB6" i="38"/>
  <c r="Z75" i="8"/>
  <c r="AA73" i="8"/>
  <c r="AA63" i="38" l="1"/>
  <c r="AA87" i="38"/>
  <c r="AA64" i="38" s="1"/>
  <c r="AB90" i="38"/>
  <c r="AB88" i="38"/>
  <c r="AB39" i="38"/>
  <c r="AB82" i="38"/>
  <c r="AB66" i="38"/>
  <c r="AB60" i="38"/>
  <c r="AA6" i="38"/>
  <c r="AA12" i="38"/>
  <c r="AA34" i="38"/>
  <c r="AA40" i="38"/>
  <c r="AA18" i="38"/>
  <c r="AB15" i="38"/>
  <c r="AB17" i="38"/>
  <c r="AA42" i="38"/>
  <c r="AB54" i="38"/>
  <c r="AB87" i="38" l="1"/>
  <c r="AA15" i="38"/>
  <c r="AA17" i="38"/>
  <c r="AB65" i="38"/>
  <c r="AB16" i="38"/>
  <c r="AB63" i="38"/>
  <c r="AA39" i="38"/>
  <c r="AA16" i="38" l="1"/>
  <c r="AB64" i="38"/>
  <c r="V39" i="8" l="1"/>
  <c r="V38" i="8"/>
  <c r="V37" i="8"/>
  <c r="R39" i="8"/>
  <c r="R38" i="8"/>
  <c r="R37" i="8"/>
  <c r="N39" i="8"/>
  <c r="N38" i="8"/>
  <c r="N37" i="8"/>
  <c r="J39" i="8"/>
  <c r="J38" i="8"/>
  <c r="J37" i="8"/>
  <c r="F39" i="8"/>
  <c r="F38" i="8"/>
  <c r="F37" i="8"/>
  <c r="X75" i="8"/>
  <c r="V40" i="8" l="1"/>
  <c r="J40" i="8"/>
  <c r="R40" i="8"/>
  <c r="N40" i="8"/>
  <c r="F40" i="8"/>
  <c r="Y79" i="8" l="1"/>
  <c r="Y81" i="8" s="1"/>
  <c r="Y67" i="8"/>
  <c r="Y65" i="8"/>
  <c r="Y57" i="8" s="1"/>
  <c r="Y61" i="8"/>
  <c r="Y59" i="8"/>
  <c r="Y56" i="8" s="1"/>
  <c r="X62" i="8"/>
  <c r="Y32" i="8"/>
  <c r="X32" i="8"/>
  <c r="Y30" i="8"/>
  <c r="Y29" i="8"/>
  <c r="Y28" i="8"/>
  <c r="Y27" i="8"/>
  <c r="Y25" i="8"/>
  <c r="Y24" i="8"/>
  <c r="Y23" i="8"/>
  <c r="Y21" i="8"/>
  <c r="X21" i="8"/>
  <c r="Y20" i="8"/>
  <c r="X20" i="8"/>
  <c r="Y19" i="8"/>
  <c r="Y18" i="8"/>
  <c r="Y8" i="15" s="1"/>
  <c r="X18" i="8"/>
  <c r="X8" i="15" s="1"/>
  <c r="Y17" i="8"/>
  <c r="X17" i="8"/>
  <c r="X15" i="8"/>
  <c r="Y14" i="8"/>
  <c r="X14" i="8"/>
  <c r="Y13" i="8"/>
  <c r="Y10" i="8"/>
  <c r="X10" i="8"/>
  <c r="Y9" i="8"/>
  <c r="X9" i="8"/>
  <c r="Y8" i="8"/>
  <c r="Y7" i="8"/>
  <c r="X7" i="8"/>
  <c r="Y58" i="8"/>
  <c r="Y2" i="8"/>
  <c r="Y75" i="8" s="1"/>
  <c r="X2" i="8"/>
  <c r="Y55" i="8"/>
  <c r="Y54" i="8"/>
  <c r="Y53" i="8"/>
  <c r="Y52" i="8"/>
  <c r="Y51" i="8"/>
  <c r="W91" i="8"/>
  <c r="W85" i="8"/>
  <c r="V85" i="8"/>
  <c r="W73" i="8"/>
  <c r="V73" i="8"/>
  <c r="W68" i="8"/>
  <c r="W72" i="8" s="1"/>
  <c r="W66" i="8"/>
  <c r="W63" i="8"/>
  <c r="W62" i="8"/>
  <c r="W60" i="8"/>
  <c r="AA55" i="8"/>
  <c r="AA54" i="8"/>
  <c r="AA53" i="8"/>
  <c r="AA52" i="8"/>
  <c r="AA51" i="8"/>
  <c r="V50" i="8"/>
  <c r="W46" i="8"/>
  <c r="V46" i="8"/>
  <c r="W26" i="8"/>
  <c r="V19" i="8"/>
  <c r="V13" i="8"/>
  <c r="V16" i="8" s="1"/>
  <c r="W5" i="8"/>
  <c r="V5" i="8"/>
  <c r="V79" i="8" s="1"/>
  <c r="X25" i="11"/>
  <c r="X13" i="11"/>
  <c r="X15" i="11"/>
  <c r="X14" i="11"/>
  <c r="X44" i="10"/>
  <c r="X53" i="10"/>
  <c r="X50" i="10"/>
  <c r="X23" i="11"/>
  <c r="X39" i="10"/>
  <c r="X40" i="10"/>
  <c r="X45" i="10"/>
  <c r="X55" i="10"/>
  <c r="X67" i="10"/>
  <c r="X70" i="10"/>
  <c r="X75" i="10"/>
  <c r="X73" i="10"/>
  <c r="X71" i="10"/>
  <c r="X69" i="10"/>
  <c r="X18" i="10"/>
  <c r="Z18" i="10" s="1"/>
  <c r="X32" i="10"/>
  <c r="Z73" i="10" l="1"/>
  <c r="AB73" i="10"/>
  <c r="AF73" i="10" s="1"/>
  <c r="AJ73" i="10" s="1"/>
  <c r="AP73" i="10" s="1"/>
  <c r="AT73" i="10" s="1"/>
  <c r="AX73" i="10" s="1"/>
  <c r="BF73" i="10" s="1"/>
  <c r="Z53" i="10"/>
  <c r="AB53" i="10"/>
  <c r="AF53" i="10" s="1"/>
  <c r="AJ53" i="10" s="1"/>
  <c r="AP53" i="10" s="1"/>
  <c r="AT53" i="10" s="1"/>
  <c r="AX53" i="10" s="1"/>
  <c r="BF53" i="10" s="1"/>
  <c r="X38" i="11"/>
  <c r="Z71" i="10"/>
  <c r="AB71" i="10"/>
  <c r="AF71" i="10" s="1"/>
  <c r="AJ71" i="10" s="1"/>
  <c r="AP71" i="10" s="1"/>
  <c r="AT71" i="10" s="1"/>
  <c r="AX71" i="10" s="1"/>
  <c r="BF71" i="10" s="1"/>
  <c r="Z67" i="10"/>
  <c r="AB67" i="10"/>
  <c r="AF67" i="10" s="1"/>
  <c r="AJ67" i="10" s="1"/>
  <c r="AP67" i="10" s="1"/>
  <c r="AT67" i="10" s="1"/>
  <c r="AX67" i="10" s="1"/>
  <c r="BF67" i="10" s="1"/>
  <c r="Z39" i="10"/>
  <c r="AB39" i="10"/>
  <c r="AF39" i="10" s="1"/>
  <c r="AJ39" i="10" s="1"/>
  <c r="AP39" i="10" s="1"/>
  <c r="AT39" i="10" s="1"/>
  <c r="AX39" i="10" s="1"/>
  <c r="BF39" i="10" s="1"/>
  <c r="X98" i="10"/>
  <c r="W71" i="8"/>
  <c r="W33" i="8"/>
  <c r="X83" i="8"/>
  <c r="X82" i="8"/>
  <c r="W127" i="9"/>
  <c r="W42" i="8"/>
  <c r="W37" i="8"/>
  <c r="W41" i="8"/>
  <c r="W44" i="8"/>
  <c r="W39" i="8"/>
  <c r="W43" i="8"/>
  <c r="W38" i="8"/>
  <c r="W47" i="8"/>
  <c r="W64" i="8"/>
  <c r="Y26" i="8"/>
  <c r="V86" i="8"/>
  <c r="V27" i="8"/>
  <c r="W86" i="8"/>
  <c r="V25" i="8"/>
  <c r="V30" i="8"/>
  <c r="V47" i="8"/>
  <c r="V74" i="8" s="1"/>
  <c r="W76" i="8"/>
  <c r="W80" i="8"/>
  <c r="V24" i="8"/>
  <c r="V29" i="8"/>
  <c r="V23" i="8"/>
  <c r="V28" i="8"/>
  <c r="W35" i="8"/>
  <c r="W132" i="9" l="1"/>
  <c r="W40" i="8"/>
  <c r="W5" i="26"/>
  <c r="W70" i="8"/>
  <c r="W34" i="8"/>
  <c r="W69" i="8"/>
  <c r="V60" i="8"/>
  <c r="W48" i="8"/>
  <c r="V68" i="8"/>
  <c r="V66" i="8"/>
  <c r="V33" i="8" s="1"/>
  <c r="V26" i="8"/>
  <c r="V64" i="8" l="1"/>
  <c r="V35" i="8"/>
  <c r="V34" i="8" l="1"/>
  <c r="X52" i="11" l="1"/>
  <c r="X51" i="11"/>
  <c r="X50" i="11"/>
  <c r="X112" i="10"/>
  <c r="X111" i="10"/>
  <c r="X110" i="10"/>
  <c r="Y177" i="6" l="1"/>
  <c r="Y179" i="6" s="1"/>
  <c r="Y151" i="6"/>
  <c r="Y153" i="6" s="1"/>
  <c r="Y108" i="6"/>
  <c r="X108" i="6"/>
  <c r="Y105" i="6"/>
  <c r="X105" i="6"/>
  <c r="Y102" i="6"/>
  <c r="X102" i="6"/>
  <c r="Y101" i="6"/>
  <c r="X101" i="6"/>
  <c r="Y99" i="6"/>
  <c r="X99" i="6"/>
  <c r="Y98" i="6"/>
  <c r="X98" i="6"/>
  <c r="Y97" i="6"/>
  <c r="X97" i="6"/>
  <c r="Y96" i="6"/>
  <c r="X96" i="6"/>
  <c r="Y95" i="6"/>
  <c r="X95" i="6"/>
  <c r="Y94" i="6"/>
  <c r="X94" i="6"/>
  <c r="Y93" i="6"/>
  <c r="X93" i="6"/>
  <c r="Y90" i="6"/>
  <c r="X90" i="6"/>
  <c r="Y87" i="6"/>
  <c r="X87" i="6"/>
  <c r="Y84" i="6"/>
  <c r="X84" i="6"/>
  <c r="Y83" i="6"/>
  <c r="X83" i="6"/>
  <c r="Y82" i="6"/>
  <c r="X82" i="6"/>
  <c r="Y80" i="6"/>
  <c r="X80" i="6"/>
  <c r="Y79" i="6"/>
  <c r="X79" i="6"/>
  <c r="Y78" i="6"/>
  <c r="X78" i="6"/>
  <c r="Y77" i="6"/>
  <c r="X77" i="6"/>
  <c r="Y76" i="6"/>
  <c r="X76" i="6"/>
  <c r="Y75" i="6"/>
  <c r="X75" i="6"/>
  <c r="Y74" i="6"/>
  <c r="X74" i="6"/>
  <c r="Y73" i="6"/>
  <c r="X73" i="6"/>
  <c r="Y70" i="6"/>
  <c r="X70" i="6"/>
  <c r="Y69" i="6"/>
  <c r="X69" i="6"/>
  <c r="Y68" i="6"/>
  <c r="X68" i="6"/>
  <c r="Y51" i="6"/>
  <c r="X51" i="6"/>
  <c r="Y50" i="6"/>
  <c r="X50" i="6"/>
  <c r="Y49" i="6"/>
  <c r="X49" i="6"/>
  <c r="Y48" i="6"/>
  <c r="X48" i="6"/>
  <c r="Y47" i="6"/>
  <c r="X47" i="6"/>
  <c r="Y45" i="6"/>
  <c r="X45" i="6"/>
  <c r="Y43" i="6"/>
  <c r="X43" i="6"/>
  <c r="Y42" i="6"/>
  <c r="X42" i="6"/>
  <c r="Y40" i="6"/>
  <c r="X40" i="6"/>
  <c r="Y39" i="6"/>
  <c r="X39" i="6"/>
  <c r="Y27" i="6"/>
  <c r="Y26" i="6"/>
  <c r="Y24" i="6"/>
  <c r="Y23" i="6"/>
  <c r="Y21" i="6"/>
  <c r="Y20" i="6"/>
  <c r="W181" i="6"/>
  <c r="W180" i="6"/>
  <c r="W154" i="6"/>
  <c r="J65" i="6" l="1"/>
  <c r="J64" i="6"/>
  <c r="J63" i="6"/>
  <c r="J62" i="6"/>
  <c r="J61" i="6"/>
  <c r="F65" i="6"/>
  <c r="F64" i="6"/>
  <c r="F63" i="6"/>
  <c r="F62" i="6"/>
  <c r="F61" i="6"/>
  <c r="D65" i="6"/>
  <c r="D64" i="6"/>
  <c r="D63" i="6"/>
  <c r="D62" i="6"/>
  <c r="D61" i="6"/>
  <c r="Y2" i="6"/>
  <c r="X2" i="6"/>
  <c r="X284" i="6"/>
  <c r="X283" i="6"/>
  <c r="X282" i="6"/>
  <c r="X278" i="6"/>
  <c r="X276" i="6"/>
  <c r="X275" i="6"/>
  <c r="X274" i="6"/>
  <c r="X273" i="6"/>
  <c r="X272" i="6"/>
  <c r="X271" i="6"/>
  <c r="X270" i="6"/>
  <c r="Y237" i="6"/>
  <c r="Y236" i="6"/>
  <c r="Y235" i="6"/>
  <c r="Y283" i="6" s="1"/>
  <c r="Y233" i="6"/>
  <c r="Y232" i="6"/>
  <c r="Y231" i="6"/>
  <c r="Y282" i="6" s="1"/>
  <c r="Y229" i="6"/>
  <c r="Y228" i="6"/>
  <c r="Y227" i="6"/>
  <c r="Y284" i="6" s="1"/>
  <c r="Y225" i="6"/>
  <c r="Y224" i="6"/>
  <c r="Y223" i="6"/>
  <c r="Y278" i="6" s="1"/>
  <c r="Y221" i="6"/>
  <c r="Y220" i="6"/>
  <c r="Y219" i="6"/>
  <c r="Y274" i="6" s="1"/>
  <c r="Y217" i="6"/>
  <c r="Y216" i="6"/>
  <c r="Y215" i="6"/>
  <c r="Y276" i="6" s="1"/>
  <c r="Y213" i="6"/>
  <c r="Y212" i="6"/>
  <c r="Y211" i="6"/>
  <c r="Y209" i="6"/>
  <c r="Y208" i="6"/>
  <c r="Y207" i="6"/>
  <c r="Y275" i="6" s="1"/>
  <c r="Y205" i="6"/>
  <c r="Y204" i="6"/>
  <c r="Y203" i="6"/>
  <c r="Y272" i="6" s="1"/>
  <c r="Y197" i="6"/>
  <c r="Y196" i="6"/>
  <c r="Y195" i="6"/>
  <c r="Y273" i="6" s="1"/>
  <c r="Y193" i="6"/>
  <c r="Y192" i="6"/>
  <c r="Y191" i="6"/>
  <c r="Y271" i="6" s="1"/>
  <c r="Y189" i="6"/>
  <c r="Y188" i="6"/>
  <c r="Y187" i="6"/>
  <c r="Y270" i="6" s="1"/>
  <c r="X66" i="6"/>
  <c r="Y25" i="6"/>
  <c r="Y22" i="6"/>
  <c r="Z284" i="6"/>
  <c r="V284" i="6"/>
  <c r="Z283" i="6"/>
  <c r="V283" i="6"/>
  <c r="Z282" i="6"/>
  <c r="V282" i="6"/>
  <c r="Z278" i="6"/>
  <c r="V278" i="6"/>
  <c r="Z276" i="6"/>
  <c r="V276" i="6"/>
  <c r="Z275" i="6"/>
  <c r="V275" i="6"/>
  <c r="Z274" i="6"/>
  <c r="V274" i="6"/>
  <c r="Z273" i="6"/>
  <c r="V273" i="6"/>
  <c r="Z272" i="6"/>
  <c r="V272" i="6"/>
  <c r="Z271" i="6"/>
  <c r="V271" i="6"/>
  <c r="Z270" i="6"/>
  <c r="V270" i="6"/>
  <c r="AA237" i="6"/>
  <c r="AA236" i="6"/>
  <c r="AA235" i="6"/>
  <c r="AA283" i="6" s="1"/>
  <c r="AA233" i="6"/>
  <c r="W233" i="6"/>
  <c r="AA232" i="6"/>
  <c r="W232" i="6"/>
  <c r="AA231" i="6"/>
  <c r="AA282" i="6" s="1"/>
  <c r="W231" i="6"/>
  <c r="W282" i="6" s="1"/>
  <c r="AA229" i="6"/>
  <c r="AA228" i="6"/>
  <c r="AA227" i="6"/>
  <c r="AA284" i="6" s="1"/>
  <c r="AA225" i="6"/>
  <c r="AA224" i="6"/>
  <c r="AA223" i="6"/>
  <c r="AA278" i="6" s="1"/>
  <c r="AA221" i="6"/>
  <c r="AA220" i="6"/>
  <c r="AA219" i="6"/>
  <c r="AA274" i="6" s="1"/>
  <c r="AA217" i="6"/>
  <c r="AA216" i="6"/>
  <c r="AA215" i="6"/>
  <c r="AA276" i="6" s="1"/>
  <c r="AA213" i="6"/>
  <c r="AA212" i="6"/>
  <c r="AA211" i="6"/>
  <c r="AA209" i="6"/>
  <c r="AA208" i="6"/>
  <c r="AA207" i="6"/>
  <c r="AA275" i="6" s="1"/>
  <c r="AA205" i="6"/>
  <c r="AA204" i="6"/>
  <c r="AA203" i="6"/>
  <c r="AA272" i="6" s="1"/>
  <c r="AA197" i="6"/>
  <c r="AA196" i="6"/>
  <c r="AA195" i="6"/>
  <c r="AA273" i="6" s="1"/>
  <c r="AA193" i="6"/>
  <c r="AA192" i="6"/>
  <c r="AA191" i="6"/>
  <c r="AA271" i="6" s="1"/>
  <c r="AA189" i="6"/>
  <c r="AA188" i="6"/>
  <c r="AA187" i="6"/>
  <c r="AA270" i="6" s="1"/>
  <c r="W182" i="6"/>
  <c r="V182" i="6"/>
  <c r="W155" i="6"/>
  <c r="V155" i="6"/>
  <c r="W124" i="6"/>
  <c r="V124" i="6"/>
  <c r="W123" i="6"/>
  <c r="V123" i="6"/>
  <c r="W122" i="6"/>
  <c r="V122" i="6"/>
  <c r="W120" i="6"/>
  <c r="V120" i="6"/>
  <c r="W119" i="6"/>
  <c r="V119" i="6"/>
  <c r="W118" i="6"/>
  <c r="V118" i="6"/>
  <c r="W117" i="6"/>
  <c r="V117" i="6"/>
  <c r="W116" i="6"/>
  <c r="V116" i="6"/>
  <c r="W115" i="6"/>
  <c r="V115" i="6"/>
  <c r="W114" i="6"/>
  <c r="V114" i="6"/>
  <c r="W113" i="6"/>
  <c r="V113" i="6"/>
  <c r="W112" i="6"/>
  <c r="V112" i="6"/>
  <c r="W111" i="6"/>
  <c r="V111" i="6"/>
  <c r="W103" i="6"/>
  <c r="V103" i="6"/>
  <c r="W100" i="6"/>
  <c r="V100" i="6"/>
  <c r="W85" i="6"/>
  <c r="V85" i="6"/>
  <c r="W81" i="6"/>
  <c r="V81" i="6"/>
  <c r="Z66" i="6"/>
  <c r="V65" i="6"/>
  <c r="V64" i="6"/>
  <c r="V63" i="6"/>
  <c r="V62" i="6"/>
  <c r="V61" i="6"/>
  <c r="W52" i="6"/>
  <c r="V52" i="6"/>
  <c r="W44" i="6"/>
  <c r="V44" i="6"/>
  <c r="W41" i="6"/>
  <c r="V41" i="6"/>
  <c r="V37" i="6"/>
  <c r="W28" i="6"/>
  <c r="W25" i="6"/>
  <c r="W22" i="6"/>
  <c r="W18" i="6"/>
  <c r="W30" i="6" s="1"/>
  <c r="W17" i="6"/>
  <c r="V6" i="6"/>
  <c r="V14" i="6" s="1"/>
  <c r="V21" i="6" s="1"/>
  <c r="V5" i="6"/>
  <c r="V13" i="6" s="1"/>
  <c r="V17" i="6" s="1"/>
  <c r="Z60" i="11"/>
  <c r="Z56" i="11"/>
  <c r="Z55" i="11"/>
  <c r="Z45" i="11"/>
  <c r="Y45" i="11"/>
  <c r="Z43" i="11"/>
  <c r="Y43" i="11"/>
  <c r="V66" i="6" l="1"/>
  <c r="V67" i="6" s="1"/>
  <c r="Y9" i="6"/>
  <c r="Y8" i="6"/>
  <c r="X181" i="6"/>
  <c r="X8" i="6"/>
  <c r="X9" i="6"/>
  <c r="X180" i="6"/>
  <c r="X154" i="6"/>
  <c r="V151" i="6"/>
  <c r="V125" i="6"/>
  <c r="Y52" i="6"/>
  <c r="Y44" i="6"/>
  <c r="Y41" i="6"/>
  <c r="Y28" i="6"/>
  <c r="W19" i="6"/>
  <c r="V86" i="6"/>
  <c r="V91" i="6" s="1"/>
  <c r="V138" i="6" s="1"/>
  <c r="W29" i="6"/>
  <c r="W125" i="6"/>
  <c r="V156" i="6"/>
  <c r="V26" i="6"/>
  <c r="V20" i="6"/>
  <c r="V15" i="6"/>
  <c r="V56" i="6" s="1"/>
  <c r="W86" i="6"/>
  <c r="W241" i="6"/>
  <c r="W50" i="8" s="1"/>
  <c r="V23" i="6"/>
  <c r="V121" i="6"/>
  <c r="V177" i="6"/>
  <c r="V24" i="6"/>
  <c r="V18" i="6"/>
  <c r="W121" i="6"/>
  <c r="V27" i="6"/>
  <c r="V183" i="6"/>
  <c r="V7" i="6"/>
  <c r="V11" i="6"/>
  <c r="V12" i="6"/>
  <c r="V104" i="6"/>
  <c r="V109" i="6" s="1"/>
  <c r="W104" i="6"/>
  <c r="W109" i="6" l="1"/>
  <c r="V164" i="6"/>
  <c r="V163" i="6"/>
  <c r="W91" i="6"/>
  <c r="W138" i="6" s="1"/>
  <c r="V126" i="6"/>
  <c r="V135" i="6"/>
  <c r="V136" i="6"/>
  <c r="W126" i="6"/>
  <c r="W31" i="6"/>
  <c r="V30" i="6"/>
  <c r="V160" i="6"/>
  <c r="V25" i="6"/>
  <c r="V19" i="6"/>
  <c r="V29" i="6"/>
  <c r="V59" i="6"/>
  <c r="W160" i="6"/>
  <c r="V161" i="6"/>
  <c r="V22" i="6"/>
  <c r="V28" i="6"/>
  <c r="Z10" i="11"/>
  <c r="Z11" i="11"/>
  <c r="Z12" i="11"/>
  <c r="Z13" i="11"/>
  <c r="Z16" i="11"/>
  <c r="Z18" i="11"/>
  <c r="Z19" i="11"/>
  <c r="Z20" i="11"/>
  <c r="Z22" i="11"/>
  <c r="Z24" i="11"/>
  <c r="Z27" i="11"/>
  <c r="Z29" i="11"/>
  <c r="Z30" i="11"/>
  <c r="Z31" i="11"/>
  <c r="Z32" i="11"/>
  <c r="Z33" i="11"/>
  <c r="Z5" i="11"/>
  <c r="Z63" i="11" s="1"/>
  <c r="Y5" i="11"/>
  <c r="Z2" i="11"/>
  <c r="Y2" i="11"/>
  <c r="Z65" i="11"/>
  <c r="Z44" i="11"/>
  <c r="X65" i="11"/>
  <c r="X63" i="11"/>
  <c r="X57" i="11"/>
  <c r="X64" i="11" s="1"/>
  <c r="X48" i="11"/>
  <c r="W48" i="11"/>
  <c r="X46" i="11"/>
  <c r="W46" i="11"/>
  <c r="X44" i="11"/>
  <c r="W44" i="11"/>
  <c r="X41" i="11"/>
  <c r="X42" i="11" s="1"/>
  <c r="W41" i="11"/>
  <c r="W42" i="11" s="1"/>
  <c r="X36" i="11"/>
  <c r="X59" i="11" s="1"/>
  <c r="W34" i="11"/>
  <c r="W53" i="11" s="1"/>
  <c r="X34" i="11"/>
  <c r="W131" i="6" l="1"/>
  <c r="W257" i="6" s="1"/>
  <c r="V131" i="6"/>
  <c r="V242" i="6" s="1"/>
  <c r="W136" i="6"/>
  <c r="W164" i="6"/>
  <c r="W163" i="6"/>
  <c r="W135" i="6"/>
  <c r="W161" i="6"/>
  <c r="W162" i="6" s="1"/>
  <c r="W8" i="36" s="1"/>
  <c r="Y52" i="11"/>
  <c r="Y50" i="11"/>
  <c r="Y51" i="11"/>
  <c r="Y47" i="11"/>
  <c r="Z47" i="11"/>
  <c r="W49" i="11"/>
  <c r="X67" i="11"/>
  <c r="Z36" i="11"/>
  <c r="Z59" i="11" s="1"/>
  <c r="V137" i="6"/>
  <c r="V7" i="36" s="1"/>
  <c r="W246" i="6"/>
  <c r="V31" i="6"/>
  <c r="V162" i="6"/>
  <c r="V8" i="36" s="1"/>
  <c r="Z57" i="11"/>
  <c r="Z64" i="11" s="1"/>
  <c r="X58" i="11"/>
  <c r="Z46" i="11"/>
  <c r="X37" i="11"/>
  <c r="X53" i="11"/>
  <c r="X35" i="11"/>
  <c r="X66" i="11"/>
  <c r="X39" i="11"/>
  <c r="W37" i="11"/>
  <c r="X49" i="11"/>
  <c r="Y105" i="10"/>
  <c r="Y103" i="10"/>
  <c r="Z120" i="10"/>
  <c r="Z125" i="10" s="1"/>
  <c r="Z116" i="10"/>
  <c r="Z115" i="10"/>
  <c r="Z105" i="10"/>
  <c r="Z103" i="10"/>
  <c r="Z7" i="10"/>
  <c r="Z5" i="10"/>
  <c r="Y5" i="10"/>
  <c r="Z2" i="10"/>
  <c r="Y2" i="10"/>
  <c r="Y112" i="10" s="1"/>
  <c r="X125" i="10"/>
  <c r="X123" i="10"/>
  <c r="X117" i="10"/>
  <c r="X118" i="10" s="1"/>
  <c r="X108" i="10"/>
  <c r="W108" i="10"/>
  <c r="X106" i="10"/>
  <c r="W106" i="10"/>
  <c r="X104" i="10"/>
  <c r="W104" i="10"/>
  <c r="X101" i="10"/>
  <c r="X102" i="10" s="1"/>
  <c r="W101" i="10"/>
  <c r="W102" i="10" s="1"/>
  <c r="X96" i="10"/>
  <c r="X119" i="10" s="1"/>
  <c r="X94" i="10"/>
  <c r="X97" i="10" s="1"/>
  <c r="W94" i="10"/>
  <c r="W97" i="10" s="1"/>
  <c r="Y44" i="36"/>
  <c r="Y45" i="36"/>
  <c r="Y47" i="36" s="1"/>
  <c r="Y48" i="36"/>
  <c r="Y49" i="36"/>
  <c r="Y43" i="36"/>
  <c r="X43" i="36"/>
  <c r="W33" i="36"/>
  <c r="V33" i="36"/>
  <c r="Y31" i="36"/>
  <c r="X31" i="36"/>
  <c r="D22" i="36"/>
  <c r="D21" i="36"/>
  <c r="W17" i="36"/>
  <c r="S17" i="36"/>
  <c r="O17" i="36"/>
  <c r="W16" i="36"/>
  <c r="V16" i="36"/>
  <c r="V83" i="9" s="1"/>
  <c r="S16" i="36"/>
  <c r="R16" i="36"/>
  <c r="O16" i="36"/>
  <c r="N16" i="36"/>
  <c r="J16" i="36"/>
  <c r="F16" i="36"/>
  <c r="D16" i="36"/>
  <c r="E10" i="36"/>
  <c r="G10" i="36"/>
  <c r="K10" i="36"/>
  <c r="O10" i="36"/>
  <c r="S10" i="36"/>
  <c r="W10" i="36"/>
  <c r="E11" i="36"/>
  <c r="G11" i="36"/>
  <c r="K11" i="36"/>
  <c r="O11" i="36"/>
  <c r="S11" i="36"/>
  <c r="W11" i="36"/>
  <c r="E12" i="36"/>
  <c r="G12" i="36"/>
  <c r="K12" i="36"/>
  <c r="O12" i="36"/>
  <c r="S12" i="36"/>
  <c r="W12" i="36"/>
  <c r="F13" i="36"/>
  <c r="J13" i="36"/>
  <c r="N13" i="36"/>
  <c r="R13" i="36"/>
  <c r="V13" i="36"/>
  <c r="W5" i="36"/>
  <c r="S5" i="36"/>
  <c r="O5" i="36"/>
  <c r="K5" i="36"/>
  <c r="G5" i="36"/>
  <c r="E5" i="36"/>
  <c r="E96" i="8" s="1"/>
  <c r="Y2" i="36"/>
  <c r="X2" i="36"/>
  <c r="W55" i="36"/>
  <c r="W54" i="36"/>
  <c r="W51" i="36"/>
  <c r="W53" i="36" s="1"/>
  <c r="V49" i="36"/>
  <c r="V48" i="36"/>
  <c r="V45" i="36"/>
  <c r="V47" i="36" s="1"/>
  <c r="W22" i="21"/>
  <c r="Y22" i="21" s="1"/>
  <c r="W12" i="21"/>
  <c r="W19" i="21" s="1"/>
  <c r="Y38" i="21"/>
  <c r="X38" i="21"/>
  <c r="Y37" i="21"/>
  <c r="X37" i="21"/>
  <c r="Y35" i="21"/>
  <c r="Y34" i="21"/>
  <c r="Y31" i="21"/>
  <c r="Y30" i="21"/>
  <c r="X32" i="21"/>
  <c r="Y27" i="21"/>
  <c r="X27" i="21"/>
  <c r="Y26" i="21"/>
  <c r="X26" i="21"/>
  <c r="Y25" i="21"/>
  <c r="X25" i="21"/>
  <c r="Y21" i="21"/>
  <c r="Y15" i="21"/>
  <c r="Y16" i="21"/>
  <c r="Y18" i="21"/>
  <c r="Y8" i="21"/>
  <c r="Y9" i="21"/>
  <c r="Y10" i="21"/>
  <c r="Y11" i="21"/>
  <c r="Y6" i="21"/>
  <c r="X7" i="21"/>
  <c r="X8" i="21"/>
  <c r="X9" i="21"/>
  <c r="X10" i="21"/>
  <c r="X11" i="21"/>
  <c r="X6" i="21"/>
  <c r="Y2" i="21"/>
  <c r="X2" i="21"/>
  <c r="W36" i="21"/>
  <c r="V34" i="21"/>
  <c r="W32" i="21"/>
  <c r="W28" i="21"/>
  <c r="V28" i="21"/>
  <c r="V12" i="21"/>
  <c r="V21" i="21" s="1"/>
  <c r="X138" i="35"/>
  <c r="Y59" i="35"/>
  <c r="X46" i="35"/>
  <c r="X45" i="35"/>
  <c r="X42" i="35"/>
  <c r="X41" i="35"/>
  <c r="Y40" i="35"/>
  <c r="Y42" i="35"/>
  <c r="Y41" i="35"/>
  <c r="Y39" i="35"/>
  <c r="Y38" i="35"/>
  <c r="Y37" i="35"/>
  <c r="Y33" i="35"/>
  <c r="X33" i="35"/>
  <c r="X32" i="35"/>
  <c r="Y30" i="35"/>
  <c r="Y23" i="36" s="1"/>
  <c r="X30" i="35"/>
  <c r="X23" i="36" s="1"/>
  <c r="Y29" i="35"/>
  <c r="Y22" i="36" s="1"/>
  <c r="X29" i="35"/>
  <c r="X22" i="36" s="1"/>
  <c r="Y28" i="35"/>
  <c r="X28" i="35"/>
  <c r="Y26" i="35"/>
  <c r="Y9" i="15" s="1"/>
  <c r="X26" i="35"/>
  <c r="X9" i="15" s="1"/>
  <c r="Y25" i="35"/>
  <c r="X25" i="35"/>
  <c r="Y21" i="35"/>
  <c r="X23" i="35"/>
  <c r="Y22" i="35"/>
  <c r="X22" i="35"/>
  <c r="X21" i="35"/>
  <c r="E19" i="35"/>
  <c r="F19" i="35"/>
  <c r="J19" i="35"/>
  <c r="N19" i="35"/>
  <c r="O19" i="35"/>
  <c r="R19" i="35"/>
  <c r="S19" i="35"/>
  <c r="V19" i="35"/>
  <c r="X16" i="35"/>
  <c r="Y18" i="35"/>
  <c r="Y33" i="36" s="1"/>
  <c r="X18" i="35"/>
  <c r="X33" i="36" s="1"/>
  <c r="Y17" i="35"/>
  <c r="X17" i="35"/>
  <c r="X15" i="36" s="1"/>
  <c r="X73" i="8" s="1"/>
  <c r="Y16" i="35"/>
  <c r="Y14" i="35"/>
  <c r="X14" i="35"/>
  <c r="Y13" i="35"/>
  <c r="X13" i="35"/>
  <c r="G11" i="35"/>
  <c r="K11" i="35"/>
  <c r="O11" i="35"/>
  <c r="S11" i="35"/>
  <c r="W11" i="35"/>
  <c r="Y9" i="35"/>
  <c r="Y10" i="35"/>
  <c r="X1" i="35"/>
  <c r="X7" i="35" s="1"/>
  <c r="W138" i="35"/>
  <c r="Y138" i="35" s="1"/>
  <c r="W46" i="35"/>
  <c r="W45" i="35"/>
  <c r="V250" i="6" l="1"/>
  <c r="W137" i="6"/>
  <c r="W7" i="36" s="1"/>
  <c r="W23" i="21"/>
  <c r="W24" i="21" s="1"/>
  <c r="Y11" i="35"/>
  <c r="Y5" i="36"/>
  <c r="Y16" i="36"/>
  <c r="Y17" i="36"/>
  <c r="X6" i="6"/>
  <c r="Z6" i="6"/>
  <c r="X6" i="35"/>
  <c r="Y10" i="36"/>
  <c r="Y11" i="36"/>
  <c r="Y12" i="36"/>
  <c r="W19" i="35"/>
  <c r="X52" i="36"/>
  <c r="X17" i="15"/>
  <c r="X21" i="36"/>
  <c r="Y52" i="36"/>
  <c r="Y17" i="15"/>
  <c r="X19" i="35"/>
  <c r="X16" i="36"/>
  <c r="Y21" i="36"/>
  <c r="W240" i="6"/>
  <c r="V259" i="6"/>
  <c r="V263" i="6"/>
  <c r="V265" i="6"/>
  <c r="V262" i="6"/>
  <c r="V264" i="6"/>
  <c r="V257" i="6"/>
  <c r="W263" i="6"/>
  <c r="W262" i="6"/>
  <c r="W264" i="6"/>
  <c r="W265" i="6"/>
  <c r="W242" i="6"/>
  <c r="V251" i="6"/>
  <c r="W258" i="6"/>
  <c r="W251" i="6"/>
  <c r="W255" i="6"/>
  <c r="W259" i="6"/>
  <c r="W254" i="6"/>
  <c r="W248" i="6"/>
  <c r="W247" i="6"/>
  <c r="W252" i="6"/>
  <c r="W253" i="6"/>
  <c r="W250" i="6"/>
  <c r="W249" i="6"/>
  <c r="V255" i="6"/>
  <c r="V253" i="6"/>
  <c r="V258" i="6"/>
  <c r="V252" i="6"/>
  <c r="V246" i="6"/>
  <c r="V249" i="6"/>
  <c r="V247" i="6"/>
  <c r="V248" i="6"/>
  <c r="V254" i="6"/>
  <c r="Y32" i="21"/>
  <c r="W19" i="36"/>
  <c r="Y106" i="10"/>
  <c r="Y107" i="10"/>
  <c r="Z123" i="10"/>
  <c r="K13" i="36"/>
  <c r="S13" i="36"/>
  <c r="Y73" i="8"/>
  <c r="O13" i="36"/>
  <c r="G13" i="36"/>
  <c r="E13" i="36"/>
  <c r="W13" i="36"/>
  <c r="X68" i="11"/>
  <c r="Z67" i="11"/>
  <c r="Z104" i="10"/>
  <c r="X99" i="10"/>
  <c r="Y110" i="10"/>
  <c r="Y111" i="10"/>
  <c r="Z106" i="10"/>
  <c r="Z58" i="11"/>
  <c r="X124" i="10"/>
  <c r="Z117" i="10"/>
  <c r="Z118" i="10" s="1"/>
  <c r="X70" i="11"/>
  <c r="Y104" i="10"/>
  <c r="Z107" i="10"/>
  <c r="Z96" i="10"/>
  <c r="Z119" i="10" s="1"/>
  <c r="X126" i="10"/>
  <c r="W109" i="10"/>
  <c r="X109" i="10"/>
  <c r="W113" i="10"/>
  <c r="X95" i="10"/>
  <c r="X113" i="10"/>
  <c r="X127" i="10"/>
  <c r="W18" i="36"/>
  <c r="V44" i="36"/>
  <c r="V17" i="36" s="1"/>
  <c r="Y7" i="21"/>
  <c r="Y12" i="21" s="1"/>
  <c r="V14" i="21"/>
  <c r="Y36" i="21"/>
  <c r="X28" i="21"/>
  <c r="Y28" i="21"/>
  <c r="Y23" i="21"/>
  <c r="Y24" i="21" s="1"/>
  <c r="X12" i="21"/>
  <c r="X21" i="21" s="1"/>
  <c r="Z5" i="6" l="1"/>
  <c r="Z7" i="6" s="1"/>
  <c r="X5" i="6"/>
  <c r="X7" i="6" s="1"/>
  <c r="W266" i="6"/>
  <c r="V266" i="6"/>
  <c r="V285" i="6" s="1"/>
  <c r="W260" i="6"/>
  <c r="V260" i="6"/>
  <c r="V280" i="6" s="1"/>
  <c r="W256" i="6"/>
  <c r="V256" i="6"/>
  <c r="V277" i="6" s="1"/>
  <c r="V18" i="36"/>
  <c r="V84" i="9"/>
  <c r="X128" i="10"/>
  <c r="Z124" i="10"/>
  <c r="X130" i="10"/>
  <c r="Z127" i="10"/>
  <c r="W261" i="6" l="1"/>
  <c r="W267" i="6"/>
  <c r="V261" i="6"/>
  <c r="V281" i="6" s="1"/>
  <c r="V21" i="9"/>
  <c r="V86" i="9"/>
  <c r="W9" i="36"/>
  <c r="Y13" i="36"/>
  <c r="V9" i="36" l="1"/>
  <c r="V267" i="6"/>
  <c r="V286" i="6" s="1"/>
  <c r="Y1" i="35"/>
  <c r="Y19" i="35" s="1"/>
  <c r="Y2" i="35"/>
  <c r="X2" i="35"/>
  <c r="Y137" i="35"/>
  <c r="X136" i="35"/>
  <c r="X135" i="35"/>
  <c r="X134" i="35"/>
  <c r="X133" i="35"/>
  <c r="X132" i="35"/>
  <c r="X131" i="35"/>
  <c r="X130" i="35"/>
  <c r="X129" i="35"/>
  <c r="X128" i="35"/>
  <c r="X127" i="35"/>
  <c r="X126" i="35"/>
  <c r="X125" i="35"/>
  <c r="X124" i="35"/>
  <c r="X123" i="35"/>
  <c r="X122" i="35"/>
  <c r="X121" i="35"/>
  <c r="X120" i="35"/>
  <c r="X119" i="35"/>
  <c r="X118" i="35"/>
  <c r="X117" i="35"/>
  <c r="X116" i="35"/>
  <c r="X115" i="35"/>
  <c r="X114" i="35"/>
  <c r="X113" i="35"/>
  <c r="X112" i="35"/>
  <c r="X111" i="35"/>
  <c r="Y107" i="35"/>
  <c r="X103" i="35"/>
  <c r="X90" i="35"/>
  <c r="X137" i="35" l="1"/>
  <c r="Y31" i="35"/>
  <c r="Y15" i="35"/>
  <c r="D10" i="35"/>
  <c r="D5" i="36" s="1"/>
  <c r="D9" i="35"/>
  <c r="D37" i="35"/>
  <c r="D50" i="35"/>
  <c r="D51" i="35" s="1"/>
  <c r="D52" i="35" s="1"/>
  <c r="D54" i="35"/>
  <c r="D55" i="35" s="1"/>
  <c r="D56" i="35" l="1"/>
  <c r="V110" i="35" l="1"/>
  <c r="W107" i="35"/>
  <c r="V107" i="35"/>
  <c r="V75" i="35" s="1"/>
  <c r="V74" i="35"/>
  <c r="V71" i="35"/>
  <c r="V68" i="35"/>
  <c r="W58" i="35"/>
  <c r="V58" i="35"/>
  <c r="V59" i="35" s="1"/>
  <c r="W55" i="35"/>
  <c r="W54" i="35"/>
  <c r="V54" i="35"/>
  <c r="W51" i="35"/>
  <c r="W50" i="35"/>
  <c r="V50" i="35"/>
  <c r="V40" i="35"/>
  <c r="V39" i="35"/>
  <c r="V37" i="35"/>
  <c r="W34" i="35"/>
  <c r="V34" i="35"/>
  <c r="V43" i="35" s="1"/>
  <c r="W31" i="35"/>
  <c r="V31" i="35"/>
  <c r="W24" i="35"/>
  <c r="W34" i="36" s="1"/>
  <c r="W35" i="36" s="1"/>
  <c r="W36" i="36" s="1"/>
  <c r="V24" i="35"/>
  <c r="V34" i="36" s="1"/>
  <c r="V35" i="36" s="1"/>
  <c r="V36" i="36" s="1"/>
  <c r="W15" i="35"/>
  <c r="V15" i="35"/>
  <c r="V10" i="35"/>
  <c r="V5" i="36" s="1"/>
  <c r="V9" i="35"/>
  <c r="V8" i="35"/>
  <c r="W7" i="35"/>
  <c r="W6" i="6" s="1"/>
  <c r="W6" i="35"/>
  <c r="BF31" i="35"/>
  <c r="BG31" i="35"/>
  <c r="BF34" i="35"/>
  <c r="BG34" i="35"/>
  <c r="BG43" i="35" s="1"/>
  <c r="BG44" i="35" s="1"/>
  <c r="BF37" i="35"/>
  <c r="BF39" i="35"/>
  <c r="BF40" i="35"/>
  <c r="W5" i="6" l="1"/>
  <c r="V11" i="35"/>
  <c r="V44" i="35"/>
  <c r="W12" i="6"/>
  <c r="W14" i="6"/>
  <c r="W39" i="36"/>
  <c r="W30" i="36" s="1"/>
  <c r="V39" i="36"/>
  <c r="V30" i="36" s="1"/>
  <c r="V62" i="35"/>
  <c r="V35" i="35"/>
  <c r="W60" i="35"/>
  <c r="W56" i="35"/>
  <c r="W8" i="35"/>
  <c r="W62" i="35"/>
  <c r="W63" i="35"/>
  <c r="W35" i="35"/>
  <c r="V60" i="35"/>
  <c r="W52" i="35"/>
  <c r="W43" i="35"/>
  <c r="W44" i="35" s="1"/>
  <c r="V51" i="35"/>
  <c r="V52" i="35" s="1"/>
  <c r="V55" i="35"/>
  <c r="V56" i="35" s="1"/>
  <c r="BF35" i="35"/>
  <c r="BG35" i="35"/>
  <c r="BF43" i="35"/>
  <c r="BF44" i="35" s="1"/>
  <c r="W178" i="6" l="1"/>
  <c r="W322" i="6"/>
  <c r="W55" i="6"/>
  <c r="W336" i="6"/>
  <c r="W183" i="6"/>
  <c r="W314" i="6"/>
  <c r="W11" i="6"/>
  <c r="W7" i="6"/>
  <c r="W13" i="6"/>
  <c r="W66" i="35"/>
  <c r="W65" i="35"/>
  <c r="V64" i="35"/>
  <c r="V63" i="35"/>
  <c r="W64" i="35"/>
  <c r="W338" i="6" l="1"/>
  <c r="W339" i="6" s="1"/>
  <c r="W337" i="6"/>
  <c r="W324" i="6"/>
  <c r="W325" i="6" s="1"/>
  <c r="W323" i="6"/>
  <c r="W60" i="6"/>
  <c r="W65" i="6"/>
  <c r="W152" i="6"/>
  <c r="W156" i="6"/>
  <c r="W313" i="6"/>
  <c r="W64" i="6"/>
  <c r="W330" i="6"/>
  <c r="W61" i="6"/>
  <c r="W15" i="6"/>
  <c r="W59" i="6" s="1"/>
  <c r="W316" i="6"/>
  <c r="W63" i="6"/>
  <c r="W62" i="6"/>
  <c r="W56" i="6"/>
  <c r="V66" i="35"/>
  <c r="V65" i="35"/>
  <c r="W326" i="6" l="1"/>
  <c r="W340" i="6"/>
  <c r="W66" i="6"/>
  <c r="W67" i="6" s="1"/>
  <c r="W332" i="6"/>
  <c r="W333" i="6" s="1"/>
  <c r="W331" i="6"/>
  <c r="W318" i="6"/>
  <c r="W319" i="6" s="1"/>
  <c r="W317" i="6"/>
  <c r="W36" i="6"/>
  <c r="W33" i="6"/>
  <c r="W34" i="6"/>
  <c r="W35" i="6"/>
  <c r="U109" i="9"/>
  <c r="S60" i="9"/>
  <c r="S45" i="48" s="1"/>
  <c r="S29" i="9"/>
  <c r="S20" i="9"/>
  <c r="Y20" i="9" s="1"/>
  <c r="S181" i="6"/>
  <c r="S180" i="6"/>
  <c r="S154" i="6"/>
  <c r="D83" i="9"/>
  <c r="F83" i="9"/>
  <c r="J83" i="9"/>
  <c r="N83" i="9"/>
  <c r="O83" i="9"/>
  <c r="R83" i="9"/>
  <c r="S83" i="8"/>
  <c r="S82" i="8"/>
  <c r="W334" i="6" l="1"/>
  <c r="W341" i="6" s="1"/>
  <c r="W7" i="48" s="1"/>
  <c r="W320" i="6"/>
  <c r="W327" i="6" s="1"/>
  <c r="W6" i="48" s="1"/>
  <c r="W37" i="6"/>
  <c r="AA109" i="9"/>
  <c r="AE109" i="9" s="1"/>
  <c r="AI109" i="9" s="1"/>
  <c r="AO109" i="9" s="1"/>
  <c r="AS109" i="9" s="1"/>
  <c r="AW109" i="9" s="1"/>
  <c r="BE109" i="9" s="1"/>
  <c r="S91" i="8"/>
  <c r="S71" i="7"/>
  <c r="S9" i="17"/>
  <c r="S34" i="17"/>
  <c r="S85" i="17"/>
  <c r="S84" i="17"/>
  <c r="S83" i="17"/>
  <c r="S82" i="17"/>
  <c r="S51" i="17"/>
  <c r="S8" i="17"/>
  <c r="W8" i="48" l="1"/>
  <c r="W343" i="6"/>
  <c r="F25" i="17"/>
  <c r="S92" i="26"/>
  <c r="S94" i="26" l="1"/>
  <c r="R94" i="26"/>
  <c r="R92" i="26"/>
  <c r="S78" i="26"/>
  <c r="R78" i="26"/>
  <c r="S65" i="26"/>
  <c r="R63" i="26"/>
  <c r="R65" i="26" s="1"/>
  <c r="R61" i="26"/>
  <c r="R60" i="26"/>
  <c r="S59" i="26"/>
  <c r="S61" i="26" s="1"/>
  <c r="S54" i="26"/>
  <c r="S55" i="26" s="1"/>
  <c r="R54" i="26"/>
  <c r="R55" i="26" s="1"/>
  <c r="S38" i="26"/>
  <c r="S42" i="26" s="1"/>
  <c r="R38" i="26"/>
  <c r="R39" i="26" s="1"/>
  <c r="S34" i="26"/>
  <c r="R34" i="26"/>
  <c r="R11" i="26"/>
  <c r="T9" i="26"/>
  <c r="S9" i="26"/>
  <c r="S10" i="26" s="1"/>
  <c r="R9" i="26"/>
  <c r="R10" i="26" s="1"/>
  <c r="R43" i="26" l="1"/>
  <c r="R14" i="26"/>
  <c r="S39" i="26"/>
  <c r="S14" i="26"/>
  <c r="S43" i="26"/>
  <c r="S60" i="26"/>
  <c r="S13" i="26"/>
  <c r="R113" i="17" l="1"/>
  <c r="S81" i="17"/>
  <c r="R81" i="17"/>
  <c r="S77" i="17"/>
  <c r="R77" i="17"/>
  <c r="S66" i="17"/>
  <c r="S68" i="17" s="1"/>
  <c r="R66" i="17"/>
  <c r="R68" i="17" s="1"/>
  <c r="S58" i="17"/>
  <c r="S59" i="17" s="1"/>
  <c r="R57" i="17"/>
  <c r="R56" i="17"/>
  <c r="S52" i="17"/>
  <c r="R51" i="17"/>
  <c r="R50" i="17"/>
  <c r="R111" i="17" s="1"/>
  <c r="S48" i="17"/>
  <c r="R47" i="17"/>
  <c r="S46" i="17"/>
  <c r="R45" i="17"/>
  <c r="S43" i="17"/>
  <c r="S49" i="17" s="1"/>
  <c r="S53" i="17" s="1"/>
  <c r="R43" i="17"/>
  <c r="S42" i="17"/>
  <c r="S40" i="17"/>
  <c r="S38" i="17"/>
  <c r="R25" i="17"/>
  <c r="S21" i="17"/>
  <c r="S15" i="17" s="1"/>
  <c r="R18" i="17"/>
  <c r="R17" i="17"/>
  <c r="R15" i="17"/>
  <c r="R14" i="17"/>
  <c r="S11" i="17"/>
  <c r="S13" i="17"/>
  <c r="S12" i="17"/>
  <c r="R8" i="17"/>
  <c r="R10" i="17" s="1"/>
  <c r="R11" i="15"/>
  <c r="N11" i="15"/>
  <c r="J11" i="15"/>
  <c r="F11" i="15"/>
  <c r="D11" i="15"/>
  <c r="BF34" i="21"/>
  <c r="R34" i="21"/>
  <c r="N34" i="21"/>
  <c r="J34" i="21"/>
  <c r="F34" i="21"/>
  <c r="D34" i="21"/>
  <c r="H32" i="21"/>
  <c r="L32" i="21" s="1"/>
  <c r="P32" i="21" s="1"/>
  <c r="T32" i="21" s="1"/>
  <c r="Z32" i="21" s="1"/>
  <c r="AD32" i="21" s="1"/>
  <c r="AH32" i="21" s="1"/>
  <c r="AN32" i="21" s="1"/>
  <c r="AR32" i="21" s="1"/>
  <c r="AV32" i="21" s="1"/>
  <c r="BD32" i="21" s="1"/>
  <c r="T14" i="11"/>
  <c r="K34" i="11"/>
  <c r="O34" i="11"/>
  <c r="T25" i="11"/>
  <c r="Z25" i="11" s="1"/>
  <c r="L14" i="11"/>
  <c r="F26" i="11"/>
  <c r="F38" i="11" s="1"/>
  <c r="R49" i="17" l="1"/>
  <c r="R53" i="17" s="1"/>
  <c r="R58" i="17"/>
  <c r="R61" i="17" s="1"/>
  <c r="R29" i="17"/>
  <c r="R112" i="17"/>
  <c r="R21" i="17"/>
  <c r="R33" i="17" s="1"/>
  <c r="X11" i="15"/>
  <c r="X12" i="15" s="1"/>
  <c r="X13" i="15" s="1"/>
  <c r="X34" i="21"/>
  <c r="H11" i="15"/>
  <c r="L11" i="15" s="1"/>
  <c r="P11" i="15" s="1"/>
  <c r="T11" i="15" s="1"/>
  <c r="R115" i="17"/>
  <c r="R110" i="17"/>
  <c r="R114" i="17" s="1"/>
  <c r="R54" i="17"/>
  <c r="R59" i="17"/>
  <c r="R31" i="17"/>
  <c r="S33" i="17"/>
  <c r="S32" i="17"/>
  <c r="S31" i="17"/>
  <c r="S30" i="17"/>
  <c r="S29" i="17"/>
  <c r="S113" i="17"/>
  <c r="S50" i="17"/>
  <c r="S111" i="17" s="1"/>
  <c r="S110" i="17"/>
  <c r="S10" i="17"/>
  <c r="S14" i="17"/>
  <c r="S61" i="17"/>
  <c r="S112" i="17"/>
  <c r="S44" i="17"/>
  <c r="T68" i="10"/>
  <c r="T70" i="10"/>
  <c r="T96" i="10"/>
  <c r="S51" i="35" s="1"/>
  <c r="R30" i="17" l="1"/>
  <c r="Z70" i="10"/>
  <c r="V70" i="10"/>
  <c r="AB70" i="10" s="1"/>
  <c r="AF70" i="10" s="1"/>
  <c r="AJ70" i="10" s="1"/>
  <c r="AP70" i="10" s="1"/>
  <c r="AT70" i="10" s="1"/>
  <c r="AX70" i="10" s="1"/>
  <c r="BF70" i="10" s="1"/>
  <c r="R32" i="17"/>
  <c r="Z11" i="15"/>
  <c r="S54" i="17"/>
  <c r="S114" i="17"/>
  <c r="S115" i="17"/>
  <c r="T15" i="11"/>
  <c r="T17" i="11"/>
  <c r="Z17" i="11" s="1"/>
  <c r="T23" i="11"/>
  <c r="T21" i="11"/>
  <c r="Z21" i="11" s="1"/>
  <c r="T40" i="10"/>
  <c r="T45" i="10"/>
  <c r="T50" i="10"/>
  <c r="T62" i="10"/>
  <c r="T56" i="10"/>
  <c r="T55" i="10"/>
  <c r="T54" i="10"/>
  <c r="T69" i="10"/>
  <c r="T27" i="10"/>
  <c r="T52" i="11"/>
  <c r="T51" i="11"/>
  <c r="T50" i="11"/>
  <c r="T112" i="10"/>
  <c r="T111" i="10"/>
  <c r="T110" i="10"/>
  <c r="Z54" i="10" l="1"/>
  <c r="V54" i="10"/>
  <c r="AB54" i="10" s="1"/>
  <c r="AF54" i="10" s="1"/>
  <c r="AJ54" i="10" s="1"/>
  <c r="AP54" i="10" s="1"/>
  <c r="AT54" i="10" s="1"/>
  <c r="AX54" i="10" s="1"/>
  <c r="BF54" i="10" s="1"/>
  <c r="T98" i="10"/>
  <c r="Z56" i="10"/>
  <c r="V56" i="10"/>
  <c r="AB56" i="10" s="1"/>
  <c r="AF56" i="10" s="1"/>
  <c r="AJ56" i="10" s="1"/>
  <c r="AP56" i="10" s="1"/>
  <c r="AT56" i="10" s="1"/>
  <c r="AX56" i="10" s="1"/>
  <c r="BF56" i="10" s="1"/>
  <c r="T38" i="11"/>
  <c r="Z62" i="10"/>
  <c r="V62" i="10"/>
  <c r="AB62" i="10" s="1"/>
  <c r="AF62" i="10" s="1"/>
  <c r="AJ62" i="10" s="1"/>
  <c r="AP62" i="10" s="1"/>
  <c r="AT62" i="10" s="1"/>
  <c r="AX62" i="10" s="1"/>
  <c r="BF62" i="10" s="1"/>
  <c r="AD11" i="15"/>
  <c r="T34" i="11"/>
  <c r="AH11" i="15" l="1"/>
  <c r="L20" i="34"/>
  <c r="L19" i="34"/>
  <c r="AN11" i="15" l="1"/>
  <c r="T16" i="39"/>
  <c r="U16" i="39"/>
  <c r="G75" i="37"/>
  <c r="I75" i="37" s="1"/>
  <c r="K75" i="37" s="1"/>
  <c r="G76" i="37"/>
  <c r="I76" i="37" s="1"/>
  <c r="K76" i="37" s="1"/>
  <c r="M76" i="37" s="1"/>
  <c r="P76" i="37" s="1"/>
  <c r="R76" i="37" s="1"/>
  <c r="T76" i="37" s="1"/>
  <c r="W76" i="37" s="1"/>
  <c r="Y76" i="37" s="1"/>
  <c r="AA76" i="37" s="1"/>
  <c r="AE76" i="37" s="1"/>
  <c r="G66" i="37"/>
  <c r="I66" i="37" s="1"/>
  <c r="K66" i="37" s="1"/>
  <c r="M66" i="37" s="1"/>
  <c r="P66" i="37" s="1"/>
  <c r="R66" i="37" s="1"/>
  <c r="T66" i="37" s="1"/>
  <c r="W66" i="37" s="1"/>
  <c r="Y66" i="37" s="1"/>
  <c r="AA66" i="37" s="1"/>
  <c r="AE66" i="37" s="1"/>
  <c r="G69" i="37"/>
  <c r="I69" i="37" s="1"/>
  <c r="K69" i="37" s="1"/>
  <c r="M69" i="37" s="1"/>
  <c r="P69" i="37" s="1"/>
  <c r="R69" i="37" s="1"/>
  <c r="T69" i="37" s="1"/>
  <c r="W69" i="37" s="1"/>
  <c r="Y69" i="37" s="1"/>
  <c r="AA69" i="37" s="1"/>
  <c r="AE69" i="37" s="1"/>
  <c r="G67" i="37"/>
  <c r="I67" i="37" s="1"/>
  <c r="K67" i="37" s="1"/>
  <c r="M67" i="37" s="1"/>
  <c r="P67" i="37" s="1"/>
  <c r="R67" i="37" s="1"/>
  <c r="T67" i="37" s="1"/>
  <c r="W67" i="37" s="1"/>
  <c r="Y67" i="37" s="1"/>
  <c r="AA67" i="37" s="1"/>
  <c r="AE67" i="37" s="1"/>
  <c r="G71" i="37"/>
  <c r="I71" i="37" s="1"/>
  <c r="K71" i="37" s="1"/>
  <c r="M71" i="37" s="1"/>
  <c r="P71" i="37" s="1"/>
  <c r="R71" i="37" s="1"/>
  <c r="T71" i="37" s="1"/>
  <c r="W71" i="37" s="1"/>
  <c r="Y71" i="37" s="1"/>
  <c r="AA71" i="37" s="1"/>
  <c r="AE71" i="37" s="1"/>
  <c r="G73" i="37"/>
  <c r="I73" i="37" s="1"/>
  <c r="K73" i="37" s="1"/>
  <c r="M73" i="37" s="1"/>
  <c r="P73" i="37" s="1"/>
  <c r="R73" i="37" s="1"/>
  <c r="T73" i="37" s="1"/>
  <c r="W73" i="37" s="1"/>
  <c r="Y73" i="37" s="1"/>
  <c r="AA73" i="37" s="1"/>
  <c r="AE73" i="37" s="1"/>
  <c r="G74" i="37"/>
  <c r="I74" i="37" s="1"/>
  <c r="K74" i="37" s="1"/>
  <c r="M74" i="37" s="1"/>
  <c r="P74" i="37" s="1"/>
  <c r="R74" i="37" s="1"/>
  <c r="T74" i="37" s="1"/>
  <c r="W74" i="37" s="1"/>
  <c r="Y74" i="37" s="1"/>
  <c r="AA74" i="37" s="1"/>
  <c r="AE74" i="37" s="1"/>
  <c r="G34" i="37"/>
  <c r="I34" i="37" s="1"/>
  <c r="K34" i="37" s="1"/>
  <c r="M34" i="37" s="1"/>
  <c r="P34" i="37" s="1"/>
  <c r="R34" i="37" s="1"/>
  <c r="T34" i="37" s="1"/>
  <c r="W34" i="37" s="1"/>
  <c r="Y34" i="37" s="1"/>
  <c r="AA34" i="37" s="1"/>
  <c r="AE34" i="37" s="1"/>
  <c r="G36" i="37"/>
  <c r="I36" i="37" s="1"/>
  <c r="K36" i="37" s="1"/>
  <c r="M36" i="37" s="1"/>
  <c r="P36" i="37" s="1"/>
  <c r="R36" i="37" s="1"/>
  <c r="T36" i="37" s="1"/>
  <c r="W36" i="37" s="1"/>
  <c r="Y36" i="37" s="1"/>
  <c r="AA36" i="37" s="1"/>
  <c r="AE36" i="37" s="1"/>
  <c r="G32" i="37"/>
  <c r="I32" i="37" s="1"/>
  <c r="K32" i="37" s="1"/>
  <c r="M32" i="37" s="1"/>
  <c r="P32" i="37" s="1"/>
  <c r="R32" i="37" s="1"/>
  <c r="T32" i="37" s="1"/>
  <c r="W32" i="37" s="1"/>
  <c r="Y32" i="37" s="1"/>
  <c r="AA32" i="37" s="1"/>
  <c r="AE32" i="37" s="1"/>
  <c r="G23" i="37"/>
  <c r="I23" i="37" s="1"/>
  <c r="K23" i="37" s="1"/>
  <c r="M23" i="37" s="1"/>
  <c r="P23" i="37" s="1"/>
  <c r="R23" i="37" s="1"/>
  <c r="T23" i="37" s="1"/>
  <c r="W23" i="37" s="1"/>
  <c r="Y23" i="37" s="1"/>
  <c r="AA23" i="37" s="1"/>
  <c r="AE23" i="37" s="1"/>
  <c r="G44" i="37"/>
  <c r="I44" i="37" s="1"/>
  <c r="K44" i="37" s="1"/>
  <c r="M44" i="37" s="1"/>
  <c r="P44" i="37" s="1"/>
  <c r="R44" i="37" s="1"/>
  <c r="T44" i="37" s="1"/>
  <c r="W44" i="37" s="1"/>
  <c r="Y44" i="37" s="1"/>
  <c r="AA44" i="37" s="1"/>
  <c r="AE44" i="37" s="1"/>
  <c r="G48" i="37"/>
  <c r="I48" i="37" s="1"/>
  <c r="K48" i="37" s="1"/>
  <c r="M48" i="37" s="1"/>
  <c r="P48" i="37" s="1"/>
  <c r="R48" i="37" s="1"/>
  <c r="T48" i="37" s="1"/>
  <c r="W48" i="37" s="1"/>
  <c r="Y48" i="37" s="1"/>
  <c r="AA48" i="37" s="1"/>
  <c r="AE48" i="37" s="1"/>
  <c r="AR11" i="15" l="1"/>
  <c r="Q258" i="28"/>
  <c r="U258" i="28" s="1"/>
  <c r="AA258" i="28" s="1"/>
  <c r="AE258" i="28" s="1"/>
  <c r="AI258" i="28" s="1"/>
  <c r="AO258" i="28" s="1"/>
  <c r="AS258" i="28" s="1"/>
  <c r="AW258" i="28" s="1"/>
  <c r="BE258" i="28" s="1"/>
  <c r="Q259" i="28"/>
  <c r="U259" i="28" s="1"/>
  <c r="AA259" i="28" s="1"/>
  <c r="AE259" i="28" s="1"/>
  <c r="AI259" i="28" s="1"/>
  <c r="AO259" i="28" s="1"/>
  <c r="AS259" i="28" s="1"/>
  <c r="AW259" i="28" s="1"/>
  <c r="BE259" i="28" s="1"/>
  <c r="Q260" i="28"/>
  <c r="U260" i="28" s="1"/>
  <c r="AA260" i="28" s="1"/>
  <c r="AE260" i="28" s="1"/>
  <c r="AI260" i="28" s="1"/>
  <c r="AO260" i="28" s="1"/>
  <c r="AS260" i="28" s="1"/>
  <c r="AW260" i="28" s="1"/>
  <c r="BE260" i="28" s="1"/>
  <c r="Q261" i="28"/>
  <c r="S310" i="28"/>
  <c r="S311" i="28"/>
  <c r="U299" i="28"/>
  <c r="AA299" i="28" s="1"/>
  <c r="AE299" i="28" s="1"/>
  <c r="AI299" i="28" s="1"/>
  <c r="AO299" i="28" s="1"/>
  <c r="AS299" i="28" s="1"/>
  <c r="AW299" i="28" s="1"/>
  <c r="BE299" i="28" s="1"/>
  <c r="Q287" i="28"/>
  <c r="U287" i="28" s="1"/>
  <c r="AA287" i="28" s="1"/>
  <c r="AE287" i="28" s="1"/>
  <c r="AI287" i="28" s="1"/>
  <c r="AO287" i="28" s="1"/>
  <c r="Q148" i="28"/>
  <c r="U148" i="28" s="1"/>
  <c r="Q155" i="28"/>
  <c r="U155" i="28" s="1"/>
  <c r="AV11" i="15" l="1"/>
  <c r="BD11" i="15" s="1"/>
  <c r="AS287" i="28"/>
  <c r="AW287" i="28" s="1"/>
  <c r="BE287" i="28" s="1"/>
  <c r="AA155" i="28"/>
  <c r="AE155" i="28" s="1"/>
  <c r="AI155" i="28" s="1"/>
  <c r="AO155" i="28" s="1"/>
  <c r="AS155" i="28" s="1"/>
  <c r="AW155" i="28" s="1"/>
  <c r="BE155" i="28" s="1"/>
  <c r="AA148" i="28"/>
  <c r="AE148" i="28" s="1"/>
  <c r="AI148" i="28" s="1"/>
  <c r="AO148" i="28" s="1"/>
  <c r="AS148" i="28" s="1"/>
  <c r="AW148" i="28" s="1"/>
  <c r="BE148" i="28" s="1"/>
  <c r="Q156" i="28"/>
  <c r="U156" i="28" s="1"/>
  <c r="S14" i="21"/>
  <c r="Y14" i="21" s="1"/>
  <c r="S17" i="21"/>
  <c r="Y17" i="21" s="1"/>
  <c r="Y19" i="21" s="1"/>
  <c r="BB11" i="15" l="1"/>
  <c r="AA156" i="28"/>
  <c r="AE156" i="28" s="1"/>
  <c r="AI156" i="28" s="1"/>
  <c r="AO156" i="28" s="1"/>
  <c r="AS156" i="28" s="1"/>
  <c r="AW156" i="28" s="1"/>
  <c r="BE156" i="28" s="1"/>
  <c r="S38" i="27"/>
  <c r="S36" i="27"/>
  <c r="S30" i="27"/>
  <c r="S28" i="27"/>
  <c r="S29" i="27"/>
  <c r="S22" i="27"/>
  <c r="S23" i="27"/>
  <c r="S20" i="27"/>
  <c r="S19" i="27"/>
  <c r="S18" i="27"/>
  <c r="S40" i="27" l="1"/>
  <c r="S37" i="27"/>
  <c r="S31" i="27"/>
  <c r="S27" i="27"/>
  <c r="S21" i="27"/>
  <c r="S25" i="27" s="1"/>
  <c r="T33" i="22"/>
  <c r="S33" i="22"/>
  <c r="S21" i="22" s="1"/>
  <c r="T28" i="22"/>
  <c r="T64" i="22" s="1"/>
  <c r="T65" i="22" s="1"/>
  <c r="T66" i="22" s="1"/>
  <c r="S40" i="48" s="1"/>
  <c r="T24" i="22"/>
  <c r="T26" i="22" s="1"/>
  <c r="T23" i="22"/>
  <c r="T51" i="22" s="1"/>
  <c r="T53" i="22" s="1"/>
  <c r="T14" i="22"/>
  <c r="T59" i="22" s="1"/>
  <c r="T60" i="22" s="1"/>
  <c r="T61" i="22" s="1"/>
  <c r="S37" i="48" s="1"/>
  <c r="T10" i="22"/>
  <c r="T9" i="22"/>
  <c r="T43" i="22" s="1"/>
  <c r="T45" i="22" s="1"/>
  <c r="S34" i="27" l="1"/>
  <c r="T55" i="22"/>
  <c r="T56" i="22" s="1"/>
  <c r="S26" i="48" s="1"/>
  <c r="S28" i="48" s="1"/>
  <c r="T47" i="22"/>
  <c r="T48" i="22" s="1"/>
  <c r="S21" i="48" s="1"/>
  <c r="S23" i="48" s="1"/>
  <c r="S22" i="22"/>
  <c r="S7" i="22"/>
  <c r="T12" i="22"/>
  <c r="S8" i="22" l="1"/>
  <c r="S24" i="22"/>
  <c r="S25" i="22" s="1"/>
  <c r="S27" i="22" s="1"/>
  <c r="T53" i="11"/>
  <c r="T94" i="10"/>
  <c r="T113" i="10" s="1"/>
  <c r="S94" i="10"/>
  <c r="S113" i="10" s="1"/>
  <c r="O94" i="10"/>
  <c r="S34" i="11"/>
  <c r="S134" i="9"/>
  <c r="S135" i="9" s="1"/>
  <c r="S129" i="9"/>
  <c r="S128" i="9"/>
  <c r="S94" i="9"/>
  <c r="S93" i="9"/>
  <c r="S92" i="9"/>
  <c r="S91" i="9"/>
  <c r="R90" i="9"/>
  <c r="S89" i="9"/>
  <c r="S18" i="15" s="1"/>
  <c r="S88" i="9"/>
  <c r="R87" i="9"/>
  <c r="S83" i="9"/>
  <c r="R66" i="9"/>
  <c r="R65" i="9"/>
  <c r="R64" i="9"/>
  <c r="R63" i="9"/>
  <c r="R62" i="9"/>
  <c r="R61" i="9"/>
  <c r="R60" i="9"/>
  <c r="R59" i="9"/>
  <c r="R57" i="9"/>
  <c r="R56" i="9"/>
  <c r="R53" i="9"/>
  <c r="R45" i="9"/>
  <c r="S44" i="9"/>
  <c r="S38" i="9"/>
  <c r="S46" i="9" s="1"/>
  <c r="S37" i="9"/>
  <c r="S45" i="9" s="1"/>
  <c r="S36" i="9"/>
  <c r="S33" i="9"/>
  <c r="R29" i="9"/>
  <c r="S27" i="9"/>
  <c r="S28" i="9" s="1"/>
  <c r="R26" i="9"/>
  <c r="R24" i="9"/>
  <c r="R27" i="9" s="1"/>
  <c r="R28" i="9" s="1"/>
  <c r="S21" i="9"/>
  <c r="S10" i="9"/>
  <c r="R55" i="9" l="1"/>
  <c r="S84" i="9"/>
  <c r="S95" i="9"/>
  <c r="Y94" i="10"/>
  <c r="Y97" i="10" s="1"/>
  <c r="S53" i="11"/>
  <c r="Y34" i="11"/>
  <c r="Y37" i="11" s="1"/>
  <c r="S10" i="22"/>
  <c r="S11" i="22" s="1"/>
  <c r="S14" i="9"/>
  <c r="S39" i="9"/>
  <c r="S130" i="9"/>
  <c r="S47" i="9"/>
  <c r="R82" i="9"/>
  <c r="S69" i="9" l="1"/>
  <c r="S70" i="9"/>
  <c r="Y113" i="10"/>
  <c r="S131" i="9"/>
  <c r="S13" i="22"/>
  <c r="S81" i="9"/>
  <c r="S77" i="9"/>
  <c r="S73" i="9"/>
  <c r="S51" i="9"/>
  <c r="S79" i="9"/>
  <c r="S71" i="9"/>
  <c r="S80" i="9"/>
  <c r="S76" i="9"/>
  <c r="S72" i="9"/>
  <c r="S50" i="9"/>
  <c r="S78" i="9"/>
  <c r="S74" i="9"/>
  <c r="S68" i="9"/>
  <c r="S75" i="9"/>
  <c r="X94" i="38" l="1"/>
  <c r="X93" i="38"/>
  <c r="X92" i="38"/>
  <c r="X91" i="38"/>
  <c r="W90" i="38"/>
  <c r="X89" i="38"/>
  <c r="W88" i="38"/>
  <c r="X86" i="38"/>
  <c r="X85" i="38"/>
  <c r="X84" i="38"/>
  <c r="X83" i="38"/>
  <c r="W82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X68" i="38"/>
  <c r="X67" i="38"/>
  <c r="W66" i="38"/>
  <c r="X62" i="38"/>
  <c r="X61" i="38"/>
  <c r="W60" i="38"/>
  <c r="X59" i="38"/>
  <c r="X58" i="38"/>
  <c r="X57" i="38"/>
  <c r="X56" i="38"/>
  <c r="X55" i="38"/>
  <c r="W54" i="38"/>
  <c r="W52" i="38"/>
  <c r="W46" i="38"/>
  <c r="W45" i="38"/>
  <c r="W44" i="38"/>
  <c r="W43" i="38"/>
  <c r="X42" i="38"/>
  <c r="X90" i="38" s="1"/>
  <c r="W41" i="38"/>
  <c r="X40" i="38"/>
  <c r="X88" i="38" s="1"/>
  <c r="W38" i="38"/>
  <c r="W37" i="38"/>
  <c r="W36" i="38"/>
  <c r="W35" i="38"/>
  <c r="X34" i="38"/>
  <c r="X82" i="38" s="1"/>
  <c r="W32" i="38"/>
  <c r="W31" i="38"/>
  <c r="W30" i="38"/>
  <c r="W29" i="38"/>
  <c r="W28" i="38"/>
  <c r="W27" i="38"/>
  <c r="T60" i="45" s="1"/>
  <c r="T61" i="45" s="1"/>
  <c r="W26" i="38"/>
  <c r="W25" i="38"/>
  <c r="W24" i="38"/>
  <c r="W23" i="38"/>
  <c r="R94" i="9" s="1"/>
  <c r="W22" i="38"/>
  <c r="W21" i="38"/>
  <c r="W20" i="38"/>
  <c r="W19" i="38"/>
  <c r="X18" i="38"/>
  <c r="X66" i="38" s="1"/>
  <c r="W14" i="38"/>
  <c r="W13" i="38"/>
  <c r="X12" i="38"/>
  <c r="X60" i="38" s="1"/>
  <c r="W11" i="38"/>
  <c r="W10" i="38"/>
  <c r="W9" i="38"/>
  <c r="W8" i="38"/>
  <c r="W7" i="38"/>
  <c r="X6" i="38"/>
  <c r="W63" i="38" l="1"/>
  <c r="R95" i="9"/>
  <c r="X39" i="38"/>
  <c r="X87" i="38" s="1"/>
  <c r="W87" i="38"/>
  <c r="W64" i="38" s="1"/>
  <c r="W40" i="38"/>
  <c r="X15" i="38"/>
  <c r="X17" i="38"/>
  <c r="W42" i="38"/>
  <c r="X54" i="38"/>
  <c r="W12" i="38"/>
  <c r="W34" i="38"/>
  <c r="W6" i="38"/>
  <c r="W18" i="38"/>
  <c r="X63" i="38" l="1"/>
  <c r="W17" i="38"/>
  <c r="W15" i="38"/>
  <c r="W39" i="38"/>
  <c r="X65" i="38"/>
  <c r="X16" i="38"/>
  <c r="X64" i="38" l="1"/>
  <c r="W16" i="38"/>
  <c r="T65" i="11" l="1"/>
  <c r="T63" i="11"/>
  <c r="T57" i="11"/>
  <c r="T58" i="11" s="1"/>
  <c r="T48" i="11"/>
  <c r="S48" i="11"/>
  <c r="S49" i="11" s="1"/>
  <c r="T46" i="11"/>
  <c r="S46" i="11"/>
  <c r="T44" i="11"/>
  <c r="S44" i="11"/>
  <c r="T41" i="11"/>
  <c r="T42" i="11" s="1"/>
  <c r="S41" i="11"/>
  <c r="S42" i="11" s="1"/>
  <c r="S37" i="11"/>
  <c r="T36" i="11"/>
  <c r="S55" i="35" s="1"/>
  <c r="T126" i="10"/>
  <c r="T125" i="10"/>
  <c r="T123" i="10"/>
  <c r="T117" i="10"/>
  <c r="T118" i="10" s="1"/>
  <c r="T108" i="10"/>
  <c r="S108" i="10"/>
  <c r="T106" i="10"/>
  <c r="S106" i="10"/>
  <c r="T104" i="10"/>
  <c r="S104" i="10"/>
  <c r="T101" i="10"/>
  <c r="T102" i="10" s="1"/>
  <c r="S101" i="10"/>
  <c r="S102" i="10" s="1"/>
  <c r="T97" i="10"/>
  <c r="S97" i="10"/>
  <c r="T119" i="10"/>
  <c r="T99" i="10"/>
  <c r="T59" i="11" l="1"/>
  <c r="T35" i="11"/>
  <c r="T64" i="11"/>
  <c r="T124" i="10"/>
  <c r="T130" i="10" s="1"/>
  <c r="T37" i="11"/>
  <c r="T66" i="11"/>
  <c r="T49" i="11"/>
  <c r="T39" i="11"/>
  <c r="T67" i="11"/>
  <c r="S109" i="10"/>
  <c r="T109" i="10"/>
  <c r="T95" i="10"/>
  <c r="T127" i="10"/>
  <c r="T128" i="10" s="1"/>
  <c r="T70" i="11" l="1"/>
  <c r="T68" i="11"/>
  <c r="G9" i="37" l="1"/>
  <c r="I9" i="37" s="1"/>
  <c r="K9" i="37" s="1"/>
  <c r="M9" i="37" s="1"/>
  <c r="P9" i="37" s="1"/>
  <c r="R9" i="37" s="1"/>
  <c r="T9" i="37" s="1"/>
  <c r="W9" i="37" s="1"/>
  <c r="Y9" i="37" s="1"/>
  <c r="AA9" i="37" s="1"/>
  <c r="AE9" i="37" s="1"/>
  <c r="S46" i="35"/>
  <c r="S45" i="35"/>
  <c r="S32" i="35" l="1"/>
  <c r="Y32" i="35" s="1"/>
  <c r="Y34" i="35" s="1"/>
  <c r="Y43" i="35" l="1"/>
  <c r="Y44" i="35" s="1"/>
  <c r="Y35" i="35"/>
  <c r="R13" i="8"/>
  <c r="S85" i="8"/>
  <c r="R85" i="8"/>
  <c r="S73" i="8"/>
  <c r="R73" i="8"/>
  <c r="S68" i="8"/>
  <c r="S66" i="8"/>
  <c r="S63" i="8"/>
  <c r="S62" i="8"/>
  <c r="S60" i="8"/>
  <c r="U55" i="8"/>
  <c r="U54" i="8"/>
  <c r="R50" i="8"/>
  <c r="S46" i="8"/>
  <c r="R46" i="8"/>
  <c r="S26" i="8"/>
  <c r="R19" i="8"/>
  <c r="S5" i="8"/>
  <c r="R5" i="8"/>
  <c r="S71" i="8" l="1"/>
  <c r="R29" i="8"/>
  <c r="S41" i="8"/>
  <c r="S44" i="8"/>
  <c r="S39" i="8"/>
  <c r="S43" i="8"/>
  <c r="S38" i="8"/>
  <c r="S42" i="8"/>
  <c r="S37" i="8"/>
  <c r="S72" i="8"/>
  <c r="R30" i="8"/>
  <c r="R86" i="8"/>
  <c r="R28" i="8"/>
  <c r="S86" i="8"/>
  <c r="S127" i="9"/>
  <c r="R47" i="8"/>
  <c r="R74" i="8" s="1"/>
  <c r="S33" i="8"/>
  <c r="R16" i="8"/>
  <c r="S35" i="8"/>
  <c r="S64" i="8"/>
  <c r="S76" i="8"/>
  <c r="S80" i="8"/>
  <c r="R27" i="8"/>
  <c r="S47" i="8"/>
  <c r="R79" i="8"/>
  <c r="S48" i="8" l="1"/>
  <c r="S40" i="8"/>
  <c r="R68" i="8"/>
  <c r="S5" i="26"/>
  <c r="S132" i="9"/>
  <c r="S34" i="8"/>
  <c r="R60" i="8"/>
  <c r="S69" i="8"/>
  <c r="S70" i="8"/>
  <c r="R35" i="8" l="1"/>
  <c r="R64" i="8"/>
  <c r="R34" i="8" l="1"/>
  <c r="S1" i="7" l="1"/>
  <c r="R1" i="7"/>
  <c r="S69" i="7"/>
  <c r="R69" i="7"/>
  <c r="S62" i="7"/>
  <c r="R62" i="7"/>
  <c r="S58" i="7"/>
  <c r="S60" i="7" s="1"/>
  <c r="R58" i="7"/>
  <c r="R60" i="7" s="1"/>
  <c r="S54" i="7"/>
  <c r="R54" i="7"/>
  <c r="R68" i="7" s="1"/>
  <c r="R31" i="7"/>
  <c r="S16" i="7"/>
  <c r="S30" i="7" s="1"/>
  <c r="R16" i="7"/>
  <c r="S45" i="7" l="1"/>
  <c r="S104" i="7"/>
  <c r="S105" i="7" s="1"/>
  <c r="S41" i="7"/>
  <c r="R37" i="7"/>
  <c r="R18" i="7"/>
  <c r="R74" i="7" s="1"/>
  <c r="R19" i="7"/>
  <c r="R75" i="7" s="1"/>
  <c r="R26" i="7"/>
  <c r="R83" i="7" s="1"/>
  <c r="R33" i="7"/>
  <c r="S39" i="7"/>
  <c r="R25" i="7"/>
  <c r="R80" i="7" s="1"/>
  <c r="R35" i="7"/>
  <c r="S49" i="7"/>
  <c r="R63" i="7"/>
  <c r="R20" i="7"/>
  <c r="R76" i="7" s="1"/>
  <c r="R23" i="7"/>
  <c r="R78" i="7" s="1"/>
  <c r="R27" i="7"/>
  <c r="R77" i="7" s="1"/>
  <c r="R67" i="7"/>
  <c r="R21" i="7"/>
  <c r="R84" i="7" s="1"/>
  <c r="R24" i="7"/>
  <c r="R79" i="7" s="1"/>
  <c r="R32" i="7"/>
  <c r="R34" i="7"/>
  <c r="R36" i="7"/>
  <c r="R38" i="7"/>
  <c r="R70" i="7"/>
  <c r="S20" i="7"/>
  <c r="S21" i="7"/>
  <c r="S84" i="7" s="1"/>
  <c r="S23" i="7"/>
  <c r="S78" i="7" s="1"/>
  <c r="S24" i="7"/>
  <c r="S79" i="7" s="1"/>
  <c r="S25" i="7"/>
  <c r="S80" i="7" s="1"/>
  <c r="S26" i="7"/>
  <c r="S83" i="7" s="1"/>
  <c r="S27" i="7"/>
  <c r="S77" i="7" s="1"/>
  <c r="S44" i="7"/>
  <c r="S48" i="7"/>
  <c r="S63" i="7"/>
  <c r="S65" i="7"/>
  <c r="S67" i="7"/>
  <c r="S68" i="7"/>
  <c r="S70" i="7"/>
  <c r="R82" i="7"/>
  <c r="S18" i="7"/>
  <c r="S43" i="7"/>
  <c r="S47" i="7"/>
  <c r="S56" i="7"/>
  <c r="S19" i="7"/>
  <c r="S42" i="7"/>
  <c r="S46" i="7"/>
  <c r="R55" i="7"/>
  <c r="S106" i="7" l="1"/>
  <c r="S107" i="7"/>
  <c r="S108" i="7" s="1"/>
  <c r="S109" i="7" s="1"/>
  <c r="S64" i="7"/>
  <c r="R65" i="7"/>
  <c r="S50" i="7"/>
  <c r="S82" i="7"/>
  <c r="S74" i="7"/>
  <c r="S75" i="7"/>
  <c r="S76" i="7"/>
  <c r="S16" i="48" l="1"/>
  <c r="S18" i="48" s="1"/>
  <c r="S116" i="7"/>
  <c r="H12" i="44" l="1"/>
  <c r="G12" i="44"/>
  <c r="S33" i="44"/>
  <c r="R32" i="44"/>
  <c r="Q32" i="44"/>
  <c r="P32" i="44"/>
  <c r="O32" i="44"/>
  <c r="N32" i="44"/>
  <c r="M32" i="44"/>
  <c r="L32" i="44"/>
  <c r="K32" i="44"/>
  <c r="J32" i="44"/>
  <c r="I32" i="44"/>
  <c r="H32" i="44"/>
  <c r="G32" i="44"/>
  <c r="S31" i="44"/>
  <c r="S30" i="44"/>
  <c r="S28" i="44"/>
  <c r="R27" i="44"/>
  <c r="Q27" i="44"/>
  <c r="P27" i="44"/>
  <c r="O27" i="44"/>
  <c r="N27" i="44"/>
  <c r="M27" i="44"/>
  <c r="L27" i="44"/>
  <c r="K27" i="44"/>
  <c r="J27" i="44"/>
  <c r="I27" i="44"/>
  <c r="H27" i="44"/>
  <c r="G27" i="44"/>
  <c r="S26" i="44"/>
  <c r="S25" i="44"/>
  <c r="S23" i="44"/>
  <c r="R22" i="44"/>
  <c r="Q22" i="44"/>
  <c r="P22" i="44"/>
  <c r="O22" i="44"/>
  <c r="N22" i="44"/>
  <c r="M22" i="44"/>
  <c r="L22" i="44"/>
  <c r="K22" i="44"/>
  <c r="J22" i="44"/>
  <c r="I22" i="44"/>
  <c r="H22" i="44"/>
  <c r="G22" i="44"/>
  <c r="S21" i="44"/>
  <c r="S20" i="44"/>
  <c r="S17" i="44"/>
  <c r="S16" i="44"/>
  <c r="S15" i="44"/>
  <c r="S13" i="44"/>
  <c r="S11" i="44"/>
  <c r="S9" i="44"/>
  <c r="S8" i="44"/>
  <c r="S7" i="44"/>
  <c r="S6" i="44"/>
  <c r="S5" i="44"/>
  <c r="S27" i="44" l="1"/>
  <c r="S12" i="44"/>
  <c r="S32" i="44"/>
  <c r="S22" i="44"/>
  <c r="S18" i="6" l="1"/>
  <c r="S30" i="6" s="1"/>
  <c r="S17" i="6"/>
  <c r="O18" i="6"/>
  <c r="O17" i="6"/>
  <c r="K18" i="6"/>
  <c r="K17" i="6"/>
  <c r="G18" i="6"/>
  <c r="G17" i="6"/>
  <c r="E18" i="6"/>
  <c r="E17" i="6"/>
  <c r="R6" i="6"/>
  <c r="R14" i="6" s="1"/>
  <c r="N6" i="6"/>
  <c r="J6" i="6"/>
  <c r="F6" i="6"/>
  <c r="R5" i="6"/>
  <c r="N5" i="6"/>
  <c r="J5" i="6"/>
  <c r="F5" i="6"/>
  <c r="D6" i="6"/>
  <c r="D5" i="6"/>
  <c r="T284" i="6"/>
  <c r="R284" i="6"/>
  <c r="T283" i="6"/>
  <c r="R283" i="6"/>
  <c r="T282" i="6"/>
  <c r="R282" i="6"/>
  <c r="T278" i="6"/>
  <c r="R278" i="6"/>
  <c r="T276" i="6"/>
  <c r="R276" i="6"/>
  <c r="T275" i="6"/>
  <c r="R275" i="6"/>
  <c r="T274" i="6"/>
  <c r="R274" i="6"/>
  <c r="T273" i="6"/>
  <c r="R273" i="6"/>
  <c r="T272" i="6"/>
  <c r="R272" i="6"/>
  <c r="T271" i="6"/>
  <c r="R271" i="6"/>
  <c r="T270" i="6"/>
  <c r="R270" i="6"/>
  <c r="U233" i="6"/>
  <c r="S233" i="6"/>
  <c r="U232" i="6"/>
  <c r="S232" i="6"/>
  <c r="U231" i="6"/>
  <c r="U282" i="6" s="1"/>
  <c r="S231" i="6"/>
  <c r="S282" i="6" s="1"/>
  <c r="S182" i="6"/>
  <c r="R182" i="6"/>
  <c r="S155" i="6"/>
  <c r="R155" i="6"/>
  <c r="S124" i="6"/>
  <c r="R124" i="6"/>
  <c r="S123" i="6"/>
  <c r="R123" i="6"/>
  <c r="S122" i="6"/>
  <c r="R122" i="6"/>
  <c r="S120" i="6"/>
  <c r="R120" i="6"/>
  <c r="S119" i="6"/>
  <c r="R119" i="6"/>
  <c r="S118" i="6"/>
  <c r="R118" i="6"/>
  <c r="S117" i="6"/>
  <c r="R117" i="6"/>
  <c r="S116" i="6"/>
  <c r="R116" i="6"/>
  <c r="S115" i="6"/>
  <c r="R115" i="6"/>
  <c r="S114" i="6"/>
  <c r="R114" i="6"/>
  <c r="S113" i="6"/>
  <c r="R113" i="6"/>
  <c r="S112" i="6"/>
  <c r="R112" i="6"/>
  <c r="S111" i="6"/>
  <c r="R111" i="6"/>
  <c r="S103" i="6"/>
  <c r="R103" i="6"/>
  <c r="S100" i="6"/>
  <c r="R100" i="6"/>
  <c r="S85" i="6"/>
  <c r="R85" i="6"/>
  <c r="S81" i="6"/>
  <c r="R81" i="6"/>
  <c r="T66" i="6"/>
  <c r="R65" i="6"/>
  <c r="R64" i="6"/>
  <c r="R63" i="6"/>
  <c r="R62" i="6"/>
  <c r="R61" i="6"/>
  <c r="S52" i="6"/>
  <c r="R52" i="6"/>
  <c r="S44" i="6"/>
  <c r="R44" i="6"/>
  <c r="S41" i="6"/>
  <c r="R41" i="6"/>
  <c r="R37" i="6"/>
  <c r="S28" i="6"/>
  <c r="S25" i="6"/>
  <c r="S22" i="6"/>
  <c r="G18" i="37"/>
  <c r="I18" i="37" s="1"/>
  <c r="L93" i="37"/>
  <c r="L88" i="37"/>
  <c r="R328" i="28"/>
  <c r="R326" i="28"/>
  <c r="S325" i="28"/>
  <c r="S329" i="28" s="1"/>
  <c r="S322" i="28"/>
  <c r="S318" i="28"/>
  <c r="R315" i="28"/>
  <c r="R318" i="28" s="1"/>
  <c r="S284" i="28"/>
  <c r="S312" i="28" s="1"/>
  <c r="S245" i="28"/>
  <c r="S238" i="28"/>
  <c r="S199" i="28"/>
  <c r="S195" i="28"/>
  <c r="S169" i="28"/>
  <c r="S145" i="28"/>
  <c r="S63" i="28"/>
  <c r="S64" i="28"/>
  <c r="S57" i="28"/>
  <c r="S53" i="28"/>
  <c r="S49" i="28"/>
  <c r="S36" i="28"/>
  <c r="S35" i="28"/>
  <c r="S34" i="28"/>
  <c r="S33" i="28"/>
  <c r="S32" i="28"/>
  <c r="R32" i="28"/>
  <c r="S30" i="28"/>
  <c r="S43" i="28" s="1"/>
  <c r="R26" i="28"/>
  <c r="S23" i="28"/>
  <c r="S42" i="28" s="1"/>
  <c r="R20" i="28"/>
  <c r="R23" i="28" s="1"/>
  <c r="S17" i="28"/>
  <c r="S41" i="28" s="1"/>
  <c r="R14" i="28"/>
  <c r="R17" i="28" s="1"/>
  <c r="S11" i="28"/>
  <c r="S40" i="28" s="1"/>
  <c r="R8" i="28"/>
  <c r="R11" i="28" s="1"/>
  <c r="N48" i="36"/>
  <c r="N49" i="36"/>
  <c r="N45" i="36"/>
  <c r="N47" i="36" s="1"/>
  <c r="J48" i="36"/>
  <c r="J49" i="36"/>
  <c r="J45" i="36"/>
  <c r="J47" i="36" s="1"/>
  <c r="F48" i="36"/>
  <c r="F49" i="36"/>
  <c r="F45" i="36"/>
  <c r="F47" i="36" s="1"/>
  <c r="D48" i="36"/>
  <c r="D49" i="36"/>
  <c r="D45" i="36"/>
  <c r="D47" i="36" s="1"/>
  <c r="R49" i="36"/>
  <c r="R48" i="36"/>
  <c r="R45" i="36"/>
  <c r="R47" i="36" s="1"/>
  <c r="S55" i="36"/>
  <c r="S54" i="36"/>
  <c r="S51" i="36"/>
  <c r="S53" i="36" s="1"/>
  <c r="S33" i="36"/>
  <c r="R33" i="36"/>
  <c r="S36" i="21"/>
  <c r="S32" i="21"/>
  <c r="S28" i="21"/>
  <c r="R28" i="21"/>
  <c r="S23" i="21"/>
  <c r="S24" i="21" s="1"/>
  <c r="S12" i="21"/>
  <c r="S19" i="21" s="1"/>
  <c r="R12" i="21"/>
  <c r="R21" i="21" s="1"/>
  <c r="R110" i="35"/>
  <c r="S107" i="35"/>
  <c r="R107" i="35"/>
  <c r="R75" i="35" s="1"/>
  <c r="R74" i="35"/>
  <c r="R71" i="35"/>
  <c r="R68" i="35"/>
  <c r="S63" i="35"/>
  <c r="S58" i="35"/>
  <c r="S60" i="35" s="1"/>
  <c r="R58" i="35"/>
  <c r="S54" i="35"/>
  <c r="S56" i="35" s="1"/>
  <c r="R54" i="35"/>
  <c r="R55" i="35" s="1"/>
  <c r="S50" i="35"/>
  <c r="R50" i="35"/>
  <c r="R40" i="35"/>
  <c r="R39" i="35"/>
  <c r="R37" i="35"/>
  <c r="S34" i="35"/>
  <c r="S43" i="35" s="1"/>
  <c r="S44" i="35" s="1"/>
  <c r="R34" i="35"/>
  <c r="R43" i="35" s="1"/>
  <c r="S31" i="35"/>
  <c r="R31" i="35"/>
  <c r="S24" i="35"/>
  <c r="S34" i="36" s="1"/>
  <c r="S35" i="36" s="1"/>
  <c r="R24" i="35"/>
  <c r="R34" i="36" s="1"/>
  <c r="R35" i="36" s="1"/>
  <c r="S15" i="35"/>
  <c r="R15" i="35"/>
  <c r="R10" i="35"/>
  <c r="R5" i="36" s="1"/>
  <c r="R9" i="35"/>
  <c r="R11" i="35" s="1"/>
  <c r="R8" i="35"/>
  <c r="S7" i="35"/>
  <c r="S6" i="35"/>
  <c r="S11" i="15" l="1"/>
  <c r="L91" i="37"/>
  <c r="L96" i="37" s="1"/>
  <c r="R44" i="35"/>
  <c r="S19" i="6"/>
  <c r="S19" i="36"/>
  <c r="Y17" i="6"/>
  <c r="Y148" i="6" s="1"/>
  <c r="Y18" i="6"/>
  <c r="Y174" i="6" s="1"/>
  <c r="X48" i="36"/>
  <c r="R66" i="6"/>
  <c r="R67" i="6" s="1"/>
  <c r="X12" i="6"/>
  <c r="X11" i="6"/>
  <c r="S29" i="6"/>
  <c r="S31" i="6" s="1"/>
  <c r="S241" i="6"/>
  <c r="S50" i="8" s="1"/>
  <c r="X45" i="36"/>
  <c r="X47" i="36" s="1"/>
  <c r="X49" i="36"/>
  <c r="S5" i="6"/>
  <c r="S13" i="6" s="1"/>
  <c r="R7" i="6"/>
  <c r="S18" i="36"/>
  <c r="R30" i="28"/>
  <c r="R43" i="28" s="1"/>
  <c r="R59" i="28" s="1"/>
  <c r="S104" i="6"/>
  <c r="S36" i="36"/>
  <c r="S6" i="6"/>
  <c r="S14" i="6" s="1"/>
  <c r="R35" i="35"/>
  <c r="R36" i="36"/>
  <c r="R44" i="36"/>
  <c r="R17" i="36" s="1"/>
  <c r="R11" i="6"/>
  <c r="R24" i="6"/>
  <c r="R18" i="6"/>
  <c r="R27" i="6"/>
  <c r="R21" i="6"/>
  <c r="R12" i="6"/>
  <c r="R13" i="6"/>
  <c r="R15" i="6" s="1"/>
  <c r="R56" i="6" s="1"/>
  <c r="S86" i="6"/>
  <c r="R104" i="6"/>
  <c r="S121" i="6"/>
  <c r="S125" i="6"/>
  <c r="R177" i="6"/>
  <c r="R183" i="6"/>
  <c r="R86" i="6"/>
  <c r="R91" i="6" s="1"/>
  <c r="R138" i="6" s="1"/>
  <c r="R121" i="6"/>
  <c r="R125" i="6"/>
  <c r="S37" i="28"/>
  <c r="R320" i="28"/>
  <c r="R324" i="28"/>
  <c r="R42" i="28"/>
  <c r="R238" i="28"/>
  <c r="R41" i="28"/>
  <c r="R195" i="28"/>
  <c r="R40" i="28"/>
  <c r="R145" i="28"/>
  <c r="S44" i="28"/>
  <c r="S61" i="28"/>
  <c r="S65" i="28"/>
  <c r="S66" i="28" s="1"/>
  <c r="R14" i="21"/>
  <c r="S35" i="35"/>
  <c r="S66" i="35" s="1"/>
  <c r="S52" i="35"/>
  <c r="S8" i="35"/>
  <c r="R56" i="35"/>
  <c r="R62" i="35"/>
  <c r="R59" i="35"/>
  <c r="S62" i="35"/>
  <c r="S65" i="35" s="1"/>
  <c r="R51" i="35"/>
  <c r="S55" i="6" l="1"/>
  <c r="S314" i="6"/>
  <c r="S64" i="6"/>
  <c r="S313" i="6"/>
  <c r="Y144" i="6"/>
  <c r="R109" i="6"/>
  <c r="R161" i="6" s="1"/>
  <c r="S91" i="6"/>
  <c r="S138" i="6" s="1"/>
  <c r="S109" i="6"/>
  <c r="S160" i="6" s="1"/>
  <c r="R39" i="36"/>
  <c r="R30" i="36" s="1"/>
  <c r="S39" i="36"/>
  <c r="S30" i="36" s="1"/>
  <c r="S61" i="6"/>
  <c r="Y171" i="6"/>
  <c r="Y173" i="6"/>
  <c r="Y19" i="6"/>
  <c r="Y170" i="6"/>
  <c r="Y172" i="6"/>
  <c r="Y146" i="6"/>
  <c r="Y149" i="6"/>
  <c r="Y175" i="6"/>
  <c r="Y145" i="6"/>
  <c r="Y147" i="6"/>
  <c r="S63" i="6"/>
  <c r="S62" i="6"/>
  <c r="S60" i="6"/>
  <c r="R84" i="9"/>
  <c r="R18" i="36"/>
  <c r="R312" i="28"/>
  <c r="S156" i="6"/>
  <c r="S65" i="6"/>
  <c r="S152" i="6"/>
  <c r="S11" i="6"/>
  <c r="S54" i="6"/>
  <c r="S12" i="6"/>
  <c r="S178" i="6"/>
  <c r="S15" i="6"/>
  <c r="S33" i="6" s="1"/>
  <c r="S183" i="6"/>
  <c r="S7" i="6"/>
  <c r="R59" i="6"/>
  <c r="R33" i="28"/>
  <c r="R37" i="28" s="1"/>
  <c r="S38" i="28"/>
  <c r="R156" i="6"/>
  <c r="R151" i="6"/>
  <c r="R26" i="6"/>
  <c r="R28" i="6" s="1"/>
  <c r="R20" i="6"/>
  <c r="R22" i="6" s="1"/>
  <c r="R23" i="6"/>
  <c r="R25" i="6" s="1"/>
  <c r="R17" i="6"/>
  <c r="R126" i="6"/>
  <c r="S126" i="6"/>
  <c r="R136" i="6"/>
  <c r="R135" i="6"/>
  <c r="R30" i="6"/>
  <c r="R55" i="28"/>
  <c r="R47" i="28"/>
  <c r="R44" i="28"/>
  <c r="R51" i="28"/>
  <c r="R329" i="28"/>
  <c r="S64" i="35"/>
  <c r="R60" i="35"/>
  <c r="R52" i="35"/>
  <c r="R63" i="35"/>
  <c r="O91" i="8"/>
  <c r="Y91" i="8" s="1"/>
  <c r="K91" i="8"/>
  <c r="G91" i="8"/>
  <c r="E91" i="8"/>
  <c r="Y241" i="6" l="1"/>
  <c r="Y50" i="8" s="1"/>
  <c r="S131" i="6"/>
  <c r="R131" i="6"/>
  <c r="R259" i="6" s="1"/>
  <c r="S135" i="6"/>
  <c r="S136" i="6"/>
  <c r="S164" i="6"/>
  <c r="S163" i="6"/>
  <c r="R164" i="6"/>
  <c r="R163" i="6"/>
  <c r="S161" i="6"/>
  <c r="S162" i="6" s="1"/>
  <c r="S8" i="36" s="1"/>
  <c r="R160" i="6"/>
  <c r="R162" i="6" s="1"/>
  <c r="R8" i="36" s="1"/>
  <c r="S66" i="6"/>
  <c r="S67" i="6" s="1"/>
  <c r="R21" i="9"/>
  <c r="R86" i="9"/>
  <c r="S56" i="6"/>
  <c r="S34" i="6"/>
  <c r="S59" i="6"/>
  <c r="S35" i="6"/>
  <c r="S36" i="6"/>
  <c r="R29" i="6"/>
  <c r="R31" i="6" s="1"/>
  <c r="R19" i="6"/>
  <c r="R137" i="6"/>
  <c r="R7" i="36" s="1"/>
  <c r="R251" i="6"/>
  <c r="R63" i="28"/>
  <c r="R64" i="35"/>
  <c r="R66" i="35"/>
  <c r="R65" i="35"/>
  <c r="R250" i="6" l="1"/>
  <c r="R258" i="6"/>
  <c r="R257" i="6"/>
  <c r="R248" i="6"/>
  <c r="R254" i="6"/>
  <c r="R255" i="6"/>
  <c r="R249" i="6"/>
  <c r="R253" i="6"/>
  <c r="R246" i="6"/>
  <c r="R252" i="6"/>
  <c r="R247" i="6"/>
  <c r="S137" i="6"/>
  <c r="S7" i="36" s="1"/>
  <c r="S330" i="6" s="1"/>
  <c r="S336" i="6"/>
  <c r="S322" i="6"/>
  <c r="R265" i="6"/>
  <c r="R262" i="6"/>
  <c r="R264" i="6"/>
  <c r="R263" i="6"/>
  <c r="R242" i="6"/>
  <c r="S262" i="6"/>
  <c r="S263" i="6"/>
  <c r="S264" i="6"/>
  <c r="S265" i="6"/>
  <c r="S242" i="6"/>
  <c r="S37" i="6"/>
  <c r="R260" i="6"/>
  <c r="R280" i="6" s="1"/>
  <c r="S246" i="6"/>
  <c r="S250" i="6"/>
  <c r="S254" i="6"/>
  <c r="S247" i="6"/>
  <c r="S253" i="6"/>
  <c r="S257" i="6"/>
  <c r="S248" i="6"/>
  <c r="S252" i="6"/>
  <c r="S249" i="6"/>
  <c r="S240" i="6"/>
  <c r="S258" i="6"/>
  <c r="S251" i="6"/>
  <c r="S255" i="6"/>
  <c r="S259" i="6"/>
  <c r="I17" i="35"/>
  <c r="M17" i="35" s="1"/>
  <c r="Q17" i="35" s="1"/>
  <c r="U17" i="35" s="1"/>
  <c r="R256" i="6" l="1"/>
  <c r="R277" i="6" s="1"/>
  <c r="S316" i="6"/>
  <c r="S317" i="6" s="1"/>
  <c r="S331" i="6"/>
  <c r="S332" i="6"/>
  <c r="S333" i="6" s="1"/>
  <c r="S323" i="6"/>
  <c r="S324" i="6"/>
  <c r="S325" i="6" s="1"/>
  <c r="S338" i="6"/>
  <c r="S339" i="6" s="1"/>
  <c r="S337" i="6"/>
  <c r="S266" i="6"/>
  <c r="R266" i="6"/>
  <c r="R285" i="6" s="1"/>
  <c r="AA17" i="35"/>
  <c r="AE17" i="35" s="1"/>
  <c r="AI17" i="35" s="1"/>
  <c r="AO17" i="35" s="1"/>
  <c r="S260" i="6"/>
  <c r="S256" i="6"/>
  <c r="R261" i="6"/>
  <c r="S318" i="6" l="1"/>
  <c r="S319" i="6" s="1"/>
  <c r="BI17" i="35"/>
  <c r="BJ17" i="35" s="1"/>
  <c r="AS17" i="35"/>
  <c r="AW17" i="35" s="1"/>
  <c r="S340" i="6"/>
  <c r="S326" i="6"/>
  <c r="S334" i="6"/>
  <c r="R9" i="36"/>
  <c r="R267" i="6"/>
  <c r="S261" i="6"/>
  <c r="R281" i="6"/>
  <c r="P65" i="11"/>
  <c r="P63" i="11"/>
  <c r="L65" i="11"/>
  <c r="L63" i="11"/>
  <c r="H65" i="11"/>
  <c r="H63" i="11"/>
  <c r="P125" i="10"/>
  <c r="P123" i="10"/>
  <c r="L125" i="10"/>
  <c r="L123" i="10"/>
  <c r="H125" i="10"/>
  <c r="H123" i="10"/>
  <c r="F65" i="11"/>
  <c r="F63" i="11"/>
  <c r="P57" i="11"/>
  <c r="P64" i="11" s="1"/>
  <c r="L57" i="11"/>
  <c r="L64" i="11" s="1"/>
  <c r="H57" i="11"/>
  <c r="H64" i="11" s="1"/>
  <c r="F57" i="11"/>
  <c r="F64" i="11" s="1"/>
  <c r="P36" i="11"/>
  <c r="L36" i="11"/>
  <c r="H36" i="11"/>
  <c r="G55" i="35" s="1"/>
  <c r="F36" i="11"/>
  <c r="F125" i="10"/>
  <c r="F123" i="10"/>
  <c r="P96" i="10"/>
  <c r="L96" i="10"/>
  <c r="L127" i="10" s="1"/>
  <c r="H96" i="10"/>
  <c r="F96" i="10"/>
  <c r="P117" i="10"/>
  <c r="P124" i="10" s="1"/>
  <c r="L117" i="10"/>
  <c r="L124" i="10" s="1"/>
  <c r="H117" i="10"/>
  <c r="H118" i="10" s="1"/>
  <c r="F117" i="10"/>
  <c r="F124" i="10" s="1"/>
  <c r="BE17" i="35" l="1"/>
  <c r="BE15" i="36"/>
  <c r="S320" i="6"/>
  <c r="S327" i="6" s="1"/>
  <c r="S6" i="48" s="1"/>
  <c r="S341" i="6"/>
  <c r="S7" i="48" s="1"/>
  <c r="S9" i="36"/>
  <c r="S267" i="6"/>
  <c r="P67" i="11"/>
  <c r="O55" i="35"/>
  <c r="Y55" i="35" s="1"/>
  <c r="H67" i="11"/>
  <c r="F67" i="11"/>
  <c r="E55" i="35"/>
  <c r="L67" i="11"/>
  <c r="K55" i="35"/>
  <c r="L118" i="10"/>
  <c r="O51" i="35"/>
  <c r="Y51" i="35" s="1"/>
  <c r="F127" i="10"/>
  <c r="E51" i="35"/>
  <c r="H119" i="10"/>
  <c r="G51" i="35"/>
  <c r="L119" i="10"/>
  <c r="K51" i="35"/>
  <c r="H127" i="10"/>
  <c r="P127" i="10"/>
  <c r="H124" i="10"/>
  <c r="R286" i="6"/>
  <c r="P58" i="11"/>
  <c r="F58" i="11"/>
  <c r="H58" i="11"/>
  <c r="L58" i="11"/>
  <c r="P118" i="10"/>
  <c r="F118" i="10"/>
  <c r="P119" i="10"/>
  <c r="F119" i="10"/>
  <c r="L59" i="11"/>
  <c r="P59" i="11"/>
  <c r="F59" i="11"/>
  <c r="H59" i="11"/>
  <c r="P16" i="39"/>
  <c r="S8" i="48" l="1"/>
  <c r="S343" i="6"/>
  <c r="F30" i="42"/>
  <c r="G30" i="42"/>
  <c r="G31" i="42"/>
  <c r="H30" i="42"/>
  <c r="H31" i="42"/>
  <c r="I30" i="42"/>
  <c r="F29" i="42"/>
  <c r="J40" i="42"/>
  <c r="I37" i="42"/>
  <c r="H37" i="42"/>
  <c r="I36" i="42"/>
  <c r="H36" i="42"/>
  <c r="I35" i="42"/>
  <c r="H35" i="42"/>
  <c r="I34" i="42"/>
  <c r="H34" i="42"/>
  <c r="I33" i="42"/>
  <c r="H33" i="42"/>
  <c r="I32" i="42"/>
  <c r="H32" i="42"/>
  <c r="I31" i="42"/>
  <c r="I29" i="42"/>
  <c r="H29" i="42"/>
  <c r="G29" i="42"/>
  <c r="G32" i="42"/>
  <c r="G33" i="42"/>
  <c r="G34" i="42"/>
  <c r="G35" i="42"/>
  <c r="G36" i="42"/>
  <c r="G37" i="42"/>
  <c r="F31" i="42"/>
  <c r="F32" i="42"/>
  <c r="F33" i="42"/>
  <c r="F34" i="42"/>
  <c r="F35" i="42"/>
  <c r="F36" i="42"/>
  <c r="F37" i="42"/>
  <c r="F26" i="42"/>
  <c r="J17" i="42"/>
  <c r="J6" i="42"/>
  <c r="J7" i="42"/>
  <c r="J8" i="42"/>
  <c r="J9" i="42"/>
  <c r="J10" i="42"/>
  <c r="J11" i="42"/>
  <c r="J12" i="42"/>
  <c r="J13" i="42"/>
  <c r="J14" i="42"/>
  <c r="J18" i="42"/>
  <c r="J19" i="42"/>
  <c r="J20" i="42"/>
  <c r="J21" i="42"/>
  <c r="J22" i="42"/>
  <c r="J23" i="42"/>
  <c r="J24" i="42"/>
  <c r="J25" i="42"/>
  <c r="G26" i="42"/>
  <c r="H26" i="42"/>
  <c r="I26" i="42"/>
  <c r="I15" i="42"/>
  <c r="H15" i="42"/>
  <c r="G15" i="42"/>
  <c r="F15" i="42"/>
  <c r="O9" i="17"/>
  <c r="Y9" i="17" s="1"/>
  <c r="Y13" i="17" s="1"/>
  <c r="O8" i="17"/>
  <c r="Y8" i="17" s="1"/>
  <c r="Q88" i="17"/>
  <c r="M88" i="17"/>
  <c r="I88" i="17"/>
  <c r="U88" i="17" s="1"/>
  <c r="AO88" i="17" s="1"/>
  <c r="I87" i="17"/>
  <c r="M87" i="17" s="1"/>
  <c r="Q87" i="17" s="1"/>
  <c r="U87" i="17" s="1"/>
  <c r="AA87" i="17" s="1"/>
  <c r="AE87" i="17" s="1"/>
  <c r="AI87" i="17" s="1"/>
  <c r="AO87" i="17" s="1"/>
  <c r="AS87" i="17" s="1"/>
  <c r="AW87" i="17" s="1"/>
  <c r="BE87" i="17" s="1"/>
  <c r="Y12" i="17" l="1"/>
  <c r="Y10" i="17"/>
  <c r="I38" i="42"/>
  <c r="I42" i="42" s="1"/>
  <c r="I43" i="42" s="1"/>
  <c r="I46" i="42" s="1"/>
  <c r="J33" i="42"/>
  <c r="H38" i="42"/>
  <c r="H42" i="42" s="1"/>
  <c r="H43" i="42" s="1"/>
  <c r="H46" i="42" s="1"/>
  <c r="J36" i="42"/>
  <c r="J30" i="42"/>
  <c r="J31" i="42"/>
  <c r="J32" i="42"/>
  <c r="J37" i="42"/>
  <c r="J35" i="42"/>
  <c r="J34" i="42"/>
  <c r="J29" i="42"/>
  <c r="G38" i="42"/>
  <c r="G42" i="42" s="1"/>
  <c r="G43" i="42" s="1"/>
  <c r="G46" i="42" s="1"/>
  <c r="F38" i="42"/>
  <c r="F42" i="42" s="1"/>
  <c r="J26" i="42"/>
  <c r="J15" i="42"/>
  <c r="Y14" i="17" l="1"/>
  <c r="J42" i="42"/>
  <c r="F43" i="42"/>
  <c r="J38" i="42"/>
  <c r="K85" i="17"/>
  <c r="K84" i="17"/>
  <c r="K83" i="17"/>
  <c r="K82" i="17"/>
  <c r="G85" i="17"/>
  <c r="G84" i="17"/>
  <c r="G83" i="17"/>
  <c r="G82" i="17"/>
  <c r="E85" i="17"/>
  <c r="E84" i="17"/>
  <c r="E83" i="17"/>
  <c r="E82" i="17"/>
  <c r="O85" i="17"/>
  <c r="Y85" i="17" s="1"/>
  <c r="Y86" i="17" s="1"/>
  <c r="O84" i="17"/>
  <c r="Y84" i="17" s="1"/>
  <c r="O83" i="17"/>
  <c r="Y83" i="17" s="1"/>
  <c r="O82" i="17"/>
  <c r="Y82" i="17" s="1"/>
  <c r="O51" i="17"/>
  <c r="O42" i="17"/>
  <c r="O40" i="17"/>
  <c r="K42" i="17"/>
  <c r="K40" i="17"/>
  <c r="G42" i="17"/>
  <c r="G40" i="17"/>
  <c r="K52" i="17"/>
  <c r="G52" i="17"/>
  <c r="E52" i="17"/>
  <c r="O48" i="17"/>
  <c r="K48" i="17"/>
  <c r="G48" i="17"/>
  <c r="E48" i="17"/>
  <c r="O46" i="17"/>
  <c r="K46" i="17"/>
  <c r="G46" i="17"/>
  <c r="E46" i="17"/>
  <c r="E42" i="17"/>
  <c r="E40" i="17"/>
  <c r="I51" i="17"/>
  <c r="I47" i="17"/>
  <c r="M47" i="17" s="1"/>
  <c r="I45" i="17"/>
  <c r="I41" i="17"/>
  <c r="I39" i="17"/>
  <c r="M39" i="17" s="1"/>
  <c r="O38" i="17"/>
  <c r="K38" i="17"/>
  <c r="G38" i="17"/>
  <c r="E38" i="17"/>
  <c r="I37" i="17"/>
  <c r="M37" i="17" s="1"/>
  <c r="R14" i="15"/>
  <c r="S16" i="15"/>
  <c r="R12" i="15"/>
  <c r="O9" i="15"/>
  <c r="N9" i="15"/>
  <c r="K9" i="15"/>
  <c r="J9" i="15"/>
  <c r="G9" i="15"/>
  <c r="F9" i="15"/>
  <c r="E9" i="15"/>
  <c r="O8" i="15"/>
  <c r="N8" i="15"/>
  <c r="K8" i="15"/>
  <c r="J8" i="15"/>
  <c r="G8" i="15"/>
  <c r="F8" i="15"/>
  <c r="E8" i="15"/>
  <c r="O7" i="15"/>
  <c r="N7" i="15"/>
  <c r="K7" i="15"/>
  <c r="J7" i="15"/>
  <c r="G7" i="15"/>
  <c r="F7" i="15"/>
  <c r="E7" i="15"/>
  <c r="O6" i="15"/>
  <c r="N6" i="15"/>
  <c r="K6" i="15"/>
  <c r="J6" i="15"/>
  <c r="G6" i="15"/>
  <c r="F6" i="15"/>
  <c r="E6" i="15"/>
  <c r="O5" i="15"/>
  <c r="N5" i="15"/>
  <c r="K5" i="15"/>
  <c r="J5" i="15"/>
  <c r="G5" i="15"/>
  <c r="F5" i="15"/>
  <c r="E5" i="15"/>
  <c r="D7" i="15"/>
  <c r="D6" i="15"/>
  <c r="D5" i="15"/>
  <c r="N14" i="15"/>
  <c r="N15" i="15" s="1"/>
  <c r="J1" i="7"/>
  <c r="K1" i="7"/>
  <c r="N1" i="7"/>
  <c r="X1" i="7" s="1"/>
  <c r="X67" i="7" s="1"/>
  <c r="O1" i="7"/>
  <c r="Y1" i="7" s="1"/>
  <c r="Y67" i="7" s="1"/>
  <c r="E1" i="7"/>
  <c r="F1" i="7"/>
  <c r="G1" i="7"/>
  <c r="D1" i="7"/>
  <c r="O52" i="17" l="1"/>
  <c r="Y51" i="17"/>
  <c r="Q37" i="17"/>
  <c r="U37" i="17" s="1"/>
  <c r="Q39" i="17"/>
  <c r="U39" i="17" s="1"/>
  <c r="R13" i="15"/>
  <c r="N12" i="15"/>
  <c r="N13" i="15" s="1"/>
  <c r="F46" i="42"/>
  <c r="J46" i="42" s="1"/>
  <c r="J43" i="42"/>
  <c r="M51" i="17"/>
  <c r="Q47" i="17"/>
  <c r="U47" i="17" s="1"/>
  <c r="M45" i="17"/>
  <c r="M41" i="17"/>
  <c r="R15" i="15"/>
  <c r="AA39" i="17" l="1"/>
  <c r="Y52" i="17"/>
  <c r="Y113" i="17" s="1"/>
  <c r="Y112" i="17"/>
  <c r="AA37" i="17"/>
  <c r="AA47" i="17"/>
  <c r="Q51" i="17"/>
  <c r="U51" i="17" s="1"/>
  <c r="Q45" i="17"/>
  <c r="U45" i="17" s="1"/>
  <c r="Q41" i="17"/>
  <c r="U41" i="17" s="1"/>
  <c r="AE47" i="17" l="1"/>
  <c r="AA45" i="17"/>
  <c r="AE39" i="17"/>
  <c r="AA41" i="17"/>
  <c r="AA51" i="17"/>
  <c r="AE37" i="17"/>
  <c r="K83" i="9"/>
  <c r="G83" i="9"/>
  <c r="E83" i="9"/>
  <c r="K94" i="9"/>
  <c r="K95" i="9" s="1"/>
  <c r="G94" i="9"/>
  <c r="G95" i="9" s="1"/>
  <c r="E94" i="9"/>
  <c r="E95" i="9" s="1"/>
  <c r="K91" i="9"/>
  <c r="G91" i="9"/>
  <c r="E91" i="9"/>
  <c r="K89" i="9"/>
  <c r="K18" i="15" s="1"/>
  <c r="K88" i="9"/>
  <c r="G89" i="9"/>
  <c r="G18" i="15" s="1"/>
  <c r="G88" i="9"/>
  <c r="E89" i="9"/>
  <c r="E18" i="15" s="1"/>
  <c r="E88" i="9"/>
  <c r="K38" i="9"/>
  <c r="K37" i="9"/>
  <c r="K36" i="9"/>
  <c r="G38" i="9"/>
  <c r="G37" i="9"/>
  <c r="G36" i="9"/>
  <c r="E38" i="9"/>
  <c r="E37" i="9"/>
  <c r="E36" i="9"/>
  <c r="K27" i="9"/>
  <c r="K28" i="9" s="1"/>
  <c r="G27" i="9"/>
  <c r="G28" i="9" s="1"/>
  <c r="E27" i="9"/>
  <c r="E28" i="9" s="1"/>
  <c r="K21" i="9"/>
  <c r="K84" i="9" s="1"/>
  <c r="G21" i="9"/>
  <c r="G84" i="9" s="1"/>
  <c r="E21" i="9"/>
  <c r="E84" i="9" s="1"/>
  <c r="AI37" i="17" l="1"/>
  <c r="AE41" i="17"/>
  <c r="AE45" i="17"/>
  <c r="AE51" i="17"/>
  <c r="AI39" i="17"/>
  <c r="AI47" i="17"/>
  <c r="O93" i="9"/>
  <c r="K93" i="9"/>
  <c r="G93" i="9"/>
  <c r="E93" i="9"/>
  <c r="O92" i="9"/>
  <c r="K92" i="9"/>
  <c r="G92" i="9"/>
  <c r="E92" i="9"/>
  <c r="O90" i="9"/>
  <c r="Y90" i="9" s="1"/>
  <c r="Y91" i="9" s="1"/>
  <c r="O60" i="9"/>
  <c r="K1242" i="3"/>
  <c r="O29" i="9"/>
  <c r="Y29" i="9" s="1"/>
  <c r="O94" i="9"/>
  <c r="O91" i="9"/>
  <c r="O89" i="9"/>
  <c r="O18" i="15" s="1"/>
  <c r="O36" i="9"/>
  <c r="O37" i="9"/>
  <c r="O45" i="9" s="1"/>
  <c r="Y45" i="9" s="1"/>
  <c r="O27" i="9"/>
  <c r="O28" i="9" s="1"/>
  <c r="O21" i="9"/>
  <c r="O10" i="9"/>
  <c r="O129" i="9"/>
  <c r="Y129" i="9" s="1"/>
  <c r="O128" i="9"/>
  <c r="Y128" i="9" s="1"/>
  <c r="N90" i="9"/>
  <c r="X90" i="9" s="1"/>
  <c r="N87" i="9"/>
  <c r="X87" i="9" s="1"/>
  <c r="N66" i="9"/>
  <c r="X66" i="9" s="1"/>
  <c r="N65" i="9"/>
  <c r="X65" i="9" s="1"/>
  <c r="N64" i="9"/>
  <c r="X64" i="9" s="1"/>
  <c r="N63" i="9"/>
  <c r="X63" i="9" s="1"/>
  <c r="N62" i="9"/>
  <c r="X62" i="9" s="1"/>
  <c r="N61" i="9"/>
  <c r="X61" i="9" s="1"/>
  <c r="N60" i="9"/>
  <c r="X60" i="9" s="1"/>
  <c r="N59" i="9"/>
  <c r="X59" i="9" s="1"/>
  <c r="N57" i="9"/>
  <c r="X57" i="9" s="1"/>
  <c r="N56" i="9"/>
  <c r="X56" i="9" s="1"/>
  <c r="N53" i="9"/>
  <c r="N45" i="9"/>
  <c r="X45" i="9" s="1"/>
  <c r="X69" i="9" s="1"/>
  <c r="N29" i="9"/>
  <c r="X29" i="9" s="1"/>
  <c r="N26" i="9"/>
  <c r="X26" i="9" s="1"/>
  <c r="N24" i="9"/>
  <c r="X24" i="9" s="1"/>
  <c r="N73" i="8"/>
  <c r="K73" i="8"/>
  <c r="J73" i="8"/>
  <c r="G73" i="8"/>
  <c r="F73" i="8"/>
  <c r="E73" i="8"/>
  <c r="D73" i="8"/>
  <c r="K83" i="8"/>
  <c r="K82" i="8"/>
  <c r="G83" i="8"/>
  <c r="G82" i="8"/>
  <c r="E83" i="8"/>
  <c r="E82" i="8"/>
  <c r="K85" i="8"/>
  <c r="G85" i="8"/>
  <c r="E85" i="8"/>
  <c r="K68" i="8"/>
  <c r="K72" i="8" s="1"/>
  <c r="G68" i="8"/>
  <c r="G72" i="8" s="1"/>
  <c r="E68" i="8"/>
  <c r="E72" i="8" s="1"/>
  <c r="K66" i="8"/>
  <c r="G66" i="8"/>
  <c r="G71" i="8" s="1"/>
  <c r="E66" i="8"/>
  <c r="E71" i="8" s="1"/>
  <c r="K63" i="8"/>
  <c r="K62" i="8"/>
  <c r="G63" i="8"/>
  <c r="G62" i="8"/>
  <c r="E63" i="8"/>
  <c r="E62" i="8"/>
  <c r="K60" i="8"/>
  <c r="G60" i="8"/>
  <c r="E60" i="8"/>
  <c r="K46" i="8"/>
  <c r="G46" i="8"/>
  <c r="E46" i="8"/>
  <c r="K5" i="8"/>
  <c r="G5" i="8"/>
  <c r="E5" i="8"/>
  <c r="O85" i="8"/>
  <c r="Y85" i="8" s="1"/>
  <c r="O83" i="8"/>
  <c r="Y83" i="8" s="1"/>
  <c r="O82" i="8"/>
  <c r="Y82" i="8" s="1"/>
  <c r="O73" i="8"/>
  <c r="I91" i="8"/>
  <c r="O68" i="8"/>
  <c r="O66" i="8"/>
  <c r="O63" i="8"/>
  <c r="Y63" i="8" s="1"/>
  <c r="O62" i="8"/>
  <c r="Y62" i="8" s="1"/>
  <c r="K1356" i="3"/>
  <c r="O60" i="8"/>
  <c r="Y60" i="8" s="1"/>
  <c r="K1354" i="3"/>
  <c r="E64" i="8" l="1"/>
  <c r="AO47" i="17"/>
  <c r="AI51" i="17"/>
  <c r="AI41" i="17"/>
  <c r="Y60" i="9"/>
  <c r="Y45" i="48" s="1"/>
  <c r="O45" i="48"/>
  <c r="AO37" i="17"/>
  <c r="AO39" i="17"/>
  <c r="AI45" i="17"/>
  <c r="E70" i="8"/>
  <c r="K33" i="8"/>
  <c r="K71" i="8"/>
  <c r="O71" i="8"/>
  <c r="Y66" i="8"/>
  <c r="Y71" i="8" s="1"/>
  <c r="O72" i="8"/>
  <c r="Y68" i="8"/>
  <c r="Y72" i="8" s="1"/>
  <c r="N55" i="9"/>
  <c r="X53" i="9"/>
  <c r="X55" i="9" s="1"/>
  <c r="X70" i="9" s="1"/>
  <c r="O84" i="9"/>
  <c r="Y21" i="9"/>
  <c r="Y84" i="9" s="1"/>
  <c r="O95" i="9"/>
  <c r="Y94" i="9"/>
  <c r="Y95" i="9" s="1"/>
  <c r="G42" i="8"/>
  <c r="G37" i="8"/>
  <c r="G41" i="8"/>
  <c r="G44" i="8"/>
  <c r="G39" i="8"/>
  <c r="G43" i="8"/>
  <c r="G38" i="8"/>
  <c r="K76" i="8"/>
  <c r="K43" i="8"/>
  <c r="K38" i="8"/>
  <c r="K42" i="8"/>
  <c r="K37" i="8"/>
  <c r="K41" i="8"/>
  <c r="K44" i="8"/>
  <c r="K39" i="8"/>
  <c r="E69" i="8"/>
  <c r="G64" i="8"/>
  <c r="G69" i="8" s="1"/>
  <c r="O64" i="8"/>
  <c r="O69" i="8" s="1"/>
  <c r="K64" i="8"/>
  <c r="K70" i="8" s="1"/>
  <c r="G47" i="8"/>
  <c r="E76" i="8"/>
  <c r="G80" i="8"/>
  <c r="E47" i="8"/>
  <c r="E80" i="8"/>
  <c r="K47" i="8"/>
  <c r="G76" i="8"/>
  <c r="K80" i="8"/>
  <c r="M91" i="8"/>
  <c r="Q91" i="8" s="1"/>
  <c r="U91" i="8" s="1"/>
  <c r="AA91" i="8" s="1"/>
  <c r="AE91" i="8" s="1"/>
  <c r="AI91" i="8" s="1"/>
  <c r="AO91" i="8" s="1"/>
  <c r="AS91" i="8" s="1"/>
  <c r="AW91" i="8" s="1"/>
  <c r="O14" i="9"/>
  <c r="Y14" i="9" s="1"/>
  <c r="O44" i="9"/>
  <c r="O33" i="9"/>
  <c r="O39" i="9" s="1"/>
  <c r="O88" i="9"/>
  <c r="O38" i="9"/>
  <c r="O46" i="9" s="1"/>
  <c r="O130" i="9"/>
  <c r="Y130" i="9" s="1"/>
  <c r="Y131" i="9" s="1"/>
  <c r="N27" i="9"/>
  <c r="N82" i="9" s="1"/>
  <c r="BE91" i="8" l="1"/>
  <c r="BC91" i="8"/>
  <c r="AO41" i="17"/>
  <c r="AS47" i="17"/>
  <c r="AS37" i="17"/>
  <c r="AO45" i="17"/>
  <c r="AO51" i="17"/>
  <c r="AS39" i="17"/>
  <c r="G70" i="8"/>
  <c r="O70" i="8"/>
  <c r="Y64" i="8"/>
  <c r="O47" i="9"/>
  <c r="O51" i="9" s="1"/>
  <c r="Y46" i="9"/>
  <c r="Y47" i="9" s="1"/>
  <c r="K40" i="8"/>
  <c r="G40" i="8"/>
  <c r="K69" i="8"/>
  <c r="O131" i="9"/>
  <c r="N28" i="9"/>
  <c r="O75" i="9" l="1"/>
  <c r="O73" i="9"/>
  <c r="O68" i="9"/>
  <c r="BC69" i="8"/>
  <c r="BC70" i="8"/>
  <c r="AS51" i="17"/>
  <c r="AS45" i="17"/>
  <c r="AW37" i="17"/>
  <c r="BE37" i="17" s="1"/>
  <c r="AW47" i="17"/>
  <c r="BE47" i="17" s="1"/>
  <c r="AW39" i="17"/>
  <c r="BE39" i="17" s="1"/>
  <c r="AS41" i="17"/>
  <c r="O74" i="9"/>
  <c r="O79" i="9"/>
  <c r="O77" i="9"/>
  <c r="O80" i="9"/>
  <c r="O50" i="9"/>
  <c r="O78" i="9"/>
  <c r="O72" i="9"/>
  <c r="O81" i="9"/>
  <c r="O71" i="9"/>
  <c r="O76" i="9"/>
  <c r="Y69" i="8"/>
  <c r="Y70" i="8"/>
  <c r="Y76" i="9"/>
  <c r="Y69" i="9"/>
  <c r="Y70" i="9"/>
  <c r="Y50" i="9"/>
  <c r="Y74" i="9"/>
  <c r="Y73" i="9"/>
  <c r="Y71" i="9"/>
  <c r="Y51" i="9"/>
  <c r="Y77" i="9"/>
  <c r="Y78" i="9"/>
  <c r="Y72" i="9"/>
  <c r="Y79" i="9"/>
  <c r="Y80" i="9"/>
  <c r="Y68" i="9"/>
  <c r="Y81" i="9"/>
  <c r="Y75" i="9"/>
  <c r="O69" i="9"/>
  <c r="O70" i="9"/>
  <c r="F50" i="8"/>
  <c r="J50" i="8"/>
  <c r="N50" i="8"/>
  <c r="O71" i="7"/>
  <c r="Y71" i="7" s="1"/>
  <c r="O181" i="6"/>
  <c r="Y181" i="6" s="1"/>
  <c r="O180" i="6"/>
  <c r="Y180" i="6" s="1"/>
  <c r="O154" i="6"/>
  <c r="Y154" i="6" s="1"/>
  <c r="AW41" i="17" l="1"/>
  <c r="BE41" i="17" s="1"/>
  <c r="AW45" i="17"/>
  <c r="AW51" i="17"/>
  <c r="BE51" i="17" s="1"/>
  <c r="P26" i="11"/>
  <c r="Z26" i="11" s="1"/>
  <c r="P8" i="11"/>
  <c r="P38" i="11" s="1"/>
  <c r="P15" i="11"/>
  <c r="Z15" i="11" s="1"/>
  <c r="P14" i="11"/>
  <c r="Z14" i="11" s="1"/>
  <c r="P23" i="11"/>
  <c r="Z23" i="11" s="1"/>
  <c r="P40" i="10"/>
  <c r="P42" i="10"/>
  <c r="P44" i="10"/>
  <c r="Z44" i="10" s="1"/>
  <c r="P45" i="10"/>
  <c r="P50" i="10"/>
  <c r="P57" i="10"/>
  <c r="Z57" i="10" s="1"/>
  <c r="P61" i="10"/>
  <c r="P55" i="10"/>
  <c r="Z55" i="10" s="1"/>
  <c r="P68" i="10"/>
  <c r="Z68" i="10" s="1"/>
  <c r="P75" i="10"/>
  <c r="P69" i="10"/>
  <c r="Z69" i="10" s="1"/>
  <c r="P27" i="10"/>
  <c r="Z27" i="10" s="1"/>
  <c r="P32" i="10"/>
  <c r="Z32" i="10" s="1"/>
  <c r="BE45" i="17" l="1"/>
  <c r="BC45" i="17"/>
  <c r="Z50" i="10"/>
  <c r="R50" i="10"/>
  <c r="V50" i="10" s="1"/>
  <c r="AB50" i="10" s="1"/>
  <c r="AF50" i="10" s="1"/>
  <c r="AJ50" i="10" s="1"/>
  <c r="AP50" i="10" s="1"/>
  <c r="AT50" i="10" s="1"/>
  <c r="AX50" i="10" s="1"/>
  <c r="BF50" i="10" s="1"/>
  <c r="Z75" i="10"/>
  <c r="R75" i="10"/>
  <c r="V75" i="10" s="1"/>
  <c r="AB75" i="10" s="1"/>
  <c r="AF75" i="10" s="1"/>
  <c r="AJ75" i="10" s="1"/>
  <c r="AP75" i="10" s="1"/>
  <c r="AT75" i="10" s="1"/>
  <c r="AX75" i="10" s="1"/>
  <c r="BF75" i="10" s="1"/>
  <c r="P98" i="10"/>
  <c r="Z42" i="10"/>
  <c r="R42" i="10"/>
  <c r="V42" i="10" s="1"/>
  <c r="AB42" i="10" s="1"/>
  <c r="AF42" i="10" s="1"/>
  <c r="AJ42" i="10" s="1"/>
  <c r="AP42" i="10" s="1"/>
  <c r="AT42" i="10" s="1"/>
  <c r="AX42" i="10" s="1"/>
  <c r="BF42" i="10" s="1"/>
  <c r="Z45" i="10"/>
  <c r="R45" i="10"/>
  <c r="V45" i="10" s="1"/>
  <c r="AB45" i="10" s="1"/>
  <c r="AF45" i="10" s="1"/>
  <c r="AJ45" i="10" s="1"/>
  <c r="AP45" i="10" s="1"/>
  <c r="AT45" i="10" s="1"/>
  <c r="AX45" i="10" s="1"/>
  <c r="BF45" i="10" s="1"/>
  <c r="Z40" i="10"/>
  <c r="R40" i="10"/>
  <c r="V40" i="10" s="1"/>
  <c r="AB40" i="10" s="1"/>
  <c r="AF40" i="10" s="1"/>
  <c r="AJ40" i="10" s="1"/>
  <c r="AP40" i="10" s="1"/>
  <c r="AT40" i="10" s="1"/>
  <c r="AX40" i="10" s="1"/>
  <c r="BF40" i="10" s="1"/>
  <c r="Z61" i="10"/>
  <c r="R61" i="10"/>
  <c r="V61" i="10" s="1"/>
  <c r="AB61" i="10" s="1"/>
  <c r="AF61" i="10" s="1"/>
  <c r="AJ61" i="10" s="1"/>
  <c r="AP61" i="10" s="1"/>
  <c r="AT61" i="10" s="1"/>
  <c r="AX61" i="10" s="1"/>
  <c r="BF61" i="10" s="1"/>
  <c r="Z8" i="11"/>
  <c r="Z38" i="11" s="1"/>
  <c r="P34" i="11"/>
  <c r="P94" i="10"/>
  <c r="P52" i="11"/>
  <c r="Z52" i="11" s="1"/>
  <c r="P51" i="11"/>
  <c r="Z51" i="11" s="1"/>
  <c r="P50" i="11"/>
  <c r="Z50" i="11" s="1"/>
  <c r="P112" i="10"/>
  <c r="Z112" i="10" s="1"/>
  <c r="P111" i="10"/>
  <c r="Z111" i="10" s="1"/>
  <c r="P110" i="10"/>
  <c r="Z110" i="10" s="1"/>
  <c r="BC46" i="17" l="1"/>
  <c r="BC49" i="17"/>
  <c r="Z98" i="10"/>
  <c r="P66" i="11"/>
  <c r="P35" i="11"/>
  <c r="Z34" i="11"/>
  <c r="P126" i="10"/>
  <c r="P95" i="10"/>
  <c r="Z94" i="10"/>
  <c r="J45" i="11"/>
  <c r="N45" i="11" s="1"/>
  <c r="R45" i="11" s="1"/>
  <c r="V45" i="11" s="1"/>
  <c r="J43" i="11"/>
  <c r="N43" i="11" s="1"/>
  <c r="P44" i="11"/>
  <c r="L44" i="11"/>
  <c r="H44" i="11"/>
  <c r="P41" i="11"/>
  <c r="L41" i="11"/>
  <c r="L42" i="11" s="1"/>
  <c r="H41" i="11"/>
  <c r="H42" i="11" s="1"/>
  <c r="F41" i="11"/>
  <c r="F42" i="11" s="1"/>
  <c r="F44" i="11"/>
  <c r="P39" i="11"/>
  <c r="BC53" i="17" l="1"/>
  <c r="BC54" i="17" s="1"/>
  <c r="BC50" i="17"/>
  <c r="BC111" i="17" s="1"/>
  <c r="BC115" i="17" s="1"/>
  <c r="BC110" i="17"/>
  <c r="BC114" i="17" s="1"/>
  <c r="Z39" i="11"/>
  <c r="AB45" i="11"/>
  <c r="Z35" i="11"/>
  <c r="Z66" i="11"/>
  <c r="Z37" i="11"/>
  <c r="Z53" i="11"/>
  <c r="P42" i="11"/>
  <c r="Z41" i="11"/>
  <c r="Z42" i="11" s="1"/>
  <c r="P70" i="11"/>
  <c r="P68" i="11"/>
  <c r="Z99" i="10"/>
  <c r="Z126" i="10"/>
  <c r="Z95" i="10"/>
  <c r="Z97" i="10"/>
  <c r="Z113" i="10"/>
  <c r="P130" i="10"/>
  <c r="P128" i="10"/>
  <c r="J41" i="11"/>
  <c r="R43" i="11"/>
  <c r="J44" i="11"/>
  <c r="N44" i="11"/>
  <c r="N46" i="11"/>
  <c r="R46" i="11" l="1"/>
  <c r="V43" i="11"/>
  <c r="Z70" i="11"/>
  <c r="Z68" i="11"/>
  <c r="AF45" i="11"/>
  <c r="AJ45" i="11" s="1"/>
  <c r="Z130" i="10"/>
  <c r="Z128" i="10"/>
  <c r="R44" i="11"/>
  <c r="J42" i="11"/>
  <c r="N41" i="11"/>
  <c r="P99" i="10"/>
  <c r="AP45" i="11" l="1"/>
  <c r="AB43" i="11"/>
  <c r="V44" i="11"/>
  <c r="V46" i="11"/>
  <c r="R41" i="11"/>
  <c r="N42" i="11"/>
  <c r="L102" i="10"/>
  <c r="J105" i="10"/>
  <c r="N105" i="10" s="1"/>
  <c r="J103" i="10"/>
  <c r="N103" i="10" s="1"/>
  <c r="R103" i="10" s="1"/>
  <c r="V103" i="10" s="1"/>
  <c r="AB103" i="10" s="1"/>
  <c r="AF103" i="10" s="1"/>
  <c r="AJ103" i="10" s="1"/>
  <c r="AP103" i="10" s="1"/>
  <c r="AT103" i="10" s="1"/>
  <c r="J101" i="10"/>
  <c r="H102" i="10"/>
  <c r="F102" i="10"/>
  <c r="AX103" i="10" l="1"/>
  <c r="BF103" i="10" s="1"/>
  <c r="AT45" i="11"/>
  <c r="R42" i="11"/>
  <c r="V41" i="11"/>
  <c r="AF43" i="11"/>
  <c r="AJ43" i="11" s="1"/>
  <c r="AB44" i="11"/>
  <c r="AB46" i="11"/>
  <c r="N104" i="10"/>
  <c r="R105" i="10"/>
  <c r="V105" i="10" s="1"/>
  <c r="AB105" i="10" s="1"/>
  <c r="AF105" i="10" s="1"/>
  <c r="AJ105" i="10" s="1"/>
  <c r="N101" i="10"/>
  <c r="J102" i="10"/>
  <c r="J104" i="10"/>
  <c r="N106" i="10"/>
  <c r="F19" i="34"/>
  <c r="D19" i="34"/>
  <c r="L16" i="34"/>
  <c r="J61" i="32"/>
  <c r="AP43" i="11" l="1"/>
  <c r="AJ46" i="11"/>
  <c r="AJ44" i="11"/>
  <c r="AX45" i="11"/>
  <c r="BF45" i="11" s="1"/>
  <c r="AP105" i="10"/>
  <c r="AT105" i="10" s="1"/>
  <c r="AJ104" i="10"/>
  <c r="AJ106" i="10"/>
  <c r="M19" i="34"/>
  <c r="O19" i="34" s="1"/>
  <c r="Q19" i="34" s="1"/>
  <c r="H19" i="34"/>
  <c r="J19" i="34" s="1"/>
  <c r="AF106" i="10"/>
  <c r="AF104" i="10"/>
  <c r="AF46" i="11"/>
  <c r="AF44" i="11"/>
  <c r="V42" i="11"/>
  <c r="AB41" i="11"/>
  <c r="AB104" i="10"/>
  <c r="AB106" i="10"/>
  <c r="V104" i="10"/>
  <c r="V106" i="10"/>
  <c r="R106" i="10"/>
  <c r="R104" i="10"/>
  <c r="N102" i="10"/>
  <c r="F88" i="37"/>
  <c r="H88" i="37"/>
  <c r="J88" i="37"/>
  <c r="E88" i="37"/>
  <c r="G82" i="37"/>
  <c r="I82" i="37" s="1"/>
  <c r="K82" i="37" s="1"/>
  <c r="M82" i="37" s="1"/>
  <c r="P82" i="37" s="1"/>
  <c r="R82" i="37" s="1"/>
  <c r="G57" i="37"/>
  <c r="I57" i="37" s="1"/>
  <c r="K57" i="37" s="1"/>
  <c r="M57" i="37" s="1"/>
  <c r="P57" i="37" s="1"/>
  <c r="R57" i="37" s="1"/>
  <c r="T57" i="37" s="1"/>
  <c r="W57" i="37" s="1"/>
  <c r="Y57" i="37" s="1"/>
  <c r="AA57" i="37" s="1"/>
  <c r="AE57" i="37" s="1"/>
  <c r="G60" i="37"/>
  <c r="I60" i="37" s="1"/>
  <c r="K60" i="37" s="1"/>
  <c r="M60" i="37" s="1"/>
  <c r="P60" i="37" s="1"/>
  <c r="R60" i="37" s="1"/>
  <c r="T60" i="37" s="1"/>
  <c r="W60" i="37" s="1"/>
  <c r="Y60" i="37" s="1"/>
  <c r="AA60" i="37" s="1"/>
  <c r="AE60" i="37" s="1"/>
  <c r="G61" i="37"/>
  <c r="I61" i="37" s="1"/>
  <c r="K61" i="37" s="1"/>
  <c r="M61" i="37" s="1"/>
  <c r="P61" i="37" s="1"/>
  <c r="R61" i="37" s="1"/>
  <c r="T61" i="37" s="1"/>
  <c r="W61" i="37" s="1"/>
  <c r="Y61" i="37" s="1"/>
  <c r="AA61" i="37" s="1"/>
  <c r="AE61" i="37" s="1"/>
  <c r="G62" i="37"/>
  <c r="I62" i="37" s="1"/>
  <c r="K62" i="37" s="1"/>
  <c r="M62" i="37" s="1"/>
  <c r="P62" i="37" s="1"/>
  <c r="R62" i="37" s="1"/>
  <c r="T62" i="37" s="1"/>
  <c r="W62" i="37" s="1"/>
  <c r="Y62" i="37" s="1"/>
  <c r="AA62" i="37" s="1"/>
  <c r="AE62" i="37" s="1"/>
  <c r="G63" i="37"/>
  <c r="I63" i="37" s="1"/>
  <c r="K63" i="37" s="1"/>
  <c r="M63" i="37" s="1"/>
  <c r="P63" i="37" s="1"/>
  <c r="R63" i="37" s="1"/>
  <c r="T63" i="37" s="1"/>
  <c r="W63" i="37" s="1"/>
  <c r="Y63" i="37" s="1"/>
  <c r="AA63" i="37" s="1"/>
  <c r="AE63" i="37" s="1"/>
  <c r="G65" i="37"/>
  <c r="I65" i="37" s="1"/>
  <c r="K65" i="37" s="1"/>
  <c r="M65" i="37" s="1"/>
  <c r="P65" i="37" s="1"/>
  <c r="R65" i="37" s="1"/>
  <c r="T65" i="37" s="1"/>
  <c r="W65" i="37" s="1"/>
  <c r="Y65" i="37" s="1"/>
  <c r="AA65" i="37" s="1"/>
  <c r="AE65" i="37" s="1"/>
  <c r="M75" i="37"/>
  <c r="P75" i="37" s="1"/>
  <c r="R75" i="37" s="1"/>
  <c r="T75" i="37" s="1"/>
  <c r="W75" i="37" s="1"/>
  <c r="Y75" i="37" s="1"/>
  <c r="AA75" i="37" s="1"/>
  <c r="AE75" i="37" s="1"/>
  <c r="G22" i="37"/>
  <c r="I22" i="37" s="1"/>
  <c r="K22" i="37" s="1"/>
  <c r="M22" i="37" s="1"/>
  <c r="P22" i="37" s="1"/>
  <c r="R22" i="37" s="1"/>
  <c r="T22" i="37" s="1"/>
  <c r="W22" i="37" s="1"/>
  <c r="Y22" i="37" s="1"/>
  <c r="AA22" i="37" s="1"/>
  <c r="AE22" i="37" s="1"/>
  <c r="G24" i="37"/>
  <c r="I24" i="37" s="1"/>
  <c r="K24" i="37" s="1"/>
  <c r="M24" i="37" s="1"/>
  <c r="P24" i="37" s="1"/>
  <c r="R24" i="37" s="1"/>
  <c r="T24" i="37" s="1"/>
  <c r="W24" i="37" s="1"/>
  <c r="Y24" i="37" s="1"/>
  <c r="AA24" i="37" s="1"/>
  <c r="AE24" i="37" s="1"/>
  <c r="K18" i="37"/>
  <c r="M18" i="37" s="1"/>
  <c r="P18" i="37" s="1"/>
  <c r="R18" i="37" s="1"/>
  <c r="T18" i="37" s="1"/>
  <c r="W18" i="37" s="1"/>
  <c r="Y18" i="37" s="1"/>
  <c r="AA18" i="37" s="1"/>
  <c r="AE18" i="37" s="1"/>
  <c r="G16" i="37"/>
  <c r="I16" i="37" s="1"/>
  <c r="K16" i="37" s="1"/>
  <c r="M16" i="37" s="1"/>
  <c r="P16" i="37" s="1"/>
  <c r="R16" i="37" s="1"/>
  <c r="T16" i="37" s="1"/>
  <c r="W16" i="37" s="1"/>
  <c r="Y16" i="37" s="1"/>
  <c r="AA16" i="37" s="1"/>
  <c r="AE16" i="37" s="1"/>
  <c r="I293" i="28"/>
  <c r="M293" i="28" s="1"/>
  <c r="Q293" i="28" s="1"/>
  <c r="U293" i="28" s="1"/>
  <c r="AA293" i="28" s="1"/>
  <c r="AE293" i="28" s="1"/>
  <c r="AI293" i="28" s="1"/>
  <c r="AO293" i="28" s="1"/>
  <c r="AS293" i="28" s="1"/>
  <c r="AW293" i="28" s="1"/>
  <c r="BE293" i="28" s="1"/>
  <c r="I291" i="28"/>
  <c r="M291" i="28" s="1"/>
  <c r="Q291" i="28" s="1"/>
  <c r="U291" i="28" s="1"/>
  <c r="AA291" i="28" s="1"/>
  <c r="AE291" i="28" s="1"/>
  <c r="AI291" i="28" s="1"/>
  <c r="AO291" i="28" s="1"/>
  <c r="AS291" i="28" s="1"/>
  <c r="AW291" i="28" s="1"/>
  <c r="BE291" i="28" s="1"/>
  <c r="M253" i="28"/>
  <c r="Q253" i="28" s="1"/>
  <c r="U253" i="28" s="1"/>
  <c r="AA253" i="28" s="1"/>
  <c r="AE253" i="28" s="1"/>
  <c r="AI253" i="28" s="1"/>
  <c r="AO253" i="28" s="1"/>
  <c r="AS253" i="28" s="1"/>
  <c r="AW253" i="28" s="1"/>
  <c r="BE253" i="28" s="1"/>
  <c r="U261" i="28"/>
  <c r="AA261" i="28" s="1"/>
  <c r="AE261" i="28" s="1"/>
  <c r="AI261" i="28" s="1"/>
  <c r="AO261" i="28" s="1"/>
  <c r="AS261" i="28" s="1"/>
  <c r="AW261" i="28" s="1"/>
  <c r="BE261" i="28" s="1"/>
  <c r="Q262" i="28"/>
  <c r="U262" i="28" s="1"/>
  <c r="AA262" i="28" s="1"/>
  <c r="AE262" i="28" s="1"/>
  <c r="AI262" i="28" s="1"/>
  <c r="AO262" i="28" s="1"/>
  <c r="AS262" i="28" s="1"/>
  <c r="AW262" i="28" s="1"/>
  <c r="BE262" i="28" s="1"/>
  <c r="I308" i="28"/>
  <c r="M308" i="28" s="1"/>
  <c r="Q308" i="28" s="1"/>
  <c r="U308" i="28" s="1"/>
  <c r="AA308" i="28" s="1"/>
  <c r="AE308" i="28" s="1"/>
  <c r="AI308" i="28" s="1"/>
  <c r="AO308" i="28" s="1"/>
  <c r="AS308" i="28" s="1"/>
  <c r="AW308" i="28" s="1"/>
  <c r="BE308" i="28" s="1"/>
  <c r="I149" i="28"/>
  <c r="M149" i="28" s="1"/>
  <c r="Q149" i="28" s="1"/>
  <c r="I151" i="28"/>
  <c r="M151" i="28" s="1"/>
  <c r="Q151" i="28" s="1"/>
  <c r="I153" i="28"/>
  <c r="M153" i="28" s="1"/>
  <c r="Q153" i="28" s="1"/>
  <c r="I158" i="28"/>
  <c r="M158" i="28" s="1"/>
  <c r="I160" i="28"/>
  <c r="M160" i="28" s="1"/>
  <c r="I162" i="28"/>
  <c r="M162" i="28" s="1"/>
  <c r="I164" i="28"/>
  <c r="M164" i="28" s="1"/>
  <c r="I166" i="28"/>
  <c r="M166" i="28" s="1"/>
  <c r="I168" i="28"/>
  <c r="M168" i="28" s="1"/>
  <c r="AX105" i="10" l="1"/>
  <c r="BF105" i="10" s="1"/>
  <c r="AT106" i="10"/>
  <c r="AT104" i="10"/>
  <c r="AP44" i="11"/>
  <c r="AT43" i="11"/>
  <c r="AP46" i="11"/>
  <c r="AP106" i="10"/>
  <c r="AP104" i="10"/>
  <c r="T19" i="34"/>
  <c r="V19" i="34" s="1"/>
  <c r="X19" i="34" s="1"/>
  <c r="AB19" i="34" s="1"/>
  <c r="T82" i="37"/>
  <c r="AB42" i="11"/>
  <c r="AF41" i="11"/>
  <c r="U151" i="28"/>
  <c r="AA151" i="28" s="1"/>
  <c r="Q166" i="28"/>
  <c r="U166" i="28" s="1"/>
  <c r="AA166" i="28" s="1"/>
  <c r="Q168" i="28"/>
  <c r="U168" i="28" s="1"/>
  <c r="AA168" i="28" s="1"/>
  <c r="O169" i="28"/>
  <c r="K169" i="28"/>
  <c r="G169" i="28"/>
  <c r="E169" i="28"/>
  <c r="BF106" i="10" l="1"/>
  <c r="BF104" i="10"/>
  <c r="AX43" i="11"/>
  <c r="BF43" i="11" s="1"/>
  <c r="AT44" i="11"/>
  <c r="AT46" i="11"/>
  <c r="AF42" i="11"/>
  <c r="AJ41" i="11"/>
  <c r="AX106" i="10"/>
  <c r="AX104" i="10"/>
  <c r="W82" i="37"/>
  <c r="AE168" i="28"/>
  <c r="AI168" i="28" s="1"/>
  <c r="AO168" i="28" s="1"/>
  <c r="AS168" i="28" s="1"/>
  <c r="AW168" i="28" s="1"/>
  <c r="BE168" i="28" s="1"/>
  <c r="AE151" i="28"/>
  <c r="AI151" i="28" s="1"/>
  <c r="AO151" i="28" s="1"/>
  <c r="AS151" i="28" s="1"/>
  <c r="AW151" i="28" s="1"/>
  <c r="BE151" i="28" s="1"/>
  <c r="AE166" i="28"/>
  <c r="AI166" i="28" s="1"/>
  <c r="AO166" i="28" s="1"/>
  <c r="AS166" i="28" s="1"/>
  <c r="AW166" i="28" s="1"/>
  <c r="BE166" i="28" s="1"/>
  <c r="BF44" i="11" l="1"/>
  <c r="BF46" i="11"/>
  <c r="AX46" i="11"/>
  <c r="AX44" i="11"/>
  <c r="AP41" i="11"/>
  <c r="AJ42" i="11"/>
  <c r="Y82" i="37"/>
  <c r="AA82" i="37" s="1"/>
  <c r="AE82" i="37" s="1"/>
  <c r="I39" i="27"/>
  <c r="M39" i="27" s="1"/>
  <c r="Q39" i="27" s="1"/>
  <c r="U39" i="27" s="1"/>
  <c r="AA39" i="27" s="1"/>
  <c r="AE39" i="27" s="1"/>
  <c r="AI39" i="27" s="1"/>
  <c r="AO39" i="27" s="1"/>
  <c r="AS39" i="27" s="1"/>
  <c r="AW39" i="27" s="1"/>
  <c r="H39" i="27"/>
  <c r="L39" i="27" s="1"/>
  <c r="P39" i="27" s="1"/>
  <c r="T39" i="27" s="1"/>
  <c r="Z39" i="27" s="1"/>
  <c r="AD39" i="27" s="1"/>
  <c r="AH39" i="27" s="1"/>
  <c r="AN39" i="27" s="1"/>
  <c r="AR39" i="27" s="1"/>
  <c r="AV39" i="27" s="1"/>
  <c r="BD39" i="27" s="1"/>
  <c r="I24" i="27"/>
  <c r="M24" i="27" s="1"/>
  <c r="Q24" i="27" s="1"/>
  <c r="U24" i="27" s="1"/>
  <c r="AA24" i="27" s="1"/>
  <c r="AE24" i="27" s="1"/>
  <c r="AI24" i="27" s="1"/>
  <c r="AO24" i="27" s="1"/>
  <c r="AS24" i="27" s="1"/>
  <c r="AW24" i="27" s="1"/>
  <c r="BE24" i="27" s="1"/>
  <c r="H24" i="27"/>
  <c r="L24" i="27" s="1"/>
  <c r="P24" i="27" s="1"/>
  <c r="T24" i="27" s="1"/>
  <c r="Z24" i="27" s="1"/>
  <c r="AD24" i="27" s="1"/>
  <c r="AH24" i="27" s="1"/>
  <c r="AN24" i="27" s="1"/>
  <c r="K36" i="27"/>
  <c r="K40" i="27" s="1"/>
  <c r="K37" i="27"/>
  <c r="K32" i="27"/>
  <c r="K31" i="27"/>
  <c r="K30" i="27"/>
  <c r="K29" i="27"/>
  <c r="K28" i="27"/>
  <c r="K27" i="27"/>
  <c r="K34" i="27" s="1"/>
  <c r="K23" i="27"/>
  <c r="K22" i="27"/>
  <c r="K20" i="27"/>
  <c r="K19" i="27"/>
  <c r="K18" i="27"/>
  <c r="BE39" i="27" l="1"/>
  <c r="BC39" i="27"/>
  <c r="AR24" i="27"/>
  <c r="AV24" i="27" s="1"/>
  <c r="BD24" i="27" s="1"/>
  <c r="AT41" i="11"/>
  <c r="AP42" i="11"/>
  <c r="G38" i="27"/>
  <c r="G36" i="27"/>
  <c r="G29" i="27"/>
  <c r="G28" i="27"/>
  <c r="G22" i="27"/>
  <c r="G20" i="27"/>
  <c r="G19" i="27"/>
  <c r="G18" i="27"/>
  <c r="G37" i="27"/>
  <c r="G32" i="27"/>
  <c r="G31" i="27"/>
  <c r="G27" i="27"/>
  <c r="G23" i="27"/>
  <c r="G21" i="27"/>
  <c r="G34" i="27" l="1"/>
  <c r="G40" i="27"/>
  <c r="G25" i="27"/>
  <c r="AX41" i="11"/>
  <c r="AT42" i="11"/>
  <c r="E38" i="27"/>
  <c r="E36" i="27"/>
  <c r="E37" i="27"/>
  <c r="E29" i="27"/>
  <c r="E32" i="27"/>
  <c r="E31" i="27"/>
  <c r="E28" i="27"/>
  <c r="E27" i="27"/>
  <c r="E22" i="27"/>
  <c r="E20" i="27"/>
  <c r="E19" i="27"/>
  <c r="E18" i="27"/>
  <c r="K21" i="27"/>
  <c r="K25" i="27" s="1"/>
  <c r="E21" i="27"/>
  <c r="E25" i="27" l="1"/>
  <c r="AX42" i="11"/>
  <c r="BF41" i="11"/>
  <c r="BF42" i="11" s="1"/>
  <c r="E34" i="27"/>
  <c r="E40" i="27"/>
  <c r="O38" i="27"/>
  <c r="Y38" i="27" s="1"/>
  <c r="O37" i="27"/>
  <c r="Y37" i="27" s="1"/>
  <c r="O36" i="27"/>
  <c r="O31" i="27"/>
  <c r="Y31" i="27" s="1"/>
  <c r="O30" i="27"/>
  <c r="O29" i="27"/>
  <c r="O28" i="27"/>
  <c r="Y28" i="27" s="1"/>
  <c r="O27" i="27"/>
  <c r="O23" i="27"/>
  <c r="Y23" i="27" s="1"/>
  <c r="O22" i="27"/>
  <c r="Y22" i="27" s="1"/>
  <c r="O21" i="27"/>
  <c r="Y21" i="27" s="1"/>
  <c r="O20" i="27"/>
  <c r="Y20" i="27" s="1"/>
  <c r="O19" i="27"/>
  <c r="Y19" i="27" s="1"/>
  <c r="O18" i="27"/>
  <c r="Y29" i="27" l="1"/>
  <c r="O25" i="27"/>
  <c r="Y18" i="27"/>
  <c r="Y25" i="27" s="1"/>
  <c r="O34" i="27"/>
  <c r="Y27" i="27"/>
  <c r="Y34" i="27" s="1"/>
  <c r="O40" i="27"/>
  <c r="Y36" i="27"/>
  <c r="Y40" i="27" s="1"/>
  <c r="K1265" i="3"/>
  <c r="I19" i="9"/>
  <c r="M19" i="9" s="1"/>
  <c r="Q19" i="9" s="1"/>
  <c r="U19" i="9" s="1"/>
  <c r="AA19" i="9" s="1"/>
  <c r="AE19" i="9" s="1"/>
  <c r="AI19" i="9" s="1"/>
  <c r="AO19" i="9" s="1"/>
  <c r="AS19" i="9" s="1"/>
  <c r="AW19" i="9" s="1"/>
  <c r="BE19" i="9" s="1"/>
  <c r="I20" i="9"/>
  <c r="M20" i="9" s="1"/>
  <c r="Q20" i="9" s="1"/>
  <c r="U20" i="9" s="1"/>
  <c r="AA20" i="9" s="1"/>
  <c r="AE20" i="9" s="1"/>
  <c r="AI20" i="9" s="1"/>
  <c r="AO20" i="9" s="1"/>
  <c r="AS20" i="9" s="1"/>
  <c r="AW20" i="9" s="1"/>
  <c r="BE20" i="9" s="1"/>
  <c r="F1232" i="3"/>
  <c r="G1232" i="3"/>
  <c r="K504" i="3"/>
  <c r="O60" i="28" l="1"/>
  <c r="Y60" i="28" s="1"/>
  <c r="Y61" i="28" s="1"/>
  <c r="O30" i="28"/>
  <c r="O69" i="7" l="1"/>
  <c r="Y69" i="7" s="1"/>
  <c r="Y70" i="7" s="1"/>
  <c r="S52" i="38"/>
  <c r="T94" i="38"/>
  <c r="T93" i="38"/>
  <c r="T92" i="38"/>
  <c r="T91" i="38"/>
  <c r="S90" i="38"/>
  <c r="T89" i="38"/>
  <c r="S88" i="38"/>
  <c r="T86" i="38"/>
  <c r="T85" i="38"/>
  <c r="T84" i="38"/>
  <c r="T83" i="38"/>
  <c r="S82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T68" i="38"/>
  <c r="T67" i="38"/>
  <c r="S66" i="38"/>
  <c r="T62" i="38"/>
  <c r="T61" i="38"/>
  <c r="S60" i="38"/>
  <c r="T59" i="38"/>
  <c r="T58" i="38"/>
  <c r="T57" i="38"/>
  <c r="T56" i="38"/>
  <c r="T55" i="38"/>
  <c r="S54" i="38"/>
  <c r="S46" i="38"/>
  <c r="AC46" i="38" s="1"/>
  <c r="AC94" i="38" s="1"/>
  <c r="S45" i="38"/>
  <c r="AC45" i="38" s="1"/>
  <c r="AC93" i="38" s="1"/>
  <c r="S44" i="38"/>
  <c r="AC44" i="38" s="1"/>
  <c r="AC92" i="38" s="1"/>
  <c r="S43" i="38"/>
  <c r="AC43" i="38" s="1"/>
  <c r="AC91" i="38" s="1"/>
  <c r="T42" i="38"/>
  <c r="S41" i="38"/>
  <c r="AC41" i="38" s="1"/>
  <c r="AC89" i="38" s="1"/>
  <c r="T40" i="38"/>
  <c r="S38" i="38"/>
  <c r="AC38" i="38" s="1"/>
  <c r="AC86" i="38" s="1"/>
  <c r="S37" i="38"/>
  <c r="AC37" i="38" s="1"/>
  <c r="AC85" i="38" s="1"/>
  <c r="S36" i="38"/>
  <c r="AC36" i="38" s="1"/>
  <c r="AC84" i="38" s="1"/>
  <c r="S35" i="38"/>
  <c r="AC35" i="38" s="1"/>
  <c r="AC83" i="38" s="1"/>
  <c r="T34" i="38"/>
  <c r="S32" i="38"/>
  <c r="AC32" i="38" s="1"/>
  <c r="AC80" i="38" s="1"/>
  <c r="S31" i="38"/>
  <c r="AC31" i="38" s="1"/>
  <c r="AC79" i="38" s="1"/>
  <c r="S30" i="38"/>
  <c r="AC30" i="38" s="1"/>
  <c r="AC78" i="38" s="1"/>
  <c r="S29" i="38"/>
  <c r="AC29" i="38" s="1"/>
  <c r="AC77" i="38" s="1"/>
  <c r="S28" i="38"/>
  <c r="AC28" i="38" s="1"/>
  <c r="AC76" i="38" s="1"/>
  <c r="S27" i="38"/>
  <c r="S26" i="38"/>
  <c r="AC26" i="38" s="1"/>
  <c r="AC74" i="38" s="1"/>
  <c r="S25" i="38"/>
  <c r="AC25" i="38" s="1"/>
  <c r="AC73" i="38" s="1"/>
  <c r="S24" i="38"/>
  <c r="AC24" i="38" s="1"/>
  <c r="AC72" i="38" s="1"/>
  <c r="S23" i="38"/>
  <c r="S22" i="38"/>
  <c r="AC22" i="38" s="1"/>
  <c r="AC70" i="38" s="1"/>
  <c r="S21" i="38"/>
  <c r="AC21" i="38" s="1"/>
  <c r="AC69" i="38" s="1"/>
  <c r="S20" i="38"/>
  <c r="AC20" i="38" s="1"/>
  <c r="AC68" i="38" s="1"/>
  <c r="S19" i="38"/>
  <c r="AC19" i="38" s="1"/>
  <c r="AC67" i="38" s="1"/>
  <c r="T18" i="38"/>
  <c r="AD18" i="38" s="1"/>
  <c r="AD66" i="38" s="1"/>
  <c r="S14" i="38"/>
  <c r="AC14" i="38" s="1"/>
  <c r="AC62" i="38" s="1"/>
  <c r="S13" i="38"/>
  <c r="AC13" i="38" s="1"/>
  <c r="AC61" i="38" s="1"/>
  <c r="T12" i="38"/>
  <c r="S11" i="38"/>
  <c r="AC11" i="38" s="1"/>
  <c r="AC59" i="38" s="1"/>
  <c r="S10" i="38"/>
  <c r="AC10" i="38" s="1"/>
  <c r="AC58" i="38" s="1"/>
  <c r="S9" i="38"/>
  <c r="AC9" i="38" s="1"/>
  <c r="AC57" i="38" s="1"/>
  <c r="S8" i="38"/>
  <c r="AC8" i="38" s="1"/>
  <c r="AC56" i="38" s="1"/>
  <c r="S7" i="38"/>
  <c r="AC7" i="38" s="1"/>
  <c r="AC55" i="38" s="1"/>
  <c r="T6" i="38"/>
  <c r="P48" i="11"/>
  <c r="Z48" i="11" s="1"/>
  <c r="Z49" i="11" s="1"/>
  <c r="P53" i="11"/>
  <c r="P46" i="11"/>
  <c r="T60" i="38" l="1"/>
  <c r="AD12" i="38"/>
  <c r="AD60" i="38" s="1"/>
  <c r="AC27" i="38"/>
  <c r="AC75" i="38" s="1"/>
  <c r="P60" i="45"/>
  <c r="T90" i="38"/>
  <c r="AD42" i="38"/>
  <c r="AD90" i="38" s="1"/>
  <c r="T15" i="38"/>
  <c r="AD15" i="38" s="1"/>
  <c r="AD63" i="38" s="1"/>
  <c r="AD6" i="38"/>
  <c r="AD54" i="38" s="1"/>
  <c r="T82" i="38"/>
  <c r="AD34" i="38"/>
  <c r="AD82" i="38" s="1"/>
  <c r="T88" i="38"/>
  <c r="AD40" i="38"/>
  <c r="AD88" i="38" s="1"/>
  <c r="AC23" i="38"/>
  <c r="AC71" i="38" s="1"/>
  <c r="N94" i="9"/>
  <c r="S40" i="38"/>
  <c r="AC40" i="38" s="1"/>
  <c r="AC88" i="38" s="1"/>
  <c r="T39" i="38"/>
  <c r="AD39" i="38" s="1"/>
  <c r="AD87" i="38" s="1"/>
  <c r="P49" i="11"/>
  <c r="T66" i="38"/>
  <c r="S87" i="38"/>
  <c r="S64" i="38" s="1"/>
  <c r="S63" i="38"/>
  <c r="S6" i="38"/>
  <c r="AC6" i="38" s="1"/>
  <c r="AC54" i="38" s="1"/>
  <c r="S18" i="38"/>
  <c r="AC18" i="38" s="1"/>
  <c r="AC66" i="38" s="1"/>
  <c r="T63" i="38"/>
  <c r="S42" i="38"/>
  <c r="AC42" i="38" s="1"/>
  <c r="AC90" i="38" s="1"/>
  <c r="O48" i="11"/>
  <c r="Y48" i="11" s="1"/>
  <c r="Y49" i="11" s="1"/>
  <c r="S12" i="38"/>
  <c r="AC12" i="38" s="1"/>
  <c r="AC60" i="38" s="1"/>
  <c r="S34" i="38"/>
  <c r="AC34" i="38" s="1"/>
  <c r="AC82" i="38" s="1"/>
  <c r="T54" i="38"/>
  <c r="T17" i="38"/>
  <c r="AD17" i="38" s="1"/>
  <c r="AD65" i="38" s="1"/>
  <c r="P61" i="45" l="1"/>
  <c r="Z60" i="45"/>
  <c r="Z61" i="45" s="1"/>
  <c r="N95" i="9"/>
  <c r="X94" i="9"/>
  <c r="X95" i="9" s="1"/>
  <c r="T87" i="38"/>
  <c r="O49" i="11"/>
  <c r="S17" i="38"/>
  <c r="AC17" i="38" s="1"/>
  <c r="AC65" i="38" s="1"/>
  <c r="T16" i="38"/>
  <c r="AD16" i="38" s="1"/>
  <c r="AD64" i="38" s="1"/>
  <c r="T65" i="38"/>
  <c r="S39" i="38"/>
  <c r="AC39" i="38" s="1"/>
  <c r="AC87" i="38" s="1"/>
  <c r="S15" i="38"/>
  <c r="AC15" i="38" s="1"/>
  <c r="AC63" i="38" s="1"/>
  <c r="S16" i="38" l="1"/>
  <c r="AC16" i="38" s="1"/>
  <c r="AC64" i="38" s="1"/>
  <c r="T64" i="38"/>
  <c r="P113" i="10" l="1"/>
  <c r="P108" i="10"/>
  <c r="P106" i="10"/>
  <c r="P104" i="10"/>
  <c r="P101" i="10"/>
  <c r="Z101" i="10" s="1"/>
  <c r="Z102" i="10" s="1"/>
  <c r="O113" i="10"/>
  <c r="O108" i="10"/>
  <c r="O109" i="10" l="1"/>
  <c r="Y108" i="10"/>
  <c r="Y109" i="10" s="1"/>
  <c r="P109" i="10"/>
  <c r="Z108" i="10"/>
  <c r="Z109" i="10" s="1"/>
  <c r="P102" i="10"/>
  <c r="R101" i="10"/>
  <c r="N14" i="6"/>
  <c r="N13" i="6"/>
  <c r="X13" i="6" l="1"/>
  <c r="X157" i="6" s="1"/>
  <c r="X14" i="6"/>
  <c r="X58" i="6" s="1"/>
  <c r="R102" i="10"/>
  <c r="V101" i="10"/>
  <c r="N23" i="6"/>
  <c r="X23" i="6" s="1"/>
  <c r="N17" i="6"/>
  <c r="N26" i="6"/>
  <c r="X26" i="6" s="1"/>
  <c r="N20" i="6"/>
  <c r="X20" i="6" s="1"/>
  <c r="N27" i="6"/>
  <c r="X27" i="6" s="1"/>
  <c r="N21" i="6"/>
  <c r="X21" i="6" s="1"/>
  <c r="N24" i="6"/>
  <c r="X24" i="6" s="1"/>
  <c r="N18" i="6"/>
  <c r="X57" i="6" l="1"/>
  <c r="X184" i="6"/>
  <c r="X18" i="6"/>
  <c r="X174" i="6" s="1"/>
  <c r="X17" i="6"/>
  <c r="X149" i="6" s="1"/>
  <c r="X15" i="6"/>
  <c r="X59" i="6" s="1"/>
  <c r="V102" i="10"/>
  <c r="AB101" i="10"/>
  <c r="N22" i="6"/>
  <c r="N28" i="6"/>
  <c r="N29" i="6"/>
  <c r="X29" i="6" s="1"/>
  <c r="N19" i="6"/>
  <c r="N30" i="6"/>
  <c r="X30" i="6" s="1"/>
  <c r="N25" i="6"/>
  <c r="O241" i="6"/>
  <c r="O50" i="8" s="1"/>
  <c r="N114" i="6"/>
  <c r="X114" i="6" s="1"/>
  <c r="K114" i="6"/>
  <c r="J114" i="6"/>
  <c r="G114" i="6"/>
  <c r="F114" i="6"/>
  <c r="E114" i="6"/>
  <c r="D114" i="6"/>
  <c r="O114" i="6"/>
  <c r="Y114" i="6" s="1"/>
  <c r="N85" i="8"/>
  <c r="X85" i="8" s="1"/>
  <c r="O33" i="8"/>
  <c r="Y33" i="8" s="1"/>
  <c r="O55" i="8"/>
  <c r="O54" i="8"/>
  <c r="O53" i="8"/>
  <c r="O52" i="8"/>
  <c r="O51" i="8"/>
  <c r="O46" i="8"/>
  <c r="N46" i="8"/>
  <c r="O26" i="8"/>
  <c r="N19" i="8"/>
  <c r="X19" i="8" s="1"/>
  <c r="N13" i="8"/>
  <c r="O12" i="8"/>
  <c r="O5" i="8"/>
  <c r="N5" i="8"/>
  <c r="D5" i="8"/>
  <c r="F5" i="8"/>
  <c r="J5" i="8"/>
  <c r="X147" i="6" l="1"/>
  <c r="AB102" i="10"/>
  <c r="AF101" i="10"/>
  <c r="X175" i="6"/>
  <c r="X144" i="6"/>
  <c r="X145" i="6"/>
  <c r="X146" i="6"/>
  <c r="X148" i="6"/>
  <c r="X170" i="6"/>
  <c r="N29" i="8"/>
  <c r="X29" i="8" s="1"/>
  <c r="X5" i="8"/>
  <c r="X172" i="6"/>
  <c r="O44" i="8"/>
  <c r="O39" i="8"/>
  <c r="O43" i="8"/>
  <c r="O38" i="8"/>
  <c r="O42" i="8"/>
  <c r="O37" i="8"/>
  <c r="O41" i="8"/>
  <c r="Y5" i="8"/>
  <c r="X173" i="6"/>
  <c r="N16" i="8"/>
  <c r="X13" i="8"/>
  <c r="N31" i="6"/>
  <c r="O86" i="8"/>
  <c r="O76" i="8"/>
  <c r="O127" i="9"/>
  <c r="N86" i="8"/>
  <c r="O80" i="8"/>
  <c r="O35" i="8"/>
  <c r="Y35" i="8" s="1"/>
  <c r="N47" i="8"/>
  <c r="N74" i="8" s="1"/>
  <c r="N28" i="8"/>
  <c r="N30" i="8"/>
  <c r="X30" i="8" s="1"/>
  <c r="O47" i="8"/>
  <c r="N79" i="8"/>
  <c r="X79" i="8" s="1"/>
  <c r="N27" i="8"/>
  <c r="AF102" i="10" l="1"/>
  <c r="AJ101" i="10"/>
  <c r="X241" i="6"/>
  <c r="X50" i="8" s="1"/>
  <c r="X80" i="8"/>
  <c r="X44" i="8"/>
  <c r="Y39" i="8"/>
  <c r="Y38" i="8"/>
  <c r="Y37" i="8"/>
  <c r="Y76" i="8"/>
  <c r="Y42" i="8"/>
  <c r="Y44" i="8"/>
  <c r="Y41" i="8"/>
  <c r="Y43" i="8"/>
  <c r="Y80" i="8"/>
  <c r="Y46" i="8"/>
  <c r="Y86" i="8"/>
  <c r="O132" i="9"/>
  <c r="Y127" i="9"/>
  <c r="Y132" i="9" s="1"/>
  <c r="O40" i="8"/>
  <c r="X46" i="8"/>
  <c r="X76" i="8"/>
  <c r="X14" i="36"/>
  <c r="X47" i="8"/>
  <c r="X74" i="8" s="1"/>
  <c r="Y77" i="8"/>
  <c r="Y78" i="8"/>
  <c r="X84" i="8"/>
  <c r="Y14" i="36"/>
  <c r="Y47" i="8"/>
  <c r="N60" i="8"/>
  <c r="X60" i="8" s="1"/>
  <c r="X27" i="8"/>
  <c r="X41" i="8" s="1"/>
  <c r="N68" i="8"/>
  <c r="X68" i="8" s="1"/>
  <c r="X28" i="8"/>
  <c r="X42" i="8" s="1"/>
  <c r="Y84" i="8"/>
  <c r="X86" i="8"/>
  <c r="X43" i="8"/>
  <c r="O48" i="8"/>
  <c r="AJ102" i="10" l="1"/>
  <c r="AP101" i="10"/>
  <c r="Y5" i="26"/>
  <c r="Y74" i="8"/>
  <c r="Y48" i="8"/>
  <c r="X72" i="8"/>
  <c r="N35" i="8"/>
  <c r="X35" i="8" s="1"/>
  <c r="Y40" i="8"/>
  <c r="N64" i="8"/>
  <c r="X48" i="8"/>
  <c r="O46" i="35"/>
  <c r="Y46" i="35" s="1"/>
  <c r="O45" i="35"/>
  <c r="Y45" i="35" s="1"/>
  <c r="AP102" i="10" l="1"/>
  <c r="AT101" i="10"/>
  <c r="N34" i="8"/>
  <c r="X34" i="8" s="1"/>
  <c r="X64" i="8"/>
  <c r="X70" i="8" s="1"/>
  <c r="E17" i="15"/>
  <c r="F17" i="15"/>
  <c r="G17" i="15"/>
  <c r="J17" i="15"/>
  <c r="K17" i="15"/>
  <c r="AX101" i="10" l="1"/>
  <c r="AT102" i="10"/>
  <c r="O33" i="22"/>
  <c r="P28" i="22"/>
  <c r="P64" i="22" s="1"/>
  <c r="P65" i="22" s="1"/>
  <c r="P66" i="22" s="1"/>
  <c r="O40" i="48" s="1"/>
  <c r="P24" i="22"/>
  <c r="P23" i="22"/>
  <c r="P51" i="22" s="1"/>
  <c r="P53" i="22" s="1"/>
  <c r="P55" i="22" s="1"/>
  <c r="P56" i="22" s="1"/>
  <c r="O26" i="48" s="1"/>
  <c r="O28" i="48" s="1"/>
  <c r="P14" i="22"/>
  <c r="P59" i="22" s="1"/>
  <c r="P60" i="22" s="1"/>
  <c r="P61" i="22" s="1"/>
  <c r="O37" i="48" s="1"/>
  <c r="P12" i="22"/>
  <c r="P10" i="22"/>
  <c r="Z10" i="22" s="1"/>
  <c r="Z12" i="22" s="1"/>
  <c r="P9" i="22"/>
  <c r="P43" i="22" s="1"/>
  <c r="P45" i="22" s="1"/>
  <c r="P47" i="22" s="1"/>
  <c r="P48" i="22" s="1"/>
  <c r="O21" i="48" s="1"/>
  <c r="O23" i="48" s="1"/>
  <c r="AX102" i="10" l="1"/>
  <c r="BF101" i="10"/>
  <c r="BF102" i="10" s="1"/>
  <c r="P26" i="22"/>
  <c r="Z24" i="22"/>
  <c r="Z26" i="22" s="1"/>
  <c r="O21" i="22"/>
  <c r="O7" i="22"/>
  <c r="K181" i="6"/>
  <c r="G181" i="6"/>
  <c r="E181" i="6"/>
  <c r="K180" i="6"/>
  <c r="G180" i="6"/>
  <c r="E180" i="6"/>
  <c r="K154" i="6"/>
  <c r="G154" i="6"/>
  <c r="E154" i="6"/>
  <c r="Q16" i="39"/>
  <c r="K71" i="7"/>
  <c r="G71" i="7"/>
  <c r="E71" i="7"/>
  <c r="E62" i="7"/>
  <c r="O8" i="22" l="1"/>
  <c r="Y8" i="22" s="1"/>
  <c r="Y7" i="22"/>
  <c r="O22" i="22"/>
  <c r="Y22" i="22" s="1"/>
  <c r="Y21" i="22"/>
  <c r="O24" i="22" l="1"/>
  <c r="O25" i="22" s="1"/>
  <c r="Y23" i="22"/>
  <c r="Y9" i="22"/>
  <c r="O10" i="22"/>
  <c r="N54" i="7"/>
  <c r="N62" i="7"/>
  <c r="N58" i="7"/>
  <c r="N69" i="7"/>
  <c r="X69" i="7" s="1"/>
  <c r="X70" i="7" s="1"/>
  <c r="N64" i="6"/>
  <c r="O30" i="6"/>
  <c r="Y30" i="6" s="1"/>
  <c r="P66" i="6"/>
  <c r="O237" i="6"/>
  <c r="O236" i="6"/>
  <c r="O235" i="6"/>
  <c r="O233" i="6"/>
  <c r="O232" i="6"/>
  <c r="O231" i="6"/>
  <c r="O229" i="6"/>
  <c r="O228" i="6"/>
  <c r="O227" i="6"/>
  <c r="O225" i="6"/>
  <c r="O224" i="6"/>
  <c r="O223" i="6"/>
  <c r="O221" i="6"/>
  <c r="O220" i="6"/>
  <c r="O219" i="6"/>
  <c r="O217" i="6"/>
  <c r="O216" i="6"/>
  <c r="O215" i="6"/>
  <c r="O213" i="6"/>
  <c r="O212" i="6"/>
  <c r="O211" i="6"/>
  <c r="O209" i="6"/>
  <c r="O208" i="6"/>
  <c r="O207" i="6"/>
  <c r="O205" i="6"/>
  <c r="O204" i="6"/>
  <c r="O203" i="6"/>
  <c r="O197" i="6"/>
  <c r="O196" i="6"/>
  <c r="O195" i="6"/>
  <c r="O193" i="6"/>
  <c r="O192" i="6"/>
  <c r="O191" i="6"/>
  <c r="O189" i="6"/>
  <c r="O188" i="6"/>
  <c r="O187" i="6"/>
  <c r="O182" i="6"/>
  <c r="Y182" i="6" s="1"/>
  <c r="N182" i="6"/>
  <c r="X182" i="6" s="1"/>
  <c r="X183" i="6" s="1"/>
  <c r="O155" i="6"/>
  <c r="Y155" i="6" s="1"/>
  <c r="N155" i="6"/>
  <c r="X155" i="6" s="1"/>
  <c r="X156" i="6" s="1"/>
  <c r="O124" i="6"/>
  <c r="Y124" i="6" s="1"/>
  <c r="N124" i="6"/>
  <c r="X124" i="6" s="1"/>
  <c r="O123" i="6"/>
  <c r="Y123" i="6" s="1"/>
  <c r="N123" i="6"/>
  <c r="X123" i="6" s="1"/>
  <c r="O122" i="6"/>
  <c r="Y122" i="6" s="1"/>
  <c r="N122" i="6"/>
  <c r="X122" i="6" s="1"/>
  <c r="O120" i="6"/>
  <c r="Y120" i="6" s="1"/>
  <c r="N120" i="6"/>
  <c r="X120" i="6" s="1"/>
  <c r="O119" i="6"/>
  <c r="Y119" i="6" s="1"/>
  <c r="N119" i="6"/>
  <c r="X119" i="6" s="1"/>
  <c r="O118" i="6"/>
  <c r="Y118" i="6" s="1"/>
  <c r="N118" i="6"/>
  <c r="X118" i="6" s="1"/>
  <c r="O117" i="6"/>
  <c r="Y117" i="6" s="1"/>
  <c r="N117" i="6"/>
  <c r="X117" i="6" s="1"/>
  <c r="O116" i="6"/>
  <c r="Y116" i="6" s="1"/>
  <c r="N116" i="6"/>
  <c r="X116" i="6" s="1"/>
  <c r="O115" i="6"/>
  <c r="Y115" i="6" s="1"/>
  <c r="N115" i="6"/>
  <c r="X115" i="6" s="1"/>
  <c r="O113" i="6"/>
  <c r="Y113" i="6" s="1"/>
  <c r="N113" i="6"/>
  <c r="X113" i="6" s="1"/>
  <c r="O112" i="6"/>
  <c r="Y112" i="6" s="1"/>
  <c r="N112" i="6"/>
  <c r="X112" i="6" s="1"/>
  <c r="O111" i="6"/>
  <c r="Y111" i="6" s="1"/>
  <c r="N111" i="6"/>
  <c r="X111" i="6" s="1"/>
  <c r="O103" i="6"/>
  <c r="N103" i="6"/>
  <c r="O100" i="6"/>
  <c r="N100" i="6"/>
  <c r="O85" i="6"/>
  <c r="N85" i="6"/>
  <c r="O81" i="6"/>
  <c r="N81" i="6"/>
  <c r="N65" i="6"/>
  <c r="N62" i="6"/>
  <c r="N61" i="6"/>
  <c r="N52" i="6"/>
  <c r="N44" i="6"/>
  <c r="O44" i="6"/>
  <c r="N41" i="6"/>
  <c r="N37" i="6"/>
  <c r="O28" i="6"/>
  <c r="O25" i="6"/>
  <c r="O22" i="6"/>
  <c r="O29" i="6"/>
  <c r="Y29" i="6" s="1"/>
  <c r="N12" i="6"/>
  <c r="N11" i="6"/>
  <c r="N7" i="6"/>
  <c r="J93" i="37"/>
  <c r="J91" i="37" s="1"/>
  <c r="Y24" i="22" l="1"/>
  <c r="O93" i="37"/>
  <c r="O11" i="15"/>
  <c r="Y11" i="15" s="1"/>
  <c r="Y12" i="15" s="1"/>
  <c r="Y13" i="15" s="1"/>
  <c r="J96" i="37"/>
  <c r="N20" i="7"/>
  <c r="X72" i="7"/>
  <c r="N60" i="7"/>
  <c r="X58" i="7"/>
  <c r="X60" i="7" s="1"/>
  <c r="Y31" i="6"/>
  <c r="O11" i="22"/>
  <c r="Y10" i="22"/>
  <c r="O27" i="22"/>
  <c r="Y27" i="22" s="1"/>
  <c r="Y25" i="22"/>
  <c r="N70" i="7"/>
  <c r="N33" i="7"/>
  <c r="X33" i="7" s="1"/>
  <c r="X44" i="7" s="1"/>
  <c r="X82" i="7" s="1"/>
  <c r="N37" i="7"/>
  <c r="X37" i="7" s="1"/>
  <c r="X48" i="7" s="1"/>
  <c r="N55" i="7"/>
  <c r="X55" i="7" s="1"/>
  <c r="X56" i="7" s="1"/>
  <c r="N24" i="7"/>
  <c r="N34" i="7"/>
  <c r="X34" i="7" s="1"/>
  <c r="X45" i="7" s="1"/>
  <c r="X84" i="7" s="1"/>
  <c r="N38" i="7"/>
  <c r="X38" i="7" s="1"/>
  <c r="X49" i="7" s="1"/>
  <c r="N21" i="7"/>
  <c r="N25" i="7"/>
  <c r="N31" i="7"/>
  <c r="X31" i="7" s="1"/>
  <c r="X42" i="7" s="1"/>
  <c r="X75" i="7" s="1"/>
  <c r="N35" i="7"/>
  <c r="X35" i="7" s="1"/>
  <c r="X46" i="7" s="1"/>
  <c r="N18" i="7"/>
  <c r="N26" i="7"/>
  <c r="N32" i="7"/>
  <c r="X32" i="7" s="1"/>
  <c r="X43" i="7" s="1"/>
  <c r="N36" i="7"/>
  <c r="X36" i="7" s="1"/>
  <c r="N19" i="7"/>
  <c r="N23" i="7"/>
  <c r="N27" i="7"/>
  <c r="N151" i="6"/>
  <c r="X151" i="6" s="1"/>
  <c r="X152" i="6" s="1"/>
  <c r="N183" i="6"/>
  <c r="N177" i="6"/>
  <c r="X177" i="6" s="1"/>
  <c r="N68" i="7"/>
  <c r="N67" i="7"/>
  <c r="N63" i="7"/>
  <c r="N63" i="6"/>
  <c r="N66" i="6" s="1"/>
  <c r="N67" i="6" s="1"/>
  <c r="N156" i="6"/>
  <c r="N104" i="6"/>
  <c r="N109" i="6" s="1"/>
  <c r="N125" i="6"/>
  <c r="N86" i="6"/>
  <c r="N91" i="6" s="1"/>
  <c r="N138" i="6" s="1"/>
  <c r="O31" i="6"/>
  <c r="O19" i="6"/>
  <c r="O86" i="6"/>
  <c r="O91" i="6" s="1"/>
  <c r="O138" i="6" s="1"/>
  <c r="N121" i="6"/>
  <c r="N15" i="6"/>
  <c r="N56" i="6" s="1"/>
  <c r="O121" i="6"/>
  <c r="O125" i="6"/>
  <c r="O104" i="6"/>
  <c r="O109" i="6" s="1"/>
  <c r="O41" i="6"/>
  <c r="O52" i="6"/>
  <c r="O91" i="37" l="1"/>
  <c r="O96" i="37" s="1"/>
  <c r="X65" i="7"/>
  <c r="X47" i="7"/>
  <c r="O163" i="6"/>
  <c r="O164" i="6"/>
  <c r="N164" i="6"/>
  <c r="N163" i="6"/>
  <c r="Y28" i="22"/>
  <c r="Y29" i="22"/>
  <c r="Y26" i="22"/>
  <c r="O13" i="22"/>
  <c r="Y13" i="22" s="1"/>
  <c r="Y11" i="22"/>
  <c r="N161" i="6"/>
  <c r="N59" i="6"/>
  <c r="N126" i="6"/>
  <c r="N135" i="6"/>
  <c r="O126" i="6"/>
  <c r="N160" i="6"/>
  <c r="N136" i="6"/>
  <c r="O161" i="6"/>
  <c r="O135" i="6"/>
  <c r="O136" i="6"/>
  <c r="O160" i="6"/>
  <c r="N131" i="6" l="1"/>
  <c r="O131" i="6"/>
  <c r="N162" i="6"/>
  <c r="N8" i="36" s="1"/>
  <c r="N259" i="6"/>
  <c r="Y15" i="22"/>
  <c r="Y12" i="22"/>
  <c r="Y14" i="22"/>
  <c r="N250" i="6"/>
  <c r="N137" i="6"/>
  <c r="N7" i="36" s="1"/>
  <c r="O162" i="6"/>
  <c r="O8" i="36" s="1"/>
  <c r="O137" i="6"/>
  <c r="O7" i="36" s="1"/>
  <c r="O264" i="6" l="1"/>
  <c r="O265" i="6"/>
  <c r="O262" i="6"/>
  <c r="O263" i="6"/>
  <c r="O242" i="6"/>
  <c r="O240" i="6"/>
  <c r="N262" i="6"/>
  <c r="N263" i="6"/>
  <c r="N264" i="6"/>
  <c r="N265" i="6"/>
  <c r="N242" i="6"/>
  <c r="N247" i="6"/>
  <c r="N249" i="6"/>
  <c r="N255" i="6"/>
  <c r="N251" i="6"/>
  <c r="N254" i="6"/>
  <c r="N248" i="6"/>
  <c r="N253" i="6"/>
  <c r="N246" i="6"/>
  <c r="N252" i="6"/>
  <c r="N257" i="6"/>
  <c r="N258" i="6"/>
  <c r="O249" i="6"/>
  <c r="O250" i="6"/>
  <c r="O248" i="6"/>
  <c r="O246" i="6"/>
  <c r="O252" i="6"/>
  <c r="O253" i="6"/>
  <c r="O255" i="6"/>
  <c r="O247" i="6"/>
  <c r="O251" i="6"/>
  <c r="O258" i="6"/>
  <c r="O259" i="6"/>
  <c r="O257" i="6"/>
  <c r="O254" i="6"/>
  <c r="N266" i="6" l="1"/>
  <c r="O266" i="6"/>
  <c r="N260" i="6"/>
  <c r="N256" i="6"/>
  <c r="O260" i="6"/>
  <c r="O256" i="6"/>
  <c r="N261" i="6" l="1"/>
  <c r="N267" i="6" s="1"/>
  <c r="N9" i="36"/>
  <c r="O261" i="6"/>
  <c r="O267" i="6" s="1"/>
  <c r="O310" i="28"/>
  <c r="O284" i="28"/>
  <c r="O9" i="36" l="1"/>
  <c r="N328" i="28"/>
  <c r="X328" i="28" s="1"/>
  <c r="N326" i="28"/>
  <c r="X326" i="28" s="1"/>
  <c r="O325" i="28"/>
  <c r="O329" i="28" s="1"/>
  <c r="O322" i="28"/>
  <c r="O318" i="28"/>
  <c r="N315" i="28"/>
  <c r="O311" i="28"/>
  <c r="Y311" i="28" s="1"/>
  <c r="O312" i="28"/>
  <c r="O245" i="28"/>
  <c r="O238" i="28"/>
  <c r="O199" i="28"/>
  <c r="O195" i="28"/>
  <c r="O145" i="28"/>
  <c r="O64" i="28"/>
  <c r="Y64" i="28" s="1"/>
  <c r="O63" i="28"/>
  <c r="Y63" i="28" s="1"/>
  <c r="O61" i="28"/>
  <c r="O57" i="28"/>
  <c r="O53" i="28"/>
  <c r="O49" i="28"/>
  <c r="O36" i="28"/>
  <c r="Y36" i="28" s="1"/>
  <c r="O35" i="28"/>
  <c r="Y35" i="28" s="1"/>
  <c r="O34" i="28"/>
  <c r="Y34" i="28" s="1"/>
  <c r="O33" i="28"/>
  <c r="Y33" i="28" s="1"/>
  <c r="O32" i="28"/>
  <c r="Y32" i="28" s="1"/>
  <c r="N32" i="28"/>
  <c r="X32" i="28" s="1"/>
  <c r="O43" i="28"/>
  <c r="Y43" i="28" s="1"/>
  <c r="N26" i="28"/>
  <c r="O23" i="28"/>
  <c r="O42" i="28" s="1"/>
  <c r="Y42" i="28" s="1"/>
  <c r="N20" i="28"/>
  <c r="O17" i="28"/>
  <c r="O41" i="28" s="1"/>
  <c r="Y41" i="28" s="1"/>
  <c r="N14" i="28"/>
  <c r="X14" i="28" s="1"/>
  <c r="X17" i="28" s="1"/>
  <c r="X195" i="28" s="1"/>
  <c r="O11" i="28"/>
  <c r="O40" i="28" s="1"/>
  <c r="Y40" i="28" s="1"/>
  <c r="N8" i="28"/>
  <c r="Y44" i="28" l="1"/>
  <c r="Y37" i="28"/>
  <c r="Y38" i="28" s="1"/>
  <c r="Y65" i="28"/>
  <c r="Y66" i="28" s="1"/>
  <c r="N318" i="28"/>
  <c r="N324" i="28" s="1"/>
  <c r="X324" i="28" s="1"/>
  <c r="X329" i="28" s="1"/>
  <c r="X315" i="28"/>
  <c r="X318" i="28" s="1"/>
  <c r="N30" i="28"/>
  <c r="N43" i="28" s="1"/>
  <c r="X26" i="28"/>
  <c r="X30" i="28" s="1"/>
  <c r="X312" i="28" s="1"/>
  <c r="N11" i="28"/>
  <c r="N40" i="28" s="1"/>
  <c r="X40" i="28" s="1"/>
  <c r="X8" i="28"/>
  <c r="X11" i="28" s="1"/>
  <c r="X145" i="28" s="1"/>
  <c r="N23" i="28"/>
  <c r="N42" i="28" s="1"/>
  <c r="X20" i="28"/>
  <c r="X23" i="28" s="1"/>
  <c r="X238" i="28" s="1"/>
  <c r="O65" i="28"/>
  <c r="O66" i="28" s="1"/>
  <c r="O44" i="28"/>
  <c r="N17" i="28"/>
  <c r="O37" i="28"/>
  <c r="O38" i="28" s="1"/>
  <c r="N238" i="28" l="1"/>
  <c r="N312" i="28"/>
  <c r="N320" i="28"/>
  <c r="X320" i="28" s="1"/>
  <c r="N329" i="28"/>
  <c r="N47" i="28"/>
  <c r="X47" i="28" s="1"/>
  <c r="N145" i="28"/>
  <c r="N55" i="28"/>
  <c r="X55" i="28" s="1"/>
  <c r="X42" i="28"/>
  <c r="N59" i="28"/>
  <c r="X59" i="28" s="1"/>
  <c r="X43" i="28"/>
  <c r="N33" i="28"/>
  <c r="N195" i="28"/>
  <c r="N41" i="28"/>
  <c r="X41" i="28" s="1"/>
  <c r="X44" i="28" l="1"/>
  <c r="N37" i="28"/>
  <c r="X33" i="28"/>
  <c r="X37" i="28" s="1"/>
  <c r="N51" i="28"/>
  <c r="X51" i="28" s="1"/>
  <c r="N44" i="28"/>
  <c r="N63" i="28" l="1"/>
  <c r="X63" i="28" s="1"/>
  <c r="O55" i="36" l="1"/>
  <c r="O54" i="36"/>
  <c r="O51" i="36"/>
  <c r="O53" i="36" s="1"/>
  <c r="O33" i="36"/>
  <c r="N33" i="36"/>
  <c r="O19" i="36" l="1"/>
  <c r="Y27" i="36"/>
  <c r="Y5" i="15" s="1"/>
  <c r="Y26" i="36"/>
  <c r="Y24" i="36"/>
  <c r="Y29" i="36"/>
  <c r="Y7" i="15" s="1"/>
  <c r="Y28" i="36"/>
  <c r="Y6" i="15" s="1"/>
  <c r="N44" i="36"/>
  <c r="N17" i="36" s="1"/>
  <c r="X28" i="36"/>
  <c r="X6" i="15" s="1"/>
  <c r="X26" i="36"/>
  <c r="X24" i="36"/>
  <c r="X29" i="36"/>
  <c r="X7" i="15" s="1"/>
  <c r="X27" i="36"/>
  <c r="X5" i="15" s="1"/>
  <c r="O18" i="36"/>
  <c r="X44" i="36" l="1"/>
  <c r="N84" i="9"/>
  <c r="N18" i="36"/>
  <c r="I38" i="35"/>
  <c r="N110" i="35"/>
  <c r="O107" i="35"/>
  <c r="N107" i="35"/>
  <c r="N75" i="35" s="1"/>
  <c r="N74" i="35"/>
  <c r="N71" i="35"/>
  <c r="N68" i="35"/>
  <c r="O63" i="35"/>
  <c r="Y63" i="35" s="1"/>
  <c r="O58" i="35"/>
  <c r="N58" i="35"/>
  <c r="O54" i="35"/>
  <c r="N54" i="35"/>
  <c r="X54" i="35" s="1"/>
  <c r="O50" i="35"/>
  <c r="Y50" i="35" s="1"/>
  <c r="N50" i="35"/>
  <c r="N40" i="35"/>
  <c r="X40" i="35" s="1"/>
  <c r="N39" i="35"/>
  <c r="X39" i="35" s="1"/>
  <c r="N37" i="35"/>
  <c r="X37" i="35" s="1"/>
  <c r="O34" i="35"/>
  <c r="O43" i="35" s="1"/>
  <c r="O44" i="35" s="1"/>
  <c r="N34" i="35"/>
  <c r="N43" i="35" s="1"/>
  <c r="O31" i="35"/>
  <c r="N31" i="35"/>
  <c r="N24" i="35"/>
  <c r="N34" i="36" s="1"/>
  <c r="N35" i="36" s="1"/>
  <c r="N36" i="36" s="1"/>
  <c r="O23" i="35"/>
  <c r="O15" i="35"/>
  <c r="N15" i="35"/>
  <c r="N10" i="35"/>
  <c r="N9" i="35"/>
  <c r="N8" i="35"/>
  <c r="O7" i="35"/>
  <c r="O6" i="35"/>
  <c r="O60" i="35" l="1"/>
  <c r="Y60" i="35" s="1"/>
  <c r="Y58" i="35"/>
  <c r="O5" i="6"/>
  <c r="Y6" i="35"/>
  <c r="O6" i="6"/>
  <c r="O14" i="6" s="1"/>
  <c r="Y7" i="35"/>
  <c r="X9" i="35"/>
  <c r="N11" i="35"/>
  <c r="O24" i="35"/>
  <c r="O34" i="36" s="1"/>
  <c r="O35" i="36" s="1"/>
  <c r="O36" i="36" s="1"/>
  <c r="O39" i="36" s="1"/>
  <c r="O30" i="36" s="1"/>
  <c r="O15" i="8"/>
  <c r="Y23" i="35"/>
  <c r="Y24" i="35" s="1"/>
  <c r="Y34" i="36" s="1"/>
  <c r="Y35" i="36" s="1"/>
  <c r="Y36" i="36" s="1"/>
  <c r="Y39" i="36" s="1"/>
  <c r="N44" i="35"/>
  <c r="O56" i="35"/>
  <c r="Y56" i="35" s="1"/>
  <c r="Y54" i="35"/>
  <c r="X10" i="35"/>
  <c r="X5" i="36" s="1"/>
  <c r="N5" i="36"/>
  <c r="N51" i="35"/>
  <c r="N52" i="35" s="1"/>
  <c r="X52" i="35" s="1"/>
  <c r="X50" i="35"/>
  <c r="N59" i="35"/>
  <c r="N60" i="35" s="1"/>
  <c r="X60" i="35" s="1"/>
  <c r="X58" i="35"/>
  <c r="N39" i="36"/>
  <c r="N30" i="36" s="1"/>
  <c r="Y66" i="35"/>
  <c r="O8" i="35"/>
  <c r="O35" i="35"/>
  <c r="Y25" i="36" s="1"/>
  <c r="N35" i="35"/>
  <c r="O62" i="35"/>
  <c r="N62" i="35"/>
  <c r="X62" i="35" s="1"/>
  <c r="N55" i="35"/>
  <c r="O52" i="35"/>
  <c r="O12" i="6" l="1"/>
  <c r="X51" i="35"/>
  <c r="AA5" i="6"/>
  <c r="Y5" i="6"/>
  <c r="Y8" i="35"/>
  <c r="X11" i="35"/>
  <c r="X59" i="35"/>
  <c r="Y15" i="8"/>
  <c r="O16" i="8"/>
  <c r="AA6" i="6"/>
  <c r="Y6" i="6"/>
  <c r="Y12" i="6" s="1"/>
  <c r="O322" i="6"/>
  <c r="O314" i="6"/>
  <c r="O336" i="6"/>
  <c r="N63" i="35"/>
  <c r="X63" i="35" s="1"/>
  <c r="X55" i="35"/>
  <c r="Y14" i="6"/>
  <c r="O65" i="35"/>
  <c r="Y62" i="35"/>
  <c r="Y65" i="35" s="1"/>
  <c r="O64" i="35"/>
  <c r="Y64" i="35" s="1"/>
  <c r="Y52" i="35"/>
  <c r="O66" i="35"/>
  <c r="O178" i="6"/>
  <c r="O183" i="6"/>
  <c r="O55" i="6"/>
  <c r="O13" i="6"/>
  <c r="O7" i="6"/>
  <c r="O11" i="6"/>
  <c r="N56" i="35"/>
  <c r="AA7" i="6" l="1"/>
  <c r="N65" i="35"/>
  <c r="Y7" i="6"/>
  <c r="Y11" i="6"/>
  <c r="O338" i="6"/>
  <c r="O339" i="6" s="1"/>
  <c r="O337" i="6"/>
  <c r="Y314" i="6"/>
  <c r="O316" i="6"/>
  <c r="O313" i="6"/>
  <c r="O330" i="6"/>
  <c r="O323" i="6"/>
  <c r="O324" i="6"/>
  <c r="O325" i="6" s="1"/>
  <c r="N64" i="35"/>
  <c r="X64" i="35" s="1"/>
  <c r="X56" i="35"/>
  <c r="N66" i="35"/>
  <c r="Y178" i="6"/>
  <c r="Y55" i="6"/>
  <c r="Y183" i="6"/>
  <c r="Y184" i="6"/>
  <c r="Y58" i="6"/>
  <c r="Y13" i="6"/>
  <c r="O65" i="6"/>
  <c r="O61" i="6"/>
  <c r="O64" i="6"/>
  <c r="O60" i="6"/>
  <c r="O63" i="6"/>
  <c r="O62" i="6"/>
  <c r="O15" i="6"/>
  <c r="O59" i="6" s="1"/>
  <c r="O152" i="6"/>
  <c r="O54" i="6"/>
  <c r="O156" i="6"/>
  <c r="K904" i="3"/>
  <c r="O326" i="6" l="1"/>
  <c r="O340" i="6"/>
  <c r="O318" i="6"/>
  <c r="O319" i="6" s="1"/>
  <c r="O317" i="6"/>
  <c r="Y157" i="6"/>
  <c r="Y313" i="6"/>
  <c r="O332" i="6"/>
  <c r="O333" i="6" s="1"/>
  <c r="O331" i="6"/>
  <c r="Y15" i="6"/>
  <c r="Y61" i="6"/>
  <c r="Y65" i="6"/>
  <c r="Y60" i="6"/>
  <c r="Y54" i="6"/>
  <c r="Y56" i="6" s="1"/>
  <c r="Y62" i="6"/>
  <c r="Y64" i="6"/>
  <c r="Y63" i="6"/>
  <c r="Y156" i="6"/>
  <c r="Y57" i="6"/>
  <c r="O56" i="6"/>
  <c r="O66" i="6"/>
  <c r="O67" i="6" s="1"/>
  <c r="O34" i="6"/>
  <c r="O33" i="6"/>
  <c r="O36" i="6"/>
  <c r="O35" i="6"/>
  <c r="K1527" i="3"/>
  <c r="K1525" i="3"/>
  <c r="K1518" i="3"/>
  <c r="K1502" i="3"/>
  <c r="K457" i="3" s="1"/>
  <c r="K458" i="3" s="1"/>
  <c r="K1499" i="3"/>
  <c r="K1496" i="3"/>
  <c r="K1486" i="3"/>
  <c r="K1482" i="3"/>
  <c r="K1471" i="3"/>
  <c r="K1473" i="3" s="1"/>
  <c r="K1467" i="3"/>
  <c r="K1463" i="3"/>
  <c r="O16" i="15" s="1"/>
  <c r="K1457" i="3"/>
  <c r="K1456" i="3"/>
  <c r="K1455" i="3"/>
  <c r="K1454" i="3"/>
  <c r="K1451" i="3"/>
  <c r="K1434" i="3"/>
  <c r="K1428" i="3"/>
  <c r="K1387" i="3"/>
  <c r="K1417" i="3" s="1"/>
  <c r="K1370" i="3"/>
  <c r="K1369" i="3"/>
  <c r="K1362" i="3"/>
  <c r="K1366" i="3" s="1"/>
  <c r="K1360" i="3"/>
  <c r="K1365" i="3" s="1"/>
  <c r="K1357" i="3"/>
  <c r="K1358" i="3" s="1"/>
  <c r="K1324" i="3"/>
  <c r="K1458" i="3" s="1"/>
  <c r="K1319" i="3"/>
  <c r="K1318" i="3"/>
  <c r="K1317" i="3"/>
  <c r="K1307" i="3"/>
  <c r="K1304" i="3"/>
  <c r="K1298" i="3"/>
  <c r="K1291" i="3"/>
  <c r="K1257" i="3"/>
  <c r="K1256" i="3"/>
  <c r="K1255" i="3"/>
  <c r="K1250" i="3"/>
  <c r="K1247" i="3"/>
  <c r="K1239" i="3"/>
  <c r="K1240" i="3" s="1"/>
  <c r="K1233" i="3"/>
  <c r="K1222" i="3"/>
  <c r="K1226" i="3" s="1"/>
  <c r="K1218" i="3"/>
  <c r="K1215" i="3"/>
  <c r="K1204" i="3"/>
  <c r="K1200" i="3"/>
  <c r="K1201" i="3" s="1"/>
  <c r="K1203" i="3" s="1"/>
  <c r="K1199" i="3"/>
  <c r="K1194" i="3"/>
  <c r="K1175" i="3"/>
  <c r="K1180" i="3" s="1"/>
  <c r="K1171" i="3"/>
  <c r="K1195" i="3" s="1"/>
  <c r="K1169" i="3"/>
  <c r="K1140" i="3"/>
  <c r="K1145" i="3" s="1"/>
  <c r="K1135" i="3"/>
  <c r="K1127" i="3"/>
  <c r="K1128" i="3" s="1"/>
  <c r="K1126" i="3"/>
  <c r="K1124" i="3"/>
  <c r="K1120" i="3"/>
  <c r="K1134" i="3" s="1"/>
  <c r="K1118" i="3"/>
  <c r="K1119" i="3" s="1"/>
  <c r="K374" i="3" s="1"/>
  <c r="K1076" i="3"/>
  <c r="K255" i="3" s="1"/>
  <c r="K1019" i="3"/>
  <c r="K1013" i="3"/>
  <c r="K1014" i="3" s="1"/>
  <c r="K1012" i="3"/>
  <c r="K1010" i="3"/>
  <c r="K1006" i="3"/>
  <c r="K1017" i="3" s="1"/>
  <c r="K1004" i="3"/>
  <c r="K1005" i="3" s="1"/>
  <c r="K373" i="3" s="1"/>
  <c r="K965" i="3"/>
  <c r="K254" i="3" s="1"/>
  <c r="K917" i="3"/>
  <c r="K916" i="3"/>
  <c r="K914" i="3"/>
  <c r="K913" i="3"/>
  <c r="K911" i="3"/>
  <c r="K912" i="3" s="1"/>
  <c r="K908" i="3"/>
  <c r="K905" i="3"/>
  <c r="K906" i="3" s="1"/>
  <c r="K915" i="3"/>
  <c r="K902" i="3"/>
  <c r="K372" i="3" s="1"/>
  <c r="K901" i="3"/>
  <c r="K849" i="3"/>
  <c r="K845" i="3"/>
  <c r="K732" i="3"/>
  <c r="K724" i="3"/>
  <c r="K717" i="3"/>
  <c r="K748" i="3" s="1"/>
  <c r="K702" i="3"/>
  <c r="K704" i="3" s="1"/>
  <c r="K713" i="3" s="1"/>
  <c r="K690" i="3"/>
  <c r="K734" i="3" s="1"/>
  <c r="K685" i="3"/>
  <c r="K681" i="3"/>
  <c r="K678" i="3"/>
  <c r="K666" i="3"/>
  <c r="K639" i="3"/>
  <c r="K638" i="3"/>
  <c r="K637" i="3"/>
  <c r="K636" i="3"/>
  <c r="K634" i="3"/>
  <c r="K633" i="3"/>
  <c r="K632" i="3"/>
  <c r="K631" i="3"/>
  <c r="K630" i="3"/>
  <c r="K624" i="3"/>
  <c r="K662" i="3" s="1"/>
  <c r="K623" i="3"/>
  <c r="K619" i="3"/>
  <c r="K618" i="3"/>
  <c r="K554" i="3"/>
  <c r="K556" i="3" s="1"/>
  <c r="K537" i="3"/>
  <c r="K535" i="3"/>
  <c r="K575" i="3" s="1"/>
  <c r="K519" i="3"/>
  <c r="K518" i="3"/>
  <c r="K531" i="3" s="1"/>
  <c r="K511" i="3"/>
  <c r="K509" i="3"/>
  <c r="K508" i="3"/>
  <c r="K490" i="3"/>
  <c r="K500" i="3" s="1"/>
  <c r="K502" i="3" s="1"/>
  <c r="K486" i="3"/>
  <c r="K487" i="3" s="1"/>
  <c r="K480" i="3"/>
  <c r="K476" i="3"/>
  <c r="K472" i="3"/>
  <c r="K454" i="3"/>
  <c r="K380" i="3"/>
  <c r="K456" i="3" s="1"/>
  <c r="K375" i="3"/>
  <c r="K368" i="3"/>
  <c r="K367" i="3"/>
  <c r="K366" i="3"/>
  <c r="K365" i="3"/>
  <c r="K359" i="3"/>
  <c r="K355" i="3"/>
  <c r="K343" i="3"/>
  <c r="K331" i="3"/>
  <c r="K311" i="3"/>
  <c r="K303" i="3"/>
  <c r="K300" i="3"/>
  <c r="K293" i="3"/>
  <c r="K292" i="3"/>
  <c r="K291" i="3"/>
  <c r="K288" i="3"/>
  <c r="K287" i="3"/>
  <c r="K286" i="3"/>
  <c r="K281" i="3"/>
  <c r="K279" i="3"/>
  <c r="K280" i="3" s="1"/>
  <c r="K278" i="3"/>
  <c r="K277" i="3"/>
  <c r="K272" i="3"/>
  <c r="K271" i="3"/>
  <c r="K273" i="3" s="1"/>
  <c r="K270" i="3"/>
  <c r="K269" i="3"/>
  <c r="K266" i="3"/>
  <c r="K267" i="3" s="1"/>
  <c r="K261" i="3"/>
  <c r="K263" i="3" s="1"/>
  <c r="K253" i="3"/>
  <c r="K250" i="3"/>
  <c r="K246" i="3"/>
  <c r="K239" i="3"/>
  <c r="K238" i="3"/>
  <c r="K237" i="3"/>
  <c r="K223" i="3"/>
  <c r="K162" i="3"/>
  <c r="K161" i="3" s="1"/>
  <c r="K154" i="3"/>
  <c r="K1460" i="3" s="1"/>
  <c r="K1461" i="3" s="1"/>
  <c r="K151" i="3"/>
  <c r="K1373" i="3" s="1"/>
  <c r="K148" i="3"/>
  <c r="K145" i="3"/>
  <c r="K146" i="3" s="1"/>
  <c r="K140" i="3"/>
  <c r="K136" i="3"/>
  <c r="K132" i="3"/>
  <c r="K127" i="3"/>
  <c r="K126" i="3"/>
  <c r="K118" i="3"/>
  <c r="K117" i="3"/>
  <c r="K115" i="3"/>
  <c r="K111" i="3"/>
  <c r="K107" i="3"/>
  <c r="K103" i="3"/>
  <c r="K91" i="3"/>
  <c r="K90" i="3"/>
  <c r="K89" i="3"/>
  <c r="K88" i="3"/>
  <c r="K87" i="3"/>
  <c r="K85" i="3"/>
  <c r="K97" i="3" s="1"/>
  <c r="K78" i="3"/>
  <c r="K96" i="3" s="1"/>
  <c r="K72" i="3"/>
  <c r="K95" i="3" s="1"/>
  <c r="K66" i="3"/>
  <c r="K94" i="3" s="1"/>
  <c r="K56" i="3"/>
  <c r="K45" i="3"/>
  <c r="K40" i="3"/>
  <c r="K34" i="3"/>
  <c r="K32" i="3"/>
  <c r="K33" i="3" s="1"/>
  <c r="K29" i="3"/>
  <c r="K30" i="3" s="1"/>
  <c r="K26" i="3"/>
  <c r="K27" i="3" s="1"/>
  <c r="K23" i="3"/>
  <c r="K20" i="3"/>
  <c r="K19" i="3"/>
  <c r="K18" i="3"/>
  <c r="K17" i="3"/>
  <c r="K12" i="3"/>
  <c r="K13" i="3" s="1"/>
  <c r="K11" i="3"/>
  <c r="K9" i="3"/>
  <c r="K1465" i="3" l="1"/>
  <c r="K1500" i="3"/>
  <c r="K1524" i="3"/>
  <c r="K667" i="3"/>
  <c r="K1121" i="3"/>
  <c r="K1122" i="3" s="1"/>
  <c r="K1133" i="3"/>
  <c r="O34" i="8"/>
  <c r="Y34" i="8" s="1"/>
  <c r="K1363" i="3"/>
  <c r="K665" i="3"/>
  <c r="K664" i="3"/>
  <c r="K1410" i="3"/>
  <c r="K1401" i="3"/>
  <c r="K1403" i="3"/>
  <c r="K360" i="3"/>
  <c r="K370" i="3"/>
  <c r="K620" i="3"/>
  <c r="K1382" i="3"/>
  <c r="K1296" i="3"/>
  <c r="K1297" i="3"/>
  <c r="K1383" i="3"/>
  <c r="K1380" i="3"/>
  <c r="K1376" i="3"/>
  <c r="K1413" i="3"/>
  <c r="O334" i="6"/>
  <c r="O341" i="6" s="1"/>
  <c r="O7" i="48" s="1"/>
  <c r="O320" i="6"/>
  <c r="O327" i="6" s="1"/>
  <c r="Y59" i="6"/>
  <c r="Y66" i="6"/>
  <c r="Y67" i="6" s="1"/>
  <c r="Y35" i="6"/>
  <c r="Y36" i="6"/>
  <c r="Y34" i="6"/>
  <c r="Y33" i="6"/>
  <c r="K1243" i="3"/>
  <c r="K1278" i="3" s="1"/>
  <c r="K1331" i="3"/>
  <c r="K1333" i="3"/>
  <c r="K1364" i="3"/>
  <c r="O37" i="6"/>
  <c r="K550" i="3"/>
  <c r="K228" i="3" s="1"/>
  <c r="K231" i="3" s="1"/>
  <c r="K35" i="3"/>
  <c r="K119" i="3"/>
  <c r="K120" i="3" s="1"/>
  <c r="K262" i="3"/>
  <c r="K477" i="3"/>
  <c r="K482" i="3" s="1"/>
  <c r="K386" i="3" s="1"/>
  <c r="K492" i="3"/>
  <c r="K538" i="3"/>
  <c r="K227" i="3" s="1"/>
  <c r="K230" i="3" s="1"/>
  <c r="K1007" i="3"/>
  <c r="K1008" i="3" s="1"/>
  <c r="K1016" i="3"/>
  <c r="K625" i="3"/>
  <c r="K295" i="3"/>
  <c r="K495" i="3"/>
  <c r="K497" i="3" s="1"/>
  <c r="K542" i="3"/>
  <c r="K566" i="3"/>
  <c r="K640" i="3"/>
  <c r="K235" i="3" s="1"/>
  <c r="K234" i="3" s="1"/>
  <c r="K1018" i="3"/>
  <c r="K1386" i="3"/>
  <c r="K1405" i="3"/>
  <c r="K1419" i="3"/>
  <c r="K21" i="3"/>
  <c r="K289" i="3"/>
  <c r="K546" i="3"/>
  <c r="K578" i="3"/>
  <c r="K1320" i="3"/>
  <c r="K1326" i="3"/>
  <c r="K1411" i="3"/>
  <c r="K1501" i="3"/>
  <c r="K1487" i="3"/>
  <c r="K1462" i="3"/>
  <c r="K1258" i="3"/>
  <c r="K1299" i="3"/>
  <c r="K1176" i="3"/>
  <c r="K1181" i="3"/>
  <c r="K1146" i="3"/>
  <c r="K1141" i="3"/>
  <c r="K512" i="3"/>
  <c r="K36" i="3"/>
  <c r="K264" i="3"/>
  <c r="K1371" i="3"/>
  <c r="K1372" i="3" s="1"/>
  <c r="K147" i="3"/>
  <c r="K98" i="3"/>
  <c r="K282" i="3"/>
  <c r="K1287" i="3"/>
  <c r="K1282" i="3"/>
  <c r="K1241" i="3"/>
  <c r="K274" i="3"/>
  <c r="K275" i="3" s="1"/>
  <c r="K1281" i="3"/>
  <c r="K1277" i="3"/>
  <c r="K1279" i="3"/>
  <c r="K1284" i="3"/>
  <c r="K1294" i="3"/>
  <c r="K1295" i="3" s="1"/>
  <c r="K1288" i="3"/>
  <c r="K376" i="3"/>
  <c r="K737" i="3"/>
  <c r="K37" i="3"/>
  <c r="K86" i="3"/>
  <c r="K92" i="3" s="1"/>
  <c r="K540" i="3"/>
  <c r="K548" i="3"/>
  <c r="K569" i="3"/>
  <c r="K581" i="3"/>
  <c r="K682" i="3"/>
  <c r="K687" i="3" s="1"/>
  <c r="K646" i="3" s="1"/>
  <c r="K720" i="3"/>
  <c r="K722" i="3" s="1"/>
  <c r="K726" i="3"/>
  <c r="K738" i="3"/>
  <c r="K742" i="3"/>
  <c r="K746" i="3"/>
  <c r="K1325" i="3"/>
  <c r="K1330" i="3"/>
  <c r="K1334" i="3"/>
  <c r="K1402" i="3"/>
  <c r="K1406" i="3"/>
  <c r="K1412" i="3"/>
  <c r="K1415" i="3" s="1"/>
  <c r="K1418" i="3"/>
  <c r="K525" i="3"/>
  <c r="K725" i="3"/>
  <c r="K731" i="3"/>
  <c r="K741" i="3"/>
  <c r="K745" i="3"/>
  <c r="K572" i="3"/>
  <c r="K733" i="3"/>
  <c r="K743" i="3"/>
  <c r="K520" i="3"/>
  <c r="K560" i="3"/>
  <c r="K584" i="3"/>
  <c r="K727" i="3"/>
  <c r="K739" i="3"/>
  <c r="K747" i="3"/>
  <c r="K24" i="3"/>
  <c r="K544" i="3"/>
  <c r="K563" i="3"/>
  <c r="K728" i="3"/>
  <c r="K740" i="3"/>
  <c r="K744" i="3"/>
  <c r="K1327" i="3"/>
  <c r="K1332" i="3"/>
  <c r="K1404" i="3"/>
  <c r="E34" i="35"/>
  <c r="E43" i="35" s="1"/>
  <c r="E44" i="35" s="1"/>
  <c r="F34" i="35"/>
  <c r="F43" i="35" s="1"/>
  <c r="G34" i="35"/>
  <c r="G43" i="35" s="1"/>
  <c r="G44" i="35" s="1"/>
  <c r="J34" i="35"/>
  <c r="J43" i="35" s="1"/>
  <c r="K34" i="35"/>
  <c r="K43" i="35" s="1"/>
  <c r="K44" i="35" s="1"/>
  <c r="E31" i="35"/>
  <c r="F31" i="35"/>
  <c r="G31" i="35"/>
  <c r="J31" i="35"/>
  <c r="K31" i="35"/>
  <c r="K387" i="3" l="1"/>
  <c r="K384" i="3"/>
  <c r="O343" i="6"/>
  <c r="O6" i="48"/>
  <c r="O8" i="48" s="1"/>
  <c r="Y37" i="6"/>
  <c r="K1408" i="3"/>
  <c r="K1421" i="3"/>
  <c r="K1276" i="3"/>
  <c r="K1244" i="3"/>
  <c r="K1286" i="3"/>
  <c r="K1289" i="3" s="1"/>
  <c r="K256" i="3" s="1"/>
  <c r="K1274" i="3"/>
  <c r="K1292" i="3"/>
  <c r="K1275" i="3"/>
  <c r="K1280" i="3"/>
  <c r="K1273" i="3"/>
  <c r="K1283" i="3"/>
  <c r="K385" i="3"/>
  <c r="K1335" i="3"/>
  <c r="E35" i="35"/>
  <c r="K526" i="3"/>
  <c r="K527" i="3" s="1"/>
  <c r="K532" i="3"/>
  <c r="K533" i="3" s="1"/>
  <c r="K749" i="3"/>
  <c r="K521" i="3"/>
  <c r="K645" i="3"/>
  <c r="K647" i="3"/>
  <c r="K648" i="3"/>
  <c r="K644" i="3"/>
  <c r="K643" i="3"/>
  <c r="K1328" i="3"/>
  <c r="K236" i="3"/>
  <c r="K35" i="35"/>
  <c r="F35" i="35"/>
  <c r="G35" i="35"/>
  <c r="J35" i="35"/>
  <c r="K642" i="3" l="1"/>
  <c r="K383" i="3"/>
  <c r="J55" i="11"/>
  <c r="J60" i="11"/>
  <c r="J65" i="11" s="1"/>
  <c r="J56" i="11"/>
  <c r="N56" i="11" s="1"/>
  <c r="R56" i="11" s="1"/>
  <c r="V56" i="11" s="1"/>
  <c r="AB56" i="11" s="1"/>
  <c r="AF56" i="11" s="1"/>
  <c r="AJ56" i="11" s="1"/>
  <c r="J116" i="10"/>
  <c r="N116" i="10" s="1"/>
  <c r="R116" i="10" s="1"/>
  <c r="V116" i="10" s="1"/>
  <c r="AB116" i="10" s="1"/>
  <c r="AF116" i="10" s="1"/>
  <c r="AJ116" i="10" s="1"/>
  <c r="AP116" i="10" s="1"/>
  <c r="AT116" i="10" s="1"/>
  <c r="AX116" i="10" s="1"/>
  <c r="BF116" i="10" s="1"/>
  <c r="J120" i="10"/>
  <c r="J125" i="10" s="1"/>
  <c r="J115" i="10"/>
  <c r="AP56" i="11" l="1"/>
  <c r="AT56" i="11" s="1"/>
  <c r="AX56" i="11" s="1"/>
  <c r="BF56" i="11" s="1"/>
  <c r="N55" i="11"/>
  <c r="R55" i="11" s="1"/>
  <c r="J57" i="11"/>
  <c r="J64" i="11" s="1"/>
  <c r="N115" i="10"/>
  <c r="J117" i="10"/>
  <c r="J124" i="10" s="1"/>
  <c r="N60" i="11"/>
  <c r="N120" i="10"/>
  <c r="N125" i="10" s="1"/>
  <c r="N65" i="11" l="1"/>
  <c r="R60" i="11"/>
  <c r="V55" i="11"/>
  <c r="R57" i="11"/>
  <c r="R64" i="11" s="1"/>
  <c r="R120" i="10"/>
  <c r="N57" i="11"/>
  <c r="N64" i="11" s="1"/>
  <c r="R115" i="10"/>
  <c r="N117" i="10"/>
  <c r="N124" i="10" s="1"/>
  <c r="AB55" i="11" l="1"/>
  <c r="V57" i="11"/>
  <c r="V64" i="11" s="1"/>
  <c r="V60" i="11"/>
  <c r="R65" i="11"/>
  <c r="R117" i="10"/>
  <c r="R124" i="10" s="1"/>
  <c r="V115" i="10"/>
  <c r="V120" i="10"/>
  <c r="R125" i="10"/>
  <c r="V65" i="11" l="1"/>
  <c r="AB60" i="11"/>
  <c r="AF55" i="11"/>
  <c r="AB57" i="11"/>
  <c r="AB64" i="11" s="1"/>
  <c r="V125" i="10"/>
  <c r="AB120" i="10"/>
  <c r="V117" i="10"/>
  <c r="V124" i="10" s="1"/>
  <c r="AB115" i="10"/>
  <c r="AF57" i="11" l="1"/>
  <c r="AF64" i="11" s="1"/>
  <c r="AJ55" i="11"/>
  <c r="AB117" i="10"/>
  <c r="AB124" i="10" s="1"/>
  <c r="AF115" i="10"/>
  <c r="AB125" i="10"/>
  <c r="AF120" i="10"/>
  <c r="AB65" i="11"/>
  <c r="AF60" i="11"/>
  <c r="I103" i="9"/>
  <c r="M103" i="9" s="1"/>
  <c r="Q103" i="9" s="1"/>
  <c r="U103" i="9" s="1"/>
  <c r="AA103" i="9" s="1"/>
  <c r="AE103" i="9" s="1"/>
  <c r="AI103" i="9" s="1"/>
  <c r="AO103" i="9" s="1"/>
  <c r="AS103" i="9" s="1"/>
  <c r="AW103" i="9" s="1"/>
  <c r="BE103" i="9" s="1"/>
  <c r="I104" i="9"/>
  <c r="I105" i="9"/>
  <c r="I106" i="9"/>
  <c r="I107" i="9"/>
  <c r="I108" i="9"/>
  <c r="I110" i="9"/>
  <c r="I111" i="9"/>
  <c r="M111" i="9" s="1"/>
  <c r="Q111" i="9" s="1"/>
  <c r="U111" i="9" s="1"/>
  <c r="AA111" i="9" s="1"/>
  <c r="AE111" i="9" s="1"/>
  <c r="AI111" i="9" s="1"/>
  <c r="AO111" i="9" s="1"/>
  <c r="AS111" i="9" s="1"/>
  <c r="AW111" i="9" s="1"/>
  <c r="BE111" i="9" s="1"/>
  <c r="I112" i="9"/>
  <c r="I113" i="9"/>
  <c r="M113" i="9" s="1"/>
  <c r="Q113" i="9" s="1"/>
  <c r="U113" i="9" s="1"/>
  <c r="AA113" i="9" s="1"/>
  <c r="AE113" i="9" s="1"/>
  <c r="AI113" i="9" s="1"/>
  <c r="AO113" i="9" s="1"/>
  <c r="AS113" i="9" s="1"/>
  <c r="AW113" i="9" s="1"/>
  <c r="BE113" i="9" s="1"/>
  <c r="I114" i="9"/>
  <c r="M114" i="9" s="1"/>
  <c r="Q114" i="9" s="1"/>
  <c r="U114" i="9" s="1"/>
  <c r="AA114" i="9" s="1"/>
  <c r="AE114" i="9" s="1"/>
  <c r="AI114" i="9" s="1"/>
  <c r="AO114" i="9" s="1"/>
  <c r="AS114" i="9" s="1"/>
  <c r="AW114" i="9" s="1"/>
  <c r="BE114" i="9" s="1"/>
  <c r="I115" i="9"/>
  <c r="M115" i="9" s="1"/>
  <c r="Q115" i="9" s="1"/>
  <c r="U115" i="9" s="1"/>
  <c r="AA115" i="9" s="1"/>
  <c r="AE115" i="9" s="1"/>
  <c r="AI115" i="9" s="1"/>
  <c r="AO115" i="9" s="1"/>
  <c r="AS115" i="9" s="1"/>
  <c r="AW115" i="9" s="1"/>
  <c r="BE115" i="9" s="1"/>
  <c r="I116" i="9"/>
  <c r="M116" i="9" s="1"/>
  <c r="Q116" i="9" s="1"/>
  <c r="U116" i="9" s="1"/>
  <c r="AA116" i="9" s="1"/>
  <c r="AE116" i="9" s="1"/>
  <c r="AI116" i="9" s="1"/>
  <c r="AO116" i="9" s="1"/>
  <c r="AS116" i="9" s="1"/>
  <c r="AW116" i="9" s="1"/>
  <c r="BE116" i="9" s="1"/>
  <c r="M106" i="9" l="1"/>
  <c r="I53" i="48"/>
  <c r="AF65" i="11"/>
  <c r="AJ60" i="11"/>
  <c r="AF117" i="10"/>
  <c r="AJ115" i="10"/>
  <c r="M110" i="9"/>
  <c r="I50" i="48"/>
  <c r="M105" i="9"/>
  <c r="I47" i="48"/>
  <c r="M108" i="9"/>
  <c r="I48" i="48"/>
  <c r="M104" i="9"/>
  <c r="I49" i="48"/>
  <c r="AF125" i="10"/>
  <c r="AJ120" i="10"/>
  <c r="AP55" i="11"/>
  <c r="AJ57" i="11"/>
  <c r="M112" i="9"/>
  <c r="I54" i="48"/>
  <c r="M107" i="9"/>
  <c r="I55" i="48"/>
  <c r="AF124" i="10"/>
  <c r="L28" i="22"/>
  <c r="L64" i="22" s="1"/>
  <c r="L65" i="22" s="1"/>
  <c r="L66" i="22" s="1"/>
  <c r="K40" i="48" s="1"/>
  <c r="L24" i="22"/>
  <c r="L26" i="22" s="1"/>
  <c r="L23" i="22"/>
  <c r="L51" i="22" s="1"/>
  <c r="L53" i="22" s="1"/>
  <c r="L55" i="22" s="1"/>
  <c r="L56" i="22" s="1"/>
  <c r="K26" i="48" s="1"/>
  <c r="K28" i="48" s="1"/>
  <c r="L14" i="22"/>
  <c r="L59" i="22" s="1"/>
  <c r="L60" i="22" s="1"/>
  <c r="L61" i="22" s="1"/>
  <c r="K37" i="48" s="1"/>
  <c r="L10" i="22"/>
  <c r="L12" i="22" s="1"/>
  <c r="L9" i="22"/>
  <c r="L43" i="22" s="1"/>
  <c r="L45" i="22" s="1"/>
  <c r="L47" i="22" s="1"/>
  <c r="L48" i="22" s="1"/>
  <c r="K21" i="48" s="1"/>
  <c r="K23" i="48" s="1"/>
  <c r="AJ125" i="10" l="1"/>
  <c r="AP120" i="10"/>
  <c r="AJ65" i="11"/>
  <c r="AP60" i="11"/>
  <c r="Q112" i="9"/>
  <c r="M54" i="48"/>
  <c r="Q108" i="9"/>
  <c r="M48" i="48"/>
  <c r="Q110" i="9"/>
  <c r="M50" i="48"/>
  <c r="AJ64" i="11"/>
  <c r="AP115" i="10"/>
  <c r="AJ117" i="10"/>
  <c r="AJ124" i="10" s="1"/>
  <c r="Q107" i="9"/>
  <c r="M55" i="48"/>
  <c r="AP57" i="11"/>
  <c r="AT55" i="11"/>
  <c r="Q104" i="9"/>
  <c r="M49" i="48"/>
  <c r="Q105" i="9"/>
  <c r="M47" i="48"/>
  <c r="Q106" i="9"/>
  <c r="M53" i="48"/>
  <c r="J19" i="27"/>
  <c r="J25" i="27" s="1"/>
  <c r="D9" i="15"/>
  <c r="D8" i="15"/>
  <c r="AT57" i="11" l="1"/>
  <c r="AX55" i="11"/>
  <c r="AT64" i="11"/>
  <c r="AP65" i="11"/>
  <c r="AT60" i="11"/>
  <c r="U106" i="9"/>
  <c r="Q53" i="48"/>
  <c r="U104" i="9"/>
  <c r="Q49" i="48"/>
  <c r="U107" i="9"/>
  <c r="Q55" i="48"/>
  <c r="U108" i="9"/>
  <c r="Q48" i="48"/>
  <c r="AP125" i="10"/>
  <c r="AT120" i="10"/>
  <c r="U105" i="9"/>
  <c r="Q47" i="48"/>
  <c r="AP64" i="11"/>
  <c r="AT115" i="10"/>
  <c r="AP117" i="10"/>
  <c r="AP124" i="10" s="1"/>
  <c r="U110" i="9"/>
  <c r="Q50" i="48"/>
  <c r="U112" i="9"/>
  <c r="Q54" i="48"/>
  <c r="J14" i="15"/>
  <c r="J15" i="15" s="1"/>
  <c r="J12" i="15"/>
  <c r="J13" i="15" s="1"/>
  <c r="J113" i="17"/>
  <c r="J81" i="17"/>
  <c r="J77" i="17"/>
  <c r="J66" i="17"/>
  <c r="J68" i="17" s="1"/>
  <c r="J60" i="17"/>
  <c r="J57" i="17"/>
  <c r="J56" i="17"/>
  <c r="J51" i="17"/>
  <c r="J50" i="17"/>
  <c r="J111" i="17" s="1"/>
  <c r="J47" i="17"/>
  <c r="J45" i="17"/>
  <c r="J43" i="17"/>
  <c r="J25" i="17"/>
  <c r="J18" i="17"/>
  <c r="J17" i="17"/>
  <c r="J15" i="17"/>
  <c r="J29" i="17" s="1"/>
  <c r="J14" i="17"/>
  <c r="J8" i="17"/>
  <c r="M25" i="36"/>
  <c r="F8" i="34"/>
  <c r="H8" i="34" s="1"/>
  <c r="J8" i="34" s="1"/>
  <c r="F12" i="34"/>
  <c r="H12" i="34" s="1"/>
  <c r="J12" i="34" s="1"/>
  <c r="F14" i="34"/>
  <c r="H14" i="34" s="1"/>
  <c r="J14" i="34" s="1"/>
  <c r="F16" i="34"/>
  <c r="H16" i="34" s="1"/>
  <c r="J16" i="34" s="1"/>
  <c r="F17" i="34"/>
  <c r="H17" i="34" s="1"/>
  <c r="J17" i="34" s="1"/>
  <c r="F18" i="34"/>
  <c r="H18" i="34" s="1"/>
  <c r="J18" i="34" s="1"/>
  <c r="F20" i="34"/>
  <c r="H20" i="34" s="1"/>
  <c r="J20" i="34" s="1"/>
  <c r="D8" i="34"/>
  <c r="D12" i="34"/>
  <c r="D14" i="34"/>
  <c r="D16" i="34"/>
  <c r="D17" i="34"/>
  <c r="D18" i="34"/>
  <c r="D20" i="34"/>
  <c r="G61" i="32"/>
  <c r="H61" i="32"/>
  <c r="F61" i="32"/>
  <c r="K129" i="9"/>
  <c r="J90" i="9"/>
  <c r="J87" i="9"/>
  <c r="J66" i="9"/>
  <c r="J65" i="9"/>
  <c r="J64" i="9"/>
  <c r="J63" i="9"/>
  <c r="J62" i="9"/>
  <c r="J61" i="9"/>
  <c r="J60" i="9"/>
  <c r="J59" i="9"/>
  <c r="J57" i="9"/>
  <c r="J56" i="9"/>
  <c r="J53" i="9"/>
  <c r="J55" i="9" s="1"/>
  <c r="J45" i="9"/>
  <c r="J29" i="9"/>
  <c r="J26" i="9"/>
  <c r="J24" i="9"/>
  <c r="J79" i="8"/>
  <c r="J46" i="8"/>
  <c r="J47" i="8" s="1"/>
  <c r="J74" i="8" s="1"/>
  <c r="J30" i="8"/>
  <c r="J29" i="8"/>
  <c r="J28" i="8"/>
  <c r="J68" i="8" s="1"/>
  <c r="J27" i="8"/>
  <c r="J60" i="8" s="1"/>
  <c r="J64" i="8" s="1"/>
  <c r="J19" i="8"/>
  <c r="J13" i="8"/>
  <c r="J16" i="8" s="1"/>
  <c r="J112" i="17" l="1"/>
  <c r="BF55" i="11"/>
  <c r="BF57" i="11" s="1"/>
  <c r="AX57" i="11"/>
  <c r="AT65" i="11"/>
  <c r="AX60" i="11"/>
  <c r="AA112" i="9"/>
  <c r="U54" i="48"/>
  <c r="AX115" i="10"/>
  <c r="AT117" i="10"/>
  <c r="AA105" i="9"/>
  <c r="U47" i="48"/>
  <c r="AA108" i="9"/>
  <c r="U48" i="48"/>
  <c r="AA104" i="9"/>
  <c r="U49" i="48"/>
  <c r="J49" i="17"/>
  <c r="J53" i="17" s="1"/>
  <c r="AT125" i="10"/>
  <c r="AX120" i="10"/>
  <c r="AA110" i="9"/>
  <c r="U50" i="48"/>
  <c r="AA107" i="9"/>
  <c r="U55" i="48"/>
  <c r="AA106" i="9"/>
  <c r="U53" i="48"/>
  <c r="M16" i="34"/>
  <c r="O16" i="34" s="1"/>
  <c r="Q16" i="34" s="1"/>
  <c r="M20" i="34"/>
  <c r="O20" i="34" s="1"/>
  <c r="Q20" i="34" s="1"/>
  <c r="T20" i="34" s="1"/>
  <c r="J10" i="17"/>
  <c r="J21" i="17"/>
  <c r="J32" i="17" s="1"/>
  <c r="J58" i="17"/>
  <c r="J61" i="17" s="1"/>
  <c r="K33" i="9"/>
  <c r="K39" i="9" s="1"/>
  <c r="J115" i="17"/>
  <c r="K10" i="9"/>
  <c r="K44" i="9"/>
  <c r="J54" i="17"/>
  <c r="J27" i="9"/>
  <c r="J82" i="9" s="1"/>
  <c r="J34" i="8"/>
  <c r="J35" i="8"/>
  <c r="AX117" i="10" l="1"/>
  <c r="BF115" i="10"/>
  <c r="BF117" i="10" s="1"/>
  <c r="BF124" i="10" s="1"/>
  <c r="AX64" i="11"/>
  <c r="BF64" i="11"/>
  <c r="AX125" i="10"/>
  <c r="BF120" i="10"/>
  <c r="BF125" i="10" s="1"/>
  <c r="BF60" i="11"/>
  <c r="BF65" i="11" s="1"/>
  <c r="AX65" i="11"/>
  <c r="J110" i="17"/>
  <c r="J114" i="17" s="1"/>
  <c r="AE110" i="9"/>
  <c r="AA50" i="48"/>
  <c r="AE107" i="9"/>
  <c r="AA55" i="48"/>
  <c r="AT124" i="10"/>
  <c r="AE108" i="9"/>
  <c r="AA48" i="48"/>
  <c r="AX124" i="10"/>
  <c r="AE106" i="9"/>
  <c r="AA53" i="48"/>
  <c r="AE104" i="9"/>
  <c r="AA49" i="48"/>
  <c r="AE105" i="9"/>
  <c r="AA47" i="48"/>
  <c r="AE112" i="9"/>
  <c r="AA54" i="48"/>
  <c r="T16" i="34"/>
  <c r="V16" i="34" s="1"/>
  <c r="X16" i="34" s="1"/>
  <c r="AB16" i="34" s="1"/>
  <c r="J59" i="17"/>
  <c r="J33" i="17"/>
  <c r="J30" i="17"/>
  <c r="J31" i="17"/>
  <c r="K14" i="9"/>
  <c r="J28" i="9"/>
  <c r="AI105" i="9" l="1"/>
  <c r="AE47" i="48"/>
  <c r="AI106" i="9"/>
  <c r="AE53" i="48"/>
  <c r="AI108" i="9"/>
  <c r="AE48" i="48"/>
  <c r="AI107" i="9"/>
  <c r="AE55" i="48"/>
  <c r="AI112" i="9"/>
  <c r="AE54" i="48"/>
  <c r="AI104" i="9"/>
  <c r="AE49" i="48"/>
  <c r="AI110" i="9"/>
  <c r="AE50" i="48"/>
  <c r="M16" i="39"/>
  <c r="L16" i="39"/>
  <c r="AO104" i="9" l="1"/>
  <c r="AI49" i="48"/>
  <c r="AO107" i="9"/>
  <c r="AI55" i="48"/>
  <c r="AO106" i="9"/>
  <c r="AI53" i="48"/>
  <c r="AO110" i="9"/>
  <c r="AI50" i="48"/>
  <c r="AO112" i="9"/>
  <c r="AI54" i="48"/>
  <c r="AO108" i="9"/>
  <c r="AI48" i="48"/>
  <c r="AO105" i="9"/>
  <c r="AI47" i="48"/>
  <c r="K69" i="7"/>
  <c r="J62" i="7"/>
  <c r="K58" i="7"/>
  <c r="J58" i="7"/>
  <c r="J60" i="7" s="1"/>
  <c r="K182" i="6"/>
  <c r="K155" i="6"/>
  <c r="AS108" i="9" l="1"/>
  <c r="AO48" i="48"/>
  <c r="AS110" i="9"/>
  <c r="AO50" i="48"/>
  <c r="AS107" i="9"/>
  <c r="AO55" i="48"/>
  <c r="AS105" i="9"/>
  <c r="AO47" i="48"/>
  <c r="AS112" i="9"/>
  <c r="AO54" i="48"/>
  <c r="AS106" i="9"/>
  <c r="AO53" i="48"/>
  <c r="AS104" i="9"/>
  <c r="AO49" i="48"/>
  <c r="K60" i="7"/>
  <c r="K62" i="7"/>
  <c r="AW105" i="9" l="1"/>
  <c r="BE105" i="9" s="1"/>
  <c r="AS47" i="48"/>
  <c r="AW106" i="9"/>
  <c r="BE106" i="9" s="1"/>
  <c r="AS53" i="48"/>
  <c r="AW110" i="9"/>
  <c r="BE110" i="9" s="1"/>
  <c r="AS50" i="48"/>
  <c r="AW104" i="9"/>
  <c r="BE104" i="9" s="1"/>
  <c r="AS49" i="48"/>
  <c r="AW112" i="9"/>
  <c r="BE112" i="9" s="1"/>
  <c r="AS54" i="48"/>
  <c r="AW107" i="9"/>
  <c r="BE107" i="9" s="1"/>
  <c r="AS55" i="48"/>
  <c r="AW108" i="9"/>
  <c r="BE108" i="9" s="1"/>
  <c r="AS48" i="48"/>
  <c r="Q52" i="38"/>
  <c r="O52" i="38"/>
  <c r="L24" i="11"/>
  <c r="L25" i="11"/>
  <c r="L26" i="11"/>
  <c r="L11" i="11"/>
  <c r="L17" i="11"/>
  <c r="L22" i="11"/>
  <c r="L23" i="11"/>
  <c r="L21" i="11"/>
  <c r="J33" i="11"/>
  <c r="N33" i="11" s="1"/>
  <c r="R33" i="11" s="1"/>
  <c r="V33" i="11" s="1"/>
  <c r="AB33" i="11" s="1"/>
  <c r="AF33" i="11" s="1"/>
  <c r="AJ33" i="11" s="1"/>
  <c r="AP33" i="11" s="1"/>
  <c r="AT33" i="11" s="1"/>
  <c r="AX33" i="11" s="1"/>
  <c r="BF33" i="11" s="1"/>
  <c r="J32" i="11"/>
  <c r="N32" i="11" s="1"/>
  <c r="R32" i="11" s="1"/>
  <c r="V32" i="11" s="1"/>
  <c r="J31" i="11"/>
  <c r="N31" i="11" s="1"/>
  <c r="R31" i="11" s="1"/>
  <c r="V31" i="11" s="1"/>
  <c r="AB31" i="11" s="1"/>
  <c r="AF31" i="11" s="1"/>
  <c r="AJ31" i="11" s="1"/>
  <c r="AP31" i="11" s="1"/>
  <c r="AT31" i="11" s="1"/>
  <c r="AX31" i="11" s="1"/>
  <c r="BF31" i="11" s="1"/>
  <c r="J30" i="11"/>
  <c r="N30" i="11" s="1"/>
  <c r="R30" i="11" s="1"/>
  <c r="V30" i="11" s="1"/>
  <c r="AB30" i="11" s="1"/>
  <c r="AF30" i="11" s="1"/>
  <c r="AJ30" i="11" s="1"/>
  <c r="AP30" i="11" s="1"/>
  <c r="AT30" i="11" s="1"/>
  <c r="AX30" i="11" s="1"/>
  <c r="BF30" i="11" s="1"/>
  <c r="J29" i="11"/>
  <c r="N29" i="11" s="1"/>
  <c r="R29" i="11" s="1"/>
  <c r="V29" i="11" s="1"/>
  <c r="AB29" i="11" s="1"/>
  <c r="AF29" i="11" s="1"/>
  <c r="AJ29" i="11" s="1"/>
  <c r="AP29" i="11" s="1"/>
  <c r="AT29" i="11" s="1"/>
  <c r="AX29" i="11" s="1"/>
  <c r="BF29" i="11" s="1"/>
  <c r="J27" i="11"/>
  <c r="J26" i="11"/>
  <c r="N26" i="11" s="1"/>
  <c r="R26" i="11" s="1"/>
  <c r="V26" i="11" s="1"/>
  <c r="AB26" i="11" s="1"/>
  <c r="AF26" i="11" s="1"/>
  <c r="AJ26" i="11" s="1"/>
  <c r="AP26" i="11" s="1"/>
  <c r="AT26" i="11" s="1"/>
  <c r="AX26" i="11" s="1"/>
  <c r="BF26" i="11" s="1"/>
  <c r="J25" i="11"/>
  <c r="J24" i="11"/>
  <c r="J20" i="11"/>
  <c r="N20" i="11" s="1"/>
  <c r="R20" i="11" s="1"/>
  <c r="V20" i="11" s="1"/>
  <c r="AB20" i="11" s="1"/>
  <c r="AF20" i="11" s="1"/>
  <c r="AJ20" i="11" s="1"/>
  <c r="AP20" i="11" s="1"/>
  <c r="AT20" i="11" s="1"/>
  <c r="AX20" i="11" s="1"/>
  <c r="BF20" i="11" s="1"/>
  <c r="J18" i="11"/>
  <c r="N18" i="11" s="1"/>
  <c r="R18" i="11" s="1"/>
  <c r="V18" i="11" s="1"/>
  <c r="AB18" i="11" s="1"/>
  <c r="AF18" i="11" s="1"/>
  <c r="AJ18" i="11" s="1"/>
  <c r="AP18" i="11" s="1"/>
  <c r="AT18" i="11" s="1"/>
  <c r="AX18" i="11" s="1"/>
  <c r="BF18" i="11" s="1"/>
  <c r="J15" i="11"/>
  <c r="N15" i="11" s="1"/>
  <c r="R15" i="11" s="1"/>
  <c r="V15" i="11" s="1"/>
  <c r="AB15" i="11" s="1"/>
  <c r="AF15" i="11" s="1"/>
  <c r="AJ15" i="11" s="1"/>
  <c r="AP15" i="11" s="1"/>
  <c r="J12" i="11"/>
  <c r="N12" i="11" s="1"/>
  <c r="R12" i="11" s="1"/>
  <c r="V12" i="11" s="1"/>
  <c r="AB12" i="11" s="1"/>
  <c r="AF12" i="11" s="1"/>
  <c r="AJ12" i="11" s="1"/>
  <c r="AP12" i="11" s="1"/>
  <c r="AT12" i="11" s="1"/>
  <c r="AX12" i="11" s="1"/>
  <c r="BF12" i="11" s="1"/>
  <c r="J11" i="11"/>
  <c r="J10" i="11"/>
  <c r="N10" i="11" s="1"/>
  <c r="R10" i="11" s="1"/>
  <c r="V10" i="11" s="1"/>
  <c r="AB10" i="11" s="1"/>
  <c r="AF10" i="11" s="1"/>
  <c r="AJ10" i="11" s="1"/>
  <c r="AP10" i="11" s="1"/>
  <c r="AT10" i="11" s="1"/>
  <c r="L48" i="11"/>
  <c r="L49" i="11" s="1"/>
  <c r="L46" i="11"/>
  <c r="K46" i="11"/>
  <c r="K44" i="11"/>
  <c r="K41" i="11"/>
  <c r="K42" i="11" s="1"/>
  <c r="L77" i="10"/>
  <c r="N77" i="10" s="1"/>
  <c r="R77" i="10" s="1"/>
  <c r="V77" i="10" s="1"/>
  <c r="AB77" i="10" s="1"/>
  <c r="AF77" i="10" s="1"/>
  <c r="AJ77" i="10" s="1"/>
  <c r="AP77" i="10" s="1"/>
  <c r="AT77" i="10" s="1"/>
  <c r="AX77" i="10" s="1"/>
  <c r="BF77" i="10" s="1"/>
  <c r="L57" i="10"/>
  <c r="L55" i="10"/>
  <c r="N55" i="10" s="1"/>
  <c r="R55" i="10" s="1"/>
  <c r="V55" i="10" s="1"/>
  <c r="AB55" i="10" s="1"/>
  <c r="AF55" i="10" s="1"/>
  <c r="AJ55" i="10" s="1"/>
  <c r="AP55" i="10" s="1"/>
  <c r="AT55" i="10" s="1"/>
  <c r="AX55" i="10" s="1"/>
  <c r="BF55" i="10" s="1"/>
  <c r="L32" i="10"/>
  <c r="N32" i="10" s="1"/>
  <c r="R32" i="10" s="1"/>
  <c r="V32" i="10" s="1"/>
  <c r="AB32" i="10" s="1"/>
  <c r="AF32" i="10" s="1"/>
  <c r="AJ32" i="10" s="1"/>
  <c r="AP32" i="10" s="1"/>
  <c r="AT32" i="10" s="1"/>
  <c r="AX32" i="10" s="1"/>
  <c r="BF32" i="10" s="1"/>
  <c r="L30" i="10"/>
  <c r="N30" i="10" s="1"/>
  <c r="R30" i="10" s="1"/>
  <c r="V30" i="10" s="1"/>
  <c r="AB30" i="10" s="1"/>
  <c r="AF30" i="10" s="1"/>
  <c r="AJ30" i="10" s="1"/>
  <c r="AP30" i="10" s="1"/>
  <c r="AT30" i="10" s="1"/>
  <c r="AX30" i="10" s="1"/>
  <c r="BF30" i="10" s="1"/>
  <c r="L27" i="10"/>
  <c r="L18" i="10"/>
  <c r="N18" i="10" s="1"/>
  <c r="R18" i="10" s="1"/>
  <c r="V18" i="10" s="1"/>
  <c r="AB18" i="10" s="1"/>
  <c r="AF18" i="10" s="1"/>
  <c r="AJ18" i="10" s="1"/>
  <c r="AP18" i="10" s="1"/>
  <c r="AT18" i="10" s="1"/>
  <c r="AX18" i="10" s="1"/>
  <c r="BF18" i="10" s="1"/>
  <c r="L11" i="10"/>
  <c r="N11" i="10" s="1"/>
  <c r="R11" i="10" s="1"/>
  <c r="V11" i="10" s="1"/>
  <c r="AB11" i="10" s="1"/>
  <c r="AF11" i="10" s="1"/>
  <c r="AJ11" i="10" s="1"/>
  <c r="AP11" i="10" s="1"/>
  <c r="AT11" i="10" s="1"/>
  <c r="AX11" i="10" s="1"/>
  <c r="BF11" i="10" s="1"/>
  <c r="L8" i="10"/>
  <c r="L7" i="10"/>
  <c r="L38" i="11" l="1"/>
  <c r="L98" i="10"/>
  <c r="N8" i="10"/>
  <c r="R8" i="10" s="1"/>
  <c r="V8" i="10" s="1"/>
  <c r="AB8" i="10" s="1"/>
  <c r="AF8" i="10" s="1"/>
  <c r="AJ8" i="10" s="1"/>
  <c r="AP8" i="10" s="1"/>
  <c r="AT8" i="10" s="1"/>
  <c r="AX8" i="10" s="1"/>
  <c r="BF8" i="10" s="1"/>
  <c r="AT15" i="11"/>
  <c r="AX15" i="11" s="1"/>
  <c r="BF15" i="11" s="1"/>
  <c r="AX10" i="11"/>
  <c r="BF10" i="11" s="1"/>
  <c r="L34" i="11"/>
  <c r="L66" i="11" s="1"/>
  <c r="AB32" i="11"/>
  <c r="AF32" i="11" s="1"/>
  <c r="AJ32" i="11" s="1"/>
  <c r="AP32" i="11" s="1"/>
  <c r="AT32" i="11" s="1"/>
  <c r="AX32" i="11" s="1"/>
  <c r="BF32" i="11" s="1"/>
  <c r="N25" i="11"/>
  <c r="R25" i="11" s="1"/>
  <c r="V25" i="11" s="1"/>
  <c r="AB25" i="11" s="1"/>
  <c r="AF25" i="11" s="1"/>
  <c r="AJ25" i="11" s="1"/>
  <c r="AP25" i="11" s="1"/>
  <c r="AT25" i="11" s="1"/>
  <c r="N27" i="11"/>
  <c r="R27" i="11" s="1"/>
  <c r="V27" i="11" s="1"/>
  <c r="AB27" i="11" s="1"/>
  <c r="J36" i="11"/>
  <c r="J67" i="11" s="1"/>
  <c r="N11" i="11"/>
  <c r="N24" i="11"/>
  <c r="R24" i="11" s="1"/>
  <c r="V24" i="11" s="1"/>
  <c r="AB24" i="11" s="1"/>
  <c r="AF24" i="11" s="1"/>
  <c r="AJ24" i="11" s="1"/>
  <c r="AP24" i="11" s="1"/>
  <c r="AT24" i="11" s="1"/>
  <c r="AX24" i="11" s="1"/>
  <c r="BF24" i="11" s="1"/>
  <c r="AX25" i="11" l="1"/>
  <c r="BF25" i="11" s="1"/>
  <c r="R11" i="11"/>
  <c r="AF27" i="11"/>
  <c r="AB36" i="11"/>
  <c r="V36" i="11"/>
  <c r="L68" i="11"/>
  <c r="L70" i="11"/>
  <c r="L35" i="11"/>
  <c r="L39" i="11"/>
  <c r="J59" i="11"/>
  <c r="R36" i="11"/>
  <c r="N36" i="11"/>
  <c r="N67" i="11" s="1"/>
  <c r="L108" i="10"/>
  <c r="L109" i="10" s="1"/>
  <c r="L106" i="10"/>
  <c r="K106" i="10"/>
  <c r="L104" i="10"/>
  <c r="K104" i="10"/>
  <c r="K101" i="10"/>
  <c r="K102" i="10" s="1"/>
  <c r="AP96" i="10"/>
  <c r="AP119" i="10" l="1"/>
  <c r="AP127" i="10"/>
  <c r="AF36" i="11"/>
  <c r="AF59" i="11" s="1"/>
  <c r="AJ27" i="11"/>
  <c r="V11" i="11"/>
  <c r="V59" i="11"/>
  <c r="V67" i="11"/>
  <c r="AB67" i="11"/>
  <c r="AB59" i="11"/>
  <c r="R67" i="11"/>
  <c r="R59" i="11"/>
  <c r="N59" i="11"/>
  <c r="J96" i="10"/>
  <c r="J127" i="10" s="1"/>
  <c r="L53" i="11"/>
  <c r="K53" i="11"/>
  <c r="K94" i="10"/>
  <c r="K113" i="10" s="1"/>
  <c r="G94" i="10"/>
  <c r="E94" i="10"/>
  <c r="AJ36" i="11" l="1"/>
  <c r="AJ59" i="11" s="1"/>
  <c r="AP27" i="11"/>
  <c r="AF67" i="11"/>
  <c r="AB11" i="11"/>
  <c r="J119" i="10"/>
  <c r="N96" i="10"/>
  <c r="N127" i="10" s="1"/>
  <c r="K138" i="35"/>
  <c r="K19" i="35" s="1"/>
  <c r="G8" i="37"/>
  <c r="I8" i="37" s="1"/>
  <c r="K8" i="37" s="1"/>
  <c r="M8" i="37" s="1"/>
  <c r="P8" i="37" s="1"/>
  <c r="R8" i="37" s="1"/>
  <c r="T8" i="37" s="1"/>
  <c r="W8" i="37" s="1"/>
  <c r="Y8" i="37" s="1"/>
  <c r="AA8" i="37" s="1"/>
  <c r="AE8" i="37" s="1"/>
  <c r="G7" i="37"/>
  <c r="I7" i="37" s="1"/>
  <c r="K7" i="37" s="1"/>
  <c r="M7" i="37" s="1"/>
  <c r="P7" i="37" s="1"/>
  <c r="R7" i="37" s="1"/>
  <c r="T7" i="37" s="1"/>
  <c r="W7" i="37" s="1"/>
  <c r="Y7" i="37" s="1"/>
  <c r="AA7" i="37" s="1"/>
  <c r="AE7" i="37" s="1"/>
  <c r="G84" i="37"/>
  <c r="I84" i="37" s="1"/>
  <c r="K84" i="37" s="1"/>
  <c r="M84" i="37" s="1"/>
  <c r="P84" i="37" s="1"/>
  <c r="R84" i="37" s="1"/>
  <c r="T84" i="37" s="1"/>
  <c r="W84" i="37" s="1"/>
  <c r="Y84" i="37" s="1"/>
  <c r="AA84" i="37" s="1"/>
  <c r="AE84" i="37" s="1"/>
  <c r="G87" i="37"/>
  <c r="G12" i="37"/>
  <c r="I12" i="37" s="1"/>
  <c r="K12" i="37" s="1"/>
  <c r="M12" i="37" s="1"/>
  <c r="P12" i="37" s="1"/>
  <c r="R12" i="37" s="1"/>
  <c r="T12" i="37" s="1"/>
  <c r="W12" i="37" s="1"/>
  <c r="Y12" i="37" s="1"/>
  <c r="AA12" i="37" s="1"/>
  <c r="AE12" i="37" s="1"/>
  <c r="G13" i="37"/>
  <c r="I13" i="37" s="1"/>
  <c r="K13" i="37" s="1"/>
  <c r="M13" i="37" s="1"/>
  <c r="P13" i="37" s="1"/>
  <c r="R13" i="37" s="1"/>
  <c r="T13" i="37" s="1"/>
  <c r="W13" i="37" s="1"/>
  <c r="Y13" i="37" s="1"/>
  <c r="AA13" i="37" s="1"/>
  <c r="AE13" i="37" s="1"/>
  <c r="G14" i="37"/>
  <c r="I14" i="37" s="1"/>
  <c r="K14" i="37" s="1"/>
  <c r="M14" i="37" s="1"/>
  <c r="P14" i="37" s="1"/>
  <c r="R14" i="37" s="1"/>
  <c r="T14" i="37" s="1"/>
  <c r="W14" i="37" s="1"/>
  <c r="Y14" i="37" s="1"/>
  <c r="AA14" i="37" s="1"/>
  <c r="AE14" i="37" s="1"/>
  <c r="G15" i="37"/>
  <c r="I15" i="37" s="1"/>
  <c r="K15" i="37" s="1"/>
  <c r="M15" i="37" s="1"/>
  <c r="P15" i="37" s="1"/>
  <c r="R15" i="37" s="1"/>
  <c r="T15" i="37" s="1"/>
  <c r="W15" i="37" s="1"/>
  <c r="Y15" i="37" s="1"/>
  <c r="AA15" i="37" s="1"/>
  <c r="AE15" i="37" s="1"/>
  <c r="G17" i="37"/>
  <c r="I17" i="37" s="1"/>
  <c r="K17" i="37" s="1"/>
  <c r="M17" i="37" s="1"/>
  <c r="P17" i="37" s="1"/>
  <c r="R17" i="37" s="1"/>
  <c r="T17" i="37" s="1"/>
  <c r="W17" i="37" s="1"/>
  <c r="Y17" i="37" s="1"/>
  <c r="AA17" i="37" s="1"/>
  <c r="AE17" i="37" s="1"/>
  <c r="G20" i="37"/>
  <c r="I20" i="37" s="1"/>
  <c r="K20" i="37" s="1"/>
  <c r="M20" i="37" s="1"/>
  <c r="P20" i="37" s="1"/>
  <c r="R20" i="37" s="1"/>
  <c r="T20" i="37" s="1"/>
  <c r="W20" i="37" s="1"/>
  <c r="Y20" i="37" s="1"/>
  <c r="AA20" i="37" s="1"/>
  <c r="AE20" i="37" s="1"/>
  <c r="AH144" i="37" s="1"/>
  <c r="AH145" i="37" s="1"/>
  <c r="G28" i="37"/>
  <c r="I28" i="37" s="1"/>
  <c r="K28" i="37" s="1"/>
  <c r="M28" i="37" s="1"/>
  <c r="P28" i="37" s="1"/>
  <c r="R28" i="37" s="1"/>
  <c r="T28" i="37" s="1"/>
  <c r="W28" i="37" s="1"/>
  <c r="Y28" i="37" s="1"/>
  <c r="AA28" i="37" s="1"/>
  <c r="AE28" i="37" s="1"/>
  <c r="G29" i="37"/>
  <c r="I29" i="37" s="1"/>
  <c r="K29" i="37" s="1"/>
  <c r="M29" i="37" s="1"/>
  <c r="P29" i="37" s="1"/>
  <c r="R29" i="37" s="1"/>
  <c r="T29" i="37" s="1"/>
  <c r="W29" i="37" s="1"/>
  <c r="Y29" i="37" s="1"/>
  <c r="AA29" i="37" s="1"/>
  <c r="AE29" i="37" s="1"/>
  <c r="G30" i="37"/>
  <c r="I30" i="37" s="1"/>
  <c r="K30" i="37" s="1"/>
  <c r="M30" i="37" s="1"/>
  <c r="P30" i="37" s="1"/>
  <c r="R30" i="37" s="1"/>
  <c r="T30" i="37" s="1"/>
  <c r="W30" i="37" s="1"/>
  <c r="Y30" i="37" s="1"/>
  <c r="AA30" i="37" s="1"/>
  <c r="AE30" i="37" s="1"/>
  <c r="G38" i="37"/>
  <c r="I38" i="37" s="1"/>
  <c r="K38" i="37" s="1"/>
  <c r="M38" i="37" s="1"/>
  <c r="P38" i="37" s="1"/>
  <c r="R38" i="37" s="1"/>
  <c r="T38" i="37" s="1"/>
  <c r="W38" i="37" s="1"/>
  <c r="Y38" i="37" s="1"/>
  <c r="AA38" i="37" s="1"/>
  <c r="AE38" i="37" s="1"/>
  <c r="G40" i="37"/>
  <c r="I40" i="37" s="1"/>
  <c r="K40" i="37" s="1"/>
  <c r="M40" i="37" s="1"/>
  <c r="P40" i="37" s="1"/>
  <c r="R40" i="37" s="1"/>
  <c r="T40" i="37" s="1"/>
  <c r="W40" i="37" s="1"/>
  <c r="Y40" i="37" s="1"/>
  <c r="AA40" i="37" s="1"/>
  <c r="AE40" i="37" s="1"/>
  <c r="G43" i="37"/>
  <c r="I43" i="37" s="1"/>
  <c r="K43" i="37" s="1"/>
  <c r="M43" i="37" s="1"/>
  <c r="P43" i="37" s="1"/>
  <c r="R43" i="37" s="1"/>
  <c r="T43" i="37" s="1"/>
  <c r="W43" i="37" s="1"/>
  <c r="Y43" i="37" s="1"/>
  <c r="AA43" i="37" s="1"/>
  <c r="AE43" i="37" s="1"/>
  <c r="G50" i="37"/>
  <c r="I50" i="37" s="1"/>
  <c r="K50" i="37" s="1"/>
  <c r="M50" i="37" s="1"/>
  <c r="P50" i="37" s="1"/>
  <c r="R50" i="37" s="1"/>
  <c r="T50" i="37" s="1"/>
  <c r="W50" i="37" s="1"/>
  <c r="Y50" i="37" s="1"/>
  <c r="AA50" i="37" s="1"/>
  <c r="AE50" i="37" s="1"/>
  <c r="G51" i="37"/>
  <c r="I51" i="37" s="1"/>
  <c r="K51" i="37" s="1"/>
  <c r="M51" i="37" s="1"/>
  <c r="G53" i="37"/>
  <c r="I53" i="37" s="1"/>
  <c r="K53" i="37" s="1"/>
  <c r="M53" i="37" s="1"/>
  <c r="G56" i="37"/>
  <c r="I56" i="37" s="1"/>
  <c r="K56" i="37" s="1"/>
  <c r="M56" i="37" s="1"/>
  <c r="P56" i="37" s="1"/>
  <c r="R56" i="37" s="1"/>
  <c r="T56" i="37" s="1"/>
  <c r="W56" i="37" s="1"/>
  <c r="Y56" i="37" s="1"/>
  <c r="AA56" i="37" s="1"/>
  <c r="AE56" i="37" s="1"/>
  <c r="G59" i="37"/>
  <c r="I59" i="37" s="1"/>
  <c r="K59" i="37" s="1"/>
  <c r="M59" i="37" s="1"/>
  <c r="P59" i="37" s="1"/>
  <c r="R59" i="37" s="1"/>
  <c r="T59" i="37" s="1"/>
  <c r="W59" i="37" s="1"/>
  <c r="Y59" i="37" s="1"/>
  <c r="AA59" i="37" s="1"/>
  <c r="AE59" i="37" s="1"/>
  <c r="M79" i="37"/>
  <c r="P79" i="37" s="1"/>
  <c r="R79" i="37" s="1"/>
  <c r="T79" i="37" s="1"/>
  <c r="W79" i="37" s="1"/>
  <c r="Y79" i="37" s="1"/>
  <c r="AA79" i="37" s="1"/>
  <c r="AE79" i="37" s="1"/>
  <c r="H93" i="37"/>
  <c r="H91" i="37" s="1"/>
  <c r="G311" i="28"/>
  <c r="G310" i="28"/>
  <c r="E311" i="28"/>
  <c r="E310" i="28"/>
  <c r="K311" i="28"/>
  <c r="K310" i="28"/>
  <c r="M254" i="28"/>
  <c r="Q254" i="28" s="1"/>
  <c r="U254" i="28" s="1"/>
  <c r="AA254" i="28" s="1"/>
  <c r="AE254" i="28" s="1"/>
  <c r="AI254" i="28" s="1"/>
  <c r="AO254" i="28" s="1"/>
  <c r="AS254" i="28" s="1"/>
  <c r="AW254" i="28" s="1"/>
  <c r="BE254" i="28" s="1"/>
  <c r="I271" i="28"/>
  <c r="M271" i="28" s="1"/>
  <c r="Q271" i="28" s="1"/>
  <c r="U271" i="28" s="1"/>
  <c r="AA271" i="28" s="1"/>
  <c r="AE271" i="28" s="1"/>
  <c r="AI271" i="28" s="1"/>
  <c r="AO271" i="28" s="1"/>
  <c r="AS271" i="28" s="1"/>
  <c r="AW271" i="28" s="1"/>
  <c r="BE271" i="28" s="1"/>
  <c r="AJ67" i="11" l="1"/>
  <c r="AT27" i="11"/>
  <c r="AP36" i="11"/>
  <c r="P51" i="37"/>
  <c r="R51" i="37" s="1"/>
  <c r="T51" i="37" s="1"/>
  <c r="W51" i="37" s="1"/>
  <c r="Y51" i="37" s="1"/>
  <c r="AA51" i="37" s="1"/>
  <c r="AE51" i="37" s="1"/>
  <c r="K11" i="15"/>
  <c r="H96" i="37"/>
  <c r="P53" i="37"/>
  <c r="R53" i="37" s="1"/>
  <c r="T53" i="37" s="1"/>
  <c r="W53" i="37" s="1"/>
  <c r="Y53" i="37" s="1"/>
  <c r="AA53" i="37" s="1"/>
  <c r="AE53" i="37" s="1"/>
  <c r="AF11" i="11"/>
  <c r="R96" i="10"/>
  <c r="R127" i="10" s="1"/>
  <c r="AJ96" i="10"/>
  <c r="I87" i="37"/>
  <c r="G88" i="37"/>
  <c r="N119" i="10"/>
  <c r="I1367" i="3"/>
  <c r="AP59" i="11" l="1"/>
  <c r="AP67" i="11"/>
  <c r="AX27" i="11"/>
  <c r="AT36" i="11"/>
  <c r="AJ11" i="11"/>
  <c r="AJ127" i="10"/>
  <c r="AJ119" i="10"/>
  <c r="V96" i="10"/>
  <c r="V127" i="10" s="1"/>
  <c r="R119" i="10"/>
  <c r="K87" i="37"/>
  <c r="I88" i="37"/>
  <c r="P94" i="38"/>
  <c r="P93" i="38"/>
  <c r="P92" i="38"/>
  <c r="P91" i="38"/>
  <c r="O90" i="38"/>
  <c r="P89" i="38"/>
  <c r="O88" i="38"/>
  <c r="P86" i="38"/>
  <c r="P85" i="38"/>
  <c r="P84" i="38"/>
  <c r="P83" i="38"/>
  <c r="O82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P68" i="38"/>
  <c r="P67" i="38"/>
  <c r="O66" i="38"/>
  <c r="P62" i="38"/>
  <c r="P61" i="38"/>
  <c r="O60" i="38"/>
  <c r="P59" i="38"/>
  <c r="P58" i="38"/>
  <c r="P57" i="38"/>
  <c r="P56" i="38"/>
  <c r="P55" i="38"/>
  <c r="O54" i="38"/>
  <c r="O46" i="38"/>
  <c r="O45" i="38"/>
  <c r="O44" i="38"/>
  <c r="O43" i="38"/>
  <c r="P42" i="38"/>
  <c r="O41" i="38"/>
  <c r="P40" i="38"/>
  <c r="O38" i="38"/>
  <c r="O37" i="38"/>
  <c r="O36" i="38"/>
  <c r="O35" i="38"/>
  <c r="P34" i="38"/>
  <c r="O32" i="38"/>
  <c r="O31" i="38"/>
  <c r="O30" i="38"/>
  <c r="O29" i="38"/>
  <c r="O28" i="38"/>
  <c r="O27" i="38"/>
  <c r="L60" i="45" s="1"/>
  <c r="L61" i="45" s="1"/>
  <c r="O26" i="38"/>
  <c r="O25" i="38"/>
  <c r="O24" i="38"/>
  <c r="O23" i="38"/>
  <c r="O22" i="38"/>
  <c r="O21" i="38"/>
  <c r="J69" i="7" s="1"/>
  <c r="O20" i="38"/>
  <c r="O19" i="38"/>
  <c r="P18" i="38"/>
  <c r="O14" i="38"/>
  <c r="O13" i="38"/>
  <c r="P12" i="38"/>
  <c r="O11" i="38"/>
  <c r="O10" i="38"/>
  <c r="O9" i="38"/>
  <c r="O8" i="38"/>
  <c r="O7" i="38"/>
  <c r="P6" i="38"/>
  <c r="AX36" i="11" l="1"/>
  <c r="AX67" i="11" s="1"/>
  <c r="BF27" i="11"/>
  <c r="BF36" i="11" s="1"/>
  <c r="AP11" i="11"/>
  <c r="AT59" i="11"/>
  <c r="AT67" i="11"/>
  <c r="AB96" i="10"/>
  <c r="AB127" i="10" s="1"/>
  <c r="AF96" i="10"/>
  <c r="V119" i="10"/>
  <c r="K88" i="37"/>
  <c r="M87" i="37"/>
  <c r="P87" i="37" s="1"/>
  <c r="J85" i="8"/>
  <c r="J86" i="8" s="1"/>
  <c r="J155" i="6"/>
  <c r="J182" i="6"/>
  <c r="J94" i="9"/>
  <c r="J95" i="9" s="1"/>
  <c r="P90" i="38"/>
  <c r="P39" i="38"/>
  <c r="P82" i="38"/>
  <c r="P17" i="38"/>
  <c r="P60" i="38"/>
  <c r="P15" i="38"/>
  <c r="O34" i="38"/>
  <c r="O87" i="38"/>
  <c r="O64" i="38" s="1"/>
  <c r="O42" i="38"/>
  <c r="O40" i="38"/>
  <c r="O18" i="38"/>
  <c r="K108" i="10"/>
  <c r="K109" i="10" s="1"/>
  <c r="K48" i="11"/>
  <c r="K49" i="11" s="1"/>
  <c r="O12" i="38"/>
  <c r="O6" i="38"/>
  <c r="O63" i="38"/>
  <c r="P54" i="38"/>
  <c r="P66" i="38"/>
  <c r="P88" i="38"/>
  <c r="I203" i="28"/>
  <c r="M203" i="28" s="1"/>
  <c r="Q203" i="28" s="1"/>
  <c r="U203" i="28" s="1"/>
  <c r="I206" i="28"/>
  <c r="M206" i="28" s="1"/>
  <c r="Q206" i="28" s="1"/>
  <c r="U206" i="28" s="1"/>
  <c r="I208" i="28"/>
  <c r="M208" i="28" s="1"/>
  <c r="Q208" i="28" s="1"/>
  <c r="U208" i="28" s="1"/>
  <c r="I209" i="28"/>
  <c r="M209" i="28" s="1"/>
  <c r="Q209" i="28" s="1"/>
  <c r="U209" i="28" s="1"/>
  <c r="I210" i="28"/>
  <c r="M210" i="28" s="1"/>
  <c r="Q210" i="28" s="1"/>
  <c r="U210" i="28" s="1"/>
  <c r="I211" i="28"/>
  <c r="M211" i="28" s="1"/>
  <c r="Q211" i="28" s="1"/>
  <c r="U211" i="28" s="1"/>
  <c r="I212" i="28"/>
  <c r="M212" i="28" s="1"/>
  <c r="Q212" i="28" s="1"/>
  <c r="U212" i="28" s="1"/>
  <c r="I214" i="28"/>
  <c r="M214" i="28" s="1"/>
  <c r="Q214" i="28" s="1"/>
  <c r="U214" i="28" s="1"/>
  <c r="I215" i="28"/>
  <c r="M215" i="28" s="1"/>
  <c r="Q215" i="28" s="1"/>
  <c r="U215" i="28" s="1"/>
  <c r="I216" i="28"/>
  <c r="M216" i="28" s="1"/>
  <c r="Q216" i="28" s="1"/>
  <c r="U216" i="28" s="1"/>
  <c r="I217" i="28"/>
  <c r="M217" i="28" s="1"/>
  <c r="Q217" i="28" s="1"/>
  <c r="U217" i="28" s="1"/>
  <c r="I219" i="28"/>
  <c r="M219" i="28" s="1"/>
  <c r="Q219" i="28" s="1"/>
  <c r="U219" i="28" s="1"/>
  <c r="I220" i="28"/>
  <c r="M220" i="28" s="1"/>
  <c r="Q220" i="28" s="1"/>
  <c r="U220" i="28" s="1"/>
  <c r="I222" i="28"/>
  <c r="M222" i="28" s="1"/>
  <c r="Q222" i="28" s="1"/>
  <c r="U222" i="28" s="1"/>
  <c r="I223" i="28"/>
  <c r="M223" i="28" s="1"/>
  <c r="Q223" i="28" s="1"/>
  <c r="U223" i="28" s="1"/>
  <c r="I224" i="28"/>
  <c r="M224" i="28" s="1"/>
  <c r="Q224" i="28" s="1"/>
  <c r="U224" i="28" s="1"/>
  <c r="I226" i="28"/>
  <c r="M226" i="28" s="1"/>
  <c r="Q226" i="28" s="1"/>
  <c r="U226" i="28" s="1"/>
  <c r="I227" i="28"/>
  <c r="M227" i="28" s="1"/>
  <c r="Q227" i="28" s="1"/>
  <c r="U227" i="28" s="1"/>
  <c r="I228" i="28"/>
  <c r="M228" i="28" s="1"/>
  <c r="Q228" i="28" s="1"/>
  <c r="U228" i="28" s="1"/>
  <c r="I230" i="28"/>
  <c r="M230" i="28" s="1"/>
  <c r="Q230" i="28" s="1"/>
  <c r="U230" i="28" s="1"/>
  <c r="I231" i="28"/>
  <c r="M231" i="28" s="1"/>
  <c r="Q231" i="28" s="1"/>
  <c r="U231" i="28" s="1"/>
  <c r="I232" i="28"/>
  <c r="M232" i="28" s="1"/>
  <c r="Q232" i="28" s="1"/>
  <c r="U232" i="28" s="1"/>
  <c r="I233" i="28"/>
  <c r="M233" i="28" s="1"/>
  <c r="Q233" i="28" s="1"/>
  <c r="U233" i="28" s="1"/>
  <c r="I236" i="28"/>
  <c r="M236" i="28" s="1"/>
  <c r="Q236" i="28" s="1"/>
  <c r="U236" i="28" s="1"/>
  <c r="I172" i="28"/>
  <c r="M172" i="28" s="1"/>
  <c r="Q172" i="28" s="1"/>
  <c r="U172" i="28" s="1"/>
  <c r="AA172" i="28" s="1"/>
  <c r="I193" i="28"/>
  <c r="M193" i="28" s="1"/>
  <c r="Q193" i="28" s="1"/>
  <c r="U193" i="28" s="1"/>
  <c r="AA193" i="28" s="1"/>
  <c r="I192" i="28"/>
  <c r="M192" i="28" s="1"/>
  <c r="Q192" i="28" s="1"/>
  <c r="U192" i="28" s="1"/>
  <c r="AA192" i="28" s="1"/>
  <c r="I173" i="28"/>
  <c r="M173" i="28" s="1"/>
  <c r="Q173" i="28" s="1"/>
  <c r="U173" i="28" s="1"/>
  <c r="AA173" i="28" s="1"/>
  <c r="I184" i="28"/>
  <c r="M184" i="28" s="1"/>
  <c r="Q184" i="28" s="1"/>
  <c r="U184" i="28" s="1"/>
  <c r="AA184" i="28" s="1"/>
  <c r="I185" i="28"/>
  <c r="M185" i="28" s="1"/>
  <c r="Q185" i="28" s="1"/>
  <c r="U185" i="28" s="1"/>
  <c r="AA185" i="28" s="1"/>
  <c r="I186" i="28"/>
  <c r="M186" i="28" s="1"/>
  <c r="Q186" i="28" s="1"/>
  <c r="U186" i="28" s="1"/>
  <c r="AA186" i="28" s="1"/>
  <c r="I187" i="28"/>
  <c r="M187" i="28" s="1"/>
  <c r="Q187" i="28" s="1"/>
  <c r="U187" i="28" s="1"/>
  <c r="AA187" i="28" s="1"/>
  <c r="I188" i="28"/>
  <c r="M188" i="28" s="1"/>
  <c r="Q188" i="28" s="1"/>
  <c r="U188" i="28" s="1"/>
  <c r="AA188" i="28" s="1"/>
  <c r="I189" i="28"/>
  <c r="M189" i="28" s="1"/>
  <c r="Q189" i="28" s="1"/>
  <c r="U189" i="28" s="1"/>
  <c r="AA189" i="28" s="1"/>
  <c r="I190" i="28"/>
  <c r="M190" i="28" s="1"/>
  <c r="Q190" i="28" s="1"/>
  <c r="U190" i="28" s="1"/>
  <c r="AA190" i="28" s="1"/>
  <c r="I191" i="28"/>
  <c r="M191" i="28" s="1"/>
  <c r="Q191" i="28" s="1"/>
  <c r="U191" i="28" s="1"/>
  <c r="AA191" i="28" s="1"/>
  <c r="P16" i="38" l="1"/>
  <c r="AX59" i="11"/>
  <c r="BF59" i="11"/>
  <c r="BF67" i="11"/>
  <c r="AT11" i="11"/>
  <c r="P88" i="37"/>
  <c r="R87" i="37"/>
  <c r="AB119" i="10"/>
  <c r="AF127" i="10"/>
  <c r="AF119" i="10"/>
  <c r="AE189" i="28"/>
  <c r="AI189" i="28" s="1"/>
  <c r="AO189" i="28" s="1"/>
  <c r="AS189" i="28" s="1"/>
  <c r="AW189" i="28" s="1"/>
  <c r="BE189" i="28" s="1"/>
  <c r="AE172" i="28"/>
  <c r="AI172" i="28" s="1"/>
  <c r="AO172" i="28" s="1"/>
  <c r="AS172" i="28" s="1"/>
  <c r="AW172" i="28" s="1"/>
  <c r="BE172" i="28" s="1"/>
  <c r="AA236" i="28"/>
  <c r="AE236" i="28" s="1"/>
  <c r="AI236" i="28" s="1"/>
  <c r="AO236" i="28" s="1"/>
  <c r="AS236" i="28" s="1"/>
  <c r="AW236" i="28" s="1"/>
  <c r="BE236" i="28" s="1"/>
  <c r="AA231" i="28"/>
  <c r="AE231" i="28" s="1"/>
  <c r="AI231" i="28" s="1"/>
  <c r="AO231" i="28" s="1"/>
  <c r="AS231" i="28" s="1"/>
  <c r="AW231" i="28" s="1"/>
  <c r="BE231" i="28" s="1"/>
  <c r="AA227" i="28"/>
  <c r="AE227" i="28" s="1"/>
  <c r="AI227" i="28" s="1"/>
  <c r="AO227" i="28" s="1"/>
  <c r="AS227" i="28" s="1"/>
  <c r="AW227" i="28" s="1"/>
  <c r="BE227" i="28" s="1"/>
  <c r="AA214" i="28"/>
  <c r="AE214" i="28" s="1"/>
  <c r="AI214" i="28" s="1"/>
  <c r="AO214" i="28" s="1"/>
  <c r="AS214" i="28" s="1"/>
  <c r="AW214" i="28" s="1"/>
  <c r="BE214" i="28" s="1"/>
  <c r="AA203" i="28"/>
  <c r="AE203" i="28" s="1"/>
  <c r="AI203" i="28" s="1"/>
  <c r="AO203" i="28" s="1"/>
  <c r="AS203" i="28" s="1"/>
  <c r="AW203" i="28" s="1"/>
  <c r="BE203" i="28" s="1"/>
  <c r="AE191" i="28"/>
  <c r="AI191" i="28" s="1"/>
  <c r="AO191" i="28" s="1"/>
  <c r="AS191" i="28" s="1"/>
  <c r="AW191" i="28" s="1"/>
  <c r="BE191" i="28" s="1"/>
  <c r="AE188" i="28"/>
  <c r="AI188" i="28" s="1"/>
  <c r="AO188" i="28" s="1"/>
  <c r="AS188" i="28" s="1"/>
  <c r="AW188" i="28" s="1"/>
  <c r="BE188" i="28" s="1"/>
  <c r="AE187" i="28"/>
  <c r="AI187" i="28" s="1"/>
  <c r="AO187" i="28" s="1"/>
  <c r="AS187" i="28" s="1"/>
  <c r="AW187" i="28" s="1"/>
  <c r="BE187" i="28" s="1"/>
  <c r="AA230" i="28"/>
  <c r="AE230" i="28" s="1"/>
  <c r="AI230" i="28" s="1"/>
  <c r="AO230" i="28" s="1"/>
  <c r="AS230" i="28" s="1"/>
  <c r="AW230" i="28" s="1"/>
  <c r="BE230" i="28" s="1"/>
  <c r="AA226" i="28"/>
  <c r="AE226" i="28" s="1"/>
  <c r="AI226" i="28" s="1"/>
  <c r="AO226" i="28" s="1"/>
  <c r="AS226" i="28" s="1"/>
  <c r="AW226" i="28" s="1"/>
  <c r="BE226" i="28" s="1"/>
  <c r="AA224" i="28"/>
  <c r="AE224" i="28" s="1"/>
  <c r="AI224" i="28" s="1"/>
  <c r="AO224" i="28" s="1"/>
  <c r="AS224" i="28" s="1"/>
  <c r="AW224" i="28" s="1"/>
  <c r="BE224" i="28" s="1"/>
  <c r="AA220" i="28"/>
  <c r="AE220" i="28" s="1"/>
  <c r="AI220" i="28" s="1"/>
  <c r="AO220" i="28" s="1"/>
  <c r="AS220" i="28" s="1"/>
  <c r="AW220" i="28" s="1"/>
  <c r="BE220" i="28" s="1"/>
  <c r="AA216" i="28"/>
  <c r="AE216" i="28" s="1"/>
  <c r="AI216" i="28" s="1"/>
  <c r="AO216" i="28" s="1"/>
  <c r="AS216" i="28" s="1"/>
  <c r="AW216" i="28" s="1"/>
  <c r="BE216" i="28" s="1"/>
  <c r="AA212" i="28"/>
  <c r="AE212" i="28" s="1"/>
  <c r="AI212" i="28" s="1"/>
  <c r="AO212" i="28" s="1"/>
  <c r="AS212" i="28" s="1"/>
  <c r="AW212" i="28" s="1"/>
  <c r="BE212" i="28" s="1"/>
  <c r="AA209" i="28"/>
  <c r="AE209" i="28" s="1"/>
  <c r="AI209" i="28" s="1"/>
  <c r="AO209" i="28" s="1"/>
  <c r="AS209" i="28" s="1"/>
  <c r="AW209" i="28" s="1"/>
  <c r="BE209" i="28" s="1"/>
  <c r="AE184" i="28"/>
  <c r="AI184" i="28" s="1"/>
  <c r="AO184" i="28" s="1"/>
  <c r="AS184" i="28" s="1"/>
  <c r="AW184" i="28" s="1"/>
  <c r="BE184" i="28" s="1"/>
  <c r="AE186" i="28"/>
  <c r="AI186" i="28" s="1"/>
  <c r="AO186" i="28" s="1"/>
  <c r="AS186" i="28" s="1"/>
  <c r="AW186" i="28" s="1"/>
  <c r="BE186" i="28" s="1"/>
  <c r="AE192" i="28"/>
  <c r="AI192" i="28" s="1"/>
  <c r="AO192" i="28" s="1"/>
  <c r="AS192" i="28" s="1"/>
  <c r="AW192" i="28" s="1"/>
  <c r="BE192" i="28" s="1"/>
  <c r="AA233" i="28"/>
  <c r="AE233" i="28" s="1"/>
  <c r="AI233" i="28" s="1"/>
  <c r="AO233" i="28" s="1"/>
  <c r="AS233" i="28" s="1"/>
  <c r="AW233" i="28" s="1"/>
  <c r="BE233" i="28" s="1"/>
  <c r="AA223" i="28"/>
  <c r="AE223" i="28" s="1"/>
  <c r="AI223" i="28" s="1"/>
  <c r="AO223" i="28" s="1"/>
  <c r="AS223" i="28" s="1"/>
  <c r="AW223" i="28" s="1"/>
  <c r="BE223" i="28" s="1"/>
  <c r="AA219" i="28"/>
  <c r="AE219" i="28" s="1"/>
  <c r="AI219" i="28" s="1"/>
  <c r="AO219" i="28" s="1"/>
  <c r="AS219" i="28" s="1"/>
  <c r="AW219" i="28" s="1"/>
  <c r="BE219" i="28" s="1"/>
  <c r="AA215" i="28"/>
  <c r="AE215" i="28" s="1"/>
  <c r="AI215" i="28" s="1"/>
  <c r="AO215" i="28" s="1"/>
  <c r="AS215" i="28" s="1"/>
  <c r="AW215" i="28" s="1"/>
  <c r="BE215" i="28" s="1"/>
  <c r="AA211" i="28"/>
  <c r="AE211" i="28" s="1"/>
  <c r="AI211" i="28" s="1"/>
  <c r="AO211" i="28" s="1"/>
  <c r="AS211" i="28" s="1"/>
  <c r="AW211" i="28" s="1"/>
  <c r="BE211" i="28" s="1"/>
  <c r="AA208" i="28"/>
  <c r="AE208" i="28" s="1"/>
  <c r="AI208" i="28" s="1"/>
  <c r="AO208" i="28" s="1"/>
  <c r="AS208" i="28" s="1"/>
  <c r="AW208" i="28" s="1"/>
  <c r="BE208" i="28" s="1"/>
  <c r="AE190" i="28"/>
  <c r="AI190" i="28" s="1"/>
  <c r="AO190" i="28" s="1"/>
  <c r="AS190" i="28" s="1"/>
  <c r="AW190" i="28" s="1"/>
  <c r="BE190" i="28" s="1"/>
  <c r="AE185" i="28"/>
  <c r="AI185" i="28" s="1"/>
  <c r="AO185" i="28" s="1"/>
  <c r="AS185" i="28" s="1"/>
  <c r="AW185" i="28" s="1"/>
  <c r="BE185" i="28" s="1"/>
  <c r="AE173" i="28"/>
  <c r="AI173" i="28" s="1"/>
  <c r="AO173" i="28" s="1"/>
  <c r="AS173" i="28" s="1"/>
  <c r="AW173" i="28" s="1"/>
  <c r="BE173" i="28" s="1"/>
  <c r="AE193" i="28"/>
  <c r="AI193" i="28" s="1"/>
  <c r="AO193" i="28" s="1"/>
  <c r="AS193" i="28" s="1"/>
  <c r="AW193" i="28" s="1"/>
  <c r="BE193" i="28" s="1"/>
  <c r="AA232" i="28"/>
  <c r="AE232" i="28" s="1"/>
  <c r="AI232" i="28" s="1"/>
  <c r="AO232" i="28" s="1"/>
  <c r="AS232" i="28" s="1"/>
  <c r="AW232" i="28" s="1"/>
  <c r="BE232" i="28" s="1"/>
  <c r="AA228" i="28"/>
  <c r="AE228" i="28" s="1"/>
  <c r="AI228" i="28" s="1"/>
  <c r="AO228" i="28" s="1"/>
  <c r="AS228" i="28" s="1"/>
  <c r="AW228" i="28" s="1"/>
  <c r="BE228" i="28" s="1"/>
  <c r="AA222" i="28"/>
  <c r="AE222" i="28" s="1"/>
  <c r="AI222" i="28" s="1"/>
  <c r="AO222" i="28" s="1"/>
  <c r="AS222" i="28" s="1"/>
  <c r="AW222" i="28" s="1"/>
  <c r="BE222" i="28" s="1"/>
  <c r="AA217" i="28"/>
  <c r="AE217" i="28" s="1"/>
  <c r="AI217" i="28" s="1"/>
  <c r="AO217" i="28" s="1"/>
  <c r="AS217" i="28" s="1"/>
  <c r="AW217" i="28" s="1"/>
  <c r="BE217" i="28" s="1"/>
  <c r="AA210" i="28"/>
  <c r="AE210" i="28" s="1"/>
  <c r="AI210" i="28" s="1"/>
  <c r="AO210" i="28" s="1"/>
  <c r="AS210" i="28" s="1"/>
  <c r="AW210" i="28" s="1"/>
  <c r="BE210" i="28" s="1"/>
  <c r="AA206" i="28"/>
  <c r="AE206" i="28" s="1"/>
  <c r="AI206" i="28" s="1"/>
  <c r="AO206" i="28" s="1"/>
  <c r="AS206" i="28" s="1"/>
  <c r="AW206" i="28" s="1"/>
  <c r="BE206" i="28" s="1"/>
  <c r="M88" i="37"/>
  <c r="P87" i="38"/>
  <c r="P65" i="38"/>
  <c r="P64" i="38"/>
  <c r="P63" i="38"/>
  <c r="O15" i="38"/>
  <c r="O39" i="38"/>
  <c r="O17" i="38"/>
  <c r="U153" i="28"/>
  <c r="AA153" i="28" s="1"/>
  <c r="Q158" i="28"/>
  <c r="U158" i="28" s="1"/>
  <c r="AA158" i="28" s="1"/>
  <c r="Q160" i="28"/>
  <c r="U160" i="28" s="1"/>
  <c r="AA160" i="28" s="1"/>
  <c r="Q162" i="28"/>
  <c r="U162" i="28" s="1"/>
  <c r="AA162" i="28" s="1"/>
  <c r="Q164" i="28"/>
  <c r="U164" i="28" s="1"/>
  <c r="AA164" i="28" s="1"/>
  <c r="K238" i="28"/>
  <c r="K195" i="28"/>
  <c r="K145" i="28"/>
  <c r="K325" i="28"/>
  <c r="K329" i="28" s="1"/>
  <c r="K322" i="28"/>
  <c r="K318" i="28"/>
  <c r="K284" i="28"/>
  <c r="K312" i="28" s="1"/>
  <c r="K245" i="28"/>
  <c r="K199" i="28"/>
  <c r="K63" i="28"/>
  <c r="K64" i="28"/>
  <c r="K57" i="28"/>
  <c r="K53" i="28"/>
  <c r="K49" i="28"/>
  <c r="K36" i="28"/>
  <c r="K35" i="28"/>
  <c r="K34" i="28"/>
  <c r="K33" i="28"/>
  <c r="K32" i="28"/>
  <c r="K30" i="28"/>
  <c r="K43" i="28" s="1"/>
  <c r="K23" i="28"/>
  <c r="K42" i="28" s="1"/>
  <c r="K17" i="28"/>
  <c r="K41" i="28" s="1"/>
  <c r="K11" i="28"/>
  <c r="K40" i="28" s="1"/>
  <c r="D118" i="6"/>
  <c r="K124" i="6"/>
  <c r="J124" i="6"/>
  <c r="K123" i="6"/>
  <c r="J123" i="6"/>
  <c r="K122" i="6"/>
  <c r="J122" i="6"/>
  <c r="K120" i="6"/>
  <c r="J120" i="6"/>
  <c r="K119" i="6"/>
  <c r="J119" i="6"/>
  <c r="K118" i="6"/>
  <c r="J118" i="6"/>
  <c r="K117" i="6"/>
  <c r="J117" i="6"/>
  <c r="K116" i="6"/>
  <c r="J116" i="6"/>
  <c r="K115" i="6"/>
  <c r="J115" i="6"/>
  <c r="K113" i="6"/>
  <c r="J113" i="6"/>
  <c r="K112" i="6"/>
  <c r="J112" i="6"/>
  <c r="K111" i="6"/>
  <c r="J111" i="6"/>
  <c r="F46" i="8"/>
  <c r="D46" i="8"/>
  <c r="AX11" i="11" l="1"/>
  <c r="BF11" i="11" s="1"/>
  <c r="T87" i="37"/>
  <c r="R88" i="37"/>
  <c r="AE162" i="28"/>
  <c r="AI162" i="28" s="1"/>
  <c r="AO162" i="28" s="1"/>
  <c r="AS162" i="28" s="1"/>
  <c r="AW162" i="28" s="1"/>
  <c r="BE162" i="28" s="1"/>
  <c r="AE158" i="28"/>
  <c r="AI158" i="28" s="1"/>
  <c r="AO158" i="28" s="1"/>
  <c r="AS158" i="28" s="1"/>
  <c r="AW158" i="28" s="1"/>
  <c r="BE158" i="28" s="1"/>
  <c r="AE140" i="28"/>
  <c r="AI140" i="28" s="1"/>
  <c r="AO140" i="28" s="1"/>
  <c r="AS140" i="28" s="1"/>
  <c r="AW140" i="28" s="1"/>
  <c r="BE140" i="28" s="1"/>
  <c r="AE143" i="28"/>
  <c r="AI143" i="28" s="1"/>
  <c r="AO143" i="28" s="1"/>
  <c r="AS143" i="28" s="1"/>
  <c r="AW143" i="28" s="1"/>
  <c r="BE143" i="28" s="1"/>
  <c r="AE160" i="28"/>
  <c r="AI160" i="28" s="1"/>
  <c r="AO160" i="28" s="1"/>
  <c r="AS160" i="28" s="1"/>
  <c r="AW160" i="28" s="1"/>
  <c r="BE160" i="28" s="1"/>
  <c r="AE139" i="28"/>
  <c r="AI139" i="28" s="1"/>
  <c r="AO139" i="28" s="1"/>
  <c r="AS139" i="28" s="1"/>
  <c r="AW139" i="28" s="1"/>
  <c r="BE139" i="28" s="1"/>
  <c r="AE164" i="28"/>
  <c r="AI164" i="28" s="1"/>
  <c r="AO164" i="28" s="1"/>
  <c r="AS164" i="28" s="1"/>
  <c r="AW164" i="28" s="1"/>
  <c r="BE164" i="28" s="1"/>
  <c r="AE153" i="28"/>
  <c r="AI153" i="28" s="1"/>
  <c r="AO153" i="28" s="1"/>
  <c r="AS153" i="28" s="1"/>
  <c r="AW153" i="28" s="1"/>
  <c r="BE153" i="28" s="1"/>
  <c r="AE142" i="28"/>
  <c r="AI142" i="28" s="1"/>
  <c r="AO142" i="28" s="1"/>
  <c r="AS142" i="28" s="1"/>
  <c r="AW142" i="28" s="1"/>
  <c r="BE142" i="28" s="1"/>
  <c r="AE138" i="28"/>
  <c r="AI138" i="28" s="1"/>
  <c r="AO138" i="28" s="1"/>
  <c r="AS138" i="28" s="1"/>
  <c r="AW138" i="28" s="1"/>
  <c r="BE138" i="28" s="1"/>
  <c r="K125" i="6"/>
  <c r="U149" i="28"/>
  <c r="AA149" i="28" s="1"/>
  <c r="AA169" i="28" s="1"/>
  <c r="J125" i="6"/>
  <c r="K127" i="9"/>
  <c r="O16" i="38"/>
  <c r="K65" i="28"/>
  <c r="K66" i="28" s="1"/>
  <c r="K44" i="28"/>
  <c r="K61" i="28"/>
  <c r="K37" i="28"/>
  <c r="K38" i="28" s="1"/>
  <c r="K121" i="6"/>
  <c r="J121" i="6"/>
  <c r="W87" i="37" l="1"/>
  <c r="T88" i="37"/>
  <c r="AE149" i="28"/>
  <c r="AI149" i="28" s="1"/>
  <c r="J126" i="6"/>
  <c r="K126" i="6"/>
  <c r="K46" i="35"/>
  <c r="Y87" i="37" l="1"/>
  <c r="W88" i="37"/>
  <c r="K131" i="6"/>
  <c r="J131" i="6"/>
  <c r="AI169" i="28"/>
  <c r="AO149" i="28"/>
  <c r="I1344" i="3"/>
  <c r="I32" i="8"/>
  <c r="M32" i="8" s="1"/>
  <c r="Q32" i="8" s="1"/>
  <c r="U32" i="8" s="1"/>
  <c r="AA32" i="8" s="1"/>
  <c r="AE32" i="8" s="1"/>
  <c r="AI32" i="8" s="1"/>
  <c r="AO32" i="8" s="1"/>
  <c r="AS32" i="8" s="1"/>
  <c r="AW32" i="8" s="1"/>
  <c r="BE32" i="8" s="1"/>
  <c r="H32" i="8"/>
  <c r="L32" i="8" s="1"/>
  <c r="P32" i="8" s="1"/>
  <c r="T32" i="8" s="1"/>
  <c r="Z32" i="8" s="1"/>
  <c r="AD32" i="8" s="1"/>
  <c r="AH32" i="8" s="1"/>
  <c r="AN32" i="8" s="1"/>
  <c r="AR32" i="8" s="1"/>
  <c r="AV32" i="8" s="1"/>
  <c r="BD32" i="8" s="1"/>
  <c r="Y88" i="37" l="1"/>
  <c r="AA87" i="37"/>
  <c r="AO169" i="28"/>
  <c r="AS149" i="28"/>
  <c r="J265" i="6"/>
  <c r="J262" i="6"/>
  <c r="J264" i="6"/>
  <c r="J263" i="6"/>
  <c r="J242" i="6"/>
  <c r="J253" i="6"/>
  <c r="J257" i="6"/>
  <c r="J259" i="6"/>
  <c r="K265" i="6"/>
  <c r="K262" i="6"/>
  <c r="K264" i="6"/>
  <c r="K263" i="6"/>
  <c r="J255" i="6"/>
  <c r="J249" i="6"/>
  <c r="J248" i="6"/>
  <c r="J252" i="6"/>
  <c r="K242" i="6"/>
  <c r="J258" i="6"/>
  <c r="J246" i="6"/>
  <c r="J251" i="6"/>
  <c r="J254" i="6"/>
  <c r="J247" i="6"/>
  <c r="J250" i="6"/>
  <c r="J260" i="6" l="1"/>
  <c r="AA88" i="37"/>
  <c r="AE87" i="37"/>
  <c r="AE88" i="37" s="1"/>
  <c r="AS169" i="28"/>
  <c r="AW149" i="28"/>
  <c r="K266" i="6"/>
  <c r="J266" i="6"/>
  <c r="J256" i="6"/>
  <c r="J261" i="6" s="1"/>
  <c r="I1265" i="3"/>
  <c r="AW169" i="28" l="1"/>
  <c r="BE149" i="28"/>
  <c r="BE169" i="28" s="1"/>
  <c r="J267" i="6"/>
  <c r="J9" i="36"/>
  <c r="I1249" i="3"/>
  <c r="I1242" i="3"/>
  <c r="I1168" i="3"/>
  <c r="I1143" i="3"/>
  <c r="H1074" i="3"/>
  <c r="J1074" i="3" s="1"/>
  <c r="H964" i="3"/>
  <c r="J964" i="3" s="1"/>
  <c r="H844" i="3"/>
  <c r="J844" i="3" s="1"/>
  <c r="L844" i="3" l="1"/>
  <c r="K47" i="9"/>
  <c r="I549" i="3"/>
  <c r="K69" i="9" l="1"/>
  <c r="K70" i="9"/>
  <c r="K80" i="9"/>
  <c r="K76" i="9"/>
  <c r="K72" i="9"/>
  <c r="K79" i="9"/>
  <c r="K75" i="9"/>
  <c r="K71" i="9"/>
  <c r="K81" i="9"/>
  <c r="K73" i="9"/>
  <c r="K78" i="9"/>
  <c r="K74" i="9"/>
  <c r="K68" i="9"/>
  <c r="K77" i="9"/>
  <c r="K51" i="9"/>
  <c r="K50" i="9"/>
  <c r="M31" i="36"/>
  <c r="Q31" i="36" s="1"/>
  <c r="L31" i="36"/>
  <c r="P31" i="36" s="1"/>
  <c r="T31" i="36" l="1"/>
  <c r="U31" i="36"/>
  <c r="AA31" i="36" s="1"/>
  <c r="AE31" i="36" s="1"/>
  <c r="AI31" i="36" s="1"/>
  <c r="AO31" i="36" s="1"/>
  <c r="AS31" i="36" s="1"/>
  <c r="AW31" i="36" s="1"/>
  <c r="BE31" i="36" s="1"/>
  <c r="M44" i="36"/>
  <c r="M45" i="36"/>
  <c r="M48" i="36"/>
  <c r="Q48" i="36" s="1"/>
  <c r="M49" i="36"/>
  <c r="Q49" i="36" s="1"/>
  <c r="L43" i="36"/>
  <c r="M43" i="36"/>
  <c r="E55" i="36"/>
  <c r="E54" i="36"/>
  <c r="E51" i="36"/>
  <c r="E53" i="36" s="1"/>
  <c r="K55" i="36"/>
  <c r="K54" i="36"/>
  <c r="K51" i="36"/>
  <c r="K53" i="36" s="1"/>
  <c r="G54" i="36"/>
  <c r="G55" i="36"/>
  <c r="G51" i="36"/>
  <c r="G53" i="36" s="1"/>
  <c r="K33" i="36"/>
  <c r="J33" i="36"/>
  <c r="J44" i="36" s="1"/>
  <c r="J17" i="36" s="1"/>
  <c r="J84" i="9" s="1"/>
  <c r="K17" i="36"/>
  <c r="K16" i="36"/>
  <c r="J28" i="21"/>
  <c r="J12" i="21"/>
  <c r="J21" i="21" s="1"/>
  <c r="J54" i="35"/>
  <c r="J55" i="35" s="1"/>
  <c r="J56" i="35" s="1"/>
  <c r="J37" i="35"/>
  <c r="K63" i="35"/>
  <c r="K58" i="35"/>
  <c r="K60" i="35" s="1"/>
  <c r="J58" i="35"/>
  <c r="J59" i="35" s="1"/>
  <c r="J60" i="35" s="1"/>
  <c r="K54" i="35"/>
  <c r="K56" i="35" s="1"/>
  <c r="K50" i="35"/>
  <c r="K52" i="35" s="1"/>
  <c r="J40" i="35"/>
  <c r="J39" i="35"/>
  <c r="K24" i="35"/>
  <c r="K34" i="36" s="1"/>
  <c r="K35" i="36" s="1"/>
  <c r="J24" i="35"/>
  <c r="J34" i="36" s="1"/>
  <c r="J35" i="36" s="1"/>
  <c r="K15" i="35"/>
  <c r="J15" i="35"/>
  <c r="J10" i="35"/>
  <c r="J5" i="36" s="1"/>
  <c r="J9" i="35"/>
  <c r="J8" i="35"/>
  <c r="K7" i="35"/>
  <c r="K6" i="6" s="1"/>
  <c r="K6" i="35"/>
  <c r="K5" i="6" s="1"/>
  <c r="J11" i="35" l="1"/>
  <c r="J44" i="35"/>
  <c r="E19" i="36"/>
  <c r="K19" i="36"/>
  <c r="Q45" i="36"/>
  <c r="Q47" i="36" s="1"/>
  <c r="M47" i="36"/>
  <c r="G19" i="36"/>
  <c r="J21" i="9"/>
  <c r="J86" i="9"/>
  <c r="J18" i="36"/>
  <c r="Z31" i="36"/>
  <c r="AD31" i="36" s="1"/>
  <c r="AH31" i="36" s="1"/>
  <c r="AN31" i="36" s="1"/>
  <c r="AR31" i="36" s="1"/>
  <c r="AV31" i="36" s="1"/>
  <c r="BD31" i="36" s="1"/>
  <c r="Q43" i="36"/>
  <c r="U43" i="36" s="1"/>
  <c r="Q44" i="36"/>
  <c r="Y55" i="36"/>
  <c r="U49" i="36"/>
  <c r="AA49" i="36" s="1"/>
  <c r="AE49" i="36" s="1"/>
  <c r="AI49" i="36" s="1"/>
  <c r="AO49" i="36" s="1"/>
  <c r="AS49" i="36" s="1"/>
  <c r="AW49" i="36" s="1"/>
  <c r="BE49" i="36" s="1"/>
  <c r="Y54" i="36"/>
  <c r="U48" i="36"/>
  <c r="AA48" i="36" s="1"/>
  <c r="AE48" i="36" s="1"/>
  <c r="AI48" i="36" s="1"/>
  <c r="AO48" i="36" s="1"/>
  <c r="AS48" i="36" s="1"/>
  <c r="AW48" i="36" s="1"/>
  <c r="BE48" i="36" s="1"/>
  <c r="Y51" i="36"/>
  <c r="Y53" i="36" s="1"/>
  <c r="Y18" i="36"/>
  <c r="P43" i="36"/>
  <c r="K36" i="36"/>
  <c r="K18" i="36"/>
  <c r="J36" i="36"/>
  <c r="J39" i="36" s="1"/>
  <c r="J14" i="21"/>
  <c r="K64" i="35"/>
  <c r="J50" i="35"/>
  <c r="J51" i="35" s="1"/>
  <c r="J63" i="35" s="1"/>
  <c r="K8" i="35"/>
  <c r="K62" i="35"/>
  <c r="K65" i="35" s="1"/>
  <c r="BC55" i="36" l="1"/>
  <c r="BC54" i="36"/>
  <c r="U45" i="36"/>
  <c r="AA45" i="36" s="1"/>
  <c r="Y19" i="36"/>
  <c r="K39" i="36"/>
  <c r="K30" i="36" s="1"/>
  <c r="AA43" i="36"/>
  <c r="AE43" i="36" s="1"/>
  <c r="AI43" i="36" s="1"/>
  <c r="AO43" i="36" s="1"/>
  <c r="AS43" i="36" s="1"/>
  <c r="AW43" i="36" s="1"/>
  <c r="BE43" i="36" s="1"/>
  <c r="U44" i="36"/>
  <c r="T43" i="36"/>
  <c r="J62" i="35"/>
  <c r="J65" i="35" s="1"/>
  <c r="J30" i="36"/>
  <c r="K66" i="35"/>
  <c r="J52" i="35"/>
  <c r="J64" i="35" s="1"/>
  <c r="J66" i="35"/>
  <c r="U47" i="36" l="1"/>
  <c r="AE45" i="36"/>
  <c r="AI45" i="36" s="1"/>
  <c r="AO45" i="36" s="1"/>
  <c r="AS45" i="36" s="1"/>
  <c r="AW45" i="36" s="1"/>
  <c r="BE45" i="36" s="1"/>
  <c r="AA47" i="36"/>
  <c r="AA44" i="36"/>
  <c r="AE44" i="36" s="1"/>
  <c r="AI44" i="36" s="1"/>
  <c r="AO44" i="36" s="1"/>
  <c r="AS44" i="36" s="1"/>
  <c r="AW44" i="36" s="1"/>
  <c r="BE44" i="36" s="1"/>
  <c r="Z43" i="36"/>
  <c r="AD43" i="36" s="1"/>
  <c r="AH43" i="36" s="1"/>
  <c r="AN43" i="36" s="1"/>
  <c r="AR43" i="36" s="1"/>
  <c r="AV43" i="36" s="1"/>
  <c r="BD43" i="36" s="1"/>
  <c r="G51" i="41"/>
  <c r="H8" i="41"/>
  <c r="L8" i="41" s="1"/>
  <c r="H9" i="41"/>
  <c r="L9" i="41" s="1"/>
  <c r="H10" i="41"/>
  <c r="L10" i="41" s="1"/>
  <c r="H11" i="41"/>
  <c r="L11" i="41" s="1"/>
  <c r="H12" i="41"/>
  <c r="H13" i="41"/>
  <c r="L13" i="41" s="1"/>
  <c r="H14" i="41"/>
  <c r="L14" i="41" s="1"/>
  <c r="H15" i="41"/>
  <c r="L15" i="41" s="1"/>
  <c r="H16" i="41"/>
  <c r="L16" i="41" s="1"/>
  <c r="H17" i="41"/>
  <c r="L17" i="41" s="1"/>
  <c r="H18" i="41"/>
  <c r="H19" i="41"/>
  <c r="L19" i="41" s="1"/>
  <c r="H20" i="41"/>
  <c r="L20" i="41" s="1"/>
  <c r="H21" i="41"/>
  <c r="H22" i="41"/>
  <c r="L22" i="41" s="1"/>
  <c r="H23" i="41"/>
  <c r="H24" i="41"/>
  <c r="L24" i="41" s="1"/>
  <c r="H25" i="41"/>
  <c r="H26" i="41"/>
  <c r="L26" i="41" s="1"/>
  <c r="H27" i="41"/>
  <c r="H28" i="41"/>
  <c r="L28" i="41" s="1"/>
  <c r="H29" i="41"/>
  <c r="L29" i="41" s="1"/>
  <c r="H30" i="41"/>
  <c r="L30" i="41" s="1"/>
  <c r="H31" i="41"/>
  <c r="H32" i="41"/>
  <c r="H33" i="41"/>
  <c r="L33" i="41" s="1"/>
  <c r="H34" i="41"/>
  <c r="L34" i="41" s="1"/>
  <c r="H35" i="41"/>
  <c r="L35" i="41" s="1"/>
  <c r="H36" i="41"/>
  <c r="L36" i="41" s="1"/>
  <c r="H37" i="41"/>
  <c r="L37" i="41" s="1"/>
  <c r="H38" i="41"/>
  <c r="L38" i="41" s="1"/>
  <c r="H39" i="41"/>
  <c r="L39" i="41" s="1"/>
  <c r="H40" i="41"/>
  <c r="H41" i="41"/>
  <c r="L41" i="41" s="1"/>
  <c r="H42" i="41"/>
  <c r="H43" i="41"/>
  <c r="L43" i="41" s="1"/>
  <c r="H44" i="41"/>
  <c r="L44" i="41" s="1"/>
  <c r="H45" i="41"/>
  <c r="L45" i="41" s="1"/>
  <c r="H46" i="41"/>
  <c r="L46" i="41" s="1"/>
  <c r="H47" i="41"/>
  <c r="L47" i="41" s="1"/>
  <c r="H48" i="41"/>
  <c r="L48" i="41" s="1"/>
  <c r="H49" i="41"/>
  <c r="L49" i="41" s="1"/>
  <c r="H50" i="41"/>
  <c r="L50" i="41" s="1"/>
  <c r="H7" i="41"/>
  <c r="L7" i="41" s="1"/>
  <c r="AQ51" i="41"/>
  <c r="AP51" i="41"/>
  <c r="AO51" i="41"/>
  <c r="AM51" i="41"/>
  <c r="AL51" i="41"/>
  <c r="AK51" i="41"/>
  <c r="AH51" i="41"/>
  <c r="AG51" i="41"/>
  <c r="AF51" i="41"/>
  <c r="AD51" i="41"/>
  <c r="AC51" i="41"/>
  <c r="AB51" i="41"/>
  <c r="X51" i="41"/>
  <c r="W51" i="41"/>
  <c r="V51" i="41"/>
  <c r="T51" i="41"/>
  <c r="S51" i="41"/>
  <c r="R51" i="41"/>
  <c r="O51" i="41"/>
  <c r="N51" i="41"/>
  <c r="M51" i="41"/>
  <c r="K51" i="41"/>
  <c r="J51" i="41"/>
  <c r="F51" i="41"/>
  <c r="AR50" i="41"/>
  <c r="AN50" i="41"/>
  <c r="AI50" i="41"/>
  <c r="AE50" i="41"/>
  <c r="Y50" i="41"/>
  <c r="U50" i="41"/>
  <c r="P50" i="41"/>
  <c r="AR49" i="41"/>
  <c r="AN49" i="41"/>
  <c r="AI49" i="41"/>
  <c r="AE49" i="41"/>
  <c r="Y49" i="41"/>
  <c r="U49" i="41"/>
  <c r="P49" i="41"/>
  <c r="AR48" i="41"/>
  <c r="AN48" i="41"/>
  <c r="AI48" i="41"/>
  <c r="AE48" i="41"/>
  <c r="Y48" i="41"/>
  <c r="U48" i="41"/>
  <c r="P48" i="41"/>
  <c r="AR47" i="41"/>
  <c r="AN47" i="41"/>
  <c r="AI47" i="41"/>
  <c r="AE47" i="41"/>
  <c r="Y47" i="41"/>
  <c r="U47" i="41"/>
  <c r="P47" i="41"/>
  <c r="AR46" i="41"/>
  <c r="AN46" i="41"/>
  <c r="AI46" i="41"/>
  <c r="AE46" i="41"/>
  <c r="Y46" i="41"/>
  <c r="U46" i="41"/>
  <c r="P46" i="41"/>
  <c r="AR45" i="41"/>
  <c r="AN45" i="41"/>
  <c r="AI45" i="41"/>
  <c r="AE45" i="41"/>
  <c r="Y45" i="41"/>
  <c r="U45" i="41"/>
  <c r="P45" i="41"/>
  <c r="AR44" i="41"/>
  <c r="AN44" i="41"/>
  <c r="AS44" i="41" s="1"/>
  <c r="AI44" i="41"/>
  <c r="AE44" i="41"/>
  <c r="Y44" i="41"/>
  <c r="U44" i="41"/>
  <c r="Z44" i="41" s="1"/>
  <c r="P44" i="41"/>
  <c r="AR43" i="41"/>
  <c r="AN43" i="41"/>
  <c r="AI43" i="41"/>
  <c r="AE43" i="41"/>
  <c r="Y43" i="41"/>
  <c r="U43" i="41"/>
  <c r="Z43" i="41" s="1"/>
  <c r="P43" i="41"/>
  <c r="AR42" i="41"/>
  <c r="AN42" i="41"/>
  <c r="AI42" i="41"/>
  <c r="AE42" i="41"/>
  <c r="Y42" i="41"/>
  <c r="U42" i="41"/>
  <c r="P42" i="41"/>
  <c r="L42" i="41"/>
  <c r="AR41" i="41"/>
  <c r="AS41" i="41" s="1"/>
  <c r="AT41" i="41" s="1"/>
  <c r="AE41" i="41"/>
  <c r="Y41" i="41"/>
  <c r="U41" i="41"/>
  <c r="P41" i="41"/>
  <c r="AR39" i="41"/>
  <c r="AN39" i="41"/>
  <c r="AI39" i="41"/>
  <c r="AE39" i="41"/>
  <c r="Y39" i="41"/>
  <c r="U39" i="41"/>
  <c r="P39" i="41"/>
  <c r="AR38" i="41"/>
  <c r="AN38" i="41"/>
  <c r="AS38" i="41" s="1"/>
  <c r="AI38" i="41"/>
  <c r="AE38" i="41"/>
  <c r="Y38" i="41"/>
  <c r="U38" i="41"/>
  <c r="Z38" i="41" s="1"/>
  <c r="P38" i="41"/>
  <c r="AR37" i="41"/>
  <c r="AN37" i="41"/>
  <c r="AI37" i="41"/>
  <c r="AE37" i="41"/>
  <c r="Y37" i="41"/>
  <c r="U37" i="41"/>
  <c r="P37" i="41"/>
  <c r="AR36" i="41"/>
  <c r="AN36" i="41"/>
  <c r="AI36" i="41"/>
  <c r="AE36" i="41"/>
  <c r="Y36" i="41"/>
  <c r="U36" i="41"/>
  <c r="P36" i="41"/>
  <c r="AR35" i="41"/>
  <c r="AN35" i="41"/>
  <c r="AI35" i="41"/>
  <c r="AE35" i="41"/>
  <c r="Y35" i="41"/>
  <c r="U35" i="41"/>
  <c r="P35" i="41"/>
  <c r="AR34" i="41"/>
  <c r="AN34" i="41"/>
  <c r="AS34" i="41" s="1"/>
  <c r="AI34" i="41"/>
  <c r="AE34" i="41"/>
  <c r="Y34" i="41"/>
  <c r="U34" i="41"/>
  <c r="P34" i="41"/>
  <c r="AR33" i="41"/>
  <c r="AN33" i="41"/>
  <c r="AI33" i="41"/>
  <c r="AE33" i="41"/>
  <c r="Y33" i="41"/>
  <c r="U33" i="41"/>
  <c r="P33" i="41"/>
  <c r="AR32" i="41"/>
  <c r="AN32" i="41"/>
  <c r="AI32" i="41"/>
  <c r="AE32" i="41"/>
  <c r="Y32" i="41"/>
  <c r="U32" i="41"/>
  <c r="P32" i="41"/>
  <c r="L32" i="41"/>
  <c r="Q32" i="41" s="1"/>
  <c r="AR31" i="41"/>
  <c r="AN31" i="41"/>
  <c r="AI31" i="41"/>
  <c r="AE31" i="41"/>
  <c r="AJ31" i="41" s="1"/>
  <c r="Y31" i="41"/>
  <c r="Z31" i="41" s="1"/>
  <c r="U31" i="41"/>
  <c r="P31" i="41"/>
  <c r="L31" i="41"/>
  <c r="AR30" i="41"/>
  <c r="AN30" i="41"/>
  <c r="AI30" i="41"/>
  <c r="AE30" i="41"/>
  <c r="Y30" i="41"/>
  <c r="U30" i="41"/>
  <c r="P30" i="41"/>
  <c r="AR29" i="41"/>
  <c r="AN29" i="41"/>
  <c r="AI29" i="41"/>
  <c r="AE29" i="41"/>
  <c r="Y29" i="41"/>
  <c r="U29" i="41"/>
  <c r="P29" i="41"/>
  <c r="AR28" i="41"/>
  <c r="AN28" i="41"/>
  <c r="AI28" i="41"/>
  <c r="AE28" i="41"/>
  <c r="Y28" i="41"/>
  <c r="U28" i="41"/>
  <c r="P28" i="41"/>
  <c r="AR27" i="41"/>
  <c r="AN27" i="41"/>
  <c r="AI27" i="41"/>
  <c r="AE27" i="41"/>
  <c r="Y27" i="41"/>
  <c r="U27" i="41"/>
  <c r="P27" i="41"/>
  <c r="L27" i="41"/>
  <c r="AR26" i="41"/>
  <c r="AN26" i="41"/>
  <c r="AI26" i="41"/>
  <c r="AE26" i="41"/>
  <c r="Y26" i="41"/>
  <c r="U26" i="41"/>
  <c r="P26" i="41"/>
  <c r="BF25" i="41"/>
  <c r="BF26" i="41" s="1"/>
  <c r="AR25" i="41"/>
  <c r="AN25" i="41"/>
  <c r="AI25" i="41"/>
  <c r="AJ25" i="41" s="1"/>
  <c r="AE25" i="41"/>
  <c r="Y25" i="41"/>
  <c r="U25" i="41"/>
  <c r="P25" i="41"/>
  <c r="L25" i="41"/>
  <c r="AR24" i="41"/>
  <c r="AN24" i="41"/>
  <c r="AI24" i="41"/>
  <c r="AE24" i="41"/>
  <c r="Y24" i="41"/>
  <c r="U24" i="41"/>
  <c r="P24" i="41"/>
  <c r="AR22" i="41"/>
  <c r="AN22" i="41"/>
  <c r="AI22" i="41"/>
  <c r="AE22" i="41"/>
  <c r="Y22" i="41"/>
  <c r="U22" i="41"/>
  <c r="P22" i="41"/>
  <c r="AR21" i="41"/>
  <c r="AN21" i="41"/>
  <c r="AI21" i="41"/>
  <c r="AE21" i="41"/>
  <c r="Y21" i="41"/>
  <c r="U21" i="41"/>
  <c r="P21" i="41"/>
  <c r="L21" i="41"/>
  <c r="AR20" i="41"/>
  <c r="AN20" i="41"/>
  <c r="AI20" i="41"/>
  <c r="AE20" i="41"/>
  <c r="Y20" i="41"/>
  <c r="U20" i="41"/>
  <c r="P20" i="41"/>
  <c r="AR19" i="41"/>
  <c r="AN19" i="41"/>
  <c r="AI19" i="41"/>
  <c r="AE19" i="41"/>
  <c r="Y19" i="41"/>
  <c r="U19" i="41"/>
  <c r="Z19" i="41" s="1"/>
  <c r="P19" i="41"/>
  <c r="AR18" i="41"/>
  <c r="AN18" i="41"/>
  <c r="AI18" i="41"/>
  <c r="AE18" i="41"/>
  <c r="Y18" i="41"/>
  <c r="U18" i="41"/>
  <c r="P18" i="41"/>
  <c r="L18" i="41"/>
  <c r="BE17" i="41"/>
  <c r="BE19" i="41" s="1"/>
  <c r="BF19" i="41" s="1"/>
  <c r="AR17" i="41"/>
  <c r="AN17" i="41"/>
  <c r="AI17" i="41"/>
  <c r="AE17" i="41"/>
  <c r="Y17" i="41"/>
  <c r="U17" i="41"/>
  <c r="P17" i="41"/>
  <c r="AR16" i="41"/>
  <c r="AN16" i="41"/>
  <c r="AI16" i="41"/>
  <c r="AE16" i="41"/>
  <c r="Y16" i="41"/>
  <c r="U16" i="41"/>
  <c r="P16" i="41"/>
  <c r="AR15" i="41"/>
  <c r="AN15" i="41"/>
  <c r="AI15" i="41"/>
  <c r="AE15" i="41"/>
  <c r="Y15" i="41"/>
  <c r="U15" i="41"/>
  <c r="P15" i="41"/>
  <c r="AR14" i="41"/>
  <c r="AN14" i="41"/>
  <c r="AI14" i="41"/>
  <c r="AE14" i="41"/>
  <c r="Y14" i="41"/>
  <c r="U14" i="41"/>
  <c r="P14" i="41"/>
  <c r="AR13" i="41"/>
  <c r="AN13" i="41"/>
  <c r="AS13" i="41" s="1"/>
  <c r="AI13" i="41"/>
  <c r="AE13" i="41"/>
  <c r="Y13" i="41"/>
  <c r="U13" i="41"/>
  <c r="Z13" i="41" s="1"/>
  <c r="P13" i="41"/>
  <c r="AR12" i="41"/>
  <c r="AN12" i="41"/>
  <c r="AI12" i="41"/>
  <c r="AE12" i="41"/>
  <c r="Y12" i="41"/>
  <c r="U12" i="41"/>
  <c r="P12" i="41"/>
  <c r="L12" i="41"/>
  <c r="AR11" i="41"/>
  <c r="AS11" i="41" s="1"/>
  <c r="AT11" i="41" s="1"/>
  <c r="AE11" i="41"/>
  <c r="Y11" i="41"/>
  <c r="U11" i="41"/>
  <c r="P11" i="41"/>
  <c r="AR10" i="41"/>
  <c r="AN10" i="41"/>
  <c r="AI10" i="41"/>
  <c r="AE10" i="41"/>
  <c r="Y10" i="41"/>
  <c r="U10" i="41"/>
  <c r="P10" i="41"/>
  <c r="AE9" i="41"/>
  <c r="Y9" i="41"/>
  <c r="U9" i="41"/>
  <c r="P9" i="41"/>
  <c r="AR8" i="41"/>
  <c r="AN8" i="41"/>
  <c r="AI8" i="41"/>
  <c r="AE8" i="41"/>
  <c r="Y8" i="41"/>
  <c r="U8" i="41"/>
  <c r="P8" i="41"/>
  <c r="AR7" i="41"/>
  <c r="AN7" i="41"/>
  <c r="AI7" i="41"/>
  <c r="AE7" i="41"/>
  <c r="Y7" i="41"/>
  <c r="U7" i="41"/>
  <c r="P7" i="41"/>
  <c r="AO1" i="41"/>
  <c r="V1" i="41"/>
  <c r="H103" i="35"/>
  <c r="H90" i="35"/>
  <c r="J110" i="35"/>
  <c r="F110" i="35"/>
  <c r="D110" i="35"/>
  <c r="J68" i="35"/>
  <c r="F68" i="35"/>
  <c r="D68" i="35"/>
  <c r="J74" i="35"/>
  <c r="F74" i="35"/>
  <c r="D74" i="35"/>
  <c r="K107" i="35"/>
  <c r="J107" i="35"/>
  <c r="J75" i="35" s="1"/>
  <c r="J71" i="35"/>
  <c r="Z8" i="41" l="1"/>
  <c r="AS8" i="41"/>
  <c r="AS43" i="41"/>
  <c r="BC51" i="36"/>
  <c r="BC53" i="36" s="1"/>
  <c r="BC19" i="36" s="1"/>
  <c r="BC47" i="36"/>
  <c r="AW47" i="36"/>
  <c r="AJ19" i="41"/>
  <c r="Z22" i="41"/>
  <c r="AA22" i="41" s="1"/>
  <c r="AS22" i="41"/>
  <c r="Z27" i="41"/>
  <c r="AJ29" i="41"/>
  <c r="Z33" i="41"/>
  <c r="AJ35" i="41"/>
  <c r="Z37" i="41"/>
  <c r="AS37" i="41"/>
  <c r="AS46" i="41"/>
  <c r="AJ49" i="41"/>
  <c r="Z14" i="41"/>
  <c r="AJ16" i="41"/>
  <c r="Q18" i="41"/>
  <c r="AA18" i="41" s="1"/>
  <c r="AJ18" i="41"/>
  <c r="AJ24" i="41"/>
  <c r="Q25" i="41"/>
  <c r="AJ47" i="41"/>
  <c r="Q38" i="41"/>
  <c r="AA38" i="41" s="1"/>
  <c r="Q26" i="41"/>
  <c r="Q22" i="41"/>
  <c r="Q10" i="41"/>
  <c r="AS47" i="36"/>
  <c r="AO47" i="36"/>
  <c r="AI47" i="36"/>
  <c r="AE47" i="36"/>
  <c r="AJ32" i="41"/>
  <c r="Z45" i="41"/>
  <c r="Q45" i="41"/>
  <c r="Q17" i="41"/>
  <c r="Q9" i="41"/>
  <c r="Z18" i="41"/>
  <c r="AS18" i="41"/>
  <c r="AS21" i="41"/>
  <c r="AS32" i="41"/>
  <c r="AS36" i="41"/>
  <c r="Z39" i="41"/>
  <c r="AS42" i="41"/>
  <c r="AJ44" i="41"/>
  <c r="AT44" i="41" s="1"/>
  <c r="AJ45" i="41"/>
  <c r="Z48" i="41"/>
  <c r="AS48" i="41"/>
  <c r="Q48" i="41"/>
  <c r="Q44" i="41"/>
  <c r="AA44" i="41" s="1"/>
  <c r="AU44" i="41" s="1"/>
  <c r="Q28" i="41"/>
  <c r="Q24" i="41"/>
  <c r="Q20" i="41"/>
  <c r="Q8" i="41"/>
  <c r="AS15" i="41"/>
  <c r="Z24" i="41"/>
  <c r="AJ26" i="41"/>
  <c r="Z35" i="41"/>
  <c r="AJ37" i="41"/>
  <c r="AT37" i="41" s="1"/>
  <c r="AJ38" i="41"/>
  <c r="AT38" i="41" s="1"/>
  <c r="AU38" i="41" s="1"/>
  <c r="AJ39" i="41"/>
  <c r="AJ43" i="41"/>
  <c r="AT43" i="41" s="1"/>
  <c r="Z47" i="41"/>
  <c r="AS47" i="41"/>
  <c r="Q39" i="41"/>
  <c r="H51" i="41"/>
  <c r="Q33" i="41"/>
  <c r="AS7" i="41"/>
  <c r="AS24" i="41"/>
  <c r="AT24" i="41" s="1"/>
  <c r="AJ27" i="41"/>
  <c r="Q36" i="41"/>
  <c r="Q42" i="41"/>
  <c r="Q50" i="41"/>
  <c r="Z15" i="41"/>
  <c r="Z49" i="41"/>
  <c r="Z10" i="41"/>
  <c r="AJ12" i="41"/>
  <c r="Q13" i="41"/>
  <c r="AA13" i="41" s="1"/>
  <c r="AS16" i="41"/>
  <c r="AT16" i="41" s="1"/>
  <c r="Z17" i="41"/>
  <c r="AS17" i="41"/>
  <c r="Z20" i="41"/>
  <c r="AA20" i="41" s="1"/>
  <c r="AS20" i="41"/>
  <c r="Z21" i="41"/>
  <c r="Z28" i="41"/>
  <c r="Z29" i="41"/>
  <c r="AS29" i="41"/>
  <c r="AT29" i="41" s="1"/>
  <c r="AS30" i="41"/>
  <c r="Q35" i="41"/>
  <c r="Q41" i="41"/>
  <c r="Q46" i="41"/>
  <c r="Q49" i="41"/>
  <c r="L51" i="41"/>
  <c r="Q7" i="41"/>
  <c r="AS10" i="41"/>
  <c r="Z11" i="41"/>
  <c r="Z16" i="41"/>
  <c r="Q21" i="41"/>
  <c r="AJ21" i="41"/>
  <c r="AS26" i="41"/>
  <c r="AT26" i="41" s="1"/>
  <c r="AJ14" i="41"/>
  <c r="Q15" i="41"/>
  <c r="AA15" i="41" s="1"/>
  <c r="Z25" i="41"/>
  <c r="AA25" i="41" s="1"/>
  <c r="AS31" i="41"/>
  <c r="AT31" i="41" s="1"/>
  <c r="AS35" i="41"/>
  <c r="AT35" i="41" s="1"/>
  <c r="AJ36" i="41"/>
  <c r="AT36" i="41" s="1"/>
  <c r="Q37" i="41"/>
  <c r="AA37" i="41" s="1"/>
  <c r="AA39" i="41"/>
  <c r="AJ42" i="41"/>
  <c r="AT42" i="41" s="1"/>
  <c r="Q43" i="41"/>
  <c r="AA43" i="41" s="1"/>
  <c r="AJ46" i="41"/>
  <c r="AT46" i="41" s="1"/>
  <c r="Q47" i="41"/>
  <c r="Q12" i="41"/>
  <c r="AJ15" i="41"/>
  <c r="AT18" i="41"/>
  <c r="AS25" i="41"/>
  <c r="AT25" i="41" s="1"/>
  <c r="AJ28" i="41"/>
  <c r="Q29" i="41"/>
  <c r="Z32" i="41"/>
  <c r="AA32" i="41" s="1"/>
  <c r="AS39" i="41"/>
  <c r="AT39" i="41" s="1"/>
  <c r="AS45" i="41"/>
  <c r="AT45" i="41" s="1"/>
  <c r="AS49" i="41"/>
  <c r="AT49" i="41" s="1"/>
  <c r="AJ50" i="41"/>
  <c r="AT1" i="41"/>
  <c r="AN51" i="41"/>
  <c r="AJ8" i="41"/>
  <c r="AT8" i="41" s="1"/>
  <c r="Z9" i="41"/>
  <c r="AA9" i="41" s="1"/>
  <c r="AJ10" i="41"/>
  <c r="P51" i="41"/>
  <c r="Z12" i="41"/>
  <c r="AJ13" i="41"/>
  <c r="AT13" i="41" s="1"/>
  <c r="AS14" i="41"/>
  <c r="Q16" i="41"/>
  <c r="AA16" i="41" s="1"/>
  <c r="Q19" i="41"/>
  <c r="AA19" i="41" s="1"/>
  <c r="AS19" i="41"/>
  <c r="AT19" i="41" s="1"/>
  <c r="AJ20" i="41"/>
  <c r="AJ22" i="41"/>
  <c r="AT22" i="41" s="1"/>
  <c r="Z26" i="41"/>
  <c r="Q27" i="41"/>
  <c r="AA27" i="41" s="1"/>
  <c r="AS27" i="41"/>
  <c r="AS28" i="41"/>
  <c r="Q30" i="41"/>
  <c r="AJ30" i="41"/>
  <c r="AT30" i="41" s="1"/>
  <c r="AJ33" i="41"/>
  <c r="Q34" i="41"/>
  <c r="AJ34" i="41"/>
  <c r="AT34" i="41" s="1"/>
  <c r="Z36" i="41"/>
  <c r="Z41" i="41"/>
  <c r="Z42" i="41"/>
  <c r="Z46" i="41"/>
  <c r="Z50" i="41"/>
  <c r="AS50" i="41"/>
  <c r="AE51" i="41"/>
  <c r="AJ7" i="41"/>
  <c r="U51" i="41"/>
  <c r="Z7" i="41"/>
  <c r="AI51" i="41"/>
  <c r="Y51" i="41"/>
  <c r="AA8" i="41"/>
  <c r="AU8" i="41" s="1"/>
  <c r="AA26" i="41"/>
  <c r="AR51" i="41"/>
  <c r="Q11" i="41"/>
  <c r="AS12" i="41"/>
  <c r="AT12" i="41" s="1"/>
  <c r="Q14" i="41"/>
  <c r="AA14" i="41" s="1"/>
  <c r="AJ17" i="41"/>
  <c r="AT17" i="41" s="1"/>
  <c r="Z30" i="41"/>
  <c r="AA30" i="41" s="1"/>
  <c r="Q31" i="41"/>
  <c r="AA31" i="41" s="1"/>
  <c r="AS33" i="41"/>
  <c r="Z34" i="41"/>
  <c r="AT47" i="41"/>
  <c r="AJ48" i="41"/>
  <c r="AT48" i="41" s="1"/>
  <c r="AT15" i="41"/>
  <c r="BE21" i="41"/>
  <c r="BF21" i="41" s="1"/>
  <c r="BF24" i="41" s="1"/>
  <c r="AA21" i="41" l="1"/>
  <c r="AA24" i="41"/>
  <c r="AA29" i="41"/>
  <c r="AA33" i="41"/>
  <c r="BE47" i="36"/>
  <c r="AU37" i="41"/>
  <c r="AU15" i="41"/>
  <c r="AT21" i="41"/>
  <c r="AA49" i="41"/>
  <c r="AU49" i="41" s="1"/>
  <c r="AA17" i="41"/>
  <c r="AU17" i="41" s="1"/>
  <c r="AA10" i="41"/>
  <c r="AU21" i="41"/>
  <c r="AT20" i="41"/>
  <c r="AU20" i="41" s="1"/>
  <c r="AA47" i="41"/>
  <c r="AU47" i="41" s="1"/>
  <c r="AA28" i="41"/>
  <c r="AA48" i="41"/>
  <c r="AA45" i="41"/>
  <c r="AU45" i="41" s="1"/>
  <c r="AU22" i="41"/>
  <c r="AU43" i="41"/>
  <c r="AT32" i="41"/>
  <c r="AU32" i="41" s="1"/>
  <c r="AU31" i="41"/>
  <c r="AT33" i="41"/>
  <c r="AU33" i="41" s="1"/>
  <c r="AS51" i="41"/>
  <c r="AT10" i="41"/>
  <c r="AU10" i="41" s="1"/>
  <c r="AA35" i="41"/>
  <c r="AU35" i="41" s="1"/>
  <c r="AA42" i="41"/>
  <c r="AU42" i="41" s="1"/>
  <c r="AA41" i="41"/>
  <c r="AU41" i="41" s="1"/>
  <c r="AA34" i="41"/>
  <c r="AU34" i="41" s="1"/>
  <c r="AA36" i="41"/>
  <c r="AU36" i="41" s="1"/>
  <c r="AU13" i="41"/>
  <c r="AU39" i="41"/>
  <c r="AA7" i="41"/>
  <c r="AT14" i="41"/>
  <c r="AU14" i="41" s="1"/>
  <c r="AU29" i="41"/>
  <c r="AA50" i="41"/>
  <c r="AU25" i="41"/>
  <c r="AU18" i="41"/>
  <c r="AT27" i="41"/>
  <c r="AU27" i="41" s="1"/>
  <c r="AU19" i="41"/>
  <c r="AA46" i="41"/>
  <c r="AU46" i="41" s="1"/>
  <c r="AU24" i="41"/>
  <c r="AA11" i="41"/>
  <c r="AU11" i="41" s="1"/>
  <c r="AU16" i="41"/>
  <c r="AT28" i="41"/>
  <c r="AU28" i="41" s="1"/>
  <c r="AA12" i="41"/>
  <c r="AU26" i="41"/>
  <c r="AT50" i="41"/>
  <c r="AU30" i="41"/>
  <c r="AT7" i="41"/>
  <c r="AJ51" i="41"/>
  <c r="AU48" i="41"/>
  <c r="Z51" i="41"/>
  <c r="Q51" i="41"/>
  <c r="AU12" i="41"/>
  <c r="R6" i="40"/>
  <c r="H1492" i="3"/>
  <c r="H1493" i="3"/>
  <c r="H1494" i="3"/>
  <c r="H1495" i="3"/>
  <c r="H1498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9" i="3"/>
  <c r="H1520" i="3"/>
  <c r="H1521" i="3"/>
  <c r="H1522" i="3"/>
  <c r="H1526" i="3"/>
  <c r="H1528" i="3"/>
  <c r="H1529" i="3"/>
  <c r="H1530" i="3"/>
  <c r="H1531" i="3"/>
  <c r="I1527" i="3"/>
  <c r="I1525" i="3"/>
  <c r="I1518" i="3"/>
  <c r="I1502" i="3"/>
  <c r="I1499" i="3"/>
  <c r="I1496" i="3"/>
  <c r="I1467" i="3"/>
  <c r="G1467" i="3"/>
  <c r="F1467" i="3"/>
  <c r="I1387" i="3"/>
  <c r="I1412" i="3" s="1"/>
  <c r="G1387" i="3"/>
  <c r="F1387" i="3"/>
  <c r="I1304" i="3"/>
  <c r="G1304" i="3"/>
  <c r="F1304" i="3"/>
  <c r="I1218" i="3"/>
  <c r="G1218" i="3"/>
  <c r="F1218" i="3"/>
  <c r="I1204" i="3"/>
  <c r="G1204" i="3"/>
  <c r="F1204" i="3"/>
  <c r="I1171" i="3"/>
  <c r="I1195" i="3" s="1"/>
  <c r="G1171" i="3"/>
  <c r="G1195" i="3" s="1"/>
  <c r="F1171" i="3"/>
  <c r="F1195" i="3" s="1"/>
  <c r="I1135" i="3"/>
  <c r="G1135" i="3"/>
  <c r="F1135" i="3"/>
  <c r="I1120" i="3"/>
  <c r="I1134" i="3" s="1"/>
  <c r="G1120" i="3"/>
  <c r="F1120" i="3"/>
  <c r="H1079" i="3"/>
  <c r="J1079" i="3" s="1"/>
  <c r="H1080" i="3"/>
  <c r="J1080" i="3" s="1"/>
  <c r="H1081" i="3"/>
  <c r="J1081" i="3" s="1"/>
  <c r="H1082" i="3"/>
  <c r="J1082" i="3" s="1"/>
  <c r="H1083" i="3"/>
  <c r="J1083" i="3" s="1"/>
  <c r="H1084" i="3"/>
  <c r="J1084" i="3" s="1"/>
  <c r="H1085" i="3"/>
  <c r="J1085" i="3" s="1"/>
  <c r="H1086" i="3"/>
  <c r="J1086" i="3" s="1"/>
  <c r="H1087" i="3"/>
  <c r="J1087" i="3" s="1"/>
  <c r="H1088" i="3"/>
  <c r="J1088" i="3" s="1"/>
  <c r="H1089" i="3"/>
  <c r="J1089" i="3" s="1"/>
  <c r="H1090" i="3"/>
  <c r="J1090" i="3" s="1"/>
  <c r="H1091" i="3"/>
  <c r="J1091" i="3" s="1"/>
  <c r="H1092" i="3"/>
  <c r="J1092" i="3" s="1"/>
  <c r="H1093" i="3"/>
  <c r="J1093" i="3" s="1"/>
  <c r="H1094" i="3"/>
  <c r="J1094" i="3" s="1"/>
  <c r="H1095" i="3"/>
  <c r="J1095" i="3" s="1"/>
  <c r="H1096" i="3"/>
  <c r="J1096" i="3" s="1"/>
  <c r="H1097" i="3"/>
  <c r="J1097" i="3" s="1"/>
  <c r="H1098" i="3"/>
  <c r="J1098" i="3" s="1"/>
  <c r="H1099" i="3"/>
  <c r="J1099" i="3" s="1"/>
  <c r="H1100" i="3"/>
  <c r="J1100" i="3" s="1"/>
  <c r="H1101" i="3"/>
  <c r="J1101" i="3" s="1"/>
  <c r="H1102" i="3"/>
  <c r="J1102" i="3" s="1"/>
  <c r="H1103" i="3"/>
  <c r="J1103" i="3" s="1"/>
  <c r="H1104" i="3"/>
  <c r="J1104" i="3" s="1"/>
  <c r="H1105" i="3"/>
  <c r="J1105" i="3" s="1"/>
  <c r="H1106" i="3"/>
  <c r="J1106" i="3" s="1"/>
  <c r="H1107" i="3"/>
  <c r="J1107" i="3" s="1"/>
  <c r="H1108" i="3"/>
  <c r="J1108" i="3" s="1"/>
  <c r="H1109" i="3"/>
  <c r="J1109" i="3" s="1"/>
  <c r="H1110" i="3"/>
  <c r="J1110" i="3" s="1"/>
  <c r="H1111" i="3"/>
  <c r="J1111" i="3" s="1"/>
  <c r="H1112" i="3"/>
  <c r="J1112" i="3" s="1"/>
  <c r="H1113" i="3"/>
  <c r="J1113" i="3" s="1"/>
  <c r="H1114" i="3"/>
  <c r="J1114" i="3" s="1"/>
  <c r="H1115" i="3"/>
  <c r="J1115" i="3" s="1"/>
  <c r="H1116" i="3"/>
  <c r="J1116" i="3" s="1"/>
  <c r="H1117" i="3"/>
  <c r="J1117" i="3" s="1"/>
  <c r="H1023" i="3"/>
  <c r="J1023" i="3" s="1"/>
  <c r="H1024" i="3"/>
  <c r="J1024" i="3" s="1"/>
  <c r="H1025" i="3"/>
  <c r="J1025" i="3" s="1"/>
  <c r="H1026" i="3"/>
  <c r="J1026" i="3" s="1"/>
  <c r="H1027" i="3"/>
  <c r="J1027" i="3" s="1"/>
  <c r="H1028" i="3"/>
  <c r="J1028" i="3" s="1"/>
  <c r="H1029" i="3"/>
  <c r="J1029" i="3" s="1"/>
  <c r="H1030" i="3"/>
  <c r="J1030" i="3" s="1"/>
  <c r="H1031" i="3"/>
  <c r="J1031" i="3" s="1"/>
  <c r="H1032" i="3"/>
  <c r="J1032" i="3" s="1"/>
  <c r="H1033" i="3"/>
  <c r="J1033" i="3" s="1"/>
  <c r="H1034" i="3"/>
  <c r="J1034" i="3" s="1"/>
  <c r="H1035" i="3"/>
  <c r="J1035" i="3" s="1"/>
  <c r="H1036" i="3"/>
  <c r="J1036" i="3" s="1"/>
  <c r="H1037" i="3"/>
  <c r="J1037" i="3" s="1"/>
  <c r="H1038" i="3"/>
  <c r="J1038" i="3" s="1"/>
  <c r="H1039" i="3"/>
  <c r="J1039" i="3" s="1"/>
  <c r="H1040" i="3"/>
  <c r="J1040" i="3" s="1"/>
  <c r="H1041" i="3"/>
  <c r="J1041" i="3" s="1"/>
  <c r="H1042" i="3"/>
  <c r="J1042" i="3" s="1"/>
  <c r="H1043" i="3"/>
  <c r="J1043" i="3" s="1"/>
  <c r="H1044" i="3"/>
  <c r="J1044" i="3" s="1"/>
  <c r="H1045" i="3"/>
  <c r="J1045" i="3" s="1"/>
  <c r="H1046" i="3"/>
  <c r="J1046" i="3" s="1"/>
  <c r="H1047" i="3"/>
  <c r="J1047" i="3" s="1"/>
  <c r="H1048" i="3"/>
  <c r="J1048" i="3" s="1"/>
  <c r="H1049" i="3"/>
  <c r="J1049" i="3" s="1"/>
  <c r="H1050" i="3"/>
  <c r="J1050" i="3" s="1"/>
  <c r="H1051" i="3"/>
  <c r="J1051" i="3" s="1"/>
  <c r="H1052" i="3"/>
  <c r="J1052" i="3" s="1"/>
  <c r="H1053" i="3"/>
  <c r="J1053" i="3" s="1"/>
  <c r="H1054" i="3"/>
  <c r="J1054" i="3" s="1"/>
  <c r="H1055" i="3"/>
  <c r="J1055" i="3" s="1"/>
  <c r="H1056" i="3"/>
  <c r="J1056" i="3" s="1"/>
  <c r="H1057" i="3"/>
  <c r="J1057" i="3" s="1"/>
  <c r="H1058" i="3"/>
  <c r="J1058" i="3" s="1"/>
  <c r="H1059" i="3"/>
  <c r="J1059" i="3" s="1"/>
  <c r="H1060" i="3"/>
  <c r="J1060" i="3" s="1"/>
  <c r="H1061" i="3"/>
  <c r="J1061" i="3" s="1"/>
  <c r="H1062" i="3"/>
  <c r="J1062" i="3" s="1"/>
  <c r="H1063" i="3"/>
  <c r="J1063" i="3" s="1"/>
  <c r="H1064" i="3"/>
  <c r="J1064" i="3" s="1"/>
  <c r="H1065" i="3"/>
  <c r="J1065" i="3" s="1"/>
  <c r="H1066" i="3"/>
  <c r="J1066" i="3" s="1"/>
  <c r="H1067" i="3"/>
  <c r="J1067" i="3" s="1"/>
  <c r="H1068" i="3"/>
  <c r="J1068" i="3" s="1"/>
  <c r="H1069" i="3"/>
  <c r="J1069" i="3" s="1"/>
  <c r="H1070" i="3"/>
  <c r="J1070" i="3" s="1"/>
  <c r="H1071" i="3"/>
  <c r="J1071" i="3" s="1"/>
  <c r="H1072" i="3"/>
  <c r="J1072" i="3" s="1"/>
  <c r="H1073" i="3"/>
  <c r="J1073" i="3" s="1"/>
  <c r="I1019" i="3"/>
  <c r="G1019" i="3"/>
  <c r="F1019" i="3"/>
  <c r="I1006" i="3"/>
  <c r="I1007" i="3" s="1"/>
  <c r="G1006" i="3"/>
  <c r="F1006" i="3"/>
  <c r="H968" i="3"/>
  <c r="J968" i="3" s="1"/>
  <c r="L968" i="3" s="1"/>
  <c r="H969" i="3"/>
  <c r="J969" i="3" s="1"/>
  <c r="L969" i="3" s="1"/>
  <c r="H970" i="3"/>
  <c r="J970" i="3" s="1"/>
  <c r="L970" i="3" s="1"/>
  <c r="H971" i="3"/>
  <c r="J971" i="3" s="1"/>
  <c r="L971" i="3" s="1"/>
  <c r="H972" i="3"/>
  <c r="J972" i="3" s="1"/>
  <c r="L972" i="3" s="1"/>
  <c r="H973" i="3"/>
  <c r="J973" i="3" s="1"/>
  <c r="L973" i="3" s="1"/>
  <c r="H974" i="3"/>
  <c r="J974" i="3" s="1"/>
  <c r="L974" i="3" s="1"/>
  <c r="H975" i="3"/>
  <c r="J975" i="3" s="1"/>
  <c r="L975" i="3" s="1"/>
  <c r="H976" i="3"/>
  <c r="J976" i="3" s="1"/>
  <c r="L976" i="3" s="1"/>
  <c r="H977" i="3"/>
  <c r="J977" i="3" s="1"/>
  <c r="L977" i="3" s="1"/>
  <c r="H978" i="3"/>
  <c r="J978" i="3" s="1"/>
  <c r="L978" i="3" s="1"/>
  <c r="H979" i="3"/>
  <c r="J979" i="3" s="1"/>
  <c r="L979" i="3" s="1"/>
  <c r="H980" i="3"/>
  <c r="J980" i="3" s="1"/>
  <c r="L980" i="3" s="1"/>
  <c r="H981" i="3"/>
  <c r="J981" i="3" s="1"/>
  <c r="L981" i="3" s="1"/>
  <c r="H982" i="3"/>
  <c r="J982" i="3" s="1"/>
  <c r="L982" i="3" s="1"/>
  <c r="H983" i="3"/>
  <c r="J983" i="3" s="1"/>
  <c r="L983" i="3" s="1"/>
  <c r="H984" i="3"/>
  <c r="J984" i="3" s="1"/>
  <c r="L984" i="3" s="1"/>
  <c r="H985" i="3"/>
  <c r="J985" i="3" s="1"/>
  <c r="L985" i="3" s="1"/>
  <c r="H986" i="3"/>
  <c r="J986" i="3" s="1"/>
  <c r="L986" i="3" s="1"/>
  <c r="H987" i="3"/>
  <c r="J987" i="3" s="1"/>
  <c r="L987" i="3" s="1"/>
  <c r="H988" i="3"/>
  <c r="J988" i="3" s="1"/>
  <c r="L988" i="3" s="1"/>
  <c r="H989" i="3"/>
  <c r="J989" i="3" s="1"/>
  <c r="L989" i="3" s="1"/>
  <c r="H990" i="3"/>
  <c r="J990" i="3" s="1"/>
  <c r="L990" i="3" s="1"/>
  <c r="H991" i="3"/>
  <c r="J991" i="3" s="1"/>
  <c r="L991" i="3" s="1"/>
  <c r="H992" i="3"/>
  <c r="J992" i="3" s="1"/>
  <c r="L992" i="3" s="1"/>
  <c r="H993" i="3"/>
  <c r="J993" i="3" s="1"/>
  <c r="L993" i="3" s="1"/>
  <c r="H994" i="3"/>
  <c r="J994" i="3" s="1"/>
  <c r="L994" i="3" s="1"/>
  <c r="H995" i="3"/>
  <c r="J995" i="3" s="1"/>
  <c r="L995" i="3" s="1"/>
  <c r="H996" i="3"/>
  <c r="J996" i="3" s="1"/>
  <c r="L996" i="3" s="1"/>
  <c r="H997" i="3"/>
  <c r="J997" i="3" s="1"/>
  <c r="L997" i="3" s="1"/>
  <c r="H998" i="3"/>
  <c r="J998" i="3" s="1"/>
  <c r="L998" i="3" s="1"/>
  <c r="H999" i="3"/>
  <c r="J999" i="3" s="1"/>
  <c r="L999" i="3" s="1"/>
  <c r="H1000" i="3"/>
  <c r="J1000" i="3" s="1"/>
  <c r="L1000" i="3" s="1"/>
  <c r="H1001" i="3"/>
  <c r="J1001" i="3" s="1"/>
  <c r="L1001" i="3" s="1"/>
  <c r="H1002" i="3"/>
  <c r="J1002" i="3" s="1"/>
  <c r="L1002" i="3" s="1"/>
  <c r="H1003" i="3"/>
  <c r="J1003" i="3" s="1"/>
  <c r="L1003" i="3" s="1"/>
  <c r="H852" i="3"/>
  <c r="J852" i="3" s="1"/>
  <c r="L852" i="3" s="1"/>
  <c r="H853" i="3"/>
  <c r="J853" i="3" s="1"/>
  <c r="L853" i="3" s="1"/>
  <c r="H854" i="3"/>
  <c r="J854" i="3" s="1"/>
  <c r="L854" i="3" s="1"/>
  <c r="H855" i="3"/>
  <c r="J855" i="3" s="1"/>
  <c r="L855" i="3" s="1"/>
  <c r="H856" i="3"/>
  <c r="J856" i="3" s="1"/>
  <c r="L856" i="3" s="1"/>
  <c r="H857" i="3"/>
  <c r="J857" i="3" s="1"/>
  <c r="L857" i="3" s="1"/>
  <c r="H858" i="3"/>
  <c r="J858" i="3" s="1"/>
  <c r="L858" i="3" s="1"/>
  <c r="H859" i="3"/>
  <c r="J859" i="3" s="1"/>
  <c r="L859" i="3" s="1"/>
  <c r="H860" i="3"/>
  <c r="J860" i="3" s="1"/>
  <c r="L860" i="3" s="1"/>
  <c r="H861" i="3"/>
  <c r="J861" i="3" s="1"/>
  <c r="L861" i="3" s="1"/>
  <c r="H862" i="3"/>
  <c r="J862" i="3" s="1"/>
  <c r="L862" i="3" s="1"/>
  <c r="H863" i="3"/>
  <c r="J863" i="3" s="1"/>
  <c r="L863" i="3" s="1"/>
  <c r="H864" i="3"/>
  <c r="J864" i="3" s="1"/>
  <c r="L864" i="3" s="1"/>
  <c r="H865" i="3"/>
  <c r="J865" i="3" s="1"/>
  <c r="L865" i="3" s="1"/>
  <c r="H866" i="3"/>
  <c r="J866" i="3" s="1"/>
  <c r="L866" i="3" s="1"/>
  <c r="H867" i="3"/>
  <c r="J867" i="3" s="1"/>
  <c r="L867" i="3" s="1"/>
  <c r="H868" i="3"/>
  <c r="J868" i="3" s="1"/>
  <c r="L868" i="3" s="1"/>
  <c r="H869" i="3"/>
  <c r="J869" i="3" s="1"/>
  <c r="L869" i="3" s="1"/>
  <c r="H870" i="3"/>
  <c r="J870" i="3" s="1"/>
  <c r="L870" i="3" s="1"/>
  <c r="H871" i="3"/>
  <c r="J871" i="3" s="1"/>
  <c r="L871" i="3" s="1"/>
  <c r="H872" i="3"/>
  <c r="J872" i="3" s="1"/>
  <c r="L872" i="3" s="1"/>
  <c r="H873" i="3"/>
  <c r="J873" i="3" s="1"/>
  <c r="L873" i="3" s="1"/>
  <c r="H874" i="3"/>
  <c r="J874" i="3" s="1"/>
  <c r="L874" i="3" s="1"/>
  <c r="H875" i="3"/>
  <c r="J875" i="3" s="1"/>
  <c r="L875" i="3" s="1"/>
  <c r="H876" i="3"/>
  <c r="J876" i="3" s="1"/>
  <c r="L876" i="3" s="1"/>
  <c r="H877" i="3"/>
  <c r="J877" i="3" s="1"/>
  <c r="L877" i="3" s="1"/>
  <c r="H878" i="3"/>
  <c r="J878" i="3" s="1"/>
  <c r="L878" i="3" s="1"/>
  <c r="H879" i="3"/>
  <c r="J879" i="3" s="1"/>
  <c r="L879" i="3" s="1"/>
  <c r="H880" i="3"/>
  <c r="J880" i="3" s="1"/>
  <c r="L880" i="3" s="1"/>
  <c r="H881" i="3"/>
  <c r="J881" i="3" s="1"/>
  <c r="L881" i="3" s="1"/>
  <c r="H882" i="3"/>
  <c r="J882" i="3" s="1"/>
  <c r="L882" i="3" s="1"/>
  <c r="H883" i="3"/>
  <c r="J883" i="3" s="1"/>
  <c r="L883" i="3" s="1"/>
  <c r="H884" i="3"/>
  <c r="J884" i="3" s="1"/>
  <c r="L884" i="3" s="1"/>
  <c r="H885" i="3"/>
  <c r="J885" i="3" s="1"/>
  <c r="L885" i="3" s="1"/>
  <c r="H886" i="3"/>
  <c r="J886" i="3" s="1"/>
  <c r="L886" i="3" s="1"/>
  <c r="H887" i="3"/>
  <c r="J887" i="3" s="1"/>
  <c r="L887" i="3" s="1"/>
  <c r="H888" i="3"/>
  <c r="J888" i="3" s="1"/>
  <c r="L888" i="3" s="1"/>
  <c r="H889" i="3"/>
  <c r="J889" i="3" s="1"/>
  <c r="L889" i="3" s="1"/>
  <c r="H890" i="3"/>
  <c r="J890" i="3" s="1"/>
  <c r="L890" i="3" s="1"/>
  <c r="H891" i="3"/>
  <c r="J891" i="3" s="1"/>
  <c r="L891" i="3" s="1"/>
  <c r="H892" i="3"/>
  <c r="J892" i="3" s="1"/>
  <c r="L892" i="3" s="1"/>
  <c r="H893" i="3"/>
  <c r="J893" i="3" s="1"/>
  <c r="L893" i="3" s="1"/>
  <c r="H894" i="3"/>
  <c r="J894" i="3" s="1"/>
  <c r="L894" i="3" s="1"/>
  <c r="H895" i="3"/>
  <c r="J895" i="3" s="1"/>
  <c r="L895" i="3" s="1"/>
  <c r="H896" i="3"/>
  <c r="J896" i="3" s="1"/>
  <c r="L896" i="3" s="1"/>
  <c r="H897" i="3"/>
  <c r="J897" i="3" s="1"/>
  <c r="L897" i="3" s="1"/>
  <c r="H898" i="3"/>
  <c r="J898" i="3" s="1"/>
  <c r="L898" i="3" s="1"/>
  <c r="H899" i="3"/>
  <c r="J899" i="3" s="1"/>
  <c r="L899" i="3" s="1"/>
  <c r="H900" i="3"/>
  <c r="J900" i="3" s="1"/>
  <c r="L900" i="3" s="1"/>
  <c r="H921" i="3"/>
  <c r="J921" i="3" s="1"/>
  <c r="L921" i="3" s="1"/>
  <c r="H922" i="3"/>
  <c r="J922" i="3" s="1"/>
  <c r="L922" i="3" s="1"/>
  <c r="H923" i="3"/>
  <c r="J923" i="3" s="1"/>
  <c r="L923" i="3" s="1"/>
  <c r="H924" i="3"/>
  <c r="J924" i="3" s="1"/>
  <c r="L924" i="3" s="1"/>
  <c r="H925" i="3"/>
  <c r="J925" i="3" s="1"/>
  <c r="L925" i="3" s="1"/>
  <c r="H926" i="3"/>
  <c r="J926" i="3" s="1"/>
  <c r="L926" i="3" s="1"/>
  <c r="H927" i="3"/>
  <c r="J927" i="3" s="1"/>
  <c r="L927" i="3" s="1"/>
  <c r="H928" i="3"/>
  <c r="J928" i="3" s="1"/>
  <c r="L928" i="3" s="1"/>
  <c r="H929" i="3"/>
  <c r="J929" i="3" s="1"/>
  <c r="L929" i="3" s="1"/>
  <c r="H930" i="3"/>
  <c r="J930" i="3" s="1"/>
  <c r="L930" i="3" s="1"/>
  <c r="H931" i="3"/>
  <c r="J931" i="3" s="1"/>
  <c r="L931" i="3" s="1"/>
  <c r="H932" i="3"/>
  <c r="J932" i="3" s="1"/>
  <c r="L932" i="3" s="1"/>
  <c r="H933" i="3"/>
  <c r="J933" i="3" s="1"/>
  <c r="L933" i="3" s="1"/>
  <c r="H934" i="3"/>
  <c r="J934" i="3" s="1"/>
  <c r="L934" i="3" s="1"/>
  <c r="H935" i="3"/>
  <c r="J935" i="3" s="1"/>
  <c r="L935" i="3" s="1"/>
  <c r="H936" i="3"/>
  <c r="J936" i="3" s="1"/>
  <c r="L936" i="3" s="1"/>
  <c r="H937" i="3"/>
  <c r="J937" i="3" s="1"/>
  <c r="L937" i="3" s="1"/>
  <c r="H938" i="3"/>
  <c r="J938" i="3" s="1"/>
  <c r="L938" i="3" s="1"/>
  <c r="H939" i="3"/>
  <c r="J939" i="3" s="1"/>
  <c r="L939" i="3" s="1"/>
  <c r="H940" i="3"/>
  <c r="J940" i="3" s="1"/>
  <c r="L940" i="3" s="1"/>
  <c r="H941" i="3"/>
  <c r="J941" i="3" s="1"/>
  <c r="L941" i="3" s="1"/>
  <c r="H942" i="3"/>
  <c r="J942" i="3" s="1"/>
  <c r="L942" i="3" s="1"/>
  <c r="H943" i="3"/>
  <c r="J943" i="3" s="1"/>
  <c r="L943" i="3" s="1"/>
  <c r="H944" i="3"/>
  <c r="J944" i="3" s="1"/>
  <c r="L944" i="3" s="1"/>
  <c r="H945" i="3"/>
  <c r="J945" i="3" s="1"/>
  <c r="L945" i="3" s="1"/>
  <c r="H946" i="3"/>
  <c r="J946" i="3" s="1"/>
  <c r="L946" i="3" s="1"/>
  <c r="H947" i="3"/>
  <c r="J947" i="3" s="1"/>
  <c r="L947" i="3" s="1"/>
  <c r="H948" i="3"/>
  <c r="J948" i="3" s="1"/>
  <c r="L948" i="3" s="1"/>
  <c r="H949" i="3"/>
  <c r="J949" i="3" s="1"/>
  <c r="L949" i="3" s="1"/>
  <c r="H950" i="3"/>
  <c r="J950" i="3" s="1"/>
  <c r="L950" i="3" s="1"/>
  <c r="H951" i="3"/>
  <c r="J951" i="3" s="1"/>
  <c r="L951" i="3" s="1"/>
  <c r="H952" i="3"/>
  <c r="J952" i="3" s="1"/>
  <c r="L952" i="3" s="1"/>
  <c r="H953" i="3"/>
  <c r="J953" i="3" s="1"/>
  <c r="L953" i="3" s="1"/>
  <c r="H954" i="3"/>
  <c r="J954" i="3" s="1"/>
  <c r="L954" i="3" s="1"/>
  <c r="H955" i="3"/>
  <c r="J955" i="3" s="1"/>
  <c r="L955" i="3" s="1"/>
  <c r="H956" i="3"/>
  <c r="J956" i="3" s="1"/>
  <c r="L956" i="3" s="1"/>
  <c r="H957" i="3"/>
  <c r="J957" i="3" s="1"/>
  <c r="L957" i="3" s="1"/>
  <c r="H958" i="3"/>
  <c r="J958" i="3" s="1"/>
  <c r="L958" i="3" s="1"/>
  <c r="H959" i="3"/>
  <c r="J959" i="3" s="1"/>
  <c r="L959" i="3" s="1"/>
  <c r="H960" i="3"/>
  <c r="J960" i="3" s="1"/>
  <c r="L960" i="3" s="1"/>
  <c r="H961" i="3"/>
  <c r="J961" i="3" s="1"/>
  <c r="L961" i="3" s="1"/>
  <c r="H962" i="3"/>
  <c r="J962" i="3" s="1"/>
  <c r="L962" i="3" s="1"/>
  <c r="H963" i="3"/>
  <c r="J963" i="3" s="1"/>
  <c r="L963" i="3" s="1"/>
  <c r="I917" i="3"/>
  <c r="G917" i="3"/>
  <c r="F917" i="3"/>
  <c r="I904" i="3"/>
  <c r="I905" i="3" s="1"/>
  <c r="G904" i="3"/>
  <c r="F904" i="3"/>
  <c r="J846" i="3"/>
  <c r="H755" i="3"/>
  <c r="J755" i="3" s="1"/>
  <c r="L755" i="3" s="1"/>
  <c r="H756" i="3"/>
  <c r="J756" i="3" s="1"/>
  <c r="L756" i="3" s="1"/>
  <c r="H757" i="3"/>
  <c r="J757" i="3" s="1"/>
  <c r="L757" i="3" s="1"/>
  <c r="H758" i="3"/>
  <c r="J758" i="3" s="1"/>
  <c r="L758" i="3" s="1"/>
  <c r="H759" i="3"/>
  <c r="J759" i="3" s="1"/>
  <c r="L759" i="3" s="1"/>
  <c r="H760" i="3"/>
  <c r="J760" i="3" s="1"/>
  <c r="L760" i="3" s="1"/>
  <c r="H761" i="3"/>
  <c r="J761" i="3" s="1"/>
  <c r="L761" i="3" s="1"/>
  <c r="H762" i="3"/>
  <c r="J762" i="3" s="1"/>
  <c r="L762" i="3" s="1"/>
  <c r="H763" i="3"/>
  <c r="J763" i="3" s="1"/>
  <c r="L763" i="3" s="1"/>
  <c r="H764" i="3"/>
  <c r="J764" i="3" s="1"/>
  <c r="L764" i="3" s="1"/>
  <c r="H765" i="3"/>
  <c r="J765" i="3" s="1"/>
  <c r="L765" i="3" s="1"/>
  <c r="H766" i="3"/>
  <c r="J766" i="3" s="1"/>
  <c r="L766" i="3" s="1"/>
  <c r="H767" i="3"/>
  <c r="J767" i="3" s="1"/>
  <c r="L767" i="3" s="1"/>
  <c r="H768" i="3"/>
  <c r="J768" i="3" s="1"/>
  <c r="L768" i="3" s="1"/>
  <c r="H769" i="3"/>
  <c r="J769" i="3" s="1"/>
  <c r="L769" i="3" s="1"/>
  <c r="H770" i="3"/>
  <c r="J770" i="3" s="1"/>
  <c r="L770" i="3" s="1"/>
  <c r="H771" i="3"/>
  <c r="J771" i="3" s="1"/>
  <c r="L771" i="3" s="1"/>
  <c r="H772" i="3"/>
  <c r="J772" i="3" s="1"/>
  <c r="L772" i="3" s="1"/>
  <c r="H773" i="3"/>
  <c r="J773" i="3" s="1"/>
  <c r="L773" i="3" s="1"/>
  <c r="H774" i="3"/>
  <c r="J774" i="3" s="1"/>
  <c r="L774" i="3" s="1"/>
  <c r="H775" i="3"/>
  <c r="J775" i="3" s="1"/>
  <c r="L775" i="3" s="1"/>
  <c r="H776" i="3"/>
  <c r="J776" i="3" s="1"/>
  <c r="L776" i="3" s="1"/>
  <c r="H777" i="3"/>
  <c r="J777" i="3" s="1"/>
  <c r="L777" i="3" s="1"/>
  <c r="H778" i="3"/>
  <c r="J778" i="3" s="1"/>
  <c r="L778" i="3" s="1"/>
  <c r="H779" i="3"/>
  <c r="J779" i="3" s="1"/>
  <c r="L779" i="3" s="1"/>
  <c r="H780" i="3"/>
  <c r="J780" i="3" s="1"/>
  <c r="L780" i="3" s="1"/>
  <c r="H781" i="3"/>
  <c r="J781" i="3" s="1"/>
  <c r="L781" i="3" s="1"/>
  <c r="H782" i="3"/>
  <c r="J782" i="3" s="1"/>
  <c r="L782" i="3" s="1"/>
  <c r="H783" i="3"/>
  <c r="J783" i="3" s="1"/>
  <c r="L783" i="3" s="1"/>
  <c r="H784" i="3"/>
  <c r="J784" i="3" s="1"/>
  <c r="L784" i="3" s="1"/>
  <c r="H785" i="3"/>
  <c r="J785" i="3" s="1"/>
  <c r="L785" i="3" s="1"/>
  <c r="H786" i="3"/>
  <c r="J786" i="3" s="1"/>
  <c r="L786" i="3" s="1"/>
  <c r="H787" i="3"/>
  <c r="J787" i="3" s="1"/>
  <c r="L787" i="3" s="1"/>
  <c r="H788" i="3"/>
  <c r="J788" i="3" s="1"/>
  <c r="L788" i="3" s="1"/>
  <c r="H789" i="3"/>
  <c r="J789" i="3" s="1"/>
  <c r="L789" i="3" s="1"/>
  <c r="H790" i="3"/>
  <c r="J790" i="3" s="1"/>
  <c r="L790" i="3" s="1"/>
  <c r="H791" i="3"/>
  <c r="J791" i="3" s="1"/>
  <c r="L791" i="3" s="1"/>
  <c r="H792" i="3"/>
  <c r="J792" i="3" s="1"/>
  <c r="L792" i="3" s="1"/>
  <c r="H793" i="3"/>
  <c r="J793" i="3" s="1"/>
  <c r="L793" i="3" s="1"/>
  <c r="H794" i="3"/>
  <c r="J794" i="3" s="1"/>
  <c r="L794" i="3" s="1"/>
  <c r="H795" i="3"/>
  <c r="J795" i="3" s="1"/>
  <c r="L795" i="3" s="1"/>
  <c r="H796" i="3"/>
  <c r="J796" i="3" s="1"/>
  <c r="L796" i="3" s="1"/>
  <c r="H797" i="3"/>
  <c r="J797" i="3" s="1"/>
  <c r="L797" i="3" s="1"/>
  <c r="H798" i="3"/>
  <c r="J798" i="3" s="1"/>
  <c r="L798" i="3" s="1"/>
  <c r="H799" i="3"/>
  <c r="J799" i="3" s="1"/>
  <c r="L799" i="3" s="1"/>
  <c r="H800" i="3"/>
  <c r="J800" i="3" s="1"/>
  <c r="L800" i="3" s="1"/>
  <c r="H801" i="3"/>
  <c r="J801" i="3" s="1"/>
  <c r="L801" i="3" s="1"/>
  <c r="H802" i="3"/>
  <c r="J802" i="3" s="1"/>
  <c r="L802" i="3" s="1"/>
  <c r="H803" i="3"/>
  <c r="J803" i="3" s="1"/>
  <c r="L803" i="3" s="1"/>
  <c r="H804" i="3"/>
  <c r="J804" i="3" s="1"/>
  <c r="L804" i="3" s="1"/>
  <c r="H805" i="3"/>
  <c r="J805" i="3" s="1"/>
  <c r="L805" i="3" s="1"/>
  <c r="H806" i="3"/>
  <c r="J806" i="3" s="1"/>
  <c r="L806" i="3" s="1"/>
  <c r="H807" i="3"/>
  <c r="J807" i="3" s="1"/>
  <c r="L807" i="3" s="1"/>
  <c r="H808" i="3"/>
  <c r="J808" i="3" s="1"/>
  <c r="L808" i="3" s="1"/>
  <c r="H809" i="3"/>
  <c r="J809" i="3" s="1"/>
  <c r="L809" i="3" s="1"/>
  <c r="H810" i="3"/>
  <c r="J810" i="3" s="1"/>
  <c r="L810" i="3" s="1"/>
  <c r="H811" i="3"/>
  <c r="J811" i="3" s="1"/>
  <c r="L811" i="3" s="1"/>
  <c r="H812" i="3"/>
  <c r="J812" i="3" s="1"/>
  <c r="L812" i="3" s="1"/>
  <c r="H813" i="3"/>
  <c r="J813" i="3" s="1"/>
  <c r="L813" i="3" s="1"/>
  <c r="H814" i="3"/>
  <c r="J814" i="3" s="1"/>
  <c r="L814" i="3" s="1"/>
  <c r="H815" i="3"/>
  <c r="J815" i="3" s="1"/>
  <c r="L815" i="3" s="1"/>
  <c r="H816" i="3"/>
  <c r="J816" i="3" s="1"/>
  <c r="L816" i="3" s="1"/>
  <c r="H817" i="3"/>
  <c r="J817" i="3" s="1"/>
  <c r="L817" i="3" s="1"/>
  <c r="H818" i="3"/>
  <c r="J818" i="3" s="1"/>
  <c r="L818" i="3" s="1"/>
  <c r="H819" i="3"/>
  <c r="J819" i="3" s="1"/>
  <c r="L819" i="3" s="1"/>
  <c r="H820" i="3"/>
  <c r="J820" i="3" s="1"/>
  <c r="L820" i="3" s="1"/>
  <c r="H821" i="3"/>
  <c r="J821" i="3" s="1"/>
  <c r="L821" i="3" s="1"/>
  <c r="H822" i="3"/>
  <c r="J822" i="3" s="1"/>
  <c r="L822" i="3" s="1"/>
  <c r="H823" i="3"/>
  <c r="J823" i="3" s="1"/>
  <c r="L823" i="3" s="1"/>
  <c r="H824" i="3"/>
  <c r="J824" i="3" s="1"/>
  <c r="L824" i="3" s="1"/>
  <c r="H825" i="3"/>
  <c r="J825" i="3" s="1"/>
  <c r="L825" i="3" s="1"/>
  <c r="H826" i="3"/>
  <c r="J826" i="3" s="1"/>
  <c r="L826" i="3" s="1"/>
  <c r="H827" i="3"/>
  <c r="J827" i="3" s="1"/>
  <c r="L827" i="3" s="1"/>
  <c r="H828" i="3"/>
  <c r="J828" i="3" s="1"/>
  <c r="L828" i="3" s="1"/>
  <c r="H829" i="3"/>
  <c r="J829" i="3" s="1"/>
  <c r="L829" i="3" s="1"/>
  <c r="H830" i="3"/>
  <c r="J830" i="3" s="1"/>
  <c r="L830" i="3" s="1"/>
  <c r="H831" i="3"/>
  <c r="J831" i="3" s="1"/>
  <c r="L831" i="3" s="1"/>
  <c r="H832" i="3"/>
  <c r="J832" i="3" s="1"/>
  <c r="L832" i="3" s="1"/>
  <c r="H833" i="3"/>
  <c r="J833" i="3" s="1"/>
  <c r="L833" i="3" s="1"/>
  <c r="H834" i="3"/>
  <c r="J834" i="3" s="1"/>
  <c r="L834" i="3" s="1"/>
  <c r="H835" i="3"/>
  <c r="J835" i="3" s="1"/>
  <c r="L835" i="3" s="1"/>
  <c r="H836" i="3"/>
  <c r="J836" i="3" s="1"/>
  <c r="L836" i="3" s="1"/>
  <c r="H837" i="3"/>
  <c r="J837" i="3" s="1"/>
  <c r="L837" i="3" s="1"/>
  <c r="H838" i="3"/>
  <c r="J838" i="3" s="1"/>
  <c r="L838" i="3" s="1"/>
  <c r="H839" i="3"/>
  <c r="J839" i="3" s="1"/>
  <c r="L839" i="3" s="1"/>
  <c r="H840" i="3"/>
  <c r="J840" i="3" s="1"/>
  <c r="L840" i="3" s="1"/>
  <c r="H841" i="3"/>
  <c r="J841" i="3" s="1"/>
  <c r="L841" i="3" s="1"/>
  <c r="H842" i="3"/>
  <c r="J842" i="3" s="1"/>
  <c r="L842" i="3" s="1"/>
  <c r="H843" i="3"/>
  <c r="J843" i="3" s="1"/>
  <c r="L843" i="3" s="1"/>
  <c r="I690" i="3"/>
  <c r="I734" i="3" s="1"/>
  <c r="G690" i="3"/>
  <c r="F690" i="3"/>
  <c r="I623" i="3"/>
  <c r="G623" i="3"/>
  <c r="F623" i="3"/>
  <c r="I535" i="3"/>
  <c r="I584" i="3" s="1"/>
  <c r="G535" i="3"/>
  <c r="F535" i="3"/>
  <c r="I380" i="3"/>
  <c r="I456" i="3" s="1"/>
  <c r="G380" i="3"/>
  <c r="F380" i="3"/>
  <c r="I261" i="3"/>
  <c r="I263" i="3" s="1"/>
  <c r="G261" i="3"/>
  <c r="F261" i="3"/>
  <c r="F223" i="3"/>
  <c r="I223" i="3"/>
  <c r="G223" i="3"/>
  <c r="I1486" i="3"/>
  <c r="I1482" i="3"/>
  <c r="I1471" i="3"/>
  <c r="I1473" i="3" s="1"/>
  <c r="I1463" i="3"/>
  <c r="I1457" i="3"/>
  <c r="I1456" i="3"/>
  <c r="I1455" i="3"/>
  <c r="I1454" i="3"/>
  <c r="I1451" i="3"/>
  <c r="I238" i="3" s="1"/>
  <c r="I1434" i="3"/>
  <c r="I1428" i="3"/>
  <c r="I1370" i="3"/>
  <c r="I1369" i="3"/>
  <c r="I1362" i="3"/>
  <c r="I1366" i="3" s="1"/>
  <c r="I1360" i="3"/>
  <c r="I1365" i="3" s="1"/>
  <c r="I1357" i="3"/>
  <c r="I1358" i="3" s="1"/>
  <c r="I1356" i="3"/>
  <c r="I1354" i="3"/>
  <c r="I1324" i="3"/>
  <c r="I1458" i="3" s="1"/>
  <c r="I1319" i="3"/>
  <c r="I1318" i="3"/>
  <c r="I1317" i="3"/>
  <c r="I1307" i="3"/>
  <c r="I1380" i="3" s="1"/>
  <c r="I1298" i="3"/>
  <c r="I1291" i="3"/>
  <c r="I1257" i="3"/>
  <c r="I1256" i="3"/>
  <c r="I1255" i="3"/>
  <c r="I1250" i="3"/>
  <c r="I1247" i="3"/>
  <c r="I1239" i="3"/>
  <c r="I1233" i="3"/>
  <c r="I1222" i="3"/>
  <c r="I1215" i="3"/>
  <c r="I1200" i="3"/>
  <c r="I1201" i="3" s="1"/>
  <c r="I1203" i="3" s="1"/>
  <c r="I1199" i="3"/>
  <c r="I1194" i="3"/>
  <c r="I1175" i="3"/>
  <c r="I1181" i="3" s="1"/>
  <c r="I1169" i="3"/>
  <c r="I1140" i="3"/>
  <c r="I1146" i="3" s="1"/>
  <c r="I1127" i="3"/>
  <c r="I1128" i="3" s="1"/>
  <c r="I1126" i="3"/>
  <c r="I1124" i="3"/>
  <c r="I1118" i="3"/>
  <c r="I1119" i="3" s="1"/>
  <c r="I374" i="3" s="1"/>
  <c r="I1076" i="3"/>
  <c r="I255" i="3" s="1"/>
  <c r="I1013" i="3"/>
  <c r="I1014" i="3" s="1"/>
  <c r="I1012" i="3"/>
  <c r="I1010" i="3"/>
  <c r="I1004" i="3"/>
  <c r="I1005" i="3" s="1"/>
  <c r="I373" i="3" s="1"/>
  <c r="I965" i="3"/>
  <c r="I254" i="3" s="1"/>
  <c r="I916" i="3"/>
  <c r="I911" i="3"/>
  <c r="I912" i="3" s="1"/>
  <c r="I908" i="3"/>
  <c r="I901" i="3"/>
  <c r="I902" i="3" s="1"/>
  <c r="I372" i="3" s="1"/>
  <c r="I849" i="3"/>
  <c r="I845" i="3"/>
  <c r="I732" i="3"/>
  <c r="I724" i="3"/>
  <c r="I717" i="3"/>
  <c r="I745" i="3" s="1"/>
  <c r="I702" i="3"/>
  <c r="I704" i="3" s="1"/>
  <c r="I685" i="3"/>
  <c r="I681" i="3"/>
  <c r="I678" i="3"/>
  <c r="I666" i="3"/>
  <c r="I639" i="3"/>
  <c r="I638" i="3"/>
  <c r="I637" i="3"/>
  <c r="I636" i="3"/>
  <c r="I634" i="3"/>
  <c r="I633" i="3"/>
  <c r="I632" i="3"/>
  <c r="I631" i="3"/>
  <c r="I630" i="3"/>
  <c r="I624" i="3"/>
  <c r="I662" i="3" s="1"/>
  <c r="I619" i="3"/>
  <c r="I618" i="3"/>
  <c r="I575" i="3"/>
  <c r="I554" i="3"/>
  <c r="I556" i="3" s="1"/>
  <c r="I550" i="3"/>
  <c r="I228" i="3" s="1"/>
  <c r="I231" i="3" s="1"/>
  <c r="I537" i="3"/>
  <c r="I519" i="3"/>
  <c r="I518" i="3"/>
  <c r="I525" i="3" s="1"/>
  <c r="I511" i="3"/>
  <c r="I509" i="3"/>
  <c r="I508" i="3"/>
  <c r="I490" i="3"/>
  <c r="I500" i="3" s="1"/>
  <c r="I502" i="3" s="1"/>
  <c r="I486" i="3"/>
  <c r="I487" i="3" s="1"/>
  <c r="I480" i="3"/>
  <c r="I476" i="3"/>
  <c r="I472" i="3"/>
  <c r="I454" i="3"/>
  <c r="I375" i="3"/>
  <c r="I368" i="3"/>
  <c r="I367" i="3"/>
  <c r="I366" i="3"/>
  <c r="I365" i="3"/>
  <c r="I359" i="3"/>
  <c r="I355" i="3"/>
  <c r="I343" i="3"/>
  <c r="I331" i="3"/>
  <c r="I311" i="3"/>
  <c r="I303" i="3"/>
  <c r="I300" i="3"/>
  <c r="I293" i="3"/>
  <c r="I292" i="3"/>
  <c r="I291" i="3"/>
  <c r="I288" i="3"/>
  <c r="I287" i="3"/>
  <c r="I286" i="3"/>
  <c r="I281" i="3"/>
  <c r="I279" i="3"/>
  <c r="I280" i="3" s="1"/>
  <c r="I278" i="3"/>
  <c r="I277" i="3"/>
  <c r="I272" i="3"/>
  <c r="I271" i="3"/>
  <c r="I273" i="3" s="1"/>
  <c r="I270" i="3"/>
  <c r="I269" i="3"/>
  <c r="I266" i="3"/>
  <c r="I267" i="3" s="1"/>
  <c r="I250" i="3"/>
  <c r="I246" i="3"/>
  <c r="I239" i="3"/>
  <c r="I237" i="3"/>
  <c r="I162" i="3"/>
  <c r="I161" i="3" s="1"/>
  <c r="I154" i="3"/>
  <c r="I1460" i="3" s="1"/>
  <c r="I1461" i="3" s="1"/>
  <c r="I151" i="3"/>
  <c r="I1373" i="3" s="1"/>
  <c r="I148" i="3"/>
  <c r="I145" i="3"/>
  <c r="I520" i="3" s="1"/>
  <c r="I140" i="3"/>
  <c r="I136" i="3"/>
  <c r="I132" i="3"/>
  <c r="I126" i="3"/>
  <c r="I127" i="3" s="1"/>
  <c r="I118" i="3"/>
  <c r="I117" i="3"/>
  <c r="I115" i="3"/>
  <c r="I111" i="3"/>
  <c r="I107" i="3"/>
  <c r="I103" i="3"/>
  <c r="I91" i="3"/>
  <c r="I90" i="3"/>
  <c r="I89" i="3"/>
  <c r="I88" i="3"/>
  <c r="I87" i="3"/>
  <c r="I85" i="3"/>
  <c r="I97" i="3" s="1"/>
  <c r="I78" i="3"/>
  <c r="I96" i="3" s="1"/>
  <c r="I72" i="3"/>
  <c r="I95" i="3" s="1"/>
  <c r="I66" i="3"/>
  <c r="I94" i="3" s="1"/>
  <c r="I56" i="3"/>
  <c r="I45" i="3"/>
  <c r="I40" i="3"/>
  <c r="I34" i="3"/>
  <c r="I32" i="3"/>
  <c r="I33" i="3" s="1"/>
  <c r="I29" i="3"/>
  <c r="I30" i="3" s="1"/>
  <c r="I26" i="3"/>
  <c r="I23" i="3"/>
  <c r="I24" i="3" s="1"/>
  <c r="I20" i="3"/>
  <c r="I19" i="3"/>
  <c r="I18" i="3"/>
  <c r="I17" i="3"/>
  <c r="I12" i="3"/>
  <c r="I13" i="3" s="1"/>
  <c r="I11" i="3"/>
  <c r="I9" i="3"/>
  <c r="AT51" i="41" l="1"/>
  <c r="I906" i="3"/>
  <c r="I1418" i="3"/>
  <c r="I1465" i="3"/>
  <c r="K16" i="15"/>
  <c r="I1008" i="3"/>
  <c r="I1501" i="3"/>
  <c r="I119" i="3"/>
  <c r="I120" i="3" s="1"/>
  <c r="I1121" i="3"/>
  <c r="I1122" i="3" s="1"/>
  <c r="I1133" i="3"/>
  <c r="G1405" i="3"/>
  <c r="G1401" i="3"/>
  <c r="G1404" i="3"/>
  <c r="G1406" i="3"/>
  <c r="G1403" i="3"/>
  <c r="G1402" i="3"/>
  <c r="I1417" i="3"/>
  <c r="I1406" i="3"/>
  <c r="I1402" i="3"/>
  <c r="I1405" i="3"/>
  <c r="I1401" i="3"/>
  <c r="I1411" i="3"/>
  <c r="I1404" i="3"/>
  <c r="I1419" i="3"/>
  <c r="I1403" i="3"/>
  <c r="F1403" i="3"/>
  <c r="F1406" i="3"/>
  <c r="F1402" i="3"/>
  <c r="F1405" i="3"/>
  <c r="F1401" i="3"/>
  <c r="F1404" i="3"/>
  <c r="I457" i="3"/>
  <c r="I458" i="3" s="1"/>
  <c r="I1016" i="3"/>
  <c r="I1017" i="3"/>
  <c r="I1018" i="3"/>
  <c r="I531" i="3"/>
  <c r="I1413" i="3"/>
  <c r="I665" i="3"/>
  <c r="I664" i="3"/>
  <c r="I1296" i="3"/>
  <c r="I1383" i="3"/>
  <c r="I1382" i="3"/>
  <c r="I1297" i="3"/>
  <c r="I620" i="3"/>
  <c r="I1410" i="3"/>
  <c r="I1415" i="3" s="1"/>
  <c r="I914" i="3"/>
  <c r="I915" i="3"/>
  <c r="I913" i="3"/>
  <c r="H1195" i="3"/>
  <c r="J1195" i="3" s="1"/>
  <c r="I1258" i="3"/>
  <c r="I1141" i="3"/>
  <c r="AU50" i="41"/>
  <c r="AA51" i="41"/>
  <c r="AU51" i="41" s="1"/>
  <c r="AU7" i="41"/>
  <c r="I1524" i="3"/>
  <c r="I1500" i="3"/>
  <c r="I578" i="3"/>
  <c r="I1226" i="3"/>
  <c r="I542" i="3"/>
  <c r="I563" i="3"/>
  <c r="I295" i="3"/>
  <c r="I512" i="3"/>
  <c r="I544" i="3"/>
  <c r="I566" i="3"/>
  <c r="I1330" i="3"/>
  <c r="I146" i="3"/>
  <c r="I1462" i="3"/>
  <c r="I262" i="3"/>
  <c r="I264" i="3" s="1"/>
  <c r="I289" i="3"/>
  <c r="I477" i="3"/>
  <c r="I482" i="3" s="1"/>
  <c r="I384" i="3" s="1"/>
  <c r="I720" i="3"/>
  <c r="I722" i="3" s="1"/>
  <c r="I739" i="3"/>
  <c r="I360" i="3"/>
  <c r="I370" i="3"/>
  <c r="I747" i="3"/>
  <c r="I37" i="3"/>
  <c r="I86" i="3"/>
  <c r="I92" i="3" s="1"/>
  <c r="I376" i="3"/>
  <c r="I726" i="3"/>
  <c r="I727" i="3"/>
  <c r="I1334" i="3"/>
  <c r="I1320" i="3"/>
  <c r="I1325" i="3"/>
  <c r="I236" i="3" s="1"/>
  <c r="I1326" i="3"/>
  <c r="I1487" i="3"/>
  <c r="I1243" i="3"/>
  <c r="I1286" i="3" s="1"/>
  <c r="I1240" i="3"/>
  <c r="I253" i="3"/>
  <c r="I742" i="3"/>
  <c r="I733" i="3"/>
  <c r="I743" i="3"/>
  <c r="I738" i="3"/>
  <c r="I746" i="3"/>
  <c r="I682" i="3"/>
  <c r="I687" i="3" s="1"/>
  <c r="I644" i="3" s="1"/>
  <c r="I35" i="3"/>
  <c r="I36" i="3" s="1"/>
  <c r="I538" i="3"/>
  <c r="I227" i="3" s="1"/>
  <c r="I230" i="3" s="1"/>
  <c r="I546" i="3"/>
  <c r="I569" i="3"/>
  <c r="I581" i="3"/>
  <c r="I540" i="3"/>
  <c r="I548" i="3"/>
  <c r="I560" i="3"/>
  <c r="I572" i="3"/>
  <c r="I495" i="3"/>
  <c r="I497" i="3" s="1"/>
  <c r="I492" i="3"/>
  <c r="I282" i="3"/>
  <c r="I1333" i="3"/>
  <c r="I625" i="3"/>
  <c r="I667" i="3"/>
  <c r="I21" i="3"/>
  <c r="I98" i="3"/>
  <c r="I526" i="3"/>
  <c r="I527" i="3" s="1"/>
  <c r="I521" i="3"/>
  <c r="I532" i="3"/>
  <c r="I533" i="3" s="1"/>
  <c r="I1288" i="3"/>
  <c r="K85" i="9" s="1"/>
  <c r="I1364" i="3"/>
  <c r="I1363" i="3"/>
  <c r="I27" i="3"/>
  <c r="I640" i="3"/>
  <c r="I235" i="3" s="1"/>
  <c r="I234" i="3" s="1"/>
  <c r="I713" i="3"/>
  <c r="I728" i="3"/>
  <c r="I740" i="3"/>
  <c r="I744" i="3"/>
  <c r="I748" i="3"/>
  <c r="I1145" i="3"/>
  <c r="I1176" i="3"/>
  <c r="I1331" i="3"/>
  <c r="I1376" i="3"/>
  <c r="I1386" i="3"/>
  <c r="I725" i="3"/>
  <c r="I731" i="3"/>
  <c r="I737" i="3"/>
  <c r="I741" i="3"/>
  <c r="I1180" i="3"/>
  <c r="I1327" i="3"/>
  <c r="I1332" i="3"/>
  <c r="I1421" i="3" l="1"/>
  <c r="I1287" i="3"/>
  <c r="G1408" i="3"/>
  <c r="F1408" i="3"/>
  <c r="I1408" i="3"/>
  <c r="I1277" i="3"/>
  <c r="I1294" i="3"/>
  <c r="I1295" i="3" s="1"/>
  <c r="I1278" i="3"/>
  <c r="I1299" i="3"/>
  <c r="I643" i="3"/>
  <c r="I647" i="3"/>
  <c r="I386" i="3"/>
  <c r="I387" i="3"/>
  <c r="I1275" i="3"/>
  <c r="I1281" i="3"/>
  <c r="I646" i="3"/>
  <c r="I385" i="3"/>
  <c r="I383" i="3" s="1"/>
  <c r="I1335" i="3"/>
  <c r="I274" i="3"/>
  <c r="I275" i="3" s="1"/>
  <c r="I1292" i="3"/>
  <c r="I648" i="3"/>
  <c r="I645" i="3"/>
  <c r="I1328" i="3"/>
  <c r="I1284" i="3"/>
  <c r="I1274" i="3"/>
  <c r="I1371" i="3"/>
  <c r="I1372" i="3" s="1"/>
  <c r="I147" i="3"/>
  <c r="I1279" i="3"/>
  <c r="I1276" i="3"/>
  <c r="I1244" i="3"/>
  <c r="I1282" i="3"/>
  <c r="I1283" i="3"/>
  <c r="I1280" i="3"/>
  <c r="I1273" i="3"/>
  <c r="I1241" i="3"/>
  <c r="I749" i="3"/>
  <c r="I1289" i="3" l="1"/>
  <c r="I256" i="3" s="1"/>
  <c r="I642" i="3"/>
  <c r="Q8" i="40"/>
  <c r="P8" i="40"/>
  <c r="Q2" i="40"/>
  <c r="S2" i="40"/>
  <c r="F14" i="22" l="1"/>
  <c r="F59" i="22" s="1"/>
  <c r="F60" i="22" s="1"/>
  <c r="F61" i="22" s="1"/>
  <c r="E37" i="48" s="1"/>
  <c r="F10" i="22"/>
  <c r="J36" i="39" l="1"/>
  <c r="N36" i="39" s="1"/>
  <c r="R36" i="39" s="1"/>
  <c r="V36" i="39" s="1"/>
  <c r="AB36" i="39" s="1"/>
  <c r="AF36" i="39" s="1"/>
  <c r="AJ36" i="39" s="1"/>
  <c r="AP36" i="39" s="1"/>
  <c r="AT36" i="39" s="1"/>
  <c r="AX36" i="39" s="1"/>
  <c r="BF36" i="39" s="1"/>
  <c r="J35" i="39"/>
  <c r="N35" i="39" s="1"/>
  <c r="R35" i="39" s="1"/>
  <c r="V35" i="39" s="1"/>
  <c r="AB35" i="39" s="1"/>
  <c r="AF35" i="39" s="1"/>
  <c r="AJ35" i="39" s="1"/>
  <c r="AP35" i="39" s="1"/>
  <c r="AT35" i="39" s="1"/>
  <c r="AX35" i="39" s="1"/>
  <c r="BF35" i="39" s="1"/>
  <c r="J34" i="39"/>
  <c r="N34" i="39" s="1"/>
  <c r="R34" i="39" s="1"/>
  <c r="V34" i="39" s="1"/>
  <c r="AB34" i="39" s="1"/>
  <c r="AF34" i="39" s="1"/>
  <c r="AJ34" i="39" s="1"/>
  <c r="AP34" i="39" s="1"/>
  <c r="AT34" i="39" s="1"/>
  <c r="AX34" i="39" s="1"/>
  <c r="BF34" i="39" s="1"/>
  <c r="J33" i="39"/>
  <c r="N33" i="39" s="1"/>
  <c r="R33" i="39" s="1"/>
  <c r="V33" i="39" s="1"/>
  <c r="AB33" i="39" s="1"/>
  <c r="AF33" i="39" s="1"/>
  <c r="AJ33" i="39" s="1"/>
  <c r="AP33" i="39" s="1"/>
  <c r="AT33" i="39" s="1"/>
  <c r="AX33" i="39" s="1"/>
  <c r="BF33" i="39" s="1"/>
  <c r="J32" i="39"/>
  <c r="N32" i="39" s="1"/>
  <c r="R32" i="39" s="1"/>
  <c r="V32" i="39" s="1"/>
  <c r="AB32" i="39" s="1"/>
  <c r="AF32" i="39" s="1"/>
  <c r="AJ32" i="39" s="1"/>
  <c r="AP32" i="39" s="1"/>
  <c r="AT32" i="39" s="1"/>
  <c r="AX32" i="39" s="1"/>
  <c r="BF32" i="39" s="1"/>
  <c r="J31" i="39"/>
  <c r="N31" i="39" s="1"/>
  <c r="R31" i="39" s="1"/>
  <c r="V31" i="39" s="1"/>
  <c r="AB31" i="39" s="1"/>
  <c r="AF31" i="39" s="1"/>
  <c r="AJ31" i="39" s="1"/>
  <c r="AP31" i="39" s="1"/>
  <c r="AT31" i="39" s="1"/>
  <c r="AX31" i="39" s="1"/>
  <c r="BF31" i="39" s="1"/>
  <c r="J30" i="39"/>
  <c r="N30" i="39" s="1"/>
  <c r="R30" i="39" s="1"/>
  <c r="V30" i="39" s="1"/>
  <c r="AB30" i="39" s="1"/>
  <c r="AF30" i="39" s="1"/>
  <c r="AJ30" i="39" s="1"/>
  <c r="AP30" i="39" s="1"/>
  <c r="AT30" i="39" s="1"/>
  <c r="AX30" i="39" s="1"/>
  <c r="BF30" i="39" s="1"/>
  <c r="J26" i="39"/>
  <c r="N26" i="39" s="1"/>
  <c r="R26" i="39" s="1"/>
  <c r="V26" i="39" s="1"/>
  <c r="AB26" i="39" s="1"/>
  <c r="AF26" i="39" s="1"/>
  <c r="AJ26" i="39" s="1"/>
  <c r="AP26" i="39" s="1"/>
  <c r="AT26" i="39" s="1"/>
  <c r="AX26" i="39" s="1"/>
  <c r="BF26" i="39" s="1"/>
  <c r="J25" i="39"/>
  <c r="N25" i="39" s="1"/>
  <c r="R25" i="39" s="1"/>
  <c r="V25" i="39" s="1"/>
  <c r="AB25" i="39" s="1"/>
  <c r="AF25" i="39" s="1"/>
  <c r="AJ25" i="39" s="1"/>
  <c r="AP25" i="39" s="1"/>
  <c r="AT25" i="39" s="1"/>
  <c r="AX25" i="39" s="1"/>
  <c r="BF25" i="39" s="1"/>
  <c r="J24" i="39"/>
  <c r="N24" i="39" s="1"/>
  <c r="R24" i="39" s="1"/>
  <c r="V24" i="39" s="1"/>
  <c r="AB24" i="39" s="1"/>
  <c r="AF24" i="39" s="1"/>
  <c r="AJ24" i="39" s="1"/>
  <c r="AP24" i="39" s="1"/>
  <c r="AT24" i="39" s="1"/>
  <c r="AX24" i="39" s="1"/>
  <c r="BF24" i="39" s="1"/>
  <c r="J20" i="39"/>
  <c r="N20" i="39" s="1"/>
  <c r="R20" i="39" s="1"/>
  <c r="V20" i="39" s="1"/>
  <c r="AB20" i="39" s="1"/>
  <c r="AF20" i="39" s="1"/>
  <c r="AJ20" i="39" s="1"/>
  <c r="AP20" i="39" s="1"/>
  <c r="AT20" i="39" s="1"/>
  <c r="AX20" i="39" s="1"/>
  <c r="BF20" i="39" s="1"/>
  <c r="J21" i="39"/>
  <c r="N21" i="39" s="1"/>
  <c r="R21" i="39" s="1"/>
  <c r="V21" i="39" s="1"/>
  <c r="AB21" i="39" s="1"/>
  <c r="AF21" i="39" s="1"/>
  <c r="AJ21" i="39" s="1"/>
  <c r="AP21" i="39" s="1"/>
  <c r="AT21" i="39" s="1"/>
  <c r="AX21" i="39" s="1"/>
  <c r="BF21" i="39" s="1"/>
  <c r="J19" i="39"/>
  <c r="N19" i="39" s="1"/>
  <c r="R19" i="39" s="1"/>
  <c r="V19" i="39" s="1"/>
  <c r="AB19" i="39" s="1"/>
  <c r="AF19" i="39" s="1"/>
  <c r="AJ19" i="39" s="1"/>
  <c r="AP19" i="39" s="1"/>
  <c r="AT19" i="39" s="1"/>
  <c r="AX19" i="39" s="1"/>
  <c r="BF19" i="39" s="1"/>
  <c r="K11" i="39"/>
  <c r="O11" i="39" s="1"/>
  <c r="S11" i="39" s="1"/>
  <c r="W11" i="39" s="1"/>
  <c r="AC11" i="39" s="1"/>
  <c r="AG11" i="39" s="1"/>
  <c r="AK11" i="39" s="1"/>
  <c r="AQ11" i="39" s="1"/>
  <c r="AU11" i="39" s="1"/>
  <c r="AY11" i="39" s="1"/>
  <c r="BG11" i="39" s="1"/>
  <c r="J14" i="39"/>
  <c r="N14" i="39" s="1"/>
  <c r="R14" i="39" s="1"/>
  <c r="V14" i="39" s="1"/>
  <c r="AB14" i="39" s="1"/>
  <c r="AF14" i="39" s="1"/>
  <c r="AJ14" i="39" s="1"/>
  <c r="AP14" i="39" s="1"/>
  <c r="AT14" i="39" s="1"/>
  <c r="AX14" i="39" s="1"/>
  <c r="BF14" i="39" s="1"/>
  <c r="K14" i="39"/>
  <c r="O14" i="39" s="1"/>
  <c r="S14" i="39" s="1"/>
  <c r="W14" i="39" s="1"/>
  <c r="AC14" i="39" s="1"/>
  <c r="AG14" i="39" s="1"/>
  <c r="AK14" i="39" s="1"/>
  <c r="AQ14" i="39" s="1"/>
  <c r="AU14" i="39" s="1"/>
  <c r="AY14" i="39" s="1"/>
  <c r="BG14" i="39" s="1"/>
  <c r="K7" i="39" l="1"/>
  <c r="O7" i="39" s="1"/>
  <c r="S7" i="39" s="1"/>
  <c r="W7" i="39" s="1"/>
  <c r="K8" i="39"/>
  <c r="O8" i="39" s="1"/>
  <c r="S8" i="39" s="1"/>
  <c r="W8" i="39" s="1"/>
  <c r="AC8" i="39" s="1"/>
  <c r="AG8" i="39" s="1"/>
  <c r="AK8" i="39" s="1"/>
  <c r="AQ8" i="39" s="1"/>
  <c r="AU8" i="39" s="1"/>
  <c r="AY8" i="39" s="1"/>
  <c r="BG8" i="39" s="1"/>
  <c r="K9" i="39"/>
  <c r="O9" i="39" s="1"/>
  <c r="S9" i="39" s="1"/>
  <c r="W9" i="39" s="1"/>
  <c r="AC9" i="39" s="1"/>
  <c r="AG9" i="39" s="1"/>
  <c r="AK9" i="39" s="1"/>
  <c r="AQ9" i="39" s="1"/>
  <c r="AU9" i="39" s="1"/>
  <c r="AY9" i="39" s="1"/>
  <c r="BG9" i="39" s="1"/>
  <c r="K10" i="39"/>
  <c r="O10" i="39" s="1"/>
  <c r="S10" i="39" s="1"/>
  <c r="W10" i="39" s="1"/>
  <c r="AC10" i="39" s="1"/>
  <c r="AG10" i="39" s="1"/>
  <c r="AK10" i="39" s="1"/>
  <c r="AQ10" i="39" s="1"/>
  <c r="AU10" i="39" s="1"/>
  <c r="AY10" i="39" s="1"/>
  <c r="BG10" i="39" s="1"/>
  <c r="K12" i="39"/>
  <c r="O12" i="39" s="1"/>
  <c r="S12" i="39" s="1"/>
  <c r="W12" i="39" s="1"/>
  <c r="AC12" i="39" s="1"/>
  <c r="AG12" i="39" s="1"/>
  <c r="AK12" i="39" s="1"/>
  <c r="AQ12" i="39" s="1"/>
  <c r="AU12" i="39" s="1"/>
  <c r="AY12" i="39" s="1"/>
  <c r="BG12" i="39" s="1"/>
  <c r="K13" i="39"/>
  <c r="O13" i="39" s="1"/>
  <c r="S13" i="39" s="1"/>
  <c r="W13" i="39" s="1"/>
  <c r="AC13" i="39" s="1"/>
  <c r="AG13" i="39" s="1"/>
  <c r="AK13" i="39" s="1"/>
  <c r="AQ13" i="39" s="1"/>
  <c r="AU13" i="39" s="1"/>
  <c r="AY13" i="39" s="1"/>
  <c r="BG13" i="39" s="1"/>
  <c r="K15" i="39"/>
  <c r="O15" i="39" s="1"/>
  <c r="S15" i="39" s="1"/>
  <c r="W15" i="39" s="1"/>
  <c r="AC15" i="39" s="1"/>
  <c r="AG15" i="39" s="1"/>
  <c r="AK15" i="39" s="1"/>
  <c r="AQ15" i="39" s="1"/>
  <c r="AU15" i="39" s="1"/>
  <c r="AY15" i="39" s="1"/>
  <c r="BG15" i="39" s="1"/>
  <c r="K6" i="39"/>
  <c r="O6" i="39" s="1"/>
  <c r="J7" i="39"/>
  <c r="N7" i="39" s="1"/>
  <c r="R7" i="39" s="1"/>
  <c r="V7" i="39" s="1"/>
  <c r="J8" i="39"/>
  <c r="N8" i="39" s="1"/>
  <c r="R8" i="39" s="1"/>
  <c r="V8" i="39" s="1"/>
  <c r="AB8" i="39" s="1"/>
  <c r="AF8" i="39" s="1"/>
  <c r="AJ8" i="39" s="1"/>
  <c r="AP8" i="39" s="1"/>
  <c r="AT8" i="39" s="1"/>
  <c r="AX8" i="39" s="1"/>
  <c r="BF8" i="39" s="1"/>
  <c r="J9" i="39"/>
  <c r="N9" i="39" s="1"/>
  <c r="R9" i="39" s="1"/>
  <c r="V9" i="39" s="1"/>
  <c r="AB9" i="39" s="1"/>
  <c r="AF9" i="39" s="1"/>
  <c r="AJ9" i="39" s="1"/>
  <c r="AP9" i="39" s="1"/>
  <c r="AT9" i="39" s="1"/>
  <c r="AX9" i="39" s="1"/>
  <c r="BF9" i="39" s="1"/>
  <c r="J10" i="39"/>
  <c r="N10" i="39" s="1"/>
  <c r="R10" i="39" s="1"/>
  <c r="V10" i="39" s="1"/>
  <c r="AB10" i="39" s="1"/>
  <c r="AF10" i="39" s="1"/>
  <c r="AJ10" i="39" s="1"/>
  <c r="AP10" i="39" s="1"/>
  <c r="AT10" i="39" s="1"/>
  <c r="AX10" i="39" s="1"/>
  <c r="BF10" i="39" s="1"/>
  <c r="J11" i="39"/>
  <c r="N11" i="39" s="1"/>
  <c r="R11" i="39" s="1"/>
  <c r="V11" i="39" s="1"/>
  <c r="AB11" i="39" s="1"/>
  <c r="AF11" i="39" s="1"/>
  <c r="AJ11" i="39" s="1"/>
  <c r="AP11" i="39" s="1"/>
  <c r="AT11" i="39" s="1"/>
  <c r="AX11" i="39" s="1"/>
  <c r="BF11" i="39" s="1"/>
  <c r="J12" i="39"/>
  <c r="N12" i="39" s="1"/>
  <c r="R12" i="39" s="1"/>
  <c r="V12" i="39" s="1"/>
  <c r="AB12" i="39" s="1"/>
  <c r="AF12" i="39" s="1"/>
  <c r="AJ12" i="39" s="1"/>
  <c r="AP12" i="39" s="1"/>
  <c r="AT12" i="39" s="1"/>
  <c r="AX12" i="39" s="1"/>
  <c r="BF12" i="39" s="1"/>
  <c r="J13" i="39"/>
  <c r="N13" i="39" s="1"/>
  <c r="R13" i="39" s="1"/>
  <c r="V13" i="39" s="1"/>
  <c r="AB13" i="39" s="1"/>
  <c r="AF13" i="39" s="1"/>
  <c r="AJ13" i="39" s="1"/>
  <c r="AP13" i="39" s="1"/>
  <c r="AT13" i="39" s="1"/>
  <c r="AX13" i="39" s="1"/>
  <c r="BF13" i="39" s="1"/>
  <c r="J15" i="39"/>
  <c r="N15" i="39" s="1"/>
  <c r="R15" i="39" s="1"/>
  <c r="V15" i="39" s="1"/>
  <c r="AB15" i="39" s="1"/>
  <c r="AF15" i="39" s="1"/>
  <c r="AJ15" i="39" s="1"/>
  <c r="AP15" i="39" s="1"/>
  <c r="AT15" i="39" s="1"/>
  <c r="AX15" i="39" s="1"/>
  <c r="BF15" i="39" s="1"/>
  <c r="J6" i="39"/>
  <c r="N6" i="39" s="1"/>
  <c r="R6" i="39" s="1"/>
  <c r="V6" i="39" s="1"/>
  <c r="AB6" i="39" s="1"/>
  <c r="AF6" i="39" s="1"/>
  <c r="AJ6" i="39" s="1"/>
  <c r="AP6" i="39" s="1"/>
  <c r="AT6" i="39" s="1"/>
  <c r="AX6" i="39" s="1"/>
  <c r="BF6" i="39" s="1"/>
  <c r="I16" i="39"/>
  <c r="H16" i="39"/>
  <c r="G16" i="39"/>
  <c r="F16" i="39"/>
  <c r="I102" i="9"/>
  <c r="F66" i="9"/>
  <c r="F65" i="9"/>
  <c r="F64" i="9"/>
  <c r="F63" i="9"/>
  <c r="F62" i="9"/>
  <c r="F61" i="9"/>
  <c r="F60" i="9"/>
  <c r="F59" i="9"/>
  <c r="F57" i="9"/>
  <c r="F56" i="9"/>
  <c r="F53" i="9"/>
  <c r="F55" i="9" s="1"/>
  <c r="D66" i="9"/>
  <c r="D65" i="9"/>
  <c r="D64" i="9"/>
  <c r="D63" i="9"/>
  <c r="D62" i="9"/>
  <c r="D61" i="9"/>
  <c r="D60" i="9"/>
  <c r="D59" i="9"/>
  <c r="D57" i="9"/>
  <c r="D56" i="9"/>
  <c r="D53" i="9"/>
  <c r="D55" i="9" s="1"/>
  <c r="F90" i="9"/>
  <c r="F87" i="9"/>
  <c r="F45" i="9"/>
  <c r="F29" i="9"/>
  <c r="M102" i="9" l="1"/>
  <c r="I52" i="48"/>
  <c r="AB7" i="39"/>
  <c r="V16" i="39"/>
  <c r="AC7" i="39"/>
  <c r="O16" i="39"/>
  <c r="S6" i="39"/>
  <c r="R16" i="39"/>
  <c r="N16" i="39"/>
  <c r="K16" i="39"/>
  <c r="J16" i="39"/>
  <c r="F27" i="9"/>
  <c r="S16" i="39" l="1"/>
  <c r="W6" i="39"/>
  <c r="Q102" i="9"/>
  <c r="M52" i="48"/>
  <c r="AG7" i="39"/>
  <c r="AF7" i="39"/>
  <c r="AB16" i="39"/>
  <c r="F82" i="9"/>
  <c r="F28" i="9"/>
  <c r="H94" i="6"/>
  <c r="I94" i="6"/>
  <c r="H95" i="6"/>
  <c r="I95" i="6"/>
  <c r="H96" i="6"/>
  <c r="I96" i="6"/>
  <c r="H97" i="6"/>
  <c r="I97" i="6"/>
  <c r="H98" i="6"/>
  <c r="I98" i="6"/>
  <c r="H99" i="6"/>
  <c r="I99" i="6"/>
  <c r="I84" i="6"/>
  <c r="H84" i="6"/>
  <c r="I83" i="6"/>
  <c r="H83" i="6"/>
  <c r="I82" i="6"/>
  <c r="H82" i="6"/>
  <c r="H74" i="6"/>
  <c r="I74" i="6"/>
  <c r="H75" i="6"/>
  <c r="I75" i="6"/>
  <c r="I114" i="6" s="1"/>
  <c r="H76" i="6"/>
  <c r="I76" i="6"/>
  <c r="H77" i="6"/>
  <c r="I77" i="6"/>
  <c r="H78" i="6"/>
  <c r="I78" i="6"/>
  <c r="H79" i="6"/>
  <c r="I79" i="6"/>
  <c r="H80" i="6"/>
  <c r="I80" i="6"/>
  <c r="F124" i="6"/>
  <c r="F123" i="6"/>
  <c r="F122" i="6"/>
  <c r="F120" i="6"/>
  <c r="F119" i="6"/>
  <c r="F118" i="6"/>
  <c r="H118" i="6" s="1"/>
  <c r="F117" i="6"/>
  <c r="F116" i="6"/>
  <c r="F115" i="6"/>
  <c r="F113" i="6"/>
  <c r="F112" i="6"/>
  <c r="F111" i="6"/>
  <c r="F103" i="6"/>
  <c r="F100" i="6"/>
  <c r="F85" i="6"/>
  <c r="F81" i="6"/>
  <c r="F52" i="6"/>
  <c r="F44" i="6"/>
  <c r="F41" i="6"/>
  <c r="F14" i="6"/>
  <c r="F13" i="6"/>
  <c r="F151" i="6" s="1"/>
  <c r="F12" i="6"/>
  <c r="F11" i="6"/>
  <c r="F7" i="6"/>
  <c r="F30" i="8"/>
  <c r="F29" i="8"/>
  <c r="F28" i="8"/>
  <c r="F68" i="8" s="1"/>
  <c r="F27" i="8"/>
  <c r="F60" i="8" s="1"/>
  <c r="F64" i="8" s="1"/>
  <c r="F34" i="8" s="1"/>
  <c r="D28" i="8"/>
  <c r="D68" i="8" s="1"/>
  <c r="D29" i="8"/>
  <c r="D30" i="8"/>
  <c r="D27" i="8"/>
  <c r="D60" i="8" s="1"/>
  <c r="D64" i="8" s="1"/>
  <c r="F79" i="8"/>
  <c r="F47" i="8"/>
  <c r="F74" i="8" s="1"/>
  <c r="F19" i="8"/>
  <c r="F13" i="8"/>
  <c r="U102" i="9" l="1"/>
  <c r="Q52" i="48"/>
  <c r="AC6" i="39"/>
  <c r="W16" i="39"/>
  <c r="AK7" i="39"/>
  <c r="AJ7" i="39"/>
  <c r="AF16" i="39"/>
  <c r="H114" i="6"/>
  <c r="F24" i="6"/>
  <c r="F18" i="6"/>
  <c r="F27" i="6"/>
  <c r="F21" i="6"/>
  <c r="F26" i="6"/>
  <c r="F20" i="6"/>
  <c r="F23" i="6"/>
  <c r="F17" i="6"/>
  <c r="F177" i="6"/>
  <c r="F125" i="6"/>
  <c r="F15" i="6"/>
  <c r="F56" i="6" s="1"/>
  <c r="F66" i="6"/>
  <c r="F67" i="6" s="1"/>
  <c r="F104" i="6"/>
  <c r="F86" i="6"/>
  <c r="F91" i="6" s="1"/>
  <c r="F138" i="6" s="1"/>
  <c r="F121" i="6"/>
  <c r="F35" i="8"/>
  <c r="E182" i="6"/>
  <c r="G182" i="6"/>
  <c r="E155" i="6"/>
  <c r="G155" i="6"/>
  <c r="E69" i="7"/>
  <c r="G69" i="7"/>
  <c r="H8" i="11"/>
  <c r="AG6" i="39" l="1"/>
  <c r="AC16" i="39"/>
  <c r="AA102" i="9"/>
  <c r="U52" i="48"/>
  <c r="AP7" i="39"/>
  <c r="AJ16" i="39"/>
  <c r="AQ7" i="39"/>
  <c r="F109" i="6"/>
  <c r="F28" i="6"/>
  <c r="F29" i="6"/>
  <c r="F25" i="6"/>
  <c r="F22" i="6"/>
  <c r="F19" i="6"/>
  <c r="F30" i="6"/>
  <c r="F59" i="6"/>
  <c r="F160" i="6"/>
  <c r="F126" i="6"/>
  <c r="F135" i="6"/>
  <c r="F136" i="6"/>
  <c r="H13" i="11"/>
  <c r="J13" i="11" s="1"/>
  <c r="H16" i="11"/>
  <c r="J16" i="11" s="1"/>
  <c r="N16" i="11" s="1"/>
  <c r="R16" i="11" s="1"/>
  <c r="V16" i="11" s="1"/>
  <c r="AB16" i="11" s="1"/>
  <c r="AF16" i="11" s="1"/>
  <c r="AJ16" i="11" s="1"/>
  <c r="AP16" i="11" s="1"/>
  <c r="AT16" i="11" s="1"/>
  <c r="AX16" i="11" s="1"/>
  <c r="BF16" i="11" s="1"/>
  <c r="H14" i="11"/>
  <c r="J14" i="11" s="1"/>
  <c r="N14" i="11" s="1"/>
  <c r="R14" i="11" s="1"/>
  <c r="V14" i="11" s="1"/>
  <c r="AB14" i="11" s="1"/>
  <c r="AF14" i="11" s="1"/>
  <c r="AJ14" i="11" s="1"/>
  <c r="AP14" i="11" s="1"/>
  <c r="AT14" i="11" s="1"/>
  <c r="AX14" i="11" s="1"/>
  <c r="BF14" i="11" s="1"/>
  <c r="H19" i="11"/>
  <c r="J19" i="11" s="1"/>
  <c r="N19" i="11" s="1"/>
  <c r="R19" i="11" s="1"/>
  <c r="V19" i="11" s="1"/>
  <c r="AB19" i="11" s="1"/>
  <c r="AF19" i="11" s="1"/>
  <c r="AJ19" i="11" s="1"/>
  <c r="AP19" i="11" s="1"/>
  <c r="AT19" i="11" s="1"/>
  <c r="AX19" i="11" s="1"/>
  <c r="BF19" i="11" s="1"/>
  <c r="H17" i="11"/>
  <c r="J17" i="11" s="1"/>
  <c r="N17" i="11" s="1"/>
  <c r="R17" i="11" s="1"/>
  <c r="V17" i="11" s="1"/>
  <c r="AB17" i="11" s="1"/>
  <c r="AF17" i="11" s="1"/>
  <c r="AJ17" i="11" s="1"/>
  <c r="AP17" i="11" s="1"/>
  <c r="AT17" i="11" s="1"/>
  <c r="AX17" i="11" s="1"/>
  <c r="BF17" i="11" s="1"/>
  <c r="H22" i="11"/>
  <c r="J22" i="11" s="1"/>
  <c r="N22" i="11" s="1"/>
  <c r="R22" i="11" s="1"/>
  <c r="V22" i="11" s="1"/>
  <c r="AB22" i="11" s="1"/>
  <c r="AF22" i="11" s="1"/>
  <c r="AJ22" i="11" s="1"/>
  <c r="AP22" i="11" s="1"/>
  <c r="AT22" i="11" s="1"/>
  <c r="AX22" i="11" s="1"/>
  <c r="BF22" i="11" s="1"/>
  <c r="H23" i="11"/>
  <c r="J23" i="11" s="1"/>
  <c r="N23" i="11" s="1"/>
  <c r="R23" i="11" s="1"/>
  <c r="V23" i="11" s="1"/>
  <c r="AB23" i="11" s="1"/>
  <c r="AF23" i="11" s="1"/>
  <c r="AJ23" i="11" s="1"/>
  <c r="AP23" i="11" s="1"/>
  <c r="AT23" i="11" s="1"/>
  <c r="AX23" i="11" s="1"/>
  <c r="BF23" i="11" s="1"/>
  <c r="H21" i="11"/>
  <c r="J21" i="11" s="1"/>
  <c r="N21" i="11" s="1"/>
  <c r="R21" i="11" s="1"/>
  <c r="V21" i="11" s="1"/>
  <c r="AB21" i="11" s="1"/>
  <c r="AF21" i="11" s="1"/>
  <c r="AJ21" i="11" s="1"/>
  <c r="AP21" i="11" s="1"/>
  <c r="AT21" i="11" s="1"/>
  <c r="AX21" i="11" s="1"/>
  <c r="BF21" i="11" s="1"/>
  <c r="AK6" i="39" l="1"/>
  <c r="AG16" i="39"/>
  <c r="AE102" i="9"/>
  <c r="AA52" i="48"/>
  <c r="H38" i="11"/>
  <c r="J38" i="11" s="1"/>
  <c r="N38" i="11" s="1"/>
  <c r="R38" i="11" s="1"/>
  <c r="V38" i="11" s="1"/>
  <c r="AU7" i="39"/>
  <c r="AT7" i="39"/>
  <c r="AP16" i="39"/>
  <c r="F131" i="6"/>
  <c r="F248" i="6" s="1"/>
  <c r="F164" i="6"/>
  <c r="F163" i="6"/>
  <c r="F161" i="6"/>
  <c r="F162" i="6" s="1"/>
  <c r="F8" i="36" s="1"/>
  <c r="H34" i="11"/>
  <c r="H66" i="11" s="1"/>
  <c r="F31" i="6"/>
  <c r="N13" i="11"/>
  <c r="F251" i="6"/>
  <c r="F255" i="6"/>
  <c r="F250" i="6"/>
  <c r="F252" i="6"/>
  <c r="F257" i="6"/>
  <c r="F137" i="6"/>
  <c r="F7" i="36" s="1"/>
  <c r="F48" i="11"/>
  <c r="H48" i="11"/>
  <c r="G34" i="11"/>
  <c r="G53" i="11" s="1"/>
  <c r="F108" i="10"/>
  <c r="H108" i="10"/>
  <c r="K90" i="38"/>
  <c r="I90" i="38"/>
  <c r="K88" i="38"/>
  <c r="I88" i="38"/>
  <c r="K82" i="38"/>
  <c r="I82" i="38"/>
  <c r="K60" i="38"/>
  <c r="I60" i="38"/>
  <c r="K54" i="38"/>
  <c r="I54" i="38"/>
  <c r="K66" i="38"/>
  <c r="I66" i="38"/>
  <c r="K46" i="38"/>
  <c r="K45" i="38"/>
  <c r="K44" i="38"/>
  <c r="K43" i="38"/>
  <c r="K41" i="38"/>
  <c r="K40" i="38" s="1"/>
  <c r="K38" i="38"/>
  <c r="K37" i="38"/>
  <c r="K36" i="38"/>
  <c r="K35" i="38"/>
  <c r="F155" i="6" s="1"/>
  <c r="F156" i="6" s="1"/>
  <c r="K32" i="38"/>
  <c r="K31" i="38"/>
  <c r="K30" i="38"/>
  <c r="K29" i="38"/>
  <c r="K28" i="38"/>
  <c r="K27" i="38"/>
  <c r="H60" i="45" s="1"/>
  <c r="H61" i="45" s="1"/>
  <c r="K26" i="38"/>
  <c r="G48" i="11" s="1"/>
  <c r="K25" i="38"/>
  <c r="G108" i="10" s="1"/>
  <c r="K24" i="38"/>
  <c r="K23" i="38"/>
  <c r="F94" i="9" s="1"/>
  <c r="F95" i="9" s="1"/>
  <c r="K22" i="38"/>
  <c r="F85" i="8" s="1"/>
  <c r="F86" i="8" s="1"/>
  <c r="K21" i="38"/>
  <c r="F69" i="7" s="1"/>
  <c r="K20" i="38"/>
  <c r="K19" i="38"/>
  <c r="F182" i="6" s="1"/>
  <c r="F183" i="6" s="1"/>
  <c r="K14" i="38"/>
  <c r="K13" i="38"/>
  <c r="K11" i="38"/>
  <c r="K10" i="38"/>
  <c r="K9" i="38"/>
  <c r="K8" i="38"/>
  <c r="K7" i="38"/>
  <c r="I46" i="38"/>
  <c r="I45" i="38"/>
  <c r="I44" i="38"/>
  <c r="I43" i="38"/>
  <c r="I41" i="38"/>
  <c r="I40" i="38" s="1"/>
  <c r="I38" i="38"/>
  <c r="I37" i="38"/>
  <c r="I36" i="38"/>
  <c r="I35" i="38"/>
  <c r="D155" i="6" s="1"/>
  <c r="I32" i="38"/>
  <c r="I31" i="38"/>
  <c r="I30" i="38"/>
  <c r="I29" i="38"/>
  <c r="I28" i="38"/>
  <c r="I27" i="38"/>
  <c r="F60" i="45" s="1"/>
  <c r="I26" i="38"/>
  <c r="I25" i="38"/>
  <c r="I24" i="38"/>
  <c r="I23" i="38"/>
  <c r="I22" i="38"/>
  <c r="I21" i="38"/>
  <c r="D69" i="7" s="1"/>
  <c r="I20" i="38"/>
  <c r="I19" i="38"/>
  <c r="D182" i="6" s="1"/>
  <c r="I14" i="38"/>
  <c r="I13" i="38"/>
  <c r="I8" i="38"/>
  <c r="I9" i="38"/>
  <c r="I10" i="38"/>
  <c r="I11" i="38"/>
  <c r="I7" i="38"/>
  <c r="M3" i="38"/>
  <c r="M43" i="38"/>
  <c r="N7" i="38"/>
  <c r="R7" i="38" s="1"/>
  <c r="V7" i="38" s="1"/>
  <c r="N8" i="38"/>
  <c r="R8" i="38" s="1"/>
  <c r="V8" i="38" s="1"/>
  <c r="N9" i="38"/>
  <c r="R9" i="38" s="1"/>
  <c r="V9" i="38" s="1"/>
  <c r="N10" i="38"/>
  <c r="R10" i="38" s="1"/>
  <c r="V10" i="38" s="1"/>
  <c r="N11" i="38"/>
  <c r="R11" i="38" s="1"/>
  <c r="V11" i="38" s="1"/>
  <c r="N13" i="38"/>
  <c r="R13" i="38" s="1"/>
  <c r="V13" i="38" s="1"/>
  <c r="N14" i="38"/>
  <c r="R14" i="38" s="1"/>
  <c r="V14" i="38" s="1"/>
  <c r="N19" i="38"/>
  <c r="R19" i="38" s="1"/>
  <c r="V19" i="38" s="1"/>
  <c r="N20" i="38"/>
  <c r="R20" i="38" s="1"/>
  <c r="V20" i="38" s="1"/>
  <c r="N21" i="38"/>
  <c r="R21" i="38" s="1"/>
  <c r="V21" i="38" s="1"/>
  <c r="N22" i="38"/>
  <c r="R22" i="38" s="1"/>
  <c r="V22" i="38" s="1"/>
  <c r="N23" i="38"/>
  <c r="R23" i="38" s="1"/>
  <c r="V23" i="38" s="1"/>
  <c r="N24" i="38"/>
  <c r="R24" i="38" s="1"/>
  <c r="V24" i="38" s="1"/>
  <c r="N25" i="38"/>
  <c r="R25" i="38" s="1"/>
  <c r="V25" i="38" s="1"/>
  <c r="N26" i="38"/>
  <c r="R26" i="38" s="1"/>
  <c r="V26" i="38" s="1"/>
  <c r="N27" i="38"/>
  <c r="R27" i="38" s="1"/>
  <c r="V27" i="38" s="1"/>
  <c r="N28" i="38"/>
  <c r="R28" i="38" s="1"/>
  <c r="V28" i="38" s="1"/>
  <c r="N29" i="38"/>
  <c r="R29" i="38" s="1"/>
  <c r="V29" i="38" s="1"/>
  <c r="N30" i="38"/>
  <c r="R30" i="38" s="1"/>
  <c r="V30" i="38" s="1"/>
  <c r="N31" i="38"/>
  <c r="R31" i="38" s="1"/>
  <c r="V31" i="38" s="1"/>
  <c r="N32" i="38"/>
  <c r="R32" i="38" s="1"/>
  <c r="V32" i="38" s="1"/>
  <c r="N35" i="38"/>
  <c r="R35" i="38" s="1"/>
  <c r="V35" i="38" s="1"/>
  <c r="N36" i="38"/>
  <c r="R36" i="38" s="1"/>
  <c r="V36" i="38" s="1"/>
  <c r="N37" i="38"/>
  <c r="R37" i="38" s="1"/>
  <c r="V37" i="38" s="1"/>
  <c r="N38" i="38"/>
  <c r="R38" i="38" s="1"/>
  <c r="V38" i="38" s="1"/>
  <c r="N41" i="38"/>
  <c r="R41" i="38" s="1"/>
  <c r="V41" i="38" s="1"/>
  <c r="N43" i="38"/>
  <c r="R43" i="38" s="1"/>
  <c r="V43" i="38" s="1"/>
  <c r="N44" i="38"/>
  <c r="R44" i="38" s="1"/>
  <c r="V44" i="38" s="1"/>
  <c r="N45" i="38"/>
  <c r="R45" i="38" s="1"/>
  <c r="V45" i="38" s="1"/>
  <c r="N46" i="38"/>
  <c r="R46" i="38" s="1"/>
  <c r="V46" i="38" s="1"/>
  <c r="M36" i="38" l="1"/>
  <c r="M11" i="38"/>
  <c r="M25" i="38"/>
  <c r="M29" i="38"/>
  <c r="M77" i="38" s="1"/>
  <c r="K42" i="38"/>
  <c r="F259" i="6"/>
  <c r="F246" i="6"/>
  <c r="AY7" i="39"/>
  <c r="BG7" i="39" s="1"/>
  <c r="AI102" i="9"/>
  <c r="AE52" i="48"/>
  <c r="Q3" i="38"/>
  <c r="M51" i="38"/>
  <c r="F61" i="45"/>
  <c r="J60" i="45"/>
  <c r="F254" i="6"/>
  <c r="F247" i="6"/>
  <c r="AT16" i="39"/>
  <c r="AX7" i="39"/>
  <c r="AQ6" i="39"/>
  <c r="AK16" i="39"/>
  <c r="F264" i="6"/>
  <c r="F263" i="6"/>
  <c r="F265" i="6"/>
  <c r="F262" i="6"/>
  <c r="F242" i="6"/>
  <c r="F253" i="6"/>
  <c r="F249" i="6"/>
  <c r="F258" i="6"/>
  <c r="F260" i="6" s="1"/>
  <c r="R13" i="11"/>
  <c r="M44" i="38"/>
  <c r="M45" i="38"/>
  <c r="K63" i="38"/>
  <c r="I63" i="38"/>
  <c r="M20" i="38"/>
  <c r="M24" i="38"/>
  <c r="Q24" i="38" s="1"/>
  <c r="M28" i="38"/>
  <c r="M76" i="38" s="1"/>
  <c r="Z38" i="38"/>
  <c r="Z28" i="38"/>
  <c r="Z11" i="38"/>
  <c r="Z37" i="38"/>
  <c r="Z31" i="38"/>
  <c r="Z27" i="38"/>
  <c r="Z23" i="38"/>
  <c r="Z19" i="38"/>
  <c r="Z10" i="38"/>
  <c r="M10" i="38"/>
  <c r="Z24" i="38"/>
  <c r="Z7" i="38"/>
  <c r="Z44" i="38"/>
  <c r="Z43" i="38"/>
  <c r="Z36" i="38"/>
  <c r="Z30" i="38"/>
  <c r="Z26" i="38"/>
  <c r="Z22" i="38"/>
  <c r="Z14" i="38"/>
  <c r="Z9" i="38"/>
  <c r="Z45" i="38"/>
  <c r="Z32" i="38"/>
  <c r="Z20" i="38"/>
  <c r="Z46" i="38"/>
  <c r="Z41" i="38"/>
  <c r="Z35" i="38"/>
  <c r="Z29" i="38"/>
  <c r="Z25" i="38"/>
  <c r="Z21" i="38"/>
  <c r="Z13" i="38"/>
  <c r="Z8" i="38"/>
  <c r="I6" i="38"/>
  <c r="M14" i="38"/>
  <c r="M62" i="38" s="1"/>
  <c r="H70" i="11"/>
  <c r="H68" i="11"/>
  <c r="H39" i="11"/>
  <c r="H35" i="11"/>
  <c r="F109" i="10"/>
  <c r="J108" i="10"/>
  <c r="M68" i="38"/>
  <c r="Q20" i="38"/>
  <c r="M59" i="38"/>
  <c r="Q11" i="38"/>
  <c r="U11" i="38" s="1"/>
  <c r="M73" i="38"/>
  <c r="Q25" i="38"/>
  <c r="E108" i="10"/>
  <c r="M91" i="38"/>
  <c r="Q43" i="38"/>
  <c r="M58" i="38"/>
  <c r="Q10" i="38"/>
  <c r="M22" i="38"/>
  <c r="D85" i="8"/>
  <c r="M26" i="38"/>
  <c r="M84" i="38"/>
  <c r="Q36" i="38"/>
  <c r="M32" i="38"/>
  <c r="M93" i="38"/>
  <c r="Q45" i="38"/>
  <c r="M92" i="38"/>
  <c r="Q44" i="38"/>
  <c r="M35" i="38"/>
  <c r="M23" i="38"/>
  <c r="D94" i="9"/>
  <c r="K12" i="38"/>
  <c r="K34" i="38"/>
  <c r="M38" i="38"/>
  <c r="E48" i="11"/>
  <c r="G37" i="11"/>
  <c r="H53" i="11"/>
  <c r="H37" i="11"/>
  <c r="M31" i="38"/>
  <c r="K87" i="38"/>
  <c r="K64" i="38" s="1"/>
  <c r="I87" i="38"/>
  <c r="I64" i="38" s="1"/>
  <c r="I34" i="38"/>
  <c r="M34" i="38" s="1"/>
  <c r="I12" i="38"/>
  <c r="M30" i="38"/>
  <c r="M8" i="38"/>
  <c r="K6" i="38"/>
  <c r="K39" i="38"/>
  <c r="M46" i="38"/>
  <c r="M27" i="38"/>
  <c r="M21" i="38"/>
  <c r="M19" i="38"/>
  <c r="I18" i="38"/>
  <c r="K18" i="38"/>
  <c r="K17" i="38" s="1"/>
  <c r="M13" i="38"/>
  <c r="M9" i="38"/>
  <c r="M7" i="38"/>
  <c r="I42" i="38"/>
  <c r="I39" i="38" s="1"/>
  <c r="M41" i="38"/>
  <c r="M37" i="38"/>
  <c r="M40" i="38"/>
  <c r="N3" i="38"/>
  <c r="N51" i="38" s="1"/>
  <c r="N91" i="38"/>
  <c r="N86" i="38"/>
  <c r="N80" i="38"/>
  <c r="N79" i="38"/>
  <c r="N72" i="38"/>
  <c r="N71" i="38"/>
  <c r="N68" i="38"/>
  <c r="N67" i="38"/>
  <c r="N61" i="38"/>
  <c r="N57" i="38"/>
  <c r="N56" i="38"/>
  <c r="J67" i="38"/>
  <c r="J62" i="38"/>
  <c r="J61" i="38"/>
  <c r="J59" i="38"/>
  <c r="J58" i="38"/>
  <c r="J57" i="38"/>
  <c r="J56" i="38"/>
  <c r="J55" i="38"/>
  <c r="J94" i="38"/>
  <c r="L93" i="38"/>
  <c r="J92" i="38"/>
  <c r="L91" i="38"/>
  <c r="E42" i="38"/>
  <c r="D42" i="38"/>
  <c r="L89" i="38"/>
  <c r="J40" i="38"/>
  <c r="L40" i="38"/>
  <c r="E39" i="38"/>
  <c r="D39" i="38"/>
  <c r="L86" i="38"/>
  <c r="J86" i="38"/>
  <c r="L85" i="38"/>
  <c r="J85" i="38"/>
  <c r="E37" i="38"/>
  <c r="D37" i="38"/>
  <c r="L84" i="38"/>
  <c r="J84" i="38"/>
  <c r="E36" i="38"/>
  <c r="D36" i="38"/>
  <c r="L83" i="38"/>
  <c r="J83" i="38"/>
  <c r="E35" i="38"/>
  <c r="D35" i="38"/>
  <c r="J34" i="38"/>
  <c r="J82" i="38" s="1"/>
  <c r="E34" i="38"/>
  <c r="D34" i="38"/>
  <c r="L80" i="38"/>
  <c r="J80" i="38"/>
  <c r="E32" i="38"/>
  <c r="D32" i="38"/>
  <c r="L79" i="38"/>
  <c r="J18" i="38"/>
  <c r="L78" i="38"/>
  <c r="E30" i="38"/>
  <c r="D30" i="38"/>
  <c r="L77" i="38"/>
  <c r="E29" i="38"/>
  <c r="D29" i="38"/>
  <c r="L76" i="38"/>
  <c r="E28" i="38"/>
  <c r="D28" i="38"/>
  <c r="L75" i="38"/>
  <c r="E27" i="38"/>
  <c r="D27" i="38"/>
  <c r="L74" i="38"/>
  <c r="E26" i="38"/>
  <c r="D26" i="38"/>
  <c r="L73" i="38"/>
  <c r="E25" i="38"/>
  <c r="D25" i="38"/>
  <c r="L72" i="38"/>
  <c r="E24" i="38"/>
  <c r="D24" i="38"/>
  <c r="L71" i="38"/>
  <c r="E23" i="38"/>
  <c r="D23" i="38"/>
  <c r="L70" i="38"/>
  <c r="E22" i="38"/>
  <c r="D22" i="38"/>
  <c r="L69" i="38"/>
  <c r="E21" i="38"/>
  <c r="D21" i="38"/>
  <c r="L68" i="38"/>
  <c r="E20" i="38"/>
  <c r="D20" i="38"/>
  <c r="L67" i="38"/>
  <c r="E19" i="38"/>
  <c r="D19" i="38"/>
  <c r="L18" i="38"/>
  <c r="E18" i="38"/>
  <c r="D18" i="38"/>
  <c r="E17" i="38"/>
  <c r="D17" i="38"/>
  <c r="E16" i="38"/>
  <c r="D16" i="38"/>
  <c r="L62" i="38"/>
  <c r="L61" i="38"/>
  <c r="E13" i="38"/>
  <c r="D13" i="38"/>
  <c r="L12" i="38"/>
  <c r="L60" i="38" s="1"/>
  <c r="J12" i="38"/>
  <c r="E12" i="38"/>
  <c r="D12" i="38"/>
  <c r="L59" i="38"/>
  <c r="L58" i="38"/>
  <c r="E10" i="38"/>
  <c r="D10" i="38"/>
  <c r="L57" i="38"/>
  <c r="E9" i="38"/>
  <c r="D9" i="38"/>
  <c r="L56" i="38"/>
  <c r="E8" i="38"/>
  <c r="D8" i="38"/>
  <c r="E7" i="38"/>
  <c r="D7" i="38"/>
  <c r="J6" i="38"/>
  <c r="L94" i="38"/>
  <c r="J93" i="38"/>
  <c r="E3" i="38"/>
  <c r="E50" i="38" s="1"/>
  <c r="D3" i="38"/>
  <c r="D50" i="38" s="1"/>
  <c r="N76" i="38" l="1"/>
  <c r="N89" i="38"/>
  <c r="AX16" i="39"/>
  <c r="BF7" i="39"/>
  <c r="BF16" i="39" s="1"/>
  <c r="Q29" i="38"/>
  <c r="E52" i="38"/>
  <c r="E61" i="38"/>
  <c r="E64" i="38"/>
  <c r="E68" i="38"/>
  <c r="E72" i="38"/>
  <c r="F256" i="6"/>
  <c r="AO102" i="9"/>
  <c r="AI52" i="48"/>
  <c r="AU6" i="39"/>
  <c r="AQ16" i="39"/>
  <c r="N75" i="38"/>
  <c r="N85" i="38"/>
  <c r="N94" i="38"/>
  <c r="Q51" i="38"/>
  <c r="U3" i="38"/>
  <c r="J61" i="45"/>
  <c r="N60" i="45"/>
  <c r="F266" i="6"/>
  <c r="E80" i="38"/>
  <c r="V13" i="11"/>
  <c r="M72" i="38"/>
  <c r="Q14" i="38"/>
  <c r="Q62" i="38" s="1"/>
  <c r="Q59" i="38"/>
  <c r="E51" i="38"/>
  <c r="E54" i="38"/>
  <c r="E56" i="38"/>
  <c r="E57" i="38"/>
  <c r="E60" i="38"/>
  <c r="Q28" i="38"/>
  <c r="U28" i="38" s="1"/>
  <c r="Q93" i="38"/>
  <c r="U45" i="38"/>
  <c r="Q91" i="38"/>
  <c r="U43" i="38"/>
  <c r="Q77" i="38"/>
  <c r="U29" i="38"/>
  <c r="Q68" i="38"/>
  <c r="U20" i="38"/>
  <c r="AF8" i="38"/>
  <c r="AF21" i="38"/>
  <c r="AF29" i="38"/>
  <c r="AF41" i="38"/>
  <c r="AF20" i="38"/>
  <c r="AF45" i="38"/>
  <c r="AF14" i="38"/>
  <c r="AF26" i="38"/>
  <c r="AF36" i="38"/>
  <c r="AF24" i="38"/>
  <c r="Q84" i="38"/>
  <c r="U36" i="38"/>
  <c r="AF44" i="38"/>
  <c r="AF19" i="38"/>
  <c r="AF27" i="38"/>
  <c r="AF37" i="38"/>
  <c r="AF28" i="38"/>
  <c r="K15" i="38"/>
  <c r="Q92" i="38"/>
  <c r="U44" i="38"/>
  <c r="Q72" i="38"/>
  <c r="U24" i="38"/>
  <c r="Q58" i="38"/>
  <c r="U10" i="38"/>
  <c r="Q73" i="38"/>
  <c r="U25" i="38"/>
  <c r="U59" i="38"/>
  <c r="Y11" i="38"/>
  <c r="AF13" i="38"/>
  <c r="AF25" i="38"/>
  <c r="AF35" i="38"/>
  <c r="AF46" i="38"/>
  <c r="AF32" i="38"/>
  <c r="AF9" i="38"/>
  <c r="AF22" i="38"/>
  <c r="AF30" i="38"/>
  <c r="AF43" i="38"/>
  <c r="AF7" i="38"/>
  <c r="AF10" i="38"/>
  <c r="AF23" i="38"/>
  <c r="AF31" i="38"/>
  <c r="AF11" i="38"/>
  <c r="AF38" i="38"/>
  <c r="N108" i="10"/>
  <c r="R108" i="10" s="1"/>
  <c r="V108" i="10" s="1"/>
  <c r="AB108" i="10" s="1"/>
  <c r="AF108" i="10" s="1"/>
  <c r="AJ108" i="10" s="1"/>
  <c r="M75" i="38"/>
  <c r="Q27" i="38"/>
  <c r="M56" i="38"/>
  <c r="Q8" i="38"/>
  <c r="M74" i="38"/>
  <c r="Q26" i="38"/>
  <c r="M88" i="38"/>
  <c r="Q40" i="38"/>
  <c r="M55" i="38"/>
  <c r="Q7" i="38"/>
  <c r="M85" i="38"/>
  <c r="Q37" i="38"/>
  <c r="M57" i="38"/>
  <c r="Q9" i="38"/>
  <c r="M94" i="38"/>
  <c r="Q46" i="38"/>
  <c r="M78" i="38"/>
  <c r="Q30" i="38"/>
  <c r="M80" i="38"/>
  <c r="Q32" i="38"/>
  <c r="J60" i="38"/>
  <c r="N12" i="38"/>
  <c r="M89" i="38"/>
  <c r="Q41" i="38"/>
  <c r="M61" i="38"/>
  <c r="Q13" i="38"/>
  <c r="M67" i="38"/>
  <c r="Q19" i="38"/>
  <c r="M12" i="38"/>
  <c r="M79" i="38"/>
  <c r="Q31" i="38"/>
  <c r="M86" i="38"/>
  <c r="Q38" i="38"/>
  <c r="M71" i="38"/>
  <c r="Q23" i="38"/>
  <c r="M70" i="38"/>
  <c r="Q22" i="38"/>
  <c r="N93" i="38"/>
  <c r="R3" i="38"/>
  <c r="M69" i="38"/>
  <c r="Q21" i="38"/>
  <c r="M82" i="38"/>
  <c r="Q34" i="38"/>
  <c r="M83" i="38"/>
  <c r="Q35" i="38"/>
  <c r="L88" i="38"/>
  <c r="N40" i="38"/>
  <c r="R40" i="38" s="1"/>
  <c r="L66" i="38"/>
  <c r="N18" i="38"/>
  <c r="R18" i="38" s="1"/>
  <c r="V18" i="38" s="1"/>
  <c r="F261" i="6"/>
  <c r="I17" i="38"/>
  <c r="I16" i="38" s="1"/>
  <c r="I15" i="38"/>
  <c r="K16" i="38"/>
  <c r="M42" i="38"/>
  <c r="M18" i="38"/>
  <c r="M39" i="38"/>
  <c r="M6" i="38"/>
  <c r="D83" i="38"/>
  <c r="D54" i="38"/>
  <c r="D56" i="38"/>
  <c r="D57" i="38"/>
  <c r="D40" i="38"/>
  <c r="D81" i="38" s="1"/>
  <c r="D62" i="38"/>
  <c r="E63" i="38"/>
  <c r="D66" i="38"/>
  <c r="E67" i="38"/>
  <c r="D70" i="38"/>
  <c r="E71" i="38"/>
  <c r="D74" i="38"/>
  <c r="D77" i="38"/>
  <c r="D78" i="38"/>
  <c r="D79" i="38"/>
  <c r="E83" i="38"/>
  <c r="D63" i="38"/>
  <c r="D71" i="38"/>
  <c r="D53" i="38"/>
  <c r="E62" i="38"/>
  <c r="D65" i="38"/>
  <c r="E66" i="38"/>
  <c r="D69" i="38"/>
  <c r="E70" i="38"/>
  <c r="D73" i="38"/>
  <c r="E74" i="38"/>
  <c r="D75" i="38"/>
  <c r="D76" i="38"/>
  <c r="E77" i="38"/>
  <c r="E78" i="38"/>
  <c r="E79" i="38"/>
  <c r="D67" i="38"/>
  <c r="D52" i="38"/>
  <c r="E53" i="38"/>
  <c r="D61" i="38"/>
  <c r="D64" i="38"/>
  <c r="E65" i="38"/>
  <c r="D68" i="38"/>
  <c r="E69" i="38"/>
  <c r="D72" i="38"/>
  <c r="E73" i="38"/>
  <c r="E75" i="38"/>
  <c r="E76" i="38"/>
  <c r="D80" i="38"/>
  <c r="N58" i="38"/>
  <c r="N62" i="38"/>
  <c r="N69" i="38"/>
  <c r="N73" i="38"/>
  <c r="N77" i="38"/>
  <c r="N83" i="38"/>
  <c r="N92" i="38"/>
  <c r="N55" i="38"/>
  <c r="N59" i="38"/>
  <c r="N70" i="38"/>
  <c r="N74" i="38"/>
  <c r="N78" i="38"/>
  <c r="N84" i="38"/>
  <c r="N88" i="38"/>
  <c r="J15" i="38"/>
  <c r="J63" i="38" s="1"/>
  <c r="J17" i="38"/>
  <c r="J66" i="38"/>
  <c r="J88" i="38"/>
  <c r="D11" i="38"/>
  <c r="J68" i="38"/>
  <c r="J69" i="38"/>
  <c r="J70" i="38"/>
  <c r="J71" i="38"/>
  <c r="J72" i="38"/>
  <c r="J73" i="38"/>
  <c r="J74" i="38"/>
  <c r="J75" i="38"/>
  <c r="J76" i="38"/>
  <c r="J77" i="38"/>
  <c r="J78" i="38"/>
  <c r="J79" i="38"/>
  <c r="J89" i="38"/>
  <c r="J91" i="38"/>
  <c r="L6" i="38"/>
  <c r="N6" i="38" s="1"/>
  <c r="R6" i="38" s="1"/>
  <c r="E11" i="38"/>
  <c r="E14" i="38"/>
  <c r="E58" i="38" s="1"/>
  <c r="L34" i="38"/>
  <c r="N34" i="38" s="1"/>
  <c r="R34" i="38" s="1"/>
  <c r="V34" i="38" s="1"/>
  <c r="E40" i="38"/>
  <c r="E81" i="38" s="1"/>
  <c r="L42" i="38"/>
  <c r="L55" i="38"/>
  <c r="D14" i="38"/>
  <c r="D58" i="38" s="1"/>
  <c r="J42" i="38"/>
  <c r="J90" i="38" s="1"/>
  <c r="D51" i="38"/>
  <c r="J54" i="38"/>
  <c r="D60" i="38"/>
  <c r="L92" i="38"/>
  <c r="Q76" i="38" l="1"/>
  <c r="U14" i="38"/>
  <c r="Y14" i="38" s="1"/>
  <c r="R54" i="38"/>
  <c r="V6" i="38"/>
  <c r="R51" i="38"/>
  <c r="V3" i="38"/>
  <c r="AJ38" i="38"/>
  <c r="AJ10" i="38"/>
  <c r="AJ22" i="38"/>
  <c r="AJ32" i="38"/>
  <c r="AJ35" i="38"/>
  <c r="AJ13" i="38"/>
  <c r="AJ19" i="38"/>
  <c r="AJ14" i="38"/>
  <c r="AJ29" i="38"/>
  <c r="N61" i="45"/>
  <c r="R60" i="45"/>
  <c r="AJ31" i="38"/>
  <c r="AJ43" i="38"/>
  <c r="AJ37" i="38"/>
  <c r="AJ36" i="38"/>
  <c r="AJ20" i="38"/>
  <c r="AJ8" i="38"/>
  <c r="AY6" i="39"/>
  <c r="AU16" i="39"/>
  <c r="AJ11" i="38"/>
  <c r="AJ7" i="38"/>
  <c r="AJ30" i="38"/>
  <c r="AJ9" i="38"/>
  <c r="AJ25" i="38"/>
  <c r="AJ27" i="38"/>
  <c r="AJ24" i="38"/>
  <c r="AJ26" i="38"/>
  <c r="AJ45" i="38"/>
  <c r="AJ21" i="38"/>
  <c r="N42" i="38"/>
  <c r="R42" i="38" s="1"/>
  <c r="AJ23" i="38"/>
  <c r="AJ46" i="38"/>
  <c r="AJ28" i="38"/>
  <c r="AJ44" i="38"/>
  <c r="AJ41" i="38"/>
  <c r="AN41" i="38" s="1"/>
  <c r="U51" i="38"/>
  <c r="Y3" i="38"/>
  <c r="AS102" i="9"/>
  <c r="AO52" i="48"/>
  <c r="F267" i="6"/>
  <c r="AP108" i="10"/>
  <c r="AT108" i="10" s="1"/>
  <c r="AB13" i="11"/>
  <c r="M15" i="38"/>
  <c r="Q57" i="38"/>
  <c r="U9" i="38"/>
  <c r="Q74" i="38"/>
  <c r="U26" i="38"/>
  <c r="U84" i="38"/>
  <c r="Y36" i="38"/>
  <c r="U62" i="38"/>
  <c r="U76" i="38"/>
  <c r="Y28" i="38"/>
  <c r="U72" i="38"/>
  <c r="Y24" i="38"/>
  <c r="V82" i="38"/>
  <c r="Z34" i="38"/>
  <c r="N66" i="38"/>
  <c r="Q67" i="38"/>
  <c r="U19" i="38"/>
  <c r="Q89" i="38"/>
  <c r="U41" i="38"/>
  <c r="Q80" i="38"/>
  <c r="U32" i="38"/>
  <c r="Q94" i="38"/>
  <c r="U46" i="38"/>
  <c r="Q85" i="38"/>
  <c r="U37" i="38"/>
  <c r="Q88" i="38"/>
  <c r="U40" i="38"/>
  <c r="Q56" i="38"/>
  <c r="U8" i="38"/>
  <c r="U68" i="38"/>
  <c r="Y20" i="38"/>
  <c r="U77" i="38"/>
  <c r="Y29" i="38"/>
  <c r="U93" i="38"/>
  <c r="Y45" i="38"/>
  <c r="Q61" i="38"/>
  <c r="U13" i="38"/>
  <c r="Q78" i="38"/>
  <c r="U30" i="38"/>
  <c r="Q55" i="38"/>
  <c r="U7" i="38"/>
  <c r="Q75" i="38"/>
  <c r="U27" i="38"/>
  <c r="U91" i="38"/>
  <c r="Y43" i="38"/>
  <c r="V66" i="38"/>
  <c r="Z18" i="38"/>
  <c r="Q83" i="38"/>
  <c r="U35" i="38"/>
  <c r="Q69" i="38"/>
  <c r="U21" i="38"/>
  <c r="Q70" i="38"/>
  <c r="U22" i="38"/>
  <c r="Q86" i="38"/>
  <c r="U38" i="38"/>
  <c r="U73" i="38"/>
  <c r="Y25" i="38"/>
  <c r="R88" i="38"/>
  <c r="V40" i="38"/>
  <c r="Q82" i="38"/>
  <c r="U34" i="38"/>
  <c r="Q71" i="38"/>
  <c r="U23" i="38"/>
  <c r="Q79" i="38"/>
  <c r="U31" i="38"/>
  <c r="AE11" i="38"/>
  <c r="Y59" i="38"/>
  <c r="U58" i="38"/>
  <c r="Y10" i="38"/>
  <c r="U92" i="38"/>
  <c r="Y44" i="38"/>
  <c r="F9" i="36"/>
  <c r="M63" i="38"/>
  <c r="Q15" i="38"/>
  <c r="R12" i="38"/>
  <c r="N60" i="38"/>
  <c r="M66" i="38"/>
  <c r="Q18" i="38"/>
  <c r="M60" i="38"/>
  <c r="Q12" i="38"/>
  <c r="M17" i="38"/>
  <c r="M54" i="38"/>
  <c r="Q6" i="38"/>
  <c r="M90" i="38"/>
  <c r="Q42" i="38"/>
  <c r="R67" i="38"/>
  <c r="R86" i="38"/>
  <c r="R79" i="38"/>
  <c r="R78" i="38"/>
  <c r="R58" i="38"/>
  <c r="R80" i="38"/>
  <c r="R83" i="38"/>
  <c r="R61" i="38"/>
  <c r="R59" i="38"/>
  <c r="R68" i="38"/>
  <c r="R75" i="38"/>
  <c r="R74" i="38"/>
  <c r="R72" i="38"/>
  <c r="R77" i="38"/>
  <c r="R57" i="38"/>
  <c r="R76" i="38"/>
  <c r="R85" i="38"/>
  <c r="R55" i="38"/>
  <c r="R91" i="38"/>
  <c r="R70" i="38"/>
  <c r="R94" i="38"/>
  <c r="R73" i="38"/>
  <c r="R56" i="38"/>
  <c r="R92" i="38"/>
  <c r="R62" i="38"/>
  <c r="R93" i="38"/>
  <c r="R71" i="38"/>
  <c r="R84" i="38"/>
  <c r="R89" i="38"/>
  <c r="R69" i="38"/>
  <c r="M87" i="38"/>
  <c r="Q39" i="38"/>
  <c r="R82" i="38"/>
  <c r="R66" i="38"/>
  <c r="N82" i="38"/>
  <c r="N54" i="38"/>
  <c r="M16" i="38"/>
  <c r="L15" i="38"/>
  <c r="L54" i="38"/>
  <c r="J39" i="38"/>
  <c r="J87" i="38" s="1"/>
  <c r="L17" i="38"/>
  <c r="N17" i="38" s="1"/>
  <c r="R17" i="38" s="1"/>
  <c r="L82" i="38"/>
  <c r="L90" i="38"/>
  <c r="L39" i="38"/>
  <c r="E55" i="38"/>
  <c r="E15" i="38"/>
  <c r="E59" i="38" s="1"/>
  <c r="D15" i="38"/>
  <c r="D59" i="38" s="1"/>
  <c r="D55" i="38"/>
  <c r="J65" i="38"/>
  <c r="AY16" i="39" l="1"/>
  <c r="BG6" i="39"/>
  <c r="BG16" i="39" s="1"/>
  <c r="N90" i="38"/>
  <c r="AI11" i="38"/>
  <c r="Y51" i="38"/>
  <c r="AE3" i="38"/>
  <c r="AN44" i="38"/>
  <c r="AN46" i="38"/>
  <c r="AN8" i="38"/>
  <c r="AN36" i="38"/>
  <c r="AN43" i="38"/>
  <c r="R61" i="45"/>
  <c r="V60" i="45"/>
  <c r="AN14" i="38"/>
  <c r="AN13" i="38"/>
  <c r="AN32" i="38"/>
  <c r="AN10" i="38"/>
  <c r="V51" i="38"/>
  <c r="Z3" i="38"/>
  <c r="Z66" i="38" s="1"/>
  <c r="V86" i="38"/>
  <c r="V59" i="38"/>
  <c r="V79" i="38"/>
  <c r="V71" i="38"/>
  <c r="V58" i="38"/>
  <c r="V92" i="38"/>
  <c r="V55" i="38"/>
  <c r="V91" i="38"/>
  <c r="V78" i="38"/>
  <c r="V70" i="38"/>
  <c r="V57" i="38"/>
  <c r="V80" i="38"/>
  <c r="V94" i="38"/>
  <c r="V83" i="38"/>
  <c r="V73" i="38"/>
  <c r="V61" i="38"/>
  <c r="V76" i="38"/>
  <c r="V85" i="38"/>
  <c r="V75" i="38"/>
  <c r="V67" i="38"/>
  <c r="V72" i="38"/>
  <c r="V84" i="38"/>
  <c r="V74" i="38"/>
  <c r="V62" i="38"/>
  <c r="V93" i="38"/>
  <c r="V68" i="38"/>
  <c r="V89" i="38"/>
  <c r="V77" i="38"/>
  <c r="V69" i="38"/>
  <c r="V56" i="38"/>
  <c r="AN21" i="38"/>
  <c r="AN26" i="38"/>
  <c r="AN27" i="38"/>
  <c r="AN9" i="38"/>
  <c r="AN7" i="38"/>
  <c r="AT41" i="38"/>
  <c r="AN28" i="38"/>
  <c r="AN23" i="38"/>
  <c r="AN20" i="38"/>
  <c r="AN37" i="38"/>
  <c r="AN31" i="38"/>
  <c r="AN29" i="38"/>
  <c r="AN19" i="38"/>
  <c r="AN35" i="38"/>
  <c r="AN22" i="38"/>
  <c r="AN38" i="38"/>
  <c r="V54" i="38"/>
  <c r="Z6" i="38"/>
  <c r="AW102" i="9"/>
  <c r="BE102" i="9" s="1"/>
  <c r="AS52" i="48"/>
  <c r="AN45" i="38"/>
  <c r="AN24" i="38"/>
  <c r="AN25" i="38"/>
  <c r="AN30" i="38"/>
  <c r="AN11" i="38"/>
  <c r="AX108" i="10"/>
  <c r="BF108" i="10" s="1"/>
  <c r="AF13" i="11"/>
  <c r="Q54" i="38"/>
  <c r="U6" i="38"/>
  <c r="R60" i="38"/>
  <c r="V12" i="38"/>
  <c r="AE14" i="38"/>
  <c r="Y62" i="38"/>
  <c r="Q66" i="38"/>
  <c r="U18" i="38"/>
  <c r="AF18" i="38"/>
  <c r="U75" i="38"/>
  <c r="Y27" i="38"/>
  <c r="U78" i="38"/>
  <c r="Y30" i="38"/>
  <c r="AE45" i="38"/>
  <c r="Y93" i="38"/>
  <c r="AE20" i="38"/>
  <c r="Y68" i="38"/>
  <c r="U88" i="38"/>
  <c r="Y40" i="38"/>
  <c r="U94" i="38"/>
  <c r="Y46" i="38"/>
  <c r="U89" i="38"/>
  <c r="Y41" i="38"/>
  <c r="Q87" i="38"/>
  <c r="U39" i="38"/>
  <c r="Q90" i="38"/>
  <c r="U42" i="38"/>
  <c r="Z82" i="38"/>
  <c r="AF34" i="38"/>
  <c r="AE28" i="38"/>
  <c r="Y76" i="38"/>
  <c r="AE36" i="38"/>
  <c r="Y84" i="38"/>
  <c r="U57" i="38"/>
  <c r="Y9" i="38"/>
  <c r="Y72" i="38"/>
  <c r="AE24" i="38"/>
  <c r="U74" i="38"/>
  <c r="Y26" i="38"/>
  <c r="Q63" i="38"/>
  <c r="U15" i="38"/>
  <c r="Y92" i="38"/>
  <c r="AE44" i="38"/>
  <c r="U71" i="38"/>
  <c r="Y23" i="38"/>
  <c r="V88" i="38"/>
  <c r="Z40" i="38"/>
  <c r="U86" i="38"/>
  <c r="Y38" i="38"/>
  <c r="U69" i="38"/>
  <c r="Y21" i="38"/>
  <c r="R65" i="38"/>
  <c r="V17" i="38"/>
  <c r="R90" i="38"/>
  <c r="V42" i="38"/>
  <c r="Q60" i="38"/>
  <c r="U12" i="38"/>
  <c r="Y58" i="38"/>
  <c r="AE10" i="38"/>
  <c r="U79" i="38"/>
  <c r="Y31" i="38"/>
  <c r="U82" i="38"/>
  <c r="Y34" i="38"/>
  <c r="Y73" i="38"/>
  <c r="AE25" i="38"/>
  <c r="U70" i="38"/>
  <c r="Y22" i="38"/>
  <c r="U83" i="38"/>
  <c r="Y35" i="38"/>
  <c r="AE43" i="38"/>
  <c r="Y91" i="38"/>
  <c r="U55" i="38"/>
  <c r="Y7" i="38"/>
  <c r="U61" i="38"/>
  <c r="Y13" i="38"/>
  <c r="Y77" i="38"/>
  <c r="AE29" i="38"/>
  <c r="U56" i="38"/>
  <c r="Y8" i="38"/>
  <c r="U85" i="38"/>
  <c r="Y37" i="38"/>
  <c r="U80" i="38"/>
  <c r="Y32" i="38"/>
  <c r="U67" i="38"/>
  <c r="Y19" i="38"/>
  <c r="M64" i="38"/>
  <c r="Q16" i="38"/>
  <c r="M65" i="38"/>
  <c r="Q17" i="38"/>
  <c r="L87" i="38"/>
  <c r="N39" i="38"/>
  <c r="N65" i="38"/>
  <c r="L63" i="38"/>
  <c r="N15" i="38"/>
  <c r="L16" i="38"/>
  <c r="L65" i="38"/>
  <c r="J16" i="38"/>
  <c r="J64" i="38" s="1"/>
  <c r="AE84" i="38" l="1"/>
  <c r="AI36" i="38"/>
  <c r="AE77" i="38"/>
  <c r="AI29" i="38"/>
  <c r="AE73" i="38"/>
  <c r="AI25" i="38"/>
  <c r="AE72" i="38"/>
  <c r="AI24" i="38"/>
  <c r="AJ34" i="38"/>
  <c r="AJ18" i="38"/>
  <c r="AT30" i="38"/>
  <c r="AT38" i="38"/>
  <c r="AT29" i="38"/>
  <c r="AT37" i="38"/>
  <c r="AT23" i="38"/>
  <c r="AT9" i="38"/>
  <c r="AT13" i="38"/>
  <c r="AB60" i="45"/>
  <c r="V61" i="45"/>
  <c r="AT46" i="38"/>
  <c r="AI3" i="38"/>
  <c r="AE51" i="38"/>
  <c r="AE68" i="38"/>
  <c r="AI20" i="38"/>
  <c r="AE62" i="38"/>
  <c r="AI14" i="38"/>
  <c r="AT11" i="38"/>
  <c r="AT25" i="38"/>
  <c r="AT45" i="38"/>
  <c r="AT35" i="38"/>
  <c r="AX41" i="38"/>
  <c r="AT26" i="38"/>
  <c r="AT10" i="38"/>
  <c r="AT36" i="38"/>
  <c r="AE58" i="38"/>
  <c r="AI10" i="38"/>
  <c r="AE92" i="38"/>
  <c r="AI44" i="38"/>
  <c r="Z54" i="38"/>
  <c r="AF6" i="38"/>
  <c r="AT19" i="38"/>
  <c r="AT31" i="38"/>
  <c r="AT20" i="38"/>
  <c r="AT28" i="38"/>
  <c r="AT7" i="38"/>
  <c r="AT27" i="38"/>
  <c r="AX27" i="38" s="1"/>
  <c r="AT21" i="38"/>
  <c r="Z51" i="38"/>
  <c r="AF3" i="38"/>
  <c r="Z69" i="38"/>
  <c r="Z93" i="38"/>
  <c r="Z74" i="38"/>
  <c r="Z72" i="38"/>
  <c r="Z75" i="38"/>
  <c r="Z73" i="38"/>
  <c r="Z57" i="38"/>
  <c r="Z78" i="38"/>
  <c r="Z55" i="38"/>
  <c r="Z59" i="38"/>
  <c r="Z89" i="38"/>
  <c r="Z92" i="38"/>
  <c r="Z76" i="38"/>
  <c r="Z94" i="38"/>
  <c r="Z71" i="38"/>
  <c r="Z77" i="38"/>
  <c r="Z62" i="38"/>
  <c r="Z67" i="38"/>
  <c r="Z61" i="38"/>
  <c r="Z83" i="38"/>
  <c r="Z80" i="38"/>
  <c r="Z70" i="38"/>
  <c r="Z58" i="38"/>
  <c r="Z86" i="38"/>
  <c r="Z56" i="38"/>
  <c r="Z68" i="38"/>
  <c r="Z84" i="38"/>
  <c r="Z85" i="38"/>
  <c r="Z91" i="38"/>
  <c r="Z79" i="38"/>
  <c r="AT32" i="38"/>
  <c r="AT14" i="38"/>
  <c r="AT8" i="38"/>
  <c r="AT44" i="38"/>
  <c r="AI59" i="38"/>
  <c r="AM11" i="38"/>
  <c r="AE91" i="38"/>
  <c r="AI43" i="38"/>
  <c r="AE76" i="38"/>
  <c r="AI28" i="38"/>
  <c r="AE93" i="38"/>
  <c r="AI45" i="38"/>
  <c r="AT24" i="38"/>
  <c r="AT22" i="38"/>
  <c r="AT43" i="38"/>
  <c r="AE59" i="38"/>
  <c r="AJ13" i="11"/>
  <c r="Q64" i="38"/>
  <c r="U16" i="38"/>
  <c r="Y56" i="38"/>
  <c r="AE8" i="38"/>
  <c r="Y69" i="38"/>
  <c r="AE21" i="38"/>
  <c r="Y57" i="38"/>
  <c r="AE9" i="38"/>
  <c r="U90" i="38"/>
  <c r="Y42" i="38"/>
  <c r="Y88" i="38"/>
  <c r="AE40" i="38"/>
  <c r="Y75" i="38"/>
  <c r="AE27" i="38"/>
  <c r="V60" i="38"/>
  <c r="Z12" i="38"/>
  <c r="Q65" i="38"/>
  <c r="U17" i="38"/>
  <c r="Y67" i="38"/>
  <c r="AE19" i="38"/>
  <c r="Y85" i="38"/>
  <c r="AE37" i="38"/>
  <c r="AE7" i="38"/>
  <c r="Y55" i="38"/>
  <c r="Y83" i="38"/>
  <c r="AE35" i="38"/>
  <c r="Y79" i="38"/>
  <c r="AE31" i="38"/>
  <c r="U60" i="38"/>
  <c r="Y12" i="38"/>
  <c r="V65" i="38"/>
  <c r="Z17" i="38"/>
  <c r="AE38" i="38"/>
  <c r="Y86" i="38"/>
  <c r="Y71" i="38"/>
  <c r="AE23" i="38"/>
  <c r="U63" i="38"/>
  <c r="Y15" i="38"/>
  <c r="U87" i="38"/>
  <c r="Y39" i="38"/>
  <c r="Y94" i="38"/>
  <c r="AE46" i="38"/>
  <c r="AE30" i="38"/>
  <c r="Y78" i="38"/>
  <c r="U54" i="38"/>
  <c r="Y6" i="38"/>
  <c r="AE6" i="38" s="1"/>
  <c r="AI6" i="38" s="1"/>
  <c r="Y80" i="38"/>
  <c r="AE32" i="38"/>
  <c r="Y61" i="38"/>
  <c r="AE13" i="38"/>
  <c r="AE22" i="38"/>
  <c r="Y70" i="38"/>
  <c r="Y82" i="38"/>
  <c r="AE34" i="38"/>
  <c r="V90" i="38"/>
  <c r="Z42" i="38"/>
  <c r="Z88" i="38"/>
  <c r="AF40" i="38"/>
  <c r="AE26" i="38"/>
  <c r="Y74" i="38"/>
  <c r="Y89" i="38"/>
  <c r="AE41" i="38"/>
  <c r="U66" i="38"/>
  <c r="Y18" i="38"/>
  <c r="R39" i="38"/>
  <c r="N87" i="38"/>
  <c r="L64" i="38"/>
  <c r="N16" i="38"/>
  <c r="R15" i="38"/>
  <c r="N63" i="38"/>
  <c r="D33" i="34"/>
  <c r="D34" i="34"/>
  <c r="D36" i="34"/>
  <c r="D37" i="34"/>
  <c r="D38" i="34"/>
  <c r="D25" i="34"/>
  <c r="D26" i="34"/>
  <c r="D27" i="34"/>
  <c r="G504" i="3"/>
  <c r="F113" i="17"/>
  <c r="F81" i="17"/>
  <c r="F77" i="17"/>
  <c r="F66" i="17"/>
  <c r="F68" i="17" s="1"/>
  <c r="F60" i="17"/>
  <c r="F57" i="17"/>
  <c r="F56" i="17"/>
  <c r="F51" i="17"/>
  <c r="F50" i="17"/>
  <c r="F54" i="17" s="1"/>
  <c r="F47" i="17"/>
  <c r="F45" i="17"/>
  <c r="F43" i="17"/>
  <c r="F18" i="17"/>
  <c r="F17" i="17"/>
  <c r="F15" i="17"/>
  <c r="F29" i="17" s="1"/>
  <c r="F14" i="17"/>
  <c r="F8" i="17"/>
  <c r="F93" i="37"/>
  <c r="F91" i="37" s="1"/>
  <c r="E93" i="37"/>
  <c r="F14" i="15"/>
  <c r="F15" i="15" s="1"/>
  <c r="F12" i="15"/>
  <c r="F13" i="15" s="1"/>
  <c r="D40" i="27"/>
  <c r="F21" i="17" l="1"/>
  <c r="E96" i="37"/>
  <c r="E91" i="37"/>
  <c r="AE89" i="38"/>
  <c r="AI41" i="38"/>
  <c r="AF88" i="38"/>
  <c r="AJ40" i="38"/>
  <c r="AE82" i="38"/>
  <c r="AI34" i="38"/>
  <c r="AE61" i="38"/>
  <c r="AI13" i="38"/>
  <c r="AI54" i="38"/>
  <c r="AM6" i="38"/>
  <c r="AE94" i="38"/>
  <c r="AI46" i="38"/>
  <c r="AE83" i="38"/>
  <c r="AI35" i="38"/>
  <c r="AE85" i="38"/>
  <c r="AI37" i="38"/>
  <c r="AE75" i="38"/>
  <c r="AI27" i="38"/>
  <c r="AE69" i="38"/>
  <c r="AI21" i="38"/>
  <c r="AX44" i="38"/>
  <c r="AX14" i="38"/>
  <c r="AX21" i="38"/>
  <c r="AX7" i="38"/>
  <c r="AX20" i="38"/>
  <c r="AX19" i="38"/>
  <c r="AI92" i="38"/>
  <c r="AM44" i="38"/>
  <c r="AI62" i="38"/>
  <c r="AM14" i="38"/>
  <c r="AN18" i="38"/>
  <c r="AI72" i="38"/>
  <c r="AM24" i="38"/>
  <c r="AI77" i="38"/>
  <c r="AM29" i="38"/>
  <c r="AE86" i="38"/>
  <c r="AI38" i="38"/>
  <c r="AX43" i="38"/>
  <c r="AX24" i="38"/>
  <c r="AI76" i="38"/>
  <c r="AM28" i="38"/>
  <c r="AS11" i="38"/>
  <c r="AJ3" i="38"/>
  <c r="AF51" i="38"/>
  <c r="AF86" i="38"/>
  <c r="AF70" i="38"/>
  <c r="AF83" i="38"/>
  <c r="AF67" i="38"/>
  <c r="AF77" i="38"/>
  <c r="AF79" i="38"/>
  <c r="AF85" i="38"/>
  <c r="AF68" i="38"/>
  <c r="AF71" i="38"/>
  <c r="AF76" i="38"/>
  <c r="AF89" i="38"/>
  <c r="AF55" i="38"/>
  <c r="AF57" i="38"/>
  <c r="AF75" i="38"/>
  <c r="AF74" i="38"/>
  <c r="AF69" i="38"/>
  <c r="AF58" i="38"/>
  <c r="AF80" i="38"/>
  <c r="AF61" i="38"/>
  <c r="AF62" i="38"/>
  <c r="AF91" i="38"/>
  <c r="AF84" i="38"/>
  <c r="AF56" i="38"/>
  <c r="AF94" i="38"/>
  <c r="AF92" i="38"/>
  <c r="AF59" i="38"/>
  <c r="AF78" i="38"/>
  <c r="AF73" i="38"/>
  <c r="AF72" i="38"/>
  <c r="AF93" i="38"/>
  <c r="AF54" i="38"/>
  <c r="AJ6" i="38"/>
  <c r="AX36" i="38"/>
  <c r="AX26" i="38"/>
  <c r="AX35" i="38"/>
  <c r="AX25" i="38"/>
  <c r="AM3" i="38"/>
  <c r="AI51" i="38"/>
  <c r="AF60" i="45"/>
  <c r="AB61" i="45"/>
  <c r="AX9" i="38"/>
  <c r="AX37" i="38"/>
  <c r="AX38" i="38"/>
  <c r="AF66" i="38"/>
  <c r="AE80" i="38"/>
  <c r="AI32" i="38"/>
  <c r="AE71" i="38"/>
  <c r="AI23" i="38"/>
  <c r="AE79" i="38"/>
  <c r="AI31" i="38"/>
  <c r="AE67" i="38"/>
  <c r="AI19" i="38"/>
  <c r="AE88" i="38"/>
  <c r="AI40" i="38"/>
  <c r="AE57" i="38"/>
  <c r="AI9" i="38"/>
  <c r="AE56" i="38"/>
  <c r="AI8" i="38"/>
  <c r="AX8" i="38"/>
  <c r="AX32" i="38"/>
  <c r="BB27" i="38"/>
  <c r="BJ27" i="38" s="1"/>
  <c r="AX28" i="38"/>
  <c r="AX31" i="38"/>
  <c r="AI58" i="38"/>
  <c r="AM10" i="38"/>
  <c r="AI68" i="38"/>
  <c r="AM20" i="38"/>
  <c r="AJ82" i="38"/>
  <c r="AN34" i="38"/>
  <c r="AI73" i="38"/>
  <c r="AM25" i="38"/>
  <c r="AI84" i="38"/>
  <c r="AM36" i="38"/>
  <c r="F49" i="17"/>
  <c r="F53" i="17" s="1"/>
  <c r="AE74" i="38"/>
  <c r="AI26" i="38"/>
  <c r="AE70" i="38"/>
  <c r="AI22" i="38"/>
  <c r="AE78" i="38"/>
  <c r="AI30" i="38"/>
  <c r="AE55" i="38"/>
  <c r="AI7" i="38"/>
  <c r="AX22" i="38"/>
  <c r="AI93" i="38"/>
  <c r="AM45" i="38"/>
  <c r="AI91" i="38"/>
  <c r="AM43" i="38"/>
  <c r="AX10" i="38"/>
  <c r="BB41" i="38"/>
  <c r="BJ41" i="38" s="1"/>
  <c r="AX45" i="38"/>
  <c r="AX11" i="38"/>
  <c r="AX46" i="38"/>
  <c r="AX13" i="38"/>
  <c r="AX23" i="38"/>
  <c r="AX29" i="38"/>
  <c r="AX30" i="38"/>
  <c r="AF82" i="38"/>
  <c r="AP13" i="11"/>
  <c r="G11" i="15"/>
  <c r="F96" i="37"/>
  <c r="E11" i="15"/>
  <c r="Y66" i="38"/>
  <c r="AE18" i="38"/>
  <c r="Z90" i="38"/>
  <c r="AF42" i="38"/>
  <c r="Y87" i="38"/>
  <c r="AE39" i="38"/>
  <c r="Z65" i="38"/>
  <c r="AF17" i="38"/>
  <c r="Z60" i="38"/>
  <c r="AF12" i="38"/>
  <c r="Y54" i="38"/>
  <c r="AE54" i="38"/>
  <c r="Y63" i="38"/>
  <c r="AE15" i="38"/>
  <c r="Y60" i="38"/>
  <c r="AE12" i="38"/>
  <c r="U65" i="38"/>
  <c r="Y17" i="38"/>
  <c r="Y90" i="38"/>
  <c r="AE42" i="38"/>
  <c r="U64" i="38"/>
  <c r="Y16" i="38"/>
  <c r="R63" i="38"/>
  <c r="V15" i="38"/>
  <c r="R87" i="38"/>
  <c r="V39" i="38"/>
  <c r="F112" i="17"/>
  <c r="G93" i="37"/>
  <c r="F111" i="17"/>
  <c r="F115" i="17" s="1"/>
  <c r="R16" i="38"/>
  <c r="N64" i="38"/>
  <c r="F58" i="17"/>
  <c r="F61" i="17" s="1"/>
  <c r="F31" i="17"/>
  <c r="F30" i="17"/>
  <c r="F33" i="17"/>
  <c r="F32" i="17"/>
  <c r="F10" i="17"/>
  <c r="I93" i="37" l="1"/>
  <c r="G91" i="37"/>
  <c r="AF90" i="38"/>
  <c r="AJ42" i="38"/>
  <c r="BB23" i="38"/>
  <c r="BJ23" i="38" s="1"/>
  <c r="AM84" i="38"/>
  <c r="AS36" i="38"/>
  <c r="AM51" i="38"/>
  <c r="AS3" i="38"/>
  <c r="BB10" i="38"/>
  <c r="BJ10" i="38" s="1"/>
  <c r="AM93" i="38"/>
  <c r="AS45" i="38"/>
  <c r="AI55" i="38"/>
  <c r="AM7" i="38"/>
  <c r="AI70" i="38"/>
  <c r="AM22" i="38"/>
  <c r="BB31" i="38"/>
  <c r="BJ31" i="38" s="1"/>
  <c r="BB8" i="38"/>
  <c r="BJ8" i="38" s="1"/>
  <c r="AW11" i="38"/>
  <c r="AM38" i="38"/>
  <c r="AI86" i="38"/>
  <c r="AM72" i="38"/>
  <c r="AS24" i="38"/>
  <c r="AM62" i="38"/>
  <c r="AS14" i="38"/>
  <c r="AI69" i="38"/>
  <c r="AM21" i="38"/>
  <c r="AI85" i="38"/>
  <c r="AM37" i="38"/>
  <c r="AI94" i="38"/>
  <c r="AM46" i="38"/>
  <c r="AI61" i="38"/>
  <c r="AM13" i="38"/>
  <c r="AJ88" i="38"/>
  <c r="AN40" i="38"/>
  <c r="AE60" i="38"/>
  <c r="AI12" i="38"/>
  <c r="BB30" i="38"/>
  <c r="BJ30" i="38" s="1"/>
  <c r="AM58" i="38"/>
  <c r="AS10" i="38"/>
  <c r="AI56" i="38"/>
  <c r="AM8" i="38"/>
  <c r="AI79" i="38"/>
  <c r="AM31" i="38"/>
  <c r="AM32" i="38"/>
  <c r="AI80" i="38"/>
  <c r="BB9" i="38"/>
  <c r="BJ9" i="38" s="1"/>
  <c r="BB36" i="38"/>
  <c r="BJ36" i="38" s="1"/>
  <c r="AM59" i="38"/>
  <c r="BB24" i="38"/>
  <c r="BJ24" i="38" s="1"/>
  <c r="BB19" i="38"/>
  <c r="BJ19" i="38" s="1"/>
  <c r="BB7" i="38"/>
  <c r="BJ7" i="38" s="1"/>
  <c r="BB14" i="38"/>
  <c r="BJ14" i="38" s="1"/>
  <c r="BB46" i="38"/>
  <c r="BJ46" i="38" s="1"/>
  <c r="AT34" i="38"/>
  <c r="AI88" i="38"/>
  <c r="AM40" i="38"/>
  <c r="BB35" i="38"/>
  <c r="BJ35" i="38" s="1"/>
  <c r="AM91" i="38"/>
  <c r="AS43" i="38"/>
  <c r="AI78" i="38"/>
  <c r="AM30" i="38"/>
  <c r="AI74" i="38"/>
  <c r="AM26" i="38"/>
  <c r="BB32" i="38"/>
  <c r="BJ32" i="38" s="1"/>
  <c r="AN6" i="38"/>
  <c r="AJ54" i="38"/>
  <c r="AS28" i="38"/>
  <c r="AM76" i="38"/>
  <c r="AM77" i="38"/>
  <c r="AS29" i="38"/>
  <c r="AT18" i="38"/>
  <c r="AM92" i="38"/>
  <c r="AS44" i="38"/>
  <c r="AI75" i="38"/>
  <c r="AM27" i="38"/>
  <c r="AI83" i="38"/>
  <c r="AM35" i="38"/>
  <c r="AM54" i="38"/>
  <c r="AS6" i="38"/>
  <c r="AI82" i="38"/>
  <c r="AM34" i="38"/>
  <c r="AI89" i="38"/>
  <c r="AM41" i="38"/>
  <c r="AE90" i="38"/>
  <c r="AI42" i="38"/>
  <c r="AF65" i="38"/>
  <c r="AJ17" i="38"/>
  <c r="BB45" i="38"/>
  <c r="BJ45" i="38" s="1"/>
  <c r="BB28" i="38"/>
  <c r="BJ28" i="38" s="1"/>
  <c r="BB38" i="38"/>
  <c r="BJ38" i="38" s="1"/>
  <c r="AE63" i="38"/>
  <c r="AI15" i="38"/>
  <c r="AF60" i="38"/>
  <c r="AJ12" i="38"/>
  <c r="AE87" i="38"/>
  <c r="AI39" i="38"/>
  <c r="AE66" i="38"/>
  <c r="AI18" i="38"/>
  <c r="BB29" i="38"/>
  <c r="BJ29" i="38" s="1"/>
  <c r="BB13" i="38"/>
  <c r="BJ13" i="38" s="1"/>
  <c r="BB11" i="38"/>
  <c r="BJ11" i="38" s="1"/>
  <c r="BB22" i="38"/>
  <c r="BJ22" i="38" s="1"/>
  <c r="AM73" i="38"/>
  <c r="AS25" i="38"/>
  <c r="AM68" i="38"/>
  <c r="AS20" i="38"/>
  <c r="AI57" i="38"/>
  <c r="AM9" i="38"/>
  <c r="AI67" i="38"/>
  <c r="AM19" i="38"/>
  <c r="AI71" i="38"/>
  <c r="AM23" i="38"/>
  <c r="BB37" i="38"/>
  <c r="BJ37" i="38" s="1"/>
  <c r="AF61" i="45"/>
  <c r="AJ60" i="45"/>
  <c r="BB25" i="38"/>
  <c r="BJ25" i="38" s="1"/>
  <c r="BB26" i="38"/>
  <c r="BJ26" i="38" s="1"/>
  <c r="AJ89" i="38"/>
  <c r="AN3" i="38"/>
  <c r="AJ51" i="38"/>
  <c r="AJ92" i="38"/>
  <c r="AJ56" i="38"/>
  <c r="AJ62" i="38"/>
  <c r="AJ80" i="38"/>
  <c r="AJ69" i="38"/>
  <c r="AJ75" i="38"/>
  <c r="AJ55" i="38"/>
  <c r="AJ76" i="38"/>
  <c r="AJ68" i="38"/>
  <c r="AJ79" i="38"/>
  <c r="AJ67" i="38"/>
  <c r="AJ78" i="38"/>
  <c r="AJ91" i="38"/>
  <c r="AJ70" i="38"/>
  <c r="AJ93" i="38"/>
  <c r="AJ73" i="38"/>
  <c r="AJ59" i="38"/>
  <c r="AJ94" i="38"/>
  <c r="AJ61" i="38"/>
  <c r="AJ57" i="38"/>
  <c r="AJ71" i="38"/>
  <c r="AJ85" i="38"/>
  <c r="AJ77" i="38"/>
  <c r="AJ86" i="38"/>
  <c r="AJ84" i="38"/>
  <c r="AJ58" i="38"/>
  <c r="AJ74" i="38"/>
  <c r="AJ83" i="38"/>
  <c r="AJ72" i="38"/>
  <c r="BB43" i="38"/>
  <c r="BJ43" i="38" s="1"/>
  <c r="AJ66" i="38"/>
  <c r="BB20" i="38"/>
  <c r="BJ20" i="38" s="1"/>
  <c r="BB21" i="38"/>
  <c r="BJ21" i="38" s="1"/>
  <c r="BB44" i="38"/>
  <c r="BJ44" i="38" s="1"/>
  <c r="AT13" i="11"/>
  <c r="I11" i="15"/>
  <c r="M11" i="15" s="1"/>
  <c r="Q11" i="15" s="1"/>
  <c r="U11" i="15" s="1"/>
  <c r="AA11" i="15" s="1"/>
  <c r="AE11" i="15" s="1"/>
  <c r="AI11" i="15" s="1"/>
  <c r="AO11" i="15" s="1"/>
  <c r="AS11" i="15" s="1"/>
  <c r="AW11" i="15" s="1"/>
  <c r="BE11" i="15" s="1"/>
  <c r="V63" i="38"/>
  <c r="Z15" i="38"/>
  <c r="R64" i="38"/>
  <c r="V16" i="38"/>
  <c r="V87" i="38"/>
  <c r="Z39" i="38"/>
  <c r="Y64" i="38"/>
  <c r="AE16" i="38"/>
  <c r="Y65" i="38"/>
  <c r="AE17" i="38"/>
  <c r="F110" i="17"/>
  <c r="F114" i="17" s="1"/>
  <c r="F59" i="17"/>
  <c r="J19" i="22"/>
  <c r="J18" i="22"/>
  <c r="J17" i="22"/>
  <c r="J16" i="22"/>
  <c r="J30" i="22"/>
  <c r="J31" i="22"/>
  <c r="G33" i="22"/>
  <c r="G21" i="22" s="1"/>
  <c r="H28" i="22"/>
  <c r="H64" i="22" s="1"/>
  <c r="H65" i="22" s="1"/>
  <c r="H66" i="22" s="1"/>
  <c r="G40" i="48" s="1"/>
  <c r="H24" i="22"/>
  <c r="H26" i="22" s="1"/>
  <c r="H23" i="22"/>
  <c r="H51" i="22" s="1"/>
  <c r="H53" i="22" s="1"/>
  <c r="H55" i="22" s="1"/>
  <c r="H56" i="22" s="1"/>
  <c r="G26" i="48" s="1"/>
  <c r="G28" i="48" s="1"/>
  <c r="H14" i="22"/>
  <c r="H59" i="22" s="1"/>
  <c r="H60" i="22" s="1"/>
  <c r="H61" i="22" s="1"/>
  <c r="G37" i="48" s="1"/>
  <c r="H10" i="22"/>
  <c r="H12" i="22" s="1"/>
  <c r="H9" i="22"/>
  <c r="H43" i="22" s="1"/>
  <c r="H45" i="22" s="1"/>
  <c r="H47" i="22" s="1"/>
  <c r="H48" i="22" s="1"/>
  <c r="G21" i="48" s="1"/>
  <c r="G23" i="48" s="1"/>
  <c r="BC155" i="6" l="1"/>
  <c r="BC156" i="6" s="1"/>
  <c r="K93" i="37"/>
  <c r="I91" i="37"/>
  <c r="AN51" i="38"/>
  <c r="AT3" i="38"/>
  <c r="AN89" i="38"/>
  <c r="AN67" i="38"/>
  <c r="AN68" i="38"/>
  <c r="AN55" i="38"/>
  <c r="AN69" i="38"/>
  <c r="AN62" i="38"/>
  <c r="AN92" i="38"/>
  <c r="AN78" i="38"/>
  <c r="AN77" i="38"/>
  <c r="AN71" i="38"/>
  <c r="AN61" i="38"/>
  <c r="AN94" i="38"/>
  <c r="AN59" i="38"/>
  <c r="AN93" i="38"/>
  <c r="AN58" i="38"/>
  <c r="AN70" i="38"/>
  <c r="AN79" i="38"/>
  <c r="AN76" i="38"/>
  <c r="AN75" i="38"/>
  <c r="AN80" i="38"/>
  <c r="AN56" i="38"/>
  <c r="AN86" i="38"/>
  <c r="AN85" i="38"/>
  <c r="AN57" i="38"/>
  <c r="AN73" i="38"/>
  <c r="AN83" i="38"/>
  <c r="AN74" i="38"/>
  <c r="AN84" i="38"/>
  <c r="AN72" i="38"/>
  <c r="AN91" i="38"/>
  <c r="AS73" i="38"/>
  <c r="AW25" i="38"/>
  <c r="AI87" i="38"/>
  <c r="AM39" i="38"/>
  <c r="AI63" i="38"/>
  <c r="AM15" i="38"/>
  <c r="AJ65" i="38"/>
  <c r="AN17" i="38"/>
  <c r="AM89" i="38"/>
  <c r="AS41" i="38"/>
  <c r="AS54" i="38"/>
  <c r="AW6" i="38"/>
  <c r="AM75" i="38"/>
  <c r="AS27" i="38"/>
  <c r="AX18" i="38"/>
  <c r="AT66" i="38"/>
  <c r="AM78" i="38"/>
  <c r="AS30" i="38"/>
  <c r="AM79" i="38"/>
  <c r="AS31" i="38"/>
  <c r="AS58" i="38"/>
  <c r="AW10" i="38"/>
  <c r="AI60" i="38"/>
  <c r="AM12" i="38"/>
  <c r="AM61" i="38"/>
  <c r="AS13" i="38"/>
  <c r="AM85" i="38"/>
  <c r="AS37" i="38"/>
  <c r="AS62" i="38"/>
  <c r="AW14" i="38"/>
  <c r="AM70" i="38"/>
  <c r="AS22" i="38"/>
  <c r="AS93" i="38"/>
  <c r="AW45" i="38"/>
  <c r="AS51" i="38"/>
  <c r="AW3" i="38"/>
  <c r="AM67" i="38"/>
  <c r="AS19" i="38"/>
  <c r="AN66" i="38"/>
  <c r="AW28" i="38"/>
  <c r="AS76" i="38"/>
  <c r="AX34" i="38"/>
  <c r="AT82" i="38"/>
  <c r="AM86" i="38"/>
  <c r="AS38" i="38"/>
  <c r="AE64" i="38"/>
  <c r="AI16" i="38"/>
  <c r="AW20" i="38"/>
  <c r="AS68" i="38"/>
  <c r="AI66" i="38"/>
  <c r="AM18" i="38"/>
  <c r="AJ60" i="38"/>
  <c r="AN12" i="38"/>
  <c r="AI90" i="38"/>
  <c r="AM42" i="38"/>
  <c r="AM82" i="38"/>
  <c r="AS34" i="38"/>
  <c r="AM83" i="38"/>
  <c r="AS35" i="38"/>
  <c r="AS92" i="38"/>
  <c r="AW44" i="38"/>
  <c r="AS77" i="38"/>
  <c r="AW29" i="38"/>
  <c r="AM74" i="38"/>
  <c r="AS26" i="38"/>
  <c r="AS91" i="38"/>
  <c r="AW43" i="38"/>
  <c r="BA43" i="38" s="1"/>
  <c r="BI43" i="38" s="1"/>
  <c r="AN82" i="38"/>
  <c r="AM56" i="38"/>
  <c r="AS8" i="38"/>
  <c r="AN88" i="38"/>
  <c r="AT40" i="38"/>
  <c r="AM94" i="38"/>
  <c r="AS46" i="38"/>
  <c r="AM69" i="38"/>
  <c r="AS21" i="38"/>
  <c r="AS72" i="38"/>
  <c r="AW24" i="38"/>
  <c r="AW59" i="38"/>
  <c r="BA11" i="38"/>
  <c r="BI11" i="38" s="1"/>
  <c r="AM55" i="38"/>
  <c r="AS7" i="38"/>
  <c r="AW36" i="38"/>
  <c r="AS84" i="38"/>
  <c r="AJ90" i="38"/>
  <c r="AN42" i="38"/>
  <c r="AE65" i="38"/>
  <c r="AI17" i="38"/>
  <c r="AP60" i="45"/>
  <c r="AJ61" i="45"/>
  <c r="AM71" i="38"/>
  <c r="AS23" i="38"/>
  <c r="AM57" i="38"/>
  <c r="AS9" i="38"/>
  <c r="AT6" i="38"/>
  <c r="AN54" i="38"/>
  <c r="AM88" i="38"/>
  <c r="AS40" i="38"/>
  <c r="AM80" i="38"/>
  <c r="AS32" i="38"/>
  <c r="AS59" i="38"/>
  <c r="AX13" i="11"/>
  <c r="BF13" i="11" s="1"/>
  <c r="V64" i="38"/>
  <c r="Z16" i="38"/>
  <c r="Z63" i="38"/>
  <c r="AF15" i="38"/>
  <c r="Z87" i="38"/>
  <c r="AF39" i="38"/>
  <c r="G22" i="22"/>
  <c r="G24" i="22" s="1"/>
  <c r="G25" i="22" s="1"/>
  <c r="G27" i="22" s="1"/>
  <c r="G7" i="22"/>
  <c r="H109" i="10"/>
  <c r="J1531" i="3"/>
  <c r="L1531" i="3" s="1"/>
  <c r="J1530" i="3"/>
  <c r="L1530" i="3" s="1"/>
  <c r="J1529" i="3"/>
  <c r="L1529" i="3" s="1"/>
  <c r="J1528" i="3"/>
  <c r="L1528" i="3" s="1"/>
  <c r="J1526" i="3"/>
  <c r="L1526" i="3" s="1"/>
  <c r="J1522" i="3"/>
  <c r="L1522" i="3" s="1"/>
  <c r="J1521" i="3"/>
  <c r="L1521" i="3" s="1"/>
  <c r="J1520" i="3"/>
  <c r="L1520" i="3" s="1"/>
  <c r="J1519" i="3"/>
  <c r="L1519" i="3" s="1"/>
  <c r="H1491" i="3"/>
  <c r="G1527" i="3"/>
  <c r="F1527" i="3"/>
  <c r="H1527" i="3" s="1"/>
  <c r="G1525" i="3"/>
  <c r="F1525" i="3"/>
  <c r="G1518" i="3"/>
  <c r="F1518" i="3"/>
  <c r="G1502" i="3"/>
  <c r="F1502" i="3"/>
  <c r="M93" i="37" l="1"/>
  <c r="K91" i="37"/>
  <c r="AW9" i="38"/>
  <c r="AS57" i="38"/>
  <c r="AS55" i="38"/>
  <c r="AW7" i="38"/>
  <c r="AW26" i="38"/>
  <c r="AS74" i="38"/>
  <c r="G1501" i="3"/>
  <c r="AF87" i="38"/>
  <c r="AJ39" i="38"/>
  <c r="AS80" i="38"/>
  <c r="AW32" i="38"/>
  <c r="AT54" i="38"/>
  <c r="AX6" i="38"/>
  <c r="AI65" i="38"/>
  <c r="AM17" i="38"/>
  <c r="AN90" i="38"/>
  <c r="AT42" i="38"/>
  <c r="AS69" i="38"/>
  <c r="AW21" i="38"/>
  <c r="AX40" i="38"/>
  <c r="AT88" i="38"/>
  <c r="BB34" i="38"/>
  <c r="BJ34" i="38" s="1"/>
  <c r="BA14" i="38"/>
  <c r="BI14" i="38" s="1"/>
  <c r="AW62" i="38"/>
  <c r="AS61" i="38"/>
  <c r="AW13" i="38"/>
  <c r="BA10" i="38"/>
  <c r="BI10" i="38" s="1"/>
  <c r="AW58" i="38"/>
  <c r="BA6" i="38"/>
  <c r="AW54" i="38"/>
  <c r="AN65" i="38"/>
  <c r="AT17" i="38"/>
  <c r="AS88" i="38"/>
  <c r="AW40" i="38"/>
  <c r="AI64" i="38"/>
  <c r="AM16" i="38"/>
  <c r="AS67" i="38"/>
  <c r="AW19" i="38"/>
  <c r="AS70" i="38"/>
  <c r="AW22" i="38"/>
  <c r="AS78" i="38"/>
  <c r="AW30" i="38"/>
  <c r="BB18" i="38"/>
  <c r="BJ18" i="38" s="1"/>
  <c r="AM87" i="38"/>
  <c r="AS39" i="38"/>
  <c r="AW73" i="38"/>
  <c r="BA25" i="38"/>
  <c r="BI25" i="38" s="1"/>
  <c r="AS82" i="38"/>
  <c r="AW34" i="38"/>
  <c r="AM66" i="38"/>
  <c r="AS18" i="38"/>
  <c r="AW91" i="38"/>
  <c r="BA3" i="38"/>
  <c r="AW51" i="38"/>
  <c r="AF63" i="38"/>
  <c r="AJ15" i="38"/>
  <c r="AP61" i="45"/>
  <c r="AT60" i="45"/>
  <c r="BA24" i="38"/>
  <c r="AW72" i="38"/>
  <c r="AS94" i="38"/>
  <c r="AW46" i="38"/>
  <c r="BA20" i="38"/>
  <c r="AW68" i="38"/>
  <c r="AS85" i="38"/>
  <c r="AW37" i="38"/>
  <c r="AM60" i="38"/>
  <c r="AS12" i="38"/>
  <c r="AS79" i="38"/>
  <c r="AW31" i="38"/>
  <c r="AS75" i="38"/>
  <c r="AW27" i="38"/>
  <c r="AS89" i="38"/>
  <c r="AW41" i="38"/>
  <c r="AT75" i="38"/>
  <c r="AX3" i="38"/>
  <c r="AT51" i="38"/>
  <c r="AT89" i="38"/>
  <c r="AT56" i="38"/>
  <c r="AT79" i="38"/>
  <c r="AT92" i="38"/>
  <c r="AT69" i="38"/>
  <c r="AT68" i="38"/>
  <c r="AT91" i="38"/>
  <c r="AT74" i="38"/>
  <c r="AT73" i="38"/>
  <c r="AT85" i="38"/>
  <c r="AT76" i="38"/>
  <c r="AT70" i="38"/>
  <c r="AT59" i="38"/>
  <c r="AT61" i="38"/>
  <c r="AT77" i="38"/>
  <c r="AT62" i="38"/>
  <c r="AT55" i="38"/>
  <c r="AT67" i="38"/>
  <c r="AT72" i="38"/>
  <c r="AT84" i="38"/>
  <c r="AT83" i="38"/>
  <c r="AT57" i="38"/>
  <c r="AT86" i="38"/>
  <c r="AT93" i="38"/>
  <c r="AT94" i="38"/>
  <c r="AT71" i="38"/>
  <c r="AT78" i="38"/>
  <c r="AT80" i="38"/>
  <c r="AT58" i="38"/>
  <c r="AW92" i="38"/>
  <c r="BA44" i="38"/>
  <c r="AS71" i="38"/>
  <c r="AW23" i="38"/>
  <c r="AW84" i="38"/>
  <c r="BA36" i="38"/>
  <c r="AS56" i="38"/>
  <c r="AW8" i="38"/>
  <c r="BA91" i="38"/>
  <c r="AW77" i="38"/>
  <c r="BA29" i="38"/>
  <c r="AS83" i="38"/>
  <c r="AW35" i="38"/>
  <c r="AM90" i="38"/>
  <c r="AS42" i="38"/>
  <c r="AN60" i="38"/>
  <c r="AT12" i="38"/>
  <c r="AS86" i="38"/>
  <c r="AW38" i="38"/>
  <c r="BA28" i="38"/>
  <c r="AW76" i="38"/>
  <c r="BA45" i="38"/>
  <c r="AW93" i="38"/>
  <c r="AM63" i="38"/>
  <c r="AS15" i="38"/>
  <c r="Z64" i="38"/>
  <c r="AF16" i="38"/>
  <c r="H1518" i="3"/>
  <c r="J1518" i="3" s="1"/>
  <c r="L1518" i="3" s="1"/>
  <c r="F1501" i="3"/>
  <c r="H1501" i="3" s="1"/>
  <c r="J1501" i="3" s="1"/>
  <c r="H1502" i="3"/>
  <c r="H1525" i="3"/>
  <c r="F1524" i="3"/>
  <c r="J1527" i="3"/>
  <c r="L1527" i="3" s="1"/>
  <c r="G8" i="22"/>
  <c r="G10" i="22" s="1"/>
  <c r="G11" i="22" s="1"/>
  <c r="G13" i="22" s="1"/>
  <c r="J1525" i="3"/>
  <c r="L1525" i="3" s="1"/>
  <c r="G1524" i="3"/>
  <c r="BA51" i="38" l="1"/>
  <c r="BI3" i="38"/>
  <c r="BI62" i="38" s="1"/>
  <c r="BA93" i="38"/>
  <c r="BI45" i="38"/>
  <c r="BA84" i="38"/>
  <c r="BI36" i="38"/>
  <c r="BI84" i="38" s="1"/>
  <c r="BA92" i="38"/>
  <c r="BI44" i="38"/>
  <c r="BI92" i="38" s="1"/>
  <c r="BA76" i="38"/>
  <c r="BI28" i="38"/>
  <c r="BI76" i="38" s="1"/>
  <c r="BA77" i="38"/>
  <c r="BI29" i="38"/>
  <c r="BI77" i="38" s="1"/>
  <c r="BA54" i="38"/>
  <c r="BI6" i="38"/>
  <c r="BI54" i="38" s="1"/>
  <c r="BA68" i="38"/>
  <c r="BI20" i="38"/>
  <c r="BI68" i="38" s="1"/>
  <c r="BA72" i="38"/>
  <c r="BI24" i="38"/>
  <c r="BI72" i="38" s="1"/>
  <c r="BC108" i="10"/>
  <c r="BC109" i="10" s="1"/>
  <c r="P93" i="37"/>
  <c r="M91" i="37"/>
  <c r="AF64" i="38"/>
  <c r="AJ16" i="38"/>
  <c r="AW86" i="38"/>
  <c r="BA38" i="38"/>
  <c r="AS90" i="38"/>
  <c r="AW42" i="38"/>
  <c r="AW82" i="38"/>
  <c r="BA34" i="38"/>
  <c r="AS87" i="38"/>
  <c r="AW39" i="38"/>
  <c r="BA30" i="38"/>
  <c r="AW78" i="38"/>
  <c r="AW67" i="38"/>
  <c r="BA19" i="38"/>
  <c r="AW88" i="38"/>
  <c r="BA40" i="38"/>
  <c r="AW61" i="38"/>
  <c r="BA13" i="38"/>
  <c r="AW69" i="38"/>
  <c r="BA21" i="38"/>
  <c r="AW55" i="38"/>
  <c r="BA7" i="38"/>
  <c r="AX51" i="38"/>
  <c r="BB3" i="38"/>
  <c r="BJ3" i="38" s="1"/>
  <c r="BJ82" i="38" s="1"/>
  <c r="AX89" i="38"/>
  <c r="AX75" i="38"/>
  <c r="AX58" i="38"/>
  <c r="AX79" i="38"/>
  <c r="AX78" i="38"/>
  <c r="AX84" i="38"/>
  <c r="AX93" i="38"/>
  <c r="AX86" i="38"/>
  <c r="AX61" i="38"/>
  <c r="AX70" i="38"/>
  <c r="AX68" i="38"/>
  <c r="AX92" i="38"/>
  <c r="AX67" i="38"/>
  <c r="AX62" i="38"/>
  <c r="AX83" i="38"/>
  <c r="AX85" i="38"/>
  <c r="AX73" i="38"/>
  <c r="AX91" i="38"/>
  <c r="AX71" i="38"/>
  <c r="AX56" i="38"/>
  <c r="AX57" i="38"/>
  <c r="AX80" i="38"/>
  <c r="AX76" i="38"/>
  <c r="AX77" i="38"/>
  <c r="AX59" i="38"/>
  <c r="AX72" i="38"/>
  <c r="AX55" i="38"/>
  <c r="AX94" i="38"/>
  <c r="AX74" i="38"/>
  <c r="AX69" i="38"/>
  <c r="AW75" i="38"/>
  <c r="BA27" i="38"/>
  <c r="AS60" i="38"/>
  <c r="AW12" i="38"/>
  <c r="AJ63" i="38"/>
  <c r="AN15" i="38"/>
  <c r="AX82" i="38"/>
  <c r="AM65" i="38"/>
  <c r="AS17" i="38"/>
  <c r="BA32" i="38"/>
  <c r="AW80" i="38"/>
  <c r="AS63" i="38"/>
  <c r="AW15" i="38"/>
  <c r="AT60" i="38"/>
  <c r="AX12" i="38"/>
  <c r="BA35" i="38"/>
  <c r="AW83" i="38"/>
  <c r="AS66" i="38"/>
  <c r="AW18" i="38"/>
  <c r="BA73" i="38"/>
  <c r="BB66" i="38"/>
  <c r="BA22" i="38"/>
  <c r="AW70" i="38"/>
  <c r="AM64" i="38"/>
  <c r="AS16" i="38"/>
  <c r="AT65" i="38"/>
  <c r="AX17" i="38"/>
  <c r="BA59" i="38"/>
  <c r="BA8" i="38"/>
  <c r="AW56" i="38"/>
  <c r="AW71" i="38"/>
  <c r="BA23" i="38"/>
  <c r="BA41" i="38"/>
  <c r="AW89" i="38"/>
  <c r="AW79" i="38"/>
  <c r="BA31" i="38"/>
  <c r="BA37" i="38"/>
  <c r="AW85" i="38"/>
  <c r="AW94" i="38"/>
  <c r="BA46" i="38"/>
  <c r="AT61" i="45"/>
  <c r="AX60" i="45"/>
  <c r="AX66" i="38"/>
  <c r="BA58" i="38"/>
  <c r="BA62" i="38"/>
  <c r="AX88" i="38"/>
  <c r="BB40" i="38"/>
  <c r="AT90" i="38"/>
  <c r="AX42" i="38"/>
  <c r="AX54" i="38"/>
  <c r="BB6" i="38"/>
  <c r="AJ87" i="38"/>
  <c r="AN39" i="38"/>
  <c r="BA26" i="38"/>
  <c r="AW74" i="38"/>
  <c r="AW57" i="38"/>
  <c r="BA9" i="38"/>
  <c r="H1524" i="3"/>
  <c r="J1524" i="3" s="1"/>
  <c r="L1524" i="3" s="1"/>
  <c r="G1419" i="3"/>
  <c r="G1417" i="3"/>
  <c r="G1412" i="3"/>
  <c r="G1411" i="3"/>
  <c r="H1389" i="3"/>
  <c r="BB54" i="38" l="1"/>
  <c r="BJ6" i="38"/>
  <c r="BJ54" i="38" s="1"/>
  <c r="BI93" i="38"/>
  <c r="BJ51" i="38"/>
  <c r="BJ89" i="38"/>
  <c r="BJ75" i="38"/>
  <c r="BJ69" i="38"/>
  <c r="BJ76" i="38"/>
  <c r="BJ56" i="38"/>
  <c r="BJ61" i="38"/>
  <c r="BC181" i="6" s="1"/>
  <c r="BJ79" i="38"/>
  <c r="BJ84" i="38"/>
  <c r="BJ86" i="38"/>
  <c r="BJ74" i="38"/>
  <c r="BJ94" i="38"/>
  <c r="BJ58" i="38"/>
  <c r="BJ93" i="38"/>
  <c r="BJ71" i="38"/>
  <c r="BJ92" i="38"/>
  <c r="BJ67" i="38"/>
  <c r="BJ85" i="38"/>
  <c r="BJ72" i="38"/>
  <c r="BJ68" i="38"/>
  <c r="BJ80" i="38"/>
  <c r="BJ77" i="38"/>
  <c r="BJ91" i="38"/>
  <c r="BJ57" i="38"/>
  <c r="BJ59" i="38"/>
  <c r="BJ78" i="38"/>
  <c r="BJ73" i="38"/>
  <c r="BJ62" i="38"/>
  <c r="BJ55" i="38"/>
  <c r="BJ70" i="38"/>
  <c r="BJ83" i="38"/>
  <c r="BI73" i="38"/>
  <c r="BI51" i="38"/>
  <c r="BI59" i="38"/>
  <c r="BI91" i="38"/>
  <c r="BI58" i="38"/>
  <c r="BB82" i="38"/>
  <c r="BJ66" i="38"/>
  <c r="BB88" i="38"/>
  <c r="BJ40" i="38"/>
  <c r="BJ88" i="38" s="1"/>
  <c r="BA94" i="38"/>
  <c r="BI46" i="38"/>
  <c r="BI94" i="38" s="1"/>
  <c r="BA85" i="38"/>
  <c r="BI37" i="38"/>
  <c r="BI85" i="38" s="1"/>
  <c r="BA89" i="38"/>
  <c r="BI41" i="38"/>
  <c r="BI89" i="38" s="1"/>
  <c r="BA88" i="38"/>
  <c r="BI40" i="38"/>
  <c r="BI88" i="38" s="1"/>
  <c r="BA82" i="38"/>
  <c r="BI34" i="38"/>
  <c r="BI82" i="38" s="1"/>
  <c r="BA86" i="38"/>
  <c r="BI38" i="38"/>
  <c r="BI86" i="38" s="1"/>
  <c r="BA83" i="38"/>
  <c r="BI35" i="38"/>
  <c r="BA61" i="38"/>
  <c r="BI13" i="38"/>
  <c r="BI61" i="38" s="1"/>
  <c r="BA67" i="38"/>
  <c r="BI19" i="38"/>
  <c r="BI67" i="38" s="1"/>
  <c r="BA74" i="38"/>
  <c r="BI26" i="38"/>
  <c r="BI74" i="38" s="1"/>
  <c r="BA70" i="38"/>
  <c r="BI22" i="38"/>
  <c r="BI70" i="38" s="1"/>
  <c r="BA80" i="38"/>
  <c r="BI32" i="38"/>
  <c r="BI80" i="38" s="1"/>
  <c r="BA75" i="38"/>
  <c r="BI27" i="38"/>
  <c r="BI75" i="38" s="1"/>
  <c r="BA69" i="38"/>
  <c r="BI21" i="38"/>
  <c r="BI69" i="38" s="1"/>
  <c r="BA57" i="38"/>
  <c r="BI9" i="38"/>
  <c r="BI57" i="38" s="1"/>
  <c r="BA56" i="38"/>
  <c r="BI8" i="38"/>
  <c r="BI56" i="38" s="1"/>
  <c r="BA79" i="38"/>
  <c r="BI31" i="38"/>
  <c r="BI79" i="38" s="1"/>
  <c r="BA71" i="38"/>
  <c r="BI23" i="38"/>
  <c r="BI71" i="38" s="1"/>
  <c r="BA55" i="38"/>
  <c r="BI7" i="38"/>
  <c r="BI55" i="38" s="1"/>
  <c r="BA78" i="38"/>
  <c r="BI30" i="38"/>
  <c r="BI78" i="38" s="1"/>
  <c r="AX61" i="45"/>
  <c r="BD60" i="45"/>
  <c r="BD61" i="45" s="1"/>
  <c r="R93" i="37"/>
  <c r="P91" i="37"/>
  <c r="AN87" i="38"/>
  <c r="AT39" i="38"/>
  <c r="AX90" i="38"/>
  <c r="BB42" i="38"/>
  <c r="AS64" i="38"/>
  <c r="AW16" i="38"/>
  <c r="AW63" i="38"/>
  <c r="BA15" i="38"/>
  <c r="AS65" i="38"/>
  <c r="AW17" i="38"/>
  <c r="AX65" i="38"/>
  <c r="BB17" i="38"/>
  <c r="BA18" i="38"/>
  <c r="AW66" i="38"/>
  <c r="AX60" i="38"/>
  <c r="BB12" i="38"/>
  <c r="BA39" i="38"/>
  <c r="AW87" i="38"/>
  <c r="AW90" i="38"/>
  <c r="BA42" i="38"/>
  <c r="AJ64" i="38"/>
  <c r="AN16" i="38"/>
  <c r="BA12" i="38"/>
  <c r="AW60" i="38"/>
  <c r="AN63" i="38"/>
  <c r="AT15" i="38"/>
  <c r="BB51" i="38"/>
  <c r="BB75" i="38"/>
  <c r="BB89" i="38"/>
  <c r="BB69" i="38"/>
  <c r="BB77" i="38"/>
  <c r="BB80" i="38"/>
  <c r="BB56" i="38"/>
  <c r="BB73" i="38"/>
  <c r="BB68" i="38"/>
  <c r="BB61" i="38"/>
  <c r="BB79" i="38"/>
  <c r="BB91" i="38"/>
  <c r="BB74" i="38"/>
  <c r="BB55" i="38"/>
  <c r="BB67" i="38"/>
  <c r="BB76" i="38"/>
  <c r="BB62" i="38"/>
  <c r="BB86" i="38"/>
  <c r="BB78" i="38"/>
  <c r="BB85" i="38"/>
  <c r="BB72" i="38"/>
  <c r="BB84" i="38"/>
  <c r="BB93" i="38"/>
  <c r="BB59" i="38"/>
  <c r="BB57" i="38"/>
  <c r="BB71" i="38"/>
  <c r="BB92" i="38"/>
  <c r="BB70" i="38"/>
  <c r="BB58" i="38"/>
  <c r="BB94" i="38"/>
  <c r="BB83" i="38"/>
  <c r="G1383" i="3"/>
  <c r="G1382" i="3"/>
  <c r="G1297" i="3"/>
  <c r="G1296" i="3"/>
  <c r="AI1253" i="3"/>
  <c r="AI1254" i="3" s="1"/>
  <c r="G1265" i="3"/>
  <c r="G1242" i="3"/>
  <c r="G734" i="3"/>
  <c r="H711" i="3"/>
  <c r="J711" i="3" s="1"/>
  <c r="L711" i="3" s="1"/>
  <c r="BB60" i="38" l="1"/>
  <c r="BJ12" i="38"/>
  <c r="BJ60" i="38" s="1"/>
  <c r="BB65" i="38"/>
  <c r="BJ17" i="38"/>
  <c r="BJ65" i="38" s="1"/>
  <c r="BB90" i="38"/>
  <c r="BJ42" i="38"/>
  <c r="BJ90" i="38" s="1"/>
  <c r="BA90" i="38"/>
  <c r="BI42" i="38"/>
  <c r="BI90" i="38" s="1"/>
  <c r="BI83" i="38"/>
  <c r="BB155" i="6"/>
  <c r="BB156" i="6" s="1"/>
  <c r="BA87" i="38"/>
  <c r="BI39" i="38"/>
  <c r="BI87" i="38" s="1"/>
  <c r="BA66" i="38"/>
  <c r="BI18" i="38"/>
  <c r="BI66" i="38" s="1"/>
  <c r="BA63" i="38"/>
  <c r="BI15" i="38"/>
  <c r="BI63" i="38" s="1"/>
  <c r="BA60" i="38"/>
  <c r="BI12" i="38"/>
  <c r="BI60" i="38" s="1"/>
  <c r="T93" i="37"/>
  <c r="R91" i="37"/>
  <c r="AT63" i="38"/>
  <c r="AX15" i="38"/>
  <c r="AN64" i="38"/>
  <c r="AT16" i="38"/>
  <c r="AW65" i="38"/>
  <c r="BA17" i="38"/>
  <c r="BA16" i="38"/>
  <c r="AW64" i="38"/>
  <c r="AT87" i="38"/>
  <c r="AX39" i="38"/>
  <c r="G665" i="3"/>
  <c r="G664" i="3"/>
  <c r="G549" i="3"/>
  <c r="G456" i="3"/>
  <c r="BA64" i="38" l="1"/>
  <c r="BI16" i="38"/>
  <c r="BI64" i="38" s="1"/>
  <c r="BA65" i="38"/>
  <c r="BI17" i="38"/>
  <c r="BI65" i="38" s="1"/>
  <c r="W93" i="37"/>
  <c r="T91" i="37"/>
  <c r="AT64" i="38"/>
  <c r="AX16" i="38"/>
  <c r="AX63" i="38"/>
  <c r="BB15" i="38"/>
  <c r="AX87" i="38"/>
  <c r="BB39" i="38"/>
  <c r="G1018" i="3"/>
  <c r="G1017" i="3"/>
  <c r="G1016" i="3"/>
  <c r="G915" i="3"/>
  <c r="G914" i="3"/>
  <c r="G913" i="3"/>
  <c r="BB63" i="38" l="1"/>
  <c r="BJ15" i="38"/>
  <c r="BJ63" i="38" s="1"/>
  <c r="BB87" i="38"/>
  <c r="BJ39" i="38"/>
  <c r="BJ87" i="38" s="1"/>
  <c r="Y93" i="37"/>
  <c r="W91" i="37"/>
  <c r="AX64" i="38"/>
  <c r="BB16" i="38"/>
  <c r="H44" i="10"/>
  <c r="H57" i="10"/>
  <c r="J57" i="10" s="1"/>
  <c r="N57" i="10" s="1"/>
  <c r="R57" i="10" s="1"/>
  <c r="V57" i="10" s="1"/>
  <c r="AB57" i="10" s="1"/>
  <c r="AF57" i="10" s="1"/>
  <c r="AJ57" i="10" s="1"/>
  <c r="AP57" i="10" s="1"/>
  <c r="AT57" i="10" s="1"/>
  <c r="AX57" i="10" s="1"/>
  <c r="BF57" i="10" s="1"/>
  <c r="H76" i="10"/>
  <c r="H68" i="10"/>
  <c r="H69" i="10"/>
  <c r="J69" i="10" s="1"/>
  <c r="N69" i="10" s="1"/>
  <c r="R69" i="10" s="1"/>
  <c r="V69" i="10" s="1"/>
  <c r="AB69" i="10" s="1"/>
  <c r="AF69" i="10" s="1"/>
  <c r="AJ69" i="10" s="1"/>
  <c r="AP69" i="10" s="1"/>
  <c r="AT69" i="10" s="1"/>
  <c r="AX69" i="10" s="1"/>
  <c r="BF69" i="10" s="1"/>
  <c r="H27" i="10"/>
  <c r="J27" i="10" s="1"/>
  <c r="N27" i="10" s="1"/>
  <c r="R27" i="10" s="1"/>
  <c r="V27" i="10" s="1"/>
  <c r="AB27" i="10" s="1"/>
  <c r="AF27" i="10" s="1"/>
  <c r="AJ27" i="10" s="1"/>
  <c r="AP27" i="10" s="1"/>
  <c r="AT27" i="10" s="1"/>
  <c r="AX27" i="10" s="1"/>
  <c r="BF27" i="10" s="1"/>
  <c r="BB64" i="38" l="1"/>
  <c r="BJ16" i="38"/>
  <c r="BJ64" i="38" s="1"/>
  <c r="AA93" i="37"/>
  <c r="Y91" i="37"/>
  <c r="H98" i="10"/>
  <c r="J44" i="10"/>
  <c r="W121" i="37"/>
  <c r="Y121" i="37" s="1"/>
  <c r="AA121" i="37" s="1"/>
  <c r="AE121" i="37" s="1"/>
  <c r="G95" i="37"/>
  <c r="I95" i="37" s="1"/>
  <c r="K95" i="37" s="1"/>
  <c r="M95" i="37" s="1"/>
  <c r="P95" i="37" s="1"/>
  <c r="R95" i="37" s="1"/>
  <c r="T95" i="37" s="1"/>
  <c r="W95" i="37" s="1"/>
  <c r="Y95" i="37" s="1"/>
  <c r="AA95" i="37" s="1"/>
  <c r="AE95" i="37" s="1"/>
  <c r="G94" i="37"/>
  <c r="I94" i="37" s="1"/>
  <c r="K94" i="37" s="1"/>
  <c r="M94" i="37" s="1"/>
  <c r="P94" i="37" s="1"/>
  <c r="R94" i="37" s="1"/>
  <c r="T94" i="37" s="1"/>
  <c r="W94" i="37" s="1"/>
  <c r="Y94" i="37" s="1"/>
  <c r="AA94" i="37" s="1"/>
  <c r="AE94" i="37" s="1"/>
  <c r="W118" i="37"/>
  <c r="Y118" i="37" s="1"/>
  <c r="AA118" i="37" s="1"/>
  <c r="AE118" i="37" s="1"/>
  <c r="W126" i="37"/>
  <c r="Y126" i="37" s="1"/>
  <c r="AA126" i="37" s="1"/>
  <c r="AE126" i="37" s="1"/>
  <c r="G149" i="37"/>
  <c r="G11" i="37"/>
  <c r="G96" i="37" s="1"/>
  <c r="I273" i="28"/>
  <c r="M273" i="28" s="1"/>
  <c r="Q273" i="28" s="1"/>
  <c r="U273" i="28" s="1"/>
  <c r="AA273" i="28" s="1"/>
  <c r="AE273" i="28" s="1"/>
  <c r="AI273" i="28" s="1"/>
  <c r="AO273" i="28" s="1"/>
  <c r="AS273" i="28" s="1"/>
  <c r="AW273" i="28" s="1"/>
  <c r="BE273" i="28" s="1"/>
  <c r="I252" i="28"/>
  <c r="I257" i="28"/>
  <c r="M257" i="28" s="1"/>
  <c r="Q257" i="28" s="1"/>
  <c r="U257" i="28" s="1"/>
  <c r="AA257" i="28" s="1"/>
  <c r="AE257" i="28" s="1"/>
  <c r="AI257" i="28" s="1"/>
  <c r="AO257" i="28" s="1"/>
  <c r="AS257" i="28" s="1"/>
  <c r="AW257" i="28" s="1"/>
  <c r="BE257" i="28" s="1"/>
  <c r="I263" i="28"/>
  <c r="M263" i="28" s="1"/>
  <c r="Q263" i="28" s="1"/>
  <c r="U263" i="28" s="1"/>
  <c r="AA263" i="28" s="1"/>
  <c r="AE263" i="28" s="1"/>
  <c r="AI263" i="28" s="1"/>
  <c r="AO263" i="28" s="1"/>
  <c r="AS263" i="28" s="1"/>
  <c r="AW263" i="28" s="1"/>
  <c r="BE263" i="28" s="1"/>
  <c r="I264" i="28"/>
  <c r="M264" i="28" s="1"/>
  <c r="Q264" i="28" s="1"/>
  <c r="U264" i="28" s="1"/>
  <c r="AA264" i="28" s="1"/>
  <c r="AE264" i="28" s="1"/>
  <c r="AI264" i="28" s="1"/>
  <c r="AO264" i="28" s="1"/>
  <c r="AS264" i="28" s="1"/>
  <c r="AW264" i="28" s="1"/>
  <c r="BE264" i="28" s="1"/>
  <c r="I265" i="28"/>
  <c r="M265" i="28" s="1"/>
  <c r="Q265" i="28" s="1"/>
  <c r="U265" i="28" s="1"/>
  <c r="AA265" i="28" s="1"/>
  <c r="AE265" i="28" s="1"/>
  <c r="AI265" i="28" s="1"/>
  <c r="AO265" i="28" s="1"/>
  <c r="AS265" i="28" s="1"/>
  <c r="AW265" i="28" s="1"/>
  <c r="BE265" i="28" s="1"/>
  <c r="I266" i="28"/>
  <c r="M266" i="28" s="1"/>
  <c r="Q266" i="28" s="1"/>
  <c r="U266" i="28" s="1"/>
  <c r="AA266" i="28" s="1"/>
  <c r="AE266" i="28" s="1"/>
  <c r="AI266" i="28" s="1"/>
  <c r="AO266" i="28" s="1"/>
  <c r="AS266" i="28" s="1"/>
  <c r="AW266" i="28" s="1"/>
  <c r="BE266" i="28" s="1"/>
  <c r="I267" i="28"/>
  <c r="M267" i="28" s="1"/>
  <c r="Q267" i="28" s="1"/>
  <c r="U267" i="28" s="1"/>
  <c r="AA267" i="28" s="1"/>
  <c r="AE267" i="28" s="1"/>
  <c r="AI267" i="28" s="1"/>
  <c r="AO267" i="28" s="1"/>
  <c r="AS267" i="28" s="1"/>
  <c r="AW267" i="28" s="1"/>
  <c r="BE267" i="28" s="1"/>
  <c r="G284" i="28"/>
  <c r="G312" i="28" s="1"/>
  <c r="I242" i="28"/>
  <c r="M242" i="28" s="1"/>
  <c r="Q242" i="28" s="1"/>
  <c r="U242" i="28" s="1"/>
  <c r="I243" i="28"/>
  <c r="M243" i="28" s="1"/>
  <c r="Q243" i="28" s="1"/>
  <c r="U243" i="28" s="1"/>
  <c r="I244" i="28"/>
  <c r="M244" i="28" s="1"/>
  <c r="Q244" i="28" s="1"/>
  <c r="U244" i="28" s="1"/>
  <c r="AA91" i="37" l="1"/>
  <c r="AE93" i="37"/>
  <c r="AE91" i="37" s="1"/>
  <c r="N44" i="10"/>
  <c r="R44" i="10" s="1"/>
  <c r="V44" i="10" s="1"/>
  <c r="AB44" i="10" s="1"/>
  <c r="AF44" i="10" s="1"/>
  <c r="AJ44" i="10" s="1"/>
  <c r="AP44" i="10" s="1"/>
  <c r="AT44" i="10" s="1"/>
  <c r="AX44" i="10" s="1"/>
  <c r="BF44" i="10" s="1"/>
  <c r="AA242" i="28"/>
  <c r="AE242" i="28" s="1"/>
  <c r="AI242" i="28" s="1"/>
  <c r="Y242" i="28"/>
  <c r="Y244" i="28"/>
  <c r="AA244" i="28"/>
  <c r="AE244" i="28" s="1"/>
  <c r="AI244" i="28" s="1"/>
  <c r="AA243" i="28"/>
  <c r="AE243" i="28" s="1"/>
  <c r="AI243" i="28" s="1"/>
  <c r="Y243" i="28"/>
  <c r="M252" i="28"/>
  <c r="Q252" i="28" s="1"/>
  <c r="U252" i="28" s="1"/>
  <c r="AA252" i="28" s="1"/>
  <c r="AE252" i="28" s="1"/>
  <c r="AI252" i="28" s="1"/>
  <c r="AO252" i="28" s="1"/>
  <c r="AS252" i="28" s="1"/>
  <c r="AW252" i="28" s="1"/>
  <c r="BE252" i="28" s="1"/>
  <c r="I11" i="37"/>
  <c r="I96" i="37" s="1"/>
  <c r="I149" i="37"/>
  <c r="AO242" i="28" l="1"/>
  <c r="AS242" i="28" s="1"/>
  <c r="AW242" i="28" s="1"/>
  <c r="BE242" i="28" s="1"/>
  <c r="AM242" i="28"/>
  <c r="BC242" i="28" s="1"/>
  <c r="AO244" i="28"/>
  <c r="AS244" i="28" s="1"/>
  <c r="AW244" i="28" s="1"/>
  <c r="AM244" i="28"/>
  <c r="AM243" i="28"/>
  <c r="BC243" i="28" s="1"/>
  <c r="AO243" i="28"/>
  <c r="AS243" i="28" s="1"/>
  <c r="AW243" i="28" s="1"/>
  <c r="BE243" i="28" s="1"/>
  <c r="K149" i="37"/>
  <c r="K11" i="37"/>
  <c r="K96" i="37" s="1"/>
  <c r="F32" i="28"/>
  <c r="BE244" i="28" l="1"/>
  <c r="BA244" i="28"/>
  <c r="M149" i="37"/>
  <c r="M11" i="37"/>
  <c r="M96" i="37" s="1"/>
  <c r="G60" i="28"/>
  <c r="BC244" i="28" l="1"/>
  <c r="BA245" i="28"/>
  <c r="P149" i="37"/>
  <c r="P11" i="37"/>
  <c r="G177" i="6"/>
  <c r="G151" i="6"/>
  <c r="E34" i="11"/>
  <c r="F104" i="10"/>
  <c r="H104" i="10"/>
  <c r="G104" i="10"/>
  <c r="R149" i="37" l="1"/>
  <c r="R11" i="37"/>
  <c r="P96" i="37"/>
  <c r="E38" i="8"/>
  <c r="E37" i="8"/>
  <c r="E39" i="8"/>
  <c r="T149" i="37" l="1"/>
  <c r="R96" i="37"/>
  <c r="T11" i="37"/>
  <c r="I22" i="21"/>
  <c r="W123" i="37" l="1"/>
  <c r="Y123" i="37" s="1"/>
  <c r="AA123" i="37" s="1"/>
  <c r="AE123" i="37" s="1"/>
  <c r="AE149" i="37" s="1"/>
  <c r="T96" i="37"/>
  <c r="W11" i="37"/>
  <c r="F1383" i="3"/>
  <c r="F1382" i="3"/>
  <c r="F1297" i="3"/>
  <c r="F1296" i="3"/>
  <c r="G1134" i="3"/>
  <c r="F1134" i="3"/>
  <c r="G1133" i="3"/>
  <c r="F1133" i="3"/>
  <c r="F1018" i="3"/>
  <c r="F1017" i="3"/>
  <c r="F1016" i="3"/>
  <c r="F915" i="3"/>
  <c r="F914" i="3"/>
  <c r="F913" i="3"/>
  <c r="F734" i="3"/>
  <c r="G1499" i="3"/>
  <c r="G1496" i="3"/>
  <c r="G1486" i="3"/>
  <c r="G1482" i="3"/>
  <c r="G1471" i="3"/>
  <c r="G1473" i="3" s="1"/>
  <c r="G1463" i="3"/>
  <c r="G1457" i="3"/>
  <c r="G1456" i="3"/>
  <c r="G1455" i="3"/>
  <c r="G1454" i="3"/>
  <c r="G1451" i="3"/>
  <c r="G238" i="3" s="1"/>
  <c r="G1434" i="3"/>
  <c r="G1428" i="3"/>
  <c r="G1418" i="3"/>
  <c r="G1421" i="3" s="1"/>
  <c r="G1413" i="3"/>
  <c r="G1410" i="3"/>
  <c r="G1370" i="3"/>
  <c r="G1369" i="3"/>
  <c r="G1362" i="3"/>
  <c r="G1366" i="3" s="1"/>
  <c r="G1360" i="3"/>
  <c r="G1365" i="3" s="1"/>
  <c r="G1357" i="3"/>
  <c r="G1358" i="3" s="1"/>
  <c r="G1356" i="3"/>
  <c r="G1354" i="3"/>
  <c r="G1324" i="3"/>
  <c r="G1458" i="3" s="1"/>
  <c r="G1319" i="3"/>
  <c r="G1318" i="3"/>
  <c r="G1317" i="3"/>
  <c r="G1307" i="3"/>
  <c r="G1334" i="3" s="1"/>
  <c r="G1298" i="3"/>
  <c r="G1291" i="3"/>
  <c r="G1257" i="3"/>
  <c r="G1256" i="3"/>
  <c r="G1255" i="3"/>
  <c r="G1250" i="3"/>
  <c r="G1247" i="3"/>
  <c r="G1239" i="3"/>
  <c r="G1240" i="3" s="1"/>
  <c r="G1233" i="3"/>
  <c r="G1222" i="3"/>
  <c r="G1215" i="3"/>
  <c r="G1200" i="3"/>
  <c r="G1201" i="3" s="1"/>
  <c r="G1203" i="3" s="1"/>
  <c r="G1199" i="3"/>
  <c r="G1194" i="3"/>
  <c r="G1175" i="3"/>
  <c r="G1181" i="3" s="1"/>
  <c r="G1169" i="3"/>
  <c r="G1140" i="3"/>
  <c r="G1141" i="3" s="1"/>
  <c r="G1127" i="3"/>
  <c r="G1128" i="3" s="1"/>
  <c r="G1126" i="3"/>
  <c r="G1124" i="3"/>
  <c r="G1121" i="3"/>
  <c r="G1122" i="3" s="1"/>
  <c r="G1118" i="3"/>
  <c r="G1119" i="3" s="1"/>
  <c r="G374" i="3" s="1"/>
  <c r="G1076" i="3"/>
  <c r="G255" i="3" s="1"/>
  <c r="G1013" i="3"/>
  <c r="G1014" i="3" s="1"/>
  <c r="G1012" i="3"/>
  <c r="G1010" i="3"/>
  <c r="G1007" i="3"/>
  <c r="G1008" i="3" s="1"/>
  <c r="G1004" i="3"/>
  <c r="G1005" i="3" s="1"/>
  <c r="G373" i="3" s="1"/>
  <c r="G965" i="3"/>
  <c r="G254" i="3" s="1"/>
  <c r="G916" i="3"/>
  <c r="G911" i="3"/>
  <c r="G912" i="3" s="1"/>
  <c r="G908" i="3"/>
  <c r="G905" i="3"/>
  <c r="G906" i="3" s="1"/>
  <c r="G901" i="3"/>
  <c r="G902" i="3" s="1"/>
  <c r="G372" i="3" s="1"/>
  <c r="G849" i="3"/>
  <c r="G845" i="3"/>
  <c r="G253" i="3" s="1"/>
  <c r="G732" i="3"/>
  <c r="G724" i="3"/>
  <c r="G720" i="3"/>
  <c r="G722" i="3" s="1"/>
  <c r="G717" i="3"/>
  <c r="G747" i="3" s="1"/>
  <c r="G702" i="3"/>
  <c r="G704" i="3" s="1"/>
  <c r="G713" i="3" s="1"/>
  <c r="G685" i="3"/>
  <c r="G681" i="3"/>
  <c r="G678" i="3"/>
  <c r="G666" i="3"/>
  <c r="G639" i="3"/>
  <c r="G638" i="3"/>
  <c r="G637" i="3"/>
  <c r="G636" i="3"/>
  <c r="G634" i="3"/>
  <c r="G633" i="3"/>
  <c r="G632" i="3"/>
  <c r="G631" i="3"/>
  <c r="G630" i="3"/>
  <c r="G624" i="3"/>
  <c r="G625" i="3" s="1"/>
  <c r="G619" i="3"/>
  <c r="G618" i="3"/>
  <c r="G584" i="3"/>
  <c r="G581" i="3"/>
  <c r="G578" i="3"/>
  <c r="G575" i="3"/>
  <c r="G572" i="3"/>
  <c r="G569" i="3"/>
  <c r="G566" i="3"/>
  <c r="G563" i="3"/>
  <c r="G560" i="3"/>
  <c r="G554" i="3"/>
  <c r="G556" i="3" s="1"/>
  <c r="G550" i="3"/>
  <c r="G228" i="3" s="1"/>
  <c r="G231" i="3" s="1"/>
  <c r="G548" i="3"/>
  <c r="G546" i="3"/>
  <c r="G544" i="3"/>
  <c r="G542" i="3"/>
  <c r="G540" i="3"/>
  <c r="G537" i="3"/>
  <c r="G538" i="3" s="1"/>
  <c r="G227" i="3" s="1"/>
  <c r="G230" i="3" s="1"/>
  <c r="G519" i="3"/>
  <c r="G518" i="3"/>
  <c r="G531" i="3" s="1"/>
  <c r="G511" i="3"/>
  <c r="G509" i="3"/>
  <c r="G508" i="3"/>
  <c r="G490" i="3"/>
  <c r="G492" i="3" s="1"/>
  <c r="G486" i="3"/>
  <c r="G487" i="3" s="1"/>
  <c r="G480" i="3"/>
  <c r="G476" i="3"/>
  <c r="G472" i="3"/>
  <c r="G457" i="3"/>
  <c r="G458" i="3" s="1"/>
  <c r="G454" i="3"/>
  <c r="G375" i="3"/>
  <c r="G368" i="3"/>
  <c r="G367" i="3"/>
  <c r="G366" i="3"/>
  <c r="G365" i="3"/>
  <c r="G359" i="3"/>
  <c r="G355" i="3"/>
  <c r="G343" i="3"/>
  <c r="G331" i="3"/>
  <c r="G311" i="3"/>
  <c r="G303" i="3"/>
  <c r="G300" i="3"/>
  <c r="G293" i="3"/>
  <c r="G292" i="3"/>
  <c r="G291" i="3"/>
  <c r="G288" i="3"/>
  <c r="G287" i="3"/>
  <c r="G286" i="3"/>
  <c r="G281" i="3"/>
  <c r="G279" i="3"/>
  <c r="G280" i="3" s="1"/>
  <c r="G278" i="3"/>
  <c r="G277" i="3"/>
  <c r="G272" i="3"/>
  <c r="G271" i="3"/>
  <c r="G273" i="3" s="1"/>
  <c r="G270" i="3"/>
  <c r="G269" i="3"/>
  <c r="G266" i="3"/>
  <c r="G267" i="3" s="1"/>
  <c r="G263" i="3"/>
  <c r="G262" i="3"/>
  <c r="G250" i="3"/>
  <c r="G246" i="3"/>
  <c r="G239" i="3"/>
  <c r="G237" i="3"/>
  <c r="G162" i="3"/>
  <c r="G161" i="3" s="1"/>
  <c r="G154" i="3"/>
  <c r="G1460" i="3" s="1"/>
  <c r="G1461" i="3" s="1"/>
  <c r="G151" i="3"/>
  <c r="G1373" i="3" s="1"/>
  <c r="G148" i="3"/>
  <c r="G145" i="3"/>
  <c r="G520" i="3" s="1"/>
  <c r="G140" i="3"/>
  <c r="G136" i="3"/>
  <c r="G132" i="3"/>
  <c r="G126" i="3"/>
  <c r="G127" i="3" s="1"/>
  <c r="G118" i="3"/>
  <c r="G117" i="3"/>
  <c r="G115" i="3"/>
  <c r="G111" i="3"/>
  <c r="G107" i="3"/>
  <c r="G103" i="3"/>
  <c r="G91" i="3"/>
  <c r="G90" i="3"/>
  <c r="G89" i="3"/>
  <c r="G88" i="3"/>
  <c r="G87" i="3"/>
  <c r="G85" i="3"/>
  <c r="G97" i="3" s="1"/>
  <c r="G78" i="3"/>
  <c r="G96" i="3" s="1"/>
  <c r="G72" i="3"/>
  <c r="G95" i="3" s="1"/>
  <c r="G66" i="3"/>
  <c r="G94" i="3" s="1"/>
  <c r="G56" i="3"/>
  <c r="G45" i="3"/>
  <c r="G40" i="3"/>
  <c r="G34" i="3"/>
  <c r="G32" i="3"/>
  <c r="G33" i="3" s="1"/>
  <c r="G29" i="3"/>
  <c r="G30" i="3" s="1"/>
  <c r="G26" i="3"/>
  <c r="G27" i="3" s="1"/>
  <c r="G23" i="3"/>
  <c r="G20" i="3"/>
  <c r="G19" i="3"/>
  <c r="G18" i="3"/>
  <c r="G17" i="3"/>
  <c r="G12" i="3"/>
  <c r="G13" i="3" s="1"/>
  <c r="G11" i="3"/>
  <c r="G9" i="3"/>
  <c r="AA149" i="37" l="1"/>
  <c r="W96" i="37"/>
  <c r="Y11" i="37"/>
  <c r="W149" i="37"/>
  <c r="Y149" i="37"/>
  <c r="G1465" i="3"/>
  <c r="G16" i="15"/>
  <c r="G119" i="3"/>
  <c r="G120" i="3" s="1"/>
  <c r="G1364" i="3"/>
  <c r="G86" i="3"/>
  <c r="G92" i="3" s="1"/>
  <c r="G620" i="3"/>
  <c r="G289" i="3"/>
  <c r="G1226" i="3"/>
  <c r="G360" i="3"/>
  <c r="G370" i="3"/>
  <c r="G1258" i="3"/>
  <c r="G1243" i="3"/>
  <c r="G1294" i="3" s="1"/>
  <c r="G1295" i="3" s="1"/>
  <c r="G1180" i="3"/>
  <c r="G740" i="3"/>
  <c r="G682" i="3"/>
  <c r="G687" i="3" s="1"/>
  <c r="G643" i="3" s="1"/>
  <c r="G512" i="3"/>
  <c r="G21" i="3"/>
  <c r="G1415" i="3"/>
  <c r="G295" i="3"/>
  <c r="G1500" i="3"/>
  <c r="G1487" i="3"/>
  <c r="G1363" i="3"/>
  <c r="G1462" i="3"/>
  <c r="G1176" i="3"/>
  <c r="G1146" i="3"/>
  <c r="G1145" i="3"/>
  <c r="G728" i="3"/>
  <c r="G744" i="3"/>
  <c r="G748" i="3"/>
  <c r="G35" i="3"/>
  <c r="G36" i="3" s="1"/>
  <c r="G477" i="3"/>
  <c r="G482" i="3" s="1"/>
  <c r="G386" i="3" s="1"/>
  <c r="G282" i="3"/>
  <c r="G1320" i="3"/>
  <c r="G1326" i="3"/>
  <c r="G1331" i="3"/>
  <c r="G1335" i="3" s="1"/>
  <c r="G1386" i="3"/>
  <c r="G1376" i="3"/>
  <c r="G640" i="3"/>
  <c r="G235" i="3" s="1"/>
  <c r="G234" i="3" s="1"/>
  <c r="G264" i="3"/>
  <c r="G662" i="3"/>
  <c r="G667" i="3"/>
  <c r="G644" i="3"/>
  <c r="G645" i="3"/>
  <c r="G526" i="3"/>
  <c r="G532" i="3"/>
  <c r="G533" i="3" s="1"/>
  <c r="G376" i="3"/>
  <c r="G98" i="3"/>
  <c r="G525" i="3"/>
  <c r="G146" i="3"/>
  <c r="G725" i="3"/>
  <c r="G731" i="3"/>
  <c r="G737" i="3"/>
  <c r="G741" i="3"/>
  <c r="G745" i="3"/>
  <c r="G1327" i="3"/>
  <c r="G1332" i="3"/>
  <c r="G1380" i="3"/>
  <c r="G495" i="3"/>
  <c r="G497" i="3" s="1"/>
  <c r="G726" i="3"/>
  <c r="G738" i="3"/>
  <c r="G742" i="3"/>
  <c r="G746" i="3"/>
  <c r="G1333" i="3"/>
  <c r="G500" i="3"/>
  <c r="G502" i="3" s="1"/>
  <c r="G24" i="3"/>
  <c r="G37" i="3"/>
  <c r="G521" i="3"/>
  <c r="G727" i="3"/>
  <c r="G733" i="3"/>
  <c r="G739" i="3"/>
  <c r="G743" i="3"/>
  <c r="G1325" i="3"/>
  <c r="G1330" i="3"/>
  <c r="Y96" i="37" l="1"/>
  <c r="AA11" i="37"/>
  <c r="G1275" i="3"/>
  <c r="G1276" i="3"/>
  <c r="G646" i="3"/>
  <c r="G648" i="3"/>
  <c r="G1273" i="3"/>
  <c r="G647" i="3"/>
  <c r="G1288" i="3"/>
  <c r="G1292" i="3"/>
  <c r="G1280" i="3"/>
  <c r="G387" i="3"/>
  <c r="G1277" i="3"/>
  <c r="G1274" i="3"/>
  <c r="G1278" i="3"/>
  <c r="G1241" i="3"/>
  <c r="G1283" i="3"/>
  <c r="G1287" i="3"/>
  <c r="G1286" i="3"/>
  <c r="G1244" i="3"/>
  <c r="G1299" i="3"/>
  <c r="G1279" i="3"/>
  <c r="G274" i="3"/>
  <c r="G275" i="3" s="1"/>
  <c r="G1282" i="3"/>
  <c r="G1281" i="3"/>
  <c r="G1284" i="3"/>
  <c r="G384" i="3"/>
  <c r="G385" i="3"/>
  <c r="G642" i="3"/>
  <c r="G236" i="3"/>
  <c r="G1328" i="3"/>
  <c r="G749" i="3"/>
  <c r="G527" i="3"/>
  <c r="G147" i="3"/>
  <c r="G1371" i="3"/>
  <c r="G1372" i="3" s="1"/>
  <c r="G138" i="35"/>
  <c r="G19" i="35" s="1"/>
  <c r="G46" i="35"/>
  <c r="G45" i="35"/>
  <c r="AA96" i="37" l="1"/>
  <c r="AE11" i="37"/>
  <c r="AE96" i="37" s="1"/>
  <c r="G1289" i="3"/>
  <c r="G256" i="3" s="1"/>
  <c r="G383" i="3"/>
  <c r="I241" i="28"/>
  <c r="M241" i="28" s="1"/>
  <c r="Q241" i="28" s="1"/>
  <c r="U241" i="28" s="1"/>
  <c r="Y241" i="28" l="1"/>
  <c r="AA241" i="28"/>
  <c r="AE241" i="28" s="1"/>
  <c r="AI241" i="28" s="1"/>
  <c r="F328" i="28"/>
  <c r="F326" i="28"/>
  <c r="G325" i="28"/>
  <c r="G329" i="28" s="1"/>
  <c r="G322" i="28"/>
  <c r="G318" i="28"/>
  <c r="F315" i="28"/>
  <c r="F318" i="28" s="1"/>
  <c r="F324" i="28" s="1"/>
  <c r="G245" i="28"/>
  <c r="G238" i="28"/>
  <c r="G199" i="28"/>
  <c r="G195" i="28"/>
  <c r="G145" i="28"/>
  <c r="G64" i="28"/>
  <c r="G63" i="28"/>
  <c r="G61" i="28"/>
  <c r="G57" i="28"/>
  <c r="G53" i="28"/>
  <c r="G49" i="28"/>
  <c r="G36" i="28"/>
  <c r="G35" i="28"/>
  <c r="G34" i="28"/>
  <c r="G33" i="28"/>
  <c r="G32" i="28"/>
  <c r="G30" i="28"/>
  <c r="G43" i="28" s="1"/>
  <c r="F26" i="28"/>
  <c r="F30" i="28" s="1"/>
  <c r="G23" i="28"/>
  <c r="G42" i="28" s="1"/>
  <c r="F20" i="28"/>
  <c r="G17" i="28"/>
  <c r="G41" i="28" s="1"/>
  <c r="F14" i="28"/>
  <c r="F17" i="28" s="1"/>
  <c r="F195" i="28" s="1"/>
  <c r="G11" i="28"/>
  <c r="G40" i="28" s="1"/>
  <c r="F8" i="28"/>
  <c r="I31" i="36"/>
  <c r="H31" i="36"/>
  <c r="I44" i="36"/>
  <c r="I45" i="36"/>
  <c r="I47" i="36" s="1"/>
  <c r="I48" i="36"/>
  <c r="I49" i="36"/>
  <c r="AO241" i="28" l="1"/>
  <c r="AS241" i="28" s="1"/>
  <c r="AW241" i="28" s="1"/>
  <c r="AM241" i="28"/>
  <c r="BC241" i="28" s="1"/>
  <c r="L45" i="36"/>
  <c r="L47" i="36" s="1"/>
  <c r="L49" i="36"/>
  <c r="H48" i="36"/>
  <c r="L48" i="36"/>
  <c r="H45" i="36"/>
  <c r="H47" i="36" s="1"/>
  <c r="F329" i="28"/>
  <c r="F43" i="28"/>
  <c r="F59" i="28" s="1"/>
  <c r="F312" i="28"/>
  <c r="F11" i="28"/>
  <c r="F145" i="28" s="1"/>
  <c r="F33" i="28"/>
  <c r="F37" i="28" s="1"/>
  <c r="H49" i="36"/>
  <c r="G65" i="28"/>
  <c r="G66" i="28" s="1"/>
  <c r="F320" i="28"/>
  <c r="G44" i="28"/>
  <c r="F23" i="28"/>
  <c r="G37" i="28"/>
  <c r="G38" i="28" s="1"/>
  <c r="F41" i="28"/>
  <c r="F51" i="28" s="1"/>
  <c r="BE241" i="28" l="1"/>
  <c r="P49" i="36"/>
  <c r="X55" i="36" s="1"/>
  <c r="P45" i="36"/>
  <c r="P48" i="36"/>
  <c r="X54" i="36" s="1"/>
  <c r="F40" i="28"/>
  <c r="F47" i="28" s="1"/>
  <c r="F238" i="28"/>
  <c r="F42" i="28"/>
  <c r="F55" i="28" s="1"/>
  <c r="X51" i="36" l="1"/>
  <c r="X53" i="36" s="1"/>
  <c r="X19" i="36" s="1"/>
  <c r="P47" i="36"/>
  <c r="T48" i="36"/>
  <c r="Z48" i="36" s="1"/>
  <c r="AD48" i="36" s="1"/>
  <c r="AH48" i="36" s="1"/>
  <c r="AN48" i="36" s="1"/>
  <c r="AR48" i="36" s="1"/>
  <c r="AV48" i="36" s="1"/>
  <c r="BD48" i="36" s="1"/>
  <c r="T45" i="36"/>
  <c r="T49" i="36"/>
  <c r="Z49" i="36" s="1"/>
  <c r="AD49" i="36" s="1"/>
  <c r="AH49" i="36" s="1"/>
  <c r="AN49" i="36" s="1"/>
  <c r="AR49" i="36" s="1"/>
  <c r="AV49" i="36" s="1"/>
  <c r="BD49" i="36" s="1"/>
  <c r="F44" i="28"/>
  <c r="F63" i="28"/>
  <c r="G17" i="36"/>
  <c r="G16" i="36"/>
  <c r="BB54" i="36" l="1"/>
  <c r="BB55" i="36"/>
  <c r="Z45" i="36"/>
  <c r="T47" i="36"/>
  <c r="E17" i="36"/>
  <c r="E16" i="36"/>
  <c r="I43" i="36"/>
  <c r="H43" i="36"/>
  <c r="AD45" i="36" l="1"/>
  <c r="AH45" i="36" s="1"/>
  <c r="AN45" i="36" s="1"/>
  <c r="AR45" i="36" s="1"/>
  <c r="AV45" i="36" s="1"/>
  <c r="BD45" i="36" s="1"/>
  <c r="Z47" i="36"/>
  <c r="G33" i="36"/>
  <c r="F33" i="36"/>
  <c r="F44" i="36" s="1"/>
  <c r="F17" i="36" s="1"/>
  <c r="F84" i="9" s="1"/>
  <c r="G18" i="36"/>
  <c r="BD47" i="36" l="1"/>
  <c r="BB47" i="36"/>
  <c r="BB51" i="36"/>
  <c r="BB53" i="36" s="1"/>
  <c r="BB19" i="36" s="1"/>
  <c r="AV47" i="36"/>
  <c r="AR47" i="36"/>
  <c r="AN47" i="36"/>
  <c r="AH47" i="36"/>
  <c r="AD47" i="36"/>
  <c r="F21" i="9"/>
  <c r="F86" i="9"/>
  <c r="F18" i="36"/>
  <c r="BG36" i="21"/>
  <c r="S12" i="15" s="1"/>
  <c r="S13" i="15" s="1"/>
  <c r="BG32" i="21"/>
  <c r="BG28" i="21"/>
  <c r="BF28" i="21"/>
  <c r="BG23" i="21"/>
  <c r="BG24" i="21" s="1"/>
  <c r="BF21" i="21"/>
  <c r="BG19" i="21"/>
  <c r="BF14" i="21"/>
  <c r="G36" i="21" l="1"/>
  <c r="G32" i="21"/>
  <c r="G28" i="21"/>
  <c r="F28" i="21"/>
  <c r="G23" i="21"/>
  <c r="G24" i="21" s="1"/>
  <c r="G12" i="21"/>
  <c r="G19" i="21" s="1"/>
  <c r="F12" i="21"/>
  <c r="F21" i="21" s="1"/>
  <c r="F14" i="21" l="1"/>
  <c r="H45" i="35" l="1"/>
  <c r="H46" i="35"/>
  <c r="I40" i="35"/>
  <c r="M40" i="35" s="1"/>
  <c r="Q40" i="35" s="1"/>
  <c r="U40" i="35" s="1"/>
  <c r="AA40" i="35" s="1"/>
  <c r="AE40" i="35" s="1"/>
  <c r="AI40" i="35" s="1"/>
  <c r="AO40" i="35" s="1"/>
  <c r="AS40" i="35" s="1"/>
  <c r="AW40" i="35" s="1"/>
  <c r="BE40" i="35" s="1"/>
  <c r="H41" i="35"/>
  <c r="L41" i="35" s="1"/>
  <c r="P41" i="35" s="1"/>
  <c r="T41" i="35" s="1"/>
  <c r="Z41" i="35" s="1"/>
  <c r="AD41" i="35" s="1"/>
  <c r="AH41" i="35" s="1"/>
  <c r="AN41" i="35" s="1"/>
  <c r="AR41" i="35" s="1"/>
  <c r="AV41" i="35" s="1"/>
  <c r="BD41" i="35" s="1"/>
  <c r="I41" i="35"/>
  <c r="M41" i="35" s="1"/>
  <c r="Q41" i="35" s="1"/>
  <c r="U41" i="35" s="1"/>
  <c r="AA41" i="35" s="1"/>
  <c r="AE41" i="35" s="1"/>
  <c r="AI41" i="35" s="1"/>
  <c r="AO41" i="35" s="1"/>
  <c r="AS41" i="35" s="1"/>
  <c r="AW41" i="35" s="1"/>
  <c r="BE41" i="35" s="1"/>
  <c r="H42" i="35"/>
  <c r="L42" i="35" s="1"/>
  <c r="P42" i="35" s="1"/>
  <c r="T42" i="35" s="1"/>
  <c r="Z42" i="35" s="1"/>
  <c r="AD42" i="35" s="1"/>
  <c r="AH42" i="35" s="1"/>
  <c r="AN42" i="35" s="1"/>
  <c r="AR42" i="35" s="1"/>
  <c r="AV42" i="35" s="1"/>
  <c r="BD42" i="35" s="1"/>
  <c r="I42" i="35"/>
  <c r="M42" i="35" s="1"/>
  <c r="Q42" i="35" s="1"/>
  <c r="U42" i="35" s="1"/>
  <c r="AA42" i="35" s="1"/>
  <c r="AE42" i="35" s="1"/>
  <c r="AI42" i="35" s="1"/>
  <c r="AO42" i="35" s="1"/>
  <c r="AS42" i="35" s="1"/>
  <c r="AW42" i="35" s="1"/>
  <c r="BE42" i="35" s="1"/>
  <c r="H32" i="35"/>
  <c r="I32" i="35"/>
  <c r="H33" i="35"/>
  <c r="L33" i="35" s="1"/>
  <c r="P33" i="35" s="1"/>
  <c r="T33" i="35" s="1"/>
  <c r="I33" i="35"/>
  <c r="M33" i="35" s="1"/>
  <c r="Q33" i="35" s="1"/>
  <c r="U33" i="35" s="1"/>
  <c r="AA33" i="35" s="1"/>
  <c r="AE33" i="35" s="1"/>
  <c r="AI33" i="35" s="1"/>
  <c r="AO33" i="35" s="1"/>
  <c r="AS33" i="35" s="1"/>
  <c r="AW33" i="35" s="1"/>
  <c r="BE33" i="35" s="1"/>
  <c r="I1" i="35"/>
  <c r="M1" i="35" s="1"/>
  <c r="Q1" i="35" s="1"/>
  <c r="U1" i="35" s="1"/>
  <c r="AA1" i="35" s="1"/>
  <c r="AE1" i="35" s="1"/>
  <c r="AI1" i="35" s="1"/>
  <c r="AO1" i="35" s="1"/>
  <c r="AS1" i="35" s="1"/>
  <c r="AW1" i="35" s="1"/>
  <c r="H1" i="35"/>
  <c r="L1" i="35" s="1"/>
  <c r="P1" i="35" s="1"/>
  <c r="T1" i="35" s="1"/>
  <c r="Z1" i="35" s="1"/>
  <c r="AD1" i="35" s="1"/>
  <c r="AH1" i="35" s="1"/>
  <c r="AN1" i="35" s="1"/>
  <c r="AR1" i="35" s="1"/>
  <c r="AV1" i="35" s="1"/>
  <c r="D19" i="35"/>
  <c r="BE1" i="35" l="1"/>
  <c r="BD1" i="35"/>
  <c r="Z33" i="35"/>
  <c r="AD33" i="35" s="1"/>
  <c r="AH33" i="35" s="1"/>
  <c r="AN33" i="35" s="1"/>
  <c r="AR33" i="35" s="1"/>
  <c r="AV33" i="35" s="1"/>
  <c r="BD33" i="35" s="1"/>
  <c r="M32" i="35"/>
  <c r="I34" i="35"/>
  <c r="I43" i="35" s="1"/>
  <c r="L32" i="35"/>
  <c r="H34" i="35"/>
  <c r="H43" i="35" s="1"/>
  <c r="M34" i="35" l="1"/>
  <c r="M43" i="35" s="1"/>
  <c r="Q32" i="35"/>
  <c r="L34" i="35"/>
  <c r="L43" i="35" s="1"/>
  <c r="P32" i="35"/>
  <c r="I138" i="35"/>
  <c r="H138" i="35"/>
  <c r="H19" i="35" s="1"/>
  <c r="M138" i="35" l="1"/>
  <c r="I19" i="35"/>
  <c r="Q34" i="35"/>
  <c r="Q43" i="35" s="1"/>
  <c r="U32" i="35"/>
  <c r="P34" i="35"/>
  <c r="P43" i="35" s="1"/>
  <c r="T32" i="35"/>
  <c r="X34" i="35" s="1"/>
  <c r="X43" i="35" s="1"/>
  <c r="X44" i="35" s="1"/>
  <c r="L138" i="35"/>
  <c r="L19" i="35" s="1"/>
  <c r="I10" i="35"/>
  <c r="M10" i="35" s="1"/>
  <c r="I9" i="35"/>
  <c r="G63" i="35"/>
  <c r="G58" i="35"/>
  <c r="G60" i="35" s="1"/>
  <c r="F58" i="35"/>
  <c r="F59" i="35" s="1"/>
  <c r="F60" i="35" s="1"/>
  <c r="G54" i="35"/>
  <c r="G56" i="35" s="1"/>
  <c r="F54" i="35"/>
  <c r="F55" i="35" s="1"/>
  <c r="G50" i="35"/>
  <c r="F50" i="35"/>
  <c r="F40" i="35"/>
  <c r="F39" i="35"/>
  <c r="F37" i="35"/>
  <c r="F24" i="35"/>
  <c r="F34" i="36" s="1"/>
  <c r="F35" i="36" s="1"/>
  <c r="F36" i="36" s="1"/>
  <c r="G23" i="35"/>
  <c r="G15" i="35"/>
  <c r="F15" i="35"/>
  <c r="F10" i="35"/>
  <c r="F5" i="36" s="1"/>
  <c r="F9" i="35"/>
  <c r="F8" i="35"/>
  <c r="G7" i="35"/>
  <c r="G6" i="6" s="1"/>
  <c r="G6" i="35"/>
  <c r="G5" i="6" s="1"/>
  <c r="F44" i="35" l="1"/>
  <c r="F11" i="35"/>
  <c r="G24" i="35"/>
  <c r="G34" i="36" s="1"/>
  <c r="G35" i="36" s="1"/>
  <c r="G36" i="36" s="1"/>
  <c r="G39" i="36" s="1"/>
  <c r="G30" i="36" s="1"/>
  <c r="G15" i="8"/>
  <c r="M9" i="35"/>
  <c r="Q9" i="35" s="1"/>
  <c r="I11" i="35"/>
  <c r="F39" i="36"/>
  <c r="F30" i="36" s="1"/>
  <c r="Q138" i="35"/>
  <c r="M19" i="35"/>
  <c r="Q10" i="35"/>
  <c r="AA32" i="35"/>
  <c r="U34" i="35"/>
  <c r="U43" i="35" s="1"/>
  <c r="F51" i="35"/>
  <c r="F52" i="35" s="1"/>
  <c r="Z32" i="35"/>
  <c r="T34" i="35"/>
  <c r="T43" i="35" s="1"/>
  <c r="P138" i="35"/>
  <c r="P19" i="35" s="1"/>
  <c r="G8" i="35"/>
  <c r="G62" i="35"/>
  <c r="G65" i="35" s="1"/>
  <c r="F62" i="35"/>
  <c r="G52" i="35"/>
  <c r="G64" i="35" s="1"/>
  <c r="M11" i="35" l="1"/>
  <c r="Z34" i="35"/>
  <c r="Z43" i="35" s="1"/>
  <c r="AD32" i="35"/>
  <c r="AA34" i="35"/>
  <c r="AA43" i="35" s="1"/>
  <c r="AE32" i="35"/>
  <c r="U138" i="35"/>
  <c r="Q19" i="35"/>
  <c r="U10" i="35"/>
  <c r="U9" i="35"/>
  <c r="Q11" i="35"/>
  <c r="F63" i="35"/>
  <c r="F66" i="35" s="1"/>
  <c r="T138" i="35"/>
  <c r="T19" i="35" s="1"/>
  <c r="G66" i="35"/>
  <c r="F56" i="35"/>
  <c r="F64" i="35" s="1"/>
  <c r="AE34" i="35" l="1"/>
  <c r="AE43" i="35" s="1"/>
  <c r="AI32" i="35"/>
  <c r="AD34" i="35"/>
  <c r="AD43" i="35" s="1"/>
  <c r="AH32" i="35"/>
  <c r="F65" i="35"/>
  <c r="U19" i="35"/>
  <c r="AA138" i="35"/>
  <c r="AA9" i="35"/>
  <c r="AE9" i="35" s="1"/>
  <c r="AI9" i="35" s="1"/>
  <c r="AO9" i="35" s="1"/>
  <c r="AS9" i="35" s="1"/>
  <c r="AW9" i="35" s="1"/>
  <c r="BE9" i="35" s="1"/>
  <c r="U11" i="35"/>
  <c r="AA10" i="35"/>
  <c r="Z138" i="35"/>
  <c r="AD138" i="35" s="1"/>
  <c r="AH138" i="35" s="1"/>
  <c r="D50" i="8"/>
  <c r="D13" i="8"/>
  <c r="D86" i="8"/>
  <c r="AN32" i="35" l="1"/>
  <c r="AH34" i="35"/>
  <c r="AH43" i="35" s="1"/>
  <c r="AO32" i="35"/>
  <c r="AI34" i="35"/>
  <c r="AI43" i="35" s="1"/>
  <c r="AH19" i="35"/>
  <c r="AN138" i="35"/>
  <c r="AE10" i="35"/>
  <c r="AD19" i="35"/>
  <c r="Z19" i="35"/>
  <c r="AE138" i="35"/>
  <c r="AA19" i="35"/>
  <c r="AA11" i="35"/>
  <c r="D17" i="15"/>
  <c r="D14" i="15" s="1"/>
  <c r="AO34" i="35" l="1"/>
  <c r="AO43" i="35" s="1"/>
  <c r="AS32" i="35"/>
  <c r="AN19" i="35"/>
  <c r="AR138" i="35"/>
  <c r="AN34" i="35"/>
  <c r="AN43" i="35" s="1"/>
  <c r="AR32" i="35"/>
  <c r="AI10" i="35"/>
  <c r="AO10" i="35" s="1"/>
  <c r="AS10" i="35" s="1"/>
  <c r="AW10" i="35" s="1"/>
  <c r="AE19" i="35"/>
  <c r="AI138" i="35"/>
  <c r="AE11" i="35"/>
  <c r="F78" i="10"/>
  <c r="J78" i="10" s="1"/>
  <c r="N78" i="10" s="1"/>
  <c r="R78" i="10" s="1"/>
  <c r="V78" i="10" s="1"/>
  <c r="AB78" i="10" s="1"/>
  <c r="AF78" i="10" s="1"/>
  <c r="AJ78" i="10" s="1"/>
  <c r="AP78" i="10" s="1"/>
  <c r="AT78" i="10" s="1"/>
  <c r="AX78" i="10" s="1"/>
  <c r="BF78" i="10" s="1"/>
  <c r="F46" i="10"/>
  <c r="J46" i="10" s="1"/>
  <c r="N46" i="10" s="1"/>
  <c r="R46" i="10" s="1"/>
  <c r="V46" i="10" s="1"/>
  <c r="AB46" i="10" s="1"/>
  <c r="AF46" i="10" s="1"/>
  <c r="AJ46" i="10" s="1"/>
  <c r="AP46" i="10" s="1"/>
  <c r="AT46" i="10" s="1"/>
  <c r="AX46" i="10" s="1"/>
  <c r="BF46" i="10" s="1"/>
  <c r="F59" i="10"/>
  <c r="F76" i="10"/>
  <c r="J76" i="10" s="1"/>
  <c r="N76" i="10" s="1"/>
  <c r="R76" i="10" s="1"/>
  <c r="V76" i="10" s="1"/>
  <c r="AB76" i="10" s="1"/>
  <c r="AF76" i="10" s="1"/>
  <c r="AJ76" i="10" s="1"/>
  <c r="AP76" i="10" s="1"/>
  <c r="AT76" i="10" s="1"/>
  <c r="AX76" i="10" s="1"/>
  <c r="BF76" i="10" s="1"/>
  <c r="F68" i="10"/>
  <c r="J68" i="10" s="1"/>
  <c r="N68" i="10" s="1"/>
  <c r="R68" i="10" s="1"/>
  <c r="V68" i="10" s="1"/>
  <c r="AB68" i="10" s="1"/>
  <c r="AF68" i="10" s="1"/>
  <c r="AJ68" i="10" s="1"/>
  <c r="AP68" i="10" s="1"/>
  <c r="AT68" i="10" s="1"/>
  <c r="AX68" i="10" s="1"/>
  <c r="BF68" i="10" s="1"/>
  <c r="AW11" i="35" l="1"/>
  <c r="BE10" i="35"/>
  <c r="BE11" i="35" s="1"/>
  <c r="AR19" i="35"/>
  <c r="AV138" i="35"/>
  <c r="AR34" i="35"/>
  <c r="AR43" i="35" s="1"/>
  <c r="AV32" i="35"/>
  <c r="AS34" i="35"/>
  <c r="AS43" i="35" s="1"/>
  <c r="AW32" i="35"/>
  <c r="F98" i="10"/>
  <c r="J59" i="10"/>
  <c r="BI34" i="35"/>
  <c r="BJ34" i="35" s="1"/>
  <c r="AS11" i="35"/>
  <c r="AO11" i="35"/>
  <c r="AI19" i="35"/>
  <c r="AO138" i="35"/>
  <c r="AI11" i="35"/>
  <c r="D12" i="15"/>
  <c r="D13" i="15" s="1"/>
  <c r="D15" i="15"/>
  <c r="AV19" i="35" l="1"/>
  <c r="BD138" i="35"/>
  <c r="BD19" i="35" s="1"/>
  <c r="AW34" i="35"/>
  <c r="AW43" i="35" s="1"/>
  <c r="BE32" i="35"/>
  <c r="BE34" i="35" s="1"/>
  <c r="BE43" i="35" s="1"/>
  <c r="AV34" i="35"/>
  <c r="AV43" i="35" s="1"/>
  <c r="BD32" i="35"/>
  <c r="BD34" i="35" s="1"/>
  <c r="BD43" i="35" s="1"/>
  <c r="N59" i="10"/>
  <c r="R59" i="10" s="1"/>
  <c r="V59" i="10" s="1"/>
  <c r="AB59" i="10" s="1"/>
  <c r="AF59" i="10" s="1"/>
  <c r="AJ59" i="10" s="1"/>
  <c r="AP59" i="10" s="1"/>
  <c r="AT59" i="10" s="1"/>
  <c r="AX59" i="10" s="1"/>
  <c r="BF59" i="10" s="1"/>
  <c r="AO19" i="35"/>
  <c r="AS138" i="35"/>
  <c r="E33" i="22"/>
  <c r="AS19" i="35" l="1"/>
  <c r="AW138" i="35"/>
  <c r="E251" i="28"/>
  <c r="I251" i="28" s="1"/>
  <c r="M251" i="28" s="1"/>
  <c r="Q251" i="28" s="1"/>
  <c r="U251" i="28" s="1"/>
  <c r="AA251" i="28" s="1"/>
  <c r="AE251" i="28" s="1"/>
  <c r="AI251" i="28" s="1"/>
  <c r="AO251" i="28" s="1"/>
  <c r="AS251" i="28" s="1"/>
  <c r="AW251" i="28" s="1"/>
  <c r="BE251" i="28" s="1"/>
  <c r="AW19" i="35" l="1"/>
  <c r="BE138" i="35"/>
  <c r="BE19" i="35" s="1"/>
  <c r="F1497" i="3"/>
  <c r="H1497" i="3" s="1"/>
  <c r="F1419" i="3" l="1"/>
  <c r="F1417" i="3"/>
  <c r="F1412" i="3"/>
  <c r="F1411" i="3"/>
  <c r="F1265" i="3" l="1"/>
  <c r="F1242" i="3"/>
  <c r="AI1240" i="3" s="1"/>
  <c r="F665" i="3" l="1"/>
  <c r="F664" i="3"/>
  <c r="F549" i="3"/>
  <c r="F550" i="3" s="1"/>
  <c r="F504" i="3"/>
  <c r="F501" i="3"/>
  <c r="F456" i="3"/>
  <c r="I37" i="7" l="1"/>
  <c r="M37" i="7" s="1"/>
  <c r="D122" i="6"/>
  <c r="H122" i="6" s="1"/>
  <c r="D123" i="6"/>
  <c r="H123" i="6" s="1"/>
  <c r="H127" i="6"/>
  <c r="E124" i="6"/>
  <c r="D124" i="6"/>
  <c r="H124" i="6" s="1"/>
  <c r="E123" i="6"/>
  <c r="E122" i="6"/>
  <c r="E120" i="6"/>
  <c r="D120" i="6"/>
  <c r="H120" i="6" s="1"/>
  <c r="E119" i="6"/>
  <c r="D119" i="6"/>
  <c r="H119" i="6" s="1"/>
  <c r="E118" i="6"/>
  <c r="E117" i="6"/>
  <c r="D117" i="6"/>
  <c r="H117" i="6" s="1"/>
  <c r="E116" i="6"/>
  <c r="D116" i="6"/>
  <c r="H116" i="6" s="1"/>
  <c r="E115" i="6"/>
  <c r="D115" i="6"/>
  <c r="H115" i="6" s="1"/>
  <c r="E113" i="6"/>
  <c r="D113" i="6"/>
  <c r="E112" i="6"/>
  <c r="D112" i="6"/>
  <c r="H112" i="6" s="1"/>
  <c r="E111" i="6"/>
  <c r="D111" i="6"/>
  <c r="E33" i="36"/>
  <c r="D33" i="36"/>
  <c r="D44" i="36" s="1"/>
  <c r="D17" i="36" s="1"/>
  <c r="D84" i="9" s="1"/>
  <c r="D21" i="9" s="1"/>
  <c r="E18" i="36"/>
  <c r="I2" i="36"/>
  <c r="H2" i="36"/>
  <c r="M137" i="35"/>
  <c r="I137" i="35"/>
  <c r="L136" i="35"/>
  <c r="H136" i="35"/>
  <c r="L135" i="35"/>
  <c r="H135" i="35"/>
  <c r="L134" i="35"/>
  <c r="H134" i="35"/>
  <c r="L133" i="35"/>
  <c r="H133" i="35"/>
  <c r="L132" i="35"/>
  <c r="H132" i="35"/>
  <c r="L131" i="35"/>
  <c r="H131" i="35"/>
  <c r="L130" i="35"/>
  <c r="H130" i="35"/>
  <c r="L129" i="35"/>
  <c r="H129" i="35"/>
  <c r="L128" i="35"/>
  <c r="H128" i="35"/>
  <c r="L127" i="35"/>
  <c r="H127" i="35"/>
  <c r="L126" i="35"/>
  <c r="H126" i="35"/>
  <c r="L125" i="35"/>
  <c r="H125" i="35"/>
  <c r="L124" i="35"/>
  <c r="H124" i="35"/>
  <c r="L123" i="35"/>
  <c r="H123" i="35"/>
  <c r="L122" i="35"/>
  <c r="H122" i="35"/>
  <c r="L121" i="35"/>
  <c r="H121" i="35"/>
  <c r="L120" i="35"/>
  <c r="H120" i="35"/>
  <c r="L119" i="35"/>
  <c r="H119" i="35"/>
  <c r="L118" i="35"/>
  <c r="H118" i="35"/>
  <c r="L117" i="35"/>
  <c r="H117" i="35"/>
  <c r="L116" i="35"/>
  <c r="H116" i="35"/>
  <c r="L115" i="35"/>
  <c r="H115" i="35"/>
  <c r="L114" i="35"/>
  <c r="H114" i="35"/>
  <c r="L113" i="35"/>
  <c r="H113" i="35"/>
  <c r="L112" i="35"/>
  <c r="H112" i="35"/>
  <c r="L111" i="35"/>
  <c r="H111" i="35"/>
  <c r="M107" i="35"/>
  <c r="I107" i="35"/>
  <c r="G107" i="35"/>
  <c r="F107" i="35"/>
  <c r="F75" i="35" s="1"/>
  <c r="D107" i="35"/>
  <c r="D75" i="35" s="1"/>
  <c r="L106" i="35"/>
  <c r="H106" i="35"/>
  <c r="L105" i="35"/>
  <c r="H105" i="35"/>
  <c r="L104" i="35"/>
  <c r="P104" i="35" s="1"/>
  <c r="H104" i="35"/>
  <c r="L103" i="35"/>
  <c r="L102" i="35"/>
  <c r="P102" i="35" s="1"/>
  <c r="H102" i="35"/>
  <c r="L101" i="35"/>
  <c r="P101" i="35" s="1"/>
  <c r="H101" i="35"/>
  <c r="L100" i="35"/>
  <c r="P100" i="35" s="1"/>
  <c r="H100" i="35"/>
  <c r="L99" i="35"/>
  <c r="P99" i="35" s="1"/>
  <c r="H99" i="35"/>
  <c r="L98" i="35"/>
  <c r="P98" i="35" s="1"/>
  <c r="H98" i="35"/>
  <c r="L97" i="35"/>
  <c r="P97" i="35" s="1"/>
  <c r="H97" i="35"/>
  <c r="L96" i="35"/>
  <c r="H96" i="35"/>
  <c r="L95" i="35"/>
  <c r="H95" i="35"/>
  <c r="L94" i="35"/>
  <c r="H94" i="35"/>
  <c r="L93" i="35"/>
  <c r="H93" i="35"/>
  <c r="L92" i="35"/>
  <c r="H92" i="35"/>
  <c r="L91" i="35"/>
  <c r="P91" i="35" s="1"/>
  <c r="H91" i="35"/>
  <c r="L90" i="35"/>
  <c r="L89" i="35"/>
  <c r="H89" i="35"/>
  <c r="L88" i="35"/>
  <c r="P88" i="35" s="1"/>
  <c r="H88" i="35"/>
  <c r="L87" i="35"/>
  <c r="H87" i="35"/>
  <c r="L86" i="35"/>
  <c r="P86" i="35" s="1"/>
  <c r="H86" i="35"/>
  <c r="L85" i="35"/>
  <c r="H85" i="35"/>
  <c r="L84" i="35"/>
  <c r="P84" i="35" s="1"/>
  <c r="H84" i="35"/>
  <c r="L83" i="35"/>
  <c r="P83" i="35" s="1"/>
  <c r="H83" i="35"/>
  <c r="L82" i="35"/>
  <c r="P82" i="35" s="1"/>
  <c r="H82" i="35"/>
  <c r="L81" i="35"/>
  <c r="H81" i="35"/>
  <c r="L80" i="35"/>
  <c r="P80" i="35" s="1"/>
  <c r="H80" i="35"/>
  <c r="L79" i="35"/>
  <c r="P79" i="35" s="1"/>
  <c r="H79" i="35"/>
  <c r="L78" i="35"/>
  <c r="H78" i="35"/>
  <c r="L77" i="35"/>
  <c r="H77" i="35"/>
  <c r="F71" i="35"/>
  <c r="D71" i="35"/>
  <c r="H70" i="35"/>
  <c r="L70" i="35" s="1"/>
  <c r="P70" i="35" s="1"/>
  <c r="T70" i="35" s="1"/>
  <c r="H69" i="35"/>
  <c r="L69" i="35" s="1"/>
  <c r="P69" i="35" s="1"/>
  <c r="T69" i="35" s="1"/>
  <c r="X69" i="35" s="1"/>
  <c r="E63" i="35"/>
  <c r="I59" i="35"/>
  <c r="E58" i="35"/>
  <c r="D58" i="35"/>
  <c r="D59" i="35" s="1"/>
  <c r="D60" i="35" s="1"/>
  <c r="I55" i="35"/>
  <c r="E54" i="35"/>
  <c r="E56" i="35" s="1"/>
  <c r="I56" i="35" s="1"/>
  <c r="E50" i="35"/>
  <c r="L46" i="35"/>
  <c r="P46" i="35" s="1"/>
  <c r="T46" i="35" s="1"/>
  <c r="E46" i="35"/>
  <c r="I46" i="35" s="1"/>
  <c r="L45" i="35"/>
  <c r="P45" i="35" s="1"/>
  <c r="T45" i="35" s="1"/>
  <c r="E45" i="35"/>
  <c r="I45" i="35" s="1"/>
  <c r="D40" i="35"/>
  <c r="H40" i="35" s="1"/>
  <c r="L40" i="35" s="1"/>
  <c r="P40" i="35" s="1"/>
  <c r="T40" i="35" s="1"/>
  <c r="Z40" i="35" s="1"/>
  <c r="AD40" i="35" s="1"/>
  <c r="AH40" i="35" s="1"/>
  <c r="AN40" i="35" s="1"/>
  <c r="AR40" i="35" s="1"/>
  <c r="AV40" i="35" s="1"/>
  <c r="BD40" i="35" s="1"/>
  <c r="I39" i="35"/>
  <c r="D39" i="35"/>
  <c r="I37" i="35"/>
  <c r="D34" i="35"/>
  <c r="D31" i="35"/>
  <c r="H30" i="35"/>
  <c r="H23" i="36" s="1"/>
  <c r="I30" i="35"/>
  <c r="I23" i="36" s="1"/>
  <c r="H29" i="35"/>
  <c r="H28" i="35"/>
  <c r="H26" i="35"/>
  <c r="I26" i="35"/>
  <c r="I9" i="15" s="1"/>
  <c r="H25" i="35"/>
  <c r="L25" i="35" s="1"/>
  <c r="P25" i="35" s="1"/>
  <c r="T25" i="35" s="1"/>
  <c r="I25" i="35"/>
  <c r="D24" i="35"/>
  <c r="D34" i="36" s="1"/>
  <c r="D35" i="36" s="1"/>
  <c r="H23" i="35"/>
  <c r="L23" i="35" s="1"/>
  <c r="P23" i="35" s="1"/>
  <c r="T23" i="35" s="1"/>
  <c r="E23" i="35"/>
  <c r="E15" i="8" s="1"/>
  <c r="I22" i="35"/>
  <c r="H21" i="35"/>
  <c r="L21" i="35" s="1"/>
  <c r="P21" i="35" s="1"/>
  <c r="T21" i="35" s="1"/>
  <c r="I18" i="35"/>
  <c r="I52" i="36" s="1"/>
  <c r="H18" i="35"/>
  <c r="H52" i="36" s="1"/>
  <c r="H17" i="35"/>
  <c r="I16" i="35"/>
  <c r="M16" i="35" s="1"/>
  <c r="Q16" i="35" s="1"/>
  <c r="U16" i="35" s="1"/>
  <c r="AA16" i="35" s="1"/>
  <c r="AE16" i="35" s="1"/>
  <c r="AI16" i="35" s="1"/>
  <c r="AO16" i="35" s="1"/>
  <c r="H16" i="35"/>
  <c r="L16" i="35" s="1"/>
  <c r="P16" i="35" s="1"/>
  <c r="T16" i="35" s="1"/>
  <c r="E15" i="35"/>
  <c r="D15" i="35"/>
  <c r="I14" i="35"/>
  <c r="I5" i="36" s="1"/>
  <c r="H14" i="35"/>
  <c r="I13" i="35"/>
  <c r="I15" i="35" s="1"/>
  <c r="H13" i="35"/>
  <c r="E11" i="35"/>
  <c r="D8" i="35"/>
  <c r="E7" i="35"/>
  <c r="E6" i="35"/>
  <c r="I2" i="35"/>
  <c r="H2" i="35"/>
  <c r="BI16" i="35" l="1"/>
  <c r="BJ16" i="35" s="1"/>
  <c r="AS16" i="35"/>
  <c r="AW16" i="35" s="1"/>
  <c r="BE16" i="35" s="1"/>
  <c r="I44" i="35"/>
  <c r="Q37" i="7"/>
  <c r="U37" i="7" s="1"/>
  <c r="L127" i="6"/>
  <c r="T97" i="35"/>
  <c r="Z97" i="35" s="1"/>
  <c r="AD97" i="35" s="1"/>
  <c r="AH97" i="35" s="1"/>
  <c r="AN97" i="35" s="1"/>
  <c r="AR97" i="35" s="1"/>
  <c r="AV97" i="35" s="1"/>
  <c r="X97" i="35"/>
  <c r="Z70" i="35"/>
  <c r="AD70" i="35" s="1"/>
  <c r="AH70" i="35" s="1"/>
  <c r="AN70" i="35" s="1"/>
  <c r="AR70" i="35" s="1"/>
  <c r="AV70" i="35" s="1"/>
  <c r="X70" i="35"/>
  <c r="X71" i="35" s="1"/>
  <c r="T79" i="35"/>
  <c r="Z79" i="35" s="1"/>
  <c r="AD79" i="35" s="1"/>
  <c r="AH79" i="35" s="1"/>
  <c r="AN79" i="35" s="1"/>
  <c r="AR79" i="35" s="1"/>
  <c r="AV79" i="35" s="1"/>
  <c r="X79" i="35"/>
  <c r="T83" i="35"/>
  <c r="Z83" i="35" s="1"/>
  <c r="AD83" i="35" s="1"/>
  <c r="AH83" i="35" s="1"/>
  <c r="AN83" i="35" s="1"/>
  <c r="AR83" i="35" s="1"/>
  <c r="AV83" i="35" s="1"/>
  <c r="X83" i="35"/>
  <c r="T104" i="35"/>
  <c r="Z104" i="35" s="1"/>
  <c r="AD104" i="35" s="1"/>
  <c r="AH104" i="35" s="1"/>
  <c r="AN104" i="35" s="1"/>
  <c r="AR104" i="35" s="1"/>
  <c r="AV104" i="35" s="1"/>
  <c r="X104" i="35"/>
  <c r="T101" i="35"/>
  <c r="Z101" i="35" s="1"/>
  <c r="AD101" i="35" s="1"/>
  <c r="AH101" i="35" s="1"/>
  <c r="AN101" i="35" s="1"/>
  <c r="AR101" i="35" s="1"/>
  <c r="AV101" i="35" s="1"/>
  <c r="X101" i="35"/>
  <c r="T98" i="35"/>
  <c r="Z98" i="35" s="1"/>
  <c r="AD98" i="35" s="1"/>
  <c r="AH98" i="35" s="1"/>
  <c r="AN98" i="35" s="1"/>
  <c r="AR98" i="35" s="1"/>
  <c r="AV98" i="35" s="1"/>
  <c r="X98" i="35"/>
  <c r="T100" i="35"/>
  <c r="Z100" i="35" s="1"/>
  <c r="AD100" i="35" s="1"/>
  <c r="AH100" i="35" s="1"/>
  <c r="AN100" i="35" s="1"/>
  <c r="AR100" i="35" s="1"/>
  <c r="AV100" i="35" s="1"/>
  <c r="X100" i="35"/>
  <c r="T102" i="35"/>
  <c r="Z102" i="35" s="1"/>
  <c r="AD102" i="35" s="1"/>
  <c r="AH102" i="35" s="1"/>
  <c r="AN102" i="35" s="1"/>
  <c r="AR102" i="35" s="1"/>
  <c r="AV102" i="35" s="1"/>
  <c r="X102" i="35"/>
  <c r="T91" i="35"/>
  <c r="Z91" i="35" s="1"/>
  <c r="AD91" i="35" s="1"/>
  <c r="AH91" i="35" s="1"/>
  <c r="AN91" i="35" s="1"/>
  <c r="AR91" i="35" s="1"/>
  <c r="AV91" i="35" s="1"/>
  <c r="X91" i="35"/>
  <c r="T99" i="35"/>
  <c r="Z99" i="35" s="1"/>
  <c r="AD99" i="35" s="1"/>
  <c r="AH99" i="35" s="1"/>
  <c r="AN99" i="35" s="1"/>
  <c r="AR99" i="35" s="1"/>
  <c r="AV99" i="35" s="1"/>
  <c r="X99" i="35"/>
  <c r="T80" i="35"/>
  <c r="Z80" i="35" s="1"/>
  <c r="AD80" i="35" s="1"/>
  <c r="AH80" i="35" s="1"/>
  <c r="AN80" i="35" s="1"/>
  <c r="AR80" i="35" s="1"/>
  <c r="AV80" i="35" s="1"/>
  <c r="X80" i="35"/>
  <c r="T82" i="35"/>
  <c r="Z82" i="35" s="1"/>
  <c r="AD82" i="35" s="1"/>
  <c r="AH82" i="35" s="1"/>
  <c r="AN82" i="35" s="1"/>
  <c r="AR82" i="35" s="1"/>
  <c r="AV82" i="35" s="1"/>
  <c r="X82" i="35"/>
  <c r="T84" i="35"/>
  <c r="Z84" i="35" s="1"/>
  <c r="AD84" i="35" s="1"/>
  <c r="AH84" i="35" s="1"/>
  <c r="AN84" i="35" s="1"/>
  <c r="AR84" i="35" s="1"/>
  <c r="AV84" i="35" s="1"/>
  <c r="X84" i="35"/>
  <c r="T86" i="35"/>
  <c r="Z86" i="35" s="1"/>
  <c r="AD86" i="35" s="1"/>
  <c r="AH86" i="35" s="1"/>
  <c r="AN86" i="35" s="1"/>
  <c r="AR86" i="35" s="1"/>
  <c r="AV86" i="35" s="1"/>
  <c r="X86" i="35"/>
  <c r="T88" i="35"/>
  <c r="Z88" i="35" s="1"/>
  <c r="AD88" i="35" s="1"/>
  <c r="AH88" i="35" s="1"/>
  <c r="AN88" i="35" s="1"/>
  <c r="AR88" i="35" s="1"/>
  <c r="AV88" i="35" s="1"/>
  <c r="X88" i="35"/>
  <c r="L30" i="35"/>
  <c r="L23" i="36" s="1"/>
  <c r="D18" i="36"/>
  <c r="Z46" i="35"/>
  <c r="AD46" i="35" s="1"/>
  <c r="AH46" i="35" s="1"/>
  <c r="AN46" i="35" s="1"/>
  <c r="AR46" i="35" s="1"/>
  <c r="AV46" i="35" s="1"/>
  <c r="BD46" i="35" s="1"/>
  <c r="Z45" i="35"/>
  <c r="AD45" i="35" s="1"/>
  <c r="AH45" i="35" s="1"/>
  <c r="AN45" i="35" s="1"/>
  <c r="AR45" i="35" s="1"/>
  <c r="AV45" i="35" s="1"/>
  <c r="BD45" i="35" s="1"/>
  <c r="Z25" i="35"/>
  <c r="AD25" i="35" s="1"/>
  <c r="AH25" i="35" s="1"/>
  <c r="AN25" i="35" s="1"/>
  <c r="AR25" i="35" s="1"/>
  <c r="AV25" i="35" s="1"/>
  <c r="BD25" i="35" s="1"/>
  <c r="Z23" i="35"/>
  <c r="AD23" i="35" s="1"/>
  <c r="AH23" i="35" s="1"/>
  <c r="AN23" i="35" s="1"/>
  <c r="AR23" i="35" s="1"/>
  <c r="AV23" i="35" s="1"/>
  <c r="BD23" i="35" s="1"/>
  <c r="Z21" i="35"/>
  <c r="AD21" i="35" s="1"/>
  <c r="AH21" i="35" s="1"/>
  <c r="AN21" i="35" s="1"/>
  <c r="AR21" i="35" s="1"/>
  <c r="AV21" i="35" s="1"/>
  <c r="BD21" i="35" s="1"/>
  <c r="Z16" i="35"/>
  <c r="AD16" i="35" s="1"/>
  <c r="AH16" i="35" s="1"/>
  <c r="AN16" i="35" s="1"/>
  <c r="AR16" i="35" s="1"/>
  <c r="AV16" i="35" s="1"/>
  <c r="BD16" i="35" s="1"/>
  <c r="H15" i="35"/>
  <c r="T71" i="35"/>
  <c r="Z69" i="35"/>
  <c r="L26" i="35"/>
  <c r="H9" i="15"/>
  <c r="H54" i="36"/>
  <c r="H55" i="36"/>
  <c r="H51" i="36"/>
  <c r="H53" i="36" s="1"/>
  <c r="H17" i="15"/>
  <c r="H16" i="36"/>
  <c r="L29" i="35"/>
  <c r="I17" i="15"/>
  <c r="I17" i="36"/>
  <c r="I16" i="36"/>
  <c r="L14" i="35"/>
  <c r="L123" i="6"/>
  <c r="P123" i="6" s="1"/>
  <c r="T123" i="6" s="1"/>
  <c r="H39" i="35"/>
  <c r="L39" i="35" s="1"/>
  <c r="P39" i="35" s="1"/>
  <c r="T39" i="35" s="1"/>
  <c r="H37" i="35"/>
  <c r="D35" i="35"/>
  <c r="L25" i="36" s="1"/>
  <c r="I73" i="8"/>
  <c r="L28" i="35"/>
  <c r="H31" i="35"/>
  <c r="H35" i="35" s="1"/>
  <c r="H15" i="36"/>
  <c r="H73" i="8" s="1"/>
  <c r="H113" i="6"/>
  <c r="L17" i="35"/>
  <c r="M18" i="35"/>
  <c r="M52" i="36" s="1"/>
  <c r="I51" i="36"/>
  <c r="I53" i="36" s="1"/>
  <c r="I55" i="36"/>
  <c r="I54" i="36"/>
  <c r="M14" i="35"/>
  <c r="M5" i="36" s="1"/>
  <c r="M2" i="35"/>
  <c r="D43" i="35"/>
  <c r="D44" i="35" s="1"/>
  <c r="H71" i="35"/>
  <c r="I6" i="35"/>
  <c r="I5" i="6" s="1"/>
  <c r="E5" i="6"/>
  <c r="L2" i="35"/>
  <c r="P2" i="35" s="1"/>
  <c r="T2" i="35" s="1"/>
  <c r="Z2" i="35" s="1"/>
  <c r="AD2" i="35" s="1"/>
  <c r="H7" i="35"/>
  <c r="H6" i="6" s="1"/>
  <c r="H6" i="35"/>
  <c r="H5" i="6" s="1"/>
  <c r="I7" i="35"/>
  <c r="I6" i="6" s="1"/>
  <c r="E6" i="6"/>
  <c r="P85" i="35"/>
  <c r="M22" i="35"/>
  <c r="Q22" i="35" s="1"/>
  <c r="U22" i="35" s="1"/>
  <c r="AA22" i="35" s="1"/>
  <c r="AE22" i="35" s="1"/>
  <c r="AI22" i="35" s="1"/>
  <c r="AO22" i="35" s="1"/>
  <c r="AS22" i="35" s="1"/>
  <c r="AW22" i="35" s="1"/>
  <c r="BE22" i="35" s="1"/>
  <c r="M59" i="35"/>
  <c r="Q59" i="35" s="1"/>
  <c r="U59" i="35" s="1"/>
  <c r="AA59" i="35" s="1"/>
  <c r="AE59" i="35" s="1"/>
  <c r="AI59" i="35" s="1"/>
  <c r="AO59" i="35" s="1"/>
  <c r="AS59" i="35" s="1"/>
  <c r="AW59" i="35" s="1"/>
  <c r="BE59" i="35" s="1"/>
  <c r="M25" i="35"/>
  <c r="Q25" i="35" s="1"/>
  <c r="U25" i="35" s="1"/>
  <c r="AA25" i="35" s="1"/>
  <c r="AE25" i="35" s="1"/>
  <c r="AI25" i="35" s="1"/>
  <c r="AO25" i="35" s="1"/>
  <c r="AS25" i="35" s="1"/>
  <c r="AW25" i="35" s="1"/>
  <c r="BE25" i="35" s="1"/>
  <c r="M26" i="35"/>
  <c r="M37" i="35"/>
  <c r="M39" i="35"/>
  <c r="Q39" i="35" s="1"/>
  <c r="U39" i="35" s="1"/>
  <c r="AA39" i="35" s="1"/>
  <c r="AE39" i="35" s="1"/>
  <c r="AI39" i="35" s="1"/>
  <c r="AO39" i="35" s="1"/>
  <c r="AS39" i="35" s="1"/>
  <c r="AW39" i="35" s="1"/>
  <c r="BE39" i="35" s="1"/>
  <c r="H35" i="36"/>
  <c r="L35" i="36" s="1"/>
  <c r="H107" i="35"/>
  <c r="H75" i="35" s="1"/>
  <c r="L71" i="35"/>
  <c r="P77" i="35"/>
  <c r="P81" i="35"/>
  <c r="L107" i="35"/>
  <c r="L75" i="35" s="1"/>
  <c r="P93" i="35"/>
  <c r="P95" i="35"/>
  <c r="P106" i="35"/>
  <c r="P71" i="35"/>
  <c r="D11" i="35"/>
  <c r="M30" i="35"/>
  <c r="M23" i="36" s="1"/>
  <c r="M38" i="35"/>
  <c r="Q38" i="35" s="1"/>
  <c r="U38" i="35" s="1"/>
  <c r="AA38" i="35" s="1"/>
  <c r="AE38" i="35" s="1"/>
  <c r="AI38" i="35" s="1"/>
  <c r="AO38" i="35" s="1"/>
  <c r="AS38" i="35" s="1"/>
  <c r="AW38" i="35" s="1"/>
  <c r="BE38" i="35" s="1"/>
  <c r="M46" i="35"/>
  <c r="Q46" i="35" s="1"/>
  <c r="U46" i="35" s="1"/>
  <c r="AA46" i="35" s="1"/>
  <c r="AE46" i="35" s="1"/>
  <c r="AI46" i="35" s="1"/>
  <c r="AO46" i="35" s="1"/>
  <c r="AS46" i="35" s="1"/>
  <c r="AW46" i="35" s="1"/>
  <c r="BE46" i="35" s="1"/>
  <c r="H60" i="35"/>
  <c r="M45" i="35"/>
  <c r="Q45" i="35" s="1"/>
  <c r="U45" i="35" s="1"/>
  <c r="AA45" i="35" s="1"/>
  <c r="AE45" i="35" s="1"/>
  <c r="AI45" i="35" s="1"/>
  <c r="AO45" i="35" s="1"/>
  <c r="AS45" i="35" s="1"/>
  <c r="AW45" i="35" s="1"/>
  <c r="BE45" i="35" s="1"/>
  <c r="H137" i="35"/>
  <c r="D36" i="36"/>
  <c r="D39" i="36" s="1"/>
  <c r="L2" i="36"/>
  <c r="P2" i="36" s="1"/>
  <c r="T2" i="36" s="1"/>
  <c r="Z2" i="36" s="1"/>
  <c r="AD2" i="36" s="1"/>
  <c r="AH2" i="36" s="1"/>
  <c r="AN2" i="36" s="1"/>
  <c r="AR2" i="36" s="1"/>
  <c r="AV2" i="36" s="1"/>
  <c r="BD2" i="36" s="1"/>
  <c r="H33" i="36"/>
  <c r="M2" i="36"/>
  <c r="Q2" i="36" s="1"/>
  <c r="U2" i="36" s="1"/>
  <c r="AA2" i="36" s="1"/>
  <c r="AE2" i="36" s="1"/>
  <c r="AI2" i="36" s="1"/>
  <c r="AO2" i="36" s="1"/>
  <c r="AS2" i="36" s="1"/>
  <c r="AW2" i="36" s="1"/>
  <c r="BE2" i="36" s="1"/>
  <c r="H34" i="36"/>
  <c r="L34" i="36" s="1"/>
  <c r="I33" i="36"/>
  <c r="I24" i="36" s="1"/>
  <c r="E8" i="35"/>
  <c r="L13" i="35"/>
  <c r="P13" i="35" s="1"/>
  <c r="T13" i="35" s="1"/>
  <c r="I21" i="35"/>
  <c r="E24" i="35"/>
  <c r="E34" i="36" s="1"/>
  <c r="I23" i="35"/>
  <c r="M23" i="35" s="1"/>
  <c r="Q23" i="35" s="1"/>
  <c r="U23" i="35" s="1"/>
  <c r="AA23" i="35" s="1"/>
  <c r="AE23" i="35" s="1"/>
  <c r="AI23" i="35" s="1"/>
  <c r="AO23" i="35" s="1"/>
  <c r="AS23" i="35" s="1"/>
  <c r="AW23" i="35" s="1"/>
  <c r="BE23" i="35" s="1"/>
  <c r="I29" i="35"/>
  <c r="E62" i="35"/>
  <c r="E65" i="35" s="1"/>
  <c r="E52" i="35"/>
  <c r="I50" i="35"/>
  <c r="D63" i="35"/>
  <c r="H54" i="35"/>
  <c r="L54" i="35" s="1"/>
  <c r="P54" i="35" s="1"/>
  <c r="T54" i="35" s="1"/>
  <c r="D62" i="35"/>
  <c r="E60" i="35"/>
  <c r="L18" i="35"/>
  <c r="L52" i="36" s="1"/>
  <c r="A21" i="35"/>
  <c r="H22" i="35"/>
  <c r="I28" i="35"/>
  <c r="M56" i="35"/>
  <c r="H51" i="35"/>
  <c r="M55" i="35"/>
  <c r="Q55" i="35" s="1"/>
  <c r="U55" i="35" s="1"/>
  <c r="AA55" i="35" s="1"/>
  <c r="AE55" i="35" s="1"/>
  <c r="AI55" i="35" s="1"/>
  <c r="AO55" i="35" s="1"/>
  <c r="AS55" i="35" s="1"/>
  <c r="AW55" i="35" s="1"/>
  <c r="BE55" i="35" s="1"/>
  <c r="H59" i="35"/>
  <c r="L59" i="35" s="1"/>
  <c r="M13" i="35"/>
  <c r="Q13" i="35" s="1"/>
  <c r="U13" i="35" s="1"/>
  <c r="A22" i="35"/>
  <c r="I54" i="35"/>
  <c r="M54" i="35" s="1"/>
  <c r="P78" i="35"/>
  <c r="P87" i="35"/>
  <c r="P92" i="35"/>
  <c r="P96" i="35"/>
  <c r="H50" i="35"/>
  <c r="I51" i="35"/>
  <c r="H58" i="35"/>
  <c r="L58" i="35" s="1"/>
  <c r="P58" i="35" s="1"/>
  <c r="T58" i="35" s="1"/>
  <c r="P89" i="35"/>
  <c r="P94" i="35"/>
  <c r="P105" i="35"/>
  <c r="L137" i="35"/>
  <c r="AH2" i="35" l="1"/>
  <c r="AN2" i="35" s="1"/>
  <c r="AR2" i="35" s="1"/>
  <c r="AV2" i="35" s="1"/>
  <c r="H44" i="35"/>
  <c r="AA37" i="7"/>
  <c r="P127" i="6"/>
  <c r="P28" i="35"/>
  <c r="I19" i="36"/>
  <c r="H19" i="36"/>
  <c r="T96" i="35"/>
  <c r="Z96" i="35" s="1"/>
  <c r="AD96" i="35" s="1"/>
  <c r="AH96" i="35" s="1"/>
  <c r="AN96" i="35" s="1"/>
  <c r="AR96" i="35" s="1"/>
  <c r="AV96" i="35" s="1"/>
  <c r="X96" i="35"/>
  <c r="T85" i="35"/>
  <c r="Z85" i="35" s="1"/>
  <c r="AD85" i="35" s="1"/>
  <c r="AH85" i="35" s="1"/>
  <c r="AN85" i="35" s="1"/>
  <c r="AR85" i="35" s="1"/>
  <c r="AV85" i="35" s="1"/>
  <c r="X85" i="35"/>
  <c r="T89" i="35"/>
  <c r="Z89" i="35" s="1"/>
  <c r="AD89" i="35" s="1"/>
  <c r="AH89" i="35" s="1"/>
  <c r="AN89" i="35" s="1"/>
  <c r="AR89" i="35" s="1"/>
  <c r="AV89" i="35" s="1"/>
  <c r="X89" i="35"/>
  <c r="T92" i="35"/>
  <c r="Z92" i="35" s="1"/>
  <c r="AD92" i="35" s="1"/>
  <c r="AH92" i="35" s="1"/>
  <c r="AN92" i="35" s="1"/>
  <c r="AR92" i="35" s="1"/>
  <c r="AV92" i="35" s="1"/>
  <c r="X92" i="35"/>
  <c r="T105" i="35"/>
  <c r="Z105" i="35" s="1"/>
  <c r="AD105" i="35" s="1"/>
  <c r="AH105" i="35" s="1"/>
  <c r="AN105" i="35" s="1"/>
  <c r="AR105" i="35" s="1"/>
  <c r="AV105" i="35" s="1"/>
  <c r="X105" i="35"/>
  <c r="T106" i="35"/>
  <c r="Z106" i="35" s="1"/>
  <c r="AD106" i="35" s="1"/>
  <c r="AH106" i="35" s="1"/>
  <c r="AN106" i="35" s="1"/>
  <c r="AR106" i="35" s="1"/>
  <c r="AV106" i="35" s="1"/>
  <c r="X106" i="35"/>
  <c r="T93" i="35"/>
  <c r="Z93" i="35" s="1"/>
  <c r="AD93" i="35" s="1"/>
  <c r="AH93" i="35" s="1"/>
  <c r="AN93" i="35" s="1"/>
  <c r="AR93" i="35" s="1"/>
  <c r="AV93" i="35" s="1"/>
  <c r="X93" i="35"/>
  <c r="T87" i="35"/>
  <c r="Z87" i="35" s="1"/>
  <c r="AD87" i="35" s="1"/>
  <c r="AH87" i="35" s="1"/>
  <c r="AN87" i="35" s="1"/>
  <c r="AR87" i="35" s="1"/>
  <c r="AV87" i="35" s="1"/>
  <c r="X87" i="35"/>
  <c r="T81" i="35"/>
  <c r="Z81" i="35" s="1"/>
  <c r="AD81" i="35" s="1"/>
  <c r="AH81" i="35" s="1"/>
  <c r="AN81" i="35" s="1"/>
  <c r="AR81" i="35" s="1"/>
  <c r="AV81" i="35" s="1"/>
  <c r="X81" i="35"/>
  <c r="T94" i="35"/>
  <c r="Z94" i="35" s="1"/>
  <c r="AD94" i="35" s="1"/>
  <c r="AH94" i="35" s="1"/>
  <c r="AN94" i="35" s="1"/>
  <c r="AR94" i="35" s="1"/>
  <c r="AV94" i="35" s="1"/>
  <c r="X94" i="35"/>
  <c r="T78" i="35"/>
  <c r="Z78" i="35" s="1"/>
  <c r="AD78" i="35" s="1"/>
  <c r="AH78" i="35" s="1"/>
  <c r="AN78" i="35" s="1"/>
  <c r="AR78" i="35" s="1"/>
  <c r="AV78" i="35" s="1"/>
  <c r="X78" i="35"/>
  <c r="T95" i="35"/>
  <c r="Z95" i="35" s="1"/>
  <c r="AD95" i="35" s="1"/>
  <c r="AH95" i="35" s="1"/>
  <c r="AN95" i="35" s="1"/>
  <c r="AR95" i="35" s="1"/>
  <c r="AV95" i="35" s="1"/>
  <c r="X95" i="35"/>
  <c r="T77" i="35"/>
  <c r="Z77" i="35" s="1"/>
  <c r="AD77" i="35" s="1"/>
  <c r="AH77" i="35" s="1"/>
  <c r="AN77" i="35" s="1"/>
  <c r="AR77" i="35" s="1"/>
  <c r="X77" i="35"/>
  <c r="Z71" i="35"/>
  <c r="AD69" i="35"/>
  <c r="P30" i="35"/>
  <c r="P23" i="36" s="1"/>
  <c r="M17" i="15"/>
  <c r="M16" i="36"/>
  <c r="M17" i="36"/>
  <c r="L17" i="15"/>
  <c r="L16" i="36"/>
  <c r="Z123" i="6"/>
  <c r="AD123" i="6" s="1"/>
  <c r="AH123" i="6" s="1"/>
  <c r="AN123" i="6" s="1"/>
  <c r="AR123" i="6" s="1"/>
  <c r="AV123" i="6" s="1"/>
  <c r="BD123" i="6" s="1"/>
  <c r="M44" i="35"/>
  <c r="Z58" i="35"/>
  <c r="AD58" i="35" s="1"/>
  <c r="AH58" i="35" s="1"/>
  <c r="AN58" i="35" s="1"/>
  <c r="AR58" i="35" s="1"/>
  <c r="AV58" i="35" s="1"/>
  <c r="BD58" i="35" s="1"/>
  <c r="Z54" i="35"/>
  <c r="AD54" i="35" s="1"/>
  <c r="AH54" i="35" s="1"/>
  <c r="AN54" i="35" s="1"/>
  <c r="AR54" i="35" s="1"/>
  <c r="AV54" i="35" s="1"/>
  <c r="BD54" i="35" s="1"/>
  <c r="AA13" i="35"/>
  <c r="AE13" i="35" s="1"/>
  <c r="H25" i="36"/>
  <c r="Q26" i="35"/>
  <c r="M9" i="15"/>
  <c r="Z39" i="35"/>
  <c r="AD39" i="35" s="1"/>
  <c r="P26" i="35"/>
  <c r="L9" i="15"/>
  <c r="Z13" i="35"/>
  <c r="AD13" i="35" s="1"/>
  <c r="AH13" i="35" s="1"/>
  <c r="L51" i="36"/>
  <c r="L53" i="36" s="1"/>
  <c r="L54" i="36"/>
  <c r="L55" i="36"/>
  <c r="M7" i="35"/>
  <c r="P29" i="35"/>
  <c r="P14" i="35"/>
  <c r="T14" i="35" s="1"/>
  <c r="P18" i="35"/>
  <c r="P52" i="36" s="1"/>
  <c r="L31" i="35"/>
  <c r="L35" i="35" s="1"/>
  <c r="L33" i="36"/>
  <c r="H28" i="36"/>
  <c r="H6" i="15" s="1"/>
  <c r="H29" i="36"/>
  <c r="H7" i="15" s="1"/>
  <c r="H27" i="36"/>
  <c r="H24" i="36"/>
  <c r="L7" i="35"/>
  <c r="L37" i="35"/>
  <c r="L6" i="35"/>
  <c r="Q37" i="35"/>
  <c r="Q44" i="35" s="1"/>
  <c r="L15" i="36"/>
  <c r="L73" i="8" s="1"/>
  <c r="I31" i="35"/>
  <c r="I35" i="35" s="1"/>
  <c r="I25" i="36" s="1"/>
  <c r="M6" i="35"/>
  <c r="Q2" i="35"/>
  <c r="U2" i="35" s="1"/>
  <c r="M33" i="36"/>
  <c r="P17" i="35"/>
  <c r="T17" i="35" s="1"/>
  <c r="Q14" i="35"/>
  <c r="Q18" i="35"/>
  <c r="Q52" i="36" s="1"/>
  <c r="M55" i="36"/>
  <c r="M54" i="36"/>
  <c r="M51" i="36"/>
  <c r="M53" i="36" s="1"/>
  <c r="Q30" i="35"/>
  <c r="Q23" i="36" s="1"/>
  <c r="H44" i="36"/>
  <c r="H17" i="36" s="1"/>
  <c r="H18" i="36" s="1"/>
  <c r="L44" i="36"/>
  <c r="L17" i="36" s="1"/>
  <c r="P59" i="35"/>
  <c r="T59" i="35" s="1"/>
  <c r="H10" i="35"/>
  <c r="H5" i="36" s="1"/>
  <c r="E66" i="35"/>
  <c r="M29" i="35"/>
  <c r="I18" i="36"/>
  <c r="I29" i="36"/>
  <c r="I7" i="15" s="1"/>
  <c r="I28" i="36"/>
  <c r="I6" i="15" s="1"/>
  <c r="I27" i="36"/>
  <c r="I5" i="15" s="1"/>
  <c r="I26" i="36"/>
  <c r="H26" i="36"/>
  <c r="L60" i="35"/>
  <c r="P60" i="35" s="1"/>
  <c r="T60" i="35" s="1"/>
  <c r="H9" i="35"/>
  <c r="H8" i="35"/>
  <c r="H36" i="36"/>
  <c r="D30" i="36"/>
  <c r="I58" i="35"/>
  <c r="M58" i="35" s="1"/>
  <c r="Q58" i="35" s="1"/>
  <c r="U58" i="35" s="1"/>
  <c r="AA58" i="35" s="1"/>
  <c r="AE58" i="35" s="1"/>
  <c r="AI58" i="35" s="1"/>
  <c r="AO58" i="35" s="1"/>
  <c r="AS58" i="35" s="1"/>
  <c r="AW58" i="35" s="1"/>
  <c r="BE58" i="35" s="1"/>
  <c r="I60" i="35"/>
  <c r="M60" i="35" s="1"/>
  <c r="Q54" i="35"/>
  <c r="U54" i="35" s="1"/>
  <c r="AA54" i="35" s="1"/>
  <c r="AE54" i="35" s="1"/>
  <c r="AI54" i="35" s="1"/>
  <c r="AO54" i="35" s="1"/>
  <c r="AS54" i="35" s="1"/>
  <c r="AW54" i="35" s="1"/>
  <c r="BE54" i="35" s="1"/>
  <c r="I34" i="36"/>
  <c r="M34" i="36" s="1"/>
  <c r="E35" i="36"/>
  <c r="I63" i="35"/>
  <c r="M51" i="35"/>
  <c r="M15" i="35"/>
  <c r="L51" i="35"/>
  <c r="D66" i="35"/>
  <c r="D65" i="35"/>
  <c r="M28" i="35"/>
  <c r="H55" i="35"/>
  <c r="L55" i="35" s="1"/>
  <c r="P55" i="35" s="1"/>
  <c r="T55" i="35" s="1"/>
  <c r="M50" i="35"/>
  <c r="I8" i="35"/>
  <c r="L50" i="35"/>
  <c r="H62" i="35"/>
  <c r="P107" i="35"/>
  <c r="P75" i="35" s="1"/>
  <c r="H52" i="35"/>
  <c r="H24" i="35"/>
  <c r="L22" i="35"/>
  <c r="H56" i="35"/>
  <c r="L56" i="35" s="1"/>
  <c r="P56" i="35" s="1"/>
  <c r="T56" i="35" s="1"/>
  <c r="E64" i="35"/>
  <c r="I52" i="35"/>
  <c r="I24" i="35"/>
  <c r="M21" i="35"/>
  <c r="L15" i="35"/>
  <c r="BD2" i="35" l="1"/>
  <c r="AR107" i="35"/>
  <c r="AR75" i="35" s="1"/>
  <c r="AV77" i="35"/>
  <c r="AV107" i="35" s="1"/>
  <c r="AV75" i="35" s="1"/>
  <c r="L24" i="36"/>
  <c r="AI13" i="35"/>
  <c r="U14" i="35"/>
  <c r="U5" i="36" s="1"/>
  <c r="Q5" i="36"/>
  <c r="AN13" i="35"/>
  <c r="AR13" i="35" s="1"/>
  <c r="AV13" i="35" s="1"/>
  <c r="BD13" i="35" s="1"/>
  <c r="L9" i="35"/>
  <c r="P9" i="35" s="1"/>
  <c r="T9" i="35" s="1"/>
  <c r="H11" i="35"/>
  <c r="AE37" i="7"/>
  <c r="T127" i="6"/>
  <c r="AN107" i="35"/>
  <c r="AN75" i="35" s="1"/>
  <c r="T30" i="35"/>
  <c r="T23" i="36" s="1"/>
  <c r="AH39" i="35"/>
  <c r="AH107" i="35"/>
  <c r="AH75" i="35" s="1"/>
  <c r="AD71" i="35"/>
  <c r="AH69" i="35"/>
  <c r="T28" i="35"/>
  <c r="L19" i="36"/>
  <c r="M19" i="36"/>
  <c r="H39" i="36"/>
  <c r="H30" i="36" s="1"/>
  <c r="T107" i="35"/>
  <c r="T75" i="35" s="1"/>
  <c r="Z107" i="35"/>
  <c r="Z75" i="35" s="1"/>
  <c r="X107" i="35"/>
  <c r="X75" i="35" s="1"/>
  <c r="AD107" i="35"/>
  <c r="AD75" i="35" s="1"/>
  <c r="P17" i="15"/>
  <c r="P16" i="36"/>
  <c r="U30" i="35"/>
  <c r="U23" i="36" s="1"/>
  <c r="Q17" i="15"/>
  <c r="Q16" i="36"/>
  <c r="Q17" i="36"/>
  <c r="P37" i="35"/>
  <c r="L44" i="35"/>
  <c r="Z59" i="35"/>
  <c r="AD59" i="35" s="1"/>
  <c r="AH59" i="35" s="1"/>
  <c r="AN59" i="35" s="1"/>
  <c r="AR59" i="35" s="1"/>
  <c r="AV59" i="35" s="1"/>
  <c r="BD59" i="35" s="1"/>
  <c r="Z55" i="35"/>
  <c r="AD55" i="35" s="1"/>
  <c r="AH55" i="35" s="1"/>
  <c r="AN55" i="35" s="1"/>
  <c r="AR55" i="35" s="1"/>
  <c r="AV55" i="35" s="1"/>
  <c r="BD55" i="35" s="1"/>
  <c r="Z60" i="35"/>
  <c r="AD60" i="35" s="1"/>
  <c r="AH60" i="35" s="1"/>
  <c r="AN60" i="35" s="1"/>
  <c r="AR60" i="35" s="1"/>
  <c r="AV60" i="35" s="1"/>
  <c r="BD60" i="35" s="1"/>
  <c r="Z56" i="35"/>
  <c r="AD56" i="35" s="1"/>
  <c r="AH56" i="35" s="1"/>
  <c r="AN56" i="35" s="1"/>
  <c r="AR56" i="35" s="1"/>
  <c r="AV56" i="35" s="1"/>
  <c r="BD56" i="35" s="1"/>
  <c r="Z17" i="35"/>
  <c r="AD17" i="35" s="1"/>
  <c r="AH17" i="35" s="1"/>
  <c r="AN17" i="35" s="1"/>
  <c r="AR17" i="35" s="1"/>
  <c r="AV17" i="35" s="1"/>
  <c r="BD17" i="35" s="1"/>
  <c r="Z14" i="35"/>
  <c r="AD14" i="35" s="1"/>
  <c r="X15" i="35"/>
  <c r="AA14" i="35"/>
  <c r="U26" i="35"/>
  <c r="Q9" i="15"/>
  <c r="M5" i="6"/>
  <c r="Q6" i="35"/>
  <c r="AA2" i="35"/>
  <c r="AE2" i="35" s="1"/>
  <c r="AI2" i="35" s="1"/>
  <c r="AO2" i="35" s="1"/>
  <c r="AS2" i="35" s="1"/>
  <c r="AW2" i="35" s="1"/>
  <c r="Q7" i="35"/>
  <c r="M6" i="6"/>
  <c r="U15" i="35"/>
  <c r="AA15" i="35"/>
  <c r="T26" i="35"/>
  <c r="T9" i="15" s="1"/>
  <c r="P9" i="15"/>
  <c r="T15" i="35"/>
  <c r="U18" i="35"/>
  <c r="U52" i="36" s="1"/>
  <c r="U37" i="35"/>
  <c r="U44" i="35" s="1"/>
  <c r="T18" i="35"/>
  <c r="T52" i="36" s="1"/>
  <c r="P54" i="36"/>
  <c r="P55" i="36"/>
  <c r="P51" i="36"/>
  <c r="P53" i="36" s="1"/>
  <c r="P31" i="35"/>
  <c r="P35" i="35" s="1"/>
  <c r="P25" i="36" s="1"/>
  <c r="T29" i="35"/>
  <c r="L5" i="6"/>
  <c r="P6" i="35"/>
  <c r="L6" i="6"/>
  <c r="P7" i="35"/>
  <c r="L28" i="36"/>
  <c r="L6" i="15" s="1"/>
  <c r="J1367" i="3"/>
  <c r="M73" i="8"/>
  <c r="L27" i="36"/>
  <c r="L5" i="15" s="1"/>
  <c r="H5" i="15"/>
  <c r="M27" i="36"/>
  <c r="M5" i="15" s="1"/>
  <c r="L29" i="36"/>
  <c r="L7" i="15" s="1"/>
  <c r="L10" i="35"/>
  <c r="P33" i="36"/>
  <c r="P15" i="36"/>
  <c r="P73" i="8" s="1"/>
  <c r="Q33" i="36"/>
  <c r="Q55" i="36"/>
  <c r="Q54" i="36"/>
  <c r="Q51" i="36"/>
  <c r="Q53" i="36" s="1"/>
  <c r="L18" i="36"/>
  <c r="P44" i="36"/>
  <c r="P17" i="36" s="1"/>
  <c r="M28" i="36"/>
  <c r="M29" i="36"/>
  <c r="Q8" i="35"/>
  <c r="L8" i="35"/>
  <c r="M31" i="35"/>
  <c r="M35" i="35" s="1"/>
  <c r="M26" i="36"/>
  <c r="M24" i="36"/>
  <c r="M18" i="36"/>
  <c r="L26" i="36"/>
  <c r="Q29" i="35"/>
  <c r="L36" i="36"/>
  <c r="I62" i="35"/>
  <c r="I65" i="35" s="1"/>
  <c r="I35" i="36"/>
  <c r="M35" i="36" s="1"/>
  <c r="E36" i="36"/>
  <c r="E39" i="36" s="1"/>
  <c r="Q60" i="35"/>
  <c r="U60" i="35" s="1"/>
  <c r="AA60" i="35" s="1"/>
  <c r="AE60" i="35" s="1"/>
  <c r="AI60" i="35" s="1"/>
  <c r="AO60" i="35" s="1"/>
  <c r="AS60" i="35" s="1"/>
  <c r="AW60" i="35" s="1"/>
  <c r="BE60" i="35" s="1"/>
  <c r="H63" i="35"/>
  <c r="H65" i="35" s="1"/>
  <c r="M8" i="35"/>
  <c r="M62" i="35"/>
  <c r="Q50" i="35"/>
  <c r="U50" i="35" s="1"/>
  <c r="M63" i="35"/>
  <c r="Q51" i="35"/>
  <c r="U51" i="35" s="1"/>
  <c r="P15" i="35"/>
  <c r="M24" i="35"/>
  <c r="Q21" i="35"/>
  <c r="U21" i="35" s="1"/>
  <c r="P22" i="35"/>
  <c r="T22" i="35" s="1"/>
  <c r="L24" i="35"/>
  <c r="H64" i="35"/>
  <c r="L52" i="35"/>
  <c r="I64" i="35"/>
  <c r="M52" i="35"/>
  <c r="D64" i="35"/>
  <c r="P50" i="35"/>
  <c r="T50" i="35" s="1"/>
  <c r="L62" i="35"/>
  <c r="Q28" i="35"/>
  <c r="L63" i="35"/>
  <c r="P51" i="35"/>
  <c r="T51" i="35" s="1"/>
  <c r="Q15" i="35"/>
  <c r="I66" i="35"/>
  <c r="Q56" i="35"/>
  <c r="U56" i="35" s="1"/>
  <c r="AA56" i="35" s="1"/>
  <c r="AE56" i="35" s="1"/>
  <c r="AI56" i="35" s="1"/>
  <c r="AO56" i="35" s="1"/>
  <c r="AS56" i="35" s="1"/>
  <c r="AW56" i="35" s="1"/>
  <c r="BE56" i="35" s="1"/>
  <c r="Z15" i="35" l="1"/>
  <c r="BE2" i="35"/>
  <c r="AA26" i="35"/>
  <c r="U9" i="15"/>
  <c r="AE14" i="35"/>
  <c r="AA5" i="36"/>
  <c r="AD15" i="35"/>
  <c r="AH14" i="35"/>
  <c r="AO13" i="35"/>
  <c r="AS13" i="35" s="1"/>
  <c r="AW13" i="35" s="1"/>
  <c r="BE13" i="35" s="1"/>
  <c r="AN39" i="35"/>
  <c r="AR39" i="35" s="1"/>
  <c r="AV39" i="35" s="1"/>
  <c r="BD39" i="35" s="1"/>
  <c r="Z30" i="35"/>
  <c r="AD30" i="35" s="1"/>
  <c r="AI37" i="7"/>
  <c r="Z127" i="6"/>
  <c r="AH71" i="35"/>
  <c r="AN69" i="35"/>
  <c r="U28" i="35"/>
  <c r="Q19" i="36"/>
  <c r="P19" i="36"/>
  <c r="Z28" i="35"/>
  <c r="L39" i="36"/>
  <c r="L30" i="36" s="1"/>
  <c r="AA30" i="35"/>
  <c r="L5" i="36"/>
  <c r="L11" i="35"/>
  <c r="T17" i="15"/>
  <c r="T16" i="36"/>
  <c r="Z9" i="35"/>
  <c r="AD9" i="35" s="1"/>
  <c r="AH9" i="35" s="1"/>
  <c r="AN9" i="35" s="1"/>
  <c r="AR9" i="35" s="1"/>
  <c r="AV9" i="35" s="1"/>
  <c r="BD9" i="35" s="1"/>
  <c r="U29" i="35"/>
  <c r="X24" i="35"/>
  <c r="X34" i="36" s="1"/>
  <c r="X35" i="36" s="1"/>
  <c r="X36" i="36" s="1"/>
  <c r="X39" i="36" s="1"/>
  <c r="Z22" i="35"/>
  <c r="AD22" i="35" s="1"/>
  <c r="U17" i="15"/>
  <c r="U16" i="36"/>
  <c r="U17" i="36"/>
  <c r="X17" i="36"/>
  <c r="X18" i="36" s="1"/>
  <c r="T37" i="35"/>
  <c r="P44" i="35"/>
  <c r="X65" i="35"/>
  <c r="Z29" i="35"/>
  <c r="X31" i="35"/>
  <c r="X35" i="35" s="1"/>
  <c r="X25" i="36" s="1"/>
  <c r="Z26" i="35"/>
  <c r="Z18" i="35"/>
  <c r="AA50" i="35"/>
  <c r="U62" i="35"/>
  <c r="AA18" i="35"/>
  <c r="Q5" i="6"/>
  <c r="U6" i="35"/>
  <c r="Q6" i="6"/>
  <c r="U7" i="35"/>
  <c r="AA37" i="35"/>
  <c r="U63" i="35"/>
  <c r="AA51" i="35"/>
  <c r="AA29" i="35"/>
  <c r="U24" i="35"/>
  <c r="U34" i="36" s="1"/>
  <c r="AA21" i="35"/>
  <c r="T62" i="35"/>
  <c r="Z50" i="35"/>
  <c r="T63" i="35"/>
  <c r="Z51" i="35"/>
  <c r="T24" i="35"/>
  <c r="T34" i="36" s="1"/>
  <c r="T31" i="35"/>
  <c r="T35" i="35" s="1"/>
  <c r="Q73" i="8"/>
  <c r="U33" i="36"/>
  <c r="U51" i="36"/>
  <c r="U53" i="36" s="1"/>
  <c r="U54" i="36"/>
  <c r="U55" i="36"/>
  <c r="P18" i="36"/>
  <c r="T44" i="36"/>
  <c r="T17" i="36" s="1"/>
  <c r="T33" i="36"/>
  <c r="T54" i="36"/>
  <c r="T51" i="36"/>
  <c r="T53" i="36" s="1"/>
  <c r="T55" i="36"/>
  <c r="T15" i="36"/>
  <c r="Z15" i="36" s="1"/>
  <c r="P5" i="6"/>
  <c r="T6" i="35"/>
  <c r="Z6" i="35" s="1"/>
  <c r="AD6" i="35" s="1"/>
  <c r="P6" i="6"/>
  <c r="T7" i="35"/>
  <c r="P8" i="35"/>
  <c r="Q27" i="36"/>
  <c r="Q26" i="36"/>
  <c r="P27" i="36"/>
  <c r="Q24" i="36"/>
  <c r="Q29" i="36"/>
  <c r="M7" i="15"/>
  <c r="P29" i="36"/>
  <c r="Q28" i="36"/>
  <c r="M6" i="15"/>
  <c r="P10" i="35"/>
  <c r="P24" i="36"/>
  <c r="P28" i="36"/>
  <c r="Q31" i="35"/>
  <c r="Q35" i="35" s="1"/>
  <c r="Q25" i="36" s="1"/>
  <c r="Q18" i="36"/>
  <c r="P26" i="36"/>
  <c r="H66" i="35"/>
  <c r="E30" i="36"/>
  <c r="I36" i="36"/>
  <c r="P63" i="35"/>
  <c r="L66" i="35"/>
  <c r="L65" i="35"/>
  <c r="P62" i="35"/>
  <c r="M64" i="35"/>
  <c r="Q52" i="35"/>
  <c r="U52" i="35" s="1"/>
  <c r="L64" i="35"/>
  <c r="P52" i="35"/>
  <c r="T52" i="35" s="1"/>
  <c r="Q24" i="35"/>
  <c r="Q34" i="36" s="1"/>
  <c r="Q63" i="35"/>
  <c r="Q62" i="35"/>
  <c r="P24" i="35"/>
  <c r="P34" i="36" s="1"/>
  <c r="M66" i="35"/>
  <c r="M65" i="35"/>
  <c r="Z23" i="36" l="1"/>
  <c r="AN71" i="35"/>
  <c r="AR69" i="35"/>
  <c r="AD5" i="6"/>
  <c r="AH6" i="35"/>
  <c r="AI14" i="35"/>
  <c r="AE5" i="36"/>
  <c r="AE15" i="35"/>
  <c r="AN14" i="35"/>
  <c r="AH15" i="35"/>
  <c r="AD26" i="35"/>
  <c r="Z9" i="15"/>
  <c r="AE26" i="35"/>
  <c r="AA9" i="15"/>
  <c r="AO37" i="7"/>
  <c r="AS37" i="7" s="1"/>
  <c r="AD127" i="6"/>
  <c r="Z24" i="35"/>
  <c r="Z34" i="36" s="1"/>
  <c r="Z35" i="36" s="1"/>
  <c r="AD23" i="36"/>
  <c r="AH30" i="35"/>
  <c r="AD24" i="35"/>
  <c r="AD34" i="36" s="1"/>
  <c r="AD35" i="36" s="1"/>
  <c r="AH22" i="35"/>
  <c r="AA52" i="36"/>
  <c r="AE18" i="35"/>
  <c r="AI18" i="35" s="1"/>
  <c r="AO18" i="35" s="1"/>
  <c r="AS18" i="35" s="1"/>
  <c r="AD28" i="35"/>
  <c r="AH28" i="35" s="1"/>
  <c r="AN28" i="35" s="1"/>
  <c r="AR28" i="35" s="1"/>
  <c r="AV28" i="35" s="1"/>
  <c r="BD28" i="35" s="1"/>
  <c r="AA24" i="35"/>
  <c r="AA34" i="36" s="1"/>
  <c r="AA35" i="36" s="1"/>
  <c r="AE21" i="35"/>
  <c r="AD29" i="35"/>
  <c r="AA23" i="36"/>
  <c r="AE30" i="35"/>
  <c r="AE29" i="35"/>
  <c r="U31" i="35"/>
  <c r="U35" i="35" s="1"/>
  <c r="U25" i="36" s="1"/>
  <c r="AA44" i="35"/>
  <c r="AE37" i="35"/>
  <c r="Z52" i="36"/>
  <c r="AD18" i="35"/>
  <c r="AH18" i="35" s="1"/>
  <c r="AN18" i="35" s="1"/>
  <c r="AR18" i="35" s="1"/>
  <c r="AA28" i="35"/>
  <c r="T19" i="36"/>
  <c r="U19" i="36"/>
  <c r="Z73" i="8"/>
  <c r="AD15" i="36"/>
  <c r="I39" i="36"/>
  <c r="I30" i="36" s="1"/>
  <c r="U65" i="35"/>
  <c r="Z63" i="35"/>
  <c r="AD51" i="35"/>
  <c r="AA62" i="35"/>
  <c r="AE50" i="35"/>
  <c r="Z62" i="35"/>
  <c r="AD50" i="35"/>
  <c r="AA63" i="35"/>
  <c r="AA65" i="35" s="1"/>
  <c r="AE51" i="35"/>
  <c r="Z31" i="35"/>
  <c r="Z35" i="35" s="1"/>
  <c r="Z17" i="15"/>
  <c r="Z33" i="36"/>
  <c r="Z16" i="36"/>
  <c r="Z55" i="36"/>
  <c r="Z54" i="36"/>
  <c r="Z51" i="36"/>
  <c r="P5" i="36"/>
  <c r="P11" i="35"/>
  <c r="AA31" i="35"/>
  <c r="AA17" i="15"/>
  <c r="AA33" i="36"/>
  <c r="AA54" i="36"/>
  <c r="AA55" i="36"/>
  <c r="AA51" i="36"/>
  <c r="AA16" i="36"/>
  <c r="AA17" i="36"/>
  <c r="U35" i="36"/>
  <c r="T35" i="36"/>
  <c r="T36" i="36" s="1"/>
  <c r="T39" i="36" s="1"/>
  <c r="T73" i="8"/>
  <c r="U73" i="8"/>
  <c r="Z44" i="36"/>
  <c r="AD44" i="36" s="1"/>
  <c r="AH44" i="36" s="1"/>
  <c r="T44" i="35"/>
  <c r="Z37" i="35"/>
  <c r="X66" i="35"/>
  <c r="X8" i="35"/>
  <c r="U6" i="6"/>
  <c r="AA7" i="35"/>
  <c r="AE7" i="35" s="1"/>
  <c r="U5" i="6"/>
  <c r="AA6" i="35"/>
  <c r="AE6" i="35" s="1"/>
  <c r="U8" i="35"/>
  <c r="U24" i="36"/>
  <c r="U64" i="35"/>
  <c r="AA52" i="35"/>
  <c r="U26" i="36"/>
  <c r="T64" i="35"/>
  <c r="Z52" i="35"/>
  <c r="T65" i="35"/>
  <c r="T6" i="6"/>
  <c r="Z7" i="35"/>
  <c r="T26" i="36"/>
  <c r="U18" i="36"/>
  <c r="T25" i="36"/>
  <c r="T66" i="35"/>
  <c r="T24" i="36"/>
  <c r="T18" i="36"/>
  <c r="T5" i="6"/>
  <c r="T8" i="35"/>
  <c r="T10" i="35"/>
  <c r="P7" i="15"/>
  <c r="T29" i="36"/>
  <c r="T7" i="15" s="1"/>
  <c r="P5" i="15"/>
  <c r="T27" i="36"/>
  <c r="T5" i="15" s="1"/>
  <c r="P6" i="15"/>
  <c r="T28" i="36"/>
  <c r="Q6" i="15"/>
  <c r="U28" i="36"/>
  <c r="U6" i="15" s="1"/>
  <c r="Q7" i="15"/>
  <c r="U29" i="36"/>
  <c r="Q5" i="15"/>
  <c r="U27" i="36"/>
  <c r="U5" i="15" s="1"/>
  <c r="P35" i="36"/>
  <c r="Q35" i="36"/>
  <c r="Q7" i="6"/>
  <c r="M36" i="36"/>
  <c r="P64" i="35"/>
  <c r="Q64" i="35"/>
  <c r="P66" i="35"/>
  <c r="P65" i="35"/>
  <c r="Q66" i="35"/>
  <c r="Q65" i="35"/>
  <c r="AR17" i="15" l="1"/>
  <c r="AV18" i="35"/>
  <c r="BD18" i="35" s="1"/>
  <c r="AS17" i="15"/>
  <c r="AW18" i="35"/>
  <c r="BE18" i="35" s="1"/>
  <c r="BE17" i="36" s="1"/>
  <c r="AW37" i="7"/>
  <c r="BE37" i="7" s="1"/>
  <c r="AR71" i="35"/>
  <c r="AV69" i="35"/>
  <c r="AV71" i="35" s="1"/>
  <c r="U66" i="35"/>
  <c r="AS33" i="36"/>
  <c r="AS52" i="36"/>
  <c r="AS54" i="36"/>
  <c r="AS55" i="36"/>
  <c r="AS16" i="36"/>
  <c r="AS17" i="36"/>
  <c r="AS51" i="36"/>
  <c r="AN15" i="35"/>
  <c r="AR14" i="35"/>
  <c r="AR33" i="36"/>
  <c r="AR52" i="36"/>
  <c r="AR16" i="36"/>
  <c r="AR54" i="36"/>
  <c r="AR55" i="36"/>
  <c r="AR51" i="36"/>
  <c r="AE5" i="6"/>
  <c r="AI6" i="35"/>
  <c r="AE8" i="35"/>
  <c r="Z8" i="35"/>
  <c r="AD7" i="35"/>
  <c r="AD9" i="15"/>
  <c r="AH26" i="35"/>
  <c r="AN6" i="35"/>
  <c r="AR6" i="35" s="1"/>
  <c r="AV6" i="35" s="1"/>
  <c r="BD6" i="35" s="1"/>
  <c r="BD5" i="6" s="1"/>
  <c r="AH5" i="6"/>
  <c r="AE6" i="6"/>
  <c r="AI7" i="35"/>
  <c r="Z44" i="35"/>
  <c r="AD37" i="35"/>
  <c r="AE9" i="15"/>
  <c r="AI26" i="35"/>
  <c r="AO14" i="35"/>
  <c r="AS14" i="35" s="1"/>
  <c r="AW14" i="35" s="1"/>
  <c r="BE14" i="35" s="1"/>
  <c r="BE15" i="35" s="1"/>
  <c r="AI5" i="36"/>
  <c r="AI15" i="35"/>
  <c r="AN33" i="36"/>
  <c r="AN17" i="15"/>
  <c r="AN52" i="36"/>
  <c r="AN16" i="36"/>
  <c r="AN54" i="36"/>
  <c r="AN55" i="36"/>
  <c r="AN51" i="36"/>
  <c r="AN53" i="36" s="1"/>
  <c r="AH24" i="35"/>
  <c r="AH34" i="36" s="1"/>
  <c r="AH35" i="36" s="1"/>
  <c r="AN22" i="35"/>
  <c r="AO33" i="36"/>
  <c r="AO17" i="15"/>
  <c r="BI18" i="35"/>
  <c r="BJ18" i="35" s="1"/>
  <c r="AO52" i="36"/>
  <c r="AO54" i="36"/>
  <c r="AO55" i="36"/>
  <c r="AO16" i="36"/>
  <c r="AO17" i="36"/>
  <c r="AO51" i="36"/>
  <c r="AH23" i="36"/>
  <c r="AN30" i="35"/>
  <c r="AH127" i="6"/>
  <c r="AH17" i="36"/>
  <c r="AN44" i="36"/>
  <c r="AA53" i="36"/>
  <c r="AA19" i="36" s="1"/>
  <c r="Z36" i="36"/>
  <c r="Z39" i="36" s="1"/>
  <c r="Z30" i="36" s="1"/>
  <c r="AI29" i="35"/>
  <c r="AH29" i="35"/>
  <c r="AE44" i="35"/>
  <c r="AI37" i="35"/>
  <c r="AI33" i="36"/>
  <c r="AI17" i="15"/>
  <c r="AI52" i="36"/>
  <c r="AI54" i="36"/>
  <c r="AI55" i="36"/>
  <c r="AI16" i="36"/>
  <c r="AI17" i="36"/>
  <c r="AI51" i="36"/>
  <c r="AD73" i="8"/>
  <c r="AH15" i="36"/>
  <c r="AE23" i="36"/>
  <c r="AI30" i="35"/>
  <c r="AE24" i="35"/>
  <c r="AE34" i="36" s="1"/>
  <c r="AE35" i="36" s="1"/>
  <c r="AI21" i="35"/>
  <c r="AH33" i="36"/>
  <c r="AH17" i="15"/>
  <c r="AH52" i="36"/>
  <c r="AH16" i="36"/>
  <c r="AH54" i="36"/>
  <c r="AH55" i="36"/>
  <c r="AH51" i="36"/>
  <c r="AA36" i="36"/>
  <c r="AA39" i="36" s="1"/>
  <c r="AA30" i="36" s="1"/>
  <c r="Z53" i="36"/>
  <c r="Z19" i="36" s="1"/>
  <c r="AE62" i="35"/>
  <c r="AI50" i="35"/>
  <c r="AD62" i="35"/>
  <c r="AH50" i="35"/>
  <c r="AE63" i="35"/>
  <c r="AE65" i="35" s="1"/>
  <c r="AI51" i="35"/>
  <c r="AD63" i="35"/>
  <c r="AD65" i="35" s="1"/>
  <c r="AH51" i="35"/>
  <c r="AD17" i="36"/>
  <c r="AA24" i="36"/>
  <c r="AE28" i="35"/>
  <c r="AI28" i="35" s="1"/>
  <c r="AO28" i="35" s="1"/>
  <c r="AS28" i="35" s="1"/>
  <c r="AW28" i="35" s="1"/>
  <c r="BE28" i="35" s="1"/>
  <c r="AE17" i="15"/>
  <c r="AE52" i="36"/>
  <c r="AE33" i="36"/>
  <c r="AE55" i="36"/>
  <c r="AE54" i="36"/>
  <c r="AE16" i="36"/>
  <c r="AE17" i="36"/>
  <c r="AE51" i="36"/>
  <c r="AD17" i="15"/>
  <c r="AD52" i="36"/>
  <c r="AD33" i="36"/>
  <c r="AD36" i="36" s="1"/>
  <c r="AD39" i="36" s="1"/>
  <c r="AD30" i="36" s="1"/>
  <c r="AD16" i="36"/>
  <c r="AD54" i="36"/>
  <c r="AD55" i="36"/>
  <c r="AD51" i="36"/>
  <c r="AD31" i="35"/>
  <c r="AD35" i="35" s="1"/>
  <c r="M39" i="36"/>
  <c r="M30" i="36" s="1"/>
  <c r="Z66" i="35"/>
  <c r="Z65" i="35"/>
  <c r="Z64" i="35"/>
  <c r="AD52" i="35"/>
  <c r="AA64" i="35"/>
  <c r="AE52" i="35"/>
  <c r="Z24" i="36"/>
  <c r="Z26" i="36"/>
  <c r="AA18" i="36"/>
  <c r="Z25" i="36"/>
  <c r="AA35" i="35"/>
  <c r="AA66" i="35" s="1"/>
  <c r="AA29" i="36"/>
  <c r="U7" i="15"/>
  <c r="Z28" i="36"/>
  <c r="T6" i="15"/>
  <c r="T5" i="36"/>
  <c r="T11" i="35"/>
  <c r="Z17" i="36"/>
  <c r="Z18" i="36" s="1"/>
  <c r="U36" i="36"/>
  <c r="Z29" i="36"/>
  <c r="T30" i="36"/>
  <c r="X30" i="36"/>
  <c r="AA27" i="36"/>
  <c r="AA28" i="36"/>
  <c r="Z27" i="36"/>
  <c r="AA26" i="36"/>
  <c r="AA8" i="35"/>
  <c r="U7" i="6"/>
  <c r="Z10" i="35"/>
  <c r="AD10" i="35" s="1"/>
  <c r="AH10" i="35" s="1"/>
  <c r="AN10" i="35" s="1"/>
  <c r="AR10" i="35" s="1"/>
  <c r="AV10" i="35" s="1"/>
  <c r="T7" i="6"/>
  <c r="P36" i="36"/>
  <c r="P39" i="36" s="1"/>
  <c r="Q36" i="36"/>
  <c r="BE33" i="36" l="1"/>
  <c r="BE52" i="36"/>
  <c r="BE55" i="36"/>
  <c r="BE54" i="36"/>
  <c r="BE16" i="36"/>
  <c r="BE18" i="36" s="1"/>
  <c r="BE51" i="36"/>
  <c r="BE53" i="36" s="1"/>
  <c r="BD33" i="36"/>
  <c r="BD16" i="36" s="1"/>
  <c r="BD51" i="36"/>
  <c r="BD52" i="36"/>
  <c r="BD54" i="36"/>
  <c r="BD55" i="36"/>
  <c r="AV11" i="35"/>
  <c r="BD10" i="35"/>
  <c r="BD11" i="35" s="1"/>
  <c r="AR53" i="36"/>
  <c r="AR19" i="36" s="1"/>
  <c r="AW33" i="36"/>
  <c r="AW55" i="36"/>
  <c r="AW54" i="36"/>
  <c r="AW52" i="36"/>
  <c r="AW51" i="36"/>
  <c r="AH53" i="36"/>
  <c r="AH19" i="36" s="1"/>
  <c r="AV33" i="36"/>
  <c r="AV52" i="36"/>
  <c r="AV51" i="36"/>
  <c r="AV55" i="36"/>
  <c r="AV54" i="36"/>
  <c r="AR15" i="35"/>
  <c r="AV14" i="35"/>
  <c r="BD14" i="35" s="1"/>
  <c r="BD15" i="35" s="1"/>
  <c r="AW5" i="36"/>
  <c r="AW15" i="35"/>
  <c r="AV5" i="6"/>
  <c r="AW17" i="36"/>
  <c r="AW16" i="36"/>
  <c r="AW17" i="15"/>
  <c r="AV17" i="15"/>
  <c r="AV16" i="36"/>
  <c r="AS18" i="36"/>
  <c r="AN24" i="35"/>
  <c r="AN34" i="36" s="1"/>
  <c r="AN35" i="36" s="1"/>
  <c r="AN36" i="36" s="1"/>
  <c r="AN39" i="36" s="1"/>
  <c r="AN30" i="36" s="1"/>
  <c r="AR22" i="35"/>
  <c r="AN23" i="36"/>
  <c r="AR30" i="35"/>
  <c r="AS53" i="36"/>
  <c r="AS19" i="36" s="1"/>
  <c r="AR5" i="36"/>
  <c r="AR11" i="35"/>
  <c r="AS5" i="36"/>
  <c r="AS15" i="35"/>
  <c r="AR5" i="6"/>
  <c r="AN17" i="36"/>
  <c r="AN18" i="36" s="1"/>
  <c r="AR44" i="36"/>
  <c r="AH18" i="36"/>
  <c r="AI62" i="35"/>
  <c r="AO50" i="35"/>
  <c r="AI9" i="15"/>
  <c r="AO26" i="35"/>
  <c r="AO7" i="35"/>
  <c r="AI6" i="6"/>
  <c r="AN19" i="36"/>
  <c r="AN26" i="35"/>
  <c r="AH9" i="15"/>
  <c r="AH62" i="35"/>
  <c r="AN50" i="35"/>
  <c r="AH37" i="35"/>
  <c r="AD44" i="35"/>
  <c r="AI8" i="35"/>
  <c r="AO6" i="35"/>
  <c r="AS6" i="35" s="1"/>
  <c r="AW6" i="35" s="1"/>
  <c r="BE6" i="35" s="1"/>
  <c r="BE5" i="6" s="1"/>
  <c r="AI5" i="6"/>
  <c r="AO5" i="36"/>
  <c r="AO15" i="35"/>
  <c r="AH7" i="35"/>
  <c r="AD6" i="6"/>
  <c r="AD7" i="6" s="1"/>
  <c r="AD8" i="35"/>
  <c r="AE7" i="6"/>
  <c r="AD26" i="36"/>
  <c r="AH26" i="36" s="1"/>
  <c r="AN26" i="36" s="1"/>
  <c r="AR26" i="36" s="1"/>
  <c r="AH36" i="36"/>
  <c r="AH39" i="36" s="1"/>
  <c r="AH30" i="36" s="1"/>
  <c r="AO18" i="36"/>
  <c r="AN5" i="36"/>
  <c r="AN11" i="35"/>
  <c r="AI23" i="36"/>
  <c r="AO30" i="35"/>
  <c r="AS30" i="35" s="1"/>
  <c r="AI44" i="35"/>
  <c r="AO37" i="35"/>
  <c r="AO29" i="35"/>
  <c r="AO53" i="36"/>
  <c r="AO19" i="36" s="1"/>
  <c r="BI28" i="35"/>
  <c r="BJ28" i="35" s="1"/>
  <c r="AI24" i="35"/>
  <c r="AI34" i="36" s="1"/>
  <c r="AI35" i="36" s="1"/>
  <c r="AI36" i="36" s="1"/>
  <c r="AI39" i="36" s="1"/>
  <c r="AI30" i="36" s="1"/>
  <c r="AO21" i="35"/>
  <c r="AH73" i="8"/>
  <c r="AN15" i="36"/>
  <c r="AN29" i="35"/>
  <c r="AR29" i="35" s="1"/>
  <c r="AV29" i="35" s="1"/>
  <c r="BD29" i="35" s="1"/>
  <c r="AN127" i="6"/>
  <c r="AR127" i="6" s="1"/>
  <c r="AV127" i="6" s="1"/>
  <c r="BD127" i="6" s="1"/>
  <c r="AI63" i="35"/>
  <c r="AO51" i="35"/>
  <c r="AH63" i="35"/>
  <c r="AN51" i="35"/>
  <c r="AD24" i="36"/>
  <c r="AH24" i="36" s="1"/>
  <c r="AN24" i="36" s="1"/>
  <c r="AR24" i="36" s="1"/>
  <c r="AE26" i="36"/>
  <c r="AI26" i="36" s="1"/>
  <c r="AO26" i="36" s="1"/>
  <c r="AS26" i="36" s="1"/>
  <c r="AW26" i="36" s="1"/>
  <c r="BE26" i="36" s="1"/>
  <c r="AH31" i="35"/>
  <c r="AH35" i="35" s="1"/>
  <c r="AI53" i="36"/>
  <c r="AI19" i="36" s="1"/>
  <c r="AE36" i="36"/>
  <c r="AE39" i="36" s="1"/>
  <c r="AE30" i="36" s="1"/>
  <c r="AI18" i="36"/>
  <c r="AI31" i="35"/>
  <c r="AI35" i="35" s="1"/>
  <c r="AD25" i="36"/>
  <c r="AE24" i="36"/>
  <c r="AI24" i="36" s="1"/>
  <c r="AO24" i="36" s="1"/>
  <c r="AS24" i="36" s="1"/>
  <c r="AH5" i="36"/>
  <c r="AH11" i="35"/>
  <c r="AD18" i="36"/>
  <c r="AD66" i="35"/>
  <c r="AE64" i="35"/>
  <c r="AI52" i="35"/>
  <c r="AD64" i="35"/>
  <c r="AH52" i="35"/>
  <c r="AE53" i="36"/>
  <c r="AE19" i="36" s="1"/>
  <c r="AE31" i="35"/>
  <c r="AE35" i="35" s="1"/>
  <c r="AE66" i="35" s="1"/>
  <c r="AD5" i="36"/>
  <c r="AD11" i="35"/>
  <c r="AD53" i="36"/>
  <c r="AD19" i="36" s="1"/>
  <c r="AE18" i="36"/>
  <c r="U39" i="36"/>
  <c r="U30" i="36" s="1"/>
  <c r="Q39" i="36"/>
  <c r="Q30" i="36" s="1"/>
  <c r="Z7" i="15"/>
  <c r="AD29" i="36"/>
  <c r="AH29" i="36" s="1"/>
  <c r="AA6" i="15"/>
  <c r="AE28" i="36"/>
  <c r="AI28" i="36" s="1"/>
  <c r="Z6" i="15"/>
  <c r="AD28" i="36"/>
  <c r="AH28" i="36" s="1"/>
  <c r="AA5" i="15"/>
  <c r="AE27" i="36"/>
  <c r="AI27" i="36" s="1"/>
  <c r="AA7" i="15"/>
  <c r="AE29" i="36"/>
  <c r="AI29" i="36" s="1"/>
  <c r="Z5" i="15"/>
  <c r="AD27" i="36"/>
  <c r="AH27" i="36" s="1"/>
  <c r="Z5" i="36"/>
  <c r="Z11" i="35"/>
  <c r="AA25" i="36"/>
  <c r="Y30" i="36"/>
  <c r="P30" i="36"/>
  <c r="BE19" i="36" l="1"/>
  <c r="BD53" i="36"/>
  <c r="BD19" i="36" s="1"/>
  <c r="AV26" i="36"/>
  <c r="BD26" i="36" s="1"/>
  <c r="AW24" i="36"/>
  <c r="AH65" i="35"/>
  <c r="AW53" i="36"/>
  <c r="AW19" i="36" s="1"/>
  <c r="AV24" i="36"/>
  <c r="BD24" i="36" s="1"/>
  <c r="AR17" i="36"/>
  <c r="AR18" i="36" s="1"/>
  <c r="AV44" i="36"/>
  <c r="BD44" i="36" s="1"/>
  <c r="BD17" i="36" s="1"/>
  <c r="AV53" i="36"/>
  <c r="AV19" i="36" s="1"/>
  <c r="AW18" i="36"/>
  <c r="AW5" i="6"/>
  <c r="AR23" i="36"/>
  <c r="AV30" i="35"/>
  <c r="AS23" i="36"/>
  <c r="AW30" i="35"/>
  <c r="AV5" i="36"/>
  <c r="AV15" i="35"/>
  <c r="AR24" i="35"/>
  <c r="AR34" i="36" s="1"/>
  <c r="AR35" i="36" s="1"/>
  <c r="AR36" i="36" s="1"/>
  <c r="AR39" i="36" s="1"/>
  <c r="AR30" i="36" s="1"/>
  <c r="AV22" i="35"/>
  <c r="AN63" i="35"/>
  <c r="AR51" i="35"/>
  <c r="AS5" i="6"/>
  <c r="AN62" i="35"/>
  <c r="AR50" i="35"/>
  <c r="AR31" i="35"/>
  <c r="AR35" i="35" s="1"/>
  <c r="AO24" i="35"/>
  <c r="AO34" i="36" s="1"/>
  <c r="AO35" i="36" s="1"/>
  <c r="AO36" i="36" s="1"/>
  <c r="AO39" i="36" s="1"/>
  <c r="AO30" i="36" s="1"/>
  <c r="AS21" i="35"/>
  <c r="AO31" i="35"/>
  <c r="AO35" i="35" s="1"/>
  <c r="BI35" i="35" s="1"/>
  <c r="BJ35" i="35" s="1"/>
  <c r="AS29" i="35"/>
  <c r="AW29" i="35" s="1"/>
  <c r="BE29" i="35" s="1"/>
  <c r="AO62" i="35"/>
  <c r="AS50" i="35"/>
  <c r="AO63" i="35"/>
  <c r="AO66" i="35" s="1"/>
  <c r="AS51" i="35"/>
  <c r="AO8" i="35"/>
  <c r="AS7" i="35"/>
  <c r="AI65" i="35"/>
  <c r="AN73" i="8"/>
  <c r="AR15" i="36"/>
  <c r="AV15" i="36" s="1"/>
  <c r="AO44" i="35"/>
  <c r="AS37" i="35"/>
  <c r="AN9" i="15"/>
  <c r="AR26" i="35"/>
  <c r="AO9" i="15"/>
  <c r="AS26" i="35"/>
  <c r="AH66" i="35"/>
  <c r="AI7" i="6"/>
  <c r="AN7" i="35"/>
  <c r="AH6" i="6"/>
  <c r="AH7" i="6" s="1"/>
  <c r="AH8" i="35"/>
  <c r="AN37" i="35"/>
  <c r="AH44" i="35"/>
  <c r="BI29" i="35"/>
  <c r="BJ29" i="35" s="1"/>
  <c r="AO23" i="36"/>
  <c r="BI30" i="35"/>
  <c r="BJ30" i="35" s="1"/>
  <c r="AN31" i="35"/>
  <c r="AN35" i="35" s="1"/>
  <c r="AI66" i="35"/>
  <c r="AI64" i="35"/>
  <c r="AO52" i="35"/>
  <c r="AH64" i="35"/>
  <c r="AN52" i="35"/>
  <c r="AI5" i="15"/>
  <c r="AO27" i="36"/>
  <c r="AH5" i="15"/>
  <c r="AN27" i="36"/>
  <c r="AI6" i="15"/>
  <c r="AO28" i="36"/>
  <c r="AH6" i="15"/>
  <c r="AN28" i="36"/>
  <c r="AI7" i="15"/>
  <c r="AO29" i="36"/>
  <c r="AH7" i="15"/>
  <c r="AN29" i="36"/>
  <c r="AH25" i="36"/>
  <c r="AE25" i="36"/>
  <c r="AI25" i="36" s="1"/>
  <c r="AD7" i="15"/>
  <c r="AE7" i="15"/>
  <c r="AD6" i="15"/>
  <c r="AD5" i="15"/>
  <c r="AE5" i="15"/>
  <c r="AE6" i="15"/>
  <c r="F1499" i="3"/>
  <c r="H1499" i="3" s="1"/>
  <c r="F1496" i="3"/>
  <c r="H1496" i="3" s="1"/>
  <c r="F1486" i="3"/>
  <c r="F1482" i="3"/>
  <c r="F1471" i="3"/>
  <c r="F1473" i="3" s="1"/>
  <c r="F1463" i="3"/>
  <c r="F1465" i="3" s="1"/>
  <c r="F1457" i="3"/>
  <c r="F1456" i="3"/>
  <c r="F1455" i="3"/>
  <c r="F1454" i="3"/>
  <c r="F1451" i="3"/>
  <c r="F238" i="3" s="1"/>
  <c r="F1434" i="3"/>
  <c r="F1428" i="3"/>
  <c r="F1418" i="3"/>
  <c r="F1421" i="3" s="1"/>
  <c r="F1413" i="3"/>
  <c r="F1410" i="3"/>
  <c r="F1370" i="3"/>
  <c r="F1369" i="3"/>
  <c r="F1362" i="3"/>
  <c r="F1366" i="3" s="1"/>
  <c r="F1360" i="3"/>
  <c r="F1365" i="3" s="1"/>
  <c r="F1357" i="3"/>
  <c r="F1358" i="3" s="1"/>
  <c r="F1356" i="3"/>
  <c r="F1354" i="3"/>
  <c r="F1324" i="3"/>
  <c r="F1458" i="3" s="1"/>
  <c r="F1319" i="3"/>
  <c r="F1318" i="3"/>
  <c r="F1317" i="3"/>
  <c r="F1307" i="3"/>
  <c r="F1386" i="3" s="1"/>
  <c r="F1298" i="3"/>
  <c r="F1291" i="3"/>
  <c r="F1256" i="3"/>
  <c r="F1255" i="3"/>
  <c r="F1250" i="3"/>
  <c r="F1247" i="3"/>
  <c r="F1257" i="3"/>
  <c r="F1239" i="3"/>
  <c r="F1240" i="3" s="1"/>
  <c r="F1233" i="3"/>
  <c r="F1222" i="3"/>
  <c r="F1215" i="3"/>
  <c r="F1200" i="3"/>
  <c r="F1201" i="3" s="1"/>
  <c r="F1203" i="3" s="1"/>
  <c r="F1199" i="3"/>
  <c r="F1194" i="3"/>
  <c r="F1175" i="3"/>
  <c r="F1180" i="3" s="1"/>
  <c r="F1169" i="3"/>
  <c r="F1140" i="3"/>
  <c r="F1145" i="3" s="1"/>
  <c r="F1127" i="3"/>
  <c r="F1128" i="3" s="1"/>
  <c r="F1124" i="3"/>
  <c r="F1121" i="3"/>
  <c r="F1122" i="3" s="1"/>
  <c r="F1118" i="3"/>
  <c r="F1119" i="3" s="1"/>
  <c r="F374" i="3" s="1"/>
  <c r="F1013" i="3"/>
  <c r="F1014" i="3" s="1"/>
  <c r="F1010" i="3"/>
  <c r="F1007" i="3"/>
  <c r="F1008" i="3" s="1"/>
  <c r="F1004" i="3"/>
  <c r="F1005" i="3" s="1"/>
  <c r="F373" i="3" s="1"/>
  <c r="F911" i="3"/>
  <c r="F912" i="3" s="1"/>
  <c r="F908" i="3"/>
  <c r="F905" i="3"/>
  <c r="F906" i="3" s="1"/>
  <c r="F901" i="3"/>
  <c r="F902" i="3" s="1"/>
  <c r="F372" i="3" s="1"/>
  <c r="F849" i="3"/>
  <c r="F732" i="3"/>
  <c r="F724" i="3"/>
  <c r="F720" i="3"/>
  <c r="F722" i="3" s="1"/>
  <c r="F717" i="3"/>
  <c r="F747" i="3" s="1"/>
  <c r="F702" i="3"/>
  <c r="F704" i="3" s="1"/>
  <c r="F713" i="3" s="1"/>
  <c r="F685" i="3"/>
  <c r="F681" i="3"/>
  <c r="F678" i="3"/>
  <c r="F666" i="3"/>
  <c r="F639" i="3"/>
  <c r="F638" i="3"/>
  <c r="F637" i="3"/>
  <c r="F636" i="3"/>
  <c r="F634" i="3"/>
  <c r="F633" i="3"/>
  <c r="F632" i="3"/>
  <c r="F631" i="3"/>
  <c r="F630" i="3"/>
  <c r="F624" i="3"/>
  <c r="F662" i="3" s="1"/>
  <c r="F619" i="3"/>
  <c r="F618" i="3"/>
  <c r="F584" i="3"/>
  <c r="F581" i="3"/>
  <c r="F578" i="3"/>
  <c r="F575" i="3"/>
  <c r="F572" i="3"/>
  <c r="F569" i="3"/>
  <c r="F566" i="3"/>
  <c r="F563" i="3"/>
  <c r="F560" i="3"/>
  <c r="F554" i="3"/>
  <c r="F228" i="3"/>
  <c r="F231" i="3" s="1"/>
  <c r="F548" i="3"/>
  <c r="F546" i="3"/>
  <c r="F544" i="3"/>
  <c r="F542" i="3"/>
  <c r="F540" i="3"/>
  <c r="F537" i="3"/>
  <c r="F538" i="3" s="1"/>
  <c r="F227" i="3" s="1"/>
  <c r="F230" i="3" s="1"/>
  <c r="F519" i="3"/>
  <c r="F518" i="3"/>
  <c r="F525" i="3" s="1"/>
  <c r="F511" i="3"/>
  <c r="F509" i="3"/>
  <c r="F508" i="3"/>
  <c r="F490" i="3"/>
  <c r="F500" i="3" s="1"/>
  <c r="F502" i="3" s="1"/>
  <c r="F486" i="3"/>
  <c r="F487" i="3" s="1"/>
  <c r="F480" i="3"/>
  <c r="F476" i="3"/>
  <c r="F472" i="3"/>
  <c r="F457" i="3"/>
  <c r="F458" i="3" s="1"/>
  <c r="F454" i="3"/>
  <c r="F375" i="3"/>
  <c r="F368" i="3"/>
  <c r="F367" i="3"/>
  <c r="F366" i="3"/>
  <c r="F359" i="3"/>
  <c r="F355" i="3"/>
  <c r="F343" i="3"/>
  <c r="F331" i="3"/>
  <c r="F311" i="3"/>
  <c r="F303" i="3"/>
  <c r="F300" i="3"/>
  <c r="F293" i="3"/>
  <c r="F291" i="3"/>
  <c r="F288" i="3"/>
  <c r="F287" i="3"/>
  <c r="F286" i="3"/>
  <c r="F281" i="3"/>
  <c r="F279" i="3"/>
  <c r="F278" i="3"/>
  <c r="F277" i="3"/>
  <c r="F272" i="3"/>
  <c r="F271" i="3"/>
  <c r="F273" i="3" s="1"/>
  <c r="F270" i="3"/>
  <c r="F269" i="3"/>
  <c r="F266" i="3"/>
  <c r="F267" i="3" s="1"/>
  <c r="F263" i="3"/>
  <c r="F262" i="3"/>
  <c r="F250" i="3"/>
  <c r="F246" i="3"/>
  <c r="F239" i="3"/>
  <c r="F237" i="3"/>
  <c r="F162" i="3"/>
  <c r="F161" i="3" s="1"/>
  <c r="F154" i="3"/>
  <c r="F1460" i="3" s="1"/>
  <c r="F1461" i="3" s="1"/>
  <c r="F151" i="3"/>
  <c r="F1373" i="3" s="1"/>
  <c r="F148" i="3"/>
  <c r="F145" i="3"/>
  <c r="F520" i="3" s="1"/>
  <c r="F140" i="3"/>
  <c r="F136" i="3"/>
  <c r="F132" i="3"/>
  <c r="F117" i="3"/>
  <c r="F111" i="3"/>
  <c r="F107" i="3"/>
  <c r="F91" i="3"/>
  <c r="F90" i="3"/>
  <c r="F89" i="3"/>
  <c r="F87" i="3"/>
  <c r="F115" i="3"/>
  <c r="F78" i="3"/>
  <c r="F96" i="3" s="1"/>
  <c r="F72" i="3"/>
  <c r="F95" i="3" s="1"/>
  <c r="F66" i="3"/>
  <c r="F94" i="3" s="1"/>
  <c r="F56" i="3"/>
  <c r="F45" i="3"/>
  <c r="F40" i="3"/>
  <c r="F34" i="3"/>
  <c r="F32" i="3"/>
  <c r="F33" i="3" s="1"/>
  <c r="F29" i="3"/>
  <c r="F30" i="3" s="1"/>
  <c r="F26" i="3"/>
  <c r="F27" i="3" s="1"/>
  <c r="F23" i="3"/>
  <c r="F20" i="3"/>
  <c r="F19" i="3"/>
  <c r="F18" i="3"/>
  <c r="F17" i="3"/>
  <c r="F12" i="3"/>
  <c r="F13" i="3" s="1"/>
  <c r="F11" i="3"/>
  <c r="F9" i="3"/>
  <c r="AV17" i="36" l="1"/>
  <c r="AV18" i="36" s="1"/>
  <c r="BD18" i="36"/>
  <c r="AV24" i="35"/>
  <c r="AV34" i="36" s="1"/>
  <c r="AV35" i="36" s="1"/>
  <c r="AV36" i="36" s="1"/>
  <c r="AV39" i="36" s="1"/>
  <c r="AV30" i="36" s="1"/>
  <c r="BD22" i="35"/>
  <c r="BD24" i="35" s="1"/>
  <c r="BD34" i="36" s="1"/>
  <c r="BD35" i="36" s="1"/>
  <c r="BD36" i="36" s="1"/>
  <c r="BD39" i="36" s="1"/>
  <c r="BD30" i="36" s="1"/>
  <c r="AW23" i="36"/>
  <c r="BE30" i="35"/>
  <c r="AV23" i="36"/>
  <c r="BD30" i="35"/>
  <c r="AO25" i="36"/>
  <c r="F1363" i="3"/>
  <c r="AN66" i="35"/>
  <c r="AS9" i="15"/>
  <c r="AW26" i="35"/>
  <c r="AS44" i="35"/>
  <c r="AW37" i="35"/>
  <c r="F556" i="3"/>
  <c r="AS6" i="6"/>
  <c r="AS7" i="6" s="1"/>
  <c r="AW7" i="35"/>
  <c r="BE7" i="35" s="1"/>
  <c r="AS62" i="35"/>
  <c r="AW50" i="35"/>
  <c r="AS24" i="35"/>
  <c r="AS34" i="36" s="1"/>
  <c r="AS35" i="36" s="1"/>
  <c r="AS36" i="36" s="1"/>
  <c r="AS39" i="36" s="1"/>
  <c r="AS30" i="36" s="1"/>
  <c r="AW21" i="35"/>
  <c r="AR62" i="35"/>
  <c r="AV50" i="35"/>
  <c r="AR9" i="15"/>
  <c r="AV26" i="35"/>
  <c r="AR73" i="8"/>
  <c r="BD15" i="36"/>
  <c r="AN65" i="35"/>
  <c r="AV31" i="35"/>
  <c r="AV35" i="35" s="1"/>
  <c r="F1364" i="3"/>
  <c r="AW31" i="35"/>
  <c r="AW35" i="35" s="1"/>
  <c r="AS63" i="35"/>
  <c r="AW51" i="35"/>
  <c r="AR63" i="35"/>
  <c r="AV51" i="35"/>
  <c r="AO65" i="35"/>
  <c r="AS31" i="35"/>
  <c r="AS35" i="35" s="1"/>
  <c r="AS8" i="35"/>
  <c r="AN8" i="35"/>
  <c r="AR7" i="35"/>
  <c r="AV7" i="35" s="1"/>
  <c r="BD7" i="35" s="1"/>
  <c r="AN44" i="35"/>
  <c r="AR37" i="35"/>
  <c r="AN64" i="35"/>
  <c r="AR52" i="35"/>
  <c r="AO64" i="35"/>
  <c r="AS52" i="35"/>
  <c r="AO5" i="15"/>
  <c r="AS27" i="36"/>
  <c r="AO7" i="15"/>
  <c r="AS29" i="36"/>
  <c r="AO6" i="15"/>
  <c r="AS28" i="36"/>
  <c r="AN7" i="15"/>
  <c r="AR29" i="36"/>
  <c r="AN6" i="15"/>
  <c r="AR28" i="36"/>
  <c r="AN5" i="15"/>
  <c r="AR27" i="36"/>
  <c r="AN25" i="36"/>
  <c r="AR25" i="36" s="1"/>
  <c r="F1415" i="3"/>
  <c r="F620" i="3"/>
  <c r="F1462" i="3"/>
  <c r="F1487" i="3"/>
  <c r="F1226" i="3"/>
  <c r="F146" i="3"/>
  <c r="F1371" i="3" s="1"/>
  <c r="F1372" i="3" s="1"/>
  <c r="F264" i="3"/>
  <c r="F1141" i="3"/>
  <c r="F35" i="3"/>
  <c r="F36" i="3" s="1"/>
  <c r="F37" i="3"/>
  <c r="F1500" i="3"/>
  <c r="H1500" i="3" s="1"/>
  <c r="F1258" i="3"/>
  <c r="F1243" i="3"/>
  <c r="F274" i="3" s="1"/>
  <c r="F275" i="3" s="1"/>
  <c r="F1146" i="3"/>
  <c r="F289" i="3"/>
  <c r="F682" i="3"/>
  <c r="F687" i="3" s="1"/>
  <c r="F646" i="3" s="1"/>
  <c r="F24" i="3"/>
  <c r="F477" i="3"/>
  <c r="F482" i="3" s="1"/>
  <c r="F531" i="3"/>
  <c r="F118" i="3"/>
  <c r="F119" i="3" s="1"/>
  <c r="F120" i="3" s="1"/>
  <c r="F376" i="3"/>
  <c r="F1320" i="3"/>
  <c r="F512" i="3"/>
  <c r="F21" i="3"/>
  <c r="F667" i="3"/>
  <c r="F88" i="3"/>
  <c r="F126" i="3"/>
  <c r="F127" i="3" s="1"/>
  <c r="F85" i="3"/>
  <c r="F97" i="3" s="1"/>
  <c r="F98" i="3" s="1"/>
  <c r="F103" i="3"/>
  <c r="F526" i="3"/>
  <c r="F527" i="3" s="1"/>
  <c r="F532" i="3"/>
  <c r="F360" i="3"/>
  <c r="F365" i="3"/>
  <c r="F370" i="3" s="1"/>
  <c r="F521" i="3"/>
  <c r="F1126" i="3"/>
  <c r="F1076" i="3"/>
  <c r="F255" i="3" s="1"/>
  <c r="F1279" i="3"/>
  <c r="F1282" i="3"/>
  <c r="F916" i="3"/>
  <c r="F845" i="3"/>
  <c r="F253" i="3" s="1"/>
  <c r="F280" i="3"/>
  <c r="F282" i="3" s="1"/>
  <c r="F1012" i="3"/>
  <c r="F965" i="3"/>
  <c r="F254" i="3" s="1"/>
  <c r="F292" i="3"/>
  <c r="F295" i="3" s="1"/>
  <c r="F492" i="3"/>
  <c r="F625" i="3"/>
  <c r="F640" i="3"/>
  <c r="F235" i="3" s="1"/>
  <c r="F234" i="3" s="1"/>
  <c r="F726" i="3"/>
  <c r="F728" i="3"/>
  <c r="F738" i="3"/>
  <c r="F740" i="3"/>
  <c r="F742" i="3"/>
  <c r="F744" i="3"/>
  <c r="F746" i="3"/>
  <c r="F748" i="3"/>
  <c r="F1176" i="3"/>
  <c r="F1181" i="3"/>
  <c r="F1326" i="3"/>
  <c r="F1331" i="3"/>
  <c r="F1333" i="3"/>
  <c r="F1376" i="3"/>
  <c r="F495" i="3"/>
  <c r="F497" i="3" s="1"/>
  <c r="F725" i="3"/>
  <c r="F727" i="3"/>
  <c r="F731" i="3"/>
  <c r="F733" i="3"/>
  <c r="F737" i="3"/>
  <c r="F739" i="3"/>
  <c r="F741" i="3"/>
  <c r="F743" i="3"/>
  <c r="F745" i="3"/>
  <c r="F1325" i="3"/>
  <c r="F1327" i="3"/>
  <c r="F1330" i="3"/>
  <c r="F1332" i="3"/>
  <c r="F1334" i="3"/>
  <c r="F1380" i="3"/>
  <c r="AF440" i="3"/>
  <c r="AF439" i="3"/>
  <c r="AF438" i="3"/>
  <c r="H440" i="3"/>
  <c r="J440" i="3" s="1"/>
  <c r="H439" i="3"/>
  <c r="J439" i="3" s="1"/>
  <c r="H438" i="3"/>
  <c r="J438" i="3" s="1"/>
  <c r="BD8" i="35" l="1"/>
  <c r="BD7" i="6" s="1"/>
  <c r="BD6" i="6"/>
  <c r="AV62" i="35"/>
  <c r="BD62" i="35" s="1"/>
  <c r="BD50" i="35"/>
  <c r="AW62" i="35"/>
  <c r="BE62" i="35" s="1"/>
  <c r="BE50" i="35"/>
  <c r="BD31" i="35"/>
  <c r="BD35" i="35" s="1"/>
  <c r="BD23" i="36"/>
  <c r="BB23" i="36" s="1"/>
  <c r="BE31" i="35"/>
  <c r="BE35" i="35" s="1"/>
  <c r="BE23" i="36"/>
  <c r="BE8" i="35"/>
  <c r="BE7" i="6" s="1"/>
  <c r="BE6" i="6"/>
  <c r="AW63" i="35"/>
  <c r="BE63" i="35" s="1"/>
  <c r="BE51" i="35"/>
  <c r="AV63" i="35"/>
  <c r="BD63" i="35" s="1"/>
  <c r="BD51" i="35"/>
  <c r="AV73" i="8"/>
  <c r="AV25" i="36"/>
  <c r="BD25" i="36" s="1"/>
  <c r="AW9" i="15"/>
  <c r="BE26" i="35"/>
  <c r="AW44" i="35"/>
  <c r="BE37" i="35"/>
  <c r="BE44" i="35" s="1"/>
  <c r="AV9" i="15"/>
  <c r="BD26" i="35"/>
  <c r="AW24" i="35"/>
  <c r="AW34" i="36" s="1"/>
  <c r="AW35" i="36" s="1"/>
  <c r="AW36" i="36" s="1"/>
  <c r="AW39" i="36" s="1"/>
  <c r="AW30" i="36" s="1"/>
  <c r="BE21" i="35"/>
  <c r="BE24" i="35" s="1"/>
  <c r="BE34" i="36" s="1"/>
  <c r="BE35" i="36" s="1"/>
  <c r="BE36" i="36" s="1"/>
  <c r="BE39" i="36" s="1"/>
  <c r="BE30" i="36" s="1"/>
  <c r="AR5" i="15"/>
  <c r="AV27" i="36"/>
  <c r="AR7" i="15"/>
  <c r="AV29" i="36"/>
  <c r="AS7" i="15"/>
  <c r="AW29" i="36"/>
  <c r="BC29" i="36" s="1"/>
  <c r="AR44" i="35"/>
  <c r="AV37" i="35"/>
  <c r="AS65" i="35"/>
  <c r="F386" i="3"/>
  <c r="AR6" i="15"/>
  <c r="AV28" i="36"/>
  <c r="AS6" i="15"/>
  <c r="AW28" i="36"/>
  <c r="AS5" i="15"/>
  <c r="AW27" i="36"/>
  <c r="AR65" i="35"/>
  <c r="AW6" i="6"/>
  <c r="AW8" i="35"/>
  <c r="AV6" i="6"/>
  <c r="AV8" i="35"/>
  <c r="AS66" i="35"/>
  <c r="AR64" i="35"/>
  <c r="AV52" i="35"/>
  <c r="AS64" i="35"/>
  <c r="AW52" i="35"/>
  <c r="AR66" i="35"/>
  <c r="AW66" i="35"/>
  <c r="BE66" i="35" s="1"/>
  <c r="AS25" i="36"/>
  <c r="AW25" i="36" s="1"/>
  <c r="AR6" i="6"/>
  <c r="AR7" i="6" s="1"/>
  <c r="AR8" i="35"/>
  <c r="F147" i="3"/>
  <c r="F1299" i="3"/>
  <c r="F1287" i="3"/>
  <c r="F1283" i="3"/>
  <c r="F1241" i="3"/>
  <c r="F1244" i="3"/>
  <c r="F1288" i="3"/>
  <c r="F1276" i="3"/>
  <c r="F1275" i="3"/>
  <c r="F1335" i="3"/>
  <c r="F648" i="3"/>
  <c r="F645" i="3"/>
  <c r="F1278" i="3"/>
  <c r="F1274" i="3"/>
  <c r="F1280" i="3"/>
  <c r="F1284" i="3"/>
  <c r="F1292" i="3"/>
  <c r="F1273" i="3"/>
  <c r="F1277" i="3"/>
  <c r="F1281" i="3"/>
  <c r="F1286" i="3"/>
  <c r="F1294" i="3"/>
  <c r="F1295" i="3" s="1"/>
  <c r="F644" i="3"/>
  <c r="F643" i="3"/>
  <c r="F647" i="3"/>
  <c r="F384" i="3"/>
  <c r="F387" i="3"/>
  <c r="F385" i="3"/>
  <c r="F533" i="3"/>
  <c r="F749" i="3"/>
  <c r="F1328" i="3"/>
  <c r="F236" i="3"/>
  <c r="F86" i="3"/>
  <c r="F92" i="3" s="1"/>
  <c r="BE7" i="15" l="1"/>
  <c r="BC7" i="15"/>
  <c r="BE25" i="36"/>
  <c r="AV66" i="35"/>
  <c r="BD66" i="35" s="1"/>
  <c r="AV65" i="35"/>
  <c r="BD65" i="35" s="1"/>
  <c r="AW65" i="35"/>
  <c r="BE65" i="35" s="1"/>
  <c r="AV64" i="35"/>
  <c r="BD64" i="35" s="1"/>
  <c r="BD52" i="35"/>
  <c r="AW64" i="35"/>
  <c r="BE64" i="35" s="1"/>
  <c r="BE52" i="35"/>
  <c r="AW7" i="15"/>
  <c r="BE29" i="36"/>
  <c r="AW6" i="15"/>
  <c r="BE28" i="36"/>
  <c r="AW5" i="15"/>
  <c r="BE27" i="36"/>
  <c r="AV6" i="15"/>
  <c r="BD28" i="36"/>
  <c r="AV7" i="15"/>
  <c r="BD29" i="36"/>
  <c r="AV5" i="15"/>
  <c r="BD27" i="36"/>
  <c r="AV44" i="35"/>
  <c r="BD37" i="35"/>
  <c r="BD44" i="35" s="1"/>
  <c r="AW7" i="6"/>
  <c r="AV7" i="6"/>
  <c r="F1289" i="3"/>
  <c r="F256" i="3" s="1"/>
  <c r="F642" i="3"/>
  <c r="F383" i="3"/>
  <c r="H1313" i="3"/>
  <c r="J1313" i="3" s="1"/>
  <c r="P1313" i="3"/>
  <c r="W1313" i="3"/>
  <c r="AD1313" i="3"/>
  <c r="AE1313" i="3" l="1"/>
  <c r="Q1313" i="3"/>
  <c r="S1313" i="3" s="1"/>
  <c r="U1313" i="3" s="1"/>
  <c r="X1313" i="3" s="1"/>
  <c r="Z1313" i="3" s="1"/>
  <c r="AB1313" i="3" s="1"/>
  <c r="AF1313" i="3" s="1"/>
  <c r="L1313" i="3"/>
  <c r="N1313" i="3" s="1"/>
  <c r="G120" i="6" l="1"/>
  <c r="G113" i="6"/>
  <c r="AD675" i="3"/>
  <c r="W675" i="3"/>
  <c r="P675" i="3"/>
  <c r="H675" i="3"/>
  <c r="J675" i="3" s="1"/>
  <c r="L675" i="3" s="1"/>
  <c r="N675" i="3" s="1"/>
  <c r="Q675" i="3" s="1"/>
  <c r="S675" i="3" s="1"/>
  <c r="U675" i="3" s="1"/>
  <c r="X675" i="3" s="1"/>
  <c r="Z675" i="3" s="1"/>
  <c r="AB675" i="3" s="1"/>
  <c r="AF675" i="3" s="1"/>
  <c r="AD676" i="3"/>
  <c r="W676" i="3"/>
  <c r="P676" i="3"/>
  <c r="H676" i="3"/>
  <c r="J676" i="3" s="1"/>
  <c r="L676" i="3" s="1"/>
  <c r="N676" i="3" s="1"/>
  <c r="Q676" i="3" s="1"/>
  <c r="S676" i="3" s="1"/>
  <c r="U676" i="3" s="1"/>
  <c r="X676" i="3" s="1"/>
  <c r="Z676" i="3" s="1"/>
  <c r="AB676" i="3" s="1"/>
  <c r="AF676" i="3" s="1"/>
  <c r="AE676" i="3" l="1"/>
  <c r="AE675" i="3"/>
  <c r="I113" i="6"/>
  <c r="I120" i="6"/>
  <c r="T1481" i="3"/>
  <c r="AC1532" i="3"/>
  <c r="AA1532" i="3"/>
  <c r="Y1532" i="3"/>
  <c r="V1532" i="3"/>
  <c r="T1532" i="3"/>
  <c r="R1532" i="3"/>
  <c r="O1532" i="3"/>
  <c r="M1532" i="3"/>
  <c r="K1532" i="3"/>
  <c r="L97" i="6" l="1"/>
  <c r="L98" i="6"/>
  <c r="P98" i="6" l="1"/>
  <c r="T98" i="6" s="1"/>
  <c r="P97" i="6"/>
  <c r="T97" i="6" s="1"/>
  <c r="M98" i="6"/>
  <c r="M97" i="6"/>
  <c r="Z97" i="6" l="1"/>
  <c r="AD97" i="6" s="1"/>
  <c r="AH97" i="6" s="1"/>
  <c r="AN97" i="6" s="1"/>
  <c r="AR97" i="6" s="1"/>
  <c r="AV97" i="6" s="1"/>
  <c r="BD97" i="6" s="1"/>
  <c r="Z98" i="6"/>
  <c r="AD98" i="6" s="1"/>
  <c r="AH98" i="6" s="1"/>
  <c r="AN98" i="6" s="1"/>
  <c r="AR98" i="6" s="1"/>
  <c r="AV98" i="6" s="1"/>
  <c r="BD98" i="6" s="1"/>
  <c r="Q97" i="6"/>
  <c r="U97" i="6" s="1"/>
  <c r="Q98" i="6"/>
  <c r="U98" i="6" s="1"/>
  <c r="AA98" i="6" l="1"/>
  <c r="AE98" i="6" s="1"/>
  <c r="AI98" i="6" s="1"/>
  <c r="AO98" i="6" s="1"/>
  <c r="AS98" i="6" s="1"/>
  <c r="AW98" i="6" s="1"/>
  <c r="BE98" i="6" s="1"/>
  <c r="AA97" i="6"/>
  <c r="AE97" i="6" s="1"/>
  <c r="AI97" i="6" s="1"/>
  <c r="AO97" i="6" s="1"/>
  <c r="AS97" i="6" s="1"/>
  <c r="AW97" i="6" s="1"/>
  <c r="BE97" i="6" s="1"/>
  <c r="AC1417" i="3"/>
  <c r="AC888" i="3" l="1"/>
  <c r="AD857" i="3"/>
  <c r="AE857" i="3" s="1"/>
  <c r="AF857" i="3"/>
  <c r="AD853" i="3"/>
  <c r="AE853" i="3" s="1"/>
  <c r="AF853" i="3"/>
  <c r="AD852" i="3"/>
  <c r="AE852" i="3" s="1"/>
  <c r="AF852" i="3"/>
  <c r="AD188" i="3"/>
  <c r="AE188" i="3" s="1"/>
  <c r="AF188" i="3"/>
  <c r="AD213" i="3"/>
  <c r="AE213" i="3" s="1"/>
  <c r="AF213" i="3"/>
  <c r="AC114" i="3" l="1"/>
  <c r="AC113" i="3"/>
  <c r="Z33" i="34" l="1"/>
  <c r="AA33" i="34" s="1"/>
  <c r="AB33" i="34"/>
  <c r="AN61" i="32" l="1"/>
  <c r="U61" i="32"/>
  <c r="AC1038" i="3" l="1"/>
  <c r="AD1254" i="3" l="1"/>
  <c r="AC1058" i="3" l="1"/>
  <c r="AC1046" i="3" l="1"/>
  <c r="AC1035" i="3"/>
  <c r="AC1033" i="3"/>
  <c r="AC1026" i="3"/>
  <c r="AC1024" i="3"/>
  <c r="AC920" i="3"/>
  <c r="AC944" i="3"/>
  <c r="AC945" i="3"/>
  <c r="AC943" i="3"/>
  <c r="AC951" i="3"/>
  <c r="AC949" i="3"/>
  <c r="AC824" i="3"/>
  <c r="AC825" i="3"/>
  <c r="AC806" i="3"/>
  <c r="AC808" i="3"/>
  <c r="AC811" i="3"/>
  <c r="AC820" i="3"/>
  <c r="AC817" i="3"/>
  <c r="AC814" i="3"/>
  <c r="AC734" i="3" l="1"/>
  <c r="AC664" i="3"/>
  <c r="AC1506" i="3"/>
  <c r="AC1516" i="3"/>
  <c r="AC1512" i="3"/>
  <c r="AC1497" i="3"/>
  <c r="AC1419" i="3"/>
  <c r="AC1412" i="3"/>
  <c r="AC1411" i="3"/>
  <c r="AC1405" i="3"/>
  <c r="AC1403" i="3"/>
  <c r="AC1402" i="3"/>
  <c r="AC1401" i="3"/>
  <c r="AC1383" i="3" l="1"/>
  <c r="AC1382" i="3" l="1"/>
  <c r="AC1297" i="3"/>
  <c r="AC1296" i="3"/>
  <c r="AC1265" i="3"/>
  <c r="AC1242" i="3"/>
  <c r="AD816" i="3"/>
  <c r="AE816" i="3" s="1"/>
  <c r="AF816" i="3"/>
  <c r="AC1134" i="3" l="1"/>
  <c r="AC1133" i="3"/>
  <c r="AC1018" i="3"/>
  <c r="AC1017" i="3"/>
  <c r="AC915" i="3"/>
  <c r="AC914" i="3"/>
  <c r="AD950" i="3"/>
  <c r="AE950" i="3" s="1"/>
  <c r="AF950" i="3"/>
  <c r="AD755" i="3"/>
  <c r="AE755" i="3" s="1"/>
  <c r="AF755" i="3"/>
  <c r="AD756" i="3"/>
  <c r="AE756" i="3" s="1"/>
  <c r="AF756" i="3"/>
  <c r="AC665" i="3" l="1"/>
  <c r="AC549" i="3"/>
  <c r="AC456" i="3"/>
  <c r="AO6" i="32" l="1"/>
  <c r="AK6" i="32"/>
  <c r="AF6" i="32"/>
  <c r="AB6" i="32"/>
  <c r="V6" i="32"/>
  <c r="M6" i="32"/>
  <c r="I6" i="32"/>
  <c r="Z38" i="34"/>
  <c r="Z37" i="34"/>
  <c r="Z36" i="34"/>
  <c r="Z34" i="34"/>
  <c r="Z32" i="34"/>
  <c r="Z25" i="34"/>
  <c r="Z26" i="34"/>
  <c r="Z27" i="34"/>
  <c r="Z24" i="34"/>
  <c r="Z7" i="34"/>
  <c r="Y39" i="34"/>
  <c r="Y29" i="34"/>
  <c r="Y21" i="34"/>
  <c r="E245" i="28"/>
  <c r="I240" i="28"/>
  <c r="M240" i="28" s="1"/>
  <c r="H240" i="28"/>
  <c r="AQ6" i="32" l="1"/>
  <c r="X6" i="32"/>
  <c r="AR6" i="32"/>
  <c r="N6" i="32"/>
  <c r="M245" i="28"/>
  <c r="Q240" i="28"/>
  <c r="L240" i="28"/>
  <c r="I245" i="28"/>
  <c r="V61" i="32"/>
  <c r="I61" i="32"/>
  <c r="AK61" i="32"/>
  <c r="AP6" i="32"/>
  <c r="AF61" i="32"/>
  <c r="Y41" i="34"/>
  <c r="Z21" i="34"/>
  <c r="W6" i="32"/>
  <c r="R61" i="32"/>
  <c r="AB61" i="32"/>
  <c r="AG6" i="32"/>
  <c r="M61" i="32"/>
  <c r="AO61" i="32"/>
  <c r="Z39" i="34"/>
  <c r="Z29" i="34"/>
  <c r="AR61" i="32" l="1"/>
  <c r="Q245" i="28"/>
  <c r="U240" i="28"/>
  <c r="P240" i="28"/>
  <c r="T240" i="28" s="1"/>
  <c r="W61" i="32"/>
  <c r="AP61" i="32"/>
  <c r="N61" i="32"/>
  <c r="AG61" i="32"/>
  <c r="Z41" i="34"/>
  <c r="Z240" i="28" l="1"/>
  <c r="AD240" i="28" s="1"/>
  <c r="AH240" i="28" s="1"/>
  <c r="X240" i="28"/>
  <c r="U245" i="28"/>
  <c r="Y240" i="28"/>
  <c r="Y245" i="28" s="1"/>
  <c r="AA240" i="28"/>
  <c r="AD1312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023" i="3"/>
  <c r="AD1025" i="3"/>
  <c r="AD1027" i="3"/>
  <c r="AD1028" i="3"/>
  <c r="AD1029" i="3"/>
  <c r="AD1030" i="3"/>
  <c r="AD1032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7" i="3"/>
  <c r="AD1048" i="3"/>
  <c r="AD1050" i="3"/>
  <c r="AD1051" i="3"/>
  <c r="AD1052" i="3"/>
  <c r="AD1053" i="3"/>
  <c r="AD1054" i="3"/>
  <c r="AD1056" i="3"/>
  <c r="AD1058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927" i="3"/>
  <c r="AD928" i="3"/>
  <c r="AD929" i="3"/>
  <c r="AD930" i="3"/>
  <c r="AD931" i="3"/>
  <c r="AD933" i="3"/>
  <c r="AD934" i="3"/>
  <c r="AD935" i="3"/>
  <c r="AD936" i="3"/>
  <c r="AD938" i="3"/>
  <c r="AD939" i="3"/>
  <c r="AD940" i="3"/>
  <c r="AD941" i="3"/>
  <c r="AD942" i="3"/>
  <c r="AD943" i="3"/>
  <c r="AD945" i="3"/>
  <c r="AD946" i="3"/>
  <c r="AD947" i="3"/>
  <c r="AD948" i="3"/>
  <c r="AD952" i="3"/>
  <c r="AD953" i="3"/>
  <c r="AD955" i="3"/>
  <c r="AD957" i="3"/>
  <c r="AD958" i="3"/>
  <c r="AD959" i="3"/>
  <c r="AD960" i="3"/>
  <c r="AD961" i="3"/>
  <c r="AD962" i="3"/>
  <c r="AD963" i="3"/>
  <c r="AD854" i="3"/>
  <c r="AD855" i="3"/>
  <c r="AD856" i="3"/>
  <c r="AD858" i="3"/>
  <c r="AD859" i="3"/>
  <c r="AD860" i="3"/>
  <c r="AD861" i="3"/>
  <c r="AD863" i="3"/>
  <c r="AD864" i="3"/>
  <c r="AD865" i="3"/>
  <c r="AD866" i="3"/>
  <c r="AD867" i="3"/>
  <c r="AE867" i="3" s="1"/>
  <c r="AD868" i="3"/>
  <c r="AE868" i="3" s="1"/>
  <c r="AD869" i="3"/>
  <c r="AE869" i="3" s="1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6" i="3"/>
  <c r="AE886" i="3" s="1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758" i="3"/>
  <c r="AD759" i="3"/>
  <c r="AD761" i="3"/>
  <c r="AD762" i="3"/>
  <c r="AD763" i="3"/>
  <c r="AD764" i="3"/>
  <c r="AD765" i="3"/>
  <c r="AD766" i="3"/>
  <c r="AD767" i="3"/>
  <c r="AD768" i="3"/>
  <c r="AD769" i="3"/>
  <c r="AD770" i="3"/>
  <c r="AD771" i="3"/>
  <c r="AD773" i="3"/>
  <c r="AD774" i="3"/>
  <c r="AD775" i="3"/>
  <c r="AD776" i="3"/>
  <c r="AD777" i="3"/>
  <c r="AD778" i="3"/>
  <c r="AD779" i="3"/>
  <c r="AD781" i="3"/>
  <c r="AD782" i="3"/>
  <c r="AD784" i="3"/>
  <c r="AD786" i="3"/>
  <c r="AE786" i="3" s="1"/>
  <c r="AD787" i="3"/>
  <c r="AE787" i="3" s="1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8" i="3"/>
  <c r="AD810" i="3"/>
  <c r="AD812" i="3"/>
  <c r="AD813" i="3"/>
  <c r="AD815" i="3"/>
  <c r="AE815" i="3" s="1"/>
  <c r="AD818" i="3"/>
  <c r="AD819" i="3"/>
  <c r="AD821" i="3"/>
  <c r="AD822" i="3"/>
  <c r="AD823" i="3"/>
  <c r="AD824" i="3"/>
  <c r="AD826" i="3"/>
  <c r="AD827" i="3"/>
  <c r="AD828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328" i="3"/>
  <c r="AD172" i="3"/>
  <c r="AE172" i="3" s="1"/>
  <c r="AD173" i="3"/>
  <c r="AE173" i="3" s="1"/>
  <c r="AD174" i="3"/>
  <c r="AD175" i="3"/>
  <c r="AD176" i="3"/>
  <c r="AD177" i="3"/>
  <c r="AD178" i="3"/>
  <c r="AE178" i="3" s="1"/>
  <c r="AD179" i="3"/>
  <c r="AE179" i="3" s="1"/>
  <c r="AD180" i="3"/>
  <c r="AD181" i="3"/>
  <c r="AE181" i="3" s="1"/>
  <c r="AD182" i="3"/>
  <c r="AE182" i="3" s="1"/>
  <c r="AD183" i="3"/>
  <c r="AD184" i="3"/>
  <c r="AD185" i="3"/>
  <c r="AD186" i="3"/>
  <c r="AD187" i="3"/>
  <c r="AD189" i="3"/>
  <c r="AD190" i="3"/>
  <c r="AD191" i="3"/>
  <c r="AE191" i="3" s="1"/>
  <c r="AF191" i="3"/>
  <c r="AD192" i="3"/>
  <c r="AD193" i="3"/>
  <c r="AD194" i="3"/>
  <c r="AD195" i="3"/>
  <c r="AD196" i="3"/>
  <c r="AD197" i="3"/>
  <c r="AD198" i="3"/>
  <c r="AD199" i="3"/>
  <c r="AD200" i="3"/>
  <c r="AD201" i="3"/>
  <c r="AE201" i="3" s="1"/>
  <c r="AD202" i="3"/>
  <c r="AD203" i="3"/>
  <c r="AD204" i="3"/>
  <c r="AE204" i="3" s="1"/>
  <c r="AD205" i="3"/>
  <c r="AD206" i="3"/>
  <c r="AD207" i="3"/>
  <c r="AE207" i="3" s="1"/>
  <c r="AD208" i="3"/>
  <c r="AE208" i="3" s="1"/>
  <c r="AD209" i="3"/>
  <c r="AE209" i="3" s="1"/>
  <c r="AD210" i="3"/>
  <c r="AE210" i="3" s="1"/>
  <c r="AD211" i="3"/>
  <c r="AD212" i="3"/>
  <c r="AD214" i="3"/>
  <c r="AD215" i="3"/>
  <c r="AE215" i="3" s="1"/>
  <c r="AD216" i="3"/>
  <c r="AE216" i="3" s="1"/>
  <c r="AD217" i="3"/>
  <c r="AD218" i="3"/>
  <c r="AD220" i="3"/>
  <c r="AD221" i="3"/>
  <c r="AD222" i="3"/>
  <c r="AC1499" i="3"/>
  <c r="AC1496" i="3"/>
  <c r="AC1486" i="3"/>
  <c r="AC1482" i="3"/>
  <c r="AC1471" i="3"/>
  <c r="AC1473" i="3" s="1"/>
  <c r="AC1463" i="3"/>
  <c r="AC1465" i="3" s="1"/>
  <c r="AC1457" i="3"/>
  <c r="AC1456" i="3"/>
  <c r="AC1455" i="3"/>
  <c r="AC1454" i="3"/>
  <c r="AC1451" i="3"/>
  <c r="AC238" i="3" s="1"/>
  <c r="AC1434" i="3"/>
  <c r="AC1428" i="3"/>
  <c r="AC1418" i="3"/>
  <c r="AC1421" i="3" s="1"/>
  <c r="AC1413" i="3"/>
  <c r="AC1410" i="3"/>
  <c r="AC1404" i="3"/>
  <c r="AC1408" i="3" s="1"/>
  <c r="AC1370" i="3"/>
  <c r="AC1369" i="3"/>
  <c r="AC1362" i="3"/>
  <c r="AC1366" i="3" s="1"/>
  <c r="AC1360" i="3"/>
  <c r="AC1365" i="3" s="1"/>
  <c r="AC1357" i="3"/>
  <c r="AC1358" i="3" s="1"/>
  <c r="AC1356" i="3"/>
  <c r="AC1354" i="3"/>
  <c r="AC1324" i="3"/>
  <c r="AC1458" i="3" s="1"/>
  <c r="AC1319" i="3"/>
  <c r="AC1318" i="3"/>
  <c r="AC1317" i="3"/>
  <c r="AC1307" i="3"/>
  <c r="AC1380" i="3" s="1"/>
  <c r="AC1298" i="3"/>
  <c r="AC1291" i="3"/>
  <c r="AC1257" i="3"/>
  <c r="AC1256" i="3"/>
  <c r="AC1255" i="3"/>
  <c r="AC1250" i="3"/>
  <c r="AC1247" i="3"/>
  <c r="AC1239" i="3"/>
  <c r="AC1240" i="3" s="1"/>
  <c r="AC1233" i="3"/>
  <c r="AC1222" i="3"/>
  <c r="AC1215" i="3"/>
  <c r="AC1200" i="3"/>
  <c r="AC1201" i="3" s="1"/>
  <c r="AC1203" i="3" s="1"/>
  <c r="AC1199" i="3"/>
  <c r="AC1194" i="3"/>
  <c r="AC1175" i="3"/>
  <c r="AC1176" i="3" s="1"/>
  <c r="AC1169" i="3"/>
  <c r="AC1140" i="3"/>
  <c r="AC1146" i="3" s="1"/>
  <c r="AC1127" i="3"/>
  <c r="AC1128" i="3" s="1"/>
  <c r="AC1124" i="3"/>
  <c r="AC1121" i="3"/>
  <c r="AC1122" i="3" s="1"/>
  <c r="AC1118" i="3"/>
  <c r="AC288" i="3"/>
  <c r="AC1074" i="3"/>
  <c r="AC1016" i="3"/>
  <c r="AC1013" i="3"/>
  <c r="AC1014" i="3" s="1"/>
  <c r="AC1010" i="3"/>
  <c r="AC1007" i="3"/>
  <c r="AC1008" i="3" s="1"/>
  <c r="AC1004" i="3"/>
  <c r="AC964" i="3"/>
  <c r="AC911" i="3"/>
  <c r="AC912" i="3" s="1"/>
  <c r="AC908" i="3"/>
  <c r="AC905" i="3"/>
  <c r="AC906" i="3" s="1"/>
  <c r="AC901" i="3"/>
  <c r="AC849" i="3"/>
  <c r="AC844" i="3"/>
  <c r="AC732" i="3"/>
  <c r="AC724" i="3"/>
  <c r="AC720" i="3"/>
  <c r="AC722" i="3" s="1"/>
  <c r="AC717" i="3"/>
  <c r="AC746" i="3" s="1"/>
  <c r="AC702" i="3"/>
  <c r="AC704" i="3" s="1"/>
  <c r="AC685" i="3"/>
  <c r="AC681" i="3"/>
  <c r="AC678" i="3"/>
  <c r="AC666" i="3"/>
  <c r="AC639" i="3"/>
  <c r="AC638" i="3"/>
  <c r="AC637" i="3"/>
  <c r="AC636" i="3"/>
  <c r="AC634" i="3"/>
  <c r="AC633" i="3"/>
  <c r="AC632" i="3"/>
  <c r="AC631" i="3"/>
  <c r="AC630" i="3"/>
  <c r="AC624" i="3"/>
  <c r="AC625" i="3" s="1"/>
  <c r="AC619" i="3"/>
  <c r="AC618" i="3"/>
  <c r="AC584" i="3"/>
  <c r="AC581" i="3"/>
  <c r="AC578" i="3"/>
  <c r="AC575" i="3"/>
  <c r="AC572" i="3"/>
  <c r="AC569" i="3"/>
  <c r="AC566" i="3"/>
  <c r="AC563" i="3"/>
  <c r="AC560" i="3"/>
  <c r="AC554" i="3"/>
  <c r="AC556" i="3" s="1"/>
  <c r="AC550" i="3"/>
  <c r="AC228" i="3" s="1"/>
  <c r="AC231" i="3" s="1"/>
  <c r="AC548" i="3"/>
  <c r="AC546" i="3"/>
  <c r="AC544" i="3"/>
  <c r="AC542" i="3"/>
  <c r="AC540" i="3"/>
  <c r="AC537" i="3"/>
  <c r="AC538" i="3" s="1"/>
  <c r="AC227" i="3" s="1"/>
  <c r="AC230" i="3" s="1"/>
  <c r="AC519" i="3"/>
  <c r="AC518" i="3"/>
  <c r="AC531" i="3" s="1"/>
  <c r="AC511" i="3"/>
  <c r="AC509" i="3"/>
  <c r="AC508" i="3"/>
  <c r="AC490" i="3"/>
  <c r="AC492" i="3" s="1"/>
  <c r="AC486" i="3"/>
  <c r="AC487" i="3" s="1"/>
  <c r="AC480" i="3"/>
  <c r="AC476" i="3"/>
  <c r="AC472" i="3"/>
  <c r="AC457" i="3"/>
  <c r="AC458" i="3" s="1"/>
  <c r="AC454" i="3"/>
  <c r="AC375" i="3"/>
  <c r="AC368" i="3"/>
  <c r="AC367" i="3"/>
  <c r="AC366" i="3"/>
  <c r="AC365" i="3"/>
  <c r="AC359" i="3"/>
  <c r="AC355" i="3"/>
  <c r="AC343" i="3"/>
  <c r="AC331" i="3"/>
  <c r="AC311" i="3"/>
  <c r="AC303" i="3"/>
  <c r="AC300" i="3"/>
  <c r="AC287" i="3"/>
  <c r="AC286" i="3"/>
  <c r="AC281" i="3"/>
  <c r="AC279" i="3"/>
  <c r="AC278" i="3"/>
  <c r="AC277" i="3"/>
  <c r="AC272" i="3"/>
  <c r="AC271" i="3"/>
  <c r="AC273" i="3" s="1"/>
  <c r="AC270" i="3"/>
  <c r="AC269" i="3"/>
  <c r="AC266" i="3"/>
  <c r="AC267" i="3" s="1"/>
  <c r="AC263" i="3"/>
  <c r="AC262" i="3"/>
  <c r="AC250" i="3"/>
  <c r="AC246" i="3"/>
  <c r="AC239" i="3"/>
  <c r="AC237" i="3"/>
  <c r="AC162" i="3"/>
  <c r="AC161" i="3" s="1"/>
  <c r="AC154" i="3"/>
  <c r="AC1460" i="3" s="1"/>
  <c r="AC1461" i="3" s="1"/>
  <c r="AC151" i="3"/>
  <c r="AC1373" i="3" s="1"/>
  <c r="AC148" i="3"/>
  <c r="AC145" i="3"/>
  <c r="AC520" i="3" s="1"/>
  <c r="AC140" i="3"/>
  <c r="AC136" i="3"/>
  <c r="AC132" i="3"/>
  <c r="AC118" i="3"/>
  <c r="AC115" i="3"/>
  <c r="AC111" i="3"/>
  <c r="AC107" i="3"/>
  <c r="AC103" i="3"/>
  <c r="AC117" i="3"/>
  <c r="AC91" i="3"/>
  <c r="AC90" i="3"/>
  <c r="AC89" i="3"/>
  <c r="AC87" i="3"/>
  <c r="AC126" i="3"/>
  <c r="AC127" i="3" s="1"/>
  <c r="AC78" i="3"/>
  <c r="AC96" i="3" s="1"/>
  <c r="AC72" i="3"/>
  <c r="AC95" i="3" s="1"/>
  <c r="AC66" i="3"/>
  <c r="AC94" i="3" s="1"/>
  <c r="AC56" i="3"/>
  <c r="AC45" i="3"/>
  <c r="AC40" i="3"/>
  <c r="AC34" i="3"/>
  <c r="AC32" i="3"/>
  <c r="AC33" i="3" s="1"/>
  <c r="AC29" i="3"/>
  <c r="AC30" i="3" s="1"/>
  <c r="AC26" i="3"/>
  <c r="AC23" i="3"/>
  <c r="AC24" i="3" s="1"/>
  <c r="AC20" i="3"/>
  <c r="AC19" i="3"/>
  <c r="AC18" i="3"/>
  <c r="AC17" i="3"/>
  <c r="AC12" i="3"/>
  <c r="AC13" i="3" s="1"/>
  <c r="AC11" i="3"/>
  <c r="AC9" i="3"/>
  <c r="AN240" i="28" l="1"/>
  <c r="AR240" i="28" s="1"/>
  <c r="AV240" i="28" s="1"/>
  <c r="AL240" i="28"/>
  <c r="AE240" i="28"/>
  <c r="AA245" i="28"/>
  <c r="AC1483" i="3"/>
  <c r="AC1474" i="3" s="1"/>
  <c r="AC21" i="3"/>
  <c r="AC1415" i="3"/>
  <c r="AC37" i="3"/>
  <c r="AC747" i="3"/>
  <c r="AC738" i="3"/>
  <c r="AC731" i="3"/>
  <c r="AC741" i="3"/>
  <c r="AC477" i="3"/>
  <c r="AC482" i="3" s="1"/>
  <c r="AC385" i="3" s="1"/>
  <c r="AC620" i="3"/>
  <c r="AC512" i="3"/>
  <c r="AC289" i="3"/>
  <c r="AC727" i="3"/>
  <c r="AC742" i="3"/>
  <c r="AC1364" i="3"/>
  <c r="AC146" i="3"/>
  <c r="AC1371" i="3" s="1"/>
  <c r="AC1372" i="3" s="1"/>
  <c r="AC1119" i="3"/>
  <c r="AC374" i="3" s="1"/>
  <c r="AC1181" i="3"/>
  <c r="AC1180" i="3"/>
  <c r="AC35" i="3"/>
  <c r="AC36" i="3" s="1"/>
  <c r="AC737" i="3"/>
  <c r="AC743" i="3"/>
  <c r="AC902" i="3"/>
  <c r="AC372" i="3" s="1"/>
  <c r="AC1005" i="3"/>
  <c r="AC373" i="3" s="1"/>
  <c r="AC667" i="3"/>
  <c r="AC1500" i="3"/>
  <c r="AC1363" i="3"/>
  <c r="AC1462" i="3"/>
  <c r="AC1243" i="3"/>
  <c r="AC1284" i="3" s="1"/>
  <c r="AC1258" i="3"/>
  <c r="AC1226" i="3"/>
  <c r="AC728" i="3"/>
  <c r="AC733" i="3"/>
  <c r="AC739" i="3"/>
  <c r="AC745" i="3"/>
  <c r="AC682" i="3"/>
  <c r="AC687" i="3" s="1"/>
  <c r="AC643" i="3" s="1"/>
  <c r="AC495" i="3"/>
  <c r="AC497" i="3" s="1"/>
  <c r="AC360" i="3"/>
  <c r="AC370" i="3"/>
  <c r="AC1320" i="3"/>
  <c r="AC1376" i="3"/>
  <c r="AC1331" i="3"/>
  <c r="AC1333" i="3"/>
  <c r="AC1386" i="3"/>
  <c r="AC1326" i="3"/>
  <c r="AC640" i="3"/>
  <c r="AC235" i="3" s="1"/>
  <c r="AC234" i="3" s="1"/>
  <c r="AC264" i="3"/>
  <c r="AC662" i="3"/>
  <c r="AC532" i="3"/>
  <c r="AC533" i="3" s="1"/>
  <c r="AC526" i="3"/>
  <c r="AC387" i="3"/>
  <c r="AC280" i="3"/>
  <c r="AC916" i="3"/>
  <c r="AC845" i="3"/>
  <c r="AC253" i="3" s="1"/>
  <c r="AC291" i="3"/>
  <c r="AC1126" i="3"/>
  <c r="AC293" i="3"/>
  <c r="AC1075" i="3"/>
  <c r="AC1076" i="3"/>
  <c r="AC255" i="3" s="1"/>
  <c r="AC119" i="3"/>
  <c r="AC120" i="3" s="1"/>
  <c r="AC726" i="3"/>
  <c r="AC713" i="3"/>
  <c r="AC965" i="3"/>
  <c r="AC254" i="3" s="1"/>
  <c r="AC292" i="3"/>
  <c r="AC1012" i="3"/>
  <c r="AC725" i="3"/>
  <c r="AC740" i="3"/>
  <c r="AC744" i="3"/>
  <c r="AC748" i="3"/>
  <c r="AC1141" i="3"/>
  <c r="AC1325" i="3"/>
  <c r="AC1330" i="3"/>
  <c r="AC1334" i="3"/>
  <c r="AC525" i="3"/>
  <c r="AC27" i="3"/>
  <c r="AC88" i="3"/>
  <c r="AC85" i="3"/>
  <c r="AC97" i="3" s="1"/>
  <c r="AC98" i="3" s="1"/>
  <c r="AC500" i="3"/>
  <c r="AC502" i="3" s="1"/>
  <c r="AC1145" i="3"/>
  <c r="AC521" i="3"/>
  <c r="AC1327" i="3"/>
  <c r="AC1332" i="3"/>
  <c r="BD240" i="28" l="1"/>
  <c r="AZ240" i="28"/>
  <c r="BB240" i="28" s="1"/>
  <c r="AE245" i="28"/>
  <c r="AI240" i="28"/>
  <c r="AC527" i="3"/>
  <c r="AC376" i="3"/>
  <c r="AC386" i="3"/>
  <c r="AC384" i="3"/>
  <c r="AC383" i="3" s="1"/>
  <c r="AC1288" i="3"/>
  <c r="AC85" i="9" s="1"/>
  <c r="AC86" i="9" s="1"/>
  <c r="AC1273" i="3"/>
  <c r="AC1241" i="3"/>
  <c r="AC282" i="3"/>
  <c r="AC1277" i="3"/>
  <c r="AC86" i="3"/>
  <c r="AC92" i="3" s="1"/>
  <c r="AC1287" i="3"/>
  <c r="AC147" i="3"/>
  <c r="AC1294" i="3"/>
  <c r="AC1295" i="3" s="1"/>
  <c r="AC1275" i="3"/>
  <c r="AC274" i="3"/>
  <c r="AC275" i="3" s="1"/>
  <c r="AC1299" i="3"/>
  <c r="AC1281" i="3"/>
  <c r="AC1279" i="3"/>
  <c r="AC1278" i="3"/>
  <c r="AC1276" i="3"/>
  <c r="AC1244" i="3"/>
  <c r="AC1286" i="3"/>
  <c r="AC1274" i="3"/>
  <c r="AC1283" i="3"/>
  <c r="AC1282" i="3"/>
  <c r="AC1280" i="3"/>
  <c r="AC749" i="3"/>
  <c r="AC648" i="3"/>
  <c r="AC644" i="3"/>
  <c r="AC646" i="3"/>
  <c r="AC645" i="3"/>
  <c r="AC647" i="3"/>
  <c r="AC1335" i="3"/>
  <c r="AC236" i="3"/>
  <c r="AC1328" i="3"/>
  <c r="AC295" i="3"/>
  <c r="AA1057" i="3"/>
  <c r="AI1056" i="3" s="1"/>
  <c r="AO240" i="28" l="1"/>
  <c r="AM240" i="28"/>
  <c r="AI245" i="28"/>
  <c r="AC1289" i="3"/>
  <c r="AC256" i="3" s="1"/>
  <c r="AA1074" i="3"/>
  <c r="AC642" i="3"/>
  <c r="AM245" i="28" l="1"/>
  <c r="BC245" i="28" s="1"/>
  <c r="BC240" i="28"/>
  <c r="AO245" i="28"/>
  <c r="AS240" i="28"/>
  <c r="AA885" i="3"/>
  <c r="AD885" i="3" s="1"/>
  <c r="AB867" i="3"/>
  <c r="AF867" i="3" s="1"/>
  <c r="AB869" i="3"/>
  <c r="AF869" i="3" s="1"/>
  <c r="AB886" i="3"/>
  <c r="AF886" i="3" s="1"/>
  <c r="AB868" i="3"/>
  <c r="AF868" i="3" s="1"/>
  <c r="AA358" i="3"/>
  <c r="AA357" i="3"/>
  <c r="AA323" i="3"/>
  <c r="AS245" i="28" l="1"/>
  <c r="AW240" i="28"/>
  <c r="AB172" i="3"/>
  <c r="AF172" i="3" s="1"/>
  <c r="AB173" i="3"/>
  <c r="AF173" i="3" s="1"/>
  <c r="AB179" i="3"/>
  <c r="AF179" i="3" s="1"/>
  <c r="AB182" i="3"/>
  <c r="AF182" i="3" s="1"/>
  <c r="AB204" i="3"/>
  <c r="AF204" i="3" s="1"/>
  <c r="AB201" i="3"/>
  <c r="AF201" i="3" s="1"/>
  <c r="AB181" i="3"/>
  <c r="AF181" i="3" s="1"/>
  <c r="AB178" i="3"/>
  <c r="AF178" i="3" s="1"/>
  <c r="W180" i="3"/>
  <c r="AE180" i="3" s="1"/>
  <c r="X180" i="3"/>
  <c r="Z180" i="3" s="1"/>
  <c r="AB180" i="3" s="1"/>
  <c r="AF180" i="3" s="1"/>
  <c r="BE240" i="28" l="1"/>
  <c r="BE245" i="28" s="1"/>
  <c r="AW245" i="28"/>
  <c r="AA114" i="3"/>
  <c r="AA113" i="3"/>
  <c r="W39" i="34" l="1"/>
  <c r="W29" i="34"/>
  <c r="W21" i="34"/>
  <c r="W41" i="34" l="1"/>
  <c r="AM61" i="32"/>
  <c r="T61" i="32"/>
  <c r="AI1246" i="3" l="1"/>
  <c r="AA920" i="3" l="1"/>
  <c r="AA932" i="3"/>
  <c r="AD932" i="3" s="1"/>
  <c r="AA937" i="3"/>
  <c r="AD937" i="3" s="1"/>
  <c r="AA944" i="3"/>
  <c r="AD944" i="3" s="1"/>
  <c r="AA951" i="3"/>
  <c r="AA956" i="3"/>
  <c r="AD956" i="3" s="1"/>
  <c r="AI806" i="3"/>
  <c r="AA783" i="3"/>
  <c r="AA788" i="3"/>
  <c r="AD788" i="3" s="1"/>
  <c r="AA785" i="3" l="1"/>
  <c r="AD785" i="3" s="1"/>
  <c r="AE785" i="3" s="1"/>
  <c r="AA825" i="3"/>
  <c r="AD825" i="3" s="1"/>
  <c r="AA806" i="3"/>
  <c r="AA807" i="3"/>
  <c r="AD807" i="3" s="1"/>
  <c r="AA817" i="3"/>
  <c r="AA814" i="3"/>
  <c r="AD814" i="3" s="1"/>
  <c r="AA757" i="3"/>
  <c r="AD757" i="3" s="1"/>
  <c r="AA760" i="3"/>
  <c r="AD760" i="3" s="1"/>
  <c r="AA829" i="3" l="1"/>
  <c r="AD829" i="3" s="1"/>
  <c r="AA1516" i="3" l="1"/>
  <c r="AA1512" i="3"/>
  <c r="AA1506" i="3"/>
  <c r="AA1502" i="3"/>
  <c r="AA1497" i="3"/>
  <c r="AA1419" i="3"/>
  <c r="AA1417" i="3"/>
  <c r="AA1412" i="3"/>
  <c r="AA1411" i="3"/>
  <c r="AA1405" i="3"/>
  <c r="AA1403" i="3"/>
  <c r="AA1402" i="3"/>
  <c r="AA1401" i="3"/>
  <c r="AA1383" i="3" l="1"/>
  <c r="AA1382" i="3"/>
  <c r="AA1297" i="3"/>
  <c r="AA1296" i="3"/>
  <c r="AA1134" i="3"/>
  <c r="AA1133" i="3"/>
  <c r="AA1018" i="3"/>
  <c r="AA1017" i="3"/>
  <c r="AA915" i="3"/>
  <c r="AA914" i="3"/>
  <c r="AA734" i="3" l="1"/>
  <c r="AA665" i="3"/>
  <c r="AA664" i="3"/>
  <c r="AA456" i="3"/>
  <c r="AA1265" i="3" l="1"/>
  <c r="AA1242" i="3"/>
  <c r="AB785" i="3" l="1"/>
  <c r="AF785" i="3" s="1"/>
  <c r="AB786" i="3"/>
  <c r="AF786" i="3" s="1"/>
  <c r="AB787" i="3"/>
  <c r="AF787" i="3" s="1"/>
  <c r="AB815" i="3"/>
  <c r="AF815" i="3" s="1"/>
  <c r="AA549" i="3" l="1"/>
  <c r="AA9" i="3" l="1"/>
  <c r="AL1" i="32" l="1"/>
  <c r="S1" i="32"/>
  <c r="AQ1" i="32" l="1"/>
  <c r="AB1130" i="3" l="1"/>
  <c r="AB1131" i="3"/>
  <c r="AA1499" i="3"/>
  <c r="AA1496" i="3"/>
  <c r="AA1486" i="3"/>
  <c r="AA1482" i="3"/>
  <c r="AA1471" i="3"/>
  <c r="AA1473" i="3" s="1"/>
  <c r="AA1463" i="3"/>
  <c r="AA1465" i="3" s="1"/>
  <c r="AA1457" i="3"/>
  <c r="AA1456" i="3"/>
  <c r="AA1455" i="3"/>
  <c r="AA1454" i="3"/>
  <c r="AA1451" i="3"/>
  <c r="AA238" i="3" s="1"/>
  <c r="AA1434" i="3"/>
  <c r="AA1428" i="3"/>
  <c r="AA1418" i="3"/>
  <c r="AA1413" i="3"/>
  <c r="AA1410" i="3"/>
  <c r="AA1404" i="3"/>
  <c r="AA1408" i="3" s="1"/>
  <c r="AA1370" i="3"/>
  <c r="AA1369" i="3"/>
  <c r="AA1362" i="3"/>
  <c r="AA1366" i="3" s="1"/>
  <c r="AA1360" i="3"/>
  <c r="AA1365" i="3" s="1"/>
  <c r="AA1357" i="3"/>
  <c r="AA1358" i="3" s="1"/>
  <c r="AA1356" i="3"/>
  <c r="AA1354" i="3"/>
  <c r="AA1324" i="3"/>
  <c r="AA1458" i="3" s="1"/>
  <c r="AA1319" i="3"/>
  <c r="AA1318" i="3"/>
  <c r="AA1317" i="3"/>
  <c r="AA1307" i="3"/>
  <c r="AA1380" i="3" s="1"/>
  <c r="AA1298" i="3"/>
  <c r="AA1291" i="3"/>
  <c r="AA1257" i="3"/>
  <c r="AA1256" i="3"/>
  <c r="AA1255" i="3"/>
  <c r="AA1250" i="3"/>
  <c r="AA1247" i="3"/>
  <c r="AA1239" i="3"/>
  <c r="AA1240" i="3" s="1"/>
  <c r="AA1233" i="3"/>
  <c r="AA1222" i="3"/>
  <c r="AA1215" i="3"/>
  <c r="AA1200" i="3"/>
  <c r="AA1199" i="3"/>
  <c r="AA1194" i="3"/>
  <c r="AA1175" i="3"/>
  <c r="AA1176" i="3" s="1"/>
  <c r="AA1169" i="3"/>
  <c r="AA1140" i="3"/>
  <c r="AA1127" i="3"/>
  <c r="AA1128" i="3" s="1"/>
  <c r="AA1124" i="3"/>
  <c r="AA1121" i="3"/>
  <c r="AA1122" i="3" s="1"/>
  <c r="AA1118" i="3"/>
  <c r="AA1016" i="3"/>
  <c r="AA1013" i="3"/>
  <c r="AA1014" i="3" s="1"/>
  <c r="AA1010" i="3"/>
  <c r="AA1007" i="3"/>
  <c r="AA1008" i="3" s="1"/>
  <c r="AA1004" i="3"/>
  <c r="AA911" i="3"/>
  <c r="AA908" i="3"/>
  <c r="AA905" i="3"/>
  <c r="AA906" i="3" s="1"/>
  <c r="AA901" i="3"/>
  <c r="AA849" i="3"/>
  <c r="AA732" i="3"/>
  <c r="AA724" i="3"/>
  <c r="AA720" i="3"/>
  <c r="AA722" i="3" s="1"/>
  <c r="AA717" i="3"/>
  <c r="AA748" i="3" s="1"/>
  <c r="AA702" i="3"/>
  <c r="AA704" i="3" s="1"/>
  <c r="AA685" i="3"/>
  <c r="AA681" i="3"/>
  <c r="AA678" i="3"/>
  <c r="AA666" i="3"/>
  <c r="AA639" i="3"/>
  <c r="AA638" i="3"/>
  <c r="AA637" i="3"/>
  <c r="AA636" i="3"/>
  <c r="AA634" i="3"/>
  <c r="AA633" i="3"/>
  <c r="AA632" i="3"/>
  <c r="AA631" i="3"/>
  <c r="AA630" i="3"/>
  <c r="AA624" i="3"/>
  <c r="AA619" i="3"/>
  <c r="AA618" i="3"/>
  <c r="AA584" i="3"/>
  <c r="AA581" i="3"/>
  <c r="AA578" i="3"/>
  <c r="AA575" i="3"/>
  <c r="AA572" i="3"/>
  <c r="AA569" i="3"/>
  <c r="AA566" i="3"/>
  <c r="AA563" i="3"/>
  <c r="AA560" i="3"/>
  <c r="AA554" i="3"/>
  <c r="AA556" i="3" s="1"/>
  <c r="AA550" i="3"/>
  <c r="AA228" i="3" s="1"/>
  <c r="AA231" i="3" s="1"/>
  <c r="AA548" i="3"/>
  <c r="AA546" i="3"/>
  <c r="AA544" i="3"/>
  <c r="AA542" i="3"/>
  <c r="AA540" i="3"/>
  <c r="AA537" i="3"/>
  <c r="AA538" i="3" s="1"/>
  <c r="AA227" i="3" s="1"/>
  <c r="AA230" i="3" s="1"/>
  <c r="AA519" i="3"/>
  <c r="AA518" i="3"/>
  <c r="AA525" i="3" s="1"/>
  <c r="AA511" i="3"/>
  <c r="AA509" i="3"/>
  <c r="AA508" i="3"/>
  <c r="AA490" i="3"/>
  <c r="AA492" i="3" s="1"/>
  <c r="AA486" i="3"/>
  <c r="AA487" i="3" s="1"/>
  <c r="AA480" i="3"/>
  <c r="AA476" i="3"/>
  <c r="AA472" i="3"/>
  <c r="AA457" i="3"/>
  <c r="AA454" i="3"/>
  <c r="AA375" i="3"/>
  <c r="AA368" i="3"/>
  <c r="AA367" i="3"/>
  <c r="AA366" i="3"/>
  <c r="AA365" i="3"/>
  <c r="AA359" i="3"/>
  <c r="AA355" i="3"/>
  <c r="AA343" i="3"/>
  <c r="AA311" i="3"/>
  <c r="AA303" i="3"/>
  <c r="AA300" i="3"/>
  <c r="AA287" i="3"/>
  <c r="AA286" i="3"/>
  <c r="AA281" i="3"/>
  <c r="AA279" i="3"/>
  <c r="AA278" i="3"/>
  <c r="AA277" i="3"/>
  <c r="AA272" i="3"/>
  <c r="AA271" i="3"/>
  <c r="AA273" i="3" s="1"/>
  <c r="AA270" i="3"/>
  <c r="AA269" i="3"/>
  <c r="AA266" i="3"/>
  <c r="AA267" i="3" s="1"/>
  <c r="AA263" i="3"/>
  <c r="AA262" i="3"/>
  <c r="AA250" i="3"/>
  <c r="AA246" i="3"/>
  <c r="AA239" i="3"/>
  <c r="AA237" i="3"/>
  <c r="AA162" i="3"/>
  <c r="AA161" i="3" s="1"/>
  <c r="AA154" i="3"/>
  <c r="AA1460" i="3" s="1"/>
  <c r="AA1461" i="3" s="1"/>
  <c r="AA151" i="3"/>
  <c r="AA1373" i="3" s="1"/>
  <c r="AA148" i="3"/>
  <c r="AA145" i="3"/>
  <c r="AA520" i="3" s="1"/>
  <c r="AA532" i="3" s="1"/>
  <c r="AA140" i="3"/>
  <c r="AA136" i="3"/>
  <c r="AA132" i="3"/>
  <c r="AA126" i="3"/>
  <c r="AA127" i="3" s="1"/>
  <c r="AA115" i="3"/>
  <c r="AA111" i="3"/>
  <c r="AA107" i="3"/>
  <c r="AA103" i="3"/>
  <c r="AA91" i="3"/>
  <c r="AA90" i="3"/>
  <c r="AA89" i="3"/>
  <c r="AA87" i="3"/>
  <c r="AA85" i="3"/>
  <c r="AA97" i="3" s="1"/>
  <c r="AA88" i="3"/>
  <c r="AA78" i="3"/>
  <c r="AA96" i="3" s="1"/>
  <c r="AA72" i="3"/>
  <c r="AA95" i="3" s="1"/>
  <c r="AA66" i="3"/>
  <c r="AA94" i="3" s="1"/>
  <c r="AA56" i="3"/>
  <c r="AA45" i="3"/>
  <c r="AA40" i="3"/>
  <c r="AA37" i="3"/>
  <c r="AA34" i="3"/>
  <c r="AA32" i="3"/>
  <c r="AA33" i="3" s="1"/>
  <c r="AA29" i="3"/>
  <c r="AA30" i="3" s="1"/>
  <c r="AA26" i="3"/>
  <c r="AA27" i="3" s="1"/>
  <c r="AA23" i="3"/>
  <c r="AA20" i="3"/>
  <c r="AA19" i="3"/>
  <c r="AA18" i="3"/>
  <c r="AA17" i="3"/>
  <c r="AA12" i="3"/>
  <c r="AA13" i="3" s="1"/>
  <c r="AA11" i="3"/>
  <c r="AB58" i="3"/>
  <c r="AB239" i="3"/>
  <c r="AB362" i="3"/>
  <c r="AB379" i="3" s="1"/>
  <c r="AB506" i="3"/>
  <c r="AB515" i="3" s="1"/>
  <c r="AA1483" i="3" l="1"/>
  <c r="AA1474" i="3" s="1"/>
  <c r="AA620" i="3"/>
  <c r="AA1005" i="3"/>
  <c r="AA373" i="3" s="1"/>
  <c r="AA902" i="3"/>
  <c r="AA372" i="3" s="1"/>
  <c r="AA1180" i="3"/>
  <c r="AA742" i="3"/>
  <c r="AA1119" i="3"/>
  <c r="AA1364" i="3"/>
  <c r="AA458" i="3"/>
  <c r="AA731" i="3"/>
  <c r="AA747" i="3"/>
  <c r="AA737" i="3"/>
  <c r="AA682" i="3"/>
  <c r="AA687" i="3" s="1"/>
  <c r="AA648" i="3" s="1"/>
  <c r="AA477" i="3"/>
  <c r="AA482" i="3" s="1"/>
  <c r="AA384" i="3" s="1"/>
  <c r="AA1331" i="3"/>
  <c r="AA640" i="3"/>
  <c r="AA235" i="3" s="1"/>
  <c r="AA234" i="3" s="1"/>
  <c r="AA1500" i="3"/>
  <c r="AA1363" i="3"/>
  <c r="AA1462" i="3"/>
  <c r="AA1243" i="3"/>
  <c r="AA1287" i="3" s="1"/>
  <c r="AA1258" i="3"/>
  <c r="AA1226" i="3"/>
  <c r="AA1201" i="3"/>
  <c r="AA1203" i="3" s="1"/>
  <c r="AA1181" i="3"/>
  <c r="AA726" i="3"/>
  <c r="AA727" i="3"/>
  <c r="AA738" i="3"/>
  <c r="AA743" i="3"/>
  <c r="AA728" i="3"/>
  <c r="AA733" i="3"/>
  <c r="AA739" i="3"/>
  <c r="AA745" i="3"/>
  <c r="AA741" i="3"/>
  <c r="AA746" i="3"/>
  <c r="AA495" i="3"/>
  <c r="AA497" i="3" s="1"/>
  <c r="AA146" i="3"/>
  <c r="AA1371" i="3" s="1"/>
  <c r="AA117" i="3"/>
  <c r="AA370" i="3"/>
  <c r="AA1320" i="3"/>
  <c r="AA1333" i="3"/>
  <c r="AA1386" i="3"/>
  <c r="AA1376" i="3"/>
  <c r="AA1326" i="3"/>
  <c r="AA662" i="3"/>
  <c r="AA667" i="3"/>
  <c r="AA625" i="3"/>
  <c r="AA98" i="3"/>
  <c r="AA1126" i="3"/>
  <c r="AA293" i="3"/>
  <c r="AA1076" i="3"/>
  <c r="AA255" i="3" s="1"/>
  <c r="AA1146" i="3"/>
  <c r="AA1145" i="3"/>
  <c r="AA1141" i="3"/>
  <c r="AA35" i="3"/>
  <c r="AA36" i="3" s="1"/>
  <c r="AA86" i="3"/>
  <c r="AA92" i="3" s="1"/>
  <c r="AA531" i="3"/>
  <c r="AA521" i="3"/>
  <c r="AA713" i="3"/>
  <c r="AA844" i="3"/>
  <c r="AA912" i="3"/>
  <c r="AA964" i="3"/>
  <c r="AA1075" i="3"/>
  <c r="AA1415" i="3"/>
  <c r="AA1421" i="3"/>
  <c r="AA526" i="3"/>
  <c r="AA512" i="3"/>
  <c r="AA288" i="3"/>
  <c r="AA21" i="3"/>
  <c r="AA118" i="3"/>
  <c r="AA264" i="3"/>
  <c r="AA331" i="3"/>
  <c r="AA360" i="3" s="1"/>
  <c r="AA725" i="3"/>
  <c r="AA740" i="3"/>
  <c r="AA744" i="3"/>
  <c r="AA1325" i="3"/>
  <c r="AA1330" i="3"/>
  <c r="AA1334" i="3"/>
  <c r="AA500" i="3"/>
  <c r="AA24" i="3"/>
  <c r="AA1327" i="3"/>
  <c r="AA1332" i="3"/>
  <c r="AB523" i="3"/>
  <c r="AB529" i="3"/>
  <c r="AB534" i="3" s="1"/>
  <c r="AB622" i="3" s="1"/>
  <c r="AB750" i="3" s="1"/>
  <c r="V20" i="34"/>
  <c r="X20" i="34" s="1"/>
  <c r="AB20" i="34" s="1"/>
  <c r="AA1288" i="3" l="1"/>
  <c r="AA1299" i="3"/>
  <c r="AA1277" i="3"/>
  <c r="AA1275" i="3"/>
  <c r="AA1335" i="3"/>
  <c r="AA385" i="3"/>
  <c r="AA383" i="3" s="1"/>
  <c r="AA386" i="3"/>
  <c r="AA387" i="3"/>
  <c r="AA374" i="3"/>
  <c r="AA376" i="3" s="1"/>
  <c r="AA119" i="3"/>
  <c r="AA120" i="3" s="1"/>
  <c r="AA1294" i="3"/>
  <c r="AA1295" i="3" s="1"/>
  <c r="AA1281" i="3"/>
  <c r="AA274" i="3"/>
  <c r="AA275" i="3" s="1"/>
  <c r="AA1284" i="3"/>
  <c r="AA1279" i="3"/>
  <c r="AA1276" i="3"/>
  <c r="AA1244" i="3"/>
  <c r="AA1286" i="3"/>
  <c r="AA1282" i="3"/>
  <c r="AA1283" i="3"/>
  <c r="AA1280" i="3"/>
  <c r="AA1273" i="3"/>
  <c r="AA1241" i="3"/>
  <c r="AA1274" i="3"/>
  <c r="AA1278" i="3"/>
  <c r="AA1292" i="3"/>
  <c r="AA749" i="3"/>
  <c r="AA643" i="3"/>
  <c r="AA646" i="3"/>
  <c r="AA647" i="3"/>
  <c r="AA645" i="3"/>
  <c r="AA644" i="3"/>
  <c r="AA147" i="3"/>
  <c r="AA1372" i="3"/>
  <c r="AA502" i="3"/>
  <c r="AA527" i="3"/>
  <c r="AA280" i="3"/>
  <c r="AA291" i="3"/>
  <c r="AA845" i="3"/>
  <c r="AA253" i="3" s="1"/>
  <c r="AA916" i="3"/>
  <c r="AA533" i="3"/>
  <c r="AA236" i="3"/>
  <c r="AA1328" i="3"/>
  <c r="AA965" i="3"/>
  <c r="AA254" i="3" s="1"/>
  <c r="AA292" i="3"/>
  <c r="AA1012" i="3"/>
  <c r="AA289" i="3"/>
  <c r="Y1046" i="3"/>
  <c r="AD1046" i="3" s="1"/>
  <c r="Y1049" i="3"/>
  <c r="AD1049" i="3" s="1"/>
  <c r="Y1031" i="3"/>
  <c r="AD1031" i="3" s="1"/>
  <c r="Y1033" i="3"/>
  <c r="AD1033" i="3" s="1"/>
  <c r="Y1026" i="3"/>
  <c r="AD1026" i="3" s="1"/>
  <c r="Y1024" i="3"/>
  <c r="AD1024" i="3" s="1"/>
  <c r="Y1055" i="3"/>
  <c r="AD1055" i="3" s="1"/>
  <c r="Y1059" i="3"/>
  <c r="AD1059" i="3" s="1"/>
  <c r="Y1057" i="3"/>
  <c r="AD1057" i="3" s="1"/>
  <c r="AA1289" i="3" l="1"/>
  <c r="AA256" i="3" s="1"/>
  <c r="AA642" i="3"/>
  <c r="AA295" i="3"/>
  <c r="AA282" i="3"/>
  <c r="W900" i="3" l="1"/>
  <c r="AE900" i="3" s="1"/>
  <c r="W899" i="3"/>
  <c r="AE899" i="3" s="1"/>
  <c r="W898" i="3"/>
  <c r="AE898" i="3" s="1"/>
  <c r="W897" i="3"/>
  <c r="AE897" i="3" s="1"/>
  <c r="W896" i="3"/>
  <c r="AE896" i="3" s="1"/>
  <c r="W895" i="3"/>
  <c r="AE895" i="3" s="1"/>
  <c r="W892" i="3"/>
  <c r="AE892" i="3" s="1"/>
  <c r="W891" i="3"/>
  <c r="AE891" i="3" s="1"/>
  <c r="W890" i="3"/>
  <c r="AE890" i="3" s="1"/>
  <c r="W888" i="3"/>
  <c r="AE888" i="3" s="1"/>
  <c r="W887" i="3"/>
  <c r="AE887" i="3" s="1"/>
  <c r="W885" i="3"/>
  <c r="AE885" i="3" s="1"/>
  <c r="W884" i="3"/>
  <c r="AE884" i="3" s="1"/>
  <c r="W883" i="3"/>
  <c r="AE883" i="3" s="1"/>
  <c r="W882" i="3"/>
  <c r="AE882" i="3" s="1"/>
  <c r="W881" i="3"/>
  <c r="AE881" i="3" s="1"/>
  <c r="W880" i="3"/>
  <c r="AE880" i="3" s="1"/>
  <c r="W879" i="3"/>
  <c r="AE879" i="3" s="1"/>
  <c r="W878" i="3"/>
  <c r="AE878" i="3" s="1"/>
  <c r="W877" i="3"/>
  <c r="AE877" i="3" s="1"/>
  <c r="W876" i="3"/>
  <c r="AE876" i="3" s="1"/>
  <c r="W875" i="3"/>
  <c r="AE875" i="3" s="1"/>
  <c r="W873" i="3"/>
  <c r="AE873" i="3" s="1"/>
  <c r="W872" i="3"/>
  <c r="AE872" i="3" s="1"/>
  <c r="W871" i="3"/>
  <c r="AE871" i="3" s="1"/>
  <c r="W870" i="3"/>
  <c r="AE870" i="3" s="1"/>
  <c r="W866" i="3"/>
  <c r="AE866" i="3" s="1"/>
  <c r="W865" i="3"/>
  <c r="AE865" i="3" s="1"/>
  <c r="W864" i="3"/>
  <c r="AE864" i="3" s="1"/>
  <c r="W863" i="3"/>
  <c r="AE863" i="3" s="1"/>
  <c r="W861" i="3"/>
  <c r="AE861" i="3" s="1"/>
  <c r="W860" i="3"/>
  <c r="AE860" i="3" s="1"/>
  <c r="W859" i="3"/>
  <c r="AE859" i="3" s="1"/>
  <c r="W858" i="3"/>
  <c r="AE858" i="3" s="1"/>
  <c r="W856" i="3"/>
  <c r="AE856" i="3" s="1"/>
  <c r="W855" i="3"/>
  <c r="AE855" i="3" s="1"/>
  <c r="W854" i="3"/>
  <c r="AE854" i="3" s="1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6" i="3"/>
  <c r="P864" i="3"/>
  <c r="P863" i="3"/>
  <c r="P862" i="3"/>
  <c r="P861" i="3"/>
  <c r="P860" i="3"/>
  <c r="P859" i="3"/>
  <c r="P858" i="3"/>
  <c r="P856" i="3"/>
  <c r="P855" i="3"/>
  <c r="P854" i="3"/>
  <c r="N900" i="3"/>
  <c r="Q900" i="3" s="1"/>
  <c r="S900" i="3" s="1"/>
  <c r="U900" i="3" s="1"/>
  <c r="X900" i="3" s="1"/>
  <c r="Z900" i="3" s="1"/>
  <c r="AB900" i="3" s="1"/>
  <c r="AF900" i="3" s="1"/>
  <c r="N899" i="3"/>
  <c r="Q899" i="3" s="1"/>
  <c r="S899" i="3" s="1"/>
  <c r="U899" i="3" s="1"/>
  <c r="X899" i="3" s="1"/>
  <c r="Z899" i="3" s="1"/>
  <c r="AB899" i="3" s="1"/>
  <c r="AF899" i="3" s="1"/>
  <c r="N898" i="3"/>
  <c r="Q898" i="3" s="1"/>
  <c r="S898" i="3" s="1"/>
  <c r="U898" i="3" s="1"/>
  <c r="X898" i="3" s="1"/>
  <c r="Z898" i="3" s="1"/>
  <c r="AB898" i="3" s="1"/>
  <c r="AF898" i="3" s="1"/>
  <c r="N897" i="3"/>
  <c r="Q897" i="3" s="1"/>
  <c r="S897" i="3" s="1"/>
  <c r="U897" i="3" s="1"/>
  <c r="X897" i="3" s="1"/>
  <c r="Z897" i="3" s="1"/>
  <c r="AB897" i="3" s="1"/>
  <c r="AF897" i="3" s="1"/>
  <c r="N896" i="3"/>
  <c r="Q896" i="3" s="1"/>
  <c r="S896" i="3" s="1"/>
  <c r="U896" i="3" s="1"/>
  <c r="X896" i="3" s="1"/>
  <c r="Z896" i="3" s="1"/>
  <c r="AB896" i="3" s="1"/>
  <c r="AF896" i="3" s="1"/>
  <c r="N895" i="3"/>
  <c r="Q895" i="3" s="1"/>
  <c r="S895" i="3" s="1"/>
  <c r="U895" i="3" s="1"/>
  <c r="X895" i="3" s="1"/>
  <c r="Z895" i="3" s="1"/>
  <c r="AB895" i="3" s="1"/>
  <c r="AF895" i="3" s="1"/>
  <c r="N894" i="3"/>
  <c r="Q894" i="3" s="1"/>
  <c r="S894" i="3" s="1"/>
  <c r="U894" i="3" s="1"/>
  <c r="N893" i="3"/>
  <c r="Q893" i="3" s="1"/>
  <c r="S893" i="3" s="1"/>
  <c r="U893" i="3" s="1"/>
  <c r="N892" i="3"/>
  <c r="Q892" i="3" s="1"/>
  <c r="S892" i="3" s="1"/>
  <c r="U892" i="3" s="1"/>
  <c r="X892" i="3" s="1"/>
  <c r="Z892" i="3" s="1"/>
  <c r="AB892" i="3" s="1"/>
  <c r="AF892" i="3" s="1"/>
  <c r="N891" i="3"/>
  <c r="Q891" i="3" s="1"/>
  <c r="S891" i="3" s="1"/>
  <c r="U891" i="3" s="1"/>
  <c r="X891" i="3" s="1"/>
  <c r="Z891" i="3" s="1"/>
  <c r="AB891" i="3" s="1"/>
  <c r="AF891" i="3" s="1"/>
  <c r="N890" i="3"/>
  <c r="Q890" i="3" s="1"/>
  <c r="S890" i="3" s="1"/>
  <c r="U890" i="3" s="1"/>
  <c r="X890" i="3" s="1"/>
  <c r="Z890" i="3" s="1"/>
  <c r="AB890" i="3" s="1"/>
  <c r="AF890" i="3" s="1"/>
  <c r="N889" i="3"/>
  <c r="Q889" i="3" s="1"/>
  <c r="S889" i="3" s="1"/>
  <c r="U889" i="3" s="1"/>
  <c r="N888" i="3"/>
  <c r="Q888" i="3" s="1"/>
  <c r="S888" i="3" s="1"/>
  <c r="U888" i="3" s="1"/>
  <c r="X888" i="3" s="1"/>
  <c r="Z888" i="3" s="1"/>
  <c r="AB888" i="3" s="1"/>
  <c r="AF888" i="3" s="1"/>
  <c r="N887" i="3"/>
  <c r="Q887" i="3" s="1"/>
  <c r="S887" i="3" s="1"/>
  <c r="U887" i="3" s="1"/>
  <c r="X887" i="3" s="1"/>
  <c r="Z887" i="3" s="1"/>
  <c r="AB887" i="3" s="1"/>
  <c r="AF887" i="3" s="1"/>
  <c r="N885" i="3"/>
  <c r="Q885" i="3" s="1"/>
  <c r="S885" i="3" s="1"/>
  <c r="U885" i="3" s="1"/>
  <c r="X885" i="3" s="1"/>
  <c r="Z885" i="3" s="1"/>
  <c r="AB885" i="3" s="1"/>
  <c r="AF885" i="3" s="1"/>
  <c r="N884" i="3"/>
  <c r="Q884" i="3" s="1"/>
  <c r="S884" i="3" s="1"/>
  <c r="U884" i="3" s="1"/>
  <c r="X884" i="3" s="1"/>
  <c r="Z884" i="3" s="1"/>
  <c r="AB884" i="3" s="1"/>
  <c r="AF884" i="3" s="1"/>
  <c r="N883" i="3"/>
  <c r="Q883" i="3" s="1"/>
  <c r="S883" i="3" s="1"/>
  <c r="U883" i="3" s="1"/>
  <c r="X883" i="3" s="1"/>
  <c r="Z883" i="3" s="1"/>
  <c r="AB883" i="3" s="1"/>
  <c r="AF883" i="3" s="1"/>
  <c r="N882" i="3"/>
  <c r="Q882" i="3" s="1"/>
  <c r="S882" i="3" s="1"/>
  <c r="U882" i="3" s="1"/>
  <c r="X882" i="3" s="1"/>
  <c r="Z882" i="3" s="1"/>
  <c r="AB882" i="3" s="1"/>
  <c r="AF882" i="3" s="1"/>
  <c r="N881" i="3"/>
  <c r="Q881" i="3" s="1"/>
  <c r="S881" i="3" s="1"/>
  <c r="U881" i="3" s="1"/>
  <c r="X881" i="3" s="1"/>
  <c r="Z881" i="3" s="1"/>
  <c r="AB881" i="3" s="1"/>
  <c r="AF881" i="3" s="1"/>
  <c r="N880" i="3"/>
  <c r="Q880" i="3" s="1"/>
  <c r="S880" i="3" s="1"/>
  <c r="U880" i="3" s="1"/>
  <c r="X880" i="3" s="1"/>
  <c r="Z880" i="3" s="1"/>
  <c r="AB880" i="3" s="1"/>
  <c r="AF880" i="3" s="1"/>
  <c r="N879" i="3"/>
  <c r="Q879" i="3" s="1"/>
  <c r="S879" i="3" s="1"/>
  <c r="U879" i="3" s="1"/>
  <c r="X879" i="3" s="1"/>
  <c r="Z879" i="3" s="1"/>
  <c r="AB879" i="3" s="1"/>
  <c r="AF879" i="3" s="1"/>
  <c r="N878" i="3"/>
  <c r="Q878" i="3" s="1"/>
  <c r="S878" i="3" s="1"/>
  <c r="U878" i="3" s="1"/>
  <c r="X878" i="3" s="1"/>
  <c r="Z878" i="3" s="1"/>
  <c r="AB878" i="3" s="1"/>
  <c r="AF878" i="3" s="1"/>
  <c r="N877" i="3"/>
  <c r="Q877" i="3" s="1"/>
  <c r="S877" i="3" s="1"/>
  <c r="U877" i="3" s="1"/>
  <c r="X877" i="3" s="1"/>
  <c r="Z877" i="3" s="1"/>
  <c r="AB877" i="3" s="1"/>
  <c r="AF877" i="3" s="1"/>
  <c r="N876" i="3"/>
  <c r="Q876" i="3" s="1"/>
  <c r="S876" i="3" s="1"/>
  <c r="U876" i="3" s="1"/>
  <c r="X876" i="3" s="1"/>
  <c r="Z876" i="3" s="1"/>
  <c r="AB876" i="3" s="1"/>
  <c r="AF876" i="3" s="1"/>
  <c r="N875" i="3"/>
  <c r="Q875" i="3" s="1"/>
  <c r="S875" i="3" s="1"/>
  <c r="U875" i="3" s="1"/>
  <c r="X875" i="3" s="1"/>
  <c r="Z875" i="3" s="1"/>
  <c r="AB875" i="3" s="1"/>
  <c r="AF875" i="3" s="1"/>
  <c r="N874" i="3"/>
  <c r="Q874" i="3" s="1"/>
  <c r="S874" i="3" s="1"/>
  <c r="U874" i="3" s="1"/>
  <c r="N873" i="3"/>
  <c r="Q873" i="3" s="1"/>
  <c r="S873" i="3" s="1"/>
  <c r="U873" i="3" s="1"/>
  <c r="X873" i="3" s="1"/>
  <c r="Z873" i="3" s="1"/>
  <c r="AB873" i="3" s="1"/>
  <c r="AF873" i="3" s="1"/>
  <c r="N872" i="3"/>
  <c r="Q872" i="3" s="1"/>
  <c r="S872" i="3" s="1"/>
  <c r="U872" i="3" s="1"/>
  <c r="X872" i="3" s="1"/>
  <c r="Z872" i="3" s="1"/>
  <c r="AB872" i="3" s="1"/>
  <c r="AF872" i="3" s="1"/>
  <c r="N871" i="3"/>
  <c r="Q871" i="3" s="1"/>
  <c r="S871" i="3" s="1"/>
  <c r="U871" i="3" s="1"/>
  <c r="X871" i="3" s="1"/>
  <c r="Z871" i="3" s="1"/>
  <c r="AB871" i="3" s="1"/>
  <c r="AF871" i="3" s="1"/>
  <c r="N870" i="3"/>
  <c r="Q870" i="3" s="1"/>
  <c r="S870" i="3" s="1"/>
  <c r="U870" i="3" s="1"/>
  <c r="X870" i="3" s="1"/>
  <c r="Z870" i="3" s="1"/>
  <c r="AB870" i="3" s="1"/>
  <c r="AF870" i="3" s="1"/>
  <c r="N866" i="3"/>
  <c r="Q866" i="3" s="1"/>
  <c r="S866" i="3" s="1"/>
  <c r="U866" i="3" s="1"/>
  <c r="X866" i="3" s="1"/>
  <c r="Z866" i="3" s="1"/>
  <c r="AB866" i="3" s="1"/>
  <c r="AF866" i="3" s="1"/>
  <c r="N864" i="3"/>
  <c r="Q864" i="3" s="1"/>
  <c r="S864" i="3" s="1"/>
  <c r="U864" i="3" s="1"/>
  <c r="X864" i="3" s="1"/>
  <c r="Z864" i="3" s="1"/>
  <c r="AB864" i="3" s="1"/>
  <c r="AF864" i="3" s="1"/>
  <c r="N863" i="3"/>
  <c r="Q863" i="3" s="1"/>
  <c r="S863" i="3" s="1"/>
  <c r="U863" i="3" s="1"/>
  <c r="X863" i="3" s="1"/>
  <c r="Z863" i="3" s="1"/>
  <c r="AB863" i="3" s="1"/>
  <c r="AF863" i="3" s="1"/>
  <c r="N862" i="3"/>
  <c r="Q862" i="3" s="1"/>
  <c r="N861" i="3"/>
  <c r="Q861" i="3" s="1"/>
  <c r="S861" i="3" s="1"/>
  <c r="U861" i="3" s="1"/>
  <c r="X861" i="3" s="1"/>
  <c r="Z861" i="3" s="1"/>
  <c r="AB861" i="3" s="1"/>
  <c r="AF861" i="3" s="1"/>
  <c r="N860" i="3"/>
  <c r="Q860" i="3" s="1"/>
  <c r="S860" i="3" s="1"/>
  <c r="U860" i="3" s="1"/>
  <c r="X860" i="3" s="1"/>
  <c r="Z860" i="3" s="1"/>
  <c r="AB860" i="3" s="1"/>
  <c r="AF860" i="3" s="1"/>
  <c r="N859" i="3"/>
  <c r="Q859" i="3" s="1"/>
  <c r="S859" i="3" s="1"/>
  <c r="U859" i="3" s="1"/>
  <c r="X859" i="3" s="1"/>
  <c r="Z859" i="3" s="1"/>
  <c r="AB859" i="3" s="1"/>
  <c r="AF859" i="3" s="1"/>
  <c r="N858" i="3"/>
  <c r="Q858" i="3" s="1"/>
  <c r="S858" i="3" s="1"/>
  <c r="U858" i="3" s="1"/>
  <c r="X858" i="3" s="1"/>
  <c r="Z858" i="3" s="1"/>
  <c r="AB858" i="3" s="1"/>
  <c r="AF858" i="3" s="1"/>
  <c r="N856" i="3"/>
  <c r="Q856" i="3" s="1"/>
  <c r="S856" i="3" s="1"/>
  <c r="U856" i="3" s="1"/>
  <c r="X856" i="3" s="1"/>
  <c r="Z856" i="3" s="1"/>
  <c r="AB856" i="3" s="1"/>
  <c r="AF856" i="3" s="1"/>
  <c r="N855" i="3"/>
  <c r="Q855" i="3" s="1"/>
  <c r="S855" i="3" s="1"/>
  <c r="U855" i="3" s="1"/>
  <c r="X855" i="3" s="1"/>
  <c r="Z855" i="3" s="1"/>
  <c r="AB855" i="3" s="1"/>
  <c r="AF855" i="3" s="1"/>
  <c r="N854" i="3"/>
  <c r="Q854" i="3" s="1"/>
  <c r="S854" i="3" s="1"/>
  <c r="U854" i="3" s="1"/>
  <c r="X854" i="3" s="1"/>
  <c r="Z854" i="3" s="1"/>
  <c r="AB854" i="3" s="1"/>
  <c r="AF854" i="3" s="1"/>
  <c r="R862" i="3"/>
  <c r="Y862" i="3"/>
  <c r="Y357" i="3"/>
  <c r="AD862" i="3" l="1"/>
  <c r="S862" i="3"/>
  <c r="U862" i="3" s="1"/>
  <c r="X862" i="3" s="1"/>
  <c r="Z862" i="3" s="1"/>
  <c r="AB862" i="3" s="1"/>
  <c r="AF862" i="3" s="1"/>
  <c r="W862" i="3"/>
  <c r="AE862" i="3" l="1"/>
  <c r="Y330" i="3"/>
  <c r="Y324" i="3"/>
  <c r="Y113" i="3"/>
  <c r="Y101" i="3"/>
  <c r="Y81" i="3"/>
  <c r="Y114" i="3" s="1"/>
  <c r="Y62" i="3"/>
  <c r="W175" i="3" l="1"/>
  <c r="AE175" i="3" s="1"/>
  <c r="X175" i="3"/>
  <c r="Z175" i="3" s="1"/>
  <c r="AB175" i="3" s="1"/>
  <c r="AF175" i="3" s="1"/>
  <c r="W176" i="3"/>
  <c r="AE176" i="3" s="1"/>
  <c r="X176" i="3"/>
  <c r="Z176" i="3" s="1"/>
  <c r="AB176" i="3" s="1"/>
  <c r="AF176" i="3" s="1"/>
  <c r="W177" i="3"/>
  <c r="AE177" i="3" s="1"/>
  <c r="X177" i="3"/>
  <c r="Z177" i="3" s="1"/>
  <c r="AB177" i="3" s="1"/>
  <c r="AF177" i="3" s="1"/>
  <c r="W183" i="3"/>
  <c r="AE183" i="3" s="1"/>
  <c r="X183" i="3"/>
  <c r="Z183" i="3" s="1"/>
  <c r="AB183" i="3" s="1"/>
  <c r="AF183" i="3" s="1"/>
  <c r="W184" i="3"/>
  <c r="AE184" i="3" s="1"/>
  <c r="X184" i="3"/>
  <c r="Z184" i="3" s="1"/>
  <c r="AB184" i="3" s="1"/>
  <c r="AF184" i="3" s="1"/>
  <c r="W185" i="3"/>
  <c r="AE185" i="3" s="1"/>
  <c r="X185" i="3"/>
  <c r="Z185" i="3" s="1"/>
  <c r="AB185" i="3" s="1"/>
  <c r="AF185" i="3" s="1"/>
  <c r="W186" i="3"/>
  <c r="AE186" i="3" s="1"/>
  <c r="X186" i="3"/>
  <c r="Z186" i="3" s="1"/>
  <c r="AB186" i="3" s="1"/>
  <c r="AF186" i="3" s="1"/>
  <c r="W187" i="3"/>
  <c r="AE187" i="3" s="1"/>
  <c r="X187" i="3"/>
  <c r="Z187" i="3" s="1"/>
  <c r="AB187" i="3" s="1"/>
  <c r="AF187" i="3" s="1"/>
  <c r="W174" i="3"/>
  <c r="AE174" i="3" s="1"/>
  <c r="X174" i="3"/>
  <c r="Z174" i="3" s="1"/>
  <c r="AB174" i="3" s="1"/>
  <c r="AF174" i="3" s="1"/>
  <c r="Z216" i="3"/>
  <c r="AB216" i="3" s="1"/>
  <c r="AF216" i="3" s="1"/>
  <c r="Z215" i="3"/>
  <c r="AB215" i="3" s="1"/>
  <c r="AF215" i="3" s="1"/>
  <c r="Z210" i="3"/>
  <c r="AB210" i="3" s="1"/>
  <c r="AF210" i="3" s="1"/>
  <c r="Z209" i="3"/>
  <c r="AB209" i="3" s="1"/>
  <c r="AF209" i="3" s="1"/>
  <c r="Z207" i="3"/>
  <c r="AB207" i="3" s="1"/>
  <c r="AF207" i="3" s="1"/>
  <c r="Z208" i="3"/>
  <c r="AB208" i="3" s="1"/>
  <c r="AF208" i="3" s="1"/>
  <c r="Y920" i="3"/>
  <c r="Y951" i="3"/>
  <c r="AD951" i="3" s="1"/>
  <c r="Y949" i="3"/>
  <c r="AD949" i="3" s="1"/>
  <c r="Y954" i="3"/>
  <c r="AD954" i="3" s="1"/>
  <c r="Y783" i="3"/>
  <c r="AD783" i="3" s="1"/>
  <c r="Y780" i="3"/>
  <c r="AD780" i="3" s="1"/>
  <c r="Y809" i="3"/>
  <c r="AD809" i="3" s="1"/>
  <c r="Y806" i="3"/>
  <c r="AD806" i="3" s="1"/>
  <c r="Y811" i="3"/>
  <c r="AD811" i="3" s="1"/>
  <c r="Y820" i="3"/>
  <c r="AD820" i="3" s="1"/>
  <c r="Y817" i="3"/>
  <c r="AD817" i="3" s="1"/>
  <c r="Y772" i="3" l="1"/>
  <c r="AD772" i="3" s="1"/>
  <c r="Y1506" i="3" l="1"/>
  <c r="Y1516" i="3"/>
  <c r="Y1512" i="3"/>
  <c r="Y1502" i="3"/>
  <c r="Y1497" i="3"/>
  <c r="Y1419" i="3" l="1"/>
  <c r="Y1418" i="3"/>
  <c r="Y1417" i="3"/>
  <c r="Y1412" i="3"/>
  <c r="Y1411" i="3"/>
  <c r="Y1405" i="3"/>
  <c r="Y1403" i="3"/>
  <c r="Y1402" i="3"/>
  <c r="Y1401" i="3"/>
  <c r="Y1383" i="3"/>
  <c r="Y1382" i="3"/>
  <c r="Y1297" i="3" l="1"/>
  <c r="Y1296" i="3"/>
  <c r="Y1265" i="3"/>
  <c r="Y1242" i="3" l="1"/>
  <c r="Y1134" i="3"/>
  <c r="Y1133" i="3"/>
  <c r="Y1018" i="3"/>
  <c r="Y1017" i="3"/>
  <c r="Y915" i="3"/>
  <c r="Y914" i="3"/>
  <c r="Y734" i="3"/>
  <c r="Y665" i="3"/>
  <c r="Y664" i="3"/>
  <c r="Y549" i="3"/>
  <c r="Y456" i="3"/>
  <c r="U39" i="34" l="1"/>
  <c r="U29" i="34"/>
  <c r="U21" i="34"/>
  <c r="AL61" i="32"/>
  <c r="S61" i="32"/>
  <c r="U41" i="34" l="1"/>
  <c r="AJ657" i="3" l="1"/>
  <c r="Y1499" i="3"/>
  <c r="Y1496" i="3"/>
  <c r="Y1486" i="3"/>
  <c r="Y1482" i="3"/>
  <c r="Y1471" i="3"/>
  <c r="Y1473" i="3" s="1"/>
  <c r="Y1463" i="3"/>
  <c r="Y1457" i="3"/>
  <c r="Y1456" i="3"/>
  <c r="Y1455" i="3"/>
  <c r="Y1454" i="3"/>
  <c r="Y1451" i="3"/>
  <c r="Y238" i="3" s="1"/>
  <c r="Y1434" i="3"/>
  <c r="Y1428" i="3"/>
  <c r="Y1413" i="3"/>
  <c r="Y1410" i="3"/>
  <c r="Y1404" i="3"/>
  <c r="Y1408" i="3" s="1"/>
  <c r="Y1370" i="3"/>
  <c r="Y1369" i="3"/>
  <c r="Y1362" i="3"/>
  <c r="Y1366" i="3" s="1"/>
  <c r="Y1360" i="3"/>
  <c r="Y1365" i="3" s="1"/>
  <c r="Y1357" i="3"/>
  <c r="Y1358" i="3" s="1"/>
  <c r="Y1356" i="3"/>
  <c r="Y1354" i="3"/>
  <c r="Y1324" i="3"/>
  <c r="Y1458" i="3" s="1"/>
  <c r="Y1319" i="3"/>
  <c r="Y1318" i="3"/>
  <c r="Y1317" i="3"/>
  <c r="Y1307" i="3"/>
  <c r="Y1386" i="3" s="1"/>
  <c r="Y1298" i="3"/>
  <c r="Y1291" i="3"/>
  <c r="Y1257" i="3"/>
  <c r="Y1256" i="3"/>
  <c r="Y1255" i="3"/>
  <c r="Y1250" i="3"/>
  <c r="Y1247" i="3"/>
  <c r="Y1239" i="3"/>
  <c r="Y1240" i="3" s="1"/>
  <c r="Y1233" i="3"/>
  <c r="Y1222" i="3"/>
  <c r="Y1215" i="3"/>
  <c r="Y1200" i="3"/>
  <c r="Y1201" i="3" s="1"/>
  <c r="Y1203" i="3" s="1"/>
  <c r="Y1199" i="3"/>
  <c r="Y1194" i="3"/>
  <c r="Y1175" i="3"/>
  <c r="Y1176" i="3" s="1"/>
  <c r="Y1169" i="3"/>
  <c r="Y1140" i="3"/>
  <c r="Y1141" i="3" s="1"/>
  <c r="Y1127" i="3"/>
  <c r="Y1128" i="3" s="1"/>
  <c r="Y1124" i="3"/>
  <c r="Y1121" i="3"/>
  <c r="Y1122" i="3" s="1"/>
  <c r="Y1118" i="3"/>
  <c r="Y1074" i="3"/>
  <c r="Y1076" i="3" s="1"/>
  <c r="Y255" i="3" s="1"/>
  <c r="Y1016" i="3"/>
  <c r="Y1013" i="3"/>
  <c r="Y1014" i="3" s="1"/>
  <c r="Y1010" i="3"/>
  <c r="Y1007" i="3"/>
  <c r="Y1008" i="3" s="1"/>
  <c r="Y1004" i="3"/>
  <c r="AD1004" i="3" s="1"/>
  <c r="Y287" i="3"/>
  <c r="Y964" i="3"/>
  <c r="Y911" i="3"/>
  <c r="Y912" i="3" s="1"/>
  <c r="Y908" i="3"/>
  <c r="Y905" i="3"/>
  <c r="Y906" i="3" s="1"/>
  <c r="Y901" i="3"/>
  <c r="Y849" i="3"/>
  <c r="Y844" i="3"/>
  <c r="Y732" i="3"/>
  <c r="Y724" i="3"/>
  <c r="Y720" i="3"/>
  <c r="Y722" i="3" s="1"/>
  <c r="Y717" i="3"/>
  <c r="Y727" i="3" s="1"/>
  <c r="Y702" i="3"/>
  <c r="Y704" i="3" s="1"/>
  <c r="Y685" i="3"/>
  <c r="Y681" i="3"/>
  <c r="Y678" i="3"/>
  <c r="Y666" i="3"/>
  <c r="Y639" i="3"/>
  <c r="Y638" i="3"/>
  <c r="Y637" i="3"/>
  <c r="Y636" i="3"/>
  <c r="Y634" i="3"/>
  <c r="Y633" i="3"/>
  <c r="Y632" i="3"/>
  <c r="Y631" i="3"/>
  <c r="Y630" i="3"/>
  <c r="Y624" i="3"/>
  <c r="Y619" i="3"/>
  <c r="Y618" i="3"/>
  <c r="Y584" i="3"/>
  <c r="Y581" i="3"/>
  <c r="Y578" i="3"/>
  <c r="Y575" i="3"/>
  <c r="Y572" i="3"/>
  <c r="Y569" i="3"/>
  <c r="Y566" i="3"/>
  <c r="Y563" i="3"/>
  <c r="Y560" i="3"/>
  <c r="Y554" i="3"/>
  <c r="Y556" i="3" s="1"/>
  <c r="Y550" i="3"/>
  <c r="Y228" i="3" s="1"/>
  <c r="Y231" i="3" s="1"/>
  <c r="Y548" i="3"/>
  <c r="Y546" i="3"/>
  <c r="Y544" i="3"/>
  <c r="Y542" i="3"/>
  <c r="Y540" i="3"/>
  <c r="Y537" i="3"/>
  <c r="Y538" i="3" s="1"/>
  <c r="Y227" i="3" s="1"/>
  <c r="Y230" i="3" s="1"/>
  <c r="Y519" i="3"/>
  <c r="Y518" i="3"/>
  <c r="Y531" i="3" s="1"/>
  <c r="Y511" i="3"/>
  <c r="Y509" i="3"/>
  <c r="Y508" i="3"/>
  <c r="Y490" i="3"/>
  <c r="Y492" i="3" s="1"/>
  <c r="Y486" i="3"/>
  <c r="Y487" i="3" s="1"/>
  <c r="Y480" i="3"/>
  <c r="Y476" i="3"/>
  <c r="Y472" i="3"/>
  <c r="Y454" i="3"/>
  <c r="Y375" i="3"/>
  <c r="Y368" i="3"/>
  <c r="Y367" i="3"/>
  <c r="Y366" i="3"/>
  <c r="Y365" i="3"/>
  <c r="Y359" i="3"/>
  <c r="Y355" i="3"/>
  <c r="Y343" i="3"/>
  <c r="Y331" i="3"/>
  <c r="Y311" i="3"/>
  <c r="Y303" i="3"/>
  <c r="Y300" i="3"/>
  <c r="Y288" i="3"/>
  <c r="Y286" i="3"/>
  <c r="Y281" i="3"/>
  <c r="Y279" i="3"/>
  <c r="Y278" i="3"/>
  <c r="Y277" i="3"/>
  <c r="Y272" i="3"/>
  <c r="Y271" i="3"/>
  <c r="Y273" i="3" s="1"/>
  <c r="Y270" i="3"/>
  <c r="Y269" i="3"/>
  <c r="Y266" i="3"/>
  <c r="Y267" i="3" s="1"/>
  <c r="Y263" i="3"/>
  <c r="Y262" i="3"/>
  <c r="Y250" i="3"/>
  <c r="Y246" i="3"/>
  <c r="Y239" i="3"/>
  <c r="Y237" i="3"/>
  <c r="Y162" i="3"/>
  <c r="Y154" i="3"/>
  <c r="Y1460" i="3" s="1"/>
  <c r="Y151" i="3"/>
  <c r="Y1373" i="3" s="1"/>
  <c r="Y148" i="3"/>
  <c r="Y145" i="3"/>
  <c r="Y520" i="3" s="1"/>
  <c r="Y140" i="3"/>
  <c r="Y136" i="3"/>
  <c r="Y132" i="3"/>
  <c r="Y126" i="3"/>
  <c r="Y115" i="3"/>
  <c r="Y111" i="3"/>
  <c r="Y107" i="3"/>
  <c r="Y118" i="3"/>
  <c r="Y117" i="3"/>
  <c r="Y91" i="3"/>
  <c r="Y90" i="3"/>
  <c r="Y88" i="3"/>
  <c r="Y87" i="3"/>
  <c r="Y85" i="3"/>
  <c r="Y78" i="3"/>
  <c r="Y96" i="3" s="1"/>
  <c r="Y72" i="3"/>
  <c r="Y95" i="3" s="1"/>
  <c r="Y89" i="3"/>
  <c r="Y66" i="3"/>
  <c r="Y94" i="3" s="1"/>
  <c r="Y56" i="3"/>
  <c r="Y45" i="3"/>
  <c r="Y40" i="3"/>
  <c r="Y34" i="3"/>
  <c r="Y32" i="3"/>
  <c r="Y33" i="3" s="1"/>
  <c r="Y29" i="3"/>
  <c r="Y30" i="3" s="1"/>
  <c r="Y26" i="3"/>
  <c r="Y27" i="3" s="1"/>
  <c r="Y23" i="3"/>
  <c r="Y20" i="3"/>
  <c r="Y19" i="3"/>
  <c r="Y18" i="3"/>
  <c r="Y17" i="3"/>
  <c r="Y12" i="3"/>
  <c r="Y13" i="3" s="1"/>
  <c r="Y11" i="3"/>
  <c r="Y9" i="3"/>
  <c r="Y1483" i="3" l="1"/>
  <c r="Y1474" i="3" s="1"/>
  <c r="AD901" i="3"/>
  <c r="AD1118" i="3"/>
  <c r="AD279" i="3"/>
  <c r="Y662" i="3"/>
  <c r="Y97" i="3"/>
  <c r="Y98" i="3" s="1"/>
  <c r="Y37" i="3"/>
  <c r="Y620" i="3"/>
  <c r="Y745" i="3"/>
  <c r="Y743" i="3"/>
  <c r="Y740" i="3"/>
  <c r="Y902" i="3"/>
  <c r="Y372" i="3" s="1"/>
  <c r="Y1005" i="3"/>
  <c r="Y373" i="3" s="1"/>
  <c r="Y127" i="3"/>
  <c r="Y1461" i="3"/>
  <c r="Y1462" i="3" s="1"/>
  <c r="Y161" i="3"/>
  <c r="Y289" i="3"/>
  <c r="Y293" i="3"/>
  <c r="Y1075" i="3"/>
  <c r="Y1500" i="3"/>
  <c r="Y1363" i="3"/>
  <c r="Y1465" i="3"/>
  <c r="Y747" i="3"/>
  <c r="Y35" i="3"/>
  <c r="Y36" i="3" s="1"/>
  <c r="Y1320" i="3"/>
  <c r="Y640" i="3"/>
  <c r="Y235" i="3" s="1"/>
  <c r="Y234" i="3" s="1"/>
  <c r="Y738" i="3"/>
  <c r="Y746" i="3"/>
  <c r="Y1145" i="3"/>
  <c r="Y1180" i="3"/>
  <c r="Y1146" i="3"/>
  <c r="Y1226" i="3"/>
  <c r="Y1415" i="3"/>
  <c r="Y264" i="3"/>
  <c r="Y477" i="3"/>
  <c r="Y482" i="3" s="1"/>
  <c r="Y733" i="3"/>
  <c r="Y742" i="3"/>
  <c r="Y748" i="3"/>
  <c r="Y1421" i="3"/>
  <c r="Y1364" i="3"/>
  <c r="Y1243" i="3"/>
  <c r="Y1276" i="3" s="1"/>
  <c r="Y1258" i="3"/>
  <c r="Y1126" i="3"/>
  <c r="Y280" i="3"/>
  <c r="Y728" i="3"/>
  <c r="Y739" i="3"/>
  <c r="Y744" i="3"/>
  <c r="Y682" i="3"/>
  <c r="Y687" i="3" s="1"/>
  <c r="Y645" i="3" s="1"/>
  <c r="Y24" i="3"/>
  <c r="Y495" i="3"/>
  <c r="Y497" i="3" s="1"/>
  <c r="Y1119" i="3"/>
  <c r="Y374" i="3" s="1"/>
  <c r="Y370" i="3"/>
  <c r="Y512" i="3"/>
  <c r="Y667" i="3"/>
  <c r="Y625" i="3"/>
  <c r="Y21" i="3"/>
  <c r="Y526" i="3"/>
  <c r="Y532" i="3"/>
  <c r="Y533" i="3" s="1"/>
  <c r="Y86" i="3"/>
  <c r="Y92" i="3" s="1"/>
  <c r="Y965" i="3"/>
  <c r="Y254" i="3" s="1"/>
  <c r="Y292" i="3"/>
  <c r="Y1012" i="3"/>
  <c r="Y119" i="3"/>
  <c r="Y120" i="3" s="1"/>
  <c r="Y360" i="3"/>
  <c r="Y713" i="3"/>
  <c r="Y726" i="3"/>
  <c r="Y525" i="3"/>
  <c r="Y1327" i="3"/>
  <c r="Y1332" i="3"/>
  <c r="Y1380" i="3"/>
  <c r="Y103" i="3"/>
  <c r="Y146" i="3"/>
  <c r="Y457" i="3"/>
  <c r="Y458" i="3" s="1"/>
  <c r="Y725" i="3"/>
  <c r="Y731" i="3"/>
  <c r="Y737" i="3"/>
  <c r="Y741" i="3"/>
  <c r="Y845" i="3"/>
  <c r="Y253" i="3" s="1"/>
  <c r="Y916" i="3"/>
  <c r="Y1181" i="3"/>
  <c r="Y1333" i="3"/>
  <c r="Y291" i="3"/>
  <c r="Y500" i="3"/>
  <c r="Y502" i="3" s="1"/>
  <c r="Y1325" i="3"/>
  <c r="Y1330" i="3"/>
  <c r="Y1334" i="3"/>
  <c r="Y521" i="3"/>
  <c r="Y1326" i="3"/>
  <c r="Y1331" i="3"/>
  <c r="Y1376" i="3"/>
  <c r="AD161" i="3" l="1"/>
  <c r="AH628" i="3"/>
  <c r="Y1280" i="3"/>
  <c r="Y1279" i="3"/>
  <c r="Y376" i="3"/>
  <c r="Y282" i="3"/>
  <c r="Y1281" i="3"/>
  <c r="Y1282" i="3"/>
  <c r="Y1294" i="3"/>
  <c r="Y1295" i="3" s="1"/>
  <c r="Y1299" i="3"/>
  <c r="Y1286" i="3"/>
  <c r="Y1287" i="3"/>
  <c r="Y1288" i="3"/>
  <c r="Y1284" i="3"/>
  <c r="Y1244" i="3"/>
  <c r="Y1241" i="3"/>
  <c r="Y274" i="3"/>
  <c r="Y275" i="3" s="1"/>
  <c r="Y1273" i="3"/>
  <c r="Y1278" i="3"/>
  <c r="Y1275" i="3"/>
  <c r="Y1277" i="3"/>
  <c r="Y387" i="3"/>
  <c r="Y384" i="3"/>
  <c r="Y1274" i="3"/>
  <c r="Y1292" i="3"/>
  <c r="Y1283" i="3"/>
  <c r="Y295" i="3"/>
  <c r="Y643" i="3"/>
  <c r="Y644" i="3"/>
  <c r="Y647" i="3"/>
  <c r="Y646" i="3"/>
  <c r="Y648" i="3"/>
  <c r="Y386" i="3"/>
  <c r="Y385" i="3"/>
  <c r="Y527" i="3"/>
  <c r="Y236" i="3"/>
  <c r="Y1328" i="3"/>
  <c r="Y749" i="3"/>
  <c r="Y147" i="3"/>
  <c r="Y1371" i="3"/>
  <c r="Y1372" i="3" s="1"/>
  <c r="Y1335" i="3"/>
  <c r="Y1289" i="3" l="1"/>
  <c r="Y256" i="3" s="1"/>
  <c r="Y642" i="3"/>
  <c r="Y383" i="3"/>
  <c r="W193" i="3" l="1"/>
  <c r="AE193" i="3" s="1"/>
  <c r="X193" i="3"/>
  <c r="Z193" i="3" s="1"/>
  <c r="AB193" i="3" s="1"/>
  <c r="AF193" i="3" s="1"/>
  <c r="V375" i="3" l="1"/>
  <c r="V1097" i="3"/>
  <c r="V1093" i="3"/>
  <c r="V1090" i="3"/>
  <c r="V1085" i="3"/>
  <c r="V1084" i="3"/>
  <c r="V975" i="3"/>
  <c r="V992" i="3"/>
  <c r="V991" i="3"/>
  <c r="V998" i="3"/>
  <c r="V874" i="3"/>
  <c r="V889" i="3"/>
  <c r="AH887" i="3" s="1"/>
  <c r="W889" i="3" l="1"/>
  <c r="AE889" i="3" s="1"/>
  <c r="X889" i="3"/>
  <c r="Z889" i="3" s="1"/>
  <c r="AB889" i="3" s="1"/>
  <c r="AF889" i="3" s="1"/>
  <c r="W874" i="3"/>
  <c r="AE874" i="3" s="1"/>
  <c r="X874" i="3"/>
  <c r="Z874" i="3" s="1"/>
  <c r="AB874" i="3" s="1"/>
  <c r="AF874" i="3" s="1"/>
  <c r="AA34" i="34" l="1"/>
  <c r="S7" i="34"/>
  <c r="AA7" i="34" s="1"/>
  <c r="AA38" i="34"/>
  <c r="AA37" i="34"/>
  <c r="AA36" i="34"/>
  <c r="S32" i="34"/>
  <c r="AA32" i="34" s="1"/>
  <c r="AA27" i="34"/>
  <c r="AA26" i="34"/>
  <c r="AA25" i="34"/>
  <c r="S24" i="34"/>
  <c r="AA24" i="34" s="1"/>
  <c r="R39" i="34"/>
  <c r="R29" i="34"/>
  <c r="R21" i="34"/>
  <c r="AJ61" i="32"/>
  <c r="Q61" i="32"/>
  <c r="AA39" i="34" l="1"/>
  <c r="AA21" i="34"/>
  <c r="AA29" i="34"/>
  <c r="R41" i="34"/>
  <c r="S39" i="34"/>
  <c r="S29" i="34"/>
  <c r="S21" i="34"/>
  <c r="AA41" i="34" l="1"/>
  <c r="S41" i="34"/>
  <c r="V894" i="3" l="1"/>
  <c r="V893" i="3"/>
  <c r="V357" i="3"/>
  <c r="V358" i="3"/>
  <c r="V348" i="3"/>
  <c r="V347" i="3"/>
  <c r="V346" i="3"/>
  <c r="V345" i="3"/>
  <c r="V333" i="3"/>
  <c r="V342" i="3"/>
  <c r="V341" i="3"/>
  <c r="V329" i="3"/>
  <c r="V330" i="3"/>
  <c r="V326" i="3"/>
  <c r="V323" i="3"/>
  <c r="V321" i="3"/>
  <c r="V114" i="3"/>
  <c r="V106" i="3"/>
  <c r="V102" i="3"/>
  <c r="V110" i="3"/>
  <c r="V113" i="3"/>
  <c r="V109" i="3"/>
  <c r="V105" i="3"/>
  <c r="V101" i="3"/>
  <c r="W893" i="3" l="1"/>
  <c r="AE893" i="3" s="1"/>
  <c r="X893" i="3"/>
  <c r="Z893" i="3" s="1"/>
  <c r="AB893" i="3" s="1"/>
  <c r="AF893" i="3" s="1"/>
  <c r="W894" i="3"/>
  <c r="AE894" i="3" s="1"/>
  <c r="X894" i="3"/>
  <c r="Z894" i="3" s="1"/>
  <c r="AB894" i="3" s="1"/>
  <c r="AF894" i="3" s="1"/>
  <c r="V118" i="3"/>
  <c r="V117" i="3"/>
  <c r="V115" i="3"/>
  <c r="V920" i="3" l="1"/>
  <c r="V937" i="3"/>
  <c r="V962" i="3"/>
  <c r="V944" i="3"/>
  <c r="V943" i="3"/>
  <c r="V956" i="3"/>
  <c r="V961" i="3"/>
  <c r="V954" i="3"/>
  <c r="V824" i="3" l="1"/>
  <c r="V783" i="3"/>
  <c r="V789" i="3"/>
  <c r="V788" i="3"/>
  <c r="V798" i="3"/>
  <c r="V795" i="3"/>
  <c r="V806" i="3"/>
  <c r="V811" i="3"/>
  <c r="V820" i="3"/>
  <c r="V764" i="3"/>
  <c r="V1317" i="3" l="1"/>
  <c r="V84" i="3" l="1"/>
  <c r="V82" i="3"/>
  <c r="V74" i="3"/>
  <c r="V80" i="3"/>
  <c r="V71" i="3"/>
  <c r="V68" i="3"/>
  <c r="V65" i="3"/>
  <c r="V64" i="3"/>
  <c r="V62" i="3"/>
  <c r="V1516" i="3" l="1"/>
  <c r="V1512" i="3"/>
  <c r="V1507" i="3"/>
  <c r="V1506" i="3"/>
  <c r="V1503" i="3"/>
  <c r="V1502" i="3"/>
  <c r="V1497" i="3"/>
  <c r="V1419" i="3" l="1"/>
  <c r="V1417" i="3"/>
  <c r="V1412" i="3"/>
  <c r="V1411" i="3"/>
  <c r="V1405" i="3"/>
  <c r="V1403" i="3"/>
  <c r="V1402" i="3"/>
  <c r="V1401" i="3"/>
  <c r="V1383" i="3" l="1"/>
  <c r="V1382" i="3"/>
  <c r="V1297" i="3"/>
  <c r="V1296" i="3"/>
  <c r="V1134" i="3"/>
  <c r="V1133" i="3"/>
  <c r="V1018" i="3"/>
  <c r="V1017" i="3"/>
  <c r="V915" i="3"/>
  <c r="V914" i="3"/>
  <c r="V734" i="3" l="1"/>
  <c r="V665" i="3"/>
  <c r="V664" i="3"/>
  <c r="V456" i="3"/>
  <c r="V1246" i="3" l="1"/>
  <c r="V1242" i="3"/>
  <c r="V549" i="3"/>
  <c r="V1239" i="3"/>
  <c r="V1240" i="3" s="1"/>
  <c r="W1312" i="3" l="1"/>
  <c r="AE1312" i="3" s="1"/>
  <c r="W1103" i="3"/>
  <c r="AE1103" i="3" s="1"/>
  <c r="W1104" i="3"/>
  <c r="AE1104" i="3" s="1"/>
  <c r="W1105" i="3"/>
  <c r="AE1105" i="3" s="1"/>
  <c r="W1106" i="3"/>
  <c r="AE1106" i="3" s="1"/>
  <c r="W1107" i="3"/>
  <c r="AE1107" i="3" s="1"/>
  <c r="W1099" i="3"/>
  <c r="AE1099" i="3" s="1"/>
  <c r="W1095" i="3"/>
  <c r="AE1095" i="3" s="1"/>
  <c r="W1047" i="3"/>
  <c r="AE1047" i="3" s="1"/>
  <c r="W1048" i="3"/>
  <c r="AE1048" i="3" s="1"/>
  <c r="W1049" i="3"/>
  <c r="AE1049" i="3" s="1"/>
  <c r="W1043" i="3"/>
  <c r="AE1043" i="3" s="1"/>
  <c r="W1044" i="3"/>
  <c r="AE1044" i="3" s="1"/>
  <c r="W999" i="3"/>
  <c r="AE999" i="3" s="1"/>
  <c r="W993" i="3"/>
  <c r="AE993" i="3" s="1"/>
  <c r="W984" i="3"/>
  <c r="AE984" i="3" s="1"/>
  <c r="W972" i="3"/>
  <c r="AE972" i="3" s="1"/>
  <c r="W959" i="3"/>
  <c r="AE959" i="3" s="1"/>
  <c r="W927" i="3"/>
  <c r="AE927" i="3" s="1"/>
  <c r="W928" i="3"/>
  <c r="AE928" i="3" s="1"/>
  <c r="W838" i="3"/>
  <c r="AE838" i="3" s="1"/>
  <c r="W820" i="3"/>
  <c r="AE820" i="3" s="1"/>
  <c r="W812" i="3"/>
  <c r="AE812" i="3" s="1"/>
  <c r="W813" i="3"/>
  <c r="AE813" i="3" s="1"/>
  <c r="W814" i="3"/>
  <c r="AE814" i="3" s="1"/>
  <c r="W817" i="3"/>
  <c r="AE817" i="3" s="1"/>
  <c r="W818" i="3"/>
  <c r="AE818" i="3" s="1"/>
  <c r="W808" i="3"/>
  <c r="AE808" i="3" s="1"/>
  <c r="W806" i="3"/>
  <c r="AE806" i="3" s="1"/>
  <c r="W773" i="3"/>
  <c r="AE773" i="3" s="1"/>
  <c r="W757" i="3"/>
  <c r="AE757" i="3" s="1"/>
  <c r="W328" i="3"/>
  <c r="AE328" i="3" s="1"/>
  <c r="W222" i="3"/>
  <c r="AE222" i="3" s="1"/>
  <c r="W221" i="3"/>
  <c r="AE221" i="3" s="1"/>
  <c r="W220" i="3"/>
  <c r="AE220" i="3" s="1"/>
  <c r="W218" i="3"/>
  <c r="AE218" i="3" s="1"/>
  <c r="W217" i="3"/>
  <c r="AE217" i="3" s="1"/>
  <c r="W214" i="3"/>
  <c r="AE214" i="3" s="1"/>
  <c r="W212" i="3"/>
  <c r="AE212" i="3" s="1"/>
  <c r="W211" i="3"/>
  <c r="AE211" i="3" s="1"/>
  <c r="W206" i="3"/>
  <c r="AE206" i="3" s="1"/>
  <c r="W205" i="3"/>
  <c r="AE205" i="3" s="1"/>
  <c r="W203" i="3"/>
  <c r="AE203" i="3" s="1"/>
  <c r="W202" i="3"/>
  <c r="AE202" i="3" s="1"/>
  <c r="W200" i="3"/>
  <c r="AE200" i="3" s="1"/>
  <c r="W199" i="3"/>
  <c r="AE199" i="3" s="1"/>
  <c r="W198" i="3"/>
  <c r="AE198" i="3" s="1"/>
  <c r="W197" i="3"/>
  <c r="AE197" i="3" s="1"/>
  <c r="W196" i="3"/>
  <c r="AE196" i="3" s="1"/>
  <c r="W195" i="3"/>
  <c r="AE195" i="3" s="1"/>
  <c r="W194" i="3"/>
  <c r="AE194" i="3" s="1"/>
  <c r="W192" i="3"/>
  <c r="AE192" i="3" s="1"/>
  <c r="V1499" i="3" l="1"/>
  <c r="V1496" i="3"/>
  <c r="V1486" i="3"/>
  <c r="V1482" i="3"/>
  <c r="V1471" i="3"/>
  <c r="V1473" i="3" s="1"/>
  <c r="V1463" i="3"/>
  <c r="V1465" i="3" s="1"/>
  <c r="V1457" i="3"/>
  <c r="V1456" i="3"/>
  <c r="V1455" i="3"/>
  <c r="V1454" i="3"/>
  <c r="V1451" i="3"/>
  <c r="V238" i="3" s="1"/>
  <c r="V1434" i="3"/>
  <c r="V1428" i="3"/>
  <c r="V1418" i="3"/>
  <c r="V1421" i="3" s="1"/>
  <c r="V1413" i="3"/>
  <c r="V1410" i="3"/>
  <c r="V1404" i="3"/>
  <c r="V1408" i="3" s="1"/>
  <c r="V1370" i="3"/>
  <c r="V1369" i="3"/>
  <c r="V1362" i="3"/>
  <c r="V1366" i="3" s="1"/>
  <c r="V1360" i="3"/>
  <c r="V1365" i="3" s="1"/>
  <c r="V1357" i="3"/>
  <c r="V1358" i="3" s="1"/>
  <c r="V1356" i="3"/>
  <c r="V1354" i="3"/>
  <c r="V1324" i="3"/>
  <c r="V1458" i="3" s="1"/>
  <c r="V1319" i="3"/>
  <c r="V1318" i="3"/>
  <c r="V1307" i="3"/>
  <c r="V1333" i="3" s="1"/>
  <c r="V1298" i="3"/>
  <c r="V1291" i="3"/>
  <c r="V1257" i="3"/>
  <c r="V1256" i="3"/>
  <c r="V1255" i="3"/>
  <c r="V1250" i="3"/>
  <c r="V1247" i="3"/>
  <c r="V1233" i="3"/>
  <c r="V1222" i="3"/>
  <c r="V1226" i="3" s="1"/>
  <c r="V1215" i="3"/>
  <c r="V1200" i="3"/>
  <c r="V1201" i="3" s="1"/>
  <c r="V1203" i="3" s="1"/>
  <c r="V1199" i="3"/>
  <c r="V1194" i="3"/>
  <c r="V1175" i="3"/>
  <c r="V1181" i="3" s="1"/>
  <c r="V1169" i="3"/>
  <c r="V1140" i="3"/>
  <c r="V1145" i="3" s="1"/>
  <c r="V1127" i="3"/>
  <c r="V1128" i="3" s="1"/>
  <c r="V1124" i="3"/>
  <c r="V1121" i="3"/>
  <c r="V1122" i="3" s="1"/>
  <c r="V1118" i="3"/>
  <c r="V1119" i="3" s="1"/>
  <c r="V374" i="3" s="1"/>
  <c r="V288" i="3"/>
  <c r="V1074" i="3"/>
  <c r="V293" i="3" s="1"/>
  <c r="V1016" i="3"/>
  <c r="V1013" i="3"/>
  <c r="V1014" i="3" s="1"/>
  <c r="V1010" i="3"/>
  <c r="V1007" i="3"/>
  <c r="V1008" i="3" s="1"/>
  <c r="V1004" i="3"/>
  <c r="V287" i="3"/>
  <c r="V964" i="3"/>
  <c r="V292" i="3" s="1"/>
  <c r="V911" i="3"/>
  <c r="V912" i="3" s="1"/>
  <c r="V908" i="3"/>
  <c r="V905" i="3"/>
  <c r="V906" i="3" s="1"/>
  <c r="V901" i="3"/>
  <c r="V849" i="3"/>
  <c r="V844" i="3"/>
  <c r="V291" i="3" s="1"/>
  <c r="V732" i="3"/>
  <c r="V724" i="3"/>
  <c r="V720" i="3"/>
  <c r="V722" i="3" s="1"/>
  <c r="V717" i="3"/>
  <c r="V748" i="3" s="1"/>
  <c r="V702" i="3"/>
  <c r="V704" i="3" s="1"/>
  <c r="V713" i="3" s="1"/>
  <c r="V685" i="3"/>
  <c r="V681" i="3"/>
  <c r="V678" i="3"/>
  <c r="V666" i="3"/>
  <c r="V639" i="3"/>
  <c r="V638" i="3"/>
  <c r="V637" i="3"/>
  <c r="V636" i="3"/>
  <c r="V634" i="3"/>
  <c r="V633" i="3"/>
  <c r="V632" i="3"/>
  <c r="V631" i="3"/>
  <c r="V630" i="3"/>
  <c r="V624" i="3"/>
  <c r="V619" i="3"/>
  <c r="V618" i="3"/>
  <c r="V584" i="3"/>
  <c r="V581" i="3"/>
  <c r="V578" i="3"/>
  <c r="V575" i="3"/>
  <c r="V572" i="3"/>
  <c r="V569" i="3"/>
  <c r="V566" i="3"/>
  <c r="V563" i="3"/>
  <c r="V560" i="3"/>
  <c r="V554" i="3"/>
  <c r="V556" i="3" s="1"/>
  <c r="V550" i="3"/>
  <c r="V228" i="3" s="1"/>
  <c r="V231" i="3" s="1"/>
  <c r="V548" i="3"/>
  <c r="V546" i="3"/>
  <c r="V544" i="3"/>
  <c r="V542" i="3"/>
  <c r="V540" i="3"/>
  <c r="V537" i="3"/>
  <c r="V538" i="3" s="1"/>
  <c r="V227" i="3" s="1"/>
  <c r="V230" i="3" s="1"/>
  <c r="V519" i="3"/>
  <c r="V518" i="3"/>
  <c r="V531" i="3" s="1"/>
  <c r="V511" i="3"/>
  <c r="V509" i="3"/>
  <c r="V508" i="3"/>
  <c r="V490" i="3"/>
  <c r="V500" i="3" s="1"/>
  <c r="V502" i="3" s="1"/>
  <c r="V486" i="3"/>
  <c r="V487" i="3" s="1"/>
  <c r="V480" i="3"/>
  <c r="V476" i="3"/>
  <c r="V472" i="3"/>
  <c r="V457" i="3"/>
  <c r="V458" i="3" s="1"/>
  <c r="V454" i="3"/>
  <c r="V368" i="3"/>
  <c r="V367" i="3"/>
  <c r="V366" i="3"/>
  <c r="V365" i="3"/>
  <c r="V359" i="3"/>
  <c r="V355" i="3"/>
  <c r="V343" i="3"/>
  <c r="V331" i="3"/>
  <c r="V311" i="3"/>
  <c r="V303" i="3"/>
  <c r="V300" i="3"/>
  <c r="V286" i="3"/>
  <c r="V281" i="3"/>
  <c r="V279" i="3"/>
  <c r="V278" i="3"/>
  <c r="V277" i="3"/>
  <c r="V272" i="3"/>
  <c r="V271" i="3"/>
  <c r="V273" i="3" s="1"/>
  <c r="V270" i="3"/>
  <c r="V269" i="3"/>
  <c r="V266" i="3"/>
  <c r="V267" i="3" s="1"/>
  <c r="V263" i="3"/>
  <c r="V262" i="3"/>
  <c r="V250" i="3"/>
  <c r="V246" i="3"/>
  <c r="V239" i="3"/>
  <c r="V237" i="3"/>
  <c r="V162" i="3"/>
  <c r="V154" i="3"/>
  <c r="V1460" i="3" s="1"/>
  <c r="V1461" i="3" s="1"/>
  <c r="V1462" i="3" s="1"/>
  <c r="V151" i="3"/>
  <c r="V1373" i="3" s="1"/>
  <c r="V148" i="3"/>
  <c r="V145" i="3"/>
  <c r="V146" i="3" s="1"/>
  <c r="V140" i="3"/>
  <c r="V136" i="3"/>
  <c r="V132" i="3"/>
  <c r="V111" i="3"/>
  <c r="V107" i="3"/>
  <c r="V103" i="3"/>
  <c r="V91" i="3"/>
  <c r="V90" i="3"/>
  <c r="V89" i="3"/>
  <c r="V87" i="3"/>
  <c r="V85" i="3"/>
  <c r="V78" i="3"/>
  <c r="V96" i="3" s="1"/>
  <c r="V72" i="3"/>
  <c r="V95" i="3" s="1"/>
  <c r="V66" i="3"/>
  <c r="V94" i="3" s="1"/>
  <c r="V56" i="3"/>
  <c r="V45" i="3"/>
  <c r="V40" i="3"/>
  <c r="V34" i="3"/>
  <c r="V32" i="3"/>
  <c r="V33" i="3" s="1"/>
  <c r="V29" i="3"/>
  <c r="V30" i="3" s="1"/>
  <c r="V26" i="3"/>
  <c r="V27" i="3" s="1"/>
  <c r="V23" i="3"/>
  <c r="V20" i="3"/>
  <c r="V19" i="3"/>
  <c r="V18" i="3"/>
  <c r="V17" i="3"/>
  <c r="V12" i="3"/>
  <c r="V13" i="3" s="1"/>
  <c r="V11" i="3"/>
  <c r="V9" i="3"/>
  <c r="V1483" i="3" l="1"/>
  <c r="V1474" i="3" s="1"/>
  <c r="V97" i="3"/>
  <c r="V620" i="3"/>
  <c r="V1243" i="3"/>
  <c r="V1299" i="3" s="1"/>
  <c r="V1415" i="3"/>
  <c r="V161" i="3"/>
  <c r="V1005" i="3"/>
  <c r="V373" i="3" s="1"/>
  <c r="V902" i="3"/>
  <c r="V667" i="3"/>
  <c r="V1500" i="3"/>
  <c r="V295" i="3"/>
  <c r="V37" i="3"/>
  <c r="V733" i="3"/>
  <c r="V682" i="3"/>
  <c r="V687" i="3" s="1"/>
  <c r="V647" i="3" s="1"/>
  <c r="V35" i="3"/>
  <c r="V36" i="3" s="1"/>
  <c r="V264" i="3"/>
  <c r="V1364" i="3"/>
  <c r="V1363" i="3"/>
  <c r="V1258" i="3"/>
  <c r="V1141" i="3"/>
  <c r="V1146" i="3"/>
  <c r="V492" i="3"/>
  <c r="V495" i="3"/>
  <c r="V497" i="3" s="1"/>
  <c r="V477" i="3"/>
  <c r="V482" i="3" s="1"/>
  <c r="V385" i="3" s="1"/>
  <c r="V360" i="3"/>
  <c r="V370" i="3"/>
  <c r="V512" i="3"/>
  <c r="V1320" i="3"/>
  <c r="V1325" i="3"/>
  <c r="V236" i="3" s="1"/>
  <c r="V1330" i="3"/>
  <c r="V1334" i="3"/>
  <c r="V21" i="3"/>
  <c r="V1076" i="3"/>
  <c r="V255" i="3" s="1"/>
  <c r="V1075" i="3"/>
  <c r="V1126" i="3"/>
  <c r="V119" i="3"/>
  <c r="V120" i="3" s="1"/>
  <c r="V147" i="3"/>
  <c r="V1371" i="3"/>
  <c r="V1372" i="3" s="1"/>
  <c r="V965" i="3"/>
  <c r="V254" i="3" s="1"/>
  <c r="V1012" i="3"/>
  <c r="V289" i="3"/>
  <c r="V98" i="3"/>
  <c r="V845" i="3"/>
  <c r="V253" i="3" s="1"/>
  <c r="V916" i="3"/>
  <c r="V280" i="3"/>
  <c r="V1176" i="3"/>
  <c r="V1326" i="3"/>
  <c r="V1331" i="3"/>
  <c r="V1376" i="3"/>
  <c r="V1386" i="3"/>
  <c r="V525" i="3"/>
  <c r="V725" i="3"/>
  <c r="V731" i="3"/>
  <c r="V737" i="3"/>
  <c r="V741" i="3"/>
  <c r="V745" i="3"/>
  <c r="V24" i="3"/>
  <c r="V126" i="3"/>
  <c r="V127" i="3" s="1"/>
  <c r="V625" i="3"/>
  <c r="V726" i="3"/>
  <c r="V738" i="3"/>
  <c r="V742" i="3"/>
  <c r="V746" i="3"/>
  <c r="V1180" i="3"/>
  <c r="V1327" i="3"/>
  <c r="V1332" i="3"/>
  <c r="V1380" i="3"/>
  <c r="V520" i="3"/>
  <c r="V521" i="3" s="1"/>
  <c r="V727" i="3"/>
  <c r="V739" i="3"/>
  <c r="V743" i="3"/>
  <c r="V747" i="3"/>
  <c r="V88" i="3"/>
  <c r="V86" i="3" s="1"/>
  <c r="V92" i="3" s="1"/>
  <c r="V640" i="3"/>
  <c r="V235" i="3" s="1"/>
  <c r="V234" i="3" s="1"/>
  <c r="V662" i="3"/>
  <c r="V728" i="3"/>
  <c r="V740" i="3"/>
  <c r="V744" i="3"/>
  <c r="V648" i="3" l="1"/>
  <c r="V1279" i="3"/>
  <c r="V646" i="3"/>
  <c r="V645" i="3"/>
  <c r="V643" i="3"/>
  <c r="V644" i="3"/>
  <c r="V1276" i="3"/>
  <c r="V1244" i="3"/>
  <c r="V1286" i="3"/>
  <c r="V1282" i="3"/>
  <c r="V1273" i="3"/>
  <c r="V1284" i="3"/>
  <c r="V1277" i="3"/>
  <c r="V1274" i="3"/>
  <c r="V1292" i="3"/>
  <c r="V1288" i="3"/>
  <c r="V1280" i="3"/>
  <c r="V1241" i="3"/>
  <c r="V1287" i="3"/>
  <c r="V1283" i="3"/>
  <c r="V274" i="3"/>
  <c r="V275" i="3" s="1"/>
  <c r="V1281" i="3"/>
  <c r="V1278" i="3"/>
  <c r="V1275" i="3"/>
  <c r="V1294" i="3"/>
  <c r="V1295" i="3" s="1"/>
  <c r="V372" i="3"/>
  <c r="V376" i="3" s="1"/>
  <c r="AI898" i="3"/>
  <c r="V282" i="3"/>
  <c r="V386" i="3"/>
  <c r="V387" i="3"/>
  <c r="V1328" i="3"/>
  <c r="V1335" i="3"/>
  <c r="V384" i="3"/>
  <c r="V383" i="3" s="1"/>
  <c r="V526" i="3"/>
  <c r="V527" i="3" s="1"/>
  <c r="V532" i="3"/>
  <c r="V533" i="3" s="1"/>
  <c r="V749" i="3"/>
  <c r="V1289" i="3" l="1"/>
  <c r="V256" i="3" s="1"/>
  <c r="V642" i="3"/>
  <c r="T375" i="3"/>
  <c r="T1516" i="3" l="1"/>
  <c r="T1512" i="3"/>
  <c r="T1507" i="3"/>
  <c r="T1506" i="3"/>
  <c r="T1503" i="3"/>
  <c r="T1502" i="3"/>
  <c r="T1497" i="3"/>
  <c r="T1419" i="3" l="1"/>
  <c r="T1417" i="3"/>
  <c r="T1412" i="3"/>
  <c r="T1411" i="3"/>
  <c r="T1405" i="3"/>
  <c r="T1403" i="3"/>
  <c r="T1402" i="3"/>
  <c r="T1401" i="3"/>
  <c r="T1385" i="3" l="1"/>
  <c r="T1383" i="3" l="1"/>
  <c r="T1382" i="3"/>
  <c r="T1297" i="3"/>
  <c r="T1296" i="3"/>
  <c r="T1057" i="3"/>
  <c r="T1029" i="3"/>
  <c r="T1026" i="3"/>
  <c r="T1023" i="3"/>
  <c r="T1022" i="3"/>
  <c r="T1033" i="3" l="1"/>
  <c r="U959" i="3"/>
  <c r="X959" i="3" s="1"/>
  <c r="Z959" i="3" s="1"/>
  <c r="AB959" i="3" s="1"/>
  <c r="AF959" i="3" s="1"/>
  <c r="T940" i="3"/>
  <c r="T960" i="3"/>
  <c r="T932" i="3"/>
  <c r="T937" i="3"/>
  <c r="T944" i="3"/>
  <c r="W944" i="3" s="1"/>
  <c r="AE944" i="3" s="1"/>
  <c r="T962" i="3"/>
  <c r="T943" i="3"/>
  <c r="T951" i="3"/>
  <c r="T963" i="3"/>
  <c r="T949" i="3"/>
  <c r="T954" i="3"/>
  <c r="T783" i="3" l="1"/>
  <c r="T805" i="3"/>
  <c r="T807" i="3"/>
  <c r="T821" i="3"/>
  <c r="T764" i="3"/>
  <c r="T964" i="3" l="1"/>
  <c r="T1134" i="3"/>
  <c r="T1133" i="3"/>
  <c r="T1018" i="3"/>
  <c r="T1017" i="3"/>
  <c r="T915" i="3"/>
  <c r="T914" i="3"/>
  <c r="T965" i="3" l="1"/>
  <c r="T292" i="3"/>
  <c r="T734" i="3"/>
  <c r="T665" i="3"/>
  <c r="T664" i="3"/>
  <c r="T504" i="3"/>
  <c r="T456" i="3"/>
  <c r="T1265" i="3" l="1"/>
  <c r="S972" i="3" l="1"/>
  <c r="U972" i="3" s="1"/>
  <c r="X972" i="3" s="1"/>
  <c r="Z972" i="3" s="1"/>
  <c r="AB972" i="3" s="1"/>
  <c r="AF972" i="3" s="1"/>
  <c r="T110" i="3"/>
  <c r="T106" i="3"/>
  <c r="T102" i="3"/>
  <c r="T81" i="3"/>
  <c r="T114" i="3" s="1"/>
  <c r="I298" i="28" l="1"/>
  <c r="M298" i="28" s="1"/>
  <c r="I311" i="28" l="1"/>
  <c r="T46" i="3"/>
  <c r="M311" i="28" l="1"/>
  <c r="Q298" i="28"/>
  <c r="T549" i="3"/>
  <c r="Q311" i="28" l="1"/>
  <c r="U298" i="28"/>
  <c r="T1246" i="3"/>
  <c r="T1247" i="3" s="1"/>
  <c r="T1249" i="3"/>
  <c r="T1257" i="3" s="1"/>
  <c r="AH1250" i="3"/>
  <c r="T1222" i="3"/>
  <c r="T1233" i="3"/>
  <c r="T1239" i="3"/>
  <c r="T1240" i="3" s="1"/>
  <c r="T1242" i="3"/>
  <c r="T1255" i="3"/>
  <c r="T1256" i="3"/>
  <c r="U311" i="28" l="1"/>
  <c r="AA298" i="28"/>
  <c r="T1226" i="3"/>
  <c r="T1250" i="3"/>
  <c r="T1243" i="3" s="1"/>
  <c r="T1244" i="3" s="1"/>
  <c r="T1258" i="3"/>
  <c r="AA311" i="28" l="1"/>
  <c r="AE298" i="28"/>
  <c r="T1241" i="3"/>
  <c r="AE311" i="28" l="1"/>
  <c r="AI298" i="28"/>
  <c r="AO298" i="28" s="1"/>
  <c r="P75" i="8"/>
  <c r="AR75" i="8" s="1"/>
  <c r="L75" i="8"/>
  <c r="H75" i="8"/>
  <c r="T75" i="8" s="1"/>
  <c r="AN75" i="8" l="1"/>
  <c r="AV75" i="8"/>
  <c r="BB75" i="8" s="1"/>
  <c r="AS298" i="28"/>
  <c r="AO311" i="28"/>
  <c r="AI311" i="28"/>
  <c r="P39" i="34"/>
  <c r="P29" i="34"/>
  <c r="P21" i="34"/>
  <c r="AI61" i="32"/>
  <c r="P61" i="32"/>
  <c r="AS311" i="28" l="1"/>
  <c r="AW298" i="28"/>
  <c r="P41" i="34"/>
  <c r="BE298" i="28" l="1"/>
  <c r="BE311" i="28" s="1"/>
  <c r="AW311" i="28"/>
  <c r="T666" i="3"/>
  <c r="T1499" i="3"/>
  <c r="T1496" i="3"/>
  <c r="T1486" i="3"/>
  <c r="T1482" i="3"/>
  <c r="T1471" i="3"/>
  <c r="T1473" i="3" s="1"/>
  <c r="T1463" i="3"/>
  <c r="T1465" i="3" s="1"/>
  <c r="T1457" i="3"/>
  <c r="T1456" i="3"/>
  <c r="T1455" i="3"/>
  <c r="T1454" i="3"/>
  <c r="T1451" i="3"/>
  <c r="T238" i="3" s="1"/>
  <c r="T1434" i="3"/>
  <c r="T1428" i="3"/>
  <c r="T1418" i="3"/>
  <c r="T1421" i="3" s="1"/>
  <c r="T1413" i="3"/>
  <c r="T1410" i="3"/>
  <c r="T1404" i="3"/>
  <c r="T1408" i="3" s="1"/>
  <c r="T1370" i="3"/>
  <c r="T1369" i="3"/>
  <c r="T1362" i="3"/>
  <c r="T1366" i="3" s="1"/>
  <c r="T1360" i="3"/>
  <c r="T1365" i="3" s="1"/>
  <c r="T1357" i="3"/>
  <c r="T1358" i="3" s="1"/>
  <c r="T1356" i="3"/>
  <c r="T1354" i="3"/>
  <c r="T1324" i="3"/>
  <c r="T1458" i="3" s="1"/>
  <c r="T1319" i="3"/>
  <c r="T1318" i="3"/>
  <c r="T1307" i="3"/>
  <c r="T1333" i="3" s="1"/>
  <c r="T1298" i="3"/>
  <c r="T1299" i="3" s="1"/>
  <c r="T1294" i="3"/>
  <c r="T1295" i="3" s="1"/>
  <c r="T1292" i="3"/>
  <c r="T1291" i="3"/>
  <c r="T1288" i="3"/>
  <c r="U85" i="9" s="1"/>
  <c r="T1287" i="3"/>
  <c r="T1286" i="3"/>
  <c r="T1284" i="3"/>
  <c r="T1283" i="3"/>
  <c r="T1282" i="3"/>
  <c r="T1281" i="3"/>
  <c r="T1280" i="3"/>
  <c r="T1279" i="3"/>
  <c r="T1278" i="3"/>
  <c r="T1277" i="3"/>
  <c r="T1276" i="3"/>
  <c r="T1275" i="3"/>
  <c r="T1274" i="3"/>
  <c r="T1273" i="3"/>
  <c r="T1215" i="3"/>
  <c r="T1200" i="3"/>
  <c r="T1201" i="3" s="1"/>
  <c r="T1203" i="3" s="1"/>
  <c r="T1199" i="3"/>
  <c r="T1194" i="3"/>
  <c r="T1175" i="3"/>
  <c r="T1176" i="3" s="1"/>
  <c r="T1169" i="3"/>
  <c r="T1140" i="3"/>
  <c r="T1146" i="3" s="1"/>
  <c r="T1127" i="3"/>
  <c r="T1128" i="3" s="1"/>
  <c r="T1124" i="3"/>
  <c r="T1121" i="3"/>
  <c r="T1122" i="3" s="1"/>
  <c r="T1118" i="3"/>
  <c r="T1074" i="3"/>
  <c r="T1126" i="3" s="1"/>
  <c r="T1016" i="3"/>
  <c r="T1013" i="3"/>
  <c r="T1014" i="3" s="1"/>
  <c r="T1010" i="3"/>
  <c r="T1007" i="3"/>
  <c r="T1008" i="3" s="1"/>
  <c r="T1004" i="3"/>
  <c r="T911" i="3"/>
  <c r="T912" i="3" s="1"/>
  <c r="T908" i="3"/>
  <c r="T905" i="3"/>
  <c r="T906" i="3" s="1"/>
  <c r="T901" i="3"/>
  <c r="T849" i="3"/>
  <c r="T286" i="3"/>
  <c r="T844" i="3"/>
  <c r="T291" i="3" s="1"/>
  <c r="T732" i="3"/>
  <c r="T724" i="3"/>
  <c r="T720" i="3"/>
  <c r="T722" i="3" s="1"/>
  <c r="T717" i="3"/>
  <c r="T745" i="3" s="1"/>
  <c r="T702" i="3"/>
  <c r="T704" i="3" s="1"/>
  <c r="T685" i="3"/>
  <c r="T681" i="3"/>
  <c r="T678" i="3"/>
  <c r="T639" i="3"/>
  <c r="T638" i="3"/>
  <c r="T637" i="3"/>
  <c r="T636" i="3"/>
  <c r="T634" i="3"/>
  <c r="T633" i="3"/>
  <c r="T632" i="3"/>
  <c r="T631" i="3"/>
  <c r="T630" i="3"/>
  <c r="T624" i="3"/>
  <c r="T662" i="3" s="1"/>
  <c r="T619" i="3"/>
  <c r="T618" i="3"/>
  <c r="T584" i="3"/>
  <c r="T581" i="3"/>
  <c r="T578" i="3"/>
  <c r="T575" i="3"/>
  <c r="T572" i="3"/>
  <c r="T569" i="3"/>
  <c r="T566" i="3"/>
  <c r="T563" i="3"/>
  <c r="T560" i="3"/>
  <c r="T554" i="3"/>
  <c r="T556" i="3" s="1"/>
  <c r="T550" i="3"/>
  <c r="T548" i="3"/>
  <c r="T546" i="3"/>
  <c r="T544" i="3"/>
  <c r="T542" i="3"/>
  <c r="T540" i="3"/>
  <c r="T537" i="3"/>
  <c r="T538" i="3" s="1"/>
  <c r="T227" i="3" s="1"/>
  <c r="T230" i="3" s="1"/>
  <c r="T519" i="3"/>
  <c r="T518" i="3"/>
  <c r="T525" i="3" s="1"/>
  <c r="T511" i="3"/>
  <c r="T509" i="3"/>
  <c r="T508" i="3"/>
  <c r="T490" i="3"/>
  <c r="T500" i="3" s="1"/>
  <c r="T502" i="3" s="1"/>
  <c r="T486" i="3"/>
  <c r="T487" i="3" s="1"/>
  <c r="T480" i="3"/>
  <c r="T476" i="3"/>
  <c r="T472" i="3"/>
  <c r="T457" i="3"/>
  <c r="T458" i="3" s="1"/>
  <c r="T454" i="3"/>
  <c r="T368" i="3"/>
  <c r="T367" i="3"/>
  <c r="T366" i="3"/>
  <c r="T365" i="3"/>
  <c r="T359" i="3"/>
  <c r="T355" i="3"/>
  <c r="T343" i="3"/>
  <c r="T331" i="3"/>
  <c r="T311" i="3"/>
  <c r="T303" i="3"/>
  <c r="T300" i="3"/>
  <c r="T288" i="3"/>
  <c r="T287" i="3"/>
  <c r="T281" i="3"/>
  <c r="T279" i="3"/>
  <c r="T278" i="3"/>
  <c r="T277" i="3"/>
  <c r="T274" i="3"/>
  <c r="T275" i="3" s="1"/>
  <c r="T272" i="3"/>
  <c r="T271" i="3"/>
  <c r="T273" i="3" s="1"/>
  <c r="T270" i="3"/>
  <c r="T269" i="3"/>
  <c r="T266" i="3"/>
  <c r="T267" i="3" s="1"/>
  <c r="T263" i="3"/>
  <c r="T262" i="3"/>
  <c r="T250" i="3"/>
  <c r="T246" i="3"/>
  <c r="T239" i="3"/>
  <c r="T237" i="3"/>
  <c r="T228" i="3"/>
  <c r="T231" i="3" s="1"/>
  <c r="T162" i="3"/>
  <c r="T154" i="3"/>
  <c r="T1460" i="3" s="1"/>
  <c r="T1461" i="3" s="1"/>
  <c r="T151" i="3"/>
  <c r="T1373" i="3" s="1"/>
  <c r="T148" i="3"/>
  <c r="T145" i="3"/>
  <c r="T520" i="3" s="1"/>
  <c r="T526" i="3" s="1"/>
  <c r="T140" i="3"/>
  <c r="T136" i="3"/>
  <c r="T132" i="3"/>
  <c r="T126" i="3"/>
  <c r="T127" i="3" s="1"/>
  <c r="T117" i="3"/>
  <c r="T115" i="3"/>
  <c r="T111" i="3"/>
  <c r="T107" i="3"/>
  <c r="T91" i="3"/>
  <c r="T90" i="3"/>
  <c r="T89" i="3"/>
  <c r="T88" i="3"/>
  <c r="T87" i="3"/>
  <c r="T85" i="3"/>
  <c r="T78" i="3"/>
  <c r="T96" i="3" s="1"/>
  <c r="T72" i="3"/>
  <c r="T95" i="3" s="1"/>
  <c r="T66" i="3"/>
  <c r="T94" i="3" s="1"/>
  <c r="T56" i="3"/>
  <c r="T45" i="3"/>
  <c r="T1317" i="3"/>
  <c r="T40" i="3"/>
  <c r="T34" i="3"/>
  <c r="T32" i="3"/>
  <c r="T33" i="3" s="1"/>
  <c r="T29" i="3"/>
  <c r="T30" i="3" s="1"/>
  <c r="T26" i="3"/>
  <c r="T27" i="3" s="1"/>
  <c r="T23" i="3"/>
  <c r="T20" i="3"/>
  <c r="T19" i="3"/>
  <c r="T18" i="3"/>
  <c r="T17" i="3"/>
  <c r="T12" i="3"/>
  <c r="T13" i="3" s="1"/>
  <c r="T11" i="3"/>
  <c r="T9" i="3"/>
  <c r="T1483" i="3" l="1"/>
  <c r="T1474" i="3" s="1"/>
  <c r="T97" i="3"/>
  <c r="T21" i="3"/>
  <c r="T1181" i="3"/>
  <c r="T1180" i="3"/>
  <c r="T477" i="3"/>
  <c r="T482" i="3" s="1"/>
  <c r="T387" i="3" s="1"/>
  <c r="T161" i="3"/>
  <c r="T1119" i="3"/>
  <c r="T374" i="3" s="1"/>
  <c r="T1005" i="3"/>
  <c r="T373" i="3" s="1"/>
  <c r="T902" i="3"/>
  <c r="T372" i="3" s="1"/>
  <c r="T625" i="3"/>
  <c r="T264" i="3"/>
  <c r="T370" i="3"/>
  <c r="T512" i="3"/>
  <c r="T740" i="3"/>
  <c r="T1330" i="3"/>
  <c r="T1415" i="3"/>
  <c r="T728" i="3"/>
  <c r="T748" i="3"/>
  <c r="T1334" i="3"/>
  <c r="T118" i="3"/>
  <c r="T119" i="3" s="1"/>
  <c r="T120" i="3" s="1"/>
  <c r="T1500" i="3"/>
  <c r="T1364" i="3"/>
  <c r="T1363" i="3"/>
  <c r="T1462" i="3"/>
  <c r="T1289" i="3"/>
  <c r="T256" i="3" s="1"/>
  <c r="T293" i="3"/>
  <c r="T289" i="3"/>
  <c r="T733" i="3"/>
  <c r="T742" i="3"/>
  <c r="T37" i="3"/>
  <c r="T744" i="3"/>
  <c r="T738" i="3"/>
  <c r="T746" i="3"/>
  <c r="T35" i="3"/>
  <c r="T36" i="3" s="1"/>
  <c r="T492" i="3"/>
  <c r="T360" i="3"/>
  <c r="T620" i="3"/>
  <c r="T146" i="3"/>
  <c r="T1371" i="3" s="1"/>
  <c r="T1372" i="3" s="1"/>
  <c r="T98" i="3"/>
  <c r="T86" i="3"/>
  <c r="T92" i="3" s="1"/>
  <c r="T1320" i="3"/>
  <c r="T1325" i="3"/>
  <c r="T236" i="3" s="1"/>
  <c r="T640" i="3"/>
  <c r="T235" i="3" s="1"/>
  <c r="T234" i="3" s="1"/>
  <c r="T667" i="3"/>
  <c r="T726" i="3"/>
  <c r="T713" i="3"/>
  <c r="T1012" i="3"/>
  <c r="T254" i="3"/>
  <c r="T280" i="3"/>
  <c r="T845" i="3"/>
  <c r="T253" i="3" s="1"/>
  <c r="T916" i="3"/>
  <c r="T527" i="3"/>
  <c r="T495" i="3"/>
  <c r="T497" i="3" s="1"/>
  <c r="T521" i="3"/>
  <c r="T531" i="3"/>
  <c r="T682" i="3"/>
  <c r="T687" i="3" s="1"/>
  <c r="T727" i="3"/>
  <c r="T739" i="3"/>
  <c r="T743" i="3"/>
  <c r="T747" i="3"/>
  <c r="T1076" i="3"/>
  <c r="T255" i="3" s="1"/>
  <c r="T1141" i="3"/>
  <c r="T1326" i="3"/>
  <c r="T1331" i="3"/>
  <c r="T1376" i="3"/>
  <c r="T1386" i="3"/>
  <c r="T1145" i="3"/>
  <c r="T1327" i="3"/>
  <c r="T1332" i="3"/>
  <c r="T1380" i="3"/>
  <c r="T532" i="3"/>
  <c r="T24" i="3"/>
  <c r="T103" i="3"/>
  <c r="T725" i="3"/>
  <c r="T731" i="3"/>
  <c r="T737" i="3"/>
  <c r="T741" i="3"/>
  <c r="R375" i="3"/>
  <c r="T147" i="3" l="1"/>
  <c r="T282" i="3"/>
  <c r="T376" i="3"/>
  <c r="T1335" i="3"/>
  <c r="T385" i="3"/>
  <c r="T384" i="3"/>
  <c r="T1328" i="3"/>
  <c r="T749" i="3"/>
  <c r="T386" i="3"/>
  <c r="T643" i="3"/>
  <c r="T645" i="3"/>
  <c r="T648" i="3"/>
  <c r="T644" i="3"/>
  <c r="T647" i="3"/>
  <c r="T533" i="3"/>
  <c r="T646" i="3"/>
  <c r="T295" i="3"/>
  <c r="O42" i="3"/>
  <c r="T383" i="3" l="1"/>
  <c r="T642" i="3"/>
  <c r="R1038" i="3" l="1"/>
  <c r="R1058" i="3"/>
  <c r="R1059" i="3"/>
  <c r="R1031" i="3"/>
  <c r="R1029" i="3"/>
  <c r="R1033" i="3"/>
  <c r="R1057" i="3"/>
  <c r="R1022" i="3"/>
  <c r="R1034" i="3" l="1"/>
  <c r="R1037" i="3"/>
  <c r="R1035" i="3"/>
  <c r="R1023" i="3"/>
  <c r="R1026" i="3"/>
  <c r="R1024" i="3"/>
  <c r="R1068" i="3"/>
  <c r="R1419" i="3" l="1"/>
  <c r="R1417" i="3"/>
  <c r="R1412" i="3"/>
  <c r="R1411" i="3"/>
  <c r="R1405" i="3"/>
  <c r="R1403" i="3"/>
  <c r="R1402" i="3"/>
  <c r="R1401" i="3"/>
  <c r="R1516" i="3" l="1"/>
  <c r="R1512" i="3"/>
  <c r="R1507" i="3"/>
  <c r="R1506" i="3"/>
  <c r="R1503" i="3"/>
  <c r="R1502" i="3"/>
  <c r="R1497" i="3"/>
  <c r="P999" i="3" l="1"/>
  <c r="Q999" i="3"/>
  <c r="S999" i="3" s="1"/>
  <c r="U999" i="3" s="1"/>
  <c r="X999" i="3" s="1"/>
  <c r="Z999" i="3" s="1"/>
  <c r="AB999" i="3" s="1"/>
  <c r="AF999" i="3" s="1"/>
  <c r="S200" i="3"/>
  <c r="U200" i="3" s="1"/>
  <c r="X200" i="3" s="1"/>
  <c r="Z200" i="3" s="1"/>
  <c r="AB200" i="3" s="1"/>
  <c r="AF200" i="3" s="1"/>
  <c r="S198" i="3"/>
  <c r="U198" i="3" s="1"/>
  <c r="X198" i="3" s="1"/>
  <c r="Z198" i="3" s="1"/>
  <c r="AB198" i="3" s="1"/>
  <c r="AF198" i="3" s="1"/>
  <c r="P194" i="3"/>
  <c r="Q194" i="3"/>
  <c r="S194" i="3" s="1"/>
  <c r="U194" i="3" s="1"/>
  <c r="X194" i="3" s="1"/>
  <c r="Z194" i="3" s="1"/>
  <c r="AB194" i="3" s="1"/>
  <c r="AF194" i="3" s="1"/>
  <c r="R102" i="3"/>
  <c r="R110" i="3"/>
  <c r="R106" i="3"/>
  <c r="R81" i="3"/>
  <c r="R114" i="3" l="1"/>
  <c r="R126" i="3"/>
  <c r="R1383" i="3"/>
  <c r="R1382" i="3"/>
  <c r="R1297" i="3"/>
  <c r="R1296" i="3"/>
  <c r="R1265" i="3"/>
  <c r="R1242" i="3" l="1"/>
  <c r="R915" i="3"/>
  <c r="R914" i="3"/>
  <c r="R1018" i="3"/>
  <c r="R1017" i="3"/>
  <c r="R1134" i="3"/>
  <c r="R1133" i="3"/>
  <c r="R924" i="3"/>
  <c r="R920" i="3"/>
  <c r="R932" i="3"/>
  <c r="R937" i="3"/>
  <c r="R943" i="3"/>
  <c r="R951" i="3"/>
  <c r="R949" i="3"/>
  <c r="R961" i="3"/>
  <c r="R956" i="3"/>
  <c r="R954" i="3"/>
  <c r="R783" i="3" l="1"/>
  <c r="R839" i="3"/>
  <c r="R788" i="3"/>
  <c r="R825" i="3"/>
  <c r="R805" i="3"/>
  <c r="R821" i="3"/>
  <c r="R843" i="3"/>
  <c r="R819" i="3"/>
  <c r="R760" i="3"/>
  <c r="R734" i="3" l="1"/>
  <c r="R665" i="3"/>
  <c r="R664" i="3"/>
  <c r="R456" i="3"/>
  <c r="R46" i="3" l="1"/>
  <c r="N39" i="34" l="1"/>
  <c r="N29" i="34"/>
  <c r="N21" i="34"/>
  <c r="AH61" i="32"/>
  <c r="O61" i="32"/>
  <c r="N41" i="34" l="1"/>
  <c r="R1499" i="3" l="1"/>
  <c r="R1496" i="3"/>
  <c r="R1486" i="3"/>
  <c r="R1482" i="3"/>
  <c r="R1471" i="3"/>
  <c r="R1473" i="3" s="1"/>
  <c r="R1463" i="3"/>
  <c r="R1465" i="3" s="1"/>
  <c r="R1457" i="3"/>
  <c r="R1456" i="3"/>
  <c r="R1455" i="3"/>
  <c r="R1454" i="3"/>
  <c r="R1451" i="3"/>
  <c r="R238" i="3" s="1"/>
  <c r="R1434" i="3"/>
  <c r="R1428" i="3"/>
  <c r="R1418" i="3"/>
  <c r="R1413" i="3"/>
  <c r="R1410" i="3"/>
  <c r="R1404" i="3"/>
  <c r="R1408" i="3" s="1"/>
  <c r="R1370" i="3"/>
  <c r="R1369" i="3"/>
  <c r="R1362" i="3"/>
  <c r="R1366" i="3" s="1"/>
  <c r="R1360" i="3"/>
  <c r="R1365" i="3" s="1"/>
  <c r="R1357" i="3"/>
  <c r="R1358" i="3" s="1"/>
  <c r="R1356" i="3"/>
  <c r="R1354" i="3"/>
  <c r="R1324" i="3"/>
  <c r="R1458" i="3" s="1"/>
  <c r="R1319" i="3"/>
  <c r="R1318" i="3"/>
  <c r="R1317" i="3"/>
  <c r="R1307" i="3"/>
  <c r="R1334" i="3" s="1"/>
  <c r="R1298" i="3"/>
  <c r="R1291" i="3"/>
  <c r="R1257" i="3"/>
  <c r="R1256" i="3"/>
  <c r="R1255" i="3"/>
  <c r="R1250" i="3"/>
  <c r="R1247" i="3"/>
  <c r="R1239" i="3"/>
  <c r="R1233" i="3"/>
  <c r="R1222" i="3"/>
  <c r="R1215" i="3"/>
  <c r="R1200" i="3"/>
  <c r="R1201" i="3" s="1"/>
  <c r="R1203" i="3" s="1"/>
  <c r="R1199" i="3"/>
  <c r="R1194" i="3"/>
  <c r="R1175" i="3"/>
  <c r="R1180" i="3" s="1"/>
  <c r="R1169" i="3"/>
  <c r="R1140" i="3"/>
  <c r="R1127" i="3"/>
  <c r="R1128" i="3" s="1"/>
  <c r="R1124" i="3"/>
  <c r="R1121" i="3"/>
  <c r="R1122" i="3" s="1"/>
  <c r="R1118" i="3"/>
  <c r="R1074" i="3"/>
  <c r="R293" i="3" s="1"/>
  <c r="R1016" i="3"/>
  <c r="R1013" i="3"/>
  <c r="R1014" i="3" s="1"/>
  <c r="R1010" i="3"/>
  <c r="R1007" i="3"/>
  <c r="R1008" i="3" s="1"/>
  <c r="R1004" i="3"/>
  <c r="R964" i="3"/>
  <c r="R911" i="3"/>
  <c r="R912" i="3" s="1"/>
  <c r="R908" i="3"/>
  <c r="R905" i="3"/>
  <c r="R906" i="3" s="1"/>
  <c r="R901" i="3"/>
  <c r="R849" i="3"/>
  <c r="R279" i="3"/>
  <c r="R732" i="3"/>
  <c r="R724" i="3"/>
  <c r="R720" i="3"/>
  <c r="R722" i="3" s="1"/>
  <c r="R717" i="3"/>
  <c r="R731" i="3" s="1"/>
  <c r="R702" i="3"/>
  <c r="R704" i="3" s="1"/>
  <c r="R713" i="3" s="1"/>
  <c r="R685" i="3"/>
  <c r="R681" i="3"/>
  <c r="R678" i="3"/>
  <c r="R666" i="3"/>
  <c r="R639" i="3"/>
  <c r="R638" i="3"/>
  <c r="R637" i="3"/>
  <c r="R636" i="3"/>
  <c r="R634" i="3"/>
  <c r="R633" i="3"/>
  <c r="R632" i="3"/>
  <c r="R631" i="3"/>
  <c r="R630" i="3"/>
  <c r="R624" i="3"/>
  <c r="R619" i="3"/>
  <c r="R618" i="3"/>
  <c r="R584" i="3"/>
  <c r="R581" i="3"/>
  <c r="R578" i="3"/>
  <c r="R575" i="3"/>
  <c r="R572" i="3"/>
  <c r="R569" i="3"/>
  <c r="R566" i="3"/>
  <c r="R563" i="3"/>
  <c r="R560" i="3"/>
  <c r="R554" i="3"/>
  <c r="R556" i="3" s="1"/>
  <c r="R550" i="3"/>
  <c r="R228" i="3" s="1"/>
  <c r="R231" i="3" s="1"/>
  <c r="R548" i="3"/>
  <c r="R546" i="3"/>
  <c r="R544" i="3"/>
  <c r="R542" i="3"/>
  <c r="R540" i="3"/>
  <c r="R537" i="3"/>
  <c r="R538" i="3" s="1"/>
  <c r="R227" i="3" s="1"/>
  <c r="R230" i="3" s="1"/>
  <c r="R519" i="3"/>
  <c r="R518" i="3"/>
  <c r="R525" i="3" s="1"/>
  <c r="R511" i="3"/>
  <c r="R509" i="3"/>
  <c r="R508" i="3"/>
  <c r="R490" i="3"/>
  <c r="R486" i="3"/>
  <c r="R487" i="3" s="1"/>
  <c r="R480" i="3"/>
  <c r="R476" i="3"/>
  <c r="R472" i="3"/>
  <c r="R457" i="3"/>
  <c r="R458" i="3" s="1"/>
  <c r="R454" i="3"/>
  <c r="R368" i="3"/>
  <c r="R367" i="3"/>
  <c r="R366" i="3"/>
  <c r="R365" i="3"/>
  <c r="R359" i="3"/>
  <c r="R355" i="3"/>
  <c r="R343" i="3"/>
  <c r="R331" i="3"/>
  <c r="R311" i="3"/>
  <c r="R303" i="3"/>
  <c r="R300" i="3"/>
  <c r="R288" i="3"/>
  <c r="R287" i="3"/>
  <c r="R286" i="3"/>
  <c r="R281" i="3"/>
  <c r="R278" i="3"/>
  <c r="R277" i="3"/>
  <c r="R272" i="3"/>
  <c r="R271" i="3"/>
  <c r="R273" i="3" s="1"/>
  <c r="R270" i="3"/>
  <c r="R269" i="3"/>
  <c r="R266" i="3"/>
  <c r="R267" i="3" s="1"/>
  <c r="R263" i="3"/>
  <c r="R262" i="3"/>
  <c r="R250" i="3"/>
  <c r="R246" i="3"/>
  <c r="R239" i="3"/>
  <c r="R237" i="3"/>
  <c r="R162" i="3"/>
  <c r="R161" i="3" s="1"/>
  <c r="W161" i="3" s="1"/>
  <c r="AE161" i="3" s="1"/>
  <c r="R154" i="3"/>
  <c r="R1460" i="3" s="1"/>
  <c r="R1461" i="3" s="1"/>
  <c r="R151" i="3"/>
  <c r="R1373" i="3" s="1"/>
  <c r="R148" i="3"/>
  <c r="R145" i="3"/>
  <c r="R146" i="3" s="1"/>
  <c r="R1371" i="3" s="1"/>
  <c r="R140" i="3"/>
  <c r="R136" i="3"/>
  <c r="R132" i="3"/>
  <c r="R127" i="3"/>
  <c r="R117" i="3"/>
  <c r="R115" i="3"/>
  <c r="R111" i="3"/>
  <c r="R107" i="3"/>
  <c r="R103" i="3"/>
  <c r="R91" i="3"/>
  <c r="R90" i="3"/>
  <c r="R89" i="3"/>
  <c r="R88" i="3"/>
  <c r="R87" i="3"/>
  <c r="R85" i="3"/>
  <c r="R78" i="3"/>
  <c r="R96" i="3" s="1"/>
  <c r="R72" i="3"/>
  <c r="R95" i="3" s="1"/>
  <c r="R66" i="3"/>
  <c r="R94" i="3" s="1"/>
  <c r="R56" i="3"/>
  <c r="R45" i="3"/>
  <c r="R40" i="3"/>
  <c r="R34" i="3"/>
  <c r="R32" i="3"/>
  <c r="R33" i="3" s="1"/>
  <c r="R29" i="3"/>
  <c r="R26" i="3"/>
  <c r="R27" i="3" s="1"/>
  <c r="R23" i="3"/>
  <c r="R24" i="3" s="1"/>
  <c r="R20" i="3"/>
  <c r="R19" i="3"/>
  <c r="R18" i="3"/>
  <c r="R17" i="3"/>
  <c r="R12" i="3"/>
  <c r="R13" i="3" s="1"/>
  <c r="R11" i="3"/>
  <c r="R9" i="3"/>
  <c r="R1483" i="3" l="1"/>
  <c r="R1474" i="3" s="1"/>
  <c r="W901" i="3"/>
  <c r="AE901" i="3" s="1"/>
  <c r="R620" i="3"/>
  <c r="R97" i="3"/>
  <c r="R98" i="3" s="1"/>
  <c r="R1005" i="3"/>
  <c r="R373" i="3" s="1"/>
  <c r="R21" i="3"/>
  <c r="R1119" i="3"/>
  <c r="R374" i="3" s="1"/>
  <c r="W279" i="3"/>
  <c r="AE279" i="3" s="1"/>
  <c r="R1500" i="3"/>
  <c r="R965" i="3"/>
  <c r="R254" i="3" s="1"/>
  <c r="R292" i="3"/>
  <c r="R531" i="3"/>
  <c r="R1421" i="3"/>
  <c r="R1181" i="3"/>
  <c r="R477" i="3"/>
  <c r="R482" i="3" s="1"/>
  <c r="R1320" i="3"/>
  <c r="R264" i="3"/>
  <c r="R1363" i="3"/>
  <c r="R1462" i="3"/>
  <c r="R1258" i="3"/>
  <c r="R1243" i="3"/>
  <c r="R1241" i="3" s="1"/>
  <c r="R1240" i="3"/>
  <c r="R1226" i="3"/>
  <c r="R1012" i="3"/>
  <c r="R289" i="3"/>
  <c r="R725" i="3"/>
  <c r="R741" i="3"/>
  <c r="R35" i="3"/>
  <c r="R36" i="3" s="1"/>
  <c r="R1372" i="3"/>
  <c r="R147" i="3"/>
  <c r="R86" i="3"/>
  <c r="R92" i="3" s="1"/>
  <c r="R902" i="3"/>
  <c r="R1376" i="3"/>
  <c r="R1331" i="3"/>
  <c r="R1335" i="3" s="1"/>
  <c r="R1386" i="3"/>
  <c r="R1326" i="3"/>
  <c r="R30" i="3"/>
  <c r="R118" i="3"/>
  <c r="R119" i="3" s="1"/>
  <c r="R120" i="3" s="1"/>
  <c r="R495" i="3"/>
  <c r="R497" i="3" s="1"/>
  <c r="R492" i="3"/>
  <c r="R512" i="3"/>
  <c r="R520" i="3"/>
  <c r="R682" i="3"/>
  <c r="R687" i="3" s="1"/>
  <c r="R646" i="3" s="1"/>
  <c r="R748" i="3"/>
  <c r="R744" i="3"/>
  <c r="R740" i="3"/>
  <c r="R728" i="3"/>
  <c r="R37" i="3"/>
  <c r="R742" i="3"/>
  <c r="R747" i="3"/>
  <c r="R743" i="3"/>
  <c r="R739" i="3"/>
  <c r="R727" i="3"/>
  <c r="R738" i="3"/>
  <c r="R746" i="3"/>
  <c r="R726" i="3"/>
  <c r="R737" i="3"/>
  <c r="R844" i="3"/>
  <c r="R291" i="3" s="1"/>
  <c r="R667" i="3"/>
  <c r="R662" i="3"/>
  <c r="R640" i="3"/>
  <c r="R235" i="3" s="1"/>
  <c r="R234" i="3" s="1"/>
  <c r="R1126" i="3"/>
  <c r="R1076" i="3"/>
  <c r="R255" i="3" s="1"/>
  <c r="R1075" i="3"/>
  <c r="R1146" i="3"/>
  <c r="R1145" i="3"/>
  <c r="R1141" i="3"/>
  <c r="R360" i="3"/>
  <c r="R370" i="3"/>
  <c r="R500" i="3"/>
  <c r="R502" i="3" s="1"/>
  <c r="R625" i="3"/>
  <c r="R733" i="3"/>
  <c r="R745" i="3"/>
  <c r="R1364" i="3"/>
  <c r="R1415" i="3"/>
  <c r="R1176" i="3"/>
  <c r="R1333" i="3"/>
  <c r="R1327" i="3"/>
  <c r="R1332" i="3"/>
  <c r="R1380" i="3"/>
  <c r="R1325" i="3"/>
  <c r="R1330" i="3"/>
  <c r="R1292" i="3" l="1"/>
  <c r="R1294" i="3"/>
  <c r="R1295" i="3" s="1"/>
  <c r="R1276" i="3"/>
  <c r="R1244" i="3"/>
  <c r="R274" i="3"/>
  <c r="R275" i="3" s="1"/>
  <c r="R1274" i="3"/>
  <c r="R1275" i="3"/>
  <c r="R1287" i="3"/>
  <c r="R1288" i="3"/>
  <c r="R1284" i="3"/>
  <c r="R1299" i="3"/>
  <c r="R1280" i="3"/>
  <c r="R1273" i="3"/>
  <c r="R1278" i="3"/>
  <c r="R1281" i="3"/>
  <c r="R1279" i="3"/>
  <c r="R1277" i="3"/>
  <c r="R1282" i="3"/>
  <c r="R1286" i="3"/>
  <c r="R1283" i="3"/>
  <c r="R372" i="3"/>
  <c r="R376" i="3" s="1"/>
  <c r="R916" i="3"/>
  <c r="R845" i="3"/>
  <c r="R253" i="3" s="1"/>
  <c r="R295" i="3"/>
  <c r="R280" i="3"/>
  <c r="R532" i="3"/>
  <c r="R533" i="3" s="1"/>
  <c r="R526" i="3"/>
  <c r="R527" i="3" s="1"/>
  <c r="R385" i="3"/>
  <c r="R384" i="3"/>
  <c r="R387" i="3"/>
  <c r="R749" i="3"/>
  <c r="R236" i="3"/>
  <c r="R1328" i="3"/>
  <c r="R521" i="3"/>
  <c r="R645" i="3"/>
  <c r="R648" i="3"/>
  <c r="R644" i="3"/>
  <c r="R647" i="3"/>
  <c r="R643" i="3"/>
  <c r="R386" i="3"/>
  <c r="R383" i="3" l="1"/>
  <c r="R1289" i="3"/>
  <c r="R256" i="3" s="1"/>
  <c r="R642" i="3"/>
  <c r="R282" i="3"/>
  <c r="N25" i="17" l="1"/>
  <c r="X25" i="17" s="1"/>
  <c r="N18" i="17"/>
  <c r="X18" i="17" s="1"/>
  <c r="N17" i="17"/>
  <c r="X17" i="17" s="1"/>
  <c r="N15" i="17"/>
  <c r="N14" i="17"/>
  <c r="N8" i="17"/>
  <c r="D25" i="17"/>
  <c r="D18" i="17"/>
  <c r="D17" i="17"/>
  <c r="D15" i="17"/>
  <c r="D29" i="17" s="1"/>
  <c r="D14" i="17"/>
  <c r="D8" i="17"/>
  <c r="D10" i="17" s="1"/>
  <c r="N29" i="17" l="1"/>
  <c r="X15" i="17"/>
  <c r="X29" i="17" s="1"/>
  <c r="N10" i="17"/>
  <c r="X8" i="17"/>
  <c r="X21" i="17"/>
  <c r="X32" i="17" s="1"/>
  <c r="D21" i="17"/>
  <c r="D32" i="17" s="1"/>
  <c r="N21" i="17"/>
  <c r="I283" i="28"/>
  <c r="I279" i="28"/>
  <c r="I275" i="28"/>
  <c r="I282" i="28"/>
  <c r="I278" i="28"/>
  <c r="I274" i="28"/>
  <c r="I281" i="28"/>
  <c r="I277" i="28"/>
  <c r="I270" i="28"/>
  <c r="I280" i="28"/>
  <c r="I276" i="28"/>
  <c r="I269" i="28"/>
  <c r="D33" i="17" l="1"/>
  <c r="N32" i="17"/>
  <c r="X34" i="17"/>
  <c r="X10" i="17"/>
  <c r="X30" i="17"/>
  <c r="X31" i="17"/>
  <c r="X33" i="17"/>
  <c r="D31" i="17"/>
  <c r="N30" i="17"/>
  <c r="M277" i="28"/>
  <c r="M274" i="28"/>
  <c r="M278" i="28"/>
  <c r="M276" i="28"/>
  <c r="M279" i="28"/>
  <c r="M280" i="28"/>
  <c r="M281" i="28"/>
  <c r="M283" i="28"/>
  <c r="M269" i="28"/>
  <c r="M270" i="28"/>
  <c r="M282" i="28"/>
  <c r="M275" i="28"/>
  <c r="D30" i="17"/>
  <c r="N33" i="17"/>
  <c r="N31" i="17"/>
  <c r="Q276" i="28" l="1"/>
  <c r="U276" i="28" s="1"/>
  <c r="AA276" i="28" s="1"/>
  <c r="AE276" i="28" s="1"/>
  <c r="AI276" i="28" s="1"/>
  <c r="AO276" i="28" s="1"/>
  <c r="AS276" i="28" s="1"/>
  <c r="AW276" i="28" s="1"/>
  <c r="BE276" i="28" s="1"/>
  <c r="Q270" i="28"/>
  <c r="U270" i="28" s="1"/>
  <c r="AA270" i="28" s="1"/>
  <c r="AE270" i="28" s="1"/>
  <c r="AI270" i="28" s="1"/>
  <c r="AO270" i="28" s="1"/>
  <c r="AS270" i="28" s="1"/>
  <c r="AW270" i="28" s="1"/>
  <c r="BE270" i="28" s="1"/>
  <c r="Q274" i="28"/>
  <c r="U274" i="28" s="1"/>
  <c r="AA274" i="28" s="1"/>
  <c r="AE274" i="28" s="1"/>
  <c r="AI274" i="28" s="1"/>
  <c r="AO274" i="28" s="1"/>
  <c r="AS274" i="28" s="1"/>
  <c r="AW274" i="28" s="1"/>
  <c r="BE274" i="28" s="1"/>
  <c r="Q275" i="28"/>
  <c r="U275" i="28" s="1"/>
  <c r="AA275" i="28" s="1"/>
  <c r="AE275" i="28" s="1"/>
  <c r="AI275" i="28" s="1"/>
  <c r="AO275" i="28" s="1"/>
  <c r="AS275" i="28" s="1"/>
  <c r="AW275" i="28" s="1"/>
  <c r="BE275" i="28" s="1"/>
  <c r="Q283" i="28"/>
  <c r="U283" i="28" s="1"/>
  <c r="Q282" i="28"/>
  <c r="U282" i="28" s="1"/>
  <c r="AA282" i="28" s="1"/>
  <c r="AE282" i="28" s="1"/>
  <c r="AI282" i="28" s="1"/>
  <c r="AO282" i="28" s="1"/>
  <c r="AS282" i="28" s="1"/>
  <c r="AW282" i="28" s="1"/>
  <c r="BE282" i="28" s="1"/>
  <c r="Q281" i="28"/>
  <c r="U281" i="28" s="1"/>
  <c r="AA281" i="28" s="1"/>
  <c r="AE281" i="28" s="1"/>
  <c r="AI281" i="28" s="1"/>
  <c r="AO281" i="28" s="1"/>
  <c r="AS281" i="28" s="1"/>
  <c r="AW281" i="28" s="1"/>
  <c r="BE281" i="28" s="1"/>
  <c r="Q278" i="28"/>
  <c r="U278" i="28" s="1"/>
  <c r="AA278" i="28" s="1"/>
  <c r="AE278" i="28" s="1"/>
  <c r="AI278" i="28" s="1"/>
  <c r="AO278" i="28" s="1"/>
  <c r="AS278" i="28" s="1"/>
  <c r="AW278" i="28" s="1"/>
  <c r="BE278" i="28" s="1"/>
  <c r="Q280" i="28"/>
  <c r="U280" i="28" s="1"/>
  <c r="AA280" i="28" s="1"/>
  <c r="AE280" i="28" s="1"/>
  <c r="AI280" i="28" s="1"/>
  <c r="AO280" i="28" s="1"/>
  <c r="AS280" i="28" s="1"/>
  <c r="AW280" i="28" s="1"/>
  <c r="BE280" i="28" s="1"/>
  <c r="Q269" i="28"/>
  <c r="U269" i="28" s="1"/>
  <c r="AA269" i="28" s="1"/>
  <c r="AE269" i="28" s="1"/>
  <c r="AI269" i="28" s="1"/>
  <c r="AO269" i="28" s="1"/>
  <c r="AS269" i="28" s="1"/>
  <c r="AW269" i="28" s="1"/>
  <c r="BE269" i="28" s="1"/>
  <c r="Q279" i="28"/>
  <c r="U279" i="28" s="1"/>
  <c r="AA279" i="28" s="1"/>
  <c r="AE279" i="28" s="1"/>
  <c r="AI279" i="28" s="1"/>
  <c r="AO279" i="28" s="1"/>
  <c r="AS279" i="28" s="1"/>
  <c r="AW279" i="28" s="1"/>
  <c r="BE279" i="28" s="1"/>
  <c r="Q277" i="28"/>
  <c r="U277" i="28" s="1"/>
  <c r="AA277" i="28" s="1"/>
  <c r="AE277" i="28" s="1"/>
  <c r="AI277" i="28" s="1"/>
  <c r="AO277" i="28" s="1"/>
  <c r="AS277" i="28" s="1"/>
  <c r="AW277" i="28" s="1"/>
  <c r="BE277" i="28" s="1"/>
  <c r="Y283" i="28" l="1"/>
  <c r="Y284" i="28" s="1"/>
  <c r="Y312" i="28" s="1"/>
  <c r="AA283" i="28"/>
  <c r="AE283" i="28" s="1"/>
  <c r="AI283" i="28" s="1"/>
  <c r="O1383" i="3"/>
  <c r="AM284" i="28" l="1"/>
  <c r="AM312" i="28" s="1"/>
  <c r="AO283" i="28"/>
  <c r="AS283" i="28" s="1"/>
  <c r="AW283" i="28" s="1"/>
  <c r="O811" i="3"/>
  <c r="P812" i="3"/>
  <c r="Q812" i="3"/>
  <c r="S812" i="3" s="1"/>
  <c r="U812" i="3" s="1"/>
  <c r="X812" i="3" s="1"/>
  <c r="Z812" i="3" s="1"/>
  <c r="AB812" i="3" s="1"/>
  <c r="AF812" i="3" s="1"/>
  <c r="O820" i="3"/>
  <c r="N806" i="3"/>
  <c r="O806" i="3"/>
  <c r="P806" i="3" s="1"/>
  <c r="N808" i="3"/>
  <c r="O808" i="3"/>
  <c r="BE283" i="28" l="1"/>
  <c r="BA283" i="28"/>
  <c r="Q806" i="3"/>
  <c r="S806" i="3" s="1"/>
  <c r="U806" i="3" s="1"/>
  <c r="X806" i="3" s="1"/>
  <c r="Z806" i="3" s="1"/>
  <c r="AB806" i="3" s="1"/>
  <c r="AF806" i="3" s="1"/>
  <c r="P808" i="3"/>
  <c r="Q808" i="3"/>
  <c r="S808" i="3" s="1"/>
  <c r="U808" i="3" s="1"/>
  <c r="X808" i="3" s="1"/>
  <c r="Z808" i="3" s="1"/>
  <c r="AB808" i="3" s="1"/>
  <c r="AF808" i="3" s="1"/>
  <c r="P820" i="3"/>
  <c r="Q820" i="3"/>
  <c r="S820" i="3" s="1"/>
  <c r="U820" i="3" s="1"/>
  <c r="X820" i="3" s="1"/>
  <c r="Z820" i="3" s="1"/>
  <c r="AB820" i="3" s="1"/>
  <c r="AF820" i="3" s="1"/>
  <c r="BC283" i="28" l="1"/>
  <c r="BA284" i="28"/>
  <c r="O1047" i="3"/>
  <c r="P1047" i="3" s="1"/>
  <c r="O1049" i="3"/>
  <c r="O1046" i="3"/>
  <c r="L1047" i="3"/>
  <c r="N1047" i="3" s="1"/>
  <c r="BA312" i="28" l="1"/>
  <c r="BC312" i="28" s="1"/>
  <c r="BC284" i="28"/>
  <c r="Q1047" i="3"/>
  <c r="S1047" i="3" s="1"/>
  <c r="U1047" i="3" s="1"/>
  <c r="X1047" i="3" s="1"/>
  <c r="Z1047" i="3" s="1"/>
  <c r="AB1047" i="3" s="1"/>
  <c r="AF1047" i="3" s="1"/>
  <c r="H59" i="3" l="1"/>
  <c r="M1324" i="3"/>
  <c r="O1324" i="3"/>
  <c r="M375" i="3"/>
  <c r="O375" i="3"/>
  <c r="O1516" i="3" l="1"/>
  <c r="O1506" i="3"/>
  <c r="O1512" i="3"/>
  <c r="O1507" i="3"/>
  <c r="O1503" i="3"/>
  <c r="O1502" i="3"/>
  <c r="O1497" i="3"/>
  <c r="O1382" i="3" l="1"/>
  <c r="O1297" i="3"/>
  <c r="O1296" i="3"/>
  <c r="O1134" i="3"/>
  <c r="O1133" i="3"/>
  <c r="O1018" i="3"/>
  <c r="O1017" i="3"/>
  <c r="O915" i="3"/>
  <c r="O914" i="3"/>
  <c r="O734" i="3"/>
  <c r="O665" i="3"/>
  <c r="O664" i="3"/>
  <c r="O501" i="3"/>
  <c r="O456" i="3"/>
  <c r="O1479" i="3" l="1"/>
  <c r="O1419" i="3" l="1"/>
  <c r="O1417" i="3"/>
  <c r="O1412" i="3"/>
  <c r="O1411" i="3"/>
  <c r="O1405" i="3"/>
  <c r="O1403" i="3"/>
  <c r="O1402" i="3"/>
  <c r="O1401" i="3"/>
  <c r="O1242" i="3" l="1"/>
  <c r="O1223" i="3" l="1"/>
  <c r="O549" i="3"/>
  <c r="H211" i="3" l="1"/>
  <c r="J211" i="3" s="1"/>
  <c r="L211" i="3" s="1"/>
  <c r="N211" i="3" s="1"/>
  <c r="Q211" i="3" s="1"/>
  <c r="S211" i="3" s="1"/>
  <c r="U211" i="3" s="1"/>
  <c r="X211" i="3" s="1"/>
  <c r="Z211" i="3" s="1"/>
  <c r="AB211" i="3" s="1"/>
  <c r="AF211" i="3" s="1"/>
  <c r="P211" i="3"/>
  <c r="O932" i="3"/>
  <c r="O944" i="3"/>
  <c r="O962" i="3"/>
  <c r="O943" i="3"/>
  <c r="O949" i="3" l="1"/>
  <c r="O954" i="3"/>
  <c r="O824" i="3" l="1"/>
  <c r="O809" i="3"/>
  <c r="O843" i="3"/>
  <c r="O764" i="3"/>
  <c r="O829" i="3"/>
  <c r="O844" i="3" l="1"/>
  <c r="O291" i="3" s="1"/>
  <c r="O964" i="3"/>
  <c r="O292" i="3" s="1"/>
  <c r="O1074" i="3"/>
  <c r="O293" i="3" s="1"/>
  <c r="O114" i="3" l="1"/>
  <c r="O110" i="3"/>
  <c r="O106" i="3"/>
  <c r="O102" i="3"/>
  <c r="O1076" i="3" l="1"/>
  <c r="O965" i="3"/>
  <c r="L7" i="34" l="1"/>
  <c r="F38" i="34"/>
  <c r="F37" i="34"/>
  <c r="F36" i="34"/>
  <c r="F34" i="34"/>
  <c r="F32" i="34"/>
  <c r="F26" i="34"/>
  <c r="F25" i="34"/>
  <c r="F24" i="34"/>
  <c r="F7" i="34"/>
  <c r="D32" i="34"/>
  <c r="D24" i="34"/>
  <c r="D7" i="34"/>
  <c r="L38" i="34"/>
  <c r="L37" i="34"/>
  <c r="L36" i="34"/>
  <c r="L34" i="34"/>
  <c r="L32" i="34"/>
  <c r="L27" i="34"/>
  <c r="L26" i="34"/>
  <c r="L25" i="34"/>
  <c r="L24" i="34"/>
  <c r="L18" i="34"/>
  <c r="L17" i="34"/>
  <c r="L14" i="34"/>
  <c r="L12" i="34"/>
  <c r="L8" i="34"/>
  <c r="K29" i="34"/>
  <c r="AE61" i="32"/>
  <c r="L61" i="32"/>
  <c r="M7" i="34" l="1"/>
  <c r="H7" i="34"/>
  <c r="J7" i="34" s="1"/>
  <c r="L29" i="34"/>
  <c r="L21" i="34"/>
  <c r="L39" i="34"/>
  <c r="D21" i="34"/>
  <c r="D39" i="34"/>
  <c r="K39" i="34"/>
  <c r="K21" i="34"/>
  <c r="O7" i="34" l="1"/>
  <c r="Q7" i="34" s="1"/>
  <c r="T7" i="34" s="1"/>
  <c r="L41" i="34"/>
  <c r="K41" i="34"/>
  <c r="V7" i="34" l="1"/>
  <c r="X7" i="34" s="1"/>
  <c r="AB7" i="34" s="1"/>
  <c r="P1312" i="3"/>
  <c r="P1103" i="3"/>
  <c r="P1104" i="3"/>
  <c r="P1105" i="3"/>
  <c r="P1106" i="3"/>
  <c r="P1107" i="3"/>
  <c r="P1108" i="3"/>
  <c r="P1109" i="3"/>
  <c r="P1099" i="3"/>
  <c r="P1095" i="3"/>
  <c r="P1096" i="3"/>
  <c r="P993" i="3"/>
  <c r="P984" i="3"/>
  <c r="P838" i="3"/>
  <c r="P839" i="3"/>
  <c r="P814" i="3"/>
  <c r="P817" i="3"/>
  <c r="P818" i="3"/>
  <c r="P757" i="3"/>
  <c r="P759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328" i="3"/>
  <c r="P220" i="3"/>
  <c r="P222" i="3"/>
  <c r="P221" i="3"/>
  <c r="P218" i="3"/>
  <c r="P217" i="3"/>
  <c r="P214" i="3"/>
  <c r="P212" i="3"/>
  <c r="P206" i="3"/>
  <c r="P205" i="3"/>
  <c r="P203" i="3"/>
  <c r="P202" i="3"/>
  <c r="P199" i="3"/>
  <c r="P197" i="3"/>
  <c r="P196" i="3"/>
  <c r="P195" i="3"/>
  <c r="P192" i="3"/>
  <c r="O1499" i="3" l="1"/>
  <c r="O1496" i="3"/>
  <c r="O1486" i="3"/>
  <c r="O1482" i="3"/>
  <c r="O1471" i="3"/>
  <c r="O1473" i="3" s="1"/>
  <c r="O1463" i="3"/>
  <c r="O1465" i="3" s="1"/>
  <c r="O1458" i="3"/>
  <c r="O1457" i="3"/>
  <c r="O1456" i="3"/>
  <c r="O1455" i="3"/>
  <c r="O1454" i="3"/>
  <c r="O1451" i="3"/>
  <c r="O238" i="3" s="1"/>
  <c r="O1434" i="3"/>
  <c r="O1428" i="3"/>
  <c r="O1418" i="3"/>
  <c r="O1413" i="3"/>
  <c r="O1410" i="3"/>
  <c r="O1404" i="3"/>
  <c r="O1408" i="3" s="1"/>
  <c r="O1370" i="3"/>
  <c r="O1369" i="3"/>
  <c r="O1362" i="3"/>
  <c r="O1366" i="3" s="1"/>
  <c r="O1360" i="3"/>
  <c r="O1365" i="3" s="1"/>
  <c r="O1357" i="3"/>
  <c r="O1358" i="3" s="1"/>
  <c r="O1356" i="3"/>
  <c r="O1354" i="3"/>
  <c r="O1319" i="3"/>
  <c r="O1318" i="3"/>
  <c r="O1317" i="3"/>
  <c r="O1307" i="3"/>
  <c r="O1334" i="3" s="1"/>
  <c r="O1298" i="3"/>
  <c r="O1291" i="3"/>
  <c r="O1257" i="3"/>
  <c r="O1256" i="3"/>
  <c r="O1255" i="3"/>
  <c r="O1250" i="3"/>
  <c r="O1247" i="3"/>
  <c r="O1239" i="3"/>
  <c r="O1240" i="3" s="1"/>
  <c r="O1233" i="3"/>
  <c r="O1222" i="3"/>
  <c r="O1215" i="3"/>
  <c r="O1200" i="3"/>
  <c r="O1201" i="3" s="1"/>
  <c r="O1203" i="3" s="1"/>
  <c r="O1199" i="3"/>
  <c r="O1194" i="3"/>
  <c r="O1175" i="3"/>
  <c r="O1176" i="3" s="1"/>
  <c r="O1169" i="3"/>
  <c r="O1140" i="3"/>
  <c r="O1145" i="3" s="1"/>
  <c r="O1127" i="3"/>
  <c r="O1128" i="3" s="1"/>
  <c r="O1124" i="3"/>
  <c r="O1121" i="3"/>
  <c r="O1122" i="3" s="1"/>
  <c r="O1118" i="3"/>
  <c r="O288" i="3"/>
  <c r="O1016" i="3"/>
  <c r="O1013" i="3"/>
  <c r="O1014" i="3" s="1"/>
  <c r="O1010" i="3"/>
  <c r="O1007" i="3"/>
  <c r="O1008" i="3" s="1"/>
  <c r="O1004" i="3"/>
  <c r="O287" i="3"/>
  <c r="O911" i="3"/>
  <c r="O912" i="3" s="1"/>
  <c r="O908" i="3"/>
  <c r="O905" i="3"/>
  <c r="O906" i="3" s="1"/>
  <c r="O901" i="3"/>
  <c r="O849" i="3"/>
  <c r="O279" i="3"/>
  <c r="O732" i="3"/>
  <c r="O724" i="3"/>
  <c r="O720" i="3"/>
  <c r="O722" i="3" s="1"/>
  <c r="O717" i="3"/>
  <c r="O747" i="3" s="1"/>
  <c r="O702" i="3"/>
  <c r="O704" i="3" s="1"/>
  <c r="O713" i="3" s="1"/>
  <c r="O685" i="3"/>
  <c r="O681" i="3"/>
  <c r="O678" i="3"/>
  <c r="O666" i="3"/>
  <c r="O639" i="3"/>
  <c r="O638" i="3"/>
  <c r="O637" i="3"/>
  <c r="O636" i="3"/>
  <c r="O634" i="3"/>
  <c r="O633" i="3"/>
  <c r="O632" i="3"/>
  <c r="O631" i="3"/>
  <c r="O630" i="3"/>
  <c r="O624" i="3"/>
  <c r="O662" i="3" s="1"/>
  <c r="O619" i="3"/>
  <c r="O618" i="3"/>
  <c r="O584" i="3"/>
  <c r="O581" i="3"/>
  <c r="O578" i="3"/>
  <c r="O575" i="3"/>
  <c r="O572" i="3"/>
  <c r="O569" i="3"/>
  <c r="O566" i="3"/>
  <c r="O563" i="3"/>
  <c r="O560" i="3"/>
  <c r="O554" i="3"/>
  <c r="O556" i="3" s="1"/>
  <c r="O550" i="3"/>
  <c r="O228" i="3" s="1"/>
  <c r="O231" i="3" s="1"/>
  <c r="O548" i="3"/>
  <c r="O546" i="3"/>
  <c r="O544" i="3"/>
  <c r="O542" i="3"/>
  <c r="O540" i="3"/>
  <c r="O537" i="3"/>
  <c r="O538" i="3" s="1"/>
  <c r="O227" i="3" s="1"/>
  <c r="O230" i="3" s="1"/>
  <c r="O519" i="3"/>
  <c r="O518" i="3"/>
  <c r="O511" i="3"/>
  <c r="O509" i="3"/>
  <c r="O508" i="3"/>
  <c r="O490" i="3"/>
  <c r="O500" i="3" s="1"/>
  <c r="O502" i="3" s="1"/>
  <c r="O486" i="3"/>
  <c r="O487" i="3" s="1"/>
  <c r="O480" i="3"/>
  <c r="O476" i="3"/>
  <c r="O472" i="3"/>
  <c r="O457" i="3"/>
  <c r="O458" i="3" s="1"/>
  <c r="O454" i="3"/>
  <c r="O368" i="3"/>
  <c r="O367" i="3"/>
  <c r="O366" i="3"/>
  <c r="O365" i="3"/>
  <c r="O359" i="3"/>
  <c r="O355" i="3"/>
  <c r="O343" i="3"/>
  <c r="O331" i="3"/>
  <c r="O311" i="3"/>
  <c r="O303" i="3"/>
  <c r="O300" i="3"/>
  <c r="O286" i="3"/>
  <c r="O281" i="3"/>
  <c r="O278" i="3"/>
  <c r="O277" i="3"/>
  <c r="O272" i="3"/>
  <c r="O271" i="3"/>
  <c r="O273" i="3" s="1"/>
  <c r="O270" i="3"/>
  <c r="O269" i="3"/>
  <c r="O266" i="3"/>
  <c r="O267" i="3" s="1"/>
  <c r="O263" i="3"/>
  <c r="O262" i="3"/>
  <c r="O250" i="3"/>
  <c r="O246" i="3"/>
  <c r="O239" i="3"/>
  <c r="O237" i="3"/>
  <c r="O162" i="3"/>
  <c r="O154" i="3"/>
  <c r="O1460" i="3" s="1"/>
  <c r="O1461" i="3" s="1"/>
  <c r="O151" i="3"/>
  <c r="O1373" i="3" s="1"/>
  <c r="O148" i="3"/>
  <c r="O145" i="3"/>
  <c r="O520" i="3" s="1"/>
  <c r="O526" i="3" s="1"/>
  <c r="O140" i="3"/>
  <c r="O136" i="3"/>
  <c r="O132" i="3"/>
  <c r="O126" i="3"/>
  <c r="O127" i="3" s="1"/>
  <c r="O117" i="3"/>
  <c r="O115" i="3"/>
  <c r="O111" i="3"/>
  <c r="O107" i="3"/>
  <c r="O91" i="3"/>
  <c r="O90" i="3"/>
  <c r="O89" i="3"/>
  <c r="O88" i="3"/>
  <c r="O87" i="3"/>
  <c r="O85" i="3"/>
  <c r="O78" i="3"/>
  <c r="O96" i="3" s="1"/>
  <c r="O72" i="3"/>
  <c r="O95" i="3" s="1"/>
  <c r="O66" i="3"/>
  <c r="O94" i="3" s="1"/>
  <c r="O56" i="3"/>
  <c r="O45" i="3"/>
  <c r="O40" i="3"/>
  <c r="O34" i="3"/>
  <c r="O32" i="3"/>
  <c r="O33" i="3" s="1"/>
  <c r="O29" i="3"/>
  <c r="O30" i="3" s="1"/>
  <c r="O26" i="3"/>
  <c r="O27" i="3" s="1"/>
  <c r="O23" i="3"/>
  <c r="O20" i="3"/>
  <c r="O19" i="3"/>
  <c r="O18" i="3"/>
  <c r="O17" i="3"/>
  <c r="O12" i="3"/>
  <c r="O13" i="3" s="1"/>
  <c r="O11" i="3"/>
  <c r="O9" i="3"/>
  <c r="O1462" i="3" l="1"/>
  <c r="O1483" i="3"/>
  <c r="O1474" i="3" s="1"/>
  <c r="O97" i="3"/>
  <c r="O37" i="3"/>
  <c r="O1243" i="3"/>
  <c r="O1282" i="3" s="1"/>
  <c r="O1119" i="3"/>
  <c r="O374" i="3" s="1"/>
  <c r="O902" i="3"/>
  <c r="O372" i="3" s="1"/>
  <c r="O1005" i="3"/>
  <c r="O373" i="3" s="1"/>
  <c r="O21" i="3"/>
  <c r="O1180" i="3"/>
  <c r="O748" i="3"/>
  <c r="O161" i="3"/>
  <c r="O620" i="3"/>
  <c r="O492" i="3"/>
  <c r="O495" i="3"/>
  <c r="O497" i="3" s="1"/>
  <c r="O1181" i="3"/>
  <c r="O1146" i="3"/>
  <c r="O289" i="3"/>
  <c r="O740" i="3"/>
  <c r="O512" i="3"/>
  <c r="O1364" i="3"/>
  <c r="O1332" i="3"/>
  <c r="O1380" i="3"/>
  <c r="O1327" i="3"/>
  <c r="O1331" i="3"/>
  <c r="O1335" i="3" s="1"/>
  <c r="O264" i="3"/>
  <c r="O625" i="3"/>
  <c r="O1500" i="3"/>
  <c r="O1415" i="3"/>
  <c r="O1421" i="3"/>
  <c r="O1363" i="3"/>
  <c r="O1258" i="3"/>
  <c r="O1226" i="3"/>
  <c r="O728" i="3"/>
  <c r="O744" i="3"/>
  <c r="O682" i="3"/>
  <c r="O687" i="3" s="1"/>
  <c r="O645" i="3" s="1"/>
  <c r="O35" i="3"/>
  <c r="O36" i="3" s="1"/>
  <c r="O477" i="3"/>
  <c r="O482" i="3" s="1"/>
  <c r="O360" i="3"/>
  <c r="O146" i="3"/>
  <c r="O532" i="3"/>
  <c r="O118" i="3"/>
  <c r="O119" i="3" s="1"/>
  <c r="O120" i="3" s="1"/>
  <c r="O370" i="3"/>
  <c r="O98" i="3"/>
  <c r="O86" i="3"/>
  <c r="O92" i="3" s="1"/>
  <c r="O1320" i="3"/>
  <c r="O1326" i="3"/>
  <c r="O1376" i="3"/>
  <c r="O1386" i="3"/>
  <c r="O640" i="3"/>
  <c r="O235" i="3" s="1"/>
  <c r="O234" i="3" s="1"/>
  <c r="O667" i="3"/>
  <c r="O255" i="3"/>
  <c r="O1126" i="3"/>
  <c r="O1244" i="3"/>
  <c r="O531" i="3"/>
  <c r="O521" i="3"/>
  <c r="O525" i="3"/>
  <c r="O527" i="3" s="1"/>
  <c r="O731" i="3"/>
  <c r="O741" i="3"/>
  <c r="O24" i="3"/>
  <c r="O103" i="3"/>
  <c r="O726" i="3"/>
  <c r="O738" i="3"/>
  <c r="O742" i="3"/>
  <c r="O746" i="3"/>
  <c r="O1141" i="3"/>
  <c r="O1333" i="3"/>
  <c r="O725" i="3"/>
  <c r="O737" i="3"/>
  <c r="O745" i="3"/>
  <c r="O727" i="3"/>
  <c r="O733" i="3"/>
  <c r="O739" i="3"/>
  <c r="O743" i="3"/>
  <c r="O1325" i="3"/>
  <c r="O1330" i="3"/>
  <c r="O1283" i="3" l="1"/>
  <c r="O1287" i="3"/>
  <c r="O1280" i="3"/>
  <c r="O1281" i="3"/>
  <c r="O376" i="3"/>
  <c r="O1299" i="3"/>
  <c r="O1294" i="3"/>
  <c r="O1295" i="3" s="1"/>
  <c r="O1284" i="3"/>
  <c r="O1286" i="3"/>
  <c r="O1274" i="3"/>
  <c r="O1292" i="3"/>
  <c r="O274" i="3"/>
  <c r="O275" i="3" s="1"/>
  <c r="O1241" i="3"/>
  <c r="O1273" i="3"/>
  <c r="O1279" i="3"/>
  <c r="O1278" i="3"/>
  <c r="O1275" i="3"/>
  <c r="O1276" i="3"/>
  <c r="O1277" i="3"/>
  <c r="O1288" i="3"/>
  <c r="O85" i="9" s="1"/>
  <c r="O86" i="9" s="1"/>
  <c r="O643" i="3"/>
  <c r="O384" i="3"/>
  <c r="O647" i="3"/>
  <c r="O646" i="3"/>
  <c r="O644" i="3"/>
  <c r="O648" i="3"/>
  <c r="O385" i="3"/>
  <c r="O386" i="3"/>
  <c r="O387" i="3"/>
  <c r="O533" i="3"/>
  <c r="O1371" i="3"/>
  <c r="O1372" i="3" s="1"/>
  <c r="O147" i="3"/>
  <c r="O254" i="3"/>
  <c r="O1012" i="3"/>
  <c r="O280" i="3"/>
  <c r="O845" i="3"/>
  <c r="O253" i="3" s="1"/>
  <c r="O916" i="3"/>
  <c r="O1328" i="3"/>
  <c r="O236" i="3"/>
  <c r="O749" i="3"/>
  <c r="O1289" i="3" l="1"/>
  <c r="O256" i="3" s="1"/>
  <c r="O383" i="3"/>
  <c r="O642" i="3"/>
  <c r="O282" i="3"/>
  <c r="O295" i="3"/>
  <c r="M1046" i="3" l="1"/>
  <c r="M1045" i="3"/>
  <c r="P1045" i="3" s="1"/>
  <c r="M1055" i="3"/>
  <c r="M1034" i="3"/>
  <c r="M1030" i="3"/>
  <c r="M1033" i="3"/>
  <c r="M1059" i="3"/>
  <c r="M1029" i="3"/>
  <c r="M1024" i="3"/>
  <c r="M1065" i="3"/>
  <c r="M1061" i="3"/>
  <c r="M1064" i="3"/>
  <c r="M1063" i="3"/>
  <c r="M8" i="34" l="1"/>
  <c r="O8" i="34" s="1"/>
  <c r="Q8" i="34" s="1"/>
  <c r="AD61" i="32"/>
  <c r="K61" i="32"/>
  <c r="T8" i="34" l="1"/>
  <c r="V8" i="34" s="1"/>
  <c r="X8" i="34" s="1"/>
  <c r="AB8" i="34" s="1"/>
  <c r="M288" i="3"/>
  <c r="M286" i="3"/>
  <c r="M926" i="3"/>
  <c r="M920" i="3"/>
  <c r="M937" i="3"/>
  <c r="M944" i="3"/>
  <c r="M962" i="3"/>
  <c r="M1074" i="3"/>
  <c r="M293" i="3" s="1"/>
  <c r="M943" i="3"/>
  <c r="I306" i="28" l="1"/>
  <c r="M951" i="3"/>
  <c r="M963" i="3"/>
  <c r="M287" i="3" s="1"/>
  <c r="M949" i="3"/>
  <c r="M825" i="3"/>
  <c r="M824" i="3"/>
  <c r="M797" i="3"/>
  <c r="N838" i="3"/>
  <c r="Q838" i="3" s="1"/>
  <c r="S838" i="3" s="1"/>
  <c r="U838" i="3" s="1"/>
  <c r="X838" i="3" s="1"/>
  <c r="Z838" i="3" s="1"/>
  <c r="AB838" i="3" s="1"/>
  <c r="AF838" i="3" s="1"/>
  <c r="M805" i="3"/>
  <c r="M821" i="3"/>
  <c r="M754" i="3"/>
  <c r="M760" i="3"/>
  <c r="P760" i="3" s="1"/>
  <c r="M829" i="3"/>
  <c r="M828" i="3"/>
  <c r="M306" i="28" l="1"/>
  <c r="M964" i="3"/>
  <c r="M292" i="3" s="1"/>
  <c r="M844" i="3"/>
  <c r="M279" i="3"/>
  <c r="M865" i="3"/>
  <c r="N757" i="3"/>
  <c r="Q757" i="3" s="1"/>
  <c r="S757" i="3" s="1"/>
  <c r="U757" i="3" s="1"/>
  <c r="X757" i="3" s="1"/>
  <c r="Z757" i="3" s="1"/>
  <c r="AB757" i="3" s="1"/>
  <c r="AF757" i="3" s="1"/>
  <c r="Q306" i="28" l="1"/>
  <c r="U306" i="28" s="1"/>
  <c r="AA306" i="28" s="1"/>
  <c r="AE306" i="28" s="1"/>
  <c r="AI306" i="28" s="1"/>
  <c r="AO306" i="28" s="1"/>
  <c r="AS306" i="28" s="1"/>
  <c r="AW306" i="28" s="1"/>
  <c r="BE306" i="28" s="1"/>
  <c r="P865" i="3"/>
  <c r="N865" i="3"/>
  <c r="Q865" i="3" s="1"/>
  <c r="S865" i="3" s="1"/>
  <c r="U865" i="3" s="1"/>
  <c r="X865" i="3" s="1"/>
  <c r="Z865" i="3" s="1"/>
  <c r="AB865" i="3" s="1"/>
  <c r="AF865" i="3" s="1"/>
  <c r="M280" i="3"/>
  <c r="M291" i="3"/>
  <c r="M1516" i="3" l="1"/>
  <c r="M1512" i="3"/>
  <c r="M1506" i="3"/>
  <c r="M1497" i="3" l="1"/>
  <c r="M1419" i="3" l="1"/>
  <c r="M1417" i="3"/>
  <c r="M1412" i="3"/>
  <c r="M1411" i="3"/>
  <c r="M1403" i="3"/>
  <c r="M1402" i="3"/>
  <c r="M1401" i="3"/>
  <c r="M1297" i="3" l="1"/>
  <c r="M1296" i="3"/>
  <c r="M1134" i="3" l="1"/>
  <c r="M1133" i="3"/>
  <c r="M1018" i="3"/>
  <c r="M1017" i="3"/>
  <c r="M915" i="3"/>
  <c r="M914" i="3"/>
  <c r="M1383" i="3"/>
  <c r="M1382" i="3"/>
  <c r="M734" i="3" l="1"/>
  <c r="M665" i="3"/>
  <c r="M664" i="3"/>
  <c r="M456" i="3"/>
  <c r="H205" i="3" l="1"/>
  <c r="J205" i="3" s="1"/>
  <c r="L205" i="3" s="1"/>
  <c r="N205" i="3" s="1"/>
  <c r="Q205" i="3" s="1"/>
  <c r="S205" i="3" s="1"/>
  <c r="U205" i="3" s="1"/>
  <c r="X205" i="3" s="1"/>
  <c r="Z205" i="3" s="1"/>
  <c r="AB205" i="3" s="1"/>
  <c r="AF205" i="3" s="1"/>
  <c r="H206" i="3"/>
  <c r="J206" i="3" s="1"/>
  <c r="L206" i="3" s="1"/>
  <c r="N206" i="3" s="1"/>
  <c r="Q206" i="3" s="1"/>
  <c r="S206" i="3" s="1"/>
  <c r="U206" i="3" s="1"/>
  <c r="X206" i="3" s="1"/>
  <c r="Z206" i="3" s="1"/>
  <c r="AB206" i="3" s="1"/>
  <c r="AF206" i="3" s="1"/>
  <c r="H197" i="3"/>
  <c r="J197" i="3" s="1"/>
  <c r="L197" i="3" s="1"/>
  <c r="N197" i="3" s="1"/>
  <c r="Q197" i="3" s="1"/>
  <c r="S197" i="3" s="1"/>
  <c r="U197" i="3" s="1"/>
  <c r="X197" i="3" s="1"/>
  <c r="Z197" i="3" s="1"/>
  <c r="AB197" i="3" s="1"/>
  <c r="AF197" i="3" s="1"/>
  <c r="H199" i="3"/>
  <c r="J199" i="3" s="1"/>
  <c r="L199" i="3" s="1"/>
  <c r="N199" i="3" s="1"/>
  <c r="Q199" i="3" s="1"/>
  <c r="S199" i="3" s="1"/>
  <c r="U199" i="3" s="1"/>
  <c r="X199" i="3" s="1"/>
  <c r="Z199" i="3" s="1"/>
  <c r="AB199" i="3" s="1"/>
  <c r="AF199" i="3" s="1"/>
  <c r="H202" i="3"/>
  <c r="J202" i="3" s="1"/>
  <c r="L202" i="3" s="1"/>
  <c r="N202" i="3" s="1"/>
  <c r="Q202" i="3" s="1"/>
  <c r="S202" i="3" s="1"/>
  <c r="U202" i="3" s="1"/>
  <c r="X202" i="3" s="1"/>
  <c r="Z202" i="3" s="1"/>
  <c r="AB202" i="3" s="1"/>
  <c r="AF202" i="3" s="1"/>
  <c r="M114" i="3" l="1"/>
  <c r="M110" i="3"/>
  <c r="M106" i="3"/>
  <c r="M102" i="3"/>
  <c r="M46" i="3"/>
  <c r="M965" i="3" l="1"/>
  <c r="M549" i="3"/>
  <c r="I39" i="34" l="1"/>
  <c r="I29" i="34"/>
  <c r="I21" i="34"/>
  <c r="I41" i="34" l="1"/>
  <c r="M1298" i="3" l="1"/>
  <c r="M1499" i="3"/>
  <c r="M1496" i="3"/>
  <c r="M1486" i="3"/>
  <c r="M1482" i="3"/>
  <c r="M1471" i="3"/>
  <c r="M1473" i="3" s="1"/>
  <c r="M1463" i="3"/>
  <c r="M1465" i="3" s="1"/>
  <c r="M1458" i="3"/>
  <c r="M1457" i="3"/>
  <c r="M1456" i="3"/>
  <c r="M1455" i="3"/>
  <c r="M1454" i="3"/>
  <c r="M1451" i="3"/>
  <c r="M238" i="3" s="1"/>
  <c r="M1434" i="3"/>
  <c r="M1428" i="3"/>
  <c r="M1418" i="3"/>
  <c r="M1421" i="3" s="1"/>
  <c r="M1413" i="3"/>
  <c r="M1410" i="3"/>
  <c r="M1405" i="3"/>
  <c r="M1404" i="3"/>
  <c r="M1370" i="3"/>
  <c r="M1369" i="3"/>
  <c r="M1362" i="3"/>
  <c r="M1366" i="3" s="1"/>
  <c r="M1360" i="3"/>
  <c r="M1365" i="3" s="1"/>
  <c r="M1357" i="3"/>
  <c r="M1358" i="3" s="1"/>
  <c r="M1356" i="3"/>
  <c r="M1354" i="3"/>
  <c r="M1319" i="3"/>
  <c r="M1318" i="3"/>
  <c r="M1317" i="3"/>
  <c r="M1307" i="3"/>
  <c r="M1376" i="3" s="1"/>
  <c r="M1291" i="3"/>
  <c r="M1257" i="3"/>
  <c r="M1256" i="3"/>
  <c r="M1255" i="3"/>
  <c r="M1250" i="3"/>
  <c r="M1247" i="3"/>
  <c r="M1239" i="3"/>
  <c r="M1240" i="3" s="1"/>
  <c r="M1233" i="3"/>
  <c r="M1222" i="3"/>
  <c r="M1215" i="3"/>
  <c r="M1200" i="3"/>
  <c r="M1201" i="3" s="1"/>
  <c r="M1203" i="3" s="1"/>
  <c r="M1199" i="3"/>
  <c r="M1194" i="3"/>
  <c r="M1175" i="3"/>
  <c r="M1181" i="3" s="1"/>
  <c r="M1169" i="3"/>
  <c r="M1140" i="3"/>
  <c r="M1146" i="3" s="1"/>
  <c r="M1127" i="3"/>
  <c r="M1128" i="3" s="1"/>
  <c r="M1124" i="3"/>
  <c r="M1121" i="3"/>
  <c r="M1122" i="3" s="1"/>
  <c r="M1118" i="3"/>
  <c r="M1016" i="3"/>
  <c r="M1013" i="3"/>
  <c r="M1014" i="3" s="1"/>
  <c r="M1010" i="3"/>
  <c r="M1007" i="3"/>
  <c r="M1008" i="3" s="1"/>
  <c r="M1004" i="3"/>
  <c r="M911" i="3"/>
  <c r="M912" i="3" s="1"/>
  <c r="M908" i="3"/>
  <c r="M905" i="3"/>
  <c r="M906" i="3" s="1"/>
  <c r="M901" i="3"/>
  <c r="M849" i="3"/>
  <c r="M732" i="3"/>
  <c r="M724" i="3"/>
  <c r="M720" i="3"/>
  <c r="M722" i="3" s="1"/>
  <c r="M717" i="3"/>
  <c r="M746" i="3" s="1"/>
  <c r="M702" i="3"/>
  <c r="M704" i="3" s="1"/>
  <c r="M713" i="3" s="1"/>
  <c r="M685" i="3"/>
  <c r="M681" i="3"/>
  <c r="M678" i="3"/>
  <c r="M666" i="3"/>
  <c r="M639" i="3"/>
  <c r="M638" i="3"/>
  <c r="M637" i="3"/>
  <c r="M636" i="3"/>
  <c r="M634" i="3"/>
  <c r="M633" i="3"/>
  <c r="M632" i="3"/>
  <c r="M631" i="3"/>
  <c r="M630" i="3"/>
  <c r="M624" i="3"/>
  <c r="M619" i="3"/>
  <c r="M618" i="3"/>
  <c r="M584" i="3"/>
  <c r="M581" i="3"/>
  <c r="M578" i="3"/>
  <c r="M575" i="3"/>
  <c r="M572" i="3"/>
  <c r="M569" i="3"/>
  <c r="M566" i="3"/>
  <c r="M563" i="3"/>
  <c r="M560" i="3"/>
  <c r="M554" i="3"/>
  <c r="M556" i="3" s="1"/>
  <c r="M550" i="3"/>
  <c r="M228" i="3" s="1"/>
  <c r="M231" i="3" s="1"/>
  <c r="M548" i="3"/>
  <c r="M546" i="3"/>
  <c r="M544" i="3"/>
  <c r="M542" i="3"/>
  <c r="M540" i="3"/>
  <c r="M537" i="3"/>
  <c r="M538" i="3" s="1"/>
  <c r="M227" i="3" s="1"/>
  <c r="M230" i="3" s="1"/>
  <c r="M519" i="3"/>
  <c r="M518" i="3"/>
  <c r="M525" i="3" s="1"/>
  <c r="M511" i="3"/>
  <c r="M509" i="3"/>
  <c r="M508" i="3"/>
  <c r="M490" i="3"/>
  <c r="M492" i="3" s="1"/>
  <c r="M486" i="3"/>
  <c r="M487" i="3" s="1"/>
  <c r="M480" i="3"/>
  <c r="M476" i="3"/>
  <c r="M472" i="3"/>
  <c r="M457" i="3"/>
  <c r="M458" i="3" s="1"/>
  <c r="M454" i="3"/>
  <c r="M368" i="3"/>
  <c r="M367" i="3"/>
  <c r="M366" i="3"/>
  <c r="M365" i="3"/>
  <c r="M359" i="3"/>
  <c r="M355" i="3"/>
  <c r="M343" i="3"/>
  <c r="M331" i="3"/>
  <c r="M311" i="3"/>
  <c r="M303" i="3"/>
  <c r="M300" i="3"/>
  <c r="M281" i="3"/>
  <c r="M278" i="3"/>
  <c r="M277" i="3"/>
  <c r="M272" i="3"/>
  <c r="M271" i="3"/>
  <c r="M273" i="3" s="1"/>
  <c r="M270" i="3"/>
  <c r="M269" i="3"/>
  <c r="M266" i="3"/>
  <c r="M267" i="3" s="1"/>
  <c r="M263" i="3"/>
  <c r="M262" i="3"/>
  <c r="M250" i="3"/>
  <c r="M246" i="3"/>
  <c r="M239" i="3"/>
  <c r="M237" i="3"/>
  <c r="M162" i="3"/>
  <c r="M154" i="3"/>
  <c r="M1460" i="3" s="1"/>
  <c r="M1461" i="3" s="1"/>
  <c r="M151" i="3"/>
  <c r="M1373" i="3" s="1"/>
  <c r="M148" i="3"/>
  <c r="M145" i="3"/>
  <c r="M520" i="3" s="1"/>
  <c r="M140" i="3"/>
  <c r="M136" i="3"/>
  <c r="M132" i="3"/>
  <c r="M126" i="3"/>
  <c r="M117" i="3"/>
  <c r="M115" i="3"/>
  <c r="M111" i="3"/>
  <c r="M107" i="3"/>
  <c r="M91" i="3"/>
  <c r="M90" i="3"/>
  <c r="M89" i="3"/>
  <c r="M88" i="3"/>
  <c r="M87" i="3"/>
  <c r="M85" i="3"/>
  <c r="M78" i="3"/>
  <c r="M96" i="3" s="1"/>
  <c r="M72" i="3"/>
  <c r="M95" i="3" s="1"/>
  <c r="M66" i="3"/>
  <c r="M94" i="3" s="1"/>
  <c r="M56" i="3"/>
  <c r="M45" i="3"/>
  <c r="M40" i="3"/>
  <c r="M34" i="3"/>
  <c r="M32" i="3"/>
  <c r="M33" i="3" s="1"/>
  <c r="M29" i="3"/>
  <c r="M30" i="3" s="1"/>
  <c r="M26" i="3"/>
  <c r="M27" i="3" s="1"/>
  <c r="M23" i="3"/>
  <c r="M20" i="3"/>
  <c r="M19" i="3"/>
  <c r="M18" i="3"/>
  <c r="M17" i="3"/>
  <c r="M12" i="3"/>
  <c r="M13" i="3" s="1"/>
  <c r="M11" i="3"/>
  <c r="M9" i="3"/>
  <c r="M1408" i="3" l="1"/>
  <c r="M1462" i="3"/>
  <c r="M1483" i="3"/>
  <c r="M1474" i="3" s="1"/>
  <c r="M97" i="3"/>
  <c r="M98" i="3" s="1"/>
  <c r="M1415" i="3"/>
  <c r="M1005" i="3"/>
  <c r="M373" i="3" s="1"/>
  <c r="M1119" i="3"/>
  <c r="M374" i="3" s="1"/>
  <c r="M127" i="3"/>
  <c r="M161" i="3"/>
  <c r="M21" i="3"/>
  <c r="M902" i="3"/>
  <c r="M372" i="3" s="1"/>
  <c r="M35" i="3"/>
  <c r="M36" i="3" s="1"/>
  <c r="M1500" i="3"/>
  <c r="M1145" i="3"/>
  <c r="M620" i="3"/>
  <c r="M531" i="3"/>
  <c r="M1243" i="3"/>
  <c r="M1294" i="3" s="1"/>
  <c r="M1295" i="3" s="1"/>
  <c r="M1258" i="3"/>
  <c r="M1226" i="3"/>
  <c r="M512" i="3"/>
  <c r="M264" i="3"/>
  <c r="M625" i="3"/>
  <c r="M1363" i="3"/>
  <c r="M1364" i="3"/>
  <c r="M1176" i="3"/>
  <c r="M1141" i="3"/>
  <c r="M37" i="3"/>
  <c r="M727" i="3"/>
  <c r="M739" i="3"/>
  <c r="M743" i="3"/>
  <c r="M733" i="3"/>
  <c r="M747" i="3"/>
  <c r="M682" i="3"/>
  <c r="M687" i="3" s="1"/>
  <c r="M646" i="3" s="1"/>
  <c r="M495" i="3"/>
  <c r="M497" i="3" s="1"/>
  <c r="M477" i="3"/>
  <c r="M482" i="3" s="1"/>
  <c r="M385" i="3" s="1"/>
  <c r="M360" i="3"/>
  <c r="M118" i="3"/>
  <c r="M119" i="3" s="1"/>
  <c r="M120" i="3" s="1"/>
  <c r="M86" i="3"/>
  <c r="M92" i="3" s="1"/>
  <c r="M370" i="3"/>
  <c r="M1320" i="3"/>
  <c r="M1327" i="3"/>
  <c r="M1332" i="3"/>
  <c r="M1380" i="3"/>
  <c r="M1386" i="3"/>
  <c r="M667" i="3"/>
  <c r="M526" i="3"/>
  <c r="M527" i="3" s="1"/>
  <c r="M521" i="3"/>
  <c r="M532" i="3"/>
  <c r="M289" i="3"/>
  <c r="M254" i="3"/>
  <c r="M1012" i="3"/>
  <c r="M1076" i="3"/>
  <c r="M255" i="3" s="1"/>
  <c r="M1075" i="3"/>
  <c r="M1126" i="3"/>
  <c r="M845" i="3"/>
  <c r="M253" i="3" s="1"/>
  <c r="M916" i="3"/>
  <c r="M282" i="3"/>
  <c r="M640" i="3"/>
  <c r="M235" i="3" s="1"/>
  <c r="M234" i="3" s="1"/>
  <c r="M662" i="3"/>
  <c r="M728" i="3"/>
  <c r="M740" i="3"/>
  <c r="M744" i="3"/>
  <c r="M748" i="3"/>
  <c r="M1180" i="3"/>
  <c r="M1333" i="3"/>
  <c r="M103" i="3"/>
  <c r="M1325" i="3"/>
  <c r="M1330" i="3"/>
  <c r="M1334" i="3"/>
  <c r="M500" i="3"/>
  <c r="M502" i="3" s="1"/>
  <c r="M725" i="3"/>
  <c r="M731" i="3"/>
  <c r="M737" i="3"/>
  <c r="M741" i="3"/>
  <c r="M745" i="3"/>
  <c r="M24" i="3"/>
  <c r="M146" i="3"/>
  <c r="M726" i="3"/>
  <c r="M738" i="3"/>
  <c r="M742" i="3"/>
  <c r="M1326" i="3"/>
  <c r="M1331" i="3"/>
  <c r="M1274" i="3" l="1"/>
  <c r="M1276" i="3"/>
  <c r="M1279" i="3"/>
  <c r="M1241" i="3"/>
  <c r="M1281" i="3"/>
  <c r="M1277" i="3"/>
  <c r="M1283" i="3"/>
  <c r="M1292" i="3"/>
  <c r="M1284" i="3"/>
  <c r="M274" i="3"/>
  <c r="M275" i="3" s="1"/>
  <c r="M533" i="3"/>
  <c r="M376" i="3"/>
  <c r="M1275" i="3"/>
  <c r="M1287" i="3"/>
  <c r="M1273" i="3"/>
  <c r="M1278" i="3"/>
  <c r="M1288" i="3"/>
  <c r="M1282" i="3"/>
  <c r="M1280" i="3"/>
  <c r="M1286" i="3"/>
  <c r="M1244" i="3"/>
  <c r="M1299" i="3"/>
  <c r="M645" i="3"/>
  <c r="M644" i="3"/>
  <c r="M647" i="3"/>
  <c r="M643" i="3"/>
  <c r="M384" i="3"/>
  <c r="M383" i="3" s="1"/>
  <c r="M386" i="3"/>
  <c r="M648" i="3"/>
  <c r="M387" i="3"/>
  <c r="M236" i="3"/>
  <c r="M1328" i="3"/>
  <c r="M1371" i="3"/>
  <c r="M1372" i="3" s="1"/>
  <c r="M147" i="3"/>
  <c r="M749" i="3"/>
  <c r="M1335" i="3"/>
  <c r="M295" i="3"/>
  <c r="N63" i="26"/>
  <c r="D54" i="26"/>
  <c r="D45" i="26"/>
  <c r="M1289" i="3" l="1"/>
  <c r="M256" i="3" s="1"/>
  <c r="M642" i="3"/>
  <c r="G39" i="34" l="1"/>
  <c r="E39" i="34"/>
  <c r="C39" i="34"/>
  <c r="B39" i="34"/>
  <c r="G29" i="34"/>
  <c r="E29" i="34"/>
  <c r="B29" i="34"/>
  <c r="G21" i="34"/>
  <c r="E21" i="34"/>
  <c r="C21" i="34"/>
  <c r="B21" i="34"/>
  <c r="E41" i="34" l="1"/>
  <c r="G41" i="34"/>
  <c r="B41" i="34"/>
  <c r="H37" i="34"/>
  <c r="J37" i="34" s="1"/>
  <c r="M37" i="34"/>
  <c r="O37" i="34" s="1"/>
  <c r="Q37" i="34" s="1"/>
  <c r="T37" i="34" l="1"/>
  <c r="V37" i="34" s="1"/>
  <c r="X37" i="34" s="1"/>
  <c r="AB37" i="34" s="1"/>
  <c r="M18" i="34"/>
  <c r="O18" i="34" s="1"/>
  <c r="Q18" i="34" s="1"/>
  <c r="AC61" i="32"/>
  <c r="T18" i="34" l="1"/>
  <c r="V18" i="34" s="1"/>
  <c r="X18" i="34" s="1"/>
  <c r="AB18" i="34" s="1"/>
  <c r="X61" i="32"/>
  <c r="P1049" i="3"/>
  <c r="P1046" i="3"/>
  <c r="P1044" i="3"/>
  <c r="P1043" i="3"/>
  <c r="AI919" i="3" l="1"/>
  <c r="P758" i="3" l="1"/>
  <c r="P279" i="3" l="1"/>
  <c r="L1079" i="3" l="1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7" i="3"/>
  <c r="L1098" i="3"/>
  <c r="L1100" i="3"/>
  <c r="L1101" i="3"/>
  <c r="L1102" i="3"/>
  <c r="L1110" i="3"/>
  <c r="L1111" i="3"/>
  <c r="L1112" i="3"/>
  <c r="L1113" i="3"/>
  <c r="L1114" i="3"/>
  <c r="L1115" i="3"/>
  <c r="L1116" i="3"/>
  <c r="L1117" i="3"/>
  <c r="L1025" i="3"/>
  <c r="L1026" i="3"/>
  <c r="L1027" i="3"/>
  <c r="L1028" i="3"/>
  <c r="L1030" i="3"/>
  <c r="L1032" i="3"/>
  <c r="L1036" i="3"/>
  <c r="L1037" i="3"/>
  <c r="L1039" i="3"/>
  <c r="L1042" i="3"/>
  <c r="L1050" i="3"/>
  <c r="L1051" i="3"/>
  <c r="L1052" i="3"/>
  <c r="L1053" i="3"/>
  <c r="L1054" i="3"/>
  <c r="L1055" i="3"/>
  <c r="L1058" i="3"/>
  <c r="L1060" i="3"/>
  <c r="L1062" i="3"/>
  <c r="L1063" i="3"/>
  <c r="L1065" i="3"/>
  <c r="L1068" i="3"/>
  <c r="L1069" i="3"/>
  <c r="L1070" i="3"/>
  <c r="L1071" i="3"/>
  <c r="L1072" i="3"/>
  <c r="L1073" i="3"/>
  <c r="L1104" i="3" l="1"/>
  <c r="Q1104" i="3"/>
  <c r="S1104" i="3" s="1"/>
  <c r="U1104" i="3" s="1"/>
  <c r="X1104" i="3" s="1"/>
  <c r="Z1104" i="3" s="1"/>
  <c r="AB1104" i="3" s="1"/>
  <c r="AF1104" i="3" s="1"/>
  <c r="L1095" i="3"/>
  <c r="N1095" i="3" s="1"/>
  <c r="Q1095" i="3"/>
  <c r="S1095" i="3" s="1"/>
  <c r="U1095" i="3" s="1"/>
  <c r="X1095" i="3" s="1"/>
  <c r="Z1095" i="3" s="1"/>
  <c r="AB1095" i="3" s="1"/>
  <c r="AF1095" i="3" s="1"/>
  <c r="L1107" i="3"/>
  <c r="N1107" i="3" s="1"/>
  <c r="Q1107" i="3"/>
  <c r="S1107" i="3" s="1"/>
  <c r="U1107" i="3" s="1"/>
  <c r="X1107" i="3" s="1"/>
  <c r="Z1107" i="3" s="1"/>
  <c r="AB1107" i="3" s="1"/>
  <c r="AF1107" i="3" s="1"/>
  <c r="L1103" i="3"/>
  <c r="N1103" i="3" s="1"/>
  <c r="Q1103" i="3"/>
  <c r="S1103" i="3" s="1"/>
  <c r="U1103" i="3" s="1"/>
  <c r="X1103" i="3" s="1"/>
  <c r="Z1103" i="3" s="1"/>
  <c r="AB1103" i="3" s="1"/>
  <c r="AF1103" i="3" s="1"/>
  <c r="L1096" i="3"/>
  <c r="Q1096" i="3"/>
  <c r="L1106" i="3"/>
  <c r="Q1106" i="3"/>
  <c r="S1106" i="3" s="1"/>
  <c r="L1049" i="3"/>
  <c r="N1049" i="3" s="1"/>
  <c r="Q1049" i="3"/>
  <c r="S1049" i="3" s="1"/>
  <c r="U1049" i="3" s="1"/>
  <c r="X1049" i="3" s="1"/>
  <c r="Z1049" i="3" s="1"/>
  <c r="AB1049" i="3" s="1"/>
  <c r="AF1049" i="3" s="1"/>
  <c r="L1044" i="3"/>
  <c r="N1044" i="3" s="1"/>
  <c r="Q1044" i="3"/>
  <c r="S1044" i="3" s="1"/>
  <c r="U1044" i="3" s="1"/>
  <c r="X1044" i="3" s="1"/>
  <c r="Z1044" i="3" s="1"/>
  <c r="AB1044" i="3" s="1"/>
  <c r="AF1044" i="3" s="1"/>
  <c r="L1108" i="3"/>
  <c r="Q1108" i="3"/>
  <c r="S1108" i="3" s="1"/>
  <c r="L1099" i="3"/>
  <c r="N1099" i="3" s="1"/>
  <c r="Q1099" i="3"/>
  <c r="S1099" i="3" s="1"/>
  <c r="U1099" i="3" s="1"/>
  <c r="X1099" i="3" s="1"/>
  <c r="Z1099" i="3" s="1"/>
  <c r="AB1099" i="3" s="1"/>
  <c r="AF1099" i="3" s="1"/>
  <c r="L1109" i="3"/>
  <c r="Q1109" i="3"/>
  <c r="S1109" i="3" s="1"/>
  <c r="L1105" i="3"/>
  <c r="N1105" i="3" s="1"/>
  <c r="Q1105" i="3"/>
  <c r="S1105" i="3" s="1"/>
  <c r="U1105" i="3" s="1"/>
  <c r="X1105" i="3" s="1"/>
  <c r="Z1105" i="3" s="1"/>
  <c r="AB1105" i="3" s="1"/>
  <c r="AF1105" i="3" s="1"/>
  <c r="H221" i="3"/>
  <c r="J221" i="3" s="1"/>
  <c r="L221" i="3" s="1"/>
  <c r="N221" i="3" s="1"/>
  <c r="Q221" i="3" s="1"/>
  <c r="S221" i="3" s="1"/>
  <c r="U221" i="3" s="1"/>
  <c r="X221" i="3" s="1"/>
  <c r="Z221" i="3" s="1"/>
  <c r="AB221" i="3" s="1"/>
  <c r="AF221" i="3" s="1"/>
  <c r="H203" i="3"/>
  <c r="J203" i="3" s="1"/>
  <c r="L203" i="3" s="1"/>
  <c r="N203" i="3" s="1"/>
  <c r="Q203" i="3" s="1"/>
  <c r="S203" i="3" s="1"/>
  <c r="U203" i="3" s="1"/>
  <c r="X203" i="3" s="1"/>
  <c r="Z203" i="3" s="1"/>
  <c r="AB203" i="3" s="1"/>
  <c r="AF203" i="3" s="1"/>
  <c r="H212" i="3"/>
  <c r="J212" i="3" s="1"/>
  <c r="L212" i="3" s="1"/>
  <c r="N212" i="3" s="1"/>
  <c r="Q212" i="3" s="1"/>
  <c r="S212" i="3" s="1"/>
  <c r="U212" i="3" s="1"/>
  <c r="X212" i="3" s="1"/>
  <c r="Z212" i="3" s="1"/>
  <c r="AB212" i="3" s="1"/>
  <c r="AF212" i="3" s="1"/>
  <c r="H214" i="3"/>
  <c r="J214" i="3" s="1"/>
  <c r="L214" i="3" s="1"/>
  <c r="N214" i="3" s="1"/>
  <c r="Q214" i="3" s="1"/>
  <c r="S214" i="3" s="1"/>
  <c r="U214" i="3" s="1"/>
  <c r="X214" i="3" s="1"/>
  <c r="Z214" i="3" s="1"/>
  <c r="AB214" i="3" s="1"/>
  <c r="AF214" i="3" s="1"/>
  <c r="H196" i="3"/>
  <c r="J196" i="3" s="1"/>
  <c r="L196" i="3" s="1"/>
  <c r="N196" i="3" s="1"/>
  <c r="Q196" i="3" s="1"/>
  <c r="S196" i="3" s="1"/>
  <c r="U196" i="3" s="1"/>
  <c r="X196" i="3" s="1"/>
  <c r="Z196" i="3" s="1"/>
  <c r="AB196" i="3" s="1"/>
  <c r="AF196" i="3" s="1"/>
  <c r="I289" i="28" l="1"/>
  <c r="M289" i="28" s="1"/>
  <c r="Q289" i="28" s="1"/>
  <c r="U289" i="28" s="1"/>
  <c r="AA289" i="28" s="1"/>
  <c r="AE289" i="28" s="1"/>
  <c r="AI289" i="28" s="1"/>
  <c r="AO289" i="28" s="1"/>
  <c r="N993" i="3"/>
  <c r="Q993" i="3" s="1"/>
  <c r="S993" i="3" s="1"/>
  <c r="U993" i="3" s="1"/>
  <c r="X993" i="3" s="1"/>
  <c r="Z993" i="3" s="1"/>
  <c r="AB993" i="3" s="1"/>
  <c r="AF993" i="3" s="1"/>
  <c r="H328" i="3"/>
  <c r="J328" i="3" s="1"/>
  <c r="L328" i="3" s="1"/>
  <c r="N328" i="3" s="1"/>
  <c r="Q328" i="3" s="1"/>
  <c r="S328" i="3" s="1"/>
  <c r="U328" i="3" s="1"/>
  <c r="X328" i="3" s="1"/>
  <c r="Z328" i="3" s="1"/>
  <c r="AB328" i="3" s="1"/>
  <c r="AF328" i="3" s="1"/>
  <c r="AS289" i="28" l="1"/>
  <c r="AW289" i="28" s="1"/>
  <c r="BE289" i="28" s="1"/>
  <c r="AI227" i="3"/>
  <c r="AI233" i="3"/>
  <c r="AI238" i="3"/>
  <c r="AI239" i="3" s="1"/>
  <c r="N11" i="26" l="1"/>
  <c r="H29" i="28"/>
  <c r="L29" i="28" s="1"/>
  <c r="P29" i="28" l="1"/>
  <c r="T29" i="28" s="1"/>
  <c r="Z29" i="28" s="1"/>
  <c r="AD29" i="28" s="1"/>
  <c r="AH29" i="28" s="1"/>
  <c r="AN29" i="28" s="1"/>
  <c r="AR29" i="28" s="1"/>
  <c r="AV29" i="28" s="1"/>
  <c r="BD29" i="28" s="1"/>
  <c r="N34" i="26"/>
  <c r="N9" i="26"/>
  <c r="N14" i="26" s="1"/>
  <c r="N10" i="26" l="1"/>
  <c r="P901" i="3" l="1"/>
  <c r="P844" i="3"/>
  <c r="P161" i="3" l="1"/>
  <c r="J11" i="26" l="1"/>
  <c r="F11" i="26"/>
  <c r="D11" i="26"/>
  <c r="M34" i="34" l="1"/>
  <c r="O34" i="34" s="1"/>
  <c r="Q34" i="34" s="1"/>
  <c r="M24" i="34"/>
  <c r="O24" i="34" s="1"/>
  <c r="Q24" i="34" s="1"/>
  <c r="T24" i="34" s="1"/>
  <c r="V24" i="34" s="1"/>
  <c r="X24" i="34" s="1"/>
  <c r="T34" i="34" l="1"/>
  <c r="V34" i="34" s="1"/>
  <c r="X34" i="34" s="1"/>
  <c r="AB34" i="34" s="1"/>
  <c r="AB24" i="34"/>
  <c r="D29" i="34"/>
  <c r="D41" i="34" s="1"/>
  <c r="F27" i="34"/>
  <c r="F29" i="34" s="1"/>
  <c r="C29" i="34"/>
  <c r="C41" i="34" s="1"/>
  <c r="M17" i="34"/>
  <c r="O17" i="34" s="1"/>
  <c r="Q17" i="34" s="1"/>
  <c r="H25" i="34"/>
  <c r="J25" i="34" s="1"/>
  <c r="M25" i="34"/>
  <c r="O25" i="34" s="1"/>
  <c r="Q25" i="34" s="1"/>
  <c r="M32" i="34"/>
  <c r="O32" i="34" s="1"/>
  <c r="H32" i="34"/>
  <c r="J32" i="34" s="1"/>
  <c r="M26" i="34"/>
  <c r="O26" i="34" s="1"/>
  <c r="Q26" i="34" s="1"/>
  <c r="H26" i="34"/>
  <c r="J26" i="34" s="1"/>
  <c r="H36" i="34"/>
  <c r="J36" i="34" s="1"/>
  <c r="M36" i="34"/>
  <c r="O36" i="34" s="1"/>
  <c r="Q36" i="34" s="1"/>
  <c r="M12" i="34"/>
  <c r="O12" i="34" s="1"/>
  <c r="Q12" i="34" s="1"/>
  <c r="T12" i="34" s="1"/>
  <c r="H38" i="34"/>
  <c r="J38" i="34" s="1"/>
  <c r="M38" i="34"/>
  <c r="O38" i="34" s="1"/>
  <c r="Q38" i="34" s="1"/>
  <c r="M14" i="34"/>
  <c r="O14" i="34" s="1"/>
  <c r="Q14" i="34" s="1"/>
  <c r="F21" i="34"/>
  <c r="H24" i="34"/>
  <c r="F39" i="34"/>
  <c r="H34" i="34"/>
  <c r="T26" i="34" l="1"/>
  <c r="V26" i="34" s="1"/>
  <c r="X26" i="34" s="1"/>
  <c r="AB26" i="34" s="1"/>
  <c r="T36" i="34"/>
  <c r="V36" i="34" s="1"/>
  <c r="X36" i="34" s="1"/>
  <c r="AB36" i="34" s="1"/>
  <c r="T38" i="34"/>
  <c r="V38" i="34" s="1"/>
  <c r="X38" i="34" s="1"/>
  <c r="AB38" i="34" s="1"/>
  <c r="T25" i="34"/>
  <c r="V25" i="34" s="1"/>
  <c r="X25" i="34" s="1"/>
  <c r="AB25" i="34" s="1"/>
  <c r="T14" i="34"/>
  <c r="T17" i="34"/>
  <c r="V12" i="34"/>
  <c r="Q21" i="34"/>
  <c r="O39" i="34"/>
  <c r="Q32" i="34"/>
  <c r="O21" i="34"/>
  <c r="M21" i="34"/>
  <c r="M27" i="34"/>
  <c r="H27" i="34"/>
  <c r="J27" i="34" s="1"/>
  <c r="M39" i="34"/>
  <c r="J24" i="34"/>
  <c r="J34" i="34"/>
  <c r="J39" i="34" s="1"/>
  <c r="H39" i="34"/>
  <c r="J21" i="34"/>
  <c r="H21" i="34"/>
  <c r="F41" i="34"/>
  <c r="AA61" i="32"/>
  <c r="Z61" i="32"/>
  <c r="Y61" i="32"/>
  <c r="J63" i="26"/>
  <c r="D63" i="26"/>
  <c r="F63" i="26"/>
  <c r="D60" i="17"/>
  <c r="D56" i="17"/>
  <c r="T21" i="34" l="1"/>
  <c r="V14" i="34"/>
  <c r="X14" i="34" s="1"/>
  <c r="AB14" i="34" s="1"/>
  <c r="V17" i="34"/>
  <c r="X17" i="34" s="1"/>
  <c r="AB17" i="34" s="1"/>
  <c r="X12" i="34"/>
  <c r="AB12" i="34" s="1"/>
  <c r="Q39" i="34"/>
  <c r="T32" i="34"/>
  <c r="M29" i="34"/>
  <c r="M41" i="34" s="1"/>
  <c r="O27" i="34"/>
  <c r="H29" i="34"/>
  <c r="H41" i="34" s="1"/>
  <c r="J29" i="34"/>
  <c r="J41" i="34" s="1"/>
  <c r="V21" i="34" l="1"/>
  <c r="X21" i="34"/>
  <c r="AB21" i="34"/>
  <c r="V32" i="34"/>
  <c r="T39" i="34"/>
  <c r="O29" i="34"/>
  <c r="O41" i="34" s="1"/>
  <c r="Q27" i="34"/>
  <c r="T27" i="34" s="1"/>
  <c r="Q29" i="34" l="1"/>
  <c r="Q41" i="34" s="1"/>
  <c r="V39" i="34"/>
  <c r="X32" i="34"/>
  <c r="L1034" i="3"/>
  <c r="L1067" i="3"/>
  <c r="L1066" i="3"/>
  <c r="L1040" i="3"/>
  <c r="V27" i="34" l="1"/>
  <c r="T29" i="34"/>
  <c r="T41" i="34" s="1"/>
  <c r="AB32" i="34"/>
  <c r="AB39" i="34" s="1"/>
  <c r="X39" i="34"/>
  <c r="L1043" i="3"/>
  <c r="N1043" i="3" s="1"/>
  <c r="Q1043" i="3"/>
  <c r="S1043" i="3" s="1"/>
  <c r="U1043" i="3" s="1"/>
  <c r="X1043" i="3" s="1"/>
  <c r="Z1043" i="3" s="1"/>
  <c r="AB1043" i="3" s="1"/>
  <c r="AF1043" i="3" s="1"/>
  <c r="L1056" i="3"/>
  <c r="X27" i="34" l="1"/>
  <c r="V29" i="34"/>
  <c r="V41" i="34" s="1"/>
  <c r="AB27" i="34" l="1"/>
  <c r="AB29" i="34" s="1"/>
  <c r="X29" i="34"/>
  <c r="X41" i="34" s="1"/>
  <c r="AB41" i="34" l="1"/>
  <c r="AD39" i="34"/>
  <c r="H220" i="3"/>
  <c r="J220" i="3" s="1"/>
  <c r="L220" i="3" s="1"/>
  <c r="N220" i="3" s="1"/>
  <c r="Q220" i="3" s="1"/>
  <c r="S220" i="3" s="1"/>
  <c r="U220" i="3" s="1"/>
  <c r="X220" i="3" s="1"/>
  <c r="Z220" i="3" s="1"/>
  <c r="AB220" i="3" s="1"/>
  <c r="AF220" i="3" s="1"/>
  <c r="P686" i="3" l="1"/>
  <c r="P684" i="3"/>
  <c r="P683" i="3"/>
  <c r="P685" i="3" l="1"/>
  <c r="J328" i="28"/>
  <c r="O53" i="11" l="1"/>
  <c r="O46" i="11"/>
  <c r="O44" i="11"/>
  <c r="O41" i="11"/>
  <c r="O106" i="10"/>
  <c r="O104" i="10"/>
  <c r="O101" i="10"/>
  <c r="O42" i="11" l="1"/>
  <c r="Y41" i="11"/>
  <c r="O102" i="10"/>
  <c r="Y101" i="10"/>
  <c r="Y102" i="10" s="1"/>
  <c r="H102" i="6"/>
  <c r="L102" i="6" s="1"/>
  <c r="L83" i="6"/>
  <c r="J14" i="6"/>
  <c r="J13" i="6"/>
  <c r="J151" i="6" s="1"/>
  <c r="J7" i="6"/>
  <c r="J23" i="6" l="1"/>
  <c r="J17" i="6"/>
  <c r="J26" i="6"/>
  <c r="J20" i="6"/>
  <c r="J18" i="6"/>
  <c r="J27" i="6"/>
  <c r="J21" i="6"/>
  <c r="J24" i="6"/>
  <c r="P102" i="6"/>
  <c r="T102" i="6" s="1"/>
  <c r="P83" i="6"/>
  <c r="T83" i="6" s="1"/>
  <c r="J156" i="6"/>
  <c r="J177" i="6"/>
  <c r="J183" i="6"/>
  <c r="H7" i="21"/>
  <c r="L7" i="21" s="1"/>
  <c r="P7" i="21" s="1"/>
  <c r="T7" i="21" s="1"/>
  <c r="Z7" i="21" s="1"/>
  <c r="AD7" i="21" s="1"/>
  <c r="AH7" i="21" s="1"/>
  <c r="AN7" i="21" s="1"/>
  <c r="AR7" i="21" s="1"/>
  <c r="AV7" i="21" s="1"/>
  <c r="BD7" i="21" s="1"/>
  <c r="J22" i="6" l="1"/>
  <c r="Z102" i="6"/>
  <c r="AD102" i="6" s="1"/>
  <c r="AH102" i="6" s="1"/>
  <c r="AN102" i="6" s="1"/>
  <c r="AR102" i="6" s="1"/>
  <c r="AV102" i="6" s="1"/>
  <c r="BD102" i="6" s="1"/>
  <c r="Z83" i="6"/>
  <c r="AD83" i="6" s="1"/>
  <c r="AH83" i="6" s="1"/>
  <c r="AN83" i="6" s="1"/>
  <c r="AR83" i="6" s="1"/>
  <c r="AV83" i="6" s="1"/>
  <c r="BD83" i="6" s="1"/>
  <c r="J28" i="6"/>
  <c r="J30" i="6"/>
  <c r="J25" i="6"/>
  <c r="J29" i="6"/>
  <c r="J19" i="6"/>
  <c r="D79" i="8"/>
  <c r="J31" i="6" l="1"/>
  <c r="I34" i="11"/>
  <c r="M34" i="11" s="1"/>
  <c r="I94" i="10"/>
  <c r="M94" i="10" s="1"/>
  <c r="Q34" i="11" l="1"/>
  <c r="U34" i="11" s="1"/>
  <c r="AA34" i="11" s="1"/>
  <c r="AE34" i="11" s="1"/>
  <c r="AI34" i="11" s="1"/>
  <c r="AO34" i="11" s="1"/>
  <c r="AS34" i="11" s="1"/>
  <c r="Q94" i="10"/>
  <c r="U94" i="10" s="1"/>
  <c r="AA94" i="10" s="1"/>
  <c r="AE94" i="10" s="1"/>
  <c r="AI94" i="10" s="1"/>
  <c r="AO94" i="10" s="1"/>
  <c r="AS94" i="10" s="1"/>
  <c r="AW94" i="10" s="1"/>
  <c r="BE94" i="10" s="1"/>
  <c r="L1031" i="3"/>
  <c r="L1035" i="3"/>
  <c r="L1038" i="3"/>
  <c r="L1041" i="3"/>
  <c r="L1059" i="3"/>
  <c r="AW34" i="11" l="1"/>
  <c r="BE34" i="11" s="1"/>
  <c r="L1057" i="3"/>
  <c r="BC34" i="11" l="1"/>
  <c r="I198" i="28"/>
  <c r="M198" i="28" s="1"/>
  <c r="Q198" i="28" s="1"/>
  <c r="U198" i="28" s="1"/>
  <c r="BC37" i="11" l="1"/>
  <c r="BC53" i="11"/>
  <c r="AA198" i="28"/>
  <c r="AE198" i="28" s="1"/>
  <c r="AI198" i="28" s="1"/>
  <c r="AO198" i="28" s="1"/>
  <c r="AS198" i="28" s="1"/>
  <c r="AW198" i="28" s="1"/>
  <c r="BE198" i="28" s="1"/>
  <c r="H222" i="3" l="1"/>
  <c r="J222" i="3" s="1"/>
  <c r="L222" i="3" s="1"/>
  <c r="N222" i="3" s="1"/>
  <c r="Q222" i="3" s="1"/>
  <c r="S222" i="3" s="1"/>
  <c r="U222" i="3" s="1"/>
  <c r="X222" i="3" s="1"/>
  <c r="Z222" i="3" s="1"/>
  <c r="AB222" i="3" s="1"/>
  <c r="AF222" i="3" s="1"/>
  <c r="H217" i="3"/>
  <c r="J217" i="3" s="1"/>
  <c r="L217" i="3" s="1"/>
  <c r="N217" i="3" s="1"/>
  <c r="Q217" i="3" s="1"/>
  <c r="S217" i="3" s="1"/>
  <c r="U217" i="3" s="1"/>
  <c r="X217" i="3" s="1"/>
  <c r="Z217" i="3" s="1"/>
  <c r="AB217" i="3" s="1"/>
  <c r="AF217" i="3" s="1"/>
  <c r="H218" i="3"/>
  <c r="J218" i="3" s="1"/>
  <c r="L218" i="3" s="1"/>
  <c r="N218" i="3" s="1"/>
  <c r="Q218" i="3" s="1"/>
  <c r="S218" i="3" s="1"/>
  <c r="U218" i="3" s="1"/>
  <c r="X218" i="3" s="1"/>
  <c r="Z218" i="3" s="1"/>
  <c r="AB218" i="3" s="1"/>
  <c r="AF218" i="3" s="1"/>
  <c r="H195" i="3"/>
  <c r="J195" i="3" s="1"/>
  <c r="L195" i="3" s="1"/>
  <c r="N195" i="3" s="1"/>
  <c r="Q195" i="3" s="1"/>
  <c r="S195" i="3" s="1"/>
  <c r="U195" i="3" s="1"/>
  <c r="X195" i="3" s="1"/>
  <c r="Z195" i="3" s="1"/>
  <c r="AB195" i="3" s="1"/>
  <c r="AF195" i="3" s="1"/>
  <c r="H192" i="3"/>
  <c r="J192" i="3" s="1"/>
  <c r="L192" i="3" s="1"/>
  <c r="N192" i="3" s="1"/>
  <c r="Q192" i="3" s="1"/>
  <c r="S192" i="3" s="1"/>
  <c r="U192" i="3" s="1"/>
  <c r="X192" i="3" s="1"/>
  <c r="Z192" i="3" s="1"/>
  <c r="AB192" i="3" s="1"/>
  <c r="AF192" i="3" s="1"/>
  <c r="I7" i="21" l="1"/>
  <c r="M7" i="21" s="1"/>
  <c r="Q7" i="21" s="1"/>
  <c r="U7" i="21" s="1"/>
  <c r="AA7" i="21" s="1"/>
  <c r="AE7" i="21" s="1"/>
  <c r="AI7" i="21" s="1"/>
  <c r="AO7" i="21" s="1"/>
  <c r="AS7" i="21" s="1"/>
  <c r="AW7" i="21" s="1"/>
  <c r="BE7" i="21" s="1"/>
  <c r="G221" i="6" l="1"/>
  <c r="G220" i="6"/>
  <c r="G219" i="6"/>
  <c r="D328" i="28"/>
  <c r="H147" i="28"/>
  <c r="L147" i="28" s="1"/>
  <c r="P147" i="28" s="1"/>
  <c r="T147" i="28" s="1"/>
  <c r="H197" i="28"/>
  <c r="L197" i="28" s="1"/>
  <c r="P197" i="28" s="1"/>
  <c r="T197" i="28" s="1"/>
  <c r="I197" i="28"/>
  <c r="M197" i="28" s="1"/>
  <c r="I169" i="28"/>
  <c r="Z197" i="28" l="1"/>
  <c r="AD197" i="28" s="1"/>
  <c r="AH197" i="28" s="1"/>
  <c r="AN197" i="28" s="1"/>
  <c r="AR197" i="28" s="1"/>
  <c r="AV197" i="28" s="1"/>
  <c r="BD197" i="28" s="1"/>
  <c r="Z147" i="28"/>
  <c r="AD147" i="28" s="1"/>
  <c r="AH147" i="28" s="1"/>
  <c r="AN147" i="28" s="1"/>
  <c r="AR147" i="28" s="1"/>
  <c r="AV147" i="28" s="1"/>
  <c r="BD147" i="28" s="1"/>
  <c r="M199" i="28"/>
  <c r="Q197" i="28"/>
  <c r="M169" i="28"/>
  <c r="I199" i="28"/>
  <c r="Q199" i="28" l="1"/>
  <c r="U197" i="28"/>
  <c r="H1312" i="3"/>
  <c r="J1312" i="3" s="1"/>
  <c r="N984" i="3"/>
  <c r="Q984" i="3" s="1"/>
  <c r="S984" i="3" s="1"/>
  <c r="U984" i="3" s="1"/>
  <c r="X984" i="3" s="1"/>
  <c r="Z984" i="3" s="1"/>
  <c r="AB984" i="3" s="1"/>
  <c r="AF984" i="3" s="1"/>
  <c r="H322" i="3"/>
  <c r="J322" i="3" s="1"/>
  <c r="U199" i="28" l="1"/>
  <c r="Y199" i="28"/>
  <c r="AA197" i="28"/>
  <c r="Q169" i="28"/>
  <c r="L1312" i="3"/>
  <c r="N1312" i="3" s="1"/>
  <c r="Q1312" i="3"/>
  <c r="S1312" i="3" s="1"/>
  <c r="U1312" i="3" s="1"/>
  <c r="X1312" i="3" s="1"/>
  <c r="Z1312" i="3" s="1"/>
  <c r="AB1312" i="3" s="1"/>
  <c r="AF1312" i="3" s="1"/>
  <c r="CC263" i="3"/>
  <c r="AA199" i="28" l="1"/>
  <c r="AE197" i="28"/>
  <c r="U169" i="28"/>
  <c r="Y169" i="28"/>
  <c r="P944" i="3"/>
  <c r="P927" i="3"/>
  <c r="P928" i="3"/>
  <c r="N944" i="3"/>
  <c r="Q944" i="3" s="1"/>
  <c r="S944" i="3" s="1"/>
  <c r="U944" i="3" s="1"/>
  <c r="X944" i="3" s="1"/>
  <c r="Z944" i="3" s="1"/>
  <c r="AB944" i="3" s="1"/>
  <c r="AF944" i="3" s="1"/>
  <c r="N927" i="3"/>
  <c r="Q927" i="3" s="1"/>
  <c r="S927" i="3" s="1"/>
  <c r="U927" i="3" s="1"/>
  <c r="X927" i="3" s="1"/>
  <c r="Z927" i="3" s="1"/>
  <c r="AB927" i="3" s="1"/>
  <c r="AF927" i="3" s="1"/>
  <c r="N928" i="3"/>
  <c r="Q928" i="3" s="1"/>
  <c r="S928" i="3" s="1"/>
  <c r="U928" i="3" s="1"/>
  <c r="X928" i="3" s="1"/>
  <c r="Z928" i="3" s="1"/>
  <c r="AB928" i="3" s="1"/>
  <c r="AF928" i="3" s="1"/>
  <c r="L1048" i="3"/>
  <c r="L1033" i="3"/>
  <c r="L1029" i="3"/>
  <c r="L1023" i="3"/>
  <c r="L1024" i="3"/>
  <c r="L1064" i="3"/>
  <c r="AE199" i="28" l="1"/>
  <c r="AI197" i="28"/>
  <c r="AE169" i="28"/>
  <c r="L1046" i="3"/>
  <c r="Q1046" i="3"/>
  <c r="S1046" i="3" s="1"/>
  <c r="L1061" i="3"/>
  <c r="L1045" i="3"/>
  <c r="Q1045" i="3"/>
  <c r="S1045" i="3" s="1"/>
  <c r="AI199" i="28" l="1"/>
  <c r="AO197" i="28"/>
  <c r="E199" i="28"/>
  <c r="AO199" i="28" l="1"/>
  <c r="AS197" i="28"/>
  <c r="N773" i="3"/>
  <c r="Q773" i="3" s="1"/>
  <c r="S773" i="3" s="1"/>
  <c r="U773" i="3" s="1"/>
  <c r="X773" i="3" s="1"/>
  <c r="Z773" i="3" s="1"/>
  <c r="AB773" i="3" s="1"/>
  <c r="AF773" i="3" s="1"/>
  <c r="N814" i="3"/>
  <c r="Q814" i="3" s="1"/>
  <c r="S814" i="3" s="1"/>
  <c r="U814" i="3" s="1"/>
  <c r="X814" i="3" s="1"/>
  <c r="Z814" i="3" s="1"/>
  <c r="AB814" i="3" s="1"/>
  <c r="AF814" i="3" s="1"/>
  <c r="N817" i="3"/>
  <c r="Q817" i="3" s="1"/>
  <c r="S817" i="3" s="1"/>
  <c r="U817" i="3" s="1"/>
  <c r="X817" i="3" s="1"/>
  <c r="Z817" i="3" s="1"/>
  <c r="AB817" i="3" s="1"/>
  <c r="AF817" i="3" s="1"/>
  <c r="N818" i="3"/>
  <c r="Q818" i="3" s="1"/>
  <c r="S818" i="3" s="1"/>
  <c r="U818" i="3" s="1"/>
  <c r="X818" i="3" s="1"/>
  <c r="Z818" i="3" s="1"/>
  <c r="AB818" i="3" s="1"/>
  <c r="AF818" i="3" s="1"/>
  <c r="AS199" i="28" l="1"/>
  <c r="AW197" i="28"/>
  <c r="D94" i="26"/>
  <c r="D92" i="26"/>
  <c r="D64" i="26"/>
  <c r="D60" i="26"/>
  <c r="D38" i="26"/>
  <c r="BE197" i="28" l="1"/>
  <c r="BE199" i="28" s="1"/>
  <c r="AW199" i="28"/>
  <c r="D78" i="26"/>
  <c r="D9" i="26"/>
  <c r="D14" i="26" s="1"/>
  <c r="D34" i="26"/>
  <c r="D55" i="26"/>
  <c r="D65" i="26"/>
  <c r="D39" i="26"/>
  <c r="D43" i="26"/>
  <c r="D61" i="26"/>
  <c r="D10" i="26" l="1"/>
  <c r="D19" i="8"/>
  <c r="D14" i="6" l="1"/>
  <c r="D13" i="6"/>
  <c r="D151" i="6" s="1"/>
  <c r="H151" i="6" s="1"/>
  <c r="D7" i="6"/>
  <c r="D20" i="28"/>
  <c r="D20" i="6" l="1"/>
  <c r="D23" i="6"/>
  <c r="D17" i="6"/>
  <c r="D26" i="6"/>
  <c r="D24" i="6"/>
  <c r="D18" i="6"/>
  <c r="D27" i="6"/>
  <c r="D21" i="6"/>
  <c r="D156" i="6"/>
  <c r="D183" i="6"/>
  <c r="D177" i="6"/>
  <c r="D28" i="21"/>
  <c r="D28" i="6" l="1"/>
  <c r="D29" i="6"/>
  <c r="D19" i="6"/>
  <c r="D30" i="6"/>
  <c r="D25" i="6"/>
  <c r="D22" i="6"/>
  <c r="H279" i="3"/>
  <c r="J279" i="3" s="1"/>
  <c r="L279" i="3" s="1"/>
  <c r="N279" i="3" s="1"/>
  <c r="Q279" i="3" s="1"/>
  <c r="S279" i="3" s="1"/>
  <c r="U279" i="3" s="1"/>
  <c r="X279" i="3" s="1"/>
  <c r="Z279" i="3" s="1"/>
  <c r="AB279" i="3" s="1"/>
  <c r="AF279" i="3" s="1"/>
  <c r="D31" i="6" l="1"/>
  <c r="H1118" i="3"/>
  <c r="J1118" i="3" s="1"/>
  <c r="L1118" i="3" s="1"/>
  <c r="H901" i="3" l="1"/>
  <c r="H161" i="3"/>
  <c r="J161" i="3" s="1"/>
  <c r="L161" i="3" s="1"/>
  <c r="N161" i="3" s="1"/>
  <c r="Q161" i="3" s="1"/>
  <c r="S161" i="3" s="1"/>
  <c r="U161" i="3" s="1"/>
  <c r="X161" i="3" s="1"/>
  <c r="Z161" i="3" s="1"/>
  <c r="AB161" i="3" s="1"/>
  <c r="AF161" i="3" s="1"/>
  <c r="J901" i="3" l="1"/>
  <c r="L901" i="3" s="1"/>
  <c r="N901" i="3" s="1"/>
  <c r="Q901" i="3" s="1"/>
  <c r="S901" i="3" s="1"/>
  <c r="U901" i="3" s="1"/>
  <c r="X901" i="3" s="1"/>
  <c r="Z901" i="3" s="1"/>
  <c r="AB901" i="3" s="1"/>
  <c r="AF901" i="3" s="1"/>
  <c r="N759" i="3"/>
  <c r="W759" i="3"/>
  <c r="AE759" i="3" s="1"/>
  <c r="Q759" i="3" l="1"/>
  <c r="S759" i="3" l="1"/>
  <c r="U759" i="3" s="1"/>
  <c r="X759" i="3" s="1"/>
  <c r="P813" i="3"/>
  <c r="N813" i="3"/>
  <c r="Q813" i="3" s="1"/>
  <c r="S813" i="3" s="1"/>
  <c r="U813" i="3" s="1"/>
  <c r="X813" i="3" s="1"/>
  <c r="Z813" i="3" s="1"/>
  <c r="AB813" i="3" s="1"/>
  <c r="AF813" i="3" s="1"/>
  <c r="Z759" i="3" l="1"/>
  <c r="AB759" i="3" s="1"/>
  <c r="AF759" i="3" s="1"/>
  <c r="W796" i="3" l="1"/>
  <c r="AE796" i="3" s="1"/>
  <c r="P796" i="3"/>
  <c r="N796" i="3"/>
  <c r="Q796" i="3" s="1"/>
  <c r="W795" i="3"/>
  <c r="AE795" i="3" s="1"/>
  <c r="P795" i="3"/>
  <c r="N795" i="3"/>
  <c r="Q795" i="3" s="1"/>
  <c r="W794" i="3"/>
  <c r="AE794" i="3" s="1"/>
  <c r="P794" i="3"/>
  <c r="N794" i="3"/>
  <c r="Q794" i="3" s="1"/>
  <c r="S796" i="3" l="1"/>
  <c r="U796" i="3" s="1"/>
  <c r="X796" i="3" s="1"/>
  <c r="S795" i="3"/>
  <c r="U795" i="3" s="1"/>
  <c r="X795" i="3" s="1"/>
  <c r="S794" i="3"/>
  <c r="U794" i="3" s="1"/>
  <c r="X794" i="3" s="1"/>
  <c r="Z794" i="3" l="1"/>
  <c r="AB794" i="3" s="1"/>
  <c r="AF794" i="3" s="1"/>
  <c r="Z795" i="3"/>
  <c r="AB795" i="3" s="1"/>
  <c r="AF795" i="3" s="1"/>
  <c r="Z796" i="3"/>
  <c r="AB796" i="3" s="1"/>
  <c r="AF796" i="3" s="1"/>
  <c r="H58" i="9" l="1"/>
  <c r="L58" i="9" l="1"/>
  <c r="H23" i="26"/>
  <c r="L23" i="26" s="1"/>
  <c r="P23" i="26" s="1"/>
  <c r="T23" i="26" s="1"/>
  <c r="H22" i="26"/>
  <c r="L22" i="26" s="1"/>
  <c r="P22" i="26" s="1"/>
  <c r="T22" i="26" s="1"/>
  <c r="I22" i="26"/>
  <c r="M22" i="26" s="1"/>
  <c r="Q22" i="26" s="1"/>
  <c r="U22" i="26" s="1"/>
  <c r="AA22" i="26" s="1"/>
  <c r="AE22" i="26" s="1"/>
  <c r="AI22" i="26" s="1"/>
  <c r="AO22" i="26" s="1"/>
  <c r="AS22" i="26" s="1"/>
  <c r="AW22" i="26" s="1"/>
  <c r="BE22" i="26" s="1"/>
  <c r="I23" i="26"/>
  <c r="M23" i="26" s="1"/>
  <c r="Q23" i="26" s="1"/>
  <c r="U23" i="26" s="1"/>
  <c r="AA23" i="26" s="1"/>
  <c r="AE23" i="26" s="1"/>
  <c r="AI23" i="26" s="1"/>
  <c r="AO23" i="26" s="1"/>
  <c r="AS23" i="26" s="1"/>
  <c r="AW23" i="26" s="1"/>
  <c r="BE23" i="26" s="1"/>
  <c r="Z22" i="26" l="1"/>
  <c r="AD22" i="26" s="1"/>
  <c r="AH22" i="26" s="1"/>
  <c r="X22" i="26"/>
  <c r="Z23" i="26"/>
  <c r="AD23" i="26" s="1"/>
  <c r="AH23" i="26" s="1"/>
  <c r="X23" i="26"/>
  <c r="P58" i="9"/>
  <c r="AN23" i="26" l="1"/>
  <c r="AR23" i="26" s="1"/>
  <c r="AV23" i="26" s="1"/>
  <c r="AL23" i="26"/>
  <c r="AN22" i="26"/>
  <c r="AR22" i="26" s="1"/>
  <c r="AV22" i="26" s="1"/>
  <c r="AL22" i="26"/>
  <c r="T58" i="9"/>
  <c r="Z58" i="9" s="1"/>
  <c r="AD58" i="9" s="1"/>
  <c r="AH58" i="9" s="1"/>
  <c r="AD925" i="3"/>
  <c r="AD924" i="3"/>
  <c r="AZ22" i="26" l="1"/>
  <c r="BB22" i="26" s="1"/>
  <c r="BD22" i="26"/>
  <c r="BD23" i="26"/>
  <c r="AZ23" i="26"/>
  <c r="BB23" i="26" s="1"/>
  <c r="AN58" i="9"/>
  <c r="AR58" i="9" s="1"/>
  <c r="AD350" i="3"/>
  <c r="AD351" i="3"/>
  <c r="AD352" i="3"/>
  <c r="AV58" i="9" l="1"/>
  <c r="BD58" i="9" s="1"/>
  <c r="W760" i="3"/>
  <c r="AE760" i="3" s="1"/>
  <c r="N760" i="3"/>
  <c r="Q760" i="3" l="1"/>
  <c r="S760" i="3" s="1"/>
  <c r="U760" i="3" s="1"/>
  <c r="X760" i="3" s="1"/>
  <c r="Z760" i="3" l="1"/>
  <c r="AB760" i="3" s="1"/>
  <c r="AF760" i="3" s="1"/>
  <c r="D103" i="6" l="1"/>
  <c r="H101" i="6"/>
  <c r="L101" i="6" s="1"/>
  <c r="P101" i="6" s="1"/>
  <c r="D81" i="6"/>
  <c r="G112" i="6"/>
  <c r="G115" i="6"/>
  <c r="G116" i="6"/>
  <c r="G117" i="6"/>
  <c r="G118" i="6"/>
  <c r="G119" i="6"/>
  <c r="P103" i="6" l="1"/>
  <c r="T101" i="6"/>
  <c r="I116" i="6"/>
  <c r="I115" i="6"/>
  <c r="H411" i="3"/>
  <c r="I119" i="6"/>
  <c r="I118" i="6"/>
  <c r="I117" i="6"/>
  <c r="I112" i="6"/>
  <c r="M112" i="6" s="1"/>
  <c r="Q112" i="6" s="1"/>
  <c r="U112" i="6" s="1"/>
  <c r="L112" i="6"/>
  <c r="P112" i="6" s="1"/>
  <c r="T112" i="6" s="1"/>
  <c r="L116" i="6"/>
  <c r="P116" i="6" s="1"/>
  <c r="T116" i="6" s="1"/>
  <c r="L120" i="6"/>
  <c r="P120" i="6" s="1"/>
  <c r="T120" i="6" s="1"/>
  <c r="L119" i="6"/>
  <c r="P119" i="6" s="1"/>
  <c r="T119" i="6" s="1"/>
  <c r="L113" i="6"/>
  <c r="P113" i="6" s="1"/>
  <c r="T113" i="6" s="1"/>
  <c r="L117" i="6"/>
  <c r="P117" i="6" s="1"/>
  <c r="T117" i="6" s="1"/>
  <c r="L118" i="6"/>
  <c r="P118" i="6" s="1"/>
  <c r="T118" i="6" s="1"/>
  <c r="L124" i="6"/>
  <c r="P124" i="6" s="1"/>
  <c r="T124" i="6" s="1"/>
  <c r="H111" i="6"/>
  <c r="L122" i="6"/>
  <c r="P122" i="6" s="1"/>
  <c r="T122" i="6" s="1"/>
  <c r="W416" i="3"/>
  <c r="AD414" i="3"/>
  <c r="AI203" i="6" s="1"/>
  <c r="I101" i="6"/>
  <c r="I102" i="6"/>
  <c r="E103" i="6"/>
  <c r="Z124" i="6" l="1"/>
  <c r="AD124" i="6" s="1"/>
  <c r="AH124" i="6" s="1"/>
  <c r="AN124" i="6" s="1"/>
  <c r="AR124" i="6" s="1"/>
  <c r="AV124" i="6" s="1"/>
  <c r="BD124" i="6" s="1"/>
  <c r="AA112" i="6"/>
  <c r="AE112" i="6" s="1"/>
  <c r="AI112" i="6" s="1"/>
  <c r="AO112" i="6" s="1"/>
  <c r="AS112" i="6" s="1"/>
  <c r="AW112" i="6" s="1"/>
  <c r="BE112" i="6" s="1"/>
  <c r="T103" i="6"/>
  <c r="X103" i="6"/>
  <c r="Z101" i="6"/>
  <c r="Z120" i="6"/>
  <c r="AD120" i="6" s="1"/>
  <c r="AH120" i="6" s="1"/>
  <c r="AN120" i="6" s="1"/>
  <c r="AR120" i="6" s="1"/>
  <c r="AV120" i="6" s="1"/>
  <c r="BD120" i="6" s="1"/>
  <c r="Z113" i="6"/>
  <c r="AD113" i="6" s="1"/>
  <c r="AH113" i="6" s="1"/>
  <c r="AN113" i="6" s="1"/>
  <c r="AR113" i="6" s="1"/>
  <c r="AV113" i="6" s="1"/>
  <c r="BD113" i="6" s="1"/>
  <c r="Z119" i="6"/>
  <c r="AD119" i="6" s="1"/>
  <c r="AH119" i="6" s="1"/>
  <c r="AN119" i="6" s="1"/>
  <c r="AR119" i="6" s="1"/>
  <c r="AV119" i="6" s="1"/>
  <c r="BD119" i="6" s="1"/>
  <c r="X125" i="6"/>
  <c r="Z122" i="6"/>
  <c r="AD122" i="6" s="1"/>
  <c r="Z116" i="6"/>
  <c r="AD116" i="6" s="1"/>
  <c r="AH116" i="6" s="1"/>
  <c r="AN116" i="6" s="1"/>
  <c r="AR116" i="6" s="1"/>
  <c r="AV116" i="6" s="1"/>
  <c r="BD116" i="6" s="1"/>
  <c r="Z118" i="6"/>
  <c r="AD118" i="6" s="1"/>
  <c r="AH118" i="6" s="1"/>
  <c r="AN118" i="6" s="1"/>
  <c r="AR118" i="6" s="1"/>
  <c r="AV118" i="6" s="1"/>
  <c r="BD118" i="6" s="1"/>
  <c r="Z117" i="6"/>
  <c r="AD117" i="6" s="1"/>
  <c r="AH117" i="6" s="1"/>
  <c r="AN117" i="6" s="1"/>
  <c r="AR117" i="6" s="1"/>
  <c r="AV117" i="6" s="1"/>
  <c r="BD117" i="6" s="1"/>
  <c r="Z112" i="6"/>
  <c r="AD112" i="6" s="1"/>
  <c r="AH112" i="6" s="1"/>
  <c r="AN112" i="6" s="1"/>
  <c r="AR112" i="6" s="1"/>
  <c r="AV112" i="6" s="1"/>
  <c r="BD112" i="6" s="1"/>
  <c r="T125" i="6"/>
  <c r="P125" i="6"/>
  <c r="L111" i="6"/>
  <c r="P111" i="6" s="1"/>
  <c r="T111" i="6" s="1"/>
  <c r="H434" i="3"/>
  <c r="AD415" i="3"/>
  <c r="AI204" i="6" s="1"/>
  <c r="P414" i="3"/>
  <c r="U203" i="6" s="1"/>
  <c r="U272" i="6" s="1"/>
  <c r="W414" i="3"/>
  <c r="AD416" i="3"/>
  <c r="AI205" i="6" s="1"/>
  <c r="P415" i="3"/>
  <c r="U204" i="6" s="1"/>
  <c r="W415" i="3"/>
  <c r="P416" i="3"/>
  <c r="U205" i="6" s="1"/>
  <c r="H419" i="3"/>
  <c r="H410" i="3"/>
  <c r="H412" i="3"/>
  <c r="H414" i="3"/>
  <c r="J414" i="3" s="1"/>
  <c r="H416" i="3"/>
  <c r="J416" i="3" s="1"/>
  <c r="H415" i="3"/>
  <c r="J415" i="3" s="1"/>
  <c r="P426" i="3"/>
  <c r="U215" i="6" s="1"/>
  <c r="U276" i="6" s="1"/>
  <c r="P419" i="3"/>
  <c r="U208" i="6" s="1"/>
  <c r="AD427" i="3"/>
  <c r="AI216" i="6" s="1"/>
  <c r="H426" i="3"/>
  <c r="M117" i="6"/>
  <c r="Q117" i="6" s="1"/>
  <c r="U117" i="6" s="1"/>
  <c r="W428" i="3"/>
  <c r="W419" i="3"/>
  <c r="M120" i="6"/>
  <c r="Q120" i="6" s="1"/>
  <c r="U120" i="6" s="1"/>
  <c r="AD418" i="3"/>
  <c r="AI207" i="6" s="1"/>
  <c r="Z103" i="6" l="1"/>
  <c r="AD101" i="6"/>
  <c r="AH122" i="6"/>
  <c r="AD125" i="6"/>
  <c r="Z125" i="6"/>
  <c r="AA120" i="6"/>
  <c r="AE120" i="6" s="1"/>
  <c r="AI120" i="6" s="1"/>
  <c r="AO120" i="6" s="1"/>
  <c r="AS120" i="6" s="1"/>
  <c r="AW120" i="6" s="1"/>
  <c r="BE120" i="6" s="1"/>
  <c r="AA117" i="6"/>
  <c r="AE117" i="6" s="1"/>
  <c r="AI117" i="6" s="1"/>
  <c r="AO117" i="6" s="1"/>
  <c r="AS117" i="6" s="1"/>
  <c r="AW117" i="6" s="1"/>
  <c r="BE117" i="6" s="1"/>
  <c r="Z111" i="6"/>
  <c r="AD111" i="6" s="1"/>
  <c r="AH111" i="6" s="1"/>
  <c r="AN111" i="6" s="1"/>
  <c r="AR111" i="6" s="1"/>
  <c r="AV111" i="6" s="1"/>
  <c r="BD111" i="6" s="1"/>
  <c r="M118" i="6"/>
  <c r="Q118" i="6" s="1"/>
  <c r="U118" i="6" s="1"/>
  <c r="H435" i="3"/>
  <c r="H436" i="3"/>
  <c r="M116" i="6"/>
  <c r="Q116" i="6" s="1"/>
  <c r="U116" i="6" s="1"/>
  <c r="AE414" i="3"/>
  <c r="AG203" i="6" s="1"/>
  <c r="H420" i="3"/>
  <c r="H418" i="3"/>
  <c r="AE415" i="3"/>
  <c r="AG204" i="6" s="1"/>
  <c r="AD420" i="3"/>
  <c r="AI209" i="6" s="1"/>
  <c r="AE416" i="3"/>
  <c r="AG205" i="6" s="1"/>
  <c r="L415" i="3"/>
  <c r="Q204" i="6" s="1"/>
  <c r="P420" i="3"/>
  <c r="U209" i="6" s="1"/>
  <c r="W427" i="3"/>
  <c r="AD419" i="3"/>
  <c r="AI208" i="6" s="1"/>
  <c r="P428" i="3"/>
  <c r="U217" i="6" s="1"/>
  <c r="W418" i="3"/>
  <c r="P418" i="3"/>
  <c r="U207" i="6" s="1"/>
  <c r="U275" i="6" s="1"/>
  <c r="L416" i="3"/>
  <c r="Q205" i="6" s="1"/>
  <c r="W426" i="3"/>
  <c r="P427" i="3"/>
  <c r="U216" i="6" s="1"/>
  <c r="AD428" i="3"/>
  <c r="AI217" i="6" s="1"/>
  <c r="W420" i="3"/>
  <c r="AD426" i="3"/>
  <c r="AI215" i="6" s="1"/>
  <c r="L414" i="3"/>
  <c r="Q203" i="6" s="1"/>
  <c r="H428" i="3"/>
  <c r="H427" i="3"/>
  <c r="M119" i="6"/>
  <c r="Q119" i="6" s="1"/>
  <c r="U119" i="6" s="1"/>
  <c r="M113" i="6"/>
  <c r="Q113" i="6" s="1"/>
  <c r="U113" i="6" s="1"/>
  <c r="AH101" i="6" l="1"/>
  <c r="AD103" i="6"/>
  <c r="AH125" i="6"/>
  <c r="AN122" i="6"/>
  <c r="AA116" i="6"/>
  <c r="AE116" i="6" s="1"/>
  <c r="AI116" i="6" s="1"/>
  <c r="AO116" i="6" s="1"/>
  <c r="AS116" i="6" s="1"/>
  <c r="AW116" i="6" s="1"/>
  <c r="BE116" i="6" s="1"/>
  <c r="AA118" i="6"/>
  <c r="AE118" i="6" s="1"/>
  <c r="AI118" i="6" s="1"/>
  <c r="AO118" i="6" s="1"/>
  <c r="AS118" i="6" s="1"/>
  <c r="AW118" i="6" s="1"/>
  <c r="BE118" i="6" s="1"/>
  <c r="AA113" i="6"/>
  <c r="AE113" i="6" s="1"/>
  <c r="AI113" i="6" s="1"/>
  <c r="AO113" i="6" s="1"/>
  <c r="AS113" i="6" s="1"/>
  <c r="AW113" i="6" s="1"/>
  <c r="BE113" i="6" s="1"/>
  <c r="AA119" i="6"/>
  <c r="AE119" i="6" s="1"/>
  <c r="AI119" i="6" s="1"/>
  <c r="AO119" i="6" s="1"/>
  <c r="AS119" i="6" s="1"/>
  <c r="AW119" i="6" s="1"/>
  <c r="BE119" i="6" s="1"/>
  <c r="J426" i="3"/>
  <c r="L426" i="3" s="1"/>
  <c r="Q215" i="6" s="1"/>
  <c r="J434" i="3"/>
  <c r="J435" i="3"/>
  <c r="J436" i="3"/>
  <c r="J420" i="3"/>
  <c r="J419" i="3"/>
  <c r="J418" i="3"/>
  <c r="AE428" i="3"/>
  <c r="AG217" i="6" s="1"/>
  <c r="J427" i="3"/>
  <c r="J428" i="3"/>
  <c r="AE418" i="3"/>
  <c r="AG207" i="6" s="1"/>
  <c r="AE419" i="3"/>
  <c r="AG208" i="6" s="1"/>
  <c r="AE426" i="3"/>
  <c r="AG215" i="6" s="1"/>
  <c r="AE427" i="3"/>
  <c r="AG216" i="6" s="1"/>
  <c r="N415" i="3"/>
  <c r="Q415" i="3" s="1"/>
  <c r="AE420" i="3"/>
  <c r="AG209" i="6" s="1"/>
  <c r="N414" i="3"/>
  <c r="Q414" i="3" s="1"/>
  <c r="N416" i="3"/>
  <c r="Q416" i="3" s="1"/>
  <c r="AN125" i="6" l="1"/>
  <c r="AR122" i="6"/>
  <c r="AV122" i="6" s="1"/>
  <c r="BD122" i="6" s="1"/>
  <c r="AN101" i="6"/>
  <c r="AH103" i="6"/>
  <c r="S415" i="3"/>
  <c r="U415" i="3" s="1"/>
  <c r="W204" i="6" s="1"/>
  <c r="S204" i="6"/>
  <c r="S414" i="3"/>
  <c r="U414" i="3" s="1"/>
  <c r="W203" i="6" s="1"/>
  <c r="W272" i="6" s="1"/>
  <c r="S203" i="6"/>
  <c r="S272" i="6" s="1"/>
  <c r="S416" i="3"/>
  <c r="U416" i="3" s="1"/>
  <c r="W205" i="6" s="1"/>
  <c r="S205" i="6"/>
  <c r="L418" i="3"/>
  <c r="Q207" i="6" s="1"/>
  <c r="L419" i="3"/>
  <c r="Q208" i="6" s="1"/>
  <c r="L420" i="3"/>
  <c r="Q209" i="6" s="1"/>
  <c r="L427" i="3"/>
  <c r="Q216" i="6" s="1"/>
  <c r="L428" i="3"/>
  <c r="Q217" i="6" s="1"/>
  <c r="N426" i="3"/>
  <c r="Q426" i="3" s="1"/>
  <c r="S215" i="6" s="1"/>
  <c r="S276" i="6" s="1"/>
  <c r="BD125" i="6" l="1"/>
  <c r="AV125" i="6"/>
  <c r="AN103" i="6"/>
  <c r="AR101" i="6"/>
  <c r="AR125" i="6"/>
  <c r="N418" i="3"/>
  <c r="Q418" i="3" s="1"/>
  <c r="N420" i="3"/>
  <c r="Q420" i="3" s="1"/>
  <c r="N419" i="3"/>
  <c r="Q419" i="3" s="1"/>
  <c r="X415" i="3"/>
  <c r="S426" i="3"/>
  <c r="N428" i="3"/>
  <c r="Q428" i="3" s="1"/>
  <c r="N427" i="3"/>
  <c r="Q427" i="3" s="1"/>
  <c r="X414" i="3"/>
  <c r="X416" i="3"/>
  <c r="AR103" i="6" l="1"/>
  <c r="AV101" i="6"/>
  <c r="S427" i="3"/>
  <c r="U427" i="3" s="1"/>
  <c r="W216" i="6" s="1"/>
  <c r="S216" i="6"/>
  <c r="S419" i="3"/>
  <c r="U419" i="3" s="1"/>
  <c r="S208" i="6"/>
  <c r="S428" i="3"/>
  <c r="U428" i="3" s="1"/>
  <c r="W217" i="6" s="1"/>
  <c r="S217" i="6"/>
  <c r="S420" i="3"/>
  <c r="U420" i="3" s="1"/>
  <c r="S209" i="6"/>
  <c r="S418" i="3"/>
  <c r="U418" i="3" s="1"/>
  <c r="S207" i="6"/>
  <c r="S275" i="6" s="1"/>
  <c r="U426" i="3"/>
  <c r="W215" i="6" s="1"/>
  <c r="W276" i="6" s="1"/>
  <c r="Z415" i="3"/>
  <c r="AE204" i="6" s="1"/>
  <c r="Z416" i="3"/>
  <c r="AE205" i="6" s="1"/>
  <c r="Z414" i="3"/>
  <c r="AE203" i="6" s="1"/>
  <c r="AE272" i="6" s="1"/>
  <c r="AV103" i="6" l="1"/>
  <c r="BD101" i="6"/>
  <c r="BD103" i="6" s="1"/>
  <c r="X420" i="3"/>
  <c r="Z420" i="3" s="1"/>
  <c r="AE209" i="6" s="1"/>
  <c r="W209" i="6"/>
  <c r="X419" i="3"/>
  <c r="Z419" i="3" s="1"/>
  <c r="AE208" i="6" s="1"/>
  <c r="W208" i="6"/>
  <c r="X418" i="3"/>
  <c r="Z418" i="3" s="1"/>
  <c r="AE207" i="6" s="1"/>
  <c r="AE275" i="6" s="1"/>
  <c r="W207" i="6"/>
  <c r="W275" i="6" s="1"/>
  <c r="AB415" i="3"/>
  <c r="AB416" i="3"/>
  <c r="AB414" i="3"/>
  <c r="X426" i="3"/>
  <c r="X428" i="3"/>
  <c r="X427" i="3"/>
  <c r="AB419" i="3" l="1"/>
  <c r="AB420" i="3"/>
  <c r="AB418" i="3"/>
  <c r="Z426" i="3"/>
  <c r="AE215" i="6" s="1"/>
  <c r="AE276" i="6" s="1"/>
  <c r="AF415" i="3"/>
  <c r="AF416" i="3"/>
  <c r="Z427" i="3"/>
  <c r="AE216" i="6" s="1"/>
  <c r="AF414" i="3"/>
  <c r="Z428" i="3"/>
  <c r="AE217" i="6" s="1"/>
  <c r="W1102" i="3"/>
  <c r="AE1102" i="3" s="1"/>
  <c r="P1102" i="3"/>
  <c r="W1096" i="3"/>
  <c r="AE1096" i="3" s="1"/>
  <c r="AB427" i="3" l="1"/>
  <c r="AB426" i="3"/>
  <c r="AB428" i="3"/>
  <c r="AF418" i="3"/>
  <c r="AF420" i="3"/>
  <c r="AF419" i="3"/>
  <c r="Q1102" i="3"/>
  <c r="S1102" i="3" s="1"/>
  <c r="U1102" i="3" s="1"/>
  <c r="X1102" i="3" s="1"/>
  <c r="N1102" i="3"/>
  <c r="S1096" i="3"/>
  <c r="U1096" i="3" s="1"/>
  <c r="X1096" i="3" s="1"/>
  <c r="N1096" i="3"/>
  <c r="Z1102" i="3" l="1"/>
  <c r="Z1096" i="3"/>
  <c r="AF426" i="3"/>
  <c r="AF427" i="3"/>
  <c r="AF428" i="3"/>
  <c r="AB1102" i="3" l="1"/>
  <c r="AF1102" i="3" s="1"/>
  <c r="AB1096" i="3"/>
  <c r="AF1096" i="3" s="1"/>
  <c r="N1050" i="3"/>
  <c r="P1050" i="3"/>
  <c r="W1050" i="3"/>
  <c r="AE1050" i="3" s="1"/>
  <c r="W782" i="3"/>
  <c r="AE782" i="3" s="1"/>
  <c r="W783" i="3"/>
  <c r="AE783" i="3" s="1"/>
  <c r="W784" i="3"/>
  <c r="AE784" i="3" s="1"/>
  <c r="W788" i="3"/>
  <c r="AE788" i="3" s="1"/>
  <c r="P782" i="3"/>
  <c r="P783" i="3"/>
  <c r="P784" i="3"/>
  <c r="P788" i="3"/>
  <c r="N782" i="3"/>
  <c r="Q782" i="3" s="1"/>
  <c r="N783" i="3"/>
  <c r="Q783" i="3" s="1"/>
  <c r="N784" i="3"/>
  <c r="Q784" i="3" s="1"/>
  <c r="N788" i="3"/>
  <c r="Q788" i="3" s="1"/>
  <c r="S784" i="3" l="1"/>
  <c r="U784" i="3" s="1"/>
  <c r="X784" i="3" s="1"/>
  <c r="S783" i="3"/>
  <c r="U783" i="3" s="1"/>
  <c r="X783" i="3" s="1"/>
  <c r="S782" i="3"/>
  <c r="U782" i="3" s="1"/>
  <c r="X782" i="3" s="1"/>
  <c r="S788" i="3"/>
  <c r="U788" i="3" s="1"/>
  <c r="X788" i="3" s="1"/>
  <c r="Q1050" i="3"/>
  <c r="S1050" i="3" s="1"/>
  <c r="U1050" i="3" s="1"/>
  <c r="X1050" i="3" s="1"/>
  <c r="W825" i="3"/>
  <c r="AE825" i="3" s="1"/>
  <c r="P825" i="3"/>
  <c r="N825" i="3"/>
  <c r="Q825" i="3" s="1"/>
  <c r="W805" i="3"/>
  <c r="AE805" i="3" s="1"/>
  <c r="P805" i="3"/>
  <c r="N805" i="3"/>
  <c r="Q805" i="3" s="1"/>
  <c r="W804" i="3"/>
  <c r="AE804" i="3" s="1"/>
  <c r="P804" i="3"/>
  <c r="N804" i="3"/>
  <c r="Q804" i="3" s="1"/>
  <c r="Z788" i="3" l="1"/>
  <c r="AB788" i="3" s="1"/>
  <c r="AF788" i="3" s="1"/>
  <c r="Z782" i="3"/>
  <c r="AB782" i="3" s="1"/>
  <c r="AF782" i="3" s="1"/>
  <c r="Z783" i="3"/>
  <c r="AB783" i="3" s="1"/>
  <c r="AF783" i="3" s="1"/>
  <c r="Z1050" i="3"/>
  <c r="Z784" i="3"/>
  <c r="AB784" i="3" s="1"/>
  <c r="AF784" i="3" s="1"/>
  <c r="S804" i="3"/>
  <c r="U804" i="3" s="1"/>
  <c r="X804" i="3" s="1"/>
  <c r="S825" i="3"/>
  <c r="U825" i="3" s="1"/>
  <c r="X825" i="3" s="1"/>
  <c r="S805" i="3"/>
  <c r="U805" i="3" s="1"/>
  <c r="X805" i="3" s="1"/>
  <c r="W803" i="3"/>
  <c r="AE803" i="3" s="1"/>
  <c r="P803" i="3"/>
  <c r="N803" i="3"/>
  <c r="Q803" i="3" s="1"/>
  <c r="W802" i="3"/>
  <c r="AE802" i="3" s="1"/>
  <c r="P802" i="3"/>
  <c r="N802" i="3"/>
  <c r="Q802" i="3" s="1"/>
  <c r="AB1050" i="3" l="1"/>
  <c r="AF1050" i="3" s="1"/>
  <c r="Z804" i="3"/>
  <c r="AB804" i="3" s="1"/>
  <c r="AF804" i="3" s="1"/>
  <c r="Z805" i="3"/>
  <c r="AB805" i="3" s="1"/>
  <c r="AF805" i="3" s="1"/>
  <c r="Z825" i="3"/>
  <c r="AB825" i="3" s="1"/>
  <c r="AF825" i="3" s="1"/>
  <c r="S802" i="3"/>
  <c r="U802" i="3" s="1"/>
  <c r="X802" i="3" s="1"/>
  <c r="S803" i="3"/>
  <c r="U803" i="3" s="1"/>
  <c r="X803" i="3" s="1"/>
  <c r="Z803" i="3" l="1"/>
  <c r="AB803" i="3" s="1"/>
  <c r="AF803" i="3" s="1"/>
  <c r="Z802" i="3"/>
  <c r="AB802" i="3" s="1"/>
  <c r="AF802" i="3" s="1"/>
  <c r="AD679" i="3"/>
  <c r="W679" i="3"/>
  <c r="P679" i="3"/>
  <c r="H679" i="3"/>
  <c r="J679" i="3" s="1"/>
  <c r="D85" i="6"/>
  <c r="L82" i="6"/>
  <c r="AD474" i="3"/>
  <c r="W474" i="3"/>
  <c r="H474" i="3"/>
  <c r="J474" i="3" s="1"/>
  <c r="L474" i="3" s="1"/>
  <c r="N474" i="3" s="1"/>
  <c r="Q474" i="3" s="1"/>
  <c r="P82" i="6" l="1"/>
  <c r="T82" i="6" s="1"/>
  <c r="L679" i="3"/>
  <c r="AE474" i="3"/>
  <c r="AE679" i="3"/>
  <c r="P474" i="3"/>
  <c r="S474" i="3"/>
  <c r="U474" i="3" s="1"/>
  <c r="X474" i="3" s="1"/>
  <c r="Z474" i="3" s="1"/>
  <c r="Z82" i="6" l="1"/>
  <c r="AD82" i="6" s="1"/>
  <c r="AB474" i="3"/>
  <c r="AF474" i="3" s="1"/>
  <c r="N679" i="3"/>
  <c r="G123" i="6"/>
  <c r="H481" i="3"/>
  <c r="J481" i="3" s="1"/>
  <c r="L481" i="3" s="1"/>
  <c r="N481" i="3" s="1"/>
  <c r="Q481" i="3" s="1"/>
  <c r="W481" i="3"/>
  <c r="AD481" i="3"/>
  <c r="AH82" i="6" l="1"/>
  <c r="I123" i="6"/>
  <c r="H408" i="3" s="1"/>
  <c r="Q679" i="3"/>
  <c r="P406" i="3"/>
  <c r="U195" i="6" s="1"/>
  <c r="U273" i="6" s="1"/>
  <c r="AD406" i="3"/>
  <c r="AI195" i="6" s="1"/>
  <c r="W408" i="3"/>
  <c r="M83" i="6"/>
  <c r="AE481" i="3"/>
  <c r="S481" i="3"/>
  <c r="P481" i="3"/>
  <c r="AN82" i="6" l="1"/>
  <c r="AR82" i="6" s="1"/>
  <c r="AV82" i="6" s="1"/>
  <c r="BD82" i="6" s="1"/>
  <c r="Q83" i="6"/>
  <c r="U83" i="6" s="1"/>
  <c r="M123" i="6"/>
  <c r="Q123" i="6" s="1"/>
  <c r="U123" i="6" s="1"/>
  <c r="S679" i="3"/>
  <c r="AD408" i="3"/>
  <c r="AI197" i="6" s="1"/>
  <c r="H406" i="3"/>
  <c r="P407" i="3"/>
  <c r="U196" i="6" s="1"/>
  <c r="H407" i="3"/>
  <c r="AD407" i="3"/>
  <c r="AI196" i="6" s="1"/>
  <c r="P408" i="3"/>
  <c r="U197" i="6" s="1"/>
  <c r="W406" i="3"/>
  <c r="W407" i="3"/>
  <c r="U481" i="3"/>
  <c r="AA123" i="6" l="1"/>
  <c r="AE123" i="6" s="1"/>
  <c r="AI123" i="6" s="1"/>
  <c r="AO123" i="6" s="1"/>
  <c r="AS123" i="6" s="1"/>
  <c r="AW123" i="6" s="1"/>
  <c r="BE123" i="6" s="1"/>
  <c r="AA83" i="6"/>
  <c r="AE83" i="6" s="1"/>
  <c r="AI83" i="6" s="1"/>
  <c r="AO83" i="6" s="1"/>
  <c r="AS83" i="6" s="1"/>
  <c r="AW83" i="6" s="1"/>
  <c r="BE83" i="6" s="1"/>
  <c r="U679" i="3"/>
  <c r="J407" i="3"/>
  <c r="J406" i="3"/>
  <c r="J408" i="3"/>
  <c r="AE408" i="3"/>
  <c r="AG197" i="6" s="1"/>
  <c r="AE407" i="3"/>
  <c r="AG196" i="6" s="1"/>
  <c r="AE406" i="3"/>
  <c r="AG195" i="6" s="1"/>
  <c r="X481" i="3"/>
  <c r="X679" i="3" l="1"/>
  <c r="L407" i="3"/>
  <c r="Q196" i="6" s="1"/>
  <c r="L408" i="3"/>
  <c r="Q197" i="6" s="1"/>
  <c r="L406" i="3"/>
  <c r="Q195" i="6" s="1"/>
  <c r="Z481" i="3"/>
  <c r="AB481" i="3" s="1"/>
  <c r="Z679" i="3" l="1"/>
  <c r="AB679" i="3" s="1"/>
  <c r="N407" i="3"/>
  <c r="Q407" i="3" s="1"/>
  <c r="N406" i="3"/>
  <c r="Q406" i="3" s="1"/>
  <c r="N408" i="3"/>
  <c r="Q408" i="3" s="1"/>
  <c r="S406" i="3" l="1"/>
  <c r="U406" i="3" s="1"/>
  <c r="W195" i="6" s="1"/>
  <c r="W273" i="6" s="1"/>
  <c r="S195" i="6"/>
  <c r="S273" i="6" s="1"/>
  <c r="S408" i="3"/>
  <c r="U408" i="3" s="1"/>
  <c r="S197" i="6"/>
  <c r="S407" i="3"/>
  <c r="U407" i="3" s="1"/>
  <c r="W196" i="6" s="1"/>
  <c r="S196" i="6"/>
  <c r="AF481" i="3"/>
  <c r="X406" i="3" l="1"/>
  <c r="Z406" i="3" s="1"/>
  <c r="AE195" i="6" s="1"/>
  <c r="AE273" i="6" s="1"/>
  <c r="X407" i="3"/>
  <c r="Z407" i="3" s="1"/>
  <c r="AE196" i="6" s="1"/>
  <c r="X408" i="3"/>
  <c r="Z408" i="3" s="1"/>
  <c r="AE197" i="6" s="1"/>
  <c r="W197" i="6"/>
  <c r="AF679" i="3"/>
  <c r="AD326" i="3"/>
  <c r="W326" i="3"/>
  <c r="P326" i="3"/>
  <c r="H326" i="3"/>
  <c r="J326" i="3" s="1"/>
  <c r="L326" i="3" s="1"/>
  <c r="N326" i="3" s="1"/>
  <c r="Q326" i="3" s="1"/>
  <c r="S326" i="3" s="1"/>
  <c r="U326" i="3" s="1"/>
  <c r="X326" i="3" s="1"/>
  <c r="Z326" i="3" s="1"/>
  <c r="AB326" i="3" l="1"/>
  <c r="AF326" i="3" s="1"/>
  <c r="AB406" i="3"/>
  <c r="AE326" i="3"/>
  <c r="AF406" i="3" l="1"/>
  <c r="W1087" i="3" l="1"/>
  <c r="AE1087" i="3" s="1"/>
  <c r="P1087" i="3"/>
  <c r="N1087" i="3" l="1"/>
  <c r="Q1087" i="3"/>
  <c r="S1087" i="3" s="1"/>
  <c r="U1087" i="3" s="1"/>
  <c r="X1087" i="3" s="1"/>
  <c r="Z1087" i="3" l="1"/>
  <c r="AB1087" i="3" l="1"/>
  <c r="AF1087" i="3" s="1"/>
  <c r="D51" i="17" l="1"/>
  <c r="D112" i="17" l="1"/>
  <c r="W1115" i="3"/>
  <c r="AE1115" i="3" s="1"/>
  <c r="W1112" i="3"/>
  <c r="AE1112" i="3" s="1"/>
  <c r="W1100" i="3"/>
  <c r="AE1100" i="3" s="1"/>
  <c r="W1094" i="3"/>
  <c r="AE1094" i="3" s="1"/>
  <c r="W1091" i="3"/>
  <c r="AE1091" i="3" s="1"/>
  <c r="W1092" i="3"/>
  <c r="AE1092" i="3" s="1"/>
  <c r="W1086" i="3"/>
  <c r="AE1086" i="3" s="1"/>
  <c r="W1088" i="3"/>
  <c r="AE1088" i="3" s="1"/>
  <c r="W1083" i="3"/>
  <c r="AE1083" i="3" s="1"/>
  <c r="W1028" i="3"/>
  <c r="AE1028" i="3" s="1"/>
  <c r="W1000" i="3"/>
  <c r="AE1000" i="3" s="1"/>
  <c r="W992" i="3"/>
  <c r="AE992" i="3" s="1"/>
  <c r="W994" i="3"/>
  <c r="AE994" i="3" s="1"/>
  <c r="W988" i="3"/>
  <c r="AE988" i="3" s="1"/>
  <c r="W985" i="3"/>
  <c r="AE985" i="3" s="1"/>
  <c r="W986" i="3"/>
  <c r="AE986" i="3" s="1"/>
  <c r="W975" i="3"/>
  <c r="AE975" i="3" s="1"/>
  <c r="W953" i="3"/>
  <c r="AE953" i="3" s="1"/>
  <c r="W941" i="3"/>
  <c r="AE941" i="3" s="1"/>
  <c r="W933" i="3"/>
  <c r="AE933" i="3" s="1"/>
  <c r="W929" i="3"/>
  <c r="AE929" i="3" s="1"/>
  <c r="W924" i="3"/>
  <c r="AE924" i="3" s="1"/>
  <c r="W925" i="3"/>
  <c r="AE925" i="3" s="1"/>
  <c r="W921" i="3"/>
  <c r="W841" i="3"/>
  <c r="AE841" i="3" s="1"/>
  <c r="W835" i="3"/>
  <c r="AE835" i="3" s="1"/>
  <c r="W829" i="3"/>
  <c r="AE829" i="3" s="1"/>
  <c r="W819" i="3"/>
  <c r="AE819" i="3" s="1"/>
  <c r="W809" i="3"/>
  <c r="AE809" i="3" s="1"/>
  <c r="W810" i="3"/>
  <c r="AE810" i="3" s="1"/>
  <c r="W793" i="3"/>
  <c r="AE793" i="3" s="1"/>
  <c r="W789" i="3"/>
  <c r="AE789" i="3" s="1"/>
  <c r="W790" i="3"/>
  <c r="AE790" i="3" s="1"/>
  <c r="W791" i="3"/>
  <c r="AE791" i="3" s="1"/>
  <c r="W771" i="3"/>
  <c r="AE771" i="3" s="1"/>
  <c r="W765" i="3"/>
  <c r="AE765" i="3" s="1"/>
  <c r="W766" i="3"/>
  <c r="AE766" i="3" s="1"/>
  <c r="W762" i="3"/>
  <c r="AE762" i="3" s="1"/>
  <c r="W763" i="3"/>
  <c r="AE763" i="3" s="1"/>
  <c r="W468" i="3"/>
  <c r="W1079" i="3" l="1"/>
  <c r="AE1079" i="3" s="1"/>
  <c r="P1079" i="3"/>
  <c r="N1079" i="3"/>
  <c r="Q1079" i="3" l="1"/>
  <c r="S1079" i="3" s="1"/>
  <c r="U1079" i="3" s="1"/>
  <c r="X1079" i="3" s="1"/>
  <c r="Z1079" i="3" l="1"/>
  <c r="AB1079" i="3" l="1"/>
  <c r="AF1079" i="3" s="1"/>
  <c r="N763" i="3"/>
  <c r="Q763" i="3" l="1"/>
  <c r="W352" i="3"/>
  <c r="AE352" i="3" s="1"/>
  <c r="W350" i="3"/>
  <c r="AE350" i="3" s="1"/>
  <c r="W322" i="3"/>
  <c r="S763" i="3" l="1"/>
  <c r="U763" i="3" s="1"/>
  <c r="X763" i="3" s="1"/>
  <c r="H1387" i="3"/>
  <c r="H1401" i="3" s="1"/>
  <c r="P1387" i="3"/>
  <c r="W1387" i="3"/>
  <c r="AD1387" i="3"/>
  <c r="AE1387" i="3"/>
  <c r="J1387" i="3" l="1"/>
  <c r="L1387" i="3" s="1"/>
  <c r="N1387" i="3" s="1"/>
  <c r="Q1387" i="3" s="1"/>
  <c r="S1387" i="3" s="1"/>
  <c r="U1387" i="3" s="1"/>
  <c r="X1387" i="3" s="1"/>
  <c r="Z1387" i="3" s="1"/>
  <c r="AB1387" i="3" s="1"/>
  <c r="AF1387" i="3" s="1"/>
  <c r="H1406" i="3"/>
  <c r="Z763" i="3"/>
  <c r="AB763" i="3" s="1"/>
  <c r="AF763" i="3" s="1"/>
  <c r="J1406" i="3" l="1"/>
  <c r="W1061" i="3" l="1"/>
  <c r="AE1061" i="3" s="1"/>
  <c r="P1061" i="3"/>
  <c r="W1064" i="3"/>
  <c r="AE1064" i="3" s="1"/>
  <c r="N1061" i="3" l="1"/>
  <c r="Q1061" i="3"/>
  <c r="S1061" i="3" s="1"/>
  <c r="U1061" i="3" s="1"/>
  <c r="X1061" i="3" s="1"/>
  <c r="Z1061" i="3" l="1"/>
  <c r="AB1061" i="3" l="1"/>
  <c r="AF1061" i="3" s="1"/>
  <c r="P1092" i="3" l="1"/>
  <c r="N1092" i="3" l="1"/>
  <c r="Q1092" i="3"/>
  <c r="S1092" i="3" s="1"/>
  <c r="U1092" i="3" s="1"/>
  <c r="X1092" i="3" s="1"/>
  <c r="N1086" i="3"/>
  <c r="P1086" i="3"/>
  <c r="N1083" i="3"/>
  <c r="P1083" i="3"/>
  <c r="N1094" i="3"/>
  <c r="P1094" i="3"/>
  <c r="N1088" i="3"/>
  <c r="P1088" i="3"/>
  <c r="P988" i="3"/>
  <c r="N988" i="3"/>
  <c r="Q988" i="3" s="1"/>
  <c r="S988" i="3" s="1"/>
  <c r="U988" i="3" s="1"/>
  <c r="X988" i="3" s="1"/>
  <c r="Z988" i="3" l="1"/>
  <c r="Z1092" i="3"/>
  <c r="Q1086" i="3"/>
  <c r="S1086" i="3" s="1"/>
  <c r="U1086" i="3" s="1"/>
  <c r="X1086" i="3" s="1"/>
  <c r="Q1083" i="3"/>
  <c r="S1083" i="3" s="1"/>
  <c r="U1083" i="3" s="1"/>
  <c r="X1083" i="3" s="1"/>
  <c r="N1106" i="3"/>
  <c r="Q1094" i="3"/>
  <c r="Q1088" i="3"/>
  <c r="S1088" i="3" s="1"/>
  <c r="U1088" i="3" s="1"/>
  <c r="X1088" i="3" s="1"/>
  <c r="AB1092" i="3" l="1"/>
  <c r="AF1092" i="3" s="1"/>
  <c r="AB988" i="3"/>
  <c r="AF988" i="3" s="1"/>
  <c r="Z1083" i="3"/>
  <c r="Z1086" i="3"/>
  <c r="Z1088" i="3"/>
  <c r="P929" i="3"/>
  <c r="N929" i="3"/>
  <c r="Q929" i="3" s="1"/>
  <c r="S929" i="3" s="1"/>
  <c r="U929" i="3" s="1"/>
  <c r="X929" i="3" s="1"/>
  <c r="P924" i="3"/>
  <c r="P925" i="3"/>
  <c r="N924" i="3"/>
  <c r="Q924" i="3" s="1"/>
  <c r="S924" i="3" s="1"/>
  <c r="U924" i="3" s="1"/>
  <c r="X924" i="3" s="1"/>
  <c r="N925" i="3"/>
  <c r="Q925" i="3" s="1"/>
  <c r="S925" i="3" s="1"/>
  <c r="U925" i="3" s="1"/>
  <c r="X925" i="3" s="1"/>
  <c r="AB1088" i="3" l="1"/>
  <c r="AF1088" i="3" s="1"/>
  <c r="AB1086" i="3"/>
  <c r="AF1086" i="3" s="1"/>
  <c r="AB1083" i="3"/>
  <c r="AF1083" i="3" s="1"/>
  <c r="Z925" i="3"/>
  <c r="Z924" i="3"/>
  <c r="Z929" i="3"/>
  <c r="AB929" i="3" l="1"/>
  <c r="AF929" i="3" s="1"/>
  <c r="AB924" i="3"/>
  <c r="AB925" i="3"/>
  <c r="AF925" i="3" s="1"/>
  <c r="AF924" i="3" l="1"/>
  <c r="P791" i="3"/>
  <c r="N791" i="3"/>
  <c r="Q791" i="3" s="1"/>
  <c r="P790" i="3"/>
  <c r="N790" i="3"/>
  <c r="Q790" i="3" s="1"/>
  <c r="P789" i="3"/>
  <c r="N789" i="3"/>
  <c r="Q789" i="3" s="1"/>
  <c r="S790" i="3" l="1"/>
  <c r="U790" i="3" s="1"/>
  <c r="X790" i="3" s="1"/>
  <c r="S789" i="3"/>
  <c r="U789" i="3" s="1"/>
  <c r="X789" i="3" s="1"/>
  <c r="S791" i="3"/>
  <c r="U791" i="3" s="1"/>
  <c r="X791" i="3" s="1"/>
  <c r="Z791" i="3" l="1"/>
  <c r="AB791" i="3" s="1"/>
  <c r="AF791" i="3" s="1"/>
  <c r="Z789" i="3"/>
  <c r="AB789" i="3" s="1"/>
  <c r="AF789" i="3" s="1"/>
  <c r="Z790" i="3"/>
  <c r="AB790" i="3" s="1"/>
  <c r="AF790" i="3" s="1"/>
  <c r="P352" i="3"/>
  <c r="P350" i="3"/>
  <c r="H352" i="3"/>
  <c r="J352" i="3" s="1"/>
  <c r="L352" i="3" s="1"/>
  <c r="N352" i="3" s="1"/>
  <c r="Q352" i="3" s="1"/>
  <c r="S352" i="3" s="1"/>
  <c r="U352" i="3" s="1"/>
  <c r="X352" i="3" s="1"/>
  <c r="Z352" i="3" s="1"/>
  <c r="H350" i="3"/>
  <c r="J350" i="3" s="1"/>
  <c r="L350" i="3" s="1"/>
  <c r="N350" i="3" s="1"/>
  <c r="Q350" i="3" s="1"/>
  <c r="AB352" i="3" l="1"/>
  <c r="AF352" i="3" s="1"/>
  <c r="W708" i="3" l="1"/>
  <c r="W693" i="3"/>
  <c r="P1028" i="3" l="1"/>
  <c r="Q1028" i="3" l="1"/>
  <c r="S1028" i="3" s="1"/>
  <c r="U1028" i="3" s="1"/>
  <c r="X1028" i="3" s="1"/>
  <c r="N1028" i="3"/>
  <c r="Z1028" i="3" l="1"/>
  <c r="AB1028" i="3" l="1"/>
  <c r="AF1028" i="3" s="1"/>
  <c r="D326" i="28" l="1"/>
  <c r="J326" i="28"/>
  <c r="W772" i="3" l="1"/>
  <c r="AE772" i="3" s="1"/>
  <c r="U1106" i="3" l="1"/>
  <c r="S1094" i="3"/>
  <c r="U1094" i="3" s="1"/>
  <c r="X1094" i="3" s="1"/>
  <c r="Z1094" i="3" l="1"/>
  <c r="X1106" i="3"/>
  <c r="Z1106" i="3" s="1"/>
  <c r="S350" i="3"/>
  <c r="U350" i="3" s="1"/>
  <c r="X350" i="3" s="1"/>
  <c r="Z350" i="3" s="1"/>
  <c r="AB1106" i="3" l="1"/>
  <c r="AF1106" i="3" s="1"/>
  <c r="AB1094" i="3"/>
  <c r="AF1094" i="3" s="1"/>
  <c r="AB350" i="3"/>
  <c r="AF350" i="3" s="1"/>
  <c r="P1064" i="3"/>
  <c r="Q1064" i="3" l="1"/>
  <c r="S1064" i="3" s="1"/>
  <c r="U1064" i="3" s="1"/>
  <c r="X1064" i="3" s="1"/>
  <c r="N1064" i="3"/>
  <c r="Z1064" i="3" l="1"/>
  <c r="AB1064" i="3" l="1"/>
  <c r="AF1064" i="3" s="1"/>
  <c r="N87" i="17" l="1"/>
  <c r="I303" i="28" l="1"/>
  <c r="P841" i="3"/>
  <c r="N841" i="3"/>
  <c r="Q841" i="3" s="1"/>
  <c r="M303" i="28" l="1"/>
  <c r="S841" i="3"/>
  <c r="U841" i="3" s="1"/>
  <c r="X841" i="3" s="1"/>
  <c r="Q303" i="28" l="1"/>
  <c r="U303" i="28" s="1"/>
  <c r="AA303" i="28" s="1"/>
  <c r="AE303" i="28" s="1"/>
  <c r="AI303" i="28" s="1"/>
  <c r="AO303" i="28" s="1"/>
  <c r="AS303" i="28" s="1"/>
  <c r="AW303" i="28" s="1"/>
  <c r="BE303" i="28" s="1"/>
  <c r="Z841" i="3"/>
  <c r="AB841" i="3" s="1"/>
  <c r="AF841" i="3" s="1"/>
  <c r="N810" i="3"/>
  <c r="Q810" i="3" s="1"/>
  <c r="P810" i="3"/>
  <c r="S810" i="3" l="1"/>
  <c r="U810" i="3" s="1"/>
  <c r="X810" i="3" s="1"/>
  <c r="P693" i="3"/>
  <c r="Z810" i="3" l="1"/>
  <c r="AB810" i="3" s="1"/>
  <c r="AF810" i="3" s="1"/>
  <c r="M2" i="21" l="1"/>
  <c r="Q2" i="21" s="1"/>
  <c r="U2" i="21" s="1"/>
  <c r="AA2" i="21" s="1"/>
  <c r="AE2" i="21" s="1"/>
  <c r="AI2" i="21" s="1"/>
  <c r="AO2" i="21" s="1"/>
  <c r="AS2" i="21" s="1"/>
  <c r="AW2" i="21" s="1"/>
  <c r="BE2" i="21" s="1"/>
  <c r="L2" i="21"/>
  <c r="I2" i="21"/>
  <c r="H2" i="21"/>
  <c r="P2" i="21" l="1"/>
  <c r="T2" i="21" s="1"/>
  <c r="Z2" i="21" s="1"/>
  <c r="AD2" i="21" s="1"/>
  <c r="AH2" i="21" s="1"/>
  <c r="AN2" i="21" s="1"/>
  <c r="AR2" i="21" s="1"/>
  <c r="AV2" i="21" s="1"/>
  <c r="BD2" i="21" s="1"/>
  <c r="P1115" i="3"/>
  <c r="P1112" i="3"/>
  <c r="P1100" i="3"/>
  <c r="P1091" i="3"/>
  <c r="P1000" i="3"/>
  <c r="P992" i="3"/>
  <c r="P994" i="3"/>
  <c r="P985" i="3"/>
  <c r="P986" i="3"/>
  <c r="P975" i="3"/>
  <c r="P953" i="3"/>
  <c r="P941" i="3"/>
  <c r="P933" i="3"/>
  <c r="P921" i="3"/>
  <c r="P835" i="3"/>
  <c r="P829" i="3"/>
  <c r="P826" i="3"/>
  <c r="P819" i="3"/>
  <c r="P779" i="3"/>
  <c r="P322" i="3"/>
  <c r="P809" i="3" l="1"/>
  <c r="P793" i="3" l="1"/>
  <c r="D113" i="17" l="1"/>
  <c r="N809" i="3" l="1"/>
  <c r="Q809" i="3" s="1"/>
  <c r="N829" i="3"/>
  <c r="Q829" i="3" s="1"/>
  <c r="S809" i="3" l="1"/>
  <c r="U809" i="3" s="1"/>
  <c r="X809" i="3" s="1"/>
  <c r="S829" i="3"/>
  <c r="U829" i="3" s="1"/>
  <c r="X829" i="3" s="1"/>
  <c r="Z829" i="3" l="1"/>
  <c r="AB829" i="3" s="1"/>
  <c r="AF829" i="3" s="1"/>
  <c r="Z809" i="3"/>
  <c r="AB809" i="3" s="1"/>
  <c r="AF809" i="3" s="1"/>
  <c r="P707" i="3"/>
  <c r="L322" i="3" l="1"/>
  <c r="N322" i="3" s="1"/>
  <c r="Q322" i="3" s="1"/>
  <c r="S322" i="3" s="1"/>
  <c r="U322" i="3" s="1"/>
  <c r="X322" i="3" s="1"/>
  <c r="P1033" i="3" l="1"/>
  <c r="H468" i="3" l="1"/>
  <c r="J468" i="3" s="1"/>
  <c r="L468" i="3" s="1"/>
  <c r="N468" i="3" s="1"/>
  <c r="Q468" i="3" s="1"/>
  <c r="L77" i="6"/>
  <c r="P77" i="6" l="1"/>
  <c r="T77" i="6" s="1"/>
  <c r="P468" i="3"/>
  <c r="S468" i="3"/>
  <c r="U468" i="3" s="1"/>
  <c r="X468" i="3" s="1"/>
  <c r="Z468" i="3" s="1"/>
  <c r="AB468" i="3" s="1"/>
  <c r="Z77" i="6" l="1"/>
  <c r="AD77" i="6" s="1"/>
  <c r="AH77" i="6" s="1"/>
  <c r="AN77" i="6" s="1"/>
  <c r="AR77" i="6" s="1"/>
  <c r="AV77" i="6" s="1"/>
  <c r="BD77" i="6" s="1"/>
  <c r="N941" i="3"/>
  <c r="Q941" i="3" s="1"/>
  <c r="S941" i="3" s="1"/>
  <c r="U941" i="3" s="1"/>
  <c r="X941" i="3" s="1"/>
  <c r="N953" i="3"/>
  <c r="Q953" i="3" s="1"/>
  <c r="S953" i="3" s="1"/>
  <c r="U953" i="3" s="1"/>
  <c r="X953" i="3" s="1"/>
  <c r="Z953" i="3" l="1"/>
  <c r="Z941" i="3"/>
  <c r="N921" i="3"/>
  <c r="Q921" i="3" s="1"/>
  <c r="S921" i="3" s="1"/>
  <c r="U921" i="3" s="1"/>
  <c r="X921" i="3" s="1"/>
  <c r="Z921" i="3" s="1"/>
  <c r="AB921" i="3" s="1"/>
  <c r="AB953" i="3" l="1"/>
  <c r="AF953" i="3" s="1"/>
  <c r="AB941" i="3"/>
  <c r="AF941" i="3" s="1"/>
  <c r="J315" i="28" l="1"/>
  <c r="D315" i="28"/>
  <c r="J26" i="28"/>
  <c r="J30" i="28" s="1"/>
  <c r="J312" i="28" s="1"/>
  <c r="D26" i="28"/>
  <c r="D30" i="28" s="1"/>
  <c r="D312" i="28" s="1"/>
  <c r="J20" i="28"/>
  <c r="J14" i="28"/>
  <c r="D14" i="28"/>
  <c r="J8" i="28"/>
  <c r="D8" i="28"/>
  <c r="N94" i="26"/>
  <c r="J94" i="26"/>
  <c r="F94" i="26"/>
  <c r="O59" i="26"/>
  <c r="K59" i="26"/>
  <c r="G59" i="26"/>
  <c r="E59" i="26"/>
  <c r="O54" i="26"/>
  <c r="K54" i="26"/>
  <c r="G54" i="26"/>
  <c r="E54" i="26"/>
  <c r="D33" i="28" l="1"/>
  <c r="J33" i="28"/>
  <c r="E284" i="28"/>
  <c r="E312" i="28" s="1"/>
  <c r="J61" i="26" l="1"/>
  <c r="J38" i="26"/>
  <c r="H328" i="28"/>
  <c r="H326" i="28"/>
  <c r="I326" i="28"/>
  <c r="E325" i="28"/>
  <c r="I321" i="28"/>
  <c r="E322" i="28"/>
  <c r="H317" i="28"/>
  <c r="I317" i="28"/>
  <c r="H316" i="28"/>
  <c r="I316" i="28"/>
  <c r="J318" i="28"/>
  <c r="D318" i="28"/>
  <c r="H284" i="28"/>
  <c r="L284" i="28" s="1"/>
  <c r="P284" i="28" s="1"/>
  <c r="T284" i="28" s="1"/>
  <c r="Z284" i="28" s="1"/>
  <c r="AD284" i="28" s="1"/>
  <c r="AH284" i="28" s="1"/>
  <c r="AN284" i="28" s="1"/>
  <c r="AR284" i="28" s="1"/>
  <c r="AV284" i="28" s="1"/>
  <c r="BD284" i="28" s="1"/>
  <c r="J32" i="28"/>
  <c r="D32" i="28"/>
  <c r="E36" i="28"/>
  <c r="I36" i="28" s="1"/>
  <c r="M36" i="28" s="1"/>
  <c r="Q36" i="28" s="1"/>
  <c r="U36" i="28" s="1"/>
  <c r="AA36" i="28" s="1"/>
  <c r="AE36" i="28" s="1"/>
  <c r="AI36" i="28" s="1"/>
  <c r="AO36" i="28" s="1"/>
  <c r="AS36" i="28" s="1"/>
  <c r="AW36" i="28" s="1"/>
  <c r="BE36" i="28" s="1"/>
  <c r="H25" i="28"/>
  <c r="L25" i="28" s="1"/>
  <c r="P25" i="28" s="1"/>
  <c r="T25" i="28" s="1"/>
  <c r="Z25" i="28" s="1"/>
  <c r="AD25" i="28" s="1"/>
  <c r="AH25" i="28" s="1"/>
  <c r="AN25" i="28" s="1"/>
  <c r="AR25" i="28" s="1"/>
  <c r="AV25" i="28" s="1"/>
  <c r="BD25" i="28" s="1"/>
  <c r="I25" i="28"/>
  <c r="M25" i="28" s="1"/>
  <c r="Q25" i="28" s="1"/>
  <c r="U25" i="28" s="1"/>
  <c r="AA25" i="28" s="1"/>
  <c r="AE25" i="28" s="1"/>
  <c r="AI25" i="28" s="1"/>
  <c r="AO25" i="28" s="1"/>
  <c r="AS25" i="28" s="1"/>
  <c r="AW25" i="28" s="1"/>
  <c r="BE25" i="28" s="1"/>
  <c r="I21" i="28"/>
  <c r="M21" i="28" s="1"/>
  <c r="Q21" i="28" s="1"/>
  <c r="U21" i="28" s="1"/>
  <c r="AA21" i="28" s="1"/>
  <c r="AE21" i="28" s="1"/>
  <c r="AI21" i="28" s="1"/>
  <c r="AO21" i="28" s="1"/>
  <c r="AS21" i="28" s="1"/>
  <c r="AW21" i="28" s="1"/>
  <c r="BE21" i="28" s="1"/>
  <c r="D23" i="28"/>
  <c r="H19" i="28"/>
  <c r="L19" i="28" s="1"/>
  <c r="P19" i="28" s="1"/>
  <c r="T19" i="28" s="1"/>
  <c r="Z19" i="28" s="1"/>
  <c r="AD19" i="28" s="1"/>
  <c r="AH19" i="28" s="1"/>
  <c r="AN19" i="28" s="1"/>
  <c r="AR19" i="28" s="1"/>
  <c r="AV19" i="28" s="1"/>
  <c r="BD19" i="28" s="1"/>
  <c r="E17" i="28"/>
  <c r="E41" i="28" s="1"/>
  <c r="J17" i="28"/>
  <c r="I14" i="28"/>
  <c r="D17" i="28"/>
  <c r="H13" i="28"/>
  <c r="L13" i="28" s="1"/>
  <c r="P13" i="28" s="1"/>
  <c r="T13" i="28" s="1"/>
  <c r="Z13" i="28" s="1"/>
  <c r="AD13" i="28" s="1"/>
  <c r="AH13" i="28" s="1"/>
  <c r="AN13" i="28" s="1"/>
  <c r="AR13" i="28" s="1"/>
  <c r="AV13" i="28" s="1"/>
  <c r="BD13" i="28" s="1"/>
  <c r="J11" i="28"/>
  <c r="H7" i="28"/>
  <c r="L7" i="28" s="1"/>
  <c r="P7" i="28" s="1"/>
  <c r="T7" i="28" s="1"/>
  <c r="Z7" i="28" s="1"/>
  <c r="AD7" i="28" s="1"/>
  <c r="AH7" i="28" s="1"/>
  <c r="AN7" i="28" s="1"/>
  <c r="AR7" i="28" s="1"/>
  <c r="AV7" i="28" s="1"/>
  <c r="BD7" i="28" s="1"/>
  <c r="H15" i="27"/>
  <c r="L15" i="27" s="1"/>
  <c r="P15" i="27" s="1"/>
  <c r="T15" i="27" s="1"/>
  <c r="Z15" i="27" s="1"/>
  <c r="AD15" i="27" s="1"/>
  <c r="AH15" i="27" s="1"/>
  <c r="AN15" i="27" s="1"/>
  <c r="AR15" i="27" s="1"/>
  <c r="AV15" i="27" s="1"/>
  <c r="BD15" i="27" s="1"/>
  <c r="H14" i="27"/>
  <c r="L14" i="27" s="1"/>
  <c r="P14" i="27" s="1"/>
  <c r="T14" i="27" s="1"/>
  <c r="Z14" i="27" s="1"/>
  <c r="AD14" i="27" s="1"/>
  <c r="AH14" i="27" s="1"/>
  <c r="AN14" i="27" s="1"/>
  <c r="AR14" i="27" s="1"/>
  <c r="AV14" i="27" s="1"/>
  <c r="BD14" i="27" s="1"/>
  <c r="I14" i="27"/>
  <c r="H13" i="27"/>
  <c r="L13" i="27" s="1"/>
  <c r="P13" i="27" s="1"/>
  <c r="T13" i="27" s="1"/>
  <c r="Z13" i="27" s="1"/>
  <c r="AD13" i="27" s="1"/>
  <c r="AH13" i="27" s="1"/>
  <c r="AN13" i="27" s="1"/>
  <c r="AR13" i="27" s="1"/>
  <c r="AV13" i="27" s="1"/>
  <c r="BD13" i="27" s="1"/>
  <c r="H12" i="27"/>
  <c r="L12" i="27" s="1"/>
  <c r="P12" i="27" s="1"/>
  <c r="T12" i="27" s="1"/>
  <c r="Z12" i="27" s="1"/>
  <c r="AD12" i="27" s="1"/>
  <c r="AH12" i="27" s="1"/>
  <c r="AN12" i="27" s="1"/>
  <c r="AR12" i="27" s="1"/>
  <c r="AV12" i="27" s="1"/>
  <c r="BD12" i="27" s="1"/>
  <c r="I12" i="27"/>
  <c r="M12" i="27" s="1"/>
  <c r="Q12" i="27" s="1"/>
  <c r="U12" i="27" s="1"/>
  <c r="AA12" i="27" s="1"/>
  <c r="AE12" i="27" s="1"/>
  <c r="AI12" i="27" s="1"/>
  <c r="AO12" i="27" s="1"/>
  <c r="AS12" i="27" s="1"/>
  <c r="AW12" i="27" s="1"/>
  <c r="BE12" i="27" s="1"/>
  <c r="H11" i="27"/>
  <c r="L11" i="27" s="1"/>
  <c r="P11" i="27" s="1"/>
  <c r="T11" i="27" s="1"/>
  <c r="Z11" i="27" s="1"/>
  <c r="AD11" i="27" s="1"/>
  <c r="AH11" i="27" s="1"/>
  <c r="AN11" i="27" s="1"/>
  <c r="AR11" i="27" s="1"/>
  <c r="AV11" i="27" s="1"/>
  <c r="BD11" i="27" s="1"/>
  <c r="H10" i="27"/>
  <c r="L10" i="27" s="1"/>
  <c r="P10" i="27" s="1"/>
  <c r="T10" i="27" s="1"/>
  <c r="Z10" i="27" s="1"/>
  <c r="AD10" i="27" s="1"/>
  <c r="AH10" i="27" s="1"/>
  <c r="AN10" i="27" s="1"/>
  <c r="AR10" i="27" s="1"/>
  <c r="AV10" i="27" s="1"/>
  <c r="BD10" i="27" s="1"/>
  <c r="I10" i="27"/>
  <c r="H9" i="27"/>
  <c r="L9" i="27" s="1"/>
  <c r="P9" i="27" s="1"/>
  <c r="T9" i="27" s="1"/>
  <c r="Z9" i="27" s="1"/>
  <c r="AD9" i="27" s="1"/>
  <c r="AH9" i="27" s="1"/>
  <c r="AN9" i="27" s="1"/>
  <c r="AR9" i="27" s="1"/>
  <c r="AV9" i="27" s="1"/>
  <c r="BD9" i="27" s="1"/>
  <c r="H8" i="27"/>
  <c r="L8" i="27" s="1"/>
  <c r="P8" i="27" s="1"/>
  <c r="T8" i="27" s="1"/>
  <c r="Z8" i="27" s="1"/>
  <c r="AD8" i="27" s="1"/>
  <c r="AH8" i="27" s="1"/>
  <c r="AN8" i="27" s="1"/>
  <c r="AR8" i="27" s="1"/>
  <c r="AV8" i="27" s="1"/>
  <c r="BD8" i="27" s="1"/>
  <c r="I8" i="27"/>
  <c r="M8" i="27" s="1"/>
  <c r="Q8" i="27" s="1"/>
  <c r="U8" i="27" s="1"/>
  <c r="AA8" i="27" s="1"/>
  <c r="AE8" i="27" s="1"/>
  <c r="AI8" i="27" s="1"/>
  <c r="AO8" i="27" s="1"/>
  <c r="AS8" i="27" s="1"/>
  <c r="AW8" i="27" s="1"/>
  <c r="BE8" i="27" s="1"/>
  <c r="H7" i="27"/>
  <c r="L7" i="27" s="1"/>
  <c r="P7" i="27" s="1"/>
  <c r="T7" i="27" s="1"/>
  <c r="Z7" i="27" s="1"/>
  <c r="AD7" i="27" s="1"/>
  <c r="AH7" i="27" s="1"/>
  <c r="AN7" i="27" s="1"/>
  <c r="AR7" i="27" s="1"/>
  <c r="AV7" i="27" s="1"/>
  <c r="BD7" i="27" s="1"/>
  <c r="H6" i="27"/>
  <c r="L6" i="27" s="1"/>
  <c r="P6" i="27" s="1"/>
  <c r="T6" i="27" s="1"/>
  <c r="Z6" i="27" s="1"/>
  <c r="AD6" i="27" s="1"/>
  <c r="AH6" i="27" s="1"/>
  <c r="AN6" i="27" s="1"/>
  <c r="AR6" i="27" s="1"/>
  <c r="AV6" i="27" s="1"/>
  <c r="BD6" i="27" s="1"/>
  <c r="I6" i="27"/>
  <c r="I2" i="27"/>
  <c r="H2" i="27"/>
  <c r="N92" i="26"/>
  <c r="J92" i="26"/>
  <c r="K92" i="26"/>
  <c r="I77" i="26"/>
  <c r="M77" i="26" s="1"/>
  <c r="Q77" i="26" s="1"/>
  <c r="U77" i="26" s="1"/>
  <c r="AA77" i="26" s="1"/>
  <c r="AE77" i="26" s="1"/>
  <c r="AI77" i="26" s="1"/>
  <c r="AO77" i="26" s="1"/>
  <c r="AS77" i="26" s="1"/>
  <c r="AW77" i="26" s="1"/>
  <c r="BE77" i="26" s="1"/>
  <c r="I76" i="26"/>
  <c r="M76" i="26" s="1"/>
  <c r="Q76" i="26" s="1"/>
  <c r="U76" i="26" s="1"/>
  <c r="AA76" i="26" s="1"/>
  <c r="AE76" i="26" s="1"/>
  <c r="AI76" i="26" s="1"/>
  <c r="AO76" i="26" s="1"/>
  <c r="AS76" i="26" s="1"/>
  <c r="AW76" i="26" s="1"/>
  <c r="BE76" i="26" s="1"/>
  <c r="I73" i="26"/>
  <c r="M73" i="26" s="1"/>
  <c r="Q73" i="26" s="1"/>
  <c r="U73" i="26" s="1"/>
  <c r="AA73" i="26" s="1"/>
  <c r="AE73" i="26" s="1"/>
  <c r="AI73" i="26" s="1"/>
  <c r="AO73" i="26" s="1"/>
  <c r="AS73" i="26" s="1"/>
  <c r="AW73" i="26" s="1"/>
  <c r="BE73" i="26" s="1"/>
  <c r="I72" i="26"/>
  <c r="M72" i="26" s="1"/>
  <c r="Q72" i="26" s="1"/>
  <c r="U72" i="26" s="1"/>
  <c r="O78" i="26"/>
  <c r="Y67" i="26" s="1"/>
  <c r="H69" i="26"/>
  <c r="L69" i="26" s="1"/>
  <c r="H64" i="26"/>
  <c r="I64" i="26"/>
  <c r="M64" i="26" s="1"/>
  <c r="Q64" i="26" s="1"/>
  <c r="U64" i="26" s="1"/>
  <c r="AA64" i="26" s="1"/>
  <c r="AE64" i="26" s="1"/>
  <c r="AI64" i="26" s="1"/>
  <c r="AO64" i="26" s="1"/>
  <c r="AS64" i="26" s="1"/>
  <c r="AW64" i="26" s="1"/>
  <c r="O65" i="26"/>
  <c r="N65" i="26"/>
  <c r="F65" i="26"/>
  <c r="K60" i="26"/>
  <c r="H59" i="26"/>
  <c r="L59" i="26" s="1"/>
  <c r="O61" i="26"/>
  <c r="N61" i="26"/>
  <c r="G61" i="26"/>
  <c r="F61" i="26"/>
  <c r="E61" i="26"/>
  <c r="N54" i="26"/>
  <c r="J54" i="26"/>
  <c r="F54" i="26"/>
  <c r="I53" i="26"/>
  <c r="M53" i="26" s="1"/>
  <c r="Q53" i="26" s="1"/>
  <c r="U53" i="26" s="1"/>
  <c r="AA53" i="26" s="1"/>
  <c r="AE53" i="26" s="1"/>
  <c r="AI53" i="26" s="1"/>
  <c r="AO53" i="26" s="1"/>
  <c r="AS53" i="26" s="1"/>
  <c r="AW53" i="26" s="1"/>
  <c r="BE53" i="26" s="1"/>
  <c r="I52" i="26"/>
  <c r="M52" i="26" s="1"/>
  <c r="Q52" i="26" s="1"/>
  <c r="U52" i="26" s="1"/>
  <c r="AA52" i="26" s="1"/>
  <c r="AE52" i="26" s="1"/>
  <c r="AI52" i="26" s="1"/>
  <c r="AO52" i="26" s="1"/>
  <c r="AS52" i="26" s="1"/>
  <c r="AW52" i="26" s="1"/>
  <c r="BE52" i="26" s="1"/>
  <c r="I50" i="26"/>
  <c r="M50" i="26" s="1"/>
  <c r="Q50" i="26" s="1"/>
  <c r="U50" i="26" s="1"/>
  <c r="AA50" i="26" s="1"/>
  <c r="AE50" i="26" s="1"/>
  <c r="AI50" i="26" s="1"/>
  <c r="AO50" i="26" s="1"/>
  <c r="AS50" i="26" s="1"/>
  <c r="AW50" i="26" s="1"/>
  <c r="BE50" i="26" s="1"/>
  <c r="I47" i="26"/>
  <c r="M47" i="26" s="1"/>
  <c r="Q47" i="26" s="1"/>
  <c r="U47" i="26" s="1"/>
  <c r="AA47" i="26" s="1"/>
  <c r="AE47" i="26" s="1"/>
  <c r="AI47" i="26" s="1"/>
  <c r="AO47" i="26" s="1"/>
  <c r="AS47" i="26" s="1"/>
  <c r="AW47" i="26" s="1"/>
  <c r="BE47" i="26" s="1"/>
  <c r="I46" i="26"/>
  <c r="M46" i="26" s="1"/>
  <c r="Q46" i="26" s="1"/>
  <c r="U46" i="26" s="1"/>
  <c r="AA46" i="26" s="1"/>
  <c r="AE46" i="26" s="1"/>
  <c r="AI46" i="26" s="1"/>
  <c r="AO46" i="26" s="1"/>
  <c r="AS46" i="26" s="1"/>
  <c r="AW46" i="26" s="1"/>
  <c r="BE46" i="26" s="1"/>
  <c r="F45" i="26"/>
  <c r="I41" i="26"/>
  <c r="I40" i="26"/>
  <c r="M40" i="26" s="1"/>
  <c r="Q40" i="26" s="1"/>
  <c r="U40" i="26" s="1"/>
  <c r="AA40" i="26" s="1"/>
  <c r="AE40" i="26" s="1"/>
  <c r="AI40" i="26" s="1"/>
  <c r="AO40" i="26" s="1"/>
  <c r="AS40" i="26" s="1"/>
  <c r="AW40" i="26" s="1"/>
  <c r="BE40" i="26" s="1"/>
  <c r="O38" i="26"/>
  <c r="N38" i="26"/>
  <c r="K38" i="26"/>
  <c r="G38" i="26"/>
  <c r="F38" i="26"/>
  <c r="E38" i="26"/>
  <c r="I33" i="26"/>
  <c r="M33" i="26" s="1"/>
  <c r="Q33" i="26" s="1"/>
  <c r="U33" i="26" s="1"/>
  <c r="AA33" i="26" s="1"/>
  <c r="AE33" i="26" s="1"/>
  <c r="AI33" i="26" s="1"/>
  <c r="AO33" i="26" s="1"/>
  <c r="AS33" i="26" s="1"/>
  <c r="AW33" i="26" s="1"/>
  <c r="BE33" i="26" s="1"/>
  <c r="I32" i="26"/>
  <c r="M32" i="26" s="1"/>
  <c r="Q32" i="26" s="1"/>
  <c r="U32" i="26" s="1"/>
  <c r="AA32" i="26" s="1"/>
  <c r="AE32" i="26" s="1"/>
  <c r="AI32" i="26" s="1"/>
  <c r="AO32" i="26" s="1"/>
  <c r="AS32" i="26" s="1"/>
  <c r="AW32" i="26" s="1"/>
  <c r="BE32" i="26" s="1"/>
  <c r="BC179" i="6" s="1"/>
  <c r="I31" i="26"/>
  <c r="M31" i="26" s="1"/>
  <c r="Q31" i="26" s="1"/>
  <c r="U31" i="26" s="1"/>
  <c r="AA31" i="26" s="1"/>
  <c r="AE31" i="26" s="1"/>
  <c r="AI31" i="26" s="1"/>
  <c r="AO31" i="26" s="1"/>
  <c r="AS31" i="26" s="1"/>
  <c r="AW31" i="26" s="1"/>
  <c r="BE31" i="26" s="1"/>
  <c r="I28" i="26"/>
  <c r="M28" i="26" s="1"/>
  <c r="Q28" i="26" s="1"/>
  <c r="U28" i="26" s="1"/>
  <c r="AA28" i="26" s="1"/>
  <c r="AE28" i="26" s="1"/>
  <c r="AI28" i="26" s="1"/>
  <c r="AO28" i="26" s="1"/>
  <c r="AS28" i="26" s="1"/>
  <c r="AW28" i="26" s="1"/>
  <c r="BE28" i="26" s="1"/>
  <c r="I27" i="26"/>
  <c r="M27" i="26" s="1"/>
  <c r="Q27" i="26" s="1"/>
  <c r="U27" i="26" s="1"/>
  <c r="AA27" i="26" s="1"/>
  <c r="AE27" i="26" s="1"/>
  <c r="AI27" i="26" s="1"/>
  <c r="AO27" i="26" s="1"/>
  <c r="AS27" i="26" s="1"/>
  <c r="AW27" i="26" s="1"/>
  <c r="BE27" i="26" s="1"/>
  <c r="I24" i="26"/>
  <c r="M24" i="26" s="1"/>
  <c r="Q24" i="26" s="1"/>
  <c r="U24" i="26" s="1"/>
  <c r="AA24" i="26" s="1"/>
  <c r="AE24" i="26" s="1"/>
  <c r="AI24" i="26" s="1"/>
  <c r="AO24" i="26" s="1"/>
  <c r="AS24" i="26" s="1"/>
  <c r="AW24" i="26" s="1"/>
  <c r="BE24" i="26" s="1"/>
  <c r="I21" i="26"/>
  <c r="M21" i="26" s="1"/>
  <c r="Q21" i="26" s="1"/>
  <c r="U21" i="26" s="1"/>
  <c r="AA21" i="26" s="1"/>
  <c r="AE21" i="26" s="1"/>
  <c r="AI21" i="26" s="1"/>
  <c r="AO21" i="26" s="1"/>
  <c r="AS21" i="26" s="1"/>
  <c r="AW21" i="26" s="1"/>
  <c r="BE21" i="26" s="1"/>
  <c r="I20" i="26"/>
  <c r="M20" i="26" s="1"/>
  <c r="Q20" i="26" s="1"/>
  <c r="U20" i="26" s="1"/>
  <c r="AA20" i="26" s="1"/>
  <c r="AE20" i="26" s="1"/>
  <c r="AI20" i="26" s="1"/>
  <c r="AO20" i="26" s="1"/>
  <c r="AS20" i="26" s="1"/>
  <c r="AW20" i="26" s="1"/>
  <c r="BE20" i="26" s="1"/>
  <c r="I19" i="26"/>
  <c r="M19" i="26" s="1"/>
  <c r="Q19" i="26" s="1"/>
  <c r="U19" i="26" s="1"/>
  <c r="AA19" i="26" s="1"/>
  <c r="AE19" i="26" s="1"/>
  <c r="AI19" i="26" s="1"/>
  <c r="AO19" i="26" s="1"/>
  <c r="AS19" i="26" s="1"/>
  <c r="AW19" i="26" s="1"/>
  <c r="BE19" i="26" s="1"/>
  <c r="K34" i="26"/>
  <c r="E34" i="26"/>
  <c r="I8" i="26"/>
  <c r="M8" i="26" s="1"/>
  <c r="Q8" i="26" s="1"/>
  <c r="U8" i="26" s="1"/>
  <c r="AA8" i="26" s="1"/>
  <c r="AE8" i="26" s="1"/>
  <c r="AI8" i="26" s="1"/>
  <c r="AO8" i="26" s="1"/>
  <c r="AS8" i="26" s="1"/>
  <c r="AW8" i="26" s="1"/>
  <c r="BE8" i="26" s="1"/>
  <c r="I7" i="26"/>
  <c r="M7" i="26" s="1"/>
  <c r="Q7" i="26" s="1"/>
  <c r="U7" i="26" s="1"/>
  <c r="O9" i="26"/>
  <c r="K9" i="26"/>
  <c r="G9" i="26"/>
  <c r="I2" i="26"/>
  <c r="M2" i="26" s="1"/>
  <c r="Q2" i="26" s="1"/>
  <c r="U2" i="26" s="1"/>
  <c r="AA2" i="26" s="1"/>
  <c r="AE2" i="26" s="1"/>
  <c r="AI2" i="26" s="1"/>
  <c r="AO2" i="26" s="1"/>
  <c r="AS2" i="26" s="1"/>
  <c r="AW2" i="26" s="1"/>
  <c r="BE2" i="26" s="1"/>
  <c r="H2" i="26"/>
  <c r="L2" i="26" s="1"/>
  <c r="P2" i="26" s="1"/>
  <c r="T2" i="26" s="1"/>
  <c r="BE64" i="26" l="1"/>
  <c r="BC64" i="26"/>
  <c r="BC65" i="26" s="1"/>
  <c r="U9" i="26"/>
  <c r="AA7" i="26"/>
  <c r="Z2" i="26"/>
  <c r="T10" i="26"/>
  <c r="AA72" i="26"/>
  <c r="AE72" i="26" s="1"/>
  <c r="AI72" i="26" s="1"/>
  <c r="AO72" i="26" s="1"/>
  <c r="AS72" i="26" s="1"/>
  <c r="AW72" i="26" s="1"/>
  <c r="BE72" i="26" s="1"/>
  <c r="H30" i="27"/>
  <c r="H36" i="27"/>
  <c r="H19" i="27"/>
  <c r="H32" i="27"/>
  <c r="H28" i="27"/>
  <c r="H21" i="27"/>
  <c r="H38" i="27"/>
  <c r="H31" i="27"/>
  <c r="H27" i="27"/>
  <c r="H22" i="27"/>
  <c r="H37" i="27"/>
  <c r="H20" i="27"/>
  <c r="H23" i="27"/>
  <c r="H29" i="27"/>
  <c r="H18" i="27"/>
  <c r="M2" i="27"/>
  <c r="Q2" i="27" s="1"/>
  <c r="U2" i="27" s="1"/>
  <c r="AA2" i="27" s="1"/>
  <c r="AE2" i="27" s="1"/>
  <c r="AI2" i="27" s="1"/>
  <c r="AO2" i="27" s="1"/>
  <c r="AS2" i="27" s="1"/>
  <c r="I22" i="27"/>
  <c r="I38" i="27"/>
  <c r="I18" i="27"/>
  <c r="I36" i="27"/>
  <c r="I20" i="27"/>
  <c r="I19" i="27"/>
  <c r="I21" i="27"/>
  <c r="M21" i="27" s="1"/>
  <c r="Q21" i="27" s="1"/>
  <c r="U21" i="27" s="1"/>
  <c r="AA21" i="27" s="1"/>
  <c r="AE21" i="27" s="1"/>
  <c r="AI21" i="27" s="1"/>
  <c r="AO21" i="27" s="1"/>
  <c r="AS21" i="27" s="1"/>
  <c r="I23" i="27"/>
  <c r="I28" i="27"/>
  <c r="M28" i="27" s="1"/>
  <c r="I27" i="27"/>
  <c r="I37" i="27"/>
  <c r="M37" i="27" s="1"/>
  <c r="Q37" i="27" s="1"/>
  <c r="U37" i="27" s="1"/>
  <c r="AA37" i="27" s="1"/>
  <c r="AE37" i="27" s="1"/>
  <c r="AI37" i="27" s="1"/>
  <c r="AO37" i="27" s="1"/>
  <c r="AS37" i="27" s="1"/>
  <c r="I32" i="27"/>
  <c r="I31" i="27"/>
  <c r="I29" i="27"/>
  <c r="M29" i="27" s="1"/>
  <c r="Q29" i="27" s="1"/>
  <c r="U29" i="27" s="1"/>
  <c r="AA29" i="27" s="1"/>
  <c r="AE29" i="27" s="1"/>
  <c r="AI29" i="27" s="1"/>
  <c r="AO29" i="27" s="1"/>
  <c r="AS29" i="27" s="1"/>
  <c r="L317" i="28"/>
  <c r="M326" i="28"/>
  <c r="M316" i="28"/>
  <c r="M321" i="28"/>
  <c r="L316" i="28"/>
  <c r="M317" i="28"/>
  <c r="L326" i="28"/>
  <c r="P326" i="28" s="1"/>
  <c r="T326" i="28" s="1"/>
  <c r="Z326" i="28" s="1"/>
  <c r="AD326" i="28" s="1"/>
  <c r="AH326" i="28" s="1"/>
  <c r="AN326" i="28" s="1"/>
  <c r="AR326" i="28" s="1"/>
  <c r="AV326" i="28" s="1"/>
  <c r="BD326" i="28" s="1"/>
  <c r="L328" i="28"/>
  <c r="M14" i="28"/>
  <c r="J43" i="28"/>
  <c r="J59" i="28" s="1"/>
  <c r="J40" i="28"/>
  <c r="J47" i="28" s="1"/>
  <c r="J145" i="28"/>
  <c r="J41" i="28"/>
  <c r="J51" i="28" s="1"/>
  <c r="J195" i="28"/>
  <c r="D42" i="28"/>
  <c r="D55" i="28" s="1"/>
  <c r="D238" i="28"/>
  <c r="D43" i="28"/>
  <c r="D59" i="28" s="1"/>
  <c r="D41" i="28"/>
  <c r="D51" i="28" s="1"/>
  <c r="D195" i="28"/>
  <c r="H48" i="26"/>
  <c r="L48" i="26" s="1"/>
  <c r="P48" i="26" s="1"/>
  <c r="T48" i="26" s="1"/>
  <c r="H50" i="26"/>
  <c r="L50" i="26" s="1"/>
  <c r="P50" i="26" s="1"/>
  <c r="T50" i="26" s="1"/>
  <c r="H73" i="26"/>
  <c r="L73" i="26" s="1"/>
  <c r="P73" i="26" s="1"/>
  <c r="T73" i="26" s="1"/>
  <c r="F9" i="26"/>
  <c r="F14" i="26" s="1"/>
  <c r="H24" i="26"/>
  <c r="L24" i="26" s="1"/>
  <c r="P24" i="26" s="1"/>
  <c r="T24" i="26" s="1"/>
  <c r="H28" i="26"/>
  <c r="L28" i="26" s="1"/>
  <c r="P28" i="26" s="1"/>
  <c r="T28" i="26" s="1"/>
  <c r="H40" i="26"/>
  <c r="L40" i="26" s="1"/>
  <c r="P40" i="26" s="1"/>
  <c r="T40" i="26" s="1"/>
  <c r="H47" i="26"/>
  <c r="L47" i="26" s="1"/>
  <c r="P47" i="26" s="1"/>
  <c r="T47" i="26" s="1"/>
  <c r="H53" i="26"/>
  <c r="L53" i="26" s="1"/>
  <c r="P53" i="26" s="1"/>
  <c r="T53" i="26" s="1"/>
  <c r="F78" i="26"/>
  <c r="H74" i="26"/>
  <c r="L74" i="26" s="1"/>
  <c r="P74" i="26" s="1"/>
  <c r="T74" i="26" s="1"/>
  <c r="H11" i="26"/>
  <c r="L11" i="26" s="1"/>
  <c r="P11" i="26" s="1"/>
  <c r="T11" i="26" s="1"/>
  <c r="H17" i="26"/>
  <c r="L17" i="26" s="1"/>
  <c r="P17" i="26" s="1"/>
  <c r="T17" i="26" s="1"/>
  <c r="H25" i="26"/>
  <c r="L25" i="26" s="1"/>
  <c r="P25" i="26" s="1"/>
  <c r="T25" i="26" s="1"/>
  <c r="J34" i="26"/>
  <c r="H29" i="26"/>
  <c r="L29" i="26" s="1"/>
  <c r="P29" i="26" s="1"/>
  <c r="T29" i="26" s="1"/>
  <c r="H54" i="26"/>
  <c r="L54" i="26" s="1"/>
  <c r="P54" i="26" s="1"/>
  <c r="T54" i="26" s="1"/>
  <c r="J9" i="26"/>
  <c r="J14" i="26" s="1"/>
  <c r="G34" i="26"/>
  <c r="O34" i="26"/>
  <c r="I18" i="26"/>
  <c r="M18" i="26" s="1"/>
  <c r="Q18" i="26" s="1"/>
  <c r="U18" i="26" s="1"/>
  <c r="AA18" i="26" s="1"/>
  <c r="AE18" i="26" s="1"/>
  <c r="AI18" i="26" s="1"/>
  <c r="AO18" i="26" s="1"/>
  <c r="AS18" i="26" s="1"/>
  <c r="AW18" i="26" s="1"/>
  <c r="BE18" i="26" s="1"/>
  <c r="H19" i="26"/>
  <c r="L19" i="26" s="1"/>
  <c r="P19" i="26" s="1"/>
  <c r="T19" i="26" s="1"/>
  <c r="H20" i="26"/>
  <c r="L20" i="26" s="1"/>
  <c r="P20" i="26" s="1"/>
  <c r="T20" i="26" s="1"/>
  <c r="H21" i="26"/>
  <c r="L21" i="26" s="1"/>
  <c r="P21" i="26" s="1"/>
  <c r="T21" i="26" s="1"/>
  <c r="I26" i="26"/>
  <c r="M26" i="26" s="1"/>
  <c r="Q26" i="26" s="1"/>
  <c r="U26" i="26" s="1"/>
  <c r="AA26" i="26" s="1"/>
  <c r="AE26" i="26" s="1"/>
  <c r="AI26" i="26" s="1"/>
  <c r="AO26" i="26" s="1"/>
  <c r="AS26" i="26" s="1"/>
  <c r="AW26" i="26" s="1"/>
  <c r="BE26" i="26" s="1"/>
  <c r="H27" i="26"/>
  <c r="L27" i="26" s="1"/>
  <c r="P27" i="26" s="1"/>
  <c r="T27" i="26" s="1"/>
  <c r="I30" i="26"/>
  <c r="M30" i="26" s="1"/>
  <c r="Q30" i="26" s="1"/>
  <c r="U30" i="26" s="1"/>
  <c r="AA30" i="26" s="1"/>
  <c r="AE30" i="26" s="1"/>
  <c r="AI30" i="26" s="1"/>
  <c r="AO30" i="26" s="1"/>
  <c r="AS30" i="26" s="1"/>
  <c r="AW30" i="26" s="1"/>
  <c r="BE30" i="26" s="1"/>
  <c r="H31" i="26"/>
  <c r="L31" i="26" s="1"/>
  <c r="P31" i="26" s="1"/>
  <c r="T31" i="26" s="1"/>
  <c r="E55" i="26"/>
  <c r="K55" i="26"/>
  <c r="F55" i="26"/>
  <c r="N55" i="26"/>
  <c r="E9" i="26"/>
  <c r="E10" i="26" s="1"/>
  <c r="I11" i="26"/>
  <c r="M11" i="26" s="1"/>
  <c r="Q11" i="26" s="1"/>
  <c r="U11" i="26" s="1"/>
  <c r="AA11" i="26" s="1"/>
  <c r="AE11" i="26" s="1"/>
  <c r="AI11" i="26" s="1"/>
  <c r="AO11" i="26" s="1"/>
  <c r="AS11" i="26" s="1"/>
  <c r="AW11" i="26" s="1"/>
  <c r="BE11" i="26" s="1"/>
  <c r="F34" i="26"/>
  <c r="I17" i="26"/>
  <c r="M17" i="26" s="1"/>
  <c r="Q17" i="26" s="1"/>
  <c r="U17" i="26" s="1"/>
  <c r="AA17" i="26" s="1"/>
  <c r="AE17" i="26" s="1"/>
  <c r="AI17" i="26" s="1"/>
  <c r="AO17" i="26" s="1"/>
  <c r="AS17" i="26" s="1"/>
  <c r="AW17" i="26" s="1"/>
  <c r="BE17" i="26" s="1"/>
  <c r="H18" i="26"/>
  <c r="L18" i="26" s="1"/>
  <c r="P18" i="26" s="1"/>
  <c r="T18" i="26" s="1"/>
  <c r="I25" i="26"/>
  <c r="M25" i="26" s="1"/>
  <c r="Q25" i="26" s="1"/>
  <c r="U25" i="26" s="1"/>
  <c r="AA25" i="26" s="1"/>
  <c r="AE25" i="26" s="1"/>
  <c r="AI25" i="26" s="1"/>
  <c r="AO25" i="26" s="1"/>
  <c r="AS25" i="26" s="1"/>
  <c r="AW25" i="26" s="1"/>
  <c r="BE25" i="26" s="1"/>
  <c r="H26" i="26"/>
  <c r="L26" i="26" s="1"/>
  <c r="P26" i="26" s="1"/>
  <c r="T26" i="26" s="1"/>
  <c r="I29" i="26"/>
  <c r="M29" i="26" s="1"/>
  <c r="Q29" i="26" s="1"/>
  <c r="U29" i="26" s="1"/>
  <c r="H30" i="26"/>
  <c r="L30" i="26" s="1"/>
  <c r="P30" i="26" s="1"/>
  <c r="T30" i="26" s="1"/>
  <c r="J78" i="26"/>
  <c r="G92" i="26"/>
  <c r="I9" i="27"/>
  <c r="M9" i="27" s="1"/>
  <c r="Q9" i="27" s="1"/>
  <c r="U9" i="27" s="1"/>
  <c r="AA9" i="27" s="1"/>
  <c r="AE9" i="27" s="1"/>
  <c r="AI9" i="27" s="1"/>
  <c r="AO9" i="27" s="1"/>
  <c r="AS9" i="27" s="1"/>
  <c r="AW9" i="27" s="1"/>
  <c r="BE9" i="27" s="1"/>
  <c r="I13" i="27"/>
  <c r="M13" i="27" s="1"/>
  <c r="Q13" i="27" s="1"/>
  <c r="U13" i="27" s="1"/>
  <c r="AA13" i="27" s="1"/>
  <c r="AE13" i="27" s="1"/>
  <c r="AI13" i="27" s="1"/>
  <c r="AO13" i="27" s="1"/>
  <c r="AS13" i="27" s="1"/>
  <c r="AW13" i="27" s="1"/>
  <c r="BE13" i="27" s="1"/>
  <c r="E33" i="28"/>
  <c r="E34" i="28"/>
  <c r="I34" i="28" s="1"/>
  <c r="M34" i="28" s="1"/>
  <c r="Q34" i="28" s="1"/>
  <c r="U34" i="28" s="1"/>
  <c r="AA34" i="28" s="1"/>
  <c r="AE34" i="28" s="1"/>
  <c r="AI34" i="28" s="1"/>
  <c r="AO34" i="28" s="1"/>
  <c r="AS34" i="28" s="1"/>
  <c r="AW34" i="28" s="1"/>
  <c r="BE34" i="28" s="1"/>
  <c r="J37" i="28"/>
  <c r="I55" i="28"/>
  <c r="M55" i="28" s="1"/>
  <c r="Q55" i="28" s="1"/>
  <c r="U55" i="28" s="1"/>
  <c r="AA55" i="28" s="1"/>
  <c r="AE55" i="28" s="1"/>
  <c r="AI55" i="28" s="1"/>
  <c r="AO55" i="28" s="1"/>
  <c r="AS55" i="28" s="1"/>
  <c r="AW55" i="28" s="1"/>
  <c r="BE55" i="28" s="1"/>
  <c r="E57" i="28"/>
  <c r="G55" i="26"/>
  <c r="I48" i="26"/>
  <c r="M48" i="26" s="1"/>
  <c r="Q48" i="26" s="1"/>
  <c r="U48" i="26" s="1"/>
  <c r="AA48" i="26" s="1"/>
  <c r="AE48" i="26" s="1"/>
  <c r="AI48" i="26" s="1"/>
  <c r="AO48" i="26" s="1"/>
  <c r="AS48" i="26" s="1"/>
  <c r="AW48" i="26" s="1"/>
  <c r="BE48" i="26" s="1"/>
  <c r="H49" i="26"/>
  <c r="L49" i="26" s="1"/>
  <c r="P49" i="26" s="1"/>
  <c r="T49" i="26" s="1"/>
  <c r="H51" i="26"/>
  <c r="L51" i="26" s="1"/>
  <c r="P51" i="26" s="1"/>
  <c r="T51" i="26" s="1"/>
  <c r="I54" i="26"/>
  <c r="M54" i="26" s="1"/>
  <c r="Q54" i="26" s="1"/>
  <c r="U54" i="26" s="1"/>
  <c r="K61" i="26"/>
  <c r="E60" i="26"/>
  <c r="O60" i="26"/>
  <c r="J65" i="26"/>
  <c r="E78" i="26"/>
  <c r="H71" i="26"/>
  <c r="L71" i="26" s="1"/>
  <c r="P71" i="26" s="1"/>
  <c r="T71" i="26" s="1"/>
  <c r="X71" i="26" s="1"/>
  <c r="I74" i="26"/>
  <c r="M74" i="26" s="1"/>
  <c r="Q74" i="26" s="1"/>
  <c r="U74" i="26" s="1"/>
  <c r="AA74" i="26" s="1"/>
  <c r="AE74" i="26" s="1"/>
  <c r="AI74" i="26" s="1"/>
  <c r="AO74" i="26" s="1"/>
  <c r="AS74" i="26" s="1"/>
  <c r="AW74" i="26" s="1"/>
  <c r="BE74" i="26" s="1"/>
  <c r="H75" i="26"/>
  <c r="L75" i="26" s="1"/>
  <c r="P75" i="26" s="1"/>
  <c r="T75" i="26" s="1"/>
  <c r="O92" i="26"/>
  <c r="M6" i="27"/>
  <c r="Q6" i="27" s="1"/>
  <c r="U6" i="27" s="1"/>
  <c r="AA6" i="27" s="1"/>
  <c r="AE6" i="27" s="1"/>
  <c r="AI6" i="27" s="1"/>
  <c r="AO6" i="27" s="1"/>
  <c r="AS6" i="27" s="1"/>
  <c r="AW6" i="27" s="1"/>
  <c r="BE6" i="27" s="1"/>
  <c r="M10" i="27"/>
  <c r="Q10" i="27" s="1"/>
  <c r="U10" i="27" s="1"/>
  <c r="AA10" i="27" s="1"/>
  <c r="AE10" i="27" s="1"/>
  <c r="AI10" i="27" s="1"/>
  <c r="AO10" i="27" s="1"/>
  <c r="AS10" i="27" s="1"/>
  <c r="AW10" i="27" s="1"/>
  <c r="BE10" i="27" s="1"/>
  <c r="M14" i="27"/>
  <c r="Q14" i="27" s="1"/>
  <c r="U14" i="27" s="1"/>
  <c r="AA14" i="27" s="1"/>
  <c r="AE14" i="27" s="1"/>
  <c r="AI14" i="27" s="1"/>
  <c r="AO14" i="27" s="1"/>
  <c r="AS14" i="27" s="1"/>
  <c r="AW14" i="27" s="1"/>
  <c r="BE14" i="27" s="1"/>
  <c r="H32" i="26"/>
  <c r="L32" i="26" s="1"/>
  <c r="P32" i="26" s="1"/>
  <c r="T32" i="26" s="1"/>
  <c r="H33" i="26"/>
  <c r="L33" i="26" s="1"/>
  <c r="P33" i="26" s="1"/>
  <c r="T33" i="26" s="1"/>
  <c r="J55" i="26"/>
  <c r="H46" i="26"/>
  <c r="L46" i="26" s="1"/>
  <c r="P46" i="26" s="1"/>
  <c r="T46" i="26" s="1"/>
  <c r="X46" i="26" s="1"/>
  <c r="I49" i="26"/>
  <c r="M49" i="26" s="1"/>
  <c r="Q49" i="26" s="1"/>
  <c r="U49" i="26" s="1"/>
  <c r="AA49" i="26" s="1"/>
  <c r="AE49" i="26" s="1"/>
  <c r="AI49" i="26" s="1"/>
  <c r="AO49" i="26" s="1"/>
  <c r="AS49" i="26" s="1"/>
  <c r="AW49" i="26" s="1"/>
  <c r="BE49" i="26" s="1"/>
  <c r="I51" i="26"/>
  <c r="M51" i="26" s="1"/>
  <c r="H52" i="26"/>
  <c r="L52" i="26" s="1"/>
  <c r="P52" i="26" s="1"/>
  <c r="T52" i="26" s="1"/>
  <c r="G60" i="26"/>
  <c r="K65" i="26"/>
  <c r="L64" i="26"/>
  <c r="P64" i="26" s="1"/>
  <c r="T64" i="26" s="1"/>
  <c r="G78" i="26"/>
  <c r="I70" i="26"/>
  <c r="M70" i="26" s="1"/>
  <c r="Q70" i="26" s="1"/>
  <c r="U70" i="26" s="1"/>
  <c r="AA70" i="26" s="1"/>
  <c r="AE70" i="26" s="1"/>
  <c r="AI70" i="26" s="1"/>
  <c r="AO70" i="26" s="1"/>
  <c r="AS70" i="26" s="1"/>
  <c r="AW70" i="26" s="1"/>
  <c r="BE70" i="26" s="1"/>
  <c r="I71" i="26"/>
  <c r="M71" i="26" s="1"/>
  <c r="Q71" i="26" s="1"/>
  <c r="U71" i="26" s="1"/>
  <c r="AA71" i="26" s="1"/>
  <c r="AE71" i="26" s="1"/>
  <c r="AI71" i="26" s="1"/>
  <c r="AO71" i="26" s="1"/>
  <c r="AS71" i="26" s="1"/>
  <c r="AW71" i="26" s="1"/>
  <c r="BE71" i="26" s="1"/>
  <c r="H72" i="26"/>
  <c r="L72" i="26" s="1"/>
  <c r="P72" i="26" s="1"/>
  <c r="T72" i="26" s="1"/>
  <c r="I75" i="26"/>
  <c r="M75" i="26" s="1"/>
  <c r="Q75" i="26" s="1"/>
  <c r="U75" i="26" s="1"/>
  <c r="AA75" i="26" s="1"/>
  <c r="AE75" i="26" s="1"/>
  <c r="AI75" i="26" s="1"/>
  <c r="AO75" i="26" s="1"/>
  <c r="AS75" i="26" s="1"/>
  <c r="AW75" i="26" s="1"/>
  <c r="BE75" i="26" s="1"/>
  <c r="H76" i="26"/>
  <c r="L76" i="26" s="1"/>
  <c r="P76" i="26" s="1"/>
  <c r="T76" i="26" s="1"/>
  <c r="H77" i="26"/>
  <c r="L77" i="26" s="1"/>
  <c r="P77" i="26" s="1"/>
  <c r="T77" i="26" s="1"/>
  <c r="I7" i="27"/>
  <c r="M7" i="27" s="1"/>
  <c r="Q7" i="27" s="1"/>
  <c r="U7" i="27" s="1"/>
  <c r="AA7" i="27" s="1"/>
  <c r="AE7" i="27" s="1"/>
  <c r="AI7" i="27" s="1"/>
  <c r="AO7" i="27" s="1"/>
  <c r="AS7" i="27" s="1"/>
  <c r="AW7" i="27" s="1"/>
  <c r="BE7" i="27" s="1"/>
  <c r="I11" i="27"/>
  <c r="M11" i="27" s="1"/>
  <c r="Q11" i="27" s="1"/>
  <c r="U11" i="27" s="1"/>
  <c r="AA11" i="27" s="1"/>
  <c r="AE11" i="27" s="1"/>
  <c r="AI11" i="27" s="1"/>
  <c r="AO11" i="27" s="1"/>
  <c r="AS11" i="27" s="1"/>
  <c r="AW11" i="27" s="1"/>
  <c r="BE11" i="27" s="1"/>
  <c r="I15" i="27"/>
  <c r="M15" i="27" s="1"/>
  <c r="Q15" i="27" s="1"/>
  <c r="U15" i="27" s="1"/>
  <c r="AA15" i="27" s="1"/>
  <c r="AE15" i="27" s="1"/>
  <c r="AI15" i="27" s="1"/>
  <c r="AO15" i="27" s="1"/>
  <c r="AS15" i="27" s="1"/>
  <c r="AW15" i="27" s="1"/>
  <c r="BE15" i="27" s="1"/>
  <c r="I20" i="28"/>
  <c r="I27" i="28"/>
  <c r="I22" i="28"/>
  <c r="I26" i="28"/>
  <c r="H32" i="28"/>
  <c r="L32" i="28" s="1"/>
  <c r="P32" i="28" s="1"/>
  <c r="T32" i="28" s="1"/>
  <c r="Z32" i="28" s="1"/>
  <c r="AD32" i="28" s="1"/>
  <c r="AH32" i="28" s="1"/>
  <c r="AN32" i="28" s="1"/>
  <c r="AR32" i="28" s="1"/>
  <c r="AV32" i="28" s="1"/>
  <c r="BD32" i="28" s="1"/>
  <c r="E63" i="28"/>
  <c r="I51" i="28"/>
  <c r="M51" i="28" s="1"/>
  <c r="Q51" i="28" s="1"/>
  <c r="U51" i="28" s="1"/>
  <c r="AA51" i="28" s="1"/>
  <c r="AE51" i="28" s="1"/>
  <c r="AI51" i="28" s="1"/>
  <c r="AO51" i="28" s="1"/>
  <c r="AS51" i="28" s="1"/>
  <c r="AW51" i="28" s="1"/>
  <c r="BE51" i="28" s="1"/>
  <c r="E238" i="28"/>
  <c r="E318" i="28"/>
  <c r="I301" i="28"/>
  <c r="I302" i="28"/>
  <c r="I304" i="28"/>
  <c r="I305" i="28"/>
  <c r="I307" i="28"/>
  <c r="I309" i="28"/>
  <c r="I41" i="28"/>
  <c r="E23" i="28"/>
  <c r="E42" i="28" s="1"/>
  <c r="I42" i="28" s="1"/>
  <c r="M42" i="28" s="1"/>
  <c r="Q42" i="28" s="1"/>
  <c r="U42" i="28" s="1"/>
  <c r="AA42" i="28" s="1"/>
  <c r="AE42" i="28" s="1"/>
  <c r="AI42" i="28" s="1"/>
  <c r="AO42" i="28" s="1"/>
  <c r="AS42" i="28" s="1"/>
  <c r="AW42" i="28" s="1"/>
  <c r="BE42" i="28" s="1"/>
  <c r="I19" i="28"/>
  <c r="I7" i="28"/>
  <c r="I16" i="28"/>
  <c r="J23" i="28"/>
  <c r="H26" i="28"/>
  <c r="I29" i="28"/>
  <c r="E30" i="28"/>
  <c r="E43" i="28" s="1"/>
  <c r="I43" i="28" s="1"/>
  <c r="M43" i="28" s="1"/>
  <c r="Q43" i="28" s="1"/>
  <c r="U43" i="28" s="1"/>
  <c r="AA43" i="28" s="1"/>
  <c r="AE43" i="28" s="1"/>
  <c r="AI43" i="28" s="1"/>
  <c r="AO43" i="28" s="1"/>
  <c r="AS43" i="28" s="1"/>
  <c r="AW43" i="28" s="1"/>
  <c r="BE43" i="28" s="1"/>
  <c r="E32" i="28"/>
  <c r="I8" i="28"/>
  <c r="I10" i="28"/>
  <c r="E11" i="28"/>
  <c r="I13" i="28"/>
  <c r="I15" i="28"/>
  <c r="H20" i="28"/>
  <c r="I28" i="28"/>
  <c r="I47" i="28"/>
  <c r="M47" i="28" s="1"/>
  <c r="Q47" i="28" s="1"/>
  <c r="U47" i="28" s="1"/>
  <c r="AA47" i="28" s="1"/>
  <c r="AE47" i="28" s="1"/>
  <c r="AI47" i="28" s="1"/>
  <c r="AO47" i="28" s="1"/>
  <c r="AS47" i="28" s="1"/>
  <c r="AW47" i="28" s="1"/>
  <c r="BE47" i="28" s="1"/>
  <c r="I68" i="28"/>
  <c r="M68" i="28" s="1"/>
  <c r="H8" i="28"/>
  <c r="L8" i="28" s="1"/>
  <c r="P8" i="28" s="1"/>
  <c r="T8" i="28" s="1"/>
  <c r="Z8" i="28" s="1"/>
  <c r="AD8" i="28" s="1"/>
  <c r="E35" i="28"/>
  <c r="I35" i="28" s="1"/>
  <c r="M35" i="28" s="1"/>
  <c r="Q35" i="28" s="1"/>
  <c r="U35" i="28" s="1"/>
  <c r="AA35" i="28" s="1"/>
  <c r="AE35" i="28" s="1"/>
  <c r="AI35" i="28" s="1"/>
  <c r="AO35" i="28" s="1"/>
  <c r="AS35" i="28" s="1"/>
  <c r="AW35" i="28" s="1"/>
  <c r="BE35" i="28" s="1"/>
  <c r="I9" i="28"/>
  <c r="D11" i="28"/>
  <c r="H14" i="28"/>
  <c r="I56" i="28"/>
  <c r="E145" i="28"/>
  <c r="I59" i="28"/>
  <c r="M59" i="28" s="1"/>
  <c r="Q59" i="28" s="1"/>
  <c r="U59" i="28" s="1"/>
  <c r="AA59" i="28" s="1"/>
  <c r="AE59" i="28" s="1"/>
  <c r="AI59" i="28" s="1"/>
  <c r="AO59" i="28" s="1"/>
  <c r="AS59" i="28" s="1"/>
  <c r="AW59" i="28" s="1"/>
  <c r="BE59" i="28" s="1"/>
  <c r="E195" i="28"/>
  <c r="D324" i="28"/>
  <c r="D329" i="28" s="1"/>
  <c r="D320" i="28"/>
  <c r="J324" i="28"/>
  <c r="J329" i="28" s="1"/>
  <c r="J320" i="28"/>
  <c r="I202" i="28"/>
  <c r="M202" i="28" s="1"/>
  <c r="H315" i="28"/>
  <c r="L315" i="28" s="1"/>
  <c r="I250" i="28"/>
  <c r="I315" i="28"/>
  <c r="M315" i="28" s="1"/>
  <c r="Q315" i="28" s="1"/>
  <c r="U315" i="28" s="1"/>
  <c r="AA315" i="28" s="1"/>
  <c r="AE315" i="28" s="1"/>
  <c r="AI315" i="28" s="1"/>
  <c r="I320" i="28"/>
  <c r="M320" i="28" s="1"/>
  <c r="Q320" i="28" s="1"/>
  <c r="U320" i="28" s="1"/>
  <c r="AA320" i="28" s="1"/>
  <c r="I324" i="28"/>
  <c r="M324" i="28" s="1"/>
  <c r="L2" i="27"/>
  <c r="P2" i="27" s="1"/>
  <c r="T2" i="27" s="1"/>
  <c r="Z2" i="27" s="1"/>
  <c r="AD2" i="27" s="1"/>
  <c r="AH2" i="27" s="1"/>
  <c r="I33" i="27"/>
  <c r="O10" i="26"/>
  <c r="Y6" i="26" s="1"/>
  <c r="O14" i="26"/>
  <c r="K13" i="26"/>
  <c r="G10" i="26"/>
  <c r="G14" i="26"/>
  <c r="K10" i="26"/>
  <c r="K14" i="26"/>
  <c r="G13" i="26"/>
  <c r="O13" i="26"/>
  <c r="E43" i="26"/>
  <c r="E39" i="26"/>
  <c r="G43" i="26"/>
  <c r="G39" i="26"/>
  <c r="K43" i="26"/>
  <c r="K39" i="26"/>
  <c r="O43" i="26"/>
  <c r="O39" i="26"/>
  <c r="Y36" i="26" s="1"/>
  <c r="P59" i="26"/>
  <c r="T59" i="26" s="1"/>
  <c r="I12" i="26"/>
  <c r="I16" i="26"/>
  <c r="G42" i="26"/>
  <c r="O42" i="26"/>
  <c r="F43" i="26"/>
  <c r="F39" i="26"/>
  <c r="J43" i="26"/>
  <c r="J39" i="26"/>
  <c r="N43" i="26"/>
  <c r="N39" i="26"/>
  <c r="M41" i="26"/>
  <c r="H16" i="26"/>
  <c r="K42" i="26"/>
  <c r="P69" i="26"/>
  <c r="T69" i="26" s="1"/>
  <c r="I37" i="26"/>
  <c r="E42" i="26"/>
  <c r="I45" i="26"/>
  <c r="H58" i="26"/>
  <c r="H60" i="26" s="1"/>
  <c r="F60" i="26"/>
  <c r="J60" i="26"/>
  <c r="N60" i="26"/>
  <c r="H63" i="26"/>
  <c r="H37" i="26"/>
  <c r="H45" i="26"/>
  <c r="I58" i="26"/>
  <c r="I57" i="26" s="1"/>
  <c r="I59" i="26"/>
  <c r="I69" i="26"/>
  <c r="H70" i="26"/>
  <c r="L70" i="26" s="1"/>
  <c r="P70" i="26" s="1"/>
  <c r="T70" i="26" s="1"/>
  <c r="N78" i="26"/>
  <c r="I8" i="11"/>
  <c r="M8" i="11" s="1"/>
  <c r="Q8" i="11" s="1"/>
  <c r="U8" i="11" s="1"/>
  <c r="AA8" i="11" s="1"/>
  <c r="H40" i="27" l="1"/>
  <c r="Z69" i="26"/>
  <c r="AD69" i="26" s="1"/>
  <c r="X69" i="26"/>
  <c r="Z52" i="26"/>
  <c r="AD52" i="26" s="1"/>
  <c r="AH52" i="26" s="1"/>
  <c r="X52" i="26"/>
  <c r="Z51" i="26"/>
  <c r="AD51" i="26" s="1"/>
  <c r="AH51" i="26" s="1"/>
  <c r="X51" i="26"/>
  <c r="Z27" i="26"/>
  <c r="AD27" i="26" s="1"/>
  <c r="AH27" i="26" s="1"/>
  <c r="X27" i="26"/>
  <c r="Z19" i="26"/>
  <c r="AD19" i="26" s="1"/>
  <c r="AH19" i="26" s="1"/>
  <c r="X19" i="26"/>
  <c r="Z25" i="26"/>
  <c r="AD25" i="26" s="1"/>
  <c r="AH25" i="26" s="1"/>
  <c r="X25" i="26"/>
  <c r="Z28" i="26"/>
  <c r="AD28" i="26" s="1"/>
  <c r="AH28" i="26" s="1"/>
  <c r="X28" i="26"/>
  <c r="Z50" i="26"/>
  <c r="AD50" i="26" s="1"/>
  <c r="AH50" i="26" s="1"/>
  <c r="X50" i="26"/>
  <c r="M18" i="27"/>
  <c r="I25" i="27"/>
  <c r="H25" i="27"/>
  <c r="AN2" i="27"/>
  <c r="BB24" i="27" s="1"/>
  <c r="Z72" i="26"/>
  <c r="AD72" i="26" s="1"/>
  <c r="AH72" i="26" s="1"/>
  <c r="X72" i="26"/>
  <c r="X64" i="26"/>
  <c r="Z64" i="26"/>
  <c r="AD64" i="26" s="1"/>
  <c r="AH64" i="26" s="1"/>
  <c r="Z33" i="26"/>
  <c r="AD33" i="26" s="1"/>
  <c r="AH33" i="26" s="1"/>
  <c r="X33" i="26"/>
  <c r="Z49" i="26"/>
  <c r="AD49" i="26" s="1"/>
  <c r="AH49" i="26" s="1"/>
  <c r="X49" i="26"/>
  <c r="Z30" i="26"/>
  <c r="AD30" i="26" s="1"/>
  <c r="AH30" i="26" s="1"/>
  <c r="X30" i="26"/>
  <c r="Z18" i="26"/>
  <c r="AD18" i="26" s="1"/>
  <c r="AH18" i="26" s="1"/>
  <c r="X18" i="26"/>
  <c r="Z54" i="26"/>
  <c r="AD54" i="26" s="1"/>
  <c r="X54" i="26"/>
  <c r="Z17" i="26"/>
  <c r="AD17" i="26" s="1"/>
  <c r="X17" i="26"/>
  <c r="Z53" i="26"/>
  <c r="AD53" i="26" s="1"/>
  <c r="AH53" i="26" s="1"/>
  <c r="X53" i="26"/>
  <c r="Z24" i="26"/>
  <c r="AD24" i="26" s="1"/>
  <c r="AH24" i="26" s="1"/>
  <c r="X24" i="26"/>
  <c r="Z48" i="26"/>
  <c r="AD48" i="26" s="1"/>
  <c r="AH48" i="26" s="1"/>
  <c r="X48" i="26"/>
  <c r="I34" i="27"/>
  <c r="AD2" i="26"/>
  <c r="Z10" i="26"/>
  <c r="X70" i="26"/>
  <c r="Z70" i="26"/>
  <c r="AD70" i="26" s="1"/>
  <c r="AH70" i="26" s="1"/>
  <c r="Z59" i="26"/>
  <c r="X59" i="26"/>
  <c r="Z77" i="26"/>
  <c r="AD77" i="26" s="1"/>
  <c r="AH77" i="26" s="1"/>
  <c r="X77" i="26"/>
  <c r="Z32" i="26"/>
  <c r="AD32" i="26" s="1"/>
  <c r="AH32" i="26" s="1"/>
  <c r="X32" i="26"/>
  <c r="Z31" i="26"/>
  <c r="AD31" i="26" s="1"/>
  <c r="AH31" i="26" s="1"/>
  <c r="X31" i="26"/>
  <c r="Z21" i="26"/>
  <c r="AD21" i="26" s="1"/>
  <c r="AH21" i="26" s="1"/>
  <c r="X21" i="26"/>
  <c r="Z29" i="26"/>
  <c r="AD29" i="26" s="1"/>
  <c r="AH29" i="26" s="1"/>
  <c r="X29" i="26"/>
  <c r="X11" i="26"/>
  <c r="X14" i="26" s="1"/>
  <c r="Z11" i="26"/>
  <c r="T14" i="26"/>
  <c r="Z47" i="26"/>
  <c r="AD47" i="26" s="1"/>
  <c r="AH47" i="26" s="1"/>
  <c r="X47" i="26"/>
  <c r="H34" i="27"/>
  <c r="AA9" i="26"/>
  <c r="AE7" i="26"/>
  <c r="Z76" i="26"/>
  <c r="AD76" i="26" s="1"/>
  <c r="AH76" i="26" s="1"/>
  <c r="X76" i="26"/>
  <c r="Z75" i="26"/>
  <c r="AD75" i="26" s="1"/>
  <c r="AH75" i="26" s="1"/>
  <c r="X75" i="26"/>
  <c r="Z26" i="26"/>
  <c r="AD26" i="26" s="1"/>
  <c r="AH26" i="26" s="1"/>
  <c r="X26" i="26"/>
  <c r="Z20" i="26"/>
  <c r="AD20" i="26" s="1"/>
  <c r="AH20" i="26" s="1"/>
  <c r="X20" i="26"/>
  <c r="Z74" i="26"/>
  <c r="AD74" i="26" s="1"/>
  <c r="AH74" i="26" s="1"/>
  <c r="X74" i="26"/>
  <c r="X40" i="26"/>
  <c r="Z40" i="26"/>
  <c r="AD40" i="26" s="1"/>
  <c r="AH40" i="26" s="1"/>
  <c r="Z73" i="26"/>
  <c r="AD73" i="26" s="1"/>
  <c r="AH73" i="26" s="1"/>
  <c r="X73" i="26"/>
  <c r="I40" i="27"/>
  <c r="AW2" i="27"/>
  <c r="U10" i="26"/>
  <c r="AO315" i="28"/>
  <c r="AS315" i="28" s="1"/>
  <c r="AW315" i="28" s="1"/>
  <c r="AD11" i="28"/>
  <c r="AD145" i="28" s="1"/>
  <c r="AH8" i="28"/>
  <c r="AN8" i="28" s="1"/>
  <c r="AR8" i="28" s="1"/>
  <c r="AV8" i="28" s="1"/>
  <c r="BD8" i="28" s="1"/>
  <c r="M7" i="28"/>
  <c r="I144" i="28"/>
  <c r="M19" i="28"/>
  <c r="I237" i="28"/>
  <c r="I238" i="28" s="1"/>
  <c r="AE320" i="28"/>
  <c r="AI320" i="28" s="1"/>
  <c r="M13" i="28"/>
  <c r="I194" i="28"/>
  <c r="I195" i="28" s="1"/>
  <c r="Z11" i="28"/>
  <c r="Z145" i="28" s="1"/>
  <c r="Z46" i="26"/>
  <c r="AD46" i="26" s="1"/>
  <c r="AH46" i="26" s="1"/>
  <c r="Z71" i="26"/>
  <c r="T78" i="26"/>
  <c r="AA29" i="26"/>
  <c r="AE29" i="26" s="1"/>
  <c r="AI29" i="26" s="1"/>
  <c r="AO29" i="26" s="1"/>
  <c r="AS29" i="26" s="1"/>
  <c r="AW29" i="26" s="1"/>
  <c r="BE29" i="26" s="1"/>
  <c r="T11" i="28"/>
  <c r="T145" i="28" s="1"/>
  <c r="M27" i="27"/>
  <c r="M19" i="27"/>
  <c r="Q19" i="27" s="1"/>
  <c r="U19" i="27" s="1"/>
  <c r="AA19" i="27" s="1"/>
  <c r="AE19" i="27" s="1"/>
  <c r="AI19" i="27" s="1"/>
  <c r="AO19" i="27" s="1"/>
  <c r="AS19" i="27" s="1"/>
  <c r="AW19" i="27" s="1"/>
  <c r="M38" i="27"/>
  <c r="Q38" i="27" s="1"/>
  <c r="U38" i="27" s="1"/>
  <c r="AA38" i="27" s="1"/>
  <c r="AE38" i="27" s="1"/>
  <c r="AI38" i="27" s="1"/>
  <c r="AO38" i="27" s="1"/>
  <c r="AS38" i="27" s="1"/>
  <c r="M31" i="27"/>
  <c r="Q28" i="27"/>
  <c r="U28" i="27" s="1"/>
  <c r="AA28" i="27" s="1"/>
  <c r="AE28" i="27" s="1"/>
  <c r="AI28" i="27" s="1"/>
  <c r="AO28" i="27" s="1"/>
  <c r="AS28" i="27" s="1"/>
  <c r="M20" i="27"/>
  <c r="Q20" i="27" s="1"/>
  <c r="U20" i="27" s="1"/>
  <c r="AA20" i="27" s="1"/>
  <c r="AE20" i="27" s="1"/>
  <c r="AI20" i="27" s="1"/>
  <c r="AO20" i="27" s="1"/>
  <c r="AS20" i="27" s="1"/>
  <c r="AW20" i="27" s="1"/>
  <c r="M22" i="27"/>
  <c r="Q22" i="27" s="1"/>
  <c r="U22" i="27" s="1"/>
  <c r="AA22" i="27" s="1"/>
  <c r="AE22" i="27" s="1"/>
  <c r="AI22" i="27" s="1"/>
  <c r="AO22" i="27" s="1"/>
  <c r="AS22" i="27" s="1"/>
  <c r="AW22" i="27" s="1"/>
  <c r="M32" i="27"/>
  <c r="Q32" i="27" s="1"/>
  <c r="U32" i="27" s="1"/>
  <c r="AA32" i="27" s="1"/>
  <c r="AE32" i="27" s="1"/>
  <c r="AI32" i="27" s="1"/>
  <c r="AO32" i="27" s="1"/>
  <c r="AS32" i="27" s="1"/>
  <c r="M23" i="27"/>
  <c r="Q23" i="27" s="1"/>
  <c r="U23" i="27" s="1"/>
  <c r="AA23" i="27" s="1"/>
  <c r="AE23" i="27" s="1"/>
  <c r="AI23" i="27" s="1"/>
  <c r="AO23" i="27" s="1"/>
  <c r="AS23" i="27" s="1"/>
  <c r="M36" i="27"/>
  <c r="L20" i="27"/>
  <c r="P20" i="27" s="1"/>
  <c r="T20" i="27" s="1"/>
  <c r="Z20" i="27" s="1"/>
  <c r="AD20" i="27" s="1"/>
  <c r="AH20" i="27" s="1"/>
  <c r="AN20" i="27" s="1"/>
  <c r="L31" i="27"/>
  <c r="L32" i="27"/>
  <c r="P32" i="27" s="1"/>
  <c r="T32" i="27" s="1"/>
  <c r="Z32" i="27" s="1"/>
  <c r="AD32" i="27" s="1"/>
  <c r="AH32" i="27" s="1"/>
  <c r="AN32" i="27" s="1"/>
  <c r="L18" i="27"/>
  <c r="L37" i="27"/>
  <c r="P37" i="27" s="1"/>
  <c r="T37" i="27" s="1"/>
  <c r="Z37" i="27" s="1"/>
  <c r="AD37" i="27" s="1"/>
  <c r="AH37" i="27" s="1"/>
  <c r="L38" i="27"/>
  <c r="P38" i="27" s="1"/>
  <c r="T38" i="27" s="1"/>
  <c r="Z38" i="27" s="1"/>
  <c r="AD38" i="27" s="1"/>
  <c r="AH38" i="27" s="1"/>
  <c r="AN38" i="27" s="1"/>
  <c r="L19" i="27"/>
  <c r="P19" i="27" s="1"/>
  <c r="T19" i="27" s="1"/>
  <c r="Z19" i="27" s="1"/>
  <c r="AD19" i="27" s="1"/>
  <c r="AH19" i="27" s="1"/>
  <c r="AN19" i="27" s="1"/>
  <c r="L29" i="27"/>
  <c r="P29" i="27" s="1"/>
  <c r="T29" i="27" s="1"/>
  <c r="Z29" i="27" s="1"/>
  <c r="AD29" i="27" s="1"/>
  <c r="AH29" i="27" s="1"/>
  <c r="AN29" i="27" s="1"/>
  <c r="L22" i="27"/>
  <c r="P22" i="27" s="1"/>
  <c r="T22" i="27" s="1"/>
  <c r="Z22" i="27" s="1"/>
  <c r="AD22" i="27" s="1"/>
  <c r="AH22" i="27" s="1"/>
  <c r="AN22" i="27" s="1"/>
  <c r="L21" i="27"/>
  <c r="P21" i="27" s="1"/>
  <c r="T21" i="27" s="1"/>
  <c r="Z21" i="27" s="1"/>
  <c r="AD21" i="27" s="1"/>
  <c r="AH21" i="27" s="1"/>
  <c r="AN21" i="27" s="1"/>
  <c r="L36" i="27"/>
  <c r="L23" i="27"/>
  <c r="P23" i="27" s="1"/>
  <c r="T23" i="27" s="1"/>
  <c r="Z23" i="27" s="1"/>
  <c r="AD23" i="27" s="1"/>
  <c r="AH23" i="27" s="1"/>
  <c r="AN23" i="27" s="1"/>
  <c r="L27" i="27"/>
  <c r="L28" i="27"/>
  <c r="P28" i="27" s="1"/>
  <c r="T28" i="27" s="1"/>
  <c r="Z28" i="27" s="1"/>
  <c r="AD28" i="27" s="1"/>
  <c r="AH28" i="27" s="1"/>
  <c r="AN28" i="27" s="1"/>
  <c r="L30" i="27"/>
  <c r="P30" i="27" s="1"/>
  <c r="T30" i="27" s="1"/>
  <c r="Z30" i="27" s="1"/>
  <c r="AD30" i="27" s="1"/>
  <c r="AH30" i="27" s="1"/>
  <c r="AN30" i="27" s="1"/>
  <c r="Q317" i="28"/>
  <c r="U317" i="28" s="1"/>
  <c r="AA317" i="28" s="1"/>
  <c r="AE317" i="28" s="1"/>
  <c r="AI317" i="28" s="1"/>
  <c r="AO317" i="28" s="1"/>
  <c r="AS317" i="28" s="1"/>
  <c r="AW317" i="28" s="1"/>
  <c r="BE317" i="28" s="1"/>
  <c r="Q326" i="28"/>
  <c r="U326" i="28" s="1"/>
  <c r="AA326" i="28" s="1"/>
  <c r="AE326" i="28" s="1"/>
  <c r="AI326" i="28" s="1"/>
  <c r="AO326" i="28" s="1"/>
  <c r="AS326" i="28" s="1"/>
  <c r="AW326" i="28" s="1"/>
  <c r="BE326" i="28" s="1"/>
  <c r="P11" i="28"/>
  <c r="P145" i="28" s="1"/>
  <c r="Q202" i="28"/>
  <c r="Q68" i="28"/>
  <c r="Q14" i="28"/>
  <c r="U14" i="28" s="1"/>
  <c r="AA14" i="28" s="1"/>
  <c r="AE14" i="28" s="1"/>
  <c r="AI14" i="28" s="1"/>
  <c r="AO14" i="28" s="1"/>
  <c r="AS14" i="28" s="1"/>
  <c r="AW14" i="28" s="1"/>
  <c r="BE14" i="28" s="1"/>
  <c r="P316" i="28"/>
  <c r="T316" i="28" s="1"/>
  <c r="Z316" i="28" s="1"/>
  <c r="AD316" i="28" s="1"/>
  <c r="AH316" i="28" s="1"/>
  <c r="AN316" i="28" s="1"/>
  <c r="AR316" i="28" s="1"/>
  <c r="AV316" i="28" s="1"/>
  <c r="BD316" i="28" s="1"/>
  <c r="P317" i="28"/>
  <c r="T317" i="28" s="1"/>
  <c r="Z317" i="28" s="1"/>
  <c r="AD317" i="28" s="1"/>
  <c r="AH317" i="28" s="1"/>
  <c r="AN317" i="28" s="1"/>
  <c r="AR317" i="28" s="1"/>
  <c r="AV317" i="28" s="1"/>
  <c r="BD317" i="28" s="1"/>
  <c r="Q321" i="28"/>
  <c r="M325" i="28"/>
  <c r="Q324" i="28"/>
  <c r="Q316" i="28"/>
  <c r="U316" i="28" s="1"/>
  <c r="AA316" i="28" s="1"/>
  <c r="L318" i="28"/>
  <c r="P315" i="28"/>
  <c r="T315" i="28" s="1"/>
  <c r="P328" i="28"/>
  <c r="T328" i="28" s="1"/>
  <c r="Z328" i="28" s="1"/>
  <c r="AD328" i="28" s="1"/>
  <c r="AH328" i="28" s="1"/>
  <c r="AN328" i="28" s="1"/>
  <c r="AR328" i="28" s="1"/>
  <c r="AV328" i="28" s="1"/>
  <c r="BD328" i="28" s="1"/>
  <c r="M301" i="28"/>
  <c r="Q301" i="28" s="1"/>
  <c r="I310" i="28"/>
  <c r="M322" i="28"/>
  <c r="M318" i="28"/>
  <c r="M307" i="28"/>
  <c r="M10" i="28"/>
  <c r="M305" i="28"/>
  <c r="I284" i="28"/>
  <c r="M250" i="28"/>
  <c r="M9" i="28"/>
  <c r="M304" i="28"/>
  <c r="M8" i="28"/>
  <c r="M309" i="28"/>
  <c r="M302" i="28"/>
  <c r="M28" i="28"/>
  <c r="M26" i="28"/>
  <c r="L14" i="28"/>
  <c r="L11" i="28"/>
  <c r="L145" i="28" s="1"/>
  <c r="M15" i="28"/>
  <c r="M29" i="28"/>
  <c r="L26" i="28"/>
  <c r="L20" i="28"/>
  <c r="M41" i="28"/>
  <c r="M20" i="28"/>
  <c r="M56" i="28"/>
  <c r="M16" i="28"/>
  <c r="M22" i="28"/>
  <c r="M27" i="28"/>
  <c r="H55" i="28"/>
  <c r="H51" i="28"/>
  <c r="L51" i="28" s="1"/>
  <c r="P51" i="28" s="1"/>
  <c r="T51" i="28" s="1"/>
  <c r="Z51" i="28" s="1"/>
  <c r="AD51" i="28" s="1"/>
  <c r="AH51" i="28" s="1"/>
  <c r="AN51" i="28" s="1"/>
  <c r="AR51" i="28" s="1"/>
  <c r="AV51" i="28" s="1"/>
  <c r="BD51" i="28" s="1"/>
  <c r="H30" i="28"/>
  <c r="J42" i="28"/>
  <c r="J55" i="28" s="1"/>
  <c r="J238" i="28"/>
  <c r="H59" i="28"/>
  <c r="H43" i="28"/>
  <c r="D40" i="28"/>
  <c r="H40" i="28" s="1"/>
  <c r="L40" i="28" s="1"/>
  <c r="P40" i="28" s="1"/>
  <c r="T40" i="28" s="1"/>
  <c r="Z40" i="28" s="1"/>
  <c r="AD40" i="28" s="1"/>
  <c r="AH40" i="28" s="1"/>
  <c r="AN40" i="28" s="1"/>
  <c r="AR40" i="28" s="1"/>
  <c r="AV40" i="28" s="1"/>
  <c r="BD40" i="28" s="1"/>
  <c r="D145" i="28"/>
  <c r="H42" i="28"/>
  <c r="H41" i="28"/>
  <c r="E40" i="28"/>
  <c r="E44" i="28" s="1"/>
  <c r="F10" i="26"/>
  <c r="J10" i="26"/>
  <c r="E13" i="26"/>
  <c r="E14" i="26"/>
  <c r="H78" i="26"/>
  <c r="I33" i="28"/>
  <c r="H23" i="28"/>
  <c r="H238" i="28" s="1"/>
  <c r="I325" i="28"/>
  <c r="I322" i="28"/>
  <c r="I318" i="28"/>
  <c r="H318" i="28"/>
  <c r="I11" i="28"/>
  <c r="I23" i="28"/>
  <c r="H320" i="28"/>
  <c r="H11" i="28"/>
  <c r="H145" i="28" s="1"/>
  <c r="I63" i="28"/>
  <c r="M63" i="28" s="1"/>
  <c r="Q63" i="28" s="1"/>
  <c r="U63" i="28" s="1"/>
  <c r="AA63" i="28" s="1"/>
  <c r="AE63" i="28" s="1"/>
  <c r="AI63" i="28" s="1"/>
  <c r="AO63" i="28" s="1"/>
  <c r="AS63" i="28" s="1"/>
  <c r="AW63" i="28" s="1"/>
  <c r="BE63" i="28" s="1"/>
  <c r="I30" i="28"/>
  <c r="I57" i="28"/>
  <c r="H324" i="28"/>
  <c r="I17" i="28"/>
  <c r="D37" i="28"/>
  <c r="E37" i="28"/>
  <c r="E38" i="28" s="1"/>
  <c r="I32" i="28"/>
  <c r="M32" i="28" s="1"/>
  <c r="Q32" i="28" s="1"/>
  <c r="U32" i="28" s="1"/>
  <c r="AA32" i="28" s="1"/>
  <c r="AE32" i="28" s="1"/>
  <c r="AI32" i="28" s="1"/>
  <c r="AO32" i="28" s="1"/>
  <c r="AS32" i="28" s="1"/>
  <c r="AW32" i="28" s="1"/>
  <c r="BE32" i="28" s="1"/>
  <c r="H17" i="28"/>
  <c r="H195" i="28" s="1"/>
  <c r="I78" i="26"/>
  <c r="I67" i="26" s="1"/>
  <c r="I60" i="26"/>
  <c r="M59" i="26"/>
  <c r="I61" i="26"/>
  <c r="M58" i="26"/>
  <c r="M57" i="26" s="1"/>
  <c r="H55" i="26"/>
  <c r="L45" i="26"/>
  <c r="H38" i="26"/>
  <c r="H39" i="26" s="1"/>
  <c r="L37" i="26"/>
  <c r="H65" i="26"/>
  <c r="L63" i="26"/>
  <c r="I38" i="26"/>
  <c r="M37" i="26"/>
  <c r="P78" i="26"/>
  <c r="H34" i="26"/>
  <c r="L16" i="26"/>
  <c r="Q41" i="26"/>
  <c r="U41" i="26" s="1"/>
  <c r="I34" i="26"/>
  <c r="M16" i="26"/>
  <c r="M12" i="26"/>
  <c r="L9" i="26"/>
  <c r="H43" i="26"/>
  <c r="L43" i="26" s="1"/>
  <c r="P43" i="26" s="1"/>
  <c r="T43" i="26" s="1"/>
  <c r="H9" i="26"/>
  <c r="H61" i="26"/>
  <c r="L58" i="26"/>
  <c r="I55" i="26"/>
  <c r="M45" i="26"/>
  <c r="I9" i="26"/>
  <c r="L78" i="26"/>
  <c r="AW32" i="27" l="1"/>
  <c r="BC32" i="27"/>
  <c r="AW38" i="27"/>
  <c r="AW37" i="27"/>
  <c r="BE2" i="27"/>
  <c r="BE20" i="27" s="1"/>
  <c r="BE19" i="27"/>
  <c r="L40" i="27"/>
  <c r="M40" i="27"/>
  <c r="BD11" i="28"/>
  <c r="BD145" i="28" s="1"/>
  <c r="BE315" i="28"/>
  <c r="AV11" i="28"/>
  <c r="AV145" i="28" s="1"/>
  <c r="P27" i="27"/>
  <c r="L34" i="27"/>
  <c r="AN20" i="26"/>
  <c r="AR20" i="26" s="1"/>
  <c r="AV20" i="26" s="1"/>
  <c r="AL20" i="26"/>
  <c r="AI7" i="26"/>
  <c r="AE9" i="26"/>
  <c r="AL47" i="26"/>
  <c r="AN47" i="26"/>
  <c r="AR47" i="26" s="1"/>
  <c r="AV47" i="26" s="1"/>
  <c r="AH2" i="26"/>
  <c r="AD10" i="26"/>
  <c r="AL48" i="26"/>
  <c r="AN48" i="26"/>
  <c r="AR48" i="26" s="1"/>
  <c r="AV48" i="26" s="1"/>
  <c r="AL53" i="26"/>
  <c r="AN53" i="26"/>
  <c r="AR53" i="26" s="1"/>
  <c r="AV53" i="26" s="1"/>
  <c r="AH54" i="26"/>
  <c r="AN30" i="26"/>
  <c r="AR30" i="26" s="1"/>
  <c r="AV30" i="26" s="1"/>
  <c r="AL30" i="26"/>
  <c r="AN33" i="26"/>
  <c r="AR33" i="26" s="1"/>
  <c r="AV33" i="26" s="1"/>
  <c r="AL33" i="26"/>
  <c r="AN72" i="26"/>
  <c r="AR72" i="26" s="1"/>
  <c r="AV72" i="26" s="1"/>
  <c r="AL72" i="26"/>
  <c r="L25" i="27"/>
  <c r="AN75" i="26"/>
  <c r="AR75" i="26" s="1"/>
  <c r="AV75" i="26" s="1"/>
  <c r="AL75" i="26"/>
  <c r="AA10" i="26"/>
  <c r="AN29" i="26"/>
  <c r="AR29" i="26" s="1"/>
  <c r="AV29" i="26" s="1"/>
  <c r="AL29" i="26"/>
  <c r="AN31" i="26"/>
  <c r="AR31" i="26" s="1"/>
  <c r="AV31" i="26" s="1"/>
  <c r="AL31" i="26"/>
  <c r="AN77" i="26"/>
  <c r="AR77" i="26" s="1"/>
  <c r="AV77" i="26" s="1"/>
  <c r="AL77" i="26"/>
  <c r="AN70" i="26"/>
  <c r="AR70" i="26" s="1"/>
  <c r="AV70" i="26" s="1"/>
  <c r="AL70" i="26"/>
  <c r="AL64" i="26"/>
  <c r="AN64" i="26"/>
  <c r="AR64" i="26" s="1"/>
  <c r="AV64" i="26" s="1"/>
  <c r="AN37" i="27"/>
  <c r="AR2" i="27"/>
  <c r="AR32" i="27" s="1"/>
  <c r="Q18" i="27"/>
  <c r="M25" i="27"/>
  <c r="AL50" i="26"/>
  <c r="AN50" i="26"/>
  <c r="AR50" i="26" s="1"/>
  <c r="AV50" i="26" s="1"/>
  <c r="AN25" i="26"/>
  <c r="AR25" i="26" s="1"/>
  <c r="AV25" i="26" s="1"/>
  <c r="AL25" i="26"/>
  <c r="AN27" i="26"/>
  <c r="AR27" i="26" s="1"/>
  <c r="AV27" i="26" s="1"/>
  <c r="AL27" i="26"/>
  <c r="AL52" i="26"/>
  <c r="AN52" i="26"/>
  <c r="AR52" i="26" s="1"/>
  <c r="AV52" i="26" s="1"/>
  <c r="Z43" i="26"/>
  <c r="AD43" i="26" s="1"/>
  <c r="AH43" i="26" s="1"/>
  <c r="X43" i="26"/>
  <c r="AR19" i="27"/>
  <c r="AW23" i="27"/>
  <c r="BE23" i="27" s="1"/>
  <c r="AW28" i="27"/>
  <c r="BE28" i="27" s="1"/>
  <c r="Q27" i="27"/>
  <c r="M34" i="27"/>
  <c r="AN73" i="26"/>
  <c r="AR73" i="26" s="1"/>
  <c r="AV73" i="26" s="1"/>
  <c r="AL73" i="26"/>
  <c r="AN74" i="26"/>
  <c r="AR74" i="26" s="1"/>
  <c r="AV74" i="26" s="1"/>
  <c r="AL74" i="26"/>
  <c r="AN26" i="26"/>
  <c r="AR26" i="26" s="1"/>
  <c r="AV26" i="26" s="1"/>
  <c r="AL26" i="26"/>
  <c r="AD11" i="26"/>
  <c r="Z14" i="26"/>
  <c r="AW29" i="27"/>
  <c r="AN24" i="26"/>
  <c r="AR24" i="26" s="1"/>
  <c r="AV24" i="26" s="1"/>
  <c r="AL24" i="26"/>
  <c r="AH17" i="26"/>
  <c r="AN18" i="26"/>
  <c r="AR18" i="26" s="1"/>
  <c r="AV18" i="26" s="1"/>
  <c r="AL18" i="26"/>
  <c r="AL49" i="26"/>
  <c r="AN49" i="26"/>
  <c r="AR49" i="26" s="1"/>
  <c r="AV49" i="26" s="1"/>
  <c r="AW21" i="27"/>
  <c r="BE21" i="27" s="1"/>
  <c r="X78" i="26"/>
  <c r="AA41" i="26"/>
  <c r="AR21" i="27"/>
  <c r="AR38" i="27"/>
  <c r="Z78" i="26"/>
  <c r="AD71" i="26"/>
  <c r="AH71" i="26" s="1"/>
  <c r="AL46" i="26"/>
  <c r="AN46" i="26"/>
  <c r="AR46" i="26" s="1"/>
  <c r="AV46" i="26" s="1"/>
  <c r="AN40" i="26"/>
  <c r="AR40" i="26" s="1"/>
  <c r="AV40" i="26" s="1"/>
  <c r="AL40" i="26"/>
  <c r="AN76" i="26"/>
  <c r="AR76" i="26" s="1"/>
  <c r="AV76" i="26" s="1"/>
  <c r="AL76" i="26"/>
  <c r="AN21" i="26"/>
  <c r="AR21" i="26" s="1"/>
  <c r="AV21" i="26" s="1"/>
  <c r="AL21" i="26"/>
  <c r="AN32" i="26"/>
  <c r="AR32" i="26" s="1"/>
  <c r="AV32" i="26" s="1"/>
  <c r="AL32" i="26"/>
  <c r="AD59" i="26"/>
  <c r="AN28" i="26"/>
  <c r="AR28" i="26" s="1"/>
  <c r="AV28" i="26" s="1"/>
  <c r="AL28" i="26"/>
  <c r="AN19" i="26"/>
  <c r="AR19" i="26" s="1"/>
  <c r="AV19" i="26" s="1"/>
  <c r="AL19" i="26"/>
  <c r="AL51" i="26"/>
  <c r="AN51" i="26"/>
  <c r="AR51" i="26" s="1"/>
  <c r="AV51" i="26" s="1"/>
  <c r="AD78" i="26"/>
  <c r="AH69" i="26"/>
  <c r="AR11" i="28"/>
  <c r="AR145" i="28" s="1"/>
  <c r="AO320" i="28"/>
  <c r="AS320" i="28" s="1"/>
  <c r="AW320" i="28" s="1"/>
  <c r="BE320" i="28" s="1"/>
  <c r="AN11" i="28"/>
  <c r="AN145" i="28" s="1"/>
  <c r="AH11" i="28"/>
  <c r="AH145" i="28" s="1"/>
  <c r="Q13" i="28"/>
  <c r="M194" i="28"/>
  <c r="M195" i="28" s="1"/>
  <c r="Q7" i="28"/>
  <c r="M144" i="28"/>
  <c r="M145" i="28" s="1"/>
  <c r="AA318" i="28"/>
  <c r="AE316" i="28"/>
  <c r="Q19" i="28"/>
  <c r="M237" i="28"/>
  <c r="M238" i="28" s="1"/>
  <c r="T318" i="28"/>
  <c r="Z315" i="28"/>
  <c r="Q31" i="27"/>
  <c r="P31" i="27"/>
  <c r="T31" i="27" s="1"/>
  <c r="P18" i="27"/>
  <c r="P25" i="27" s="1"/>
  <c r="Q36" i="27"/>
  <c r="Q40" i="27" s="1"/>
  <c r="P36" i="27"/>
  <c r="U318" i="28"/>
  <c r="U301" i="28"/>
  <c r="AA301" i="28" s="1"/>
  <c r="AE301" i="28" s="1"/>
  <c r="AI301" i="28" s="1"/>
  <c r="Q325" i="28"/>
  <c r="U324" i="28"/>
  <c r="U202" i="28"/>
  <c r="Q322" i="28"/>
  <c r="U321" i="28"/>
  <c r="U68" i="28"/>
  <c r="Q318" i="28"/>
  <c r="Q16" i="28"/>
  <c r="U16" i="28" s="1"/>
  <c r="AA16" i="28" s="1"/>
  <c r="AE16" i="28" s="1"/>
  <c r="AI16" i="28" s="1"/>
  <c r="AO16" i="28" s="1"/>
  <c r="AS16" i="28" s="1"/>
  <c r="AW16" i="28" s="1"/>
  <c r="BE16" i="28" s="1"/>
  <c r="Q41" i="28"/>
  <c r="U41" i="28" s="1"/>
  <c r="AA41" i="28" s="1"/>
  <c r="AE41" i="28" s="1"/>
  <c r="AI41" i="28" s="1"/>
  <c r="AO41" i="28" s="1"/>
  <c r="AS41" i="28" s="1"/>
  <c r="AW41" i="28" s="1"/>
  <c r="BE41" i="28" s="1"/>
  <c r="Q15" i="28"/>
  <c r="U15" i="28" s="1"/>
  <c r="AA15" i="28" s="1"/>
  <c r="Q28" i="28"/>
  <c r="U28" i="28" s="1"/>
  <c r="AA28" i="28" s="1"/>
  <c r="AE28" i="28" s="1"/>
  <c r="AI28" i="28" s="1"/>
  <c r="AO28" i="28" s="1"/>
  <c r="AS28" i="28" s="1"/>
  <c r="AW28" i="28" s="1"/>
  <c r="BE28" i="28" s="1"/>
  <c r="Q304" i="28"/>
  <c r="U304" i="28" s="1"/>
  <c r="AA304" i="28" s="1"/>
  <c r="AE304" i="28" s="1"/>
  <c r="AI304" i="28" s="1"/>
  <c r="AO304" i="28" s="1"/>
  <c r="AS304" i="28" s="1"/>
  <c r="AW304" i="28" s="1"/>
  <c r="BE304" i="28" s="1"/>
  <c r="Q305" i="28"/>
  <c r="U305" i="28" s="1"/>
  <c r="AA305" i="28" s="1"/>
  <c r="AE305" i="28" s="1"/>
  <c r="AI305" i="28" s="1"/>
  <c r="AO305" i="28" s="1"/>
  <c r="AS305" i="28" s="1"/>
  <c r="AW305" i="28" s="1"/>
  <c r="BE305" i="28" s="1"/>
  <c r="M57" i="28"/>
  <c r="Q56" i="28"/>
  <c r="L23" i="28"/>
  <c r="L238" i="28" s="1"/>
  <c r="P20" i="28"/>
  <c r="Q302" i="28"/>
  <c r="U302" i="28" s="1"/>
  <c r="AA302" i="28" s="1"/>
  <c r="AE302" i="28" s="1"/>
  <c r="AI302" i="28" s="1"/>
  <c r="AO302" i="28" s="1"/>
  <c r="AS302" i="28" s="1"/>
  <c r="AW302" i="28" s="1"/>
  <c r="BE302" i="28" s="1"/>
  <c r="Q9" i="28"/>
  <c r="U9" i="28" s="1"/>
  <c r="AA9" i="28" s="1"/>
  <c r="AE9" i="28" s="1"/>
  <c r="AI9" i="28" s="1"/>
  <c r="AO9" i="28" s="1"/>
  <c r="AS9" i="28" s="1"/>
  <c r="AW9" i="28" s="1"/>
  <c r="BE9" i="28" s="1"/>
  <c r="Q10" i="28"/>
  <c r="U10" i="28" s="1"/>
  <c r="AA10" i="28" s="1"/>
  <c r="AE10" i="28" s="1"/>
  <c r="AI10" i="28" s="1"/>
  <c r="AO10" i="28" s="1"/>
  <c r="AS10" i="28" s="1"/>
  <c r="AW10" i="28" s="1"/>
  <c r="BE10" i="28" s="1"/>
  <c r="P318" i="28"/>
  <c r="Q27" i="28"/>
  <c r="U27" i="28" s="1"/>
  <c r="AA27" i="28" s="1"/>
  <c r="AE27" i="28" s="1"/>
  <c r="AI27" i="28" s="1"/>
  <c r="AO27" i="28" s="1"/>
  <c r="AS27" i="28" s="1"/>
  <c r="AW27" i="28" s="1"/>
  <c r="BE27" i="28" s="1"/>
  <c r="Q20" i="28"/>
  <c r="U20" i="28" s="1"/>
  <c r="AA20" i="28" s="1"/>
  <c r="AE20" i="28" s="1"/>
  <c r="AI20" i="28" s="1"/>
  <c r="AO20" i="28" s="1"/>
  <c r="AS20" i="28" s="1"/>
  <c r="AW20" i="28" s="1"/>
  <c r="BE20" i="28" s="1"/>
  <c r="L30" i="28"/>
  <c r="L312" i="28" s="1"/>
  <c r="P26" i="28"/>
  <c r="L17" i="28"/>
  <c r="L195" i="28" s="1"/>
  <c r="P14" i="28"/>
  <c r="T14" i="28" s="1"/>
  <c r="Z14" i="28" s="1"/>
  <c r="AD14" i="28" s="1"/>
  <c r="AH14" i="28" s="1"/>
  <c r="Q309" i="28"/>
  <c r="U309" i="28" s="1"/>
  <c r="AA309" i="28" s="1"/>
  <c r="AE309" i="28" s="1"/>
  <c r="AI309" i="28" s="1"/>
  <c r="AO309" i="28" s="1"/>
  <c r="AS309" i="28" s="1"/>
  <c r="AW309" i="28" s="1"/>
  <c r="BE309" i="28" s="1"/>
  <c r="M284" i="28"/>
  <c r="Q250" i="28"/>
  <c r="Q307" i="28"/>
  <c r="U307" i="28" s="1"/>
  <c r="AA307" i="28" s="1"/>
  <c r="AE307" i="28" s="1"/>
  <c r="AI307" i="28" s="1"/>
  <c r="AO307" i="28" s="1"/>
  <c r="AS307" i="28" s="1"/>
  <c r="AW307" i="28" s="1"/>
  <c r="BE307" i="28" s="1"/>
  <c r="Q22" i="28"/>
  <c r="U22" i="28" s="1"/>
  <c r="AA22" i="28" s="1"/>
  <c r="AE22" i="28" s="1"/>
  <c r="AI22" i="28" s="1"/>
  <c r="AO22" i="28" s="1"/>
  <c r="AS22" i="28" s="1"/>
  <c r="AW22" i="28" s="1"/>
  <c r="BE22" i="28" s="1"/>
  <c r="Q29" i="28"/>
  <c r="U29" i="28" s="1"/>
  <c r="AA29" i="28" s="1"/>
  <c r="AE29" i="28" s="1"/>
  <c r="AI29" i="28" s="1"/>
  <c r="AO29" i="28" s="1"/>
  <c r="AS29" i="28" s="1"/>
  <c r="AW29" i="28" s="1"/>
  <c r="BE29" i="28" s="1"/>
  <c r="Q26" i="28"/>
  <c r="U26" i="28" s="1"/>
  <c r="AA26" i="28" s="1"/>
  <c r="M11" i="28"/>
  <c r="Q8" i="28"/>
  <c r="U8" i="28" s="1"/>
  <c r="I312" i="28"/>
  <c r="M310" i="28"/>
  <c r="M17" i="28"/>
  <c r="M23" i="28"/>
  <c r="L55" i="28"/>
  <c r="H329" i="28"/>
  <c r="L324" i="28"/>
  <c r="L43" i="28"/>
  <c r="L42" i="28"/>
  <c r="L59" i="28"/>
  <c r="M30" i="28"/>
  <c r="M33" i="28"/>
  <c r="L41" i="28"/>
  <c r="L320" i="28"/>
  <c r="H33" i="28"/>
  <c r="H37" i="28" s="1"/>
  <c r="H312" i="28"/>
  <c r="J44" i="28"/>
  <c r="J63" i="28"/>
  <c r="D44" i="28"/>
  <c r="D47" i="28"/>
  <c r="H47" i="28" s="1"/>
  <c r="I40" i="28"/>
  <c r="M40" i="28" s="1"/>
  <c r="I37" i="28"/>
  <c r="I38" i="28" s="1"/>
  <c r="H44" i="28"/>
  <c r="I10" i="26"/>
  <c r="I6" i="26" s="1"/>
  <c r="I14" i="26"/>
  <c r="M55" i="26"/>
  <c r="Q45" i="26"/>
  <c r="U45" i="26" s="1"/>
  <c r="AA45" i="26" s="1"/>
  <c r="AE45" i="26" s="1"/>
  <c r="AI45" i="26" s="1"/>
  <c r="L61" i="26"/>
  <c r="P58" i="26"/>
  <c r="T58" i="26" s="1"/>
  <c r="L60" i="26"/>
  <c r="H14" i="26"/>
  <c r="H10" i="26"/>
  <c r="L14" i="26"/>
  <c r="L10" i="26"/>
  <c r="Q12" i="26"/>
  <c r="U12" i="26" s="1"/>
  <c r="M34" i="26"/>
  <c r="Q16" i="26"/>
  <c r="U16" i="26" s="1"/>
  <c r="L34" i="26"/>
  <c r="P16" i="26"/>
  <c r="T16" i="26" s="1"/>
  <c r="M38" i="26"/>
  <c r="Q37" i="26"/>
  <c r="U37" i="26" s="1"/>
  <c r="L65" i="26"/>
  <c r="P63" i="26"/>
  <c r="T63" i="26" s="1"/>
  <c r="L38" i="26"/>
  <c r="L39" i="26" s="1"/>
  <c r="P37" i="26"/>
  <c r="T37" i="26" s="1"/>
  <c r="L55" i="26"/>
  <c r="P45" i="26"/>
  <c r="T45" i="26" s="1"/>
  <c r="M61" i="26"/>
  <c r="Q58" i="26"/>
  <c r="M9" i="26"/>
  <c r="P9" i="26"/>
  <c r="I43" i="26"/>
  <c r="I39" i="26"/>
  <c r="I36" i="26" s="1"/>
  <c r="I42" i="26"/>
  <c r="M60" i="26"/>
  <c r="Q59" i="26"/>
  <c r="U59" i="26" s="1"/>
  <c r="I13" i="26"/>
  <c r="AZ40" i="26" l="1"/>
  <c r="BB40" i="26" s="1"/>
  <c r="BD40" i="26"/>
  <c r="BD64" i="26"/>
  <c r="AZ64" i="26"/>
  <c r="BB64" i="26" s="1"/>
  <c r="BC28" i="27"/>
  <c r="BE38" i="27"/>
  <c r="AR30" i="27"/>
  <c r="BE37" i="27"/>
  <c r="BC37" i="27"/>
  <c r="BE22" i="27"/>
  <c r="BE29" i="27"/>
  <c r="BC29" i="27"/>
  <c r="AR29" i="27"/>
  <c r="AR28" i="27"/>
  <c r="AR37" i="27"/>
  <c r="BD70" i="26"/>
  <c r="AZ70" i="26"/>
  <c r="BB70" i="26" s="1"/>
  <c r="BC38" i="27"/>
  <c r="BE32" i="27"/>
  <c r="AZ52" i="26"/>
  <c r="BB52" i="26" s="1"/>
  <c r="BD52" i="26"/>
  <c r="AZ47" i="26"/>
  <c r="BB47" i="26" s="1"/>
  <c r="BD47" i="26"/>
  <c r="AZ28" i="26"/>
  <c r="BB28" i="26" s="1"/>
  <c r="BD28" i="26"/>
  <c r="BD49" i="26"/>
  <c r="AZ49" i="26"/>
  <c r="BB49" i="26" s="1"/>
  <c r="AZ27" i="26"/>
  <c r="BB27" i="26" s="1"/>
  <c r="BD27" i="26"/>
  <c r="AZ31" i="26"/>
  <c r="BB31" i="26" s="1"/>
  <c r="BD31" i="26"/>
  <c r="BD72" i="26"/>
  <c r="AZ72" i="26"/>
  <c r="BB72" i="26" s="1"/>
  <c r="AZ21" i="26"/>
  <c r="BB21" i="26" s="1"/>
  <c r="BD21" i="26"/>
  <c r="AZ30" i="26"/>
  <c r="BB30" i="26" s="1"/>
  <c r="BD30" i="26"/>
  <c r="AZ24" i="26"/>
  <c r="BB24" i="26" s="1"/>
  <c r="BD24" i="26"/>
  <c r="BD77" i="26"/>
  <c r="AZ77" i="26"/>
  <c r="BB77" i="26" s="1"/>
  <c r="AZ29" i="26"/>
  <c r="BB29" i="26" s="1"/>
  <c r="BD29" i="26"/>
  <c r="BD20" i="26"/>
  <c r="AZ20" i="26"/>
  <c r="BB20" i="26" s="1"/>
  <c r="BD74" i="26"/>
  <c r="AZ74" i="26"/>
  <c r="BB74" i="26" s="1"/>
  <c r="BD75" i="26"/>
  <c r="AZ75" i="26"/>
  <c r="BB75" i="26" s="1"/>
  <c r="AZ48" i="26"/>
  <c r="BB48" i="26" s="1"/>
  <c r="BD48" i="26"/>
  <c r="AZ19" i="26"/>
  <c r="BB19" i="26" s="1"/>
  <c r="BD19" i="26"/>
  <c r="AZ46" i="26"/>
  <c r="BB46" i="26" s="1"/>
  <c r="BD46" i="26"/>
  <c r="AZ25" i="26"/>
  <c r="BB25" i="26" s="1"/>
  <c r="BD25" i="26"/>
  <c r="AZ51" i="26"/>
  <c r="BB51" i="26" s="1"/>
  <c r="BD51" i="26"/>
  <c r="AZ32" i="26"/>
  <c r="BB32" i="26" s="1"/>
  <c r="BD32" i="26"/>
  <c r="BD76" i="26"/>
  <c r="AZ76" i="26"/>
  <c r="BB76" i="26" s="1"/>
  <c r="BD18" i="26"/>
  <c r="AZ18" i="26"/>
  <c r="BB18" i="26" s="1"/>
  <c r="BD26" i="26"/>
  <c r="AZ26" i="26"/>
  <c r="BB26" i="26" s="1"/>
  <c r="BD73" i="26"/>
  <c r="AZ73" i="26"/>
  <c r="BB73" i="26" s="1"/>
  <c r="AZ50" i="26"/>
  <c r="BB50" i="26" s="1"/>
  <c r="BD50" i="26"/>
  <c r="AZ33" i="26"/>
  <c r="BB33" i="26" s="1"/>
  <c r="BD33" i="26"/>
  <c r="BD53" i="26"/>
  <c r="AZ53" i="26"/>
  <c r="BB53" i="26" s="1"/>
  <c r="Q57" i="26"/>
  <c r="U58" i="26"/>
  <c r="AA58" i="26" s="1"/>
  <c r="AA16" i="26"/>
  <c r="U34" i="26"/>
  <c r="T65" i="26"/>
  <c r="X63" i="26"/>
  <c r="X65" i="26" s="1"/>
  <c r="Z63" i="26"/>
  <c r="AO45" i="26"/>
  <c r="T36" i="27"/>
  <c r="T40" i="27" s="1"/>
  <c r="P40" i="27"/>
  <c r="AN17" i="26"/>
  <c r="AR17" i="26" s="1"/>
  <c r="AV17" i="26" s="1"/>
  <c r="AL17" i="26"/>
  <c r="AD14" i="26"/>
  <c r="AH11" i="26"/>
  <c r="U27" i="27"/>
  <c r="Q34" i="27"/>
  <c r="AV2" i="27"/>
  <c r="AN2" i="26"/>
  <c r="AH10" i="26"/>
  <c r="AO7" i="26"/>
  <c r="AI9" i="26"/>
  <c r="AR22" i="27"/>
  <c r="T38" i="26"/>
  <c r="T39" i="26" s="1"/>
  <c r="Z37" i="26"/>
  <c r="X37" i="26"/>
  <c r="X38" i="26" s="1"/>
  <c r="X39" i="26" s="1"/>
  <c r="AE41" i="26"/>
  <c r="AV32" i="27"/>
  <c r="AN43" i="26"/>
  <c r="AR43" i="26" s="1"/>
  <c r="AV43" i="26" s="1"/>
  <c r="AL43" i="26"/>
  <c r="AL54" i="26"/>
  <c r="AN54" i="26"/>
  <c r="AR54" i="26" s="1"/>
  <c r="AV54" i="26" s="1"/>
  <c r="T61" i="26"/>
  <c r="X58" i="26"/>
  <c r="Z58" i="26"/>
  <c r="T60" i="26"/>
  <c r="AR23" i="27"/>
  <c r="T27" i="27"/>
  <c r="P34" i="27"/>
  <c r="U38" i="26"/>
  <c r="AA37" i="26"/>
  <c r="X45" i="26"/>
  <c r="X55" i="26" s="1"/>
  <c r="Z45" i="26"/>
  <c r="T55" i="26"/>
  <c r="X16" i="26"/>
  <c r="X34" i="26" s="1"/>
  <c r="Z16" i="26"/>
  <c r="T34" i="26"/>
  <c r="AA12" i="26"/>
  <c r="U13" i="26"/>
  <c r="U14" i="26"/>
  <c r="AH78" i="26"/>
  <c r="AN69" i="26"/>
  <c r="AL69" i="26"/>
  <c r="AH59" i="26"/>
  <c r="AN71" i="26"/>
  <c r="AR71" i="26" s="1"/>
  <c r="AV71" i="26" s="1"/>
  <c r="AL71" i="26"/>
  <c r="Q25" i="27"/>
  <c r="U18" i="27"/>
  <c r="AE10" i="26"/>
  <c r="AR20" i="27"/>
  <c r="AE318" i="28"/>
  <c r="AI316" i="28"/>
  <c r="AO301" i="28"/>
  <c r="AI310" i="28"/>
  <c r="AH17" i="28"/>
  <c r="AH195" i="28" s="1"/>
  <c r="AN14" i="28"/>
  <c r="AR14" i="28" s="1"/>
  <c r="AV14" i="28" s="1"/>
  <c r="BD14" i="28" s="1"/>
  <c r="U19" i="28"/>
  <c r="U23" i="28" s="1"/>
  <c r="Q237" i="28"/>
  <c r="Q238" i="28" s="1"/>
  <c r="AD17" i="28"/>
  <c r="AD195" i="28" s="1"/>
  <c r="U322" i="28"/>
  <c r="AA321" i="28"/>
  <c r="AE310" i="28"/>
  <c r="Z318" i="28"/>
  <c r="AD315" i="28"/>
  <c r="AA8" i="28"/>
  <c r="AE8" i="28" s="1"/>
  <c r="AI8" i="28" s="1"/>
  <c r="AO8" i="28" s="1"/>
  <c r="AS8" i="28" s="1"/>
  <c r="AW8" i="28" s="1"/>
  <c r="BE8" i="28" s="1"/>
  <c r="AA30" i="28"/>
  <c r="AE26" i="28"/>
  <c r="AE15" i="28"/>
  <c r="AI15" i="28" s="1"/>
  <c r="AO15" i="28" s="1"/>
  <c r="AS15" i="28" s="1"/>
  <c r="AW15" i="28" s="1"/>
  <c r="BE15" i="28" s="1"/>
  <c r="U13" i="28"/>
  <c r="U17" i="28" s="1"/>
  <c r="Q194" i="28"/>
  <c r="Q195" i="28" s="1"/>
  <c r="U325" i="28"/>
  <c r="AA324" i="28"/>
  <c r="U7" i="28"/>
  <c r="U11" i="28" s="1"/>
  <c r="Q144" i="28"/>
  <c r="Q145" i="28" s="1"/>
  <c r="AA310" i="28"/>
  <c r="Y238" i="28"/>
  <c r="AA202" i="28"/>
  <c r="Y145" i="28"/>
  <c r="AA68" i="28"/>
  <c r="Y195" i="28"/>
  <c r="Z17" i="28"/>
  <c r="Z195" i="28" s="1"/>
  <c r="Z31" i="27"/>
  <c r="U31" i="27"/>
  <c r="T18" i="27"/>
  <c r="T25" i="27" s="1"/>
  <c r="Z36" i="27"/>
  <c r="Z40" i="27" s="1"/>
  <c r="U36" i="27"/>
  <c r="U40" i="27" s="1"/>
  <c r="U61" i="26"/>
  <c r="U60" i="26"/>
  <c r="U30" i="28"/>
  <c r="Q284" i="28"/>
  <c r="U250" i="28"/>
  <c r="Q310" i="28"/>
  <c r="U310" i="28"/>
  <c r="T17" i="28"/>
  <c r="T195" i="28" s="1"/>
  <c r="Q57" i="28"/>
  <c r="U56" i="28"/>
  <c r="P30" i="28"/>
  <c r="P312" i="28" s="1"/>
  <c r="T26" i="28"/>
  <c r="P23" i="28"/>
  <c r="P238" i="28" s="1"/>
  <c r="T20" i="28"/>
  <c r="M312" i="28"/>
  <c r="Q30" i="28"/>
  <c r="L33" i="28"/>
  <c r="L37" i="28" s="1"/>
  <c r="Q17" i="28"/>
  <c r="M44" i="28"/>
  <c r="Q40" i="28"/>
  <c r="P41" i="28"/>
  <c r="T41" i="28" s="1"/>
  <c r="Z41" i="28" s="1"/>
  <c r="AD41" i="28" s="1"/>
  <c r="AH41" i="28" s="1"/>
  <c r="AN41" i="28" s="1"/>
  <c r="AR41" i="28" s="1"/>
  <c r="AV41" i="28" s="1"/>
  <c r="BD41" i="28" s="1"/>
  <c r="P43" i="28"/>
  <c r="T43" i="28" s="1"/>
  <c r="Z43" i="28" s="1"/>
  <c r="AD43" i="28" s="1"/>
  <c r="AH43" i="28" s="1"/>
  <c r="AN43" i="28" s="1"/>
  <c r="AR43" i="28" s="1"/>
  <c r="AV43" i="28" s="1"/>
  <c r="BD43" i="28" s="1"/>
  <c r="P55" i="28"/>
  <c r="T55" i="28" s="1"/>
  <c r="Z55" i="28" s="1"/>
  <c r="AD55" i="28" s="1"/>
  <c r="AH55" i="28" s="1"/>
  <c r="AN55" i="28" s="1"/>
  <c r="AR55" i="28" s="1"/>
  <c r="AV55" i="28" s="1"/>
  <c r="BD55" i="28" s="1"/>
  <c r="P59" i="28"/>
  <c r="T59" i="28" s="1"/>
  <c r="Z59" i="28" s="1"/>
  <c r="AD59" i="28" s="1"/>
  <c r="AH59" i="28" s="1"/>
  <c r="AN59" i="28" s="1"/>
  <c r="AR59" i="28" s="1"/>
  <c r="AV59" i="28" s="1"/>
  <c r="BD59" i="28" s="1"/>
  <c r="Q11" i="28"/>
  <c r="P17" i="28"/>
  <c r="P195" i="28" s="1"/>
  <c r="Q23" i="28"/>
  <c r="M37" i="28"/>
  <c r="M38" i="28" s="1"/>
  <c r="Q33" i="28"/>
  <c r="P42" i="28"/>
  <c r="T42" i="28" s="1"/>
  <c r="Z42" i="28" s="1"/>
  <c r="AD42" i="28" s="1"/>
  <c r="AH42" i="28" s="1"/>
  <c r="AN42" i="28" s="1"/>
  <c r="AR42" i="28" s="1"/>
  <c r="AV42" i="28" s="1"/>
  <c r="BD42" i="28" s="1"/>
  <c r="L329" i="28"/>
  <c r="P324" i="28"/>
  <c r="P320" i="28"/>
  <c r="T320" i="28" s="1"/>
  <c r="Z320" i="28" s="1"/>
  <c r="AD320" i="28" s="1"/>
  <c r="AH320" i="28" s="1"/>
  <c r="AN320" i="28" s="1"/>
  <c r="AR320" i="28" s="1"/>
  <c r="AV320" i="28" s="1"/>
  <c r="BD320" i="28" s="1"/>
  <c r="L44" i="28"/>
  <c r="L47" i="28"/>
  <c r="D63" i="28"/>
  <c r="H63" i="28" s="1"/>
  <c r="I44" i="28"/>
  <c r="Q60" i="26"/>
  <c r="P14" i="26"/>
  <c r="P10" i="26"/>
  <c r="Q9" i="26"/>
  <c r="Q13" i="26" s="1"/>
  <c r="Q61" i="26"/>
  <c r="P55" i="26"/>
  <c r="P38" i="26"/>
  <c r="P39" i="26" s="1"/>
  <c r="P65" i="26"/>
  <c r="Q38" i="26"/>
  <c r="P34" i="26"/>
  <c r="Q34" i="26"/>
  <c r="M10" i="26"/>
  <c r="M6" i="26" s="1"/>
  <c r="M14" i="26"/>
  <c r="M43" i="26"/>
  <c r="M39" i="26"/>
  <c r="M36" i="26" s="1"/>
  <c r="M42" i="26"/>
  <c r="P61" i="26"/>
  <c r="P60" i="26"/>
  <c r="M13" i="26"/>
  <c r="AV37" i="27" l="1"/>
  <c r="BD37" i="27" s="1"/>
  <c r="BD2" i="27"/>
  <c r="BD32" i="27" s="1"/>
  <c r="BD71" i="26"/>
  <c r="AZ71" i="26"/>
  <c r="AZ43" i="26"/>
  <c r="BB43" i="26" s="1"/>
  <c r="BD43" i="26"/>
  <c r="AZ17" i="26"/>
  <c r="BD17" i="26"/>
  <c r="AZ54" i="26"/>
  <c r="BB54" i="26" s="1"/>
  <c r="BD54" i="26"/>
  <c r="BD17" i="28"/>
  <c r="BD195" i="28" s="1"/>
  <c r="BD44" i="28"/>
  <c r="AV44" i="28"/>
  <c r="AV17" i="28"/>
  <c r="AV195" i="28" s="1"/>
  <c r="AV28" i="27"/>
  <c r="BD28" i="27" s="1"/>
  <c r="AN78" i="26"/>
  <c r="AR69" i="26"/>
  <c r="AE12" i="26"/>
  <c r="AA13" i="26"/>
  <c r="AA14" i="26"/>
  <c r="U39" i="26"/>
  <c r="U43" i="26"/>
  <c r="U42" i="26"/>
  <c r="AV19" i="27"/>
  <c r="BD19" i="27" s="1"/>
  <c r="AV38" i="27"/>
  <c r="BD38" i="27" s="1"/>
  <c r="AV22" i="27"/>
  <c r="BD22" i="27" s="1"/>
  <c r="AR2" i="26"/>
  <c r="AN10" i="26"/>
  <c r="AA27" i="27"/>
  <c r="U34" i="27"/>
  <c r="AS45" i="26"/>
  <c r="U25" i="27"/>
  <c r="AA18" i="27"/>
  <c r="AL59" i="26"/>
  <c r="AN59" i="26"/>
  <c r="AD45" i="26"/>
  <c r="Z55" i="26"/>
  <c r="Z61" i="26"/>
  <c r="AD58" i="26"/>
  <c r="Z60" i="26"/>
  <c r="AI10" i="26"/>
  <c r="AL11" i="26"/>
  <c r="AL14" i="26" s="1"/>
  <c r="AN11" i="26"/>
  <c r="AH14" i="26"/>
  <c r="Z65" i="26"/>
  <c r="AD63" i="26"/>
  <c r="AE16" i="26"/>
  <c r="AA34" i="26"/>
  <c r="AV20" i="27"/>
  <c r="BD20" i="27" s="1"/>
  <c r="AD16" i="26"/>
  <c r="Z34" i="26"/>
  <c r="Z27" i="27"/>
  <c r="T34" i="27"/>
  <c r="AV21" i="27"/>
  <c r="BD21" i="27" s="1"/>
  <c r="X61" i="26"/>
  <c r="X60" i="26"/>
  <c r="AV29" i="27"/>
  <c r="BD29" i="27" s="1"/>
  <c r="Z38" i="26"/>
  <c r="Z39" i="26" s="1"/>
  <c r="AD37" i="26"/>
  <c r="AO9" i="26"/>
  <c r="AS7" i="26"/>
  <c r="AE58" i="26"/>
  <c r="AV30" i="27"/>
  <c r="BD30" i="27" s="1"/>
  <c r="AL78" i="26"/>
  <c r="AA38" i="26"/>
  <c r="AE37" i="26"/>
  <c r="AV23" i="27"/>
  <c r="BD23" i="27" s="1"/>
  <c r="AI41" i="26"/>
  <c r="U57" i="26"/>
  <c r="AA57" i="26" s="1"/>
  <c r="AE57" i="26" s="1"/>
  <c r="AO310" i="28"/>
  <c r="AS301" i="28"/>
  <c r="AR44" i="28"/>
  <c r="AR17" i="28"/>
  <c r="AR195" i="28" s="1"/>
  <c r="AO316" i="28"/>
  <c r="AI318" i="28"/>
  <c r="AN44" i="28"/>
  <c r="AN17" i="28"/>
  <c r="AN195" i="28" s="1"/>
  <c r="AE30" i="28"/>
  <c r="AI26" i="28"/>
  <c r="AH44" i="28"/>
  <c r="AD318" i="28"/>
  <c r="AH315" i="28"/>
  <c r="AA325" i="28"/>
  <c r="AE324" i="28"/>
  <c r="AE202" i="28"/>
  <c r="AI202" i="28" s="1"/>
  <c r="AO202" i="28" s="1"/>
  <c r="AS202" i="28" s="1"/>
  <c r="AW202" i="28" s="1"/>
  <c r="BE202" i="28" s="1"/>
  <c r="AE321" i="28"/>
  <c r="AA322" i="28"/>
  <c r="AD44" i="28"/>
  <c r="U144" i="28"/>
  <c r="U145" i="28" s="1"/>
  <c r="AA7" i="28"/>
  <c r="AA144" i="28" s="1"/>
  <c r="AA145" i="28" s="1"/>
  <c r="AA13" i="28"/>
  <c r="U194" i="28"/>
  <c r="U195" i="28" s="1"/>
  <c r="AA19" i="28"/>
  <c r="U237" i="28"/>
  <c r="U238" i="28" s="1"/>
  <c r="AE68" i="28"/>
  <c r="AI68" i="28" s="1"/>
  <c r="AD36" i="27"/>
  <c r="AD31" i="27"/>
  <c r="AH31" i="27" s="1"/>
  <c r="AN31" i="27" s="1"/>
  <c r="AR31" i="27" s="1"/>
  <c r="AV31" i="27" s="1"/>
  <c r="BD31" i="27" s="1"/>
  <c r="U57" i="28"/>
  <c r="AA56" i="28"/>
  <c r="U284" i="28"/>
  <c r="U312" i="28" s="1"/>
  <c r="AA250" i="28"/>
  <c r="Z44" i="28"/>
  <c r="T30" i="28"/>
  <c r="T312" i="28" s="1"/>
  <c r="Z26" i="28"/>
  <c r="T23" i="28"/>
  <c r="T238" i="28" s="1"/>
  <c r="Z20" i="28"/>
  <c r="AD20" i="28" s="1"/>
  <c r="AH20" i="28" s="1"/>
  <c r="AN20" i="28" s="1"/>
  <c r="AA31" i="27"/>
  <c r="Z18" i="27"/>
  <c r="AA36" i="27"/>
  <c r="AA40" i="27" s="1"/>
  <c r="Q312" i="28"/>
  <c r="T44" i="28"/>
  <c r="P33" i="28"/>
  <c r="P37" i="28" s="1"/>
  <c r="Q44" i="28"/>
  <c r="U40" i="28"/>
  <c r="P329" i="28"/>
  <c r="T324" i="28"/>
  <c r="Q37" i="28"/>
  <c r="Q38" i="28" s="1"/>
  <c r="U33" i="28"/>
  <c r="P44" i="28"/>
  <c r="P47" i="28"/>
  <c r="T47" i="28" s="1"/>
  <c r="Z47" i="28" s="1"/>
  <c r="AD47" i="28" s="1"/>
  <c r="AH47" i="28" s="1"/>
  <c r="AN47" i="28" s="1"/>
  <c r="AR47" i="28" s="1"/>
  <c r="AV47" i="28" s="1"/>
  <c r="BD47" i="28" s="1"/>
  <c r="L63" i="28"/>
  <c r="Q43" i="26"/>
  <c r="Q39" i="26"/>
  <c r="Q36" i="26" s="1"/>
  <c r="U36" i="26" s="1"/>
  <c r="Q42" i="26"/>
  <c r="Q10" i="26"/>
  <c r="Q6" i="26" s="1"/>
  <c r="U6" i="26" s="1"/>
  <c r="AA6" i="26" s="1"/>
  <c r="AE6" i="26" s="1"/>
  <c r="Q14" i="26"/>
  <c r="E12" i="17"/>
  <c r="BB71" i="26" l="1"/>
  <c r="BB17" i="26"/>
  <c r="AS310" i="28"/>
  <c r="AW301" i="28"/>
  <c r="Z25" i="27"/>
  <c r="AD18" i="27"/>
  <c r="AD40" i="27"/>
  <c r="AH36" i="27"/>
  <c r="AE38" i="26"/>
  <c r="AI37" i="26"/>
  <c r="AI58" i="26"/>
  <c r="AD38" i="26"/>
  <c r="AD39" i="26" s="1"/>
  <c r="AH37" i="26"/>
  <c r="AI16" i="26"/>
  <c r="AE34" i="26"/>
  <c r="AR11" i="26"/>
  <c r="AN14" i="26"/>
  <c r="AH45" i="26"/>
  <c r="AD55" i="26"/>
  <c r="AR78" i="26"/>
  <c r="AV69" i="26"/>
  <c r="AA39" i="26"/>
  <c r="AA36" i="26" s="1"/>
  <c r="AA43" i="26"/>
  <c r="AA42" i="26"/>
  <c r="AH16" i="26"/>
  <c r="AD34" i="26"/>
  <c r="AD65" i="26"/>
  <c r="AH63" i="26"/>
  <c r="AH58" i="26"/>
  <c r="AD61" i="26"/>
  <c r="AD60" i="26"/>
  <c r="AA25" i="27"/>
  <c r="AE18" i="27"/>
  <c r="AV2" i="26"/>
  <c r="AR10" i="26"/>
  <c r="AO41" i="26"/>
  <c r="AW7" i="26"/>
  <c r="AS9" i="26"/>
  <c r="AI6" i="26"/>
  <c r="AR59" i="26"/>
  <c r="AI57" i="26"/>
  <c r="AO10" i="26"/>
  <c r="AD27" i="27"/>
  <c r="Z34" i="27"/>
  <c r="AW45" i="26"/>
  <c r="BE45" i="26" s="1"/>
  <c r="AE27" i="27"/>
  <c r="AA34" i="27"/>
  <c r="AI12" i="26"/>
  <c r="AE13" i="26"/>
  <c r="AE14" i="26"/>
  <c r="AO318" i="28"/>
  <c r="AS316" i="28"/>
  <c r="AN23" i="28"/>
  <c r="AN238" i="28" s="1"/>
  <c r="AR20" i="28"/>
  <c r="AV20" i="28" s="1"/>
  <c r="BD20" i="28" s="1"/>
  <c r="AE322" i="28"/>
  <c r="AI321" i="28"/>
  <c r="AE325" i="28"/>
  <c r="AI324" i="28"/>
  <c r="AH318" i="28"/>
  <c r="AN315" i="28"/>
  <c r="AO68" i="28"/>
  <c r="AS68" i="28" s="1"/>
  <c r="AW68" i="28" s="1"/>
  <c r="AI30" i="28"/>
  <c r="AO26" i="28"/>
  <c r="AH23" i="28"/>
  <c r="AH238" i="28" s="1"/>
  <c r="AD23" i="28"/>
  <c r="AD238" i="28" s="1"/>
  <c r="AA284" i="28"/>
  <c r="AA312" i="28" s="1"/>
  <c r="AE250" i="28"/>
  <c r="AE19" i="28"/>
  <c r="AA237" i="28"/>
  <c r="AE237" i="28" s="1"/>
  <c r="AA23" i="28"/>
  <c r="Z30" i="28"/>
  <c r="Z312" i="28" s="1"/>
  <c r="AD26" i="28"/>
  <c r="AE13" i="28"/>
  <c r="AA194" i="28"/>
  <c r="AA17" i="28"/>
  <c r="AA57" i="28"/>
  <c r="AE56" i="28"/>
  <c r="AE7" i="28"/>
  <c r="AA11" i="28"/>
  <c r="AE36" i="27"/>
  <c r="AE31" i="27"/>
  <c r="AI31" i="27" s="1"/>
  <c r="AO31" i="27" s="1"/>
  <c r="AS31" i="27" s="1"/>
  <c r="T33" i="28"/>
  <c r="T37" i="28" s="1"/>
  <c r="Z23" i="28"/>
  <c r="Z238" i="28" s="1"/>
  <c r="U37" i="28"/>
  <c r="U38" i="28" s="1"/>
  <c r="AA33" i="28"/>
  <c r="U44" i="28"/>
  <c r="AA40" i="28"/>
  <c r="T329" i="28"/>
  <c r="Z324" i="28"/>
  <c r="P63" i="28"/>
  <c r="T63" i="28" s="1"/>
  <c r="Z63" i="28" s="1"/>
  <c r="AD63" i="28" s="1"/>
  <c r="AH63" i="28" s="1"/>
  <c r="AN63" i="28" s="1"/>
  <c r="AR63" i="28" s="1"/>
  <c r="AV63" i="28" s="1"/>
  <c r="BD63" i="28" s="1"/>
  <c r="I147" i="9"/>
  <c r="AV10" i="26" l="1"/>
  <c r="BD2" i="26"/>
  <c r="BD10" i="26" s="1"/>
  <c r="AV78" i="26"/>
  <c r="BD69" i="26"/>
  <c r="BD78" i="26" s="1"/>
  <c r="AZ69" i="26"/>
  <c r="AW31" i="27"/>
  <c r="BE31" i="27" s="1"/>
  <c r="AW9" i="26"/>
  <c r="BE7" i="26"/>
  <c r="BE9" i="26" s="1"/>
  <c r="AW310" i="28"/>
  <c r="BE301" i="28"/>
  <c r="BE310" i="28" s="1"/>
  <c r="BE68" i="28"/>
  <c r="BD23" i="28"/>
  <c r="BD238" i="28" s="1"/>
  <c r="AS318" i="28"/>
  <c r="AW316" i="28"/>
  <c r="AV23" i="28"/>
  <c r="AV238" i="28" s="1"/>
  <c r="AE40" i="27"/>
  <c r="AI36" i="27"/>
  <c r="AO12" i="26"/>
  <c r="AI13" i="26"/>
  <c r="AI14" i="26"/>
  <c r="AD34" i="27"/>
  <c r="AH27" i="27"/>
  <c r="AV59" i="26"/>
  <c r="AW10" i="26"/>
  <c r="AH55" i="26"/>
  <c r="AL45" i="26"/>
  <c r="AL55" i="26" s="1"/>
  <c r="AN45" i="26"/>
  <c r="AO16" i="26"/>
  <c r="AI34" i="26"/>
  <c r="AO58" i="26"/>
  <c r="AO57" i="26" s="1"/>
  <c r="AE25" i="27"/>
  <c r="AI18" i="27"/>
  <c r="AL58" i="26"/>
  <c r="AN58" i="26"/>
  <c r="AH60" i="26"/>
  <c r="AH61" i="26"/>
  <c r="AH34" i="26"/>
  <c r="AN16" i="26"/>
  <c r="AL16" i="26"/>
  <c r="AL34" i="26" s="1"/>
  <c r="AH38" i="26"/>
  <c r="AH39" i="26" s="1"/>
  <c r="AL37" i="26"/>
  <c r="AL38" i="26" s="1"/>
  <c r="AL39" i="26" s="1"/>
  <c r="AN37" i="26"/>
  <c r="AI38" i="26"/>
  <c r="AO37" i="26"/>
  <c r="AD25" i="27"/>
  <c r="AH18" i="27"/>
  <c r="AO6" i="26"/>
  <c r="AS41" i="26"/>
  <c r="AH65" i="26"/>
  <c r="AN63" i="26"/>
  <c r="AL63" i="26"/>
  <c r="AL65" i="26" s="1"/>
  <c r="AV11" i="26"/>
  <c r="AR14" i="26"/>
  <c r="AE39" i="26"/>
  <c r="AE36" i="26" s="1"/>
  <c r="AE43" i="26"/>
  <c r="AE42" i="26"/>
  <c r="AE34" i="27"/>
  <c r="AI27" i="27"/>
  <c r="AS10" i="26"/>
  <c r="AN36" i="27"/>
  <c r="AH40" i="27"/>
  <c r="AO30" i="28"/>
  <c r="AS26" i="28"/>
  <c r="AN318" i="28"/>
  <c r="AR315" i="28"/>
  <c r="AR23" i="28"/>
  <c r="AR238" i="28" s="1"/>
  <c r="AI325" i="28"/>
  <c r="AO324" i="28"/>
  <c r="AO321" i="28"/>
  <c r="AI322" i="28"/>
  <c r="AE284" i="28"/>
  <c r="AE312" i="28" s="1"/>
  <c r="AI250" i="28"/>
  <c r="AE11" i="28"/>
  <c r="AI7" i="28"/>
  <c r="AE57" i="28"/>
  <c r="AI56" i="28"/>
  <c r="AE17" i="28"/>
  <c r="AI13" i="28"/>
  <c r="AO13" i="28" s="1"/>
  <c r="AS13" i="28" s="1"/>
  <c r="AW13" i="28" s="1"/>
  <c r="BE13" i="28" s="1"/>
  <c r="BE17" i="28" s="1"/>
  <c r="AE23" i="28"/>
  <c r="AI19" i="28"/>
  <c r="AO19" i="28" s="1"/>
  <c r="AS19" i="28" s="1"/>
  <c r="AW19" i="28" s="1"/>
  <c r="BE19" i="28" s="1"/>
  <c r="BE23" i="28" s="1"/>
  <c r="AD30" i="28"/>
  <c r="AD312" i="28" s="1"/>
  <c r="AH26" i="28"/>
  <c r="Z33" i="28"/>
  <c r="Z37" i="28" s="1"/>
  <c r="AE194" i="28"/>
  <c r="AE195" i="28" s="1"/>
  <c r="AA195" i="28"/>
  <c r="AE144" i="28"/>
  <c r="AE145" i="28" s="1"/>
  <c r="AE238" i="28"/>
  <c r="AA238" i="28"/>
  <c r="Z329" i="28"/>
  <c r="AD324" i="28"/>
  <c r="AA37" i="28"/>
  <c r="AA38" i="28" s="1"/>
  <c r="AE33" i="28"/>
  <c r="AI33" i="28" s="1"/>
  <c r="AA44" i="28"/>
  <c r="AE40" i="28"/>
  <c r="G46" i="11"/>
  <c r="G44" i="11"/>
  <c r="G41" i="11"/>
  <c r="G42" i="11" s="1"/>
  <c r="BC31" i="27" l="1"/>
  <c r="AV14" i="26"/>
  <c r="AZ11" i="26"/>
  <c r="BD11" i="26"/>
  <c r="BD14" i="26" s="1"/>
  <c r="BD59" i="26"/>
  <c r="AZ59" i="26"/>
  <c r="BE10" i="26"/>
  <c r="BB69" i="26"/>
  <c r="BB78" i="26" s="1"/>
  <c r="AZ78" i="26"/>
  <c r="BE316" i="28"/>
  <c r="BE318" i="28" s="1"/>
  <c r="AW318" i="28"/>
  <c r="AW237" i="28"/>
  <c r="BE237" i="28" s="1"/>
  <c r="AW23" i="28"/>
  <c r="AS30" i="28"/>
  <c r="AW26" i="28"/>
  <c r="AW194" i="28"/>
  <c r="AW17" i="28"/>
  <c r="AR318" i="28"/>
  <c r="AV315" i="28"/>
  <c r="AN65" i="26"/>
  <c r="AR63" i="26"/>
  <c r="AL61" i="26"/>
  <c r="AL60" i="26"/>
  <c r="AS58" i="26"/>
  <c r="AR45" i="26"/>
  <c r="AN55" i="26"/>
  <c r="AN27" i="27"/>
  <c r="AH34" i="27"/>
  <c r="AS12" i="26"/>
  <c r="AO13" i="26"/>
  <c r="AO14" i="26"/>
  <c r="AW41" i="26"/>
  <c r="BE41" i="26" s="1"/>
  <c r="AO38" i="26"/>
  <c r="AS37" i="26"/>
  <c r="AO18" i="27"/>
  <c r="AI25" i="27"/>
  <c r="AI40" i="27"/>
  <c r="AO36" i="27"/>
  <c r="AN40" i="27"/>
  <c r="AR36" i="27"/>
  <c r="AO27" i="27"/>
  <c r="AI34" i="27"/>
  <c r="AI43" i="26"/>
  <c r="AI39" i="26"/>
  <c r="AI36" i="26" s="1"/>
  <c r="AI42" i="26"/>
  <c r="AS6" i="26"/>
  <c r="AN18" i="27"/>
  <c r="AH25" i="27"/>
  <c r="AN38" i="26"/>
  <c r="AN39" i="26" s="1"/>
  <c r="AR37" i="26"/>
  <c r="AN34" i="26"/>
  <c r="AR16" i="26"/>
  <c r="AN61" i="26"/>
  <c r="AR58" i="26"/>
  <c r="AN60" i="26"/>
  <c r="AO34" i="26"/>
  <c r="AS16" i="26"/>
  <c r="AW6" i="26"/>
  <c r="BE6" i="26" s="1"/>
  <c r="BC153" i="6" s="1"/>
  <c r="AO325" i="28"/>
  <c r="AS324" i="28"/>
  <c r="AO322" i="28"/>
  <c r="AS321" i="28"/>
  <c r="AS237" i="28"/>
  <c r="AS238" i="28" s="1"/>
  <c r="AS23" i="28"/>
  <c r="AS194" i="28"/>
  <c r="AS195" i="28" s="1"/>
  <c r="AS17" i="28"/>
  <c r="AO250" i="28"/>
  <c r="AI284" i="28"/>
  <c r="AI312" i="28" s="1"/>
  <c r="AI144" i="28"/>
  <c r="AI145" i="28" s="1"/>
  <c r="AO7" i="28"/>
  <c r="AS7" i="28" s="1"/>
  <c r="AW7" i="28" s="1"/>
  <c r="AI11" i="28"/>
  <c r="AH30" i="28"/>
  <c r="AH312" i="28" s="1"/>
  <c r="AN26" i="28"/>
  <c r="AO23" i="28"/>
  <c r="AO237" i="28"/>
  <c r="AO238" i="28" s="1"/>
  <c r="AI57" i="28"/>
  <c r="AO56" i="28"/>
  <c r="AO17" i="28"/>
  <c r="AO194" i="28"/>
  <c r="AO195" i="28" s="1"/>
  <c r="AI37" i="28"/>
  <c r="AI38" i="28" s="1"/>
  <c r="AO33" i="28"/>
  <c r="AD33" i="28"/>
  <c r="AD37" i="28" s="1"/>
  <c r="AI194" i="28"/>
  <c r="AI195" i="28" s="1"/>
  <c r="AI17" i="28"/>
  <c r="AI237" i="28"/>
  <c r="AI238" i="28" s="1"/>
  <c r="AI23" i="28"/>
  <c r="AE44" i="28"/>
  <c r="AI40" i="28"/>
  <c r="AD329" i="28"/>
  <c r="AH324" i="28"/>
  <c r="AE37" i="28"/>
  <c r="AE38" i="28" s="1"/>
  <c r="G106" i="10"/>
  <c r="G101" i="10"/>
  <c r="G102" i="10" s="1"/>
  <c r="AW144" i="28" l="1"/>
  <c r="AW145" i="28" s="1"/>
  <c r="BE7" i="28"/>
  <c r="AW11" i="28"/>
  <c r="AS322" i="28"/>
  <c r="AW321" i="28"/>
  <c r="AZ14" i="26"/>
  <c r="BB11" i="26"/>
  <c r="BB14" i="26" s="1"/>
  <c r="AS325" i="28"/>
  <c r="AW324" i="28"/>
  <c r="BB59" i="26"/>
  <c r="AW195" i="28"/>
  <c r="BE194" i="28"/>
  <c r="BE195" i="28" s="1"/>
  <c r="AW238" i="28"/>
  <c r="BE238" i="28"/>
  <c r="AW30" i="28"/>
  <c r="BE26" i="28"/>
  <c r="BE30" i="28" s="1"/>
  <c r="AV318" i="28"/>
  <c r="BD315" i="28"/>
  <c r="BD318" i="28" s="1"/>
  <c r="AR18" i="27"/>
  <c r="AN25" i="27"/>
  <c r="AO39" i="26"/>
  <c r="AO36" i="26" s="1"/>
  <c r="AO43" i="26"/>
  <c r="AO42" i="26"/>
  <c r="AW12" i="26"/>
  <c r="BE12" i="26" s="1"/>
  <c r="AS13" i="26"/>
  <c r="AS14" i="26"/>
  <c r="AR55" i="26"/>
  <c r="AV45" i="26"/>
  <c r="AV37" i="26"/>
  <c r="AR38" i="26"/>
  <c r="AR39" i="26" s="1"/>
  <c r="AW16" i="26"/>
  <c r="AS34" i="26"/>
  <c r="AS27" i="27"/>
  <c r="AO34" i="27"/>
  <c r="AS18" i="27"/>
  <c r="AO25" i="27"/>
  <c r="AR65" i="26"/>
  <c r="AV63" i="26"/>
  <c r="AR61" i="26"/>
  <c r="AV58" i="26"/>
  <c r="AR60" i="26"/>
  <c r="AV36" i="27"/>
  <c r="AR40" i="27"/>
  <c r="AR34" i="26"/>
  <c r="AV16" i="26"/>
  <c r="AS36" i="27"/>
  <c r="AO40" i="27"/>
  <c r="AW37" i="26"/>
  <c r="AS38" i="26"/>
  <c r="AR27" i="27"/>
  <c r="AN34" i="27"/>
  <c r="AS57" i="26"/>
  <c r="AW58" i="26"/>
  <c r="BE58" i="26" s="1"/>
  <c r="AS144" i="28"/>
  <c r="AS145" i="28" s="1"/>
  <c r="AS11" i="28"/>
  <c r="AO284" i="28"/>
  <c r="AO312" i="28" s="1"/>
  <c r="AS250" i="28"/>
  <c r="AO57" i="28"/>
  <c r="AS56" i="28"/>
  <c r="AO37" i="28"/>
  <c r="AO38" i="28" s="1"/>
  <c r="AS33" i="28"/>
  <c r="AN30" i="28"/>
  <c r="AN312" i="28" s="1"/>
  <c r="AR26" i="28"/>
  <c r="AH33" i="28"/>
  <c r="AH37" i="28" s="1"/>
  <c r="AO11" i="28"/>
  <c r="AO144" i="28"/>
  <c r="AO145" i="28" s="1"/>
  <c r="AH329" i="28"/>
  <c r="AN324" i="28"/>
  <c r="AI44" i="28"/>
  <c r="AO40" i="28"/>
  <c r="N1091" i="3"/>
  <c r="Q1091" i="3"/>
  <c r="S1091" i="3" s="1"/>
  <c r="U1091" i="3" s="1"/>
  <c r="X1091" i="3" s="1"/>
  <c r="N1100" i="3"/>
  <c r="Q1100" i="3"/>
  <c r="S1100" i="3" s="1"/>
  <c r="U1100" i="3" s="1"/>
  <c r="X1100" i="3" s="1"/>
  <c r="N975" i="3"/>
  <c r="Q975" i="3" s="1"/>
  <c r="S975" i="3" s="1"/>
  <c r="U975" i="3" s="1"/>
  <c r="X975" i="3" s="1"/>
  <c r="N994" i="3"/>
  <c r="Q994" i="3" s="1"/>
  <c r="S994" i="3" s="1"/>
  <c r="U994" i="3" s="1"/>
  <c r="X994" i="3" s="1"/>
  <c r="N992" i="3"/>
  <c r="Q992" i="3" s="1"/>
  <c r="S992" i="3" s="1"/>
  <c r="U992" i="3" s="1"/>
  <c r="X992" i="3" s="1"/>
  <c r="N1000" i="3"/>
  <c r="Q1000" i="3" s="1"/>
  <c r="S1000" i="3" s="1"/>
  <c r="U1000" i="3" s="1"/>
  <c r="X1000" i="3" s="1"/>
  <c r="N933" i="3"/>
  <c r="Q933" i="3" s="1"/>
  <c r="S933" i="3" s="1"/>
  <c r="U933" i="3" s="1"/>
  <c r="X933" i="3" s="1"/>
  <c r="AV34" i="26" l="1"/>
  <c r="AZ16" i="26"/>
  <c r="BD16" i="26"/>
  <c r="BD34" i="26" s="1"/>
  <c r="AV38" i="26"/>
  <c r="AV39" i="26" s="1"/>
  <c r="AZ37" i="26"/>
  <c r="BD37" i="26"/>
  <c r="BD38" i="26" s="1"/>
  <c r="BD39" i="26" s="1"/>
  <c r="AW38" i="26"/>
  <c r="AW42" i="26" s="1"/>
  <c r="BE37" i="26"/>
  <c r="BE38" i="26" s="1"/>
  <c r="BD58" i="26"/>
  <c r="AZ58" i="26"/>
  <c r="AV55" i="26"/>
  <c r="BD45" i="26"/>
  <c r="BD55" i="26" s="1"/>
  <c r="AZ45" i="26"/>
  <c r="BE13" i="26"/>
  <c r="BE14" i="26"/>
  <c r="AW34" i="26"/>
  <c r="BE16" i="26"/>
  <c r="BE34" i="26" s="1"/>
  <c r="BE144" i="28"/>
  <c r="BE145" i="28" s="1"/>
  <c r="BE11" i="28"/>
  <c r="AV65" i="26"/>
  <c r="AZ63" i="26"/>
  <c r="BD63" i="26"/>
  <c r="BD65" i="26" s="1"/>
  <c r="AW325" i="28"/>
  <c r="BE324" i="28"/>
  <c r="BE325" i="28" s="1"/>
  <c r="AW322" i="28"/>
  <c r="BE321" i="28"/>
  <c r="BE322" i="28" s="1"/>
  <c r="AV40" i="27"/>
  <c r="BD36" i="27"/>
  <c r="BD40" i="27" s="1"/>
  <c r="AS37" i="28"/>
  <c r="AS38" i="28" s="1"/>
  <c r="AW33" i="28"/>
  <c r="AR30" i="28"/>
  <c r="AR33" i="28" s="1"/>
  <c r="AR37" i="28" s="1"/>
  <c r="AV26" i="28"/>
  <c r="AS57" i="28"/>
  <c r="AW56" i="28"/>
  <c r="AS284" i="28"/>
  <c r="AS312" i="28" s="1"/>
  <c r="AW250" i="28"/>
  <c r="AV60" i="26"/>
  <c r="AV61" i="26"/>
  <c r="AW43" i="26"/>
  <c r="AW39" i="26"/>
  <c r="AV27" i="27"/>
  <c r="AR34" i="27"/>
  <c r="AS40" i="27"/>
  <c r="AW36" i="27"/>
  <c r="BC36" i="27" s="1"/>
  <c r="BC40" i="27" s="1"/>
  <c r="AW13" i="26"/>
  <c r="AW14" i="26"/>
  <c r="AW27" i="27"/>
  <c r="BC27" i="27" s="1"/>
  <c r="BC34" i="27" s="1"/>
  <c r="AS34" i="27"/>
  <c r="AW57" i="26"/>
  <c r="BE57" i="26" s="1"/>
  <c r="AS39" i="26"/>
  <c r="AS36" i="26" s="1"/>
  <c r="AS43" i="26"/>
  <c r="AS42" i="26"/>
  <c r="AW18" i="27"/>
  <c r="AS25" i="27"/>
  <c r="AV18" i="27"/>
  <c r="AR25" i="27"/>
  <c r="AN33" i="28"/>
  <c r="AN37" i="28" s="1"/>
  <c r="AO44" i="28"/>
  <c r="AS40" i="28"/>
  <c r="AN329" i="28"/>
  <c r="AR324" i="28"/>
  <c r="Z992" i="3"/>
  <c r="Z994" i="3"/>
  <c r="Z1091" i="3"/>
  <c r="Z933" i="3"/>
  <c r="Z975" i="3"/>
  <c r="Z1000" i="3"/>
  <c r="Z1100" i="3"/>
  <c r="AV34" i="27" l="1"/>
  <c r="BD27" i="27"/>
  <c r="BD34" i="27" s="1"/>
  <c r="AZ65" i="26"/>
  <c r="BB63" i="26"/>
  <c r="BB65" i="26" s="1"/>
  <c r="AZ61" i="26"/>
  <c r="BB58" i="26"/>
  <c r="AZ60" i="26"/>
  <c r="AW25" i="27"/>
  <c r="BE18" i="27"/>
  <c r="BE25" i="27" s="1"/>
  <c r="BB45" i="26"/>
  <c r="BB55" i="26" s="1"/>
  <c r="AZ55" i="26"/>
  <c r="BD61" i="26"/>
  <c r="BD60" i="26"/>
  <c r="AV25" i="27"/>
  <c r="BD18" i="27"/>
  <c r="BD25" i="27" s="1"/>
  <c r="BE39" i="26"/>
  <c r="BE43" i="26"/>
  <c r="BE42" i="26"/>
  <c r="AZ38" i="26"/>
  <c r="AZ39" i="26" s="1"/>
  <c r="BB37" i="26"/>
  <c r="BB38" i="26" s="1"/>
  <c r="BB39" i="26" s="1"/>
  <c r="BB16" i="26"/>
  <c r="BB34" i="26" s="1"/>
  <c r="AZ34" i="26"/>
  <c r="AW34" i="27"/>
  <c r="BE27" i="27"/>
  <c r="BE34" i="27" s="1"/>
  <c r="AW36" i="26"/>
  <c r="AW284" i="28"/>
  <c r="AW312" i="28" s="1"/>
  <c r="BE250" i="28"/>
  <c r="BE284" i="28" s="1"/>
  <c r="BE312" i="28" s="1"/>
  <c r="AW57" i="28"/>
  <c r="BE56" i="28"/>
  <c r="BE57" i="28" s="1"/>
  <c r="AW40" i="27"/>
  <c r="BE36" i="27"/>
  <c r="BE40" i="27" s="1"/>
  <c r="AV30" i="28"/>
  <c r="AV312" i="28" s="1"/>
  <c r="BD26" i="28"/>
  <c r="BD30" i="28" s="1"/>
  <c r="AW37" i="28"/>
  <c r="AW38" i="28" s="1"/>
  <c r="BE33" i="28"/>
  <c r="BE37" i="28" s="1"/>
  <c r="BE38" i="28" s="1"/>
  <c r="AR312" i="28"/>
  <c r="AS44" i="28"/>
  <c r="AW40" i="28"/>
  <c r="AR329" i="28"/>
  <c r="AV324" i="28"/>
  <c r="AB933" i="3"/>
  <c r="AF933" i="3" s="1"/>
  <c r="AB1100" i="3"/>
  <c r="AF1100" i="3" s="1"/>
  <c r="AB1091" i="3"/>
  <c r="AF1091" i="3" s="1"/>
  <c r="AB1000" i="3"/>
  <c r="AF1000" i="3" s="1"/>
  <c r="AB994" i="3"/>
  <c r="AF994" i="3" s="1"/>
  <c r="AB975" i="3"/>
  <c r="AF975" i="3" s="1"/>
  <c r="AB992" i="3"/>
  <c r="AF992" i="3" s="1"/>
  <c r="I145" i="28"/>
  <c r="AV33" i="28" l="1"/>
  <c r="AV37" i="28" s="1"/>
  <c r="BE36" i="26"/>
  <c r="BB61" i="26"/>
  <c r="BB60" i="26"/>
  <c r="AV329" i="28"/>
  <c r="BD324" i="28"/>
  <c r="BD329" i="28" s="1"/>
  <c r="BD312" i="28"/>
  <c r="BD33" i="28"/>
  <c r="BD37" i="28" s="1"/>
  <c r="AW44" i="28"/>
  <c r="BE40" i="28"/>
  <c r="BE44" i="28" s="1"/>
  <c r="N986" i="3"/>
  <c r="Q986" i="3" s="1"/>
  <c r="S986" i="3" s="1"/>
  <c r="U986" i="3" s="1"/>
  <c r="X986" i="3" s="1"/>
  <c r="N985" i="3"/>
  <c r="Q985" i="3" s="1"/>
  <c r="S985" i="3" s="1"/>
  <c r="U985" i="3" s="1"/>
  <c r="X985" i="3" s="1"/>
  <c r="N835" i="3"/>
  <c r="Q835" i="3" s="1"/>
  <c r="N826" i="3"/>
  <c r="Q826" i="3" s="1"/>
  <c r="N793" i="3"/>
  <c r="Q793" i="3" s="1"/>
  <c r="N772" i="3"/>
  <c r="N771" i="3"/>
  <c r="N766" i="3"/>
  <c r="N765" i="3"/>
  <c r="N762" i="3"/>
  <c r="Z986" i="3" l="1"/>
  <c r="AB986" i="3" s="1"/>
  <c r="AF986" i="3" s="1"/>
  <c r="Z985" i="3"/>
  <c r="AB985" i="3" s="1"/>
  <c r="AF985" i="3" s="1"/>
  <c r="N819" i="3"/>
  <c r="Q819" i="3" s="1"/>
  <c r="S819" i="3" s="1"/>
  <c r="U819" i="3" s="1"/>
  <c r="X819" i="3" s="1"/>
  <c r="S826" i="3"/>
  <c r="U826" i="3" s="1"/>
  <c r="S835" i="3"/>
  <c r="U835" i="3" s="1"/>
  <c r="X835" i="3" s="1"/>
  <c r="Z835" i="3" s="1"/>
  <c r="AB835" i="3" s="1"/>
  <c r="AF835" i="3" s="1"/>
  <c r="S793" i="3"/>
  <c r="U793" i="3" s="1"/>
  <c r="X793" i="3" s="1"/>
  <c r="Q762" i="3"/>
  <c r="Q772" i="3"/>
  <c r="Q765" i="3"/>
  <c r="Q766" i="3"/>
  <c r="Q771" i="3"/>
  <c r="N1115" i="3"/>
  <c r="Q1115" i="3"/>
  <c r="S1115" i="3" s="1"/>
  <c r="U1115" i="3" s="1"/>
  <c r="X1115" i="3" s="1"/>
  <c r="N1033" i="3"/>
  <c r="Q1033" i="3"/>
  <c r="S1033" i="3" s="1"/>
  <c r="N1112" i="3"/>
  <c r="Q1112" i="3"/>
  <c r="S1112" i="3" s="1"/>
  <c r="U1112" i="3" s="1"/>
  <c r="X1112" i="3" s="1"/>
  <c r="Z1115" i="3" l="1"/>
  <c r="AB1115" i="3" s="1"/>
  <c r="AF1115" i="3" s="1"/>
  <c r="Z1112" i="3"/>
  <c r="AB1112" i="3" s="1"/>
  <c r="AF1112" i="3" s="1"/>
  <c r="Z793" i="3"/>
  <c r="AB793" i="3" s="1"/>
  <c r="AF793" i="3" s="1"/>
  <c r="Z819" i="3"/>
  <c r="AB819" i="3" s="1"/>
  <c r="AF819" i="3" s="1"/>
  <c r="S766" i="3"/>
  <c r="U766" i="3" s="1"/>
  <c r="X766" i="3" s="1"/>
  <c r="S765" i="3"/>
  <c r="U765" i="3" s="1"/>
  <c r="X765" i="3" s="1"/>
  <c r="S772" i="3"/>
  <c r="U772" i="3" s="1"/>
  <c r="X772" i="3" s="1"/>
  <c r="Z772" i="3" s="1"/>
  <c r="AB772" i="3" s="1"/>
  <c r="AF772" i="3" s="1"/>
  <c r="S771" i="3"/>
  <c r="U771" i="3" s="1"/>
  <c r="X771" i="3" s="1"/>
  <c r="Z771" i="3" s="1"/>
  <c r="AB771" i="3" s="1"/>
  <c r="AF771" i="3" s="1"/>
  <c r="S762" i="3"/>
  <c r="U762" i="3" s="1"/>
  <c r="X762" i="3" s="1"/>
  <c r="Z762" i="3" s="1"/>
  <c r="AB762" i="3" s="1"/>
  <c r="AF762" i="3" s="1"/>
  <c r="G49" i="11"/>
  <c r="G109" i="10"/>
  <c r="Z765" i="3" l="1"/>
  <c r="AB765" i="3" s="1"/>
  <c r="AF765" i="3" s="1"/>
  <c r="Z766" i="3"/>
  <c r="AB766" i="3" s="1"/>
  <c r="AF766" i="3" s="1"/>
  <c r="D87" i="9"/>
  <c r="J11" i="6" l="1"/>
  <c r="N779" i="3" l="1"/>
  <c r="Q779" i="3" s="1"/>
  <c r="S779" i="3" s="1"/>
  <c r="I60" i="28" l="1"/>
  <c r="M60" i="28" s="1"/>
  <c r="E61" i="28"/>
  <c r="E64" i="28"/>
  <c r="I48" i="28"/>
  <c r="M48" i="28" s="1"/>
  <c r="E49" i="28"/>
  <c r="E53" i="28"/>
  <c r="I52" i="28"/>
  <c r="M52" i="28" s="1"/>
  <c r="M49" i="28" l="1"/>
  <c r="Q48" i="28"/>
  <c r="M53" i="28"/>
  <c r="Q52" i="28"/>
  <c r="M61" i="28"/>
  <c r="Q60" i="28"/>
  <c r="I49" i="28"/>
  <c r="E65" i="28"/>
  <c r="E66" i="28" s="1"/>
  <c r="I64" i="28"/>
  <c r="M64" i="28" s="1"/>
  <c r="Q64" i="28" s="1"/>
  <c r="I53" i="28"/>
  <c r="I61" i="28"/>
  <c r="I29" i="11"/>
  <c r="Q53" i="28" l="1"/>
  <c r="U52" i="28"/>
  <c r="Q61" i="28"/>
  <c r="U60" i="28"/>
  <c r="Q49" i="28"/>
  <c r="U48" i="28"/>
  <c r="Q65" i="28"/>
  <c r="Q66" i="28" s="1"/>
  <c r="U64" i="28"/>
  <c r="AA64" i="28" s="1"/>
  <c r="M65" i="28"/>
  <c r="M66" i="28" s="1"/>
  <c r="I65" i="28"/>
  <c r="I66" i="28" s="1"/>
  <c r="AA65" i="28" l="1"/>
  <c r="AA66" i="28" s="1"/>
  <c r="AE64" i="28"/>
  <c r="AI64" i="28" s="1"/>
  <c r="U53" i="28"/>
  <c r="AA52" i="28"/>
  <c r="U61" i="28"/>
  <c r="AA60" i="28"/>
  <c r="U49" i="28"/>
  <c r="AA48" i="28"/>
  <c r="U65" i="28"/>
  <c r="U66" i="28" s="1"/>
  <c r="D95" i="9"/>
  <c r="AI65" i="28" l="1"/>
  <c r="AI66" i="28" s="1"/>
  <c r="AO64" i="28"/>
  <c r="AS64" i="28" s="1"/>
  <c r="AA61" i="28"/>
  <c r="AE60" i="28"/>
  <c r="AA49" i="28"/>
  <c r="AE48" i="28"/>
  <c r="AA53" i="28"/>
  <c r="AE52" i="28"/>
  <c r="AE65" i="28"/>
  <c r="AE66" i="28" s="1"/>
  <c r="D16" i="8"/>
  <c r="M77" i="6"/>
  <c r="AS65" i="28" l="1"/>
  <c r="AS66" i="28" s="1"/>
  <c r="AW64" i="28"/>
  <c r="BE64" i="28" s="1"/>
  <c r="BE65" i="28" s="1"/>
  <c r="BE66" i="28" s="1"/>
  <c r="AO65" i="28"/>
  <c r="AO66" i="28" s="1"/>
  <c r="AE53" i="28"/>
  <c r="AI52" i="28"/>
  <c r="AE49" i="28"/>
  <c r="AI48" i="28"/>
  <c r="AE61" i="28"/>
  <c r="AI60" i="28"/>
  <c r="Q77" i="6"/>
  <c r="U77" i="6" s="1"/>
  <c r="AW65" i="28" l="1"/>
  <c r="AW66" i="28" s="1"/>
  <c r="AI61" i="28"/>
  <c r="AO60" i="28"/>
  <c r="AI53" i="28"/>
  <c r="AO52" i="28"/>
  <c r="AI49" i="28"/>
  <c r="AO48" i="28"/>
  <c r="AA77" i="6"/>
  <c r="AE77" i="6" s="1"/>
  <c r="AI77" i="6" s="1"/>
  <c r="AO77" i="6" s="1"/>
  <c r="AS77" i="6" s="1"/>
  <c r="AW77" i="6" s="1"/>
  <c r="BE77" i="6" s="1"/>
  <c r="AD1361" i="3"/>
  <c r="AO61" i="28" l="1"/>
  <c r="AS60" i="28"/>
  <c r="AO53" i="28"/>
  <c r="AS52" i="28"/>
  <c r="AO49" i="28"/>
  <c r="AS48" i="28"/>
  <c r="AD1230" i="3"/>
  <c r="AS53" i="28" l="1"/>
  <c r="AW52" i="28"/>
  <c r="AS49" i="28"/>
  <c r="AW48" i="28"/>
  <c r="AS61" i="28"/>
  <c r="AW60" i="28"/>
  <c r="AF468" i="3"/>
  <c r="AD468" i="3"/>
  <c r="AE468" i="3" s="1"/>
  <c r="AD1218" i="3"/>
  <c r="AD1204" i="3"/>
  <c r="AD1195" i="3"/>
  <c r="AD1019" i="3"/>
  <c r="AE623" i="3"/>
  <c r="AD623" i="3"/>
  <c r="AW61" i="28" l="1"/>
  <c r="BE60" i="28"/>
  <c r="BE61" i="28" s="1"/>
  <c r="AW53" i="28"/>
  <c r="BE52" i="28"/>
  <c r="BE53" i="28" s="1"/>
  <c r="AW49" i="28"/>
  <c r="BE48" i="28"/>
  <c r="BE49" i="28" s="1"/>
  <c r="AD1303" i="3"/>
  <c r="AD1302" i="3"/>
  <c r="AE380" i="3"/>
  <c r="AD380" i="3"/>
  <c r="AD37" i="3" l="1"/>
  <c r="AD1459" i="3" l="1"/>
  <c r="AD1420" i="3"/>
  <c r="AD1414" i="3"/>
  <c r="AD1407" i="3"/>
  <c r="AD1355" i="3"/>
  <c r="AD1202" i="3"/>
  <c r="AD926" i="3"/>
  <c r="AD923" i="3"/>
  <c r="AD922" i="3"/>
  <c r="AD921" i="3"/>
  <c r="AE921" i="3" s="1"/>
  <c r="AD706" i="3"/>
  <c r="AD700" i="3"/>
  <c r="AD697" i="3"/>
  <c r="AD674" i="3"/>
  <c r="AD673" i="3"/>
  <c r="AD672" i="3"/>
  <c r="AD469" i="3"/>
  <c r="AD466" i="3"/>
  <c r="AD452" i="3"/>
  <c r="AD322" i="3"/>
  <c r="AE322" i="3" s="1"/>
  <c r="AD130" i="3"/>
  <c r="AD125" i="3"/>
  <c r="AD81" i="3"/>
  <c r="AD80" i="3"/>
  <c r="AD75" i="3"/>
  <c r="AD76" i="3"/>
  <c r="AD77" i="3"/>
  <c r="AD69" i="3"/>
  <c r="AD70" i="3"/>
  <c r="AD71" i="3"/>
  <c r="AD63" i="3"/>
  <c r="BB6" i="24" l="1"/>
  <c r="BA6" i="24"/>
  <c r="BB8" i="24"/>
  <c r="BA8" i="24"/>
  <c r="BB7" i="24"/>
  <c r="BA7" i="24"/>
  <c r="W1097" i="3" l="1"/>
  <c r="AE1097" i="3" s="1"/>
  <c r="AF921" i="3" l="1"/>
  <c r="J27" i="22" l="1"/>
  <c r="N27" i="22" s="1"/>
  <c r="R27" i="22" s="1"/>
  <c r="V27" i="22" s="1"/>
  <c r="F28" i="22"/>
  <c r="F64" i="22" s="1"/>
  <c r="F65" i="22" s="1"/>
  <c r="F66" i="22" s="1"/>
  <c r="E40" i="48" s="1"/>
  <c r="J13" i="22"/>
  <c r="AB27" i="22" l="1"/>
  <c r="N13" i="22"/>
  <c r="R13" i="22" s="1"/>
  <c r="V13" i="22" s="1"/>
  <c r="AB13" i="22" l="1"/>
  <c r="AF13" i="22" s="1"/>
  <c r="AF27" i="22"/>
  <c r="N822" i="3"/>
  <c r="Q822" i="3" s="1"/>
  <c r="P822" i="3"/>
  <c r="W822" i="3"/>
  <c r="AE822" i="3" s="1"/>
  <c r="AJ27" i="22" l="1"/>
  <c r="AP27" i="22" s="1"/>
  <c r="AJ13" i="22"/>
  <c r="S822" i="3"/>
  <c r="U822" i="3" s="1"/>
  <c r="X822" i="3" s="1"/>
  <c r="AP13" i="22" l="1"/>
  <c r="AT27" i="22"/>
  <c r="Z822" i="3"/>
  <c r="AB822" i="3" s="1"/>
  <c r="AF822" i="3" s="1"/>
  <c r="AX27" i="22" l="1"/>
  <c r="BF27" i="22" s="1"/>
  <c r="AT13" i="22"/>
  <c r="Z322" i="3"/>
  <c r="AX13" i="22" l="1"/>
  <c r="BF13" i="22" s="1"/>
  <c r="AD403" i="3"/>
  <c r="AI192" i="6" s="1"/>
  <c r="AB322" i="3"/>
  <c r="AF322" i="3" s="1"/>
  <c r="AD91" i="3"/>
  <c r="AD90" i="3"/>
  <c r="AD89" i="3"/>
  <c r="AD88" i="3"/>
  <c r="AD402" i="3" l="1"/>
  <c r="AI191" i="6" s="1"/>
  <c r="AD404" i="3"/>
  <c r="AI193" i="6" s="1"/>
  <c r="AD457" i="3" l="1"/>
  <c r="AD665" i="3" l="1"/>
  <c r="AD456" i="3"/>
  <c r="AD453" i="3"/>
  <c r="AD664" i="3"/>
  <c r="AD455" i="3" l="1"/>
  <c r="AD1410" i="3"/>
  <c r="AD1413" i="3"/>
  <c r="AD1401" i="3"/>
  <c r="AD1417" i="3"/>
  <c r="AD1411" i="3"/>
  <c r="AD1412" i="3"/>
  <c r="AD1402" i="3"/>
  <c r="AD1418" i="3"/>
  <c r="AD1419" i="3"/>
  <c r="AD1403" i="3"/>
  <c r="AD1404" i="3"/>
  <c r="AD1405" i="3"/>
  <c r="AD1408" i="3" l="1"/>
  <c r="AD1415" i="3"/>
  <c r="AD1421" i="3"/>
  <c r="X826" i="3" l="1"/>
  <c r="Z826" i="3" s="1"/>
  <c r="AB826" i="3" s="1"/>
  <c r="AF826" i="3" s="1"/>
  <c r="W826" i="3"/>
  <c r="AE826" i="3" s="1"/>
  <c r="W1218" i="3" l="1"/>
  <c r="AE1218" i="3" l="1"/>
  <c r="W1303" i="3"/>
  <c r="W1302" i="3"/>
  <c r="U779" i="3"/>
  <c r="AE1302" i="3" l="1"/>
  <c r="AE1303" i="3"/>
  <c r="AD1362" i="3" l="1"/>
  <c r="AD1357" i="3"/>
  <c r="AD1354" i="3" l="1"/>
  <c r="AD1356" i="3"/>
  <c r="AD1358" i="3" l="1"/>
  <c r="I146" i="9" l="1"/>
  <c r="M146" i="9" s="1"/>
  <c r="Q146" i="9" s="1"/>
  <c r="U146" i="9" s="1"/>
  <c r="AA146" i="9" l="1"/>
  <c r="Y146" i="9"/>
  <c r="U1033" i="3"/>
  <c r="W469" i="3" l="1"/>
  <c r="AE469" i="3" s="1"/>
  <c r="X1033" i="3" l="1"/>
  <c r="W1033" i="3"/>
  <c r="AE1033" i="3" s="1"/>
  <c r="X779" i="3"/>
  <c r="Z779" i="3" s="1"/>
  <c r="AB779" i="3" s="1"/>
  <c r="AF779" i="3" s="1"/>
  <c r="W779" i="3"/>
  <c r="AE779" i="3" s="1"/>
  <c r="Z1033" i="3" l="1"/>
  <c r="AB1033" i="3" l="1"/>
  <c r="AF1033" i="3" s="1"/>
  <c r="AN8" i="24"/>
  <c r="BD8" i="24" s="1"/>
  <c r="AM8" i="24"/>
  <c r="BC8" i="24" s="1"/>
  <c r="AN7" i="24"/>
  <c r="BD7" i="24" s="1"/>
  <c r="AM7" i="24"/>
  <c r="BC7" i="24" s="1"/>
  <c r="AN6" i="24"/>
  <c r="BD6" i="24" s="1"/>
  <c r="BC6" i="24"/>
  <c r="W1053" i="3" l="1"/>
  <c r="AE1053" i="3" s="1"/>
  <c r="P1053" i="3"/>
  <c r="N1053" i="3"/>
  <c r="Q1053" i="3" l="1"/>
  <c r="S1053" i="3" s="1"/>
  <c r="U1053" i="3" s="1"/>
  <c r="X1053" i="3" s="1"/>
  <c r="Z1053" i="3" l="1"/>
  <c r="AB1053" i="3" l="1"/>
  <c r="AF1053" i="3" s="1"/>
  <c r="W1459" i="3" l="1"/>
  <c r="AE1459" i="3" s="1"/>
  <c r="W1355" i="3"/>
  <c r="AE1355" i="3" s="1"/>
  <c r="W1361" i="3"/>
  <c r="W1352" i="3" l="1"/>
  <c r="AE1361" i="3"/>
  <c r="W1230" i="3"/>
  <c r="AE1230" i="3" s="1"/>
  <c r="W1202" i="3" l="1"/>
  <c r="W1080" i="3"/>
  <c r="AE1080" i="3" s="1"/>
  <c r="W1081" i="3"/>
  <c r="AE1081" i="3" s="1"/>
  <c r="W1082" i="3"/>
  <c r="AE1082" i="3" s="1"/>
  <c r="W1084" i="3"/>
  <c r="AE1084" i="3" s="1"/>
  <c r="W1085" i="3"/>
  <c r="AE1085" i="3" s="1"/>
  <c r="W1089" i="3"/>
  <c r="AE1089" i="3" s="1"/>
  <c r="W1090" i="3"/>
  <c r="AE1090" i="3" s="1"/>
  <c r="W1093" i="3"/>
  <c r="AE1093" i="3" s="1"/>
  <c r="W1098" i="3"/>
  <c r="AE1098" i="3" s="1"/>
  <c r="W1101" i="3"/>
  <c r="AE1101" i="3" s="1"/>
  <c r="W1108" i="3"/>
  <c r="AE1108" i="3" s="1"/>
  <c r="W1109" i="3"/>
  <c r="AE1109" i="3" s="1"/>
  <c r="W1110" i="3"/>
  <c r="AE1110" i="3" s="1"/>
  <c r="W1111" i="3"/>
  <c r="AE1111" i="3" s="1"/>
  <c r="W1113" i="3"/>
  <c r="AE1113" i="3" s="1"/>
  <c r="W1114" i="3"/>
  <c r="AE1114" i="3" s="1"/>
  <c r="W1116" i="3"/>
  <c r="AE1116" i="3" s="1"/>
  <c r="W1117" i="3"/>
  <c r="AE1117" i="3" s="1"/>
  <c r="W1118" i="3"/>
  <c r="AE1118" i="3" s="1"/>
  <c r="W1023" i="3"/>
  <c r="AE1023" i="3" s="1"/>
  <c r="W1024" i="3"/>
  <c r="AE1024" i="3" s="1"/>
  <c r="W1025" i="3"/>
  <c r="AE1025" i="3" s="1"/>
  <c r="W1026" i="3"/>
  <c r="AE1026" i="3" s="1"/>
  <c r="W1027" i="3"/>
  <c r="AE1027" i="3" s="1"/>
  <c r="W1029" i="3"/>
  <c r="AE1029" i="3" s="1"/>
  <c r="W1030" i="3"/>
  <c r="AE1030" i="3" s="1"/>
  <c r="W1031" i="3"/>
  <c r="AE1031" i="3" s="1"/>
  <c r="W1032" i="3"/>
  <c r="AE1032" i="3" s="1"/>
  <c r="W1035" i="3"/>
  <c r="AE1035" i="3" s="1"/>
  <c r="W1036" i="3"/>
  <c r="AE1036" i="3" s="1"/>
  <c r="W1037" i="3"/>
  <c r="AE1037" i="3" s="1"/>
  <c r="W1038" i="3"/>
  <c r="AE1038" i="3" s="1"/>
  <c r="W1039" i="3"/>
  <c r="AE1039" i="3" s="1"/>
  <c r="W1041" i="3"/>
  <c r="AE1041" i="3" s="1"/>
  <c r="W1042" i="3"/>
  <c r="AE1042" i="3" s="1"/>
  <c r="W1046" i="3"/>
  <c r="AE1046" i="3" s="1"/>
  <c r="W1051" i="3"/>
  <c r="AE1051" i="3" s="1"/>
  <c r="W1052" i="3"/>
  <c r="AE1052" i="3" s="1"/>
  <c r="W1054" i="3"/>
  <c r="AE1054" i="3" s="1"/>
  <c r="W1055" i="3"/>
  <c r="AE1055" i="3" s="1"/>
  <c r="W1057" i="3"/>
  <c r="AE1057" i="3" s="1"/>
  <c r="W1059" i="3"/>
  <c r="AE1059" i="3" s="1"/>
  <c r="W1060" i="3"/>
  <c r="AE1060" i="3" s="1"/>
  <c r="W1062" i="3"/>
  <c r="AE1062" i="3" s="1"/>
  <c r="W1063" i="3"/>
  <c r="AE1063" i="3" s="1"/>
  <c r="W1065" i="3"/>
  <c r="AE1065" i="3" s="1"/>
  <c r="W1066" i="3"/>
  <c r="AE1066" i="3" s="1"/>
  <c r="W1067" i="3"/>
  <c r="AE1067" i="3" s="1"/>
  <c r="W1068" i="3"/>
  <c r="AE1068" i="3" s="1"/>
  <c r="W1069" i="3"/>
  <c r="AE1069" i="3" s="1"/>
  <c r="W1070" i="3"/>
  <c r="AE1070" i="3" s="1"/>
  <c r="W1071" i="3"/>
  <c r="AE1071" i="3" s="1"/>
  <c r="W1072" i="3"/>
  <c r="AE1072" i="3" s="1"/>
  <c r="W1073" i="3"/>
  <c r="AE1073" i="3" s="1"/>
  <c r="W968" i="3"/>
  <c r="AE968" i="3" s="1"/>
  <c r="W970" i="3"/>
  <c r="AE970" i="3" s="1"/>
  <c r="W971" i="3"/>
  <c r="AE971" i="3" s="1"/>
  <c r="W973" i="3"/>
  <c r="AE973" i="3" s="1"/>
  <c r="W974" i="3"/>
  <c r="AE974" i="3" s="1"/>
  <c r="W976" i="3"/>
  <c r="AE976" i="3" s="1"/>
  <c r="W977" i="3"/>
  <c r="AE977" i="3" s="1"/>
  <c r="W978" i="3"/>
  <c r="AE978" i="3" s="1"/>
  <c r="W979" i="3"/>
  <c r="AE979" i="3" s="1"/>
  <c r="W980" i="3"/>
  <c r="AE980" i="3" s="1"/>
  <c r="W981" i="3"/>
  <c r="AE981" i="3" s="1"/>
  <c r="W982" i="3"/>
  <c r="AE982" i="3" s="1"/>
  <c r="W983" i="3"/>
  <c r="AE983" i="3" s="1"/>
  <c r="W987" i="3"/>
  <c r="AE987" i="3" s="1"/>
  <c r="W989" i="3"/>
  <c r="AE989" i="3" s="1"/>
  <c r="W990" i="3"/>
  <c r="AE990" i="3" s="1"/>
  <c r="W991" i="3"/>
  <c r="AE991" i="3" s="1"/>
  <c r="W995" i="3"/>
  <c r="AE995" i="3" s="1"/>
  <c r="W996" i="3"/>
  <c r="AE996" i="3" s="1"/>
  <c r="W997" i="3"/>
  <c r="AE997" i="3" s="1"/>
  <c r="W998" i="3"/>
  <c r="AE998" i="3" s="1"/>
  <c r="W1001" i="3"/>
  <c r="AE1001" i="3" s="1"/>
  <c r="W1002" i="3"/>
  <c r="AE1002" i="3" s="1"/>
  <c r="W1003" i="3"/>
  <c r="AE1003" i="3" s="1"/>
  <c r="W1004" i="3"/>
  <c r="AE1004" i="3" s="1"/>
  <c r="W922" i="3"/>
  <c r="AE922" i="3" s="1"/>
  <c r="W923" i="3"/>
  <c r="AE923" i="3" s="1"/>
  <c r="W926" i="3"/>
  <c r="AE926" i="3" s="1"/>
  <c r="W930" i="3"/>
  <c r="AE930" i="3" s="1"/>
  <c r="W931" i="3"/>
  <c r="AE931" i="3" s="1"/>
  <c r="W932" i="3"/>
  <c r="AE932" i="3" s="1"/>
  <c r="W934" i="3"/>
  <c r="AE934" i="3" s="1"/>
  <c r="W935" i="3"/>
  <c r="AE935" i="3" s="1"/>
  <c r="W936" i="3"/>
  <c r="AE936" i="3" s="1"/>
  <c r="W937" i="3"/>
  <c r="AE937" i="3" s="1"/>
  <c r="W938" i="3"/>
  <c r="AE938" i="3" s="1"/>
  <c r="W939" i="3"/>
  <c r="AE939" i="3" s="1"/>
  <c r="W940" i="3"/>
  <c r="AE940" i="3" s="1"/>
  <c r="W942" i="3"/>
  <c r="AE942" i="3" s="1"/>
  <c r="W945" i="3"/>
  <c r="AE945" i="3" s="1"/>
  <c r="W948" i="3"/>
  <c r="AE948" i="3" s="1"/>
  <c r="W949" i="3"/>
  <c r="AE949" i="3" s="1"/>
  <c r="W951" i="3"/>
  <c r="AE951" i="3" s="1"/>
  <c r="W952" i="3"/>
  <c r="AE952" i="3" s="1"/>
  <c r="W954" i="3"/>
  <c r="AE954" i="3" s="1"/>
  <c r="W955" i="3"/>
  <c r="AE955" i="3" s="1"/>
  <c r="W956" i="3"/>
  <c r="AE956" i="3" s="1"/>
  <c r="W957" i="3"/>
  <c r="AE957" i="3" s="1"/>
  <c r="W958" i="3"/>
  <c r="AE958" i="3" s="1"/>
  <c r="W960" i="3"/>
  <c r="AE960" i="3" s="1"/>
  <c r="W961" i="3"/>
  <c r="AE961" i="3" s="1"/>
  <c r="W962" i="3"/>
  <c r="AE962" i="3" s="1"/>
  <c r="W963" i="3"/>
  <c r="AE963" i="3" s="1"/>
  <c r="W758" i="3"/>
  <c r="AE758" i="3" s="1"/>
  <c r="W761" i="3"/>
  <c r="AE761" i="3" s="1"/>
  <c r="W767" i="3"/>
  <c r="AE767" i="3" s="1"/>
  <c r="W768" i="3"/>
  <c r="AE768" i="3" s="1"/>
  <c r="W769" i="3"/>
  <c r="AE769" i="3" s="1"/>
  <c r="W774" i="3"/>
  <c r="AE774" i="3" s="1"/>
  <c r="W775" i="3"/>
  <c r="AE775" i="3" s="1"/>
  <c r="W776" i="3"/>
  <c r="AE776" i="3" s="1"/>
  <c r="W777" i="3"/>
  <c r="AE777" i="3" s="1"/>
  <c r="W778" i="3"/>
  <c r="AE778" i="3" s="1"/>
  <c r="W780" i="3"/>
  <c r="AE780" i="3" s="1"/>
  <c r="W781" i="3"/>
  <c r="AE781" i="3" s="1"/>
  <c r="W792" i="3"/>
  <c r="AE792" i="3" s="1"/>
  <c r="W798" i="3"/>
  <c r="AE798" i="3" s="1"/>
  <c r="W799" i="3"/>
  <c r="AE799" i="3" s="1"/>
  <c r="W800" i="3"/>
  <c r="AE800" i="3" s="1"/>
  <c r="W811" i="3"/>
  <c r="AE811" i="3" s="1"/>
  <c r="W821" i="3"/>
  <c r="AE821" i="3" s="1"/>
  <c r="W823" i="3"/>
  <c r="AE823" i="3" s="1"/>
  <c r="W827" i="3"/>
  <c r="AE827" i="3" s="1"/>
  <c r="W830" i="3"/>
  <c r="AE830" i="3" s="1"/>
  <c r="W832" i="3"/>
  <c r="AE832" i="3" s="1"/>
  <c r="W833" i="3"/>
  <c r="AE833" i="3" s="1"/>
  <c r="W834" i="3"/>
  <c r="AE834" i="3" s="1"/>
  <c r="W836" i="3"/>
  <c r="AE836" i="3" s="1"/>
  <c r="W837" i="3"/>
  <c r="AE837" i="3" s="1"/>
  <c r="W839" i="3"/>
  <c r="AE839" i="3" s="1"/>
  <c r="W840" i="3"/>
  <c r="AE840" i="3" s="1"/>
  <c r="W842" i="3"/>
  <c r="AE842" i="3" s="1"/>
  <c r="W843" i="3"/>
  <c r="AE843" i="3" s="1"/>
  <c r="W706" i="3"/>
  <c r="AE706" i="3" s="1"/>
  <c r="W707" i="3"/>
  <c r="W709" i="3"/>
  <c r="W710" i="3"/>
  <c r="W712" i="3"/>
  <c r="W696" i="3"/>
  <c r="W697" i="3"/>
  <c r="AE697" i="3" s="1"/>
  <c r="W698" i="3"/>
  <c r="W699" i="3"/>
  <c r="W700" i="3"/>
  <c r="AE700" i="3" s="1"/>
  <c r="W701" i="3"/>
  <c r="W672" i="3"/>
  <c r="W673" i="3"/>
  <c r="AE673" i="3" s="1"/>
  <c r="W674" i="3"/>
  <c r="AE674" i="3" s="1"/>
  <c r="W677" i="3"/>
  <c r="W623" i="3"/>
  <c r="AE672" i="3" l="1"/>
  <c r="AE1202" i="3"/>
  <c r="W466" i="3"/>
  <c r="AE466" i="3" s="1"/>
  <c r="W467" i="3"/>
  <c r="W470" i="3"/>
  <c r="W471" i="3"/>
  <c r="W380" i="3"/>
  <c r="W130" i="3" l="1"/>
  <c r="AE130" i="3" s="1"/>
  <c r="W131" i="3"/>
  <c r="W123" i="3"/>
  <c r="W124" i="3"/>
  <c r="W125" i="3"/>
  <c r="AE125" i="3" s="1"/>
  <c r="W126" i="3"/>
  <c r="W81" i="3"/>
  <c r="AE81" i="3" s="1"/>
  <c r="W82" i="3"/>
  <c r="W83" i="3"/>
  <c r="W84" i="3"/>
  <c r="W80" i="3"/>
  <c r="AE80" i="3" s="1"/>
  <c r="W75" i="3"/>
  <c r="AE75" i="3" s="1"/>
  <c r="W76" i="3"/>
  <c r="AE76" i="3" s="1"/>
  <c r="W69" i="3"/>
  <c r="AE69" i="3" s="1"/>
  <c r="W70" i="3"/>
  <c r="AE70" i="3" s="1"/>
  <c r="W63" i="3"/>
  <c r="AE63" i="3" s="1"/>
  <c r="W1045" i="3" l="1"/>
  <c r="AE1045" i="3" s="1"/>
  <c r="W969" i="3" l="1"/>
  <c r="AE969" i="3" s="1"/>
  <c r="W831" i="3" l="1"/>
  <c r="AE831" i="3" s="1"/>
  <c r="W770" i="3"/>
  <c r="AE770" i="3" s="1"/>
  <c r="W801" i="3"/>
  <c r="AE801" i="3" s="1"/>
  <c r="P830" i="3"/>
  <c r="P831" i="3"/>
  <c r="N831" i="3"/>
  <c r="Q831" i="3" s="1"/>
  <c r="N830" i="3"/>
  <c r="Q830" i="3" s="1"/>
  <c r="S830" i="3" s="1"/>
  <c r="P823" i="3"/>
  <c r="N823" i="3"/>
  <c r="Q823" i="3" s="1"/>
  <c r="P801" i="3"/>
  <c r="N801" i="3"/>
  <c r="Q801" i="3" s="1"/>
  <c r="S823" i="3" l="1"/>
  <c r="U823" i="3" s="1"/>
  <c r="X823" i="3" s="1"/>
  <c r="S801" i="3"/>
  <c r="U801" i="3" s="1"/>
  <c r="X801" i="3" s="1"/>
  <c r="S831" i="3"/>
  <c r="U831" i="3" s="1"/>
  <c r="X831" i="3" s="1"/>
  <c r="Z831" i="3" l="1"/>
  <c r="AB831" i="3" s="1"/>
  <c r="AF831" i="3" s="1"/>
  <c r="Z801" i="3"/>
  <c r="AB801" i="3" s="1"/>
  <c r="AF801" i="3" s="1"/>
  <c r="Z823" i="3"/>
  <c r="AB823" i="3" s="1"/>
  <c r="AF823" i="3" s="1"/>
  <c r="W665" i="3" l="1"/>
  <c r="W664" i="3"/>
  <c r="W456" i="3"/>
  <c r="AE665" i="3" l="1"/>
  <c r="AE664" i="3"/>
  <c r="W1402" i="3" l="1"/>
  <c r="W1412" i="3"/>
  <c r="W1419" i="3"/>
  <c r="W1403" i="3"/>
  <c r="W1404" i="3"/>
  <c r="W1413" i="3"/>
  <c r="W1411" i="3"/>
  <c r="W1418" i="3"/>
  <c r="W1405" i="3"/>
  <c r="W1401" i="3"/>
  <c r="W1410" i="3"/>
  <c r="W1417" i="3"/>
  <c r="W1408" i="3" l="1"/>
  <c r="AE1402" i="3"/>
  <c r="AE1405" i="3"/>
  <c r="AE1404" i="3"/>
  <c r="AE1411" i="3"/>
  <c r="AE1419" i="3"/>
  <c r="W1415" i="3"/>
  <c r="AE1417" i="3"/>
  <c r="W1421" i="3"/>
  <c r="AE1403" i="3"/>
  <c r="AE1401" i="3"/>
  <c r="AE1418" i="3"/>
  <c r="AE1412" i="3"/>
  <c r="AE1413" i="3"/>
  <c r="AE1410" i="3"/>
  <c r="AE1408" i="3" l="1"/>
  <c r="AE1421" i="3"/>
  <c r="AE1415" i="3"/>
  <c r="W1056" i="3" l="1"/>
  <c r="AE1056" i="3" s="1"/>
  <c r="W1040" i="3"/>
  <c r="AE1040" i="3" s="1"/>
  <c r="W1058" i="3"/>
  <c r="AE1058" i="3" s="1"/>
  <c r="W1034" i="3" l="1"/>
  <c r="AE1034" i="3" s="1"/>
  <c r="P674" i="3"/>
  <c r="H674" i="3"/>
  <c r="J674" i="3" s="1"/>
  <c r="L674" i="3" s="1"/>
  <c r="N674" i="3" s="1"/>
  <c r="Q674" i="3" s="1"/>
  <c r="S674" i="3" s="1"/>
  <c r="U674" i="3" s="1"/>
  <c r="X674" i="3" s="1"/>
  <c r="Z674" i="3" s="1"/>
  <c r="H466" i="3"/>
  <c r="J466" i="3" s="1"/>
  <c r="L466" i="3" s="1"/>
  <c r="N466" i="3" s="1"/>
  <c r="Q466" i="3" s="1"/>
  <c r="P466" i="3" s="1"/>
  <c r="L99" i="6" l="1"/>
  <c r="P99" i="6" s="1"/>
  <c r="T99" i="6" s="1"/>
  <c r="AB674" i="3"/>
  <c r="AF674" i="3" s="1"/>
  <c r="N761" i="3"/>
  <c r="Q761" i="3" s="1"/>
  <c r="S761" i="3" s="1"/>
  <c r="N764" i="3"/>
  <c r="Q764" i="3" s="1"/>
  <c r="S764" i="3" s="1"/>
  <c r="N767" i="3"/>
  <c r="Q767" i="3" s="1"/>
  <c r="S767" i="3" s="1"/>
  <c r="N768" i="3"/>
  <c r="Q768" i="3" s="1"/>
  <c r="S768" i="3" s="1"/>
  <c r="W947" i="3"/>
  <c r="AE947" i="3" s="1"/>
  <c r="W946" i="3"/>
  <c r="AE946" i="3" s="1"/>
  <c r="Z99" i="6" l="1"/>
  <c r="AD99" i="6" s="1"/>
  <c r="AH99" i="6" s="1"/>
  <c r="AN99" i="6" s="1"/>
  <c r="AR99" i="6" s="1"/>
  <c r="AV99" i="6" s="1"/>
  <c r="BD99" i="6" s="1"/>
  <c r="M99" i="6"/>
  <c r="Q99" i="6" s="1"/>
  <c r="U99" i="6" s="1"/>
  <c r="W824" i="3"/>
  <c r="AE824" i="3" s="1"/>
  <c r="W797" i="3"/>
  <c r="AE797" i="3" s="1"/>
  <c r="W828" i="3"/>
  <c r="AE828" i="3" s="1"/>
  <c r="W764" i="3"/>
  <c r="AE764" i="3" s="1"/>
  <c r="W943" i="3"/>
  <c r="AE943" i="3" s="1"/>
  <c r="W807" i="3"/>
  <c r="AE807" i="3" s="1"/>
  <c r="U830" i="3"/>
  <c r="X830" i="3" s="1"/>
  <c r="Z830" i="3" s="1"/>
  <c r="AB830" i="3" s="1"/>
  <c r="AF830" i="3" s="1"/>
  <c r="U768" i="3"/>
  <c r="X768" i="3" s="1"/>
  <c r="Z768" i="3" s="1"/>
  <c r="AB768" i="3" s="1"/>
  <c r="AF768" i="3" s="1"/>
  <c r="U761" i="3"/>
  <c r="X761" i="3" s="1"/>
  <c r="Z761" i="3" s="1"/>
  <c r="AB761" i="3" s="1"/>
  <c r="AF761" i="3" s="1"/>
  <c r="U767" i="3"/>
  <c r="X767" i="3" s="1"/>
  <c r="Z767" i="3" s="1"/>
  <c r="AB767" i="3" s="1"/>
  <c r="AF767" i="3" s="1"/>
  <c r="AA99" i="6" l="1"/>
  <c r="AE99" i="6" s="1"/>
  <c r="AI99" i="6" s="1"/>
  <c r="AO99" i="6" s="1"/>
  <c r="AS99" i="6" s="1"/>
  <c r="AW99" i="6" s="1"/>
  <c r="BE99" i="6" s="1"/>
  <c r="W403" i="3"/>
  <c r="AE403" i="3" s="1"/>
  <c r="AG192" i="6" s="1"/>
  <c r="W404" i="3"/>
  <c r="AE404" i="3" s="1"/>
  <c r="AG193" i="6" s="1"/>
  <c r="W402" i="3"/>
  <c r="AE402" i="3" s="1"/>
  <c r="AG191" i="6" s="1"/>
  <c r="W1354" i="3" l="1"/>
  <c r="AE1354" i="3" s="1"/>
  <c r="W1356" i="3"/>
  <c r="AE1356" i="3" s="1"/>
  <c r="W1357" i="3"/>
  <c r="AE1357" i="3" s="1"/>
  <c r="W1362" i="3"/>
  <c r="AE1362" i="3" s="1"/>
  <c r="S466" i="3"/>
  <c r="U466" i="3" s="1"/>
  <c r="X466" i="3" s="1"/>
  <c r="Z466" i="3" s="1"/>
  <c r="S239" i="3"/>
  <c r="W91" i="3"/>
  <c r="AE91" i="3" s="1"/>
  <c r="W90" i="3"/>
  <c r="AE90" i="3" s="1"/>
  <c r="W89" i="3"/>
  <c r="AE89" i="3" s="1"/>
  <c r="AB466" i="3" l="1"/>
  <c r="AF466" i="3" s="1"/>
  <c r="W1358" i="3"/>
  <c r="AE1358" i="3" s="1"/>
  <c r="W88" i="3"/>
  <c r="AE88" i="3" s="1"/>
  <c r="P1389" i="3" l="1"/>
  <c r="P380" i="3" l="1"/>
  <c r="P623" i="3"/>
  <c r="P672" i="3" l="1"/>
  <c r="P673" i="3"/>
  <c r="H672" i="3"/>
  <c r="H673" i="3"/>
  <c r="J673" i="3" s="1"/>
  <c r="L673" i="3" s="1"/>
  <c r="N673" i="3" s="1"/>
  <c r="Q673" i="3" s="1"/>
  <c r="S673" i="3" s="1"/>
  <c r="U673" i="3" s="1"/>
  <c r="X673" i="3" s="1"/>
  <c r="Z673" i="3" s="1"/>
  <c r="AB673" i="3" l="1"/>
  <c r="AF673" i="3" s="1"/>
  <c r="J672" i="3"/>
  <c r="L672" i="3" s="1"/>
  <c r="N672" i="3" s="1"/>
  <c r="Q672" i="3" s="1"/>
  <c r="S672" i="3" s="1"/>
  <c r="U672" i="3" s="1"/>
  <c r="X672" i="3" s="1"/>
  <c r="Z672" i="3" s="1"/>
  <c r="K212" i="6"/>
  <c r="K213" i="6"/>
  <c r="K211" i="6"/>
  <c r="G212" i="6"/>
  <c r="G213" i="6"/>
  <c r="G211" i="6"/>
  <c r="E212" i="6"/>
  <c r="E213" i="6"/>
  <c r="E211" i="6"/>
  <c r="M208" i="6"/>
  <c r="M209" i="6"/>
  <c r="M207" i="6"/>
  <c r="K208" i="6"/>
  <c r="K209" i="6"/>
  <c r="K207" i="6"/>
  <c r="I208" i="6"/>
  <c r="I209" i="6"/>
  <c r="I207" i="6"/>
  <c r="G208" i="6"/>
  <c r="G209" i="6"/>
  <c r="G207" i="6"/>
  <c r="E208" i="6"/>
  <c r="E209" i="6"/>
  <c r="E207" i="6"/>
  <c r="L94" i="6"/>
  <c r="P94" i="6" l="1"/>
  <c r="T94" i="6" s="1"/>
  <c r="AB672" i="3"/>
  <c r="AF672" i="3" s="1"/>
  <c r="M94" i="6"/>
  <c r="L95" i="6"/>
  <c r="P95" i="6" s="1"/>
  <c r="T95" i="6" s="1"/>
  <c r="L76" i="6"/>
  <c r="Z95" i="6" l="1"/>
  <c r="AD95" i="6" s="1"/>
  <c r="AH95" i="6" s="1"/>
  <c r="AN95" i="6" s="1"/>
  <c r="AR95" i="6" s="1"/>
  <c r="AV95" i="6" s="1"/>
  <c r="BD95" i="6" s="1"/>
  <c r="Z94" i="6"/>
  <c r="AD94" i="6" s="1"/>
  <c r="Q94" i="6"/>
  <c r="U94" i="6" s="1"/>
  <c r="L115" i="6"/>
  <c r="P115" i="6" s="1"/>
  <c r="T115" i="6" s="1"/>
  <c r="Z115" i="6" s="1"/>
  <c r="AD115" i="6" s="1"/>
  <c r="P76" i="6"/>
  <c r="T76" i="6" s="1"/>
  <c r="H403" i="3"/>
  <c r="H404" i="3"/>
  <c r="H402" i="3"/>
  <c r="M95" i="6"/>
  <c r="Q95" i="6" s="1"/>
  <c r="U95" i="6" s="1"/>
  <c r="M76" i="6"/>
  <c r="AH94" i="6" l="1"/>
  <c r="AH115" i="6"/>
  <c r="AA95" i="6"/>
  <c r="AE95" i="6" s="1"/>
  <c r="AI95" i="6" s="1"/>
  <c r="AO95" i="6" s="1"/>
  <c r="AS95" i="6" s="1"/>
  <c r="AW95" i="6" s="1"/>
  <c r="BE95" i="6" s="1"/>
  <c r="AA94" i="6"/>
  <c r="AE94" i="6" s="1"/>
  <c r="AI94" i="6" s="1"/>
  <c r="AO94" i="6" s="1"/>
  <c r="AS94" i="6" s="1"/>
  <c r="AW94" i="6" s="1"/>
  <c r="BE94" i="6" s="1"/>
  <c r="Z76" i="6"/>
  <c r="AD76" i="6" s="1"/>
  <c r="AH76" i="6" s="1"/>
  <c r="AN76" i="6" s="1"/>
  <c r="AR76" i="6" s="1"/>
  <c r="AV76" i="6" s="1"/>
  <c r="BD76" i="6" s="1"/>
  <c r="M115" i="6"/>
  <c r="Q115" i="6" s="1"/>
  <c r="U115" i="6" s="1"/>
  <c r="AA115" i="6" s="1"/>
  <c r="AE115" i="6" s="1"/>
  <c r="Q76" i="6"/>
  <c r="U76" i="6" s="1"/>
  <c r="AN94" i="6" l="1"/>
  <c r="AR94" i="6" s="1"/>
  <c r="AV94" i="6" s="1"/>
  <c r="BD94" i="6" s="1"/>
  <c r="AI115" i="6"/>
  <c r="AN115" i="6"/>
  <c r="AR115" i="6" s="1"/>
  <c r="AV115" i="6" s="1"/>
  <c r="BD115" i="6" s="1"/>
  <c r="AA76" i="6"/>
  <c r="AE76" i="6" s="1"/>
  <c r="AI76" i="6" s="1"/>
  <c r="AO76" i="6" s="1"/>
  <c r="AS76" i="6" s="1"/>
  <c r="AW76" i="6" s="1"/>
  <c r="BE76" i="6" s="1"/>
  <c r="J403" i="3"/>
  <c r="L403" i="3" s="1"/>
  <c r="Q192" i="6" s="1"/>
  <c r="J402" i="3"/>
  <c r="L402" i="3" s="1"/>
  <c r="Q191" i="6" s="1"/>
  <c r="J404" i="3"/>
  <c r="L404" i="3" s="1"/>
  <c r="Q193" i="6" s="1"/>
  <c r="AO115" i="6" l="1"/>
  <c r="AS115" i="6" s="1"/>
  <c r="AW115" i="6" s="1"/>
  <c r="BE115" i="6" s="1"/>
  <c r="N403" i="3"/>
  <c r="N404" i="3"/>
  <c r="N402" i="3"/>
  <c r="H465" i="3" l="1"/>
  <c r="J465" i="3" s="1"/>
  <c r="P404" i="3" l="1"/>
  <c r="U193" i="6" s="1"/>
  <c r="P402" i="3"/>
  <c r="U191" i="6" s="1"/>
  <c r="U271" i="6" s="1"/>
  <c r="P403" i="3"/>
  <c r="U192" i="6" s="1"/>
  <c r="Q403" i="3"/>
  <c r="S192" i="6" s="1"/>
  <c r="Q402" i="3"/>
  <c r="S191" i="6" s="1"/>
  <c r="S271" i="6" s="1"/>
  <c r="Q404" i="3"/>
  <c r="S193" i="6" s="1"/>
  <c r="S402" i="3" l="1"/>
  <c r="S404" i="3"/>
  <c r="S403" i="3"/>
  <c r="U402" i="3" l="1"/>
  <c r="W191" i="6" s="1"/>
  <c r="W271" i="6" s="1"/>
  <c r="U404" i="3"/>
  <c r="W193" i="6" s="1"/>
  <c r="U403" i="3"/>
  <c r="W192" i="6" s="1"/>
  <c r="X402" i="3" l="1"/>
  <c r="Z7" i="24"/>
  <c r="Z8" i="24"/>
  <c r="Y7" i="24"/>
  <c r="Y8" i="24"/>
  <c r="Z6" i="24"/>
  <c r="Y6" i="24"/>
  <c r="X404" i="3" l="1"/>
  <c r="X403" i="3"/>
  <c r="Z402" i="3"/>
  <c r="AE191" i="6" s="1"/>
  <c r="AE271" i="6" s="1"/>
  <c r="Z403" i="3" l="1"/>
  <c r="AE192" i="6" s="1"/>
  <c r="Z404" i="3"/>
  <c r="AE193" i="6" s="1"/>
  <c r="AB402" i="3"/>
  <c r="AF402" i="3" l="1"/>
  <c r="AB403" i="3"/>
  <c r="AF403" i="3" s="1"/>
  <c r="AB404" i="3"/>
  <c r="AF404" i="3" s="1"/>
  <c r="P1459" i="3" l="1"/>
  <c r="P1355" i="3"/>
  <c r="P1359" i="3"/>
  <c r="P1361" i="3"/>
  <c r="P1218" i="3"/>
  <c r="P1202" i="3"/>
  <c r="P1080" i="3"/>
  <c r="P1081" i="3"/>
  <c r="P1082" i="3"/>
  <c r="P1084" i="3"/>
  <c r="P1085" i="3"/>
  <c r="P1089" i="3"/>
  <c r="P1090" i="3"/>
  <c r="P1093" i="3"/>
  <c r="P1097" i="3"/>
  <c r="P1098" i="3"/>
  <c r="P1101" i="3"/>
  <c r="P1110" i="3"/>
  <c r="P1111" i="3"/>
  <c r="P1113" i="3"/>
  <c r="P1114" i="3"/>
  <c r="P1116" i="3"/>
  <c r="P1117" i="3"/>
  <c r="P1118" i="3"/>
  <c r="P1023" i="3"/>
  <c r="P1024" i="3"/>
  <c r="P1025" i="3"/>
  <c r="P1026" i="3"/>
  <c r="P1027" i="3"/>
  <c r="P1029" i="3"/>
  <c r="P1030" i="3"/>
  <c r="P1031" i="3"/>
  <c r="P1032" i="3"/>
  <c r="P1035" i="3"/>
  <c r="P1036" i="3"/>
  <c r="P1037" i="3"/>
  <c r="P1038" i="3"/>
  <c r="P1039" i="3"/>
  <c r="P1040" i="3"/>
  <c r="P1041" i="3"/>
  <c r="P1042" i="3"/>
  <c r="P1048" i="3"/>
  <c r="P1052" i="3"/>
  <c r="P1054" i="3"/>
  <c r="P1056" i="3"/>
  <c r="P1058" i="3"/>
  <c r="P1059" i="3"/>
  <c r="P1060" i="3"/>
  <c r="P1062" i="3"/>
  <c r="P1063" i="3"/>
  <c r="P1065" i="3"/>
  <c r="P1066" i="3"/>
  <c r="P1067" i="3"/>
  <c r="P1068" i="3"/>
  <c r="P1069" i="3"/>
  <c r="P1070" i="3"/>
  <c r="P1071" i="3"/>
  <c r="P1072" i="3"/>
  <c r="P1073" i="3"/>
  <c r="P968" i="3"/>
  <c r="P969" i="3"/>
  <c r="P970" i="3"/>
  <c r="P971" i="3"/>
  <c r="P973" i="3"/>
  <c r="P974" i="3"/>
  <c r="P976" i="3"/>
  <c r="P977" i="3"/>
  <c r="P978" i="3"/>
  <c r="P979" i="3"/>
  <c r="P980" i="3"/>
  <c r="P981" i="3"/>
  <c r="P982" i="3"/>
  <c r="P983" i="3"/>
  <c r="P987" i="3"/>
  <c r="P989" i="3"/>
  <c r="P990" i="3"/>
  <c r="P991" i="3"/>
  <c r="P995" i="3"/>
  <c r="P996" i="3"/>
  <c r="P997" i="3"/>
  <c r="P998" i="3"/>
  <c r="P1001" i="3"/>
  <c r="P1002" i="3"/>
  <c r="P1003" i="3"/>
  <c r="P1004" i="3"/>
  <c r="P922" i="3"/>
  <c r="P923" i="3"/>
  <c r="P926" i="3"/>
  <c r="P930" i="3"/>
  <c r="P931" i="3"/>
  <c r="P932" i="3"/>
  <c r="P934" i="3"/>
  <c r="P935" i="3"/>
  <c r="P936" i="3"/>
  <c r="P938" i="3"/>
  <c r="P939" i="3"/>
  <c r="P940" i="3"/>
  <c r="P942" i="3"/>
  <c r="P945" i="3"/>
  <c r="P946" i="3"/>
  <c r="P947" i="3"/>
  <c r="P948" i="3"/>
  <c r="P951" i="3"/>
  <c r="P952" i="3"/>
  <c r="P954" i="3"/>
  <c r="P955" i="3"/>
  <c r="P956" i="3"/>
  <c r="P957" i="3"/>
  <c r="P958" i="3"/>
  <c r="P960" i="3"/>
  <c r="P961" i="3"/>
  <c r="P962" i="3"/>
  <c r="P963" i="3"/>
  <c r="P909" i="3"/>
  <c r="P775" i="3"/>
  <c r="P776" i="3"/>
  <c r="P778" i="3"/>
  <c r="P780" i="3"/>
  <c r="P781" i="3"/>
  <c r="P792" i="3"/>
  <c r="P799" i="3"/>
  <c r="P811" i="3"/>
  <c r="P821" i="3"/>
  <c r="P827" i="3"/>
  <c r="P832" i="3"/>
  <c r="P833" i="3"/>
  <c r="P834" i="3"/>
  <c r="P836" i="3"/>
  <c r="P837" i="3"/>
  <c r="P840" i="3"/>
  <c r="P842" i="3"/>
  <c r="P843" i="3"/>
  <c r="P706" i="3"/>
  <c r="P700" i="3"/>
  <c r="P697" i="3"/>
  <c r="P1303" i="3" l="1"/>
  <c r="P1302" i="3"/>
  <c r="P358" i="3" l="1"/>
  <c r="P357" i="3"/>
  <c r="P354" i="3"/>
  <c r="P353" i="3"/>
  <c r="P351" i="3"/>
  <c r="P349" i="3"/>
  <c r="P348" i="3"/>
  <c r="P347" i="3"/>
  <c r="P346" i="3"/>
  <c r="P345" i="3"/>
  <c r="P342" i="3"/>
  <c r="P341" i="3"/>
  <c r="P340" i="3"/>
  <c r="P339" i="3"/>
  <c r="P338" i="3"/>
  <c r="P337" i="3"/>
  <c r="P336" i="3"/>
  <c r="P335" i="3"/>
  <c r="P334" i="3"/>
  <c r="P330" i="3"/>
  <c r="P329" i="3"/>
  <c r="P327" i="3"/>
  <c r="P325" i="3"/>
  <c r="P324" i="3"/>
  <c r="P323" i="3"/>
  <c r="P321" i="3"/>
  <c r="P320" i="3"/>
  <c r="P314" i="3"/>
  <c r="P313" i="3"/>
  <c r="P312" i="3"/>
  <c r="P310" i="3"/>
  <c r="P309" i="3"/>
  <c r="P308" i="3"/>
  <c r="P307" i="3"/>
  <c r="P306" i="3"/>
  <c r="P304" i="3"/>
  <c r="P302" i="3"/>
  <c r="P301" i="3"/>
  <c r="P299" i="3"/>
  <c r="P298" i="3"/>
  <c r="P296" i="3"/>
  <c r="P249" i="3"/>
  <c r="P248" i="3"/>
  <c r="P245" i="3"/>
  <c r="P244" i="3"/>
  <c r="P239" i="3" l="1"/>
  <c r="P190" i="3"/>
  <c r="P189" i="3"/>
  <c r="P171" i="3"/>
  <c r="P170" i="3"/>
  <c r="P169" i="3"/>
  <c r="P168" i="3"/>
  <c r="P167" i="3"/>
  <c r="P166" i="3"/>
  <c r="P165" i="3"/>
  <c r="P164" i="3"/>
  <c r="P163" i="3"/>
  <c r="P158" i="3"/>
  <c r="P159" i="3"/>
  <c r="P160" i="3"/>
  <c r="P157" i="3"/>
  <c r="P156" i="3"/>
  <c r="P155" i="3"/>
  <c r="P153" i="3"/>
  <c r="P152" i="3"/>
  <c r="P150" i="3"/>
  <c r="P149" i="3"/>
  <c r="P145" i="3"/>
  <c r="P144" i="3"/>
  <c r="P141" i="3"/>
  <c r="P139" i="3"/>
  <c r="P138" i="3"/>
  <c r="P135" i="3"/>
  <c r="P134" i="3"/>
  <c r="P131" i="3"/>
  <c r="P130" i="3"/>
  <c r="P129" i="3"/>
  <c r="P126" i="3"/>
  <c r="P125" i="3"/>
  <c r="P124" i="3"/>
  <c r="P123" i="3"/>
  <c r="P122" i="3"/>
  <c r="P114" i="3"/>
  <c r="P113" i="3"/>
  <c r="P110" i="3"/>
  <c r="P109" i="3"/>
  <c r="P106" i="3"/>
  <c r="P105" i="3"/>
  <c r="P102" i="3"/>
  <c r="P101" i="3"/>
  <c r="P81" i="3" l="1"/>
  <c r="P82" i="3"/>
  <c r="P83" i="3"/>
  <c r="P84" i="3"/>
  <c r="P80" i="3"/>
  <c r="P75" i="3"/>
  <c r="P76" i="3"/>
  <c r="P77" i="3"/>
  <c r="P74" i="3"/>
  <c r="P69" i="3"/>
  <c r="P70" i="3"/>
  <c r="P71" i="3"/>
  <c r="P68" i="3"/>
  <c r="P65" i="3"/>
  <c r="P64" i="3"/>
  <c r="P63" i="3"/>
  <c r="P62" i="3"/>
  <c r="P53" i="3"/>
  <c r="P54" i="3"/>
  <c r="P55" i="3"/>
  <c r="P52" i="3"/>
  <c r="P51" i="3"/>
  <c r="P48" i="3"/>
  <c r="P49" i="3"/>
  <c r="P47" i="3"/>
  <c r="P46" i="3"/>
  <c r="P44" i="3"/>
  <c r="P43" i="3"/>
  <c r="P42" i="3"/>
  <c r="P39" i="3"/>
  <c r="P37" i="3"/>
  <c r="P31" i="3"/>
  <c r="P28" i="3"/>
  <c r="P25" i="3"/>
  <c r="P22" i="3"/>
  <c r="P1442" i="3" l="1"/>
  <c r="P1446" i="3"/>
  <c r="P1450" i="3"/>
  <c r="P1440" i="3"/>
  <c r="P1444" i="3"/>
  <c r="P1445" i="3"/>
  <c r="P1449" i="3"/>
  <c r="P1443" i="3"/>
  <c r="P1447" i="3"/>
  <c r="P1439" i="3"/>
  <c r="P1448" i="3"/>
  <c r="P1441" i="3"/>
  <c r="P450" i="3"/>
  <c r="P451" i="3"/>
  <c r="P10" i="3"/>
  <c r="P8" i="3"/>
  <c r="N971" i="3" l="1"/>
  <c r="Q971" i="3" s="1"/>
  <c r="S971" i="3" s="1"/>
  <c r="U971" i="3" s="1"/>
  <c r="X971" i="3" s="1"/>
  <c r="Z971" i="3" l="1"/>
  <c r="P333" i="3"/>
  <c r="AB971" i="3" l="1"/>
  <c r="AF971" i="3" s="1"/>
  <c r="P1055" i="3" l="1"/>
  <c r="P1057" i="3"/>
  <c r="P1051" i="3"/>
  <c r="P949" i="3"/>
  <c r="Q1051" i="3" l="1"/>
  <c r="S1051" i="3" s="1"/>
  <c r="U1051" i="3" s="1"/>
  <c r="X1051" i="3" s="1"/>
  <c r="P797" i="3"/>
  <c r="P777" i="3"/>
  <c r="N774" i="3"/>
  <c r="Q774" i="3" s="1"/>
  <c r="Q1038" i="3"/>
  <c r="S1038" i="3" s="1"/>
  <c r="U1038" i="3" s="1"/>
  <c r="X1038" i="3" s="1"/>
  <c r="N1038" i="3"/>
  <c r="P774" i="3"/>
  <c r="N1051" i="3"/>
  <c r="Z1051" i="3" l="1"/>
  <c r="Z1038" i="3"/>
  <c r="S774" i="3"/>
  <c r="U774" i="3" s="1"/>
  <c r="X774" i="3" s="1"/>
  <c r="AB1038" i="3" l="1"/>
  <c r="AF1038" i="3" s="1"/>
  <c r="AB1051" i="3"/>
  <c r="AF1051" i="3" s="1"/>
  <c r="Z774" i="3"/>
  <c r="AB774" i="3" s="1"/>
  <c r="AF774" i="3" s="1"/>
  <c r="N239" i="3" l="1"/>
  <c r="N57" i="17" l="1"/>
  <c r="X57" i="17" s="1"/>
  <c r="N56" i="17"/>
  <c r="X56" i="17" s="1"/>
  <c r="X58" i="17" s="1"/>
  <c r="X61" i="17" l="1"/>
  <c r="X59" i="17"/>
  <c r="F284" i="6"/>
  <c r="H284" i="6"/>
  <c r="J284" i="6"/>
  <c r="L284" i="6"/>
  <c r="N284" i="6"/>
  <c r="P284" i="6"/>
  <c r="D284" i="6"/>
  <c r="F283" i="6"/>
  <c r="H283" i="6"/>
  <c r="J283" i="6"/>
  <c r="L283" i="6"/>
  <c r="N283" i="6"/>
  <c r="P283" i="6"/>
  <c r="D283" i="6"/>
  <c r="F282" i="6"/>
  <c r="H282" i="6"/>
  <c r="J282" i="6"/>
  <c r="L282" i="6"/>
  <c r="N282" i="6"/>
  <c r="P282" i="6"/>
  <c r="D282" i="6"/>
  <c r="F278" i="6"/>
  <c r="H278" i="6"/>
  <c r="J278" i="6"/>
  <c r="L278" i="6"/>
  <c r="N278" i="6"/>
  <c r="P278" i="6"/>
  <c r="D278" i="6"/>
  <c r="F276" i="6"/>
  <c r="H276" i="6"/>
  <c r="J276" i="6"/>
  <c r="L276" i="6"/>
  <c r="N276" i="6"/>
  <c r="P276" i="6"/>
  <c r="D276" i="6"/>
  <c r="F275" i="6"/>
  <c r="H275" i="6"/>
  <c r="J275" i="6"/>
  <c r="L275" i="6"/>
  <c r="N275" i="6"/>
  <c r="P275" i="6"/>
  <c r="D275" i="6"/>
  <c r="F274" i="6"/>
  <c r="H274" i="6"/>
  <c r="J274" i="6"/>
  <c r="L274" i="6"/>
  <c r="N274" i="6"/>
  <c r="P274" i="6"/>
  <c r="D274" i="6"/>
  <c r="F273" i="6"/>
  <c r="H273" i="6"/>
  <c r="J273" i="6"/>
  <c r="L273" i="6"/>
  <c r="N273" i="6"/>
  <c r="P273" i="6"/>
  <c r="D273" i="6"/>
  <c r="F272" i="6"/>
  <c r="H272" i="6"/>
  <c r="J272" i="6"/>
  <c r="L272" i="6"/>
  <c r="N272" i="6"/>
  <c r="P272" i="6"/>
  <c r="D272" i="6"/>
  <c r="F271" i="6"/>
  <c r="H271" i="6"/>
  <c r="J271" i="6"/>
  <c r="L271" i="6"/>
  <c r="N271" i="6"/>
  <c r="P271" i="6"/>
  <c r="D271" i="6"/>
  <c r="F270" i="6"/>
  <c r="H270" i="6"/>
  <c r="J270" i="6"/>
  <c r="L270" i="6"/>
  <c r="N270" i="6"/>
  <c r="P270" i="6"/>
  <c r="D270" i="6"/>
  <c r="N1085" i="3" l="1"/>
  <c r="Q1085" i="3"/>
  <c r="S1085" i="3" s="1"/>
  <c r="U1085" i="3" s="1"/>
  <c r="X1085" i="3" s="1"/>
  <c r="Z1085" i="3" l="1"/>
  <c r="AB1085" i="3" l="1"/>
  <c r="AF1085" i="3" s="1"/>
  <c r="P288" i="3"/>
  <c r="P1419" i="3"/>
  <c r="P1417" i="3"/>
  <c r="P1413" i="3"/>
  <c r="P1412" i="3"/>
  <c r="P1411" i="3"/>
  <c r="P1410" i="3"/>
  <c r="P1405" i="3"/>
  <c r="P1415" i="3" l="1"/>
  <c r="P1404" i="3"/>
  <c r="P1034" i="3"/>
  <c r="P1418" i="3"/>
  <c r="N1058" i="3"/>
  <c r="Q1058" i="3"/>
  <c r="S1058" i="3" s="1"/>
  <c r="U1058" i="3" s="1"/>
  <c r="X1058" i="3" s="1"/>
  <c r="P1403" i="3"/>
  <c r="P1402" i="3"/>
  <c r="P1401" i="3"/>
  <c r="P1408" i="3" l="1"/>
  <c r="Z1058" i="3"/>
  <c r="P1421" i="3"/>
  <c r="AB1058" i="3" l="1"/>
  <c r="AF1058" i="3" s="1"/>
  <c r="P943" i="3" l="1"/>
  <c r="P937" i="3"/>
  <c r="O273" i="6"/>
  <c r="P828" i="3" l="1"/>
  <c r="P824" i="3"/>
  <c r="P291" i="3" l="1"/>
  <c r="P798" i="3"/>
  <c r="P807" i="3"/>
  <c r="P800" i="3"/>
  <c r="N776" i="3"/>
  <c r="Q776" i="3" s="1"/>
  <c r="N800" i="3"/>
  <c r="Q800" i="3" s="1"/>
  <c r="S776" i="3" l="1"/>
  <c r="U776" i="3" s="1"/>
  <c r="X776" i="3" s="1"/>
  <c r="S800" i="3"/>
  <c r="U800" i="3" s="1"/>
  <c r="X800" i="3" s="1"/>
  <c r="Z800" i="3" l="1"/>
  <c r="AB800" i="3" s="1"/>
  <c r="AF800" i="3" s="1"/>
  <c r="Z776" i="3"/>
  <c r="AB776" i="3" s="1"/>
  <c r="AF776" i="3" s="1"/>
  <c r="P664" i="3"/>
  <c r="P665" i="3"/>
  <c r="P456" i="3" l="1"/>
  <c r="N280" i="6" l="1"/>
  <c r="N285" i="6"/>
  <c r="N277" i="6" l="1"/>
  <c r="N12" i="21"/>
  <c r="P294" i="3"/>
  <c r="P287" i="3"/>
  <c r="P286" i="3"/>
  <c r="P281" i="3"/>
  <c r="P277" i="3"/>
  <c r="L239" i="3"/>
  <c r="N281" i="6" l="1"/>
  <c r="N286" i="6" s="1"/>
  <c r="P1356" i="3"/>
  <c r="P1360" i="3"/>
  <c r="P1354" i="3"/>
  <c r="P1357" i="3"/>
  <c r="P1362" i="3"/>
  <c r="P1358" i="3" l="1"/>
  <c r="P118" i="3" l="1"/>
  <c r="P117" i="3"/>
  <c r="P91" i="3"/>
  <c r="P90" i="3"/>
  <c r="P89" i="3"/>
  <c r="P87" i="3"/>
  <c r="P88" i="3" l="1"/>
  <c r="P86" i="3" l="1"/>
  <c r="P92" i="3" s="1"/>
  <c r="H10" i="15"/>
  <c r="L10" i="15" s="1"/>
  <c r="H14" i="15"/>
  <c r="L14" i="15" s="1"/>
  <c r="P14" i="15" s="1"/>
  <c r="T14" i="15" s="1"/>
  <c r="H1459" i="3"/>
  <c r="G12" i="15" s="1"/>
  <c r="G13" i="15" s="1"/>
  <c r="Z14" i="15" l="1"/>
  <c r="AD14" i="15" s="1"/>
  <c r="AH14" i="15" s="1"/>
  <c r="X14" i="15"/>
  <c r="P10" i="15"/>
  <c r="L12" i="15"/>
  <c r="H12" i="15"/>
  <c r="J1459" i="3"/>
  <c r="I10" i="15"/>
  <c r="M10" i="15" s="1"/>
  <c r="Q10" i="15" s="1"/>
  <c r="U10" i="15" s="1"/>
  <c r="AA10" i="15" s="1"/>
  <c r="AN14" i="15" l="1"/>
  <c r="AR14" i="15" s="1"/>
  <c r="AV14" i="15" s="1"/>
  <c r="AL14" i="15"/>
  <c r="AA12" i="15"/>
  <c r="AE10" i="15"/>
  <c r="T10" i="15"/>
  <c r="P12" i="15"/>
  <c r="L1459" i="3"/>
  <c r="AZ14" i="15" l="1"/>
  <c r="BB14" i="15" s="1"/>
  <c r="BD14" i="15"/>
  <c r="T12" i="15"/>
  <c r="Z10" i="15"/>
  <c r="AE12" i="15"/>
  <c r="AI10" i="15"/>
  <c r="N1459" i="3"/>
  <c r="AD10" i="15" l="1"/>
  <c r="Z12" i="15"/>
  <c r="AI12" i="15"/>
  <c r="AO10" i="15"/>
  <c r="Q1459" i="3"/>
  <c r="S1459" i="3" s="1"/>
  <c r="U1459" i="3" s="1"/>
  <c r="X1459" i="3" s="1"/>
  <c r="Z1459" i="3" s="1"/>
  <c r="AH10" i="15" l="1"/>
  <c r="AD12" i="15"/>
  <c r="AO12" i="15"/>
  <c r="AS10" i="15"/>
  <c r="AB1459" i="3"/>
  <c r="AF1459" i="3" s="1"/>
  <c r="AS12" i="15" l="1"/>
  <c r="AW10" i="15"/>
  <c r="AN10" i="15"/>
  <c r="AH12" i="15"/>
  <c r="N1060" i="3"/>
  <c r="Q1060" i="3"/>
  <c r="S1060" i="3" s="1"/>
  <c r="U1060" i="3" s="1"/>
  <c r="X1060" i="3" s="1"/>
  <c r="N1062" i="3"/>
  <c r="Q1062" i="3"/>
  <c r="S1062" i="3" s="1"/>
  <c r="U1062" i="3" s="1"/>
  <c r="X1062" i="3" s="1"/>
  <c r="AW12" i="15" l="1"/>
  <c r="BE10" i="15"/>
  <c r="BE12" i="15" s="1"/>
  <c r="BE13" i="15" s="1"/>
  <c r="AR10" i="15"/>
  <c r="AN12" i="15"/>
  <c r="Z1060" i="3"/>
  <c r="Z1062" i="3"/>
  <c r="H14" i="7"/>
  <c r="H700" i="3"/>
  <c r="AV10" i="15" l="1"/>
  <c r="AR12" i="15"/>
  <c r="L14" i="7"/>
  <c r="AB1062" i="3"/>
  <c r="AF1062" i="3" s="1"/>
  <c r="AB1060" i="3"/>
  <c r="AF1060" i="3" s="1"/>
  <c r="N1113" i="3"/>
  <c r="Q1113" i="3"/>
  <c r="S1113" i="3" s="1"/>
  <c r="U1113" i="3" s="1"/>
  <c r="X1113" i="3" s="1"/>
  <c r="J700" i="3"/>
  <c r="I14" i="7"/>
  <c r="AV12" i="15" l="1"/>
  <c r="BD10" i="15"/>
  <c r="BD12" i="15" s="1"/>
  <c r="BD13" i="15" s="1"/>
  <c r="BB10" i="15"/>
  <c r="BB12" i="15" s="1"/>
  <c r="BB13" i="15" s="1"/>
  <c r="P14" i="7"/>
  <c r="T14" i="7" s="1"/>
  <c r="Z14" i="7" s="1"/>
  <c r="AD14" i="7" s="1"/>
  <c r="M14" i="7"/>
  <c r="Z1113" i="3"/>
  <c r="L700" i="3"/>
  <c r="N700" i="3" s="1"/>
  <c r="Q700" i="3"/>
  <c r="S700" i="3" s="1"/>
  <c r="U700" i="3" s="1"/>
  <c r="X700" i="3" s="1"/>
  <c r="Z700" i="3" s="1"/>
  <c r="N960" i="3"/>
  <c r="Q960" i="3" s="1"/>
  <c r="S960" i="3" s="1"/>
  <c r="U960" i="3" s="1"/>
  <c r="X960" i="3" s="1"/>
  <c r="Z960" i="3" s="1"/>
  <c r="AB960" i="3" s="1"/>
  <c r="AF960" i="3" s="1"/>
  <c r="AH14" i="7" l="1"/>
  <c r="AN14" i="7" s="1"/>
  <c r="AR14" i="7" s="1"/>
  <c r="Q14" i="7"/>
  <c r="U14" i="7" s="1"/>
  <c r="AB1113" i="3"/>
  <c r="AF1113" i="3" s="1"/>
  <c r="AB700" i="3"/>
  <c r="N1065" i="3"/>
  <c r="Q1065" i="3"/>
  <c r="S1065" i="3" s="1"/>
  <c r="U1065" i="3" s="1"/>
  <c r="X1065" i="3" s="1"/>
  <c r="N1052" i="3"/>
  <c r="Q1052" i="3"/>
  <c r="S1052" i="3" s="1"/>
  <c r="U1052" i="3" s="1"/>
  <c r="X1052" i="3" s="1"/>
  <c r="AV14" i="7" l="1"/>
  <c r="BD14" i="7" s="1"/>
  <c r="AA14" i="7"/>
  <c r="AF700" i="3"/>
  <c r="Z1065" i="3"/>
  <c r="Z1052" i="3"/>
  <c r="AE14" i="7" l="1"/>
  <c r="AB1065" i="3"/>
  <c r="AF1065" i="3" s="1"/>
  <c r="AB1052" i="3"/>
  <c r="AF1052" i="3" s="1"/>
  <c r="AI14" i="7" l="1"/>
  <c r="H62" i="8"/>
  <c r="L62" i="8" s="1"/>
  <c r="P62" i="8" s="1"/>
  <c r="T62" i="8" s="1"/>
  <c r="Z62" i="8" s="1"/>
  <c r="AD62" i="8" s="1"/>
  <c r="AH62" i="8" s="1"/>
  <c r="AN62" i="8" s="1"/>
  <c r="AR62" i="8" s="1"/>
  <c r="AV62" i="8" s="1"/>
  <c r="BD62" i="8" l="1"/>
  <c r="BB62" i="8"/>
  <c r="AO14" i="7"/>
  <c r="AS14" i="7" s="1"/>
  <c r="H1362" i="3"/>
  <c r="AW14" i="7" l="1"/>
  <c r="BE14" i="7" s="1"/>
  <c r="I68" i="8"/>
  <c r="J1362" i="3"/>
  <c r="L1362" i="3" s="1"/>
  <c r="N1362" i="3" s="1"/>
  <c r="Q1362" i="3" s="1"/>
  <c r="S1362" i="3" s="1"/>
  <c r="U1362" i="3" s="1"/>
  <c r="X1362" i="3" s="1"/>
  <c r="Z1362" i="3" s="1"/>
  <c r="AB1362" i="3" s="1"/>
  <c r="M68" i="8" l="1"/>
  <c r="K196" i="6"/>
  <c r="K197" i="6"/>
  <c r="K195" i="6"/>
  <c r="K273" i="6" s="1"/>
  <c r="J66" i="6"/>
  <c r="J67" i="6" s="1"/>
  <c r="Q68" i="8" l="1"/>
  <c r="AF1362" i="3"/>
  <c r="H125" i="3"/>
  <c r="J125" i="3" s="1"/>
  <c r="L125" i="3" s="1"/>
  <c r="N125" i="3" s="1"/>
  <c r="Q125" i="3" s="1"/>
  <c r="S125" i="3" s="1"/>
  <c r="U125" i="3" s="1"/>
  <c r="X125" i="3" s="1"/>
  <c r="Z125" i="3" s="1"/>
  <c r="U68" i="8" l="1"/>
  <c r="AA68" i="8" s="1"/>
  <c r="AB125" i="3"/>
  <c r="AF125" i="3" s="1"/>
  <c r="AE68" i="8" l="1"/>
  <c r="J239" i="3"/>
  <c r="N834" i="3"/>
  <c r="Q834" i="3" s="1"/>
  <c r="AI68" i="8" l="1"/>
  <c r="S834" i="3"/>
  <c r="U834" i="3" s="1"/>
  <c r="X834" i="3" s="1"/>
  <c r="I8" i="24"/>
  <c r="M8" i="24" s="1"/>
  <c r="Q8" i="24" s="1"/>
  <c r="U8" i="24" s="1"/>
  <c r="AA8" i="24" s="1"/>
  <c r="AE8" i="24" s="1"/>
  <c r="AI8" i="24" s="1"/>
  <c r="AO8" i="24" s="1"/>
  <c r="AS8" i="24" s="1"/>
  <c r="AW8" i="24" s="1"/>
  <c r="BE8" i="24" s="1"/>
  <c r="I7" i="24"/>
  <c r="M7" i="24" s="1"/>
  <c r="Q7" i="24" s="1"/>
  <c r="U7" i="24" s="1"/>
  <c r="AA7" i="24" s="1"/>
  <c r="AE7" i="24" s="1"/>
  <c r="AI7" i="24" s="1"/>
  <c r="AO7" i="24" s="1"/>
  <c r="AS7" i="24" s="1"/>
  <c r="AW7" i="24" s="1"/>
  <c r="BE7" i="24" s="1"/>
  <c r="I6" i="24"/>
  <c r="M6" i="24" s="1"/>
  <c r="Q6" i="24" s="1"/>
  <c r="U6" i="24" s="1"/>
  <c r="AO68" i="8" l="1"/>
  <c r="AS68" i="8" s="1"/>
  <c r="Z834" i="3"/>
  <c r="AB834" i="3" s="1"/>
  <c r="AF834" i="3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AB7" i="24" s="1"/>
  <c r="AF7" i="24" s="1"/>
  <c r="AJ7" i="24" s="1"/>
  <c r="AP7" i="24" s="1"/>
  <c r="AT7" i="24" s="1"/>
  <c r="AX7" i="24" s="1"/>
  <c r="BF7" i="24" s="1"/>
  <c r="J8" i="24"/>
  <c r="N8" i="24" s="1"/>
  <c r="R8" i="24" s="1"/>
  <c r="V8" i="24" s="1"/>
  <c r="AB8" i="24" s="1"/>
  <c r="AF8" i="24" s="1"/>
  <c r="AJ8" i="24" s="1"/>
  <c r="AP8" i="24" s="1"/>
  <c r="AT8" i="24" s="1"/>
  <c r="AX8" i="24" s="1"/>
  <c r="BF8" i="24" s="1"/>
  <c r="J6" i="24"/>
  <c r="N6" i="24" s="1"/>
  <c r="R6" i="24" s="1"/>
  <c r="V6" i="24" s="1"/>
  <c r="AB6" i="24" s="1"/>
  <c r="AF6" i="24" s="1"/>
  <c r="AJ6" i="24" s="1"/>
  <c r="AP6" i="24" s="1"/>
  <c r="AT6" i="24" s="1"/>
  <c r="AX6" i="24" s="1"/>
  <c r="BF6" i="24" s="1"/>
  <c r="AW68" i="8" l="1"/>
  <c r="BE68" i="8" s="1"/>
  <c r="M29" i="11"/>
  <c r="Q29" i="11" s="1"/>
  <c r="U29" i="11" s="1"/>
  <c r="AA29" i="11" s="1"/>
  <c r="G197" i="6" l="1"/>
  <c r="G196" i="6"/>
  <c r="G195" i="6"/>
  <c r="G273" i="6" s="1"/>
  <c r="E196" i="6"/>
  <c r="E197" i="6"/>
  <c r="E195" i="6"/>
  <c r="E273" i="6" s="1"/>
  <c r="G228" i="6"/>
  <c r="G229" i="6"/>
  <c r="G227" i="6"/>
  <c r="G284" i="6" s="1"/>
  <c r="N778" i="3" l="1"/>
  <c r="Q778" i="3" s="1"/>
  <c r="N780" i="3"/>
  <c r="Q780" i="3" s="1"/>
  <c r="N781" i="3"/>
  <c r="Q781" i="3" s="1"/>
  <c r="S781" i="3" l="1"/>
  <c r="U781" i="3" s="1"/>
  <c r="X781" i="3" s="1"/>
  <c r="S780" i="3"/>
  <c r="U780" i="3" s="1"/>
  <c r="X780" i="3" s="1"/>
  <c r="S778" i="3"/>
  <c r="U778" i="3" s="1"/>
  <c r="X778" i="3" s="1"/>
  <c r="Z778" i="3" l="1"/>
  <c r="AB778" i="3" s="1"/>
  <c r="AF778" i="3" s="1"/>
  <c r="Z780" i="3"/>
  <c r="AB780" i="3" s="1"/>
  <c r="AF780" i="3" s="1"/>
  <c r="Z781" i="3"/>
  <c r="AB781" i="3" s="1"/>
  <c r="AF781" i="3" s="1"/>
  <c r="N979" i="3"/>
  <c r="Q979" i="3" s="1"/>
  <c r="S979" i="3" s="1"/>
  <c r="U979" i="3" s="1"/>
  <c r="X979" i="3" s="1"/>
  <c r="Z979" i="3" s="1"/>
  <c r="AB979" i="3" s="1"/>
  <c r="AF979" i="3" s="1"/>
  <c r="N980" i="3"/>
  <c r="Q980" i="3" s="1"/>
  <c r="S980" i="3" s="1"/>
  <c r="U980" i="3" s="1"/>
  <c r="X980" i="3" s="1"/>
  <c r="Z980" i="3" s="1"/>
  <c r="AB980" i="3" s="1"/>
  <c r="AF980" i="3" s="1"/>
  <c r="N995" i="3"/>
  <c r="Q995" i="3" s="1"/>
  <c r="S995" i="3" s="1"/>
  <c r="U995" i="3" s="1"/>
  <c r="X995" i="3" s="1"/>
  <c r="Z995" i="3" s="1"/>
  <c r="AB995" i="3" s="1"/>
  <c r="AF995" i="3" s="1"/>
  <c r="H130" i="3" l="1"/>
  <c r="J130" i="3" s="1"/>
  <c r="L130" i="3" s="1"/>
  <c r="N130" i="3" s="1"/>
  <c r="Q130" i="3" s="1"/>
  <c r="S130" i="3" s="1"/>
  <c r="U130" i="3" s="1"/>
  <c r="X130" i="3" s="1"/>
  <c r="Z130" i="3" s="1"/>
  <c r="AB130" i="3" l="1"/>
  <c r="AF130" i="3" s="1"/>
  <c r="N1023" i="3" l="1"/>
  <c r="Q1023" i="3"/>
  <c r="S1023" i="3" s="1"/>
  <c r="U1023" i="3" s="1"/>
  <c r="X1023" i="3" s="1"/>
  <c r="N951" i="3"/>
  <c r="Q951" i="3" s="1"/>
  <c r="S951" i="3" s="1"/>
  <c r="U951" i="3" s="1"/>
  <c r="X951" i="3" s="1"/>
  <c r="Z951" i="3" s="1"/>
  <c r="AB951" i="3" s="1"/>
  <c r="AF951" i="3" s="1"/>
  <c r="Z1023" i="3" l="1"/>
  <c r="AB1023" i="3" l="1"/>
  <c r="AF1023" i="3" s="1"/>
  <c r="I145" i="9" l="1"/>
  <c r="M145" i="9" s="1"/>
  <c r="Q145" i="9" s="1"/>
  <c r="U145" i="9" s="1"/>
  <c r="I144" i="9"/>
  <c r="M144" i="9" s="1"/>
  <c r="Q144" i="9" s="1"/>
  <c r="U144" i="9" s="1"/>
  <c r="H1218" i="3"/>
  <c r="Y144" i="9" l="1"/>
  <c r="AA144" i="9"/>
  <c r="AA145" i="9"/>
  <c r="Y145" i="9"/>
  <c r="J1218" i="3"/>
  <c r="L1218" i="3" s="1"/>
  <c r="N1218" i="3" s="1"/>
  <c r="Q1218" i="3" s="1"/>
  <c r="S1218" i="3" s="1"/>
  <c r="U1218" i="3" s="1"/>
  <c r="X1218" i="3" s="1"/>
  <c r="Z1218" i="3" s="1"/>
  <c r="H1302" i="3"/>
  <c r="H1303" i="3"/>
  <c r="H469" i="3"/>
  <c r="J469" i="3" s="1"/>
  <c r="L469" i="3" s="1"/>
  <c r="N469" i="3" s="1"/>
  <c r="Q469" i="3" s="1"/>
  <c r="AB1218" i="3" l="1"/>
  <c r="J1303" i="3"/>
  <c r="L1303" i="3" s="1"/>
  <c r="N1303" i="3" s="1"/>
  <c r="Q1303" i="3" s="1"/>
  <c r="S1303" i="3" s="1"/>
  <c r="U1303" i="3" s="1"/>
  <c r="X1303" i="3" s="1"/>
  <c r="Z1303" i="3" s="1"/>
  <c r="J1302" i="3"/>
  <c r="L1302" i="3" s="1"/>
  <c r="N1302" i="3" s="1"/>
  <c r="Q1302" i="3" s="1"/>
  <c r="S1302" i="3" s="1"/>
  <c r="U1302" i="3" s="1"/>
  <c r="X1302" i="3" s="1"/>
  <c r="Z1302" i="3" s="1"/>
  <c r="P469" i="3"/>
  <c r="S469" i="3"/>
  <c r="U469" i="3" s="1"/>
  <c r="X469" i="3" s="1"/>
  <c r="Z469" i="3" s="1"/>
  <c r="L78" i="6"/>
  <c r="P78" i="6" s="1"/>
  <c r="T78" i="6" s="1"/>
  <c r="Z78" i="6" l="1"/>
  <c r="AD78" i="6" s="1"/>
  <c r="AH78" i="6" s="1"/>
  <c r="AN78" i="6" s="1"/>
  <c r="AR78" i="6" s="1"/>
  <c r="AV78" i="6" s="1"/>
  <c r="BD78" i="6" s="1"/>
  <c r="AB1302" i="3"/>
  <c r="AB1303" i="3"/>
  <c r="AF1218" i="3"/>
  <c r="AB469" i="3"/>
  <c r="AF469" i="3" s="1"/>
  <c r="M78" i="6"/>
  <c r="Q78" i="6" s="1"/>
  <c r="U78" i="6" s="1"/>
  <c r="AA78" i="6" l="1"/>
  <c r="AE78" i="6" s="1"/>
  <c r="AI78" i="6" s="1"/>
  <c r="AO78" i="6" s="1"/>
  <c r="AS78" i="6" s="1"/>
  <c r="AW78" i="6" s="1"/>
  <c r="BE78" i="6" s="1"/>
  <c r="AF1303" i="3"/>
  <c r="AF1302" i="3"/>
  <c r="I196" i="6"/>
  <c r="I197" i="6"/>
  <c r="M195" i="6" l="1"/>
  <c r="M273" i="6" s="1"/>
  <c r="I195" i="6"/>
  <c r="I273" i="6" s="1"/>
  <c r="M197" i="6"/>
  <c r="Q273" i="6" l="1"/>
  <c r="M196" i="6"/>
  <c r="I62" i="8"/>
  <c r="H1356" i="3"/>
  <c r="N923" i="3"/>
  <c r="Q923" i="3" s="1"/>
  <c r="S923" i="3" s="1"/>
  <c r="U923" i="3" s="1"/>
  <c r="X923" i="3" s="1"/>
  <c r="M62" i="8" l="1"/>
  <c r="Z923" i="3"/>
  <c r="J1356" i="3"/>
  <c r="L1356" i="3" s="1"/>
  <c r="N1356" i="3" s="1"/>
  <c r="Q1356" i="3" s="1"/>
  <c r="S1356" i="3" s="1"/>
  <c r="U1356" i="3" s="1"/>
  <c r="X1356" i="3" s="1"/>
  <c r="Z1356" i="3" s="1"/>
  <c r="AB1356" i="3" s="1"/>
  <c r="Q62" i="8" l="1"/>
  <c r="AB923" i="3"/>
  <c r="AF923" i="3" s="1"/>
  <c r="AF1356" i="3"/>
  <c r="U62" i="8" l="1"/>
  <c r="AA62" i="8" s="1"/>
  <c r="I138" i="9"/>
  <c r="M138" i="9" s="1"/>
  <c r="Q138" i="9" s="1"/>
  <c r="U138" i="9" s="1"/>
  <c r="I139" i="9"/>
  <c r="M139" i="9" s="1"/>
  <c r="Q139" i="9" s="1"/>
  <c r="U139" i="9" s="1"/>
  <c r="I140" i="9"/>
  <c r="M140" i="9" s="1"/>
  <c r="Q140" i="9" s="1"/>
  <c r="U140" i="9" s="1"/>
  <c r="I141" i="9"/>
  <c r="M141" i="9" s="1"/>
  <c r="Q141" i="9" s="1"/>
  <c r="U141" i="9" s="1"/>
  <c r="I142" i="9"/>
  <c r="M142" i="9" s="1"/>
  <c r="Q142" i="9" s="1"/>
  <c r="U142" i="9" s="1"/>
  <c r="I143" i="9"/>
  <c r="M143" i="9" s="1"/>
  <c r="Q143" i="9" s="1"/>
  <c r="U143" i="9" s="1"/>
  <c r="I137" i="9"/>
  <c r="M137" i="9" s="1"/>
  <c r="Q137" i="9" s="1"/>
  <c r="U137" i="9" s="1"/>
  <c r="AE62" i="8" l="1"/>
  <c r="Y140" i="9"/>
  <c r="AA140" i="9"/>
  <c r="AA139" i="9"/>
  <c r="Y139" i="9"/>
  <c r="AA142" i="9"/>
  <c r="Y142" i="9"/>
  <c r="AA138" i="9"/>
  <c r="Y138" i="9"/>
  <c r="AA137" i="9"/>
  <c r="Y137" i="9"/>
  <c r="AA143" i="9"/>
  <c r="Y143" i="9"/>
  <c r="AA141" i="9"/>
  <c r="Y141" i="9"/>
  <c r="H11" i="7"/>
  <c r="H623" i="3"/>
  <c r="J623" i="3" s="1"/>
  <c r="L623" i="3" s="1"/>
  <c r="N623" i="3" s="1"/>
  <c r="Q623" i="3" s="1"/>
  <c r="S623" i="3" s="1"/>
  <c r="U623" i="3" s="1"/>
  <c r="X623" i="3" s="1"/>
  <c r="Z623" i="3" s="1"/>
  <c r="H380" i="3"/>
  <c r="J380" i="3" s="1"/>
  <c r="L380" i="3" s="1"/>
  <c r="N380" i="3" s="1"/>
  <c r="Q380" i="3" s="1"/>
  <c r="S380" i="3" s="1"/>
  <c r="U380" i="3" s="1"/>
  <c r="X380" i="3" s="1"/>
  <c r="Z380" i="3" s="1"/>
  <c r="AI62" i="8" l="1"/>
  <c r="L11" i="7"/>
  <c r="AB380" i="3"/>
  <c r="AF380" i="3" s="1"/>
  <c r="AB623" i="3"/>
  <c r="AF623" i="3" s="1"/>
  <c r="AB408" i="3"/>
  <c r="AF408" i="3" s="1"/>
  <c r="AB407" i="3"/>
  <c r="AF407" i="3" s="1"/>
  <c r="H664" i="3"/>
  <c r="H665" i="3"/>
  <c r="H456" i="3"/>
  <c r="AO62" i="8" l="1"/>
  <c r="AS62" i="8" s="1"/>
  <c r="P11" i="7"/>
  <c r="T11" i="7" s="1"/>
  <c r="J665" i="3"/>
  <c r="J456" i="3"/>
  <c r="J664" i="3"/>
  <c r="AW62" i="8" l="1"/>
  <c r="BE62" i="8" s="1"/>
  <c r="Z11" i="7"/>
  <c r="AD11" i="7" s="1"/>
  <c r="L456" i="3"/>
  <c r="L664" i="3"/>
  <c r="L665" i="3"/>
  <c r="AH11" i="7" l="1"/>
  <c r="N665" i="3"/>
  <c r="N664" i="3"/>
  <c r="N456" i="3"/>
  <c r="H1355" i="3"/>
  <c r="J1355" i="3" s="1"/>
  <c r="L1355" i="3" s="1"/>
  <c r="N1355" i="3" s="1"/>
  <c r="Q1355" i="3" s="1"/>
  <c r="S1355" i="3" s="1"/>
  <c r="U1355" i="3" s="1"/>
  <c r="X1355" i="3" s="1"/>
  <c r="Z1355" i="3" s="1"/>
  <c r="H1359" i="3"/>
  <c r="H1361" i="3"/>
  <c r="H1202" i="3"/>
  <c r="J1202" i="3" s="1"/>
  <c r="L1202" i="3" s="1"/>
  <c r="N1202" i="3" s="1"/>
  <c r="Q1202" i="3" s="1"/>
  <c r="S1202" i="3" s="1"/>
  <c r="U1202" i="3" s="1"/>
  <c r="X1202" i="3" s="1"/>
  <c r="Z1202" i="3" s="1"/>
  <c r="H1004" i="3"/>
  <c r="J1004" i="3" s="1"/>
  <c r="L1004" i="3" s="1"/>
  <c r="N1004" i="3" s="1"/>
  <c r="Q1004" i="3" s="1"/>
  <c r="N958" i="3"/>
  <c r="Q958" i="3" s="1"/>
  <c r="S958" i="3" s="1"/>
  <c r="U958" i="3" s="1"/>
  <c r="X958" i="3" s="1"/>
  <c r="Z958" i="3" s="1"/>
  <c r="AB958" i="3" s="1"/>
  <c r="AF958" i="3" s="1"/>
  <c r="H706" i="3"/>
  <c r="J706" i="3" s="1"/>
  <c r="H697" i="3"/>
  <c r="J697" i="3" s="1"/>
  <c r="AN11" i="7" l="1"/>
  <c r="AR11" i="7" s="1"/>
  <c r="AB1202" i="3"/>
  <c r="AF1202" i="3" s="1"/>
  <c r="AB1355" i="3"/>
  <c r="AF1355" i="3" s="1"/>
  <c r="S1004" i="3"/>
  <c r="U1004" i="3" s="1"/>
  <c r="X1004" i="3" s="1"/>
  <c r="L706" i="3"/>
  <c r="N706" i="3" s="1"/>
  <c r="Q706" i="3"/>
  <c r="S706" i="3" s="1"/>
  <c r="U706" i="3" s="1"/>
  <c r="X706" i="3" s="1"/>
  <c r="Z706" i="3" s="1"/>
  <c r="N1072" i="3"/>
  <c r="Q1072" i="3"/>
  <c r="S1072" i="3" s="1"/>
  <c r="U1072" i="3" s="1"/>
  <c r="X1072" i="3" s="1"/>
  <c r="N1118" i="3"/>
  <c r="Q1118" i="3"/>
  <c r="S1118" i="3" s="1"/>
  <c r="U1118" i="3" s="1"/>
  <c r="X1118" i="3" s="1"/>
  <c r="N1081" i="3"/>
  <c r="Q1081" i="3"/>
  <c r="S1081" i="3" s="1"/>
  <c r="U1081" i="3" s="1"/>
  <c r="X1081" i="3" s="1"/>
  <c r="Q456" i="3"/>
  <c r="Q664" i="3"/>
  <c r="Q665" i="3"/>
  <c r="L697" i="3"/>
  <c r="N697" i="3" s="1"/>
  <c r="Q697" i="3"/>
  <c r="S697" i="3" s="1"/>
  <c r="U697" i="3" s="1"/>
  <c r="X697" i="3" s="1"/>
  <c r="Z697" i="3" s="1"/>
  <c r="N1071" i="3"/>
  <c r="Q1071" i="3"/>
  <c r="S1071" i="3" s="1"/>
  <c r="U1071" i="3" s="1"/>
  <c r="X1071" i="3" s="1"/>
  <c r="N1108" i="3"/>
  <c r="U1108" i="3"/>
  <c r="X1108" i="3" s="1"/>
  <c r="N1080" i="3"/>
  <c r="Q1080" i="3"/>
  <c r="S1080" i="3" s="1"/>
  <c r="U1080" i="3" s="1"/>
  <c r="X1080" i="3" s="1"/>
  <c r="J1361" i="3"/>
  <c r="L1361" i="3" s="1"/>
  <c r="H1352" i="3"/>
  <c r="J1359" i="3"/>
  <c r="L1359" i="3" s="1"/>
  <c r="H1351" i="3"/>
  <c r="H1418" i="3"/>
  <c r="H1413" i="3"/>
  <c r="H81" i="3"/>
  <c r="J81" i="3" s="1"/>
  <c r="L81" i="3" s="1"/>
  <c r="N81" i="3" s="1"/>
  <c r="Q81" i="3" s="1"/>
  <c r="S81" i="3" s="1"/>
  <c r="U81" i="3" s="1"/>
  <c r="X81" i="3" s="1"/>
  <c r="Z81" i="3" s="1"/>
  <c r="H75" i="3"/>
  <c r="J75" i="3" s="1"/>
  <c r="L75" i="3" s="1"/>
  <c r="N75" i="3" s="1"/>
  <c r="Q75" i="3" s="1"/>
  <c r="S75" i="3" s="1"/>
  <c r="U75" i="3" s="1"/>
  <c r="X75" i="3" s="1"/>
  <c r="Z75" i="3" s="1"/>
  <c r="H76" i="3"/>
  <c r="J76" i="3" s="1"/>
  <c r="L76" i="3" s="1"/>
  <c r="N76" i="3" s="1"/>
  <c r="Q76" i="3" s="1"/>
  <c r="S76" i="3" s="1"/>
  <c r="U76" i="3" s="1"/>
  <c r="X76" i="3" s="1"/>
  <c r="Z76" i="3" s="1"/>
  <c r="H69" i="3"/>
  <c r="J69" i="3" s="1"/>
  <c r="L69" i="3" s="1"/>
  <c r="N69" i="3" s="1"/>
  <c r="Q69" i="3" s="1"/>
  <c r="S69" i="3" s="1"/>
  <c r="U69" i="3" s="1"/>
  <c r="X69" i="3" s="1"/>
  <c r="Z69" i="3" s="1"/>
  <c r="H70" i="3"/>
  <c r="J70" i="3" s="1"/>
  <c r="L70" i="3" s="1"/>
  <c r="N70" i="3" s="1"/>
  <c r="Q70" i="3" s="1"/>
  <c r="S70" i="3" s="1"/>
  <c r="U70" i="3" s="1"/>
  <c r="X70" i="3" s="1"/>
  <c r="Z70" i="3" s="1"/>
  <c r="H63" i="3"/>
  <c r="J63" i="3" s="1"/>
  <c r="L63" i="3" s="1"/>
  <c r="N63" i="3" s="1"/>
  <c r="Q63" i="3" s="1"/>
  <c r="S63" i="3" s="1"/>
  <c r="U63" i="3" s="1"/>
  <c r="X63" i="3" s="1"/>
  <c r="Z63" i="3" s="1"/>
  <c r="J1351" i="3" l="1"/>
  <c r="L1351" i="3" s="1"/>
  <c r="AV11" i="7"/>
  <c r="BD11" i="7" s="1"/>
  <c r="AB63" i="3"/>
  <c r="AF63" i="3" s="1"/>
  <c r="AB69" i="3"/>
  <c r="AF69" i="3" s="1"/>
  <c r="AB706" i="3"/>
  <c r="AB76" i="3"/>
  <c r="AF76" i="3" s="1"/>
  <c r="AB75" i="3"/>
  <c r="AF75" i="3" s="1"/>
  <c r="AB697" i="3"/>
  <c r="AB70" i="3"/>
  <c r="AF70" i="3" s="1"/>
  <c r="AB81" i="3"/>
  <c r="AF81" i="3" s="1"/>
  <c r="Z1080" i="3"/>
  <c r="Z1071" i="3"/>
  <c r="Z1118" i="3"/>
  <c r="Z1108" i="3"/>
  <c r="Z1081" i="3"/>
  <c r="Z1072" i="3"/>
  <c r="Z1004" i="3"/>
  <c r="S664" i="3"/>
  <c r="S456" i="3"/>
  <c r="S665" i="3"/>
  <c r="J1352" i="3"/>
  <c r="J1413" i="3"/>
  <c r="J1418" i="3"/>
  <c r="H91" i="3"/>
  <c r="AB1072" i="3" l="1"/>
  <c r="AF1072" i="3" s="1"/>
  <c r="AB1004" i="3"/>
  <c r="AF1004" i="3" s="1"/>
  <c r="AB1118" i="3"/>
  <c r="AF1118" i="3" s="1"/>
  <c r="AB1071" i="3"/>
  <c r="AF1071" i="3" s="1"/>
  <c r="AB1081" i="3"/>
  <c r="AF1081" i="3" s="1"/>
  <c r="AB1080" i="3"/>
  <c r="AF1080" i="3" s="1"/>
  <c r="AB1108" i="3"/>
  <c r="AF1108" i="3" s="1"/>
  <c r="AF706" i="3"/>
  <c r="AF697" i="3"/>
  <c r="U664" i="3"/>
  <c r="U665" i="3"/>
  <c r="U456" i="3"/>
  <c r="L1418" i="3"/>
  <c r="L1413" i="3"/>
  <c r="X665" i="3" l="1"/>
  <c r="X664" i="3"/>
  <c r="X456" i="3"/>
  <c r="N1413" i="3"/>
  <c r="N1418" i="3"/>
  <c r="Z664" i="3" l="1"/>
  <c r="AB664" i="3" s="1"/>
  <c r="Z665" i="3"/>
  <c r="AB665" i="3" s="1"/>
  <c r="Z456" i="3"/>
  <c r="AB456" i="3" s="1"/>
  <c r="Q1418" i="3"/>
  <c r="Q1413" i="3"/>
  <c r="S1413" i="3" l="1"/>
  <c r="S1418" i="3"/>
  <c r="U1418" i="3" l="1"/>
  <c r="AF664" i="3"/>
  <c r="AF665" i="3"/>
  <c r="U1413" i="3"/>
  <c r="X1418" i="3" l="1"/>
  <c r="Z1418" i="3" s="1"/>
  <c r="X1413" i="3"/>
  <c r="AB1418" i="3" l="1"/>
  <c r="Z1413" i="3"/>
  <c r="AB1413" i="3" l="1"/>
  <c r="AF1418" i="3"/>
  <c r="AF1413" i="3" l="1"/>
  <c r="H1419" i="3"/>
  <c r="H1405" i="3"/>
  <c r="H1403" i="3"/>
  <c r="H1402" i="3"/>
  <c r="J1419" i="3" l="1"/>
  <c r="H1410" i="3"/>
  <c r="J1402" i="3"/>
  <c r="J1403" i="3"/>
  <c r="J1405" i="3"/>
  <c r="H1411" i="3"/>
  <c r="H1412" i="3"/>
  <c r="H1404" i="3"/>
  <c r="H1408" i="3" s="1"/>
  <c r="H1417" i="3"/>
  <c r="J1417" i="3" l="1"/>
  <c r="J1421" i="3" s="1"/>
  <c r="J1410" i="3"/>
  <c r="J1401" i="3"/>
  <c r="L1403" i="3"/>
  <c r="L1419" i="3"/>
  <c r="L1405" i="3"/>
  <c r="L1402" i="3"/>
  <c r="J1404" i="3"/>
  <c r="J1411" i="3"/>
  <c r="J1412" i="3"/>
  <c r="H1421" i="3"/>
  <c r="H1415" i="3"/>
  <c r="J1408" i="3" l="1"/>
  <c r="L1404" i="3"/>
  <c r="L1410" i="3"/>
  <c r="L1417" i="3"/>
  <c r="L1421" i="3" s="1"/>
  <c r="L1401" i="3"/>
  <c r="N1405" i="3"/>
  <c r="N1419" i="3"/>
  <c r="N1403" i="3"/>
  <c r="N1402" i="3"/>
  <c r="L1412" i="3"/>
  <c r="L1411" i="3"/>
  <c r="J1415" i="3"/>
  <c r="I6" i="21"/>
  <c r="M6" i="21" s="1"/>
  <c r="Q6" i="21" s="1"/>
  <c r="U6" i="21" s="1"/>
  <c r="AA6" i="21" s="1"/>
  <c r="AE6" i="21" s="1"/>
  <c r="AI6" i="21" s="1"/>
  <c r="AO6" i="21" s="1"/>
  <c r="AS6" i="21" s="1"/>
  <c r="AW6" i="21" s="1"/>
  <c r="BE6" i="21" s="1"/>
  <c r="H6" i="21"/>
  <c r="L6" i="21" s="1"/>
  <c r="P6" i="21" s="1"/>
  <c r="T6" i="21" s="1"/>
  <c r="Z6" i="21" s="1"/>
  <c r="AD6" i="21" s="1"/>
  <c r="AH6" i="21" s="1"/>
  <c r="AN6" i="21" s="1"/>
  <c r="AR6" i="21" s="1"/>
  <c r="AV6" i="21" s="1"/>
  <c r="BD6" i="21" s="1"/>
  <c r="L1408" i="3" l="1"/>
  <c r="N1401" i="3"/>
  <c r="N1410" i="3"/>
  <c r="N1404" i="3"/>
  <c r="N1417" i="3"/>
  <c r="N1421" i="3" s="1"/>
  <c r="N1412" i="3"/>
  <c r="Q1402" i="3"/>
  <c r="Q1403" i="3"/>
  <c r="Q1419" i="3"/>
  <c r="N1411" i="3"/>
  <c r="Q1405" i="3"/>
  <c r="L1415" i="3"/>
  <c r="I17" i="21"/>
  <c r="M17" i="21" s="1"/>
  <c r="Q17" i="21" s="1"/>
  <c r="U17" i="21" s="1"/>
  <c r="AA17" i="21" s="1"/>
  <c r="AE17" i="21" s="1"/>
  <c r="AI17" i="21" s="1"/>
  <c r="AO17" i="21" s="1"/>
  <c r="AS17" i="21" s="1"/>
  <c r="AW17" i="21" s="1"/>
  <c r="BE17" i="21" s="1"/>
  <c r="H88" i="3"/>
  <c r="J88" i="3" s="1"/>
  <c r="L88" i="3" s="1"/>
  <c r="N88" i="3" s="1"/>
  <c r="Q88" i="3" s="1"/>
  <c r="S88" i="3" s="1"/>
  <c r="U88" i="3" s="1"/>
  <c r="X88" i="3" s="1"/>
  <c r="Z88" i="3" s="1"/>
  <c r="D12" i="21"/>
  <c r="D14" i="21" s="1"/>
  <c r="N1408" i="3" l="1"/>
  <c r="AB88" i="3"/>
  <c r="AF88" i="3" s="1"/>
  <c r="Q1401" i="3"/>
  <c r="Q1404" i="3"/>
  <c r="Q1417" i="3"/>
  <c r="Q1421" i="3" s="1"/>
  <c r="Q1410" i="3"/>
  <c r="S1403" i="3"/>
  <c r="S1405" i="3"/>
  <c r="S1419" i="3"/>
  <c r="S1402" i="3"/>
  <c r="Q1411" i="3"/>
  <c r="N1415" i="3"/>
  <c r="Q1412" i="3"/>
  <c r="I61" i="8"/>
  <c r="M61" i="8" s="1"/>
  <c r="Q61" i="8" s="1"/>
  <c r="U61" i="8" s="1"/>
  <c r="AA61" i="8" s="1"/>
  <c r="AE61" i="8" s="1"/>
  <c r="AI61" i="8" s="1"/>
  <c r="AO61" i="8" s="1"/>
  <c r="AS61" i="8" s="1"/>
  <c r="AW61" i="8" s="1"/>
  <c r="BE61" i="8" s="1"/>
  <c r="I32" i="7" l="1"/>
  <c r="Q1408" i="3"/>
  <c r="S1401" i="3"/>
  <c r="S1404" i="3"/>
  <c r="S1417" i="3"/>
  <c r="S1421" i="3" s="1"/>
  <c r="S1410" i="3"/>
  <c r="U1402" i="3"/>
  <c r="U1419" i="3"/>
  <c r="U1405" i="3"/>
  <c r="U1403" i="3"/>
  <c r="S1411" i="3"/>
  <c r="Q1415" i="3"/>
  <c r="S1412" i="3"/>
  <c r="I63" i="8"/>
  <c r="M63" i="8" s="1"/>
  <c r="Q63" i="8" s="1"/>
  <c r="U63" i="8" s="1"/>
  <c r="AA63" i="8" s="1"/>
  <c r="AE63" i="8" s="1"/>
  <c r="AI63" i="8" s="1"/>
  <c r="AO63" i="8" s="1"/>
  <c r="AS63" i="8" s="1"/>
  <c r="AW63" i="8" s="1"/>
  <c r="BE63" i="8" s="1"/>
  <c r="H1357" i="3"/>
  <c r="J1357" i="3" s="1"/>
  <c r="L1357" i="3" s="1"/>
  <c r="N1357" i="3" s="1"/>
  <c r="Q1357" i="3" s="1"/>
  <c r="S1357" i="3" s="1"/>
  <c r="U1357" i="3" s="1"/>
  <c r="X1357" i="3" s="1"/>
  <c r="Z1357" i="3" s="1"/>
  <c r="H1354" i="3"/>
  <c r="I60" i="8"/>
  <c r="M60" i="8" l="1"/>
  <c r="M32" i="7"/>
  <c r="S1408" i="3"/>
  <c r="AB1357" i="3"/>
  <c r="AF1357" i="3" s="1"/>
  <c r="U1401" i="3"/>
  <c r="U1404" i="3"/>
  <c r="X1419" i="3"/>
  <c r="U1410" i="3"/>
  <c r="X1402" i="3"/>
  <c r="Z1402" i="3" s="1"/>
  <c r="AB1402" i="3" s="1"/>
  <c r="U1417" i="3"/>
  <c r="U1411" i="3"/>
  <c r="X1403" i="3"/>
  <c r="X1405" i="3"/>
  <c r="U1412" i="3"/>
  <c r="S1415" i="3"/>
  <c r="J1354" i="3"/>
  <c r="L1354" i="3" s="1"/>
  <c r="N1354" i="3" s="1"/>
  <c r="Q1354" i="3" s="1"/>
  <c r="S1354" i="3" s="1"/>
  <c r="U1354" i="3" s="1"/>
  <c r="X1354" i="3" s="1"/>
  <c r="Z1354" i="3" s="1"/>
  <c r="AB1354" i="3" s="1"/>
  <c r="I64" i="8"/>
  <c r="H1358" i="3"/>
  <c r="M64" i="8" l="1"/>
  <c r="Q60" i="8"/>
  <c r="Q32" i="7"/>
  <c r="U32" i="7" s="1"/>
  <c r="X1401" i="3"/>
  <c r="Z1401" i="3" s="1"/>
  <c r="U1408" i="3"/>
  <c r="X1404" i="3"/>
  <c r="X1411" i="3"/>
  <c r="Z1411" i="3" s="1"/>
  <c r="Z1419" i="3"/>
  <c r="U1421" i="3"/>
  <c r="X1417" i="3"/>
  <c r="X1410" i="3"/>
  <c r="X1412" i="3"/>
  <c r="AF1354" i="3"/>
  <c r="Z1405" i="3"/>
  <c r="Z1403" i="3"/>
  <c r="U1415" i="3"/>
  <c r="J1358" i="3"/>
  <c r="L1358" i="3" s="1"/>
  <c r="N1358" i="3" s="1"/>
  <c r="Q1358" i="3" s="1"/>
  <c r="S1358" i="3" s="1"/>
  <c r="U1358" i="3" s="1"/>
  <c r="X1358" i="3" s="1"/>
  <c r="Z1358" i="3" s="1"/>
  <c r="AB1358" i="3" s="1"/>
  <c r="AA32" i="7" l="1"/>
  <c r="U60" i="8"/>
  <c r="AA60" i="8" s="1"/>
  <c r="Q64" i="8"/>
  <c r="X1408" i="3"/>
  <c r="AB1403" i="3"/>
  <c r="AB1411" i="3"/>
  <c r="AB1405" i="3"/>
  <c r="AB1419" i="3"/>
  <c r="AB1401" i="3"/>
  <c r="Z1404" i="3"/>
  <c r="Z1408" i="3" s="1"/>
  <c r="X1415" i="3"/>
  <c r="Z1412" i="3"/>
  <c r="AF1402" i="3"/>
  <c r="Z1410" i="3"/>
  <c r="AB1410" i="3" s="1"/>
  <c r="Z1417" i="3"/>
  <c r="AB1417" i="3" s="1"/>
  <c r="X1421" i="3"/>
  <c r="AF1358" i="3"/>
  <c r="AE32" i="7" l="1"/>
  <c r="AE60" i="8"/>
  <c r="U64" i="8"/>
  <c r="AA64" i="8" s="1"/>
  <c r="AB1421" i="3"/>
  <c r="AB1404" i="3"/>
  <c r="AB1408" i="3" s="1"/>
  <c r="AB1412" i="3"/>
  <c r="AB1415" i="3" s="1"/>
  <c r="AF1401" i="3"/>
  <c r="Z1415" i="3"/>
  <c r="AF1419" i="3"/>
  <c r="Z1421" i="3"/>
  <c r="AF1403" i="3"/>
  <c r="AF1411" i="3"/>
  <c r="AF1405" i="3"/>
  <c r="D57" i="17"/>
  <c r="AI32" i="7" l="1"/>
  <c r="AE64" i="8"/>
  <c r="AI60" i="8"/>
  <c r="AF1404" i="3"/>
  <c r="AF1412" i="3"/>
  <c r="AF1410" i="3"/>
  <c r="AF1417" i="3"/>
  <c r="AO32" i="7" l="1"/>
  <c r="AS32" i="7" s="1"/>
  <c r="AO60" i="8"/>
  <c r="AS60" i="8" s="1"/>
  <c r="AI64" i="8"/>
  <c r="I11" i="7"/>
  <c r="AF1408" i="3"/>
  <c r="AF1415" i="3"/>
  <c r="AF1421" i="3"/>
  <c r="AW60" i="8" l="1"/>
  <c r="BE60" i="8" s="1"/>
  <c r="AW32" i="7"/>
  <c r="BE32" i="7" s="1"/>
  <c r="AO64" i="8"/>
  <c r="AS64" i="8" s="1"/>
  <c r="M11" i="7"/>
  <c r="AW64" i="8" l="1"/>
  <c r="BE64" i="8" s="1"/>
  <c r="Q11" i="7"/>
  <c r="U11" i="7" s="1"/>
  <c r="AA11" i="7" l="1"/>
  <c r="Q1110" i="3"/>
  <c r="S1110" i="3" s="1"/>
  <c r="U1110" i="3" s="1"/>
  <c r="X1110" i="3" s="1"/>
  <c r="AE11" i="7" l="1"/>
  <c r="Z1110" i="3"/>
  <c r="N1104" i="3"/>
  <c r="N1110" i="3"/>
  <c r="AI11" i="7" l="1"/>
  <c r="AB1110" i="3"/>
  <c r="AF1110" i="3" s="1"/>
  <c r="AD715" i="3"/>
  <c r="AO11" i="7" l="1"/>
  <c r="AS11" i="7" s="1"/>
  <c r="N1046" i="3"/>
  <c r="N1024" i="3"/>
  <c r="Q1024" i="3"/>
  <c r="AW11" i="7" l="1"/>
  <c r="BE11" i="7" s="1"/>
  <c r="S1024" i="3"/>
  <c r="K33" i="22"/>
  <c r="E21" i="22" l="1"/>
  <c r="E22" i="22" s="1"/>
  <c r="E24" i="22" s="1"/>
  <c r="E25" i="22" s="1"/>
  <c r="E7" i="22"/>
  <c r="E8" i="22" s="1"/>
  <c r="E10" i="22" s="1"/>
  <c r="E11" i="22" s="1"/>
  <c r="U1046" i="3"/>
  <c r="U1024" i="3"/>
  <c r="E27" i="22" l="1"/>
  <c r="E13" i="22"/>
  <c r="X1024" i="3"/>
  <c r="Z1024" i="3" s="1"/>
  <c r="AB1024" i="3" s="1"/>
  <c r="AF1024" i="3" s="1"/>
  <c r="X1046" i="3"/>
  <c r="Z1046" i="3" l="1"/>
  <c r="AB1046" i="3" l="1"/>
  <c r="AF1046" i="3" s="1"/>
  <c r="AD1346" i="3" l="1"/>
  <c r="AD1347" i="3"/>
  <c r="AD1366" i="3" s="1"/>
  <c r="AD1348" i="3"/>
  <c r="AD1349" i="3"/>
  <c r="AD1323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53" i="3"/>
  <c r="AD1252" i="3"/>
  <c r="AD1251" i="3"/>
  <c r="AD1249" i="3"/>
  <c r="AD1248" i="3"/>
  <c r="AD1246" i="3"/>
  <c r="AD1245" i="3"/>
  <c r="AD1232" i="3"/>
  <c r="AD1231" i="3"/>
  <c r="AD1208" i="3"/>
  <c r="AD1209" i="3"/>
  <c r="AD1210" i="3"/>
  <c r="AD1211" i="3"/>
  <c r="AD1212" i="3"/>
  <c r="AD1213" i="3"/>
  <c r="AD1214" i="3"/>
  <c r="AD1207" i="3"/>
  <c r="AD1198" i="3"/>
  <c r="AD1197" i="3"/>
  <c r="AD1196" i="3" s="1"/>
  <c r="AD1192" i="3"/>
  <c r="AD1127" i="3"/>
  <c r="AD1125" i="3"/>
  <c r="AD1123" i="3"/>
  <c r="AD1078" i="3"/>
  <c r="AD1011" i="3"/>
  <c r="AD1009" i="3"/>
  <c r="AD967" i="3"/>
  <c r="AD1005" i="3" s="1"/>
  <c r="AD851" i="3"/>
  <c r="AD754" i="3"/>
  <c r="AD686" i="3"/>
  <c r="AD1250" i="3" l="1"/>
  <c r="AD1199" i="3"/>
  <c r="AD1124" i="3"/>
  <c r="AD1119" i="3"/>
  <c r="AD902" i="3"/>
  <c r="AD1247" i="3"/>
  <c r="AD1255" i="3"/>
  <c r="AD1010" i="3"/>
  <c r="AD658" i="3"/>
  <c r="AD659" i="3"/>
  <c r="AD615" i="3"/>
  <c r="AD616" i="3"/>
  <c r="AD590" i="3"/>
  <c r="AD568" i="3"/>
  <c r="AD479" i="3"/>
  <c r="AD465" i="3"/>
  <c r="AD467" i="3"/>
  <c r="AD470" i="3"/>
  <c r="AD471" i="3"/>
  <c r="AD346" i="3" l="1"/>
  <c r="AD347" i="3"/>
  <c r="AD348" i="3"/>
  <c r="AD349" i="3"/>
  <c r="AD353" i="3"/>
  <c r="AD354" i="3"/>
  <c r="AD334" i="3"/>
  <c r="AD335" i="3"/>
  <c r="AD336" i="3"/>
  <c r="AD337" i="3"/>
  <c r="AD338" i="3"/>
  <c r="AD339" i="3"/>
  <c r="AD340" i="3"/>
  <c r="AD341" i="3"/>
  <c r="AD342" i="3"/>
  <c r="AD83" i="3" l="1"/>
  <c r="AE83" i="3" s="1"/>
  <c r="AD327" i="3" l="1"/>
  <c r="AD1515" i="3" l="1"/>
  <c r="AD1513" i="3"/>
  <c r="AD1511" i="3"/>
  <c r="AD1510" i="3"/>
  <c r="AD1509" i="3"/>
  <c r="AD1508" i="3"/>
  <c r="AD1505" i="3"/>
  <c r="AD1498" i="3"/>
  <c r="AD1495" i="3"/>
  <c r="AD1494" i="3"/>
  <c r="AD1493" i="3"/>
  <c r="AD1491" i="3"/>
  <c r="AD1467" i="3"/>
  <c r="AD1476" i="3" s="1"/>
  <c r="AD1464" i="3"/>
  <c r="AD1006" i="3"/>
  <c r="AD904" i="3"/>
  <c r="AD1485" i="3" l="1"/>
  <c r="AD1479" i="3"/>
  <c r="AD1484" i="3"/>
  <c r="AD1480" i="3"/>
  <c r="AD1470" i="3"/>
  <c r="AD1478" i="3"/>
  <c r="AD1475" i="3"/>
  <c r="AD1477" i="3"/>
  <c r="AD1481" i="3"/>
  <c r="AD1469" i="3"/>
  <c r="AD1486" i="3" l="1"/>
  <c r="AD1471" i="3"/>
  <c r="AD1482" i="3"/>
  <c r="AD1483" i="3" s="1"/>
  <c r="Q1055" i="3" l="1"/>
  <c r="S1055" i="3" s="1"/>
  <c r="U1055" i="3" s="1"/>
  <c r="X1055" i="3" s="1"/>
  <c r="Q1111" i="3"/>
  <c r="S1111" i="3" s="1"/>
  <c r="U1111" i="3" s="1"/>
  <c r="X1111" i="3" s="1"/>
  <c r="Q1101" i="3"/>
  <c r="S1101" i="3" s="1"/>
  <c r="U1101" i="3" s="1"/>
  <c r="X1101" i="3" s="1"/>
  <c r="Z1111" i="3" l="1"/>
  <c r="Z1055" i="3"/>
  <c r="Z1101" i="3"/>
  <c r="N1055" i="3"/>
  <c r="N1101" i="3"/>
  <c r="N1111" i="3"/>
  <c r="AD288" i="3"/>
  <c r="AB1101" i="3" l="1"/>
  <c r="AF1101" i="3" s="1"/>
  <c r="AB1055" i="3"/>
  <c r="AF1055" i="3" s="1"/>
  <c r="AB1111" i="3"/>
  <c r="AF1111" i="3" s="1"/>
  <c r="AD1492" i="3" l="1"/>
  <c r="AD1496" i="3" l="1"/>
  <c r="Q1048" i="3" l="1"/>
  <c r="S1048" i="3" l="1"/>
  <c r="N1045" i="3"/>
  <c r="N1048" i="3"/>
  <c r="U1048" i="3" l="1"/>
  <c r="U1045" i="3"/>
  <c r="X1048" i="3" l="1"/>
  <c r="X1045" i="3"/>
  <c r="Z1045" i="3" s="1"/>
  <c r="AB1045" i="3" s="1"/>
  <c r="AF1045" i="3" s="1"/>
  <c r="Z1048" i="3" l="1"/>
  <c r="AB1048" i="3" l="1"/>
  <c r="AF1048" i="3" s="1"/>
  <c r="N973" i="3" l="1"/>
  <c r="Q973" i="3" l="1"/>
  <c r="AA730" i="3" l="1"/>
  <c r="AC730" i="3"/>
  <c r="S973" i="3"/>
  <c r="U973" i="3" l="1"/>
  <c r="X973" i="3" l="1"/>
  <c r="Z973" i="3" s="1"/>
  <c r="AB973" i="3" s="1"/>
  <c r="AF973" i="3" s="1"/>
  <c r="Q275" i="6" l="1"/>
  <c r="O276" i="6"/>
  <c r="O275" i="6"/>
  <c r="M275" i="6"/>
  <c r="I275" i="6"/>
  <c r="K217" i="6"/>
  <c r="K216" i="6"/>
  <c r="K215" i="6"/>
  <c r="K276" i="6" s="1"/>
  <c r="K275" i="6"/>
  <c r="G217" i="6"/>
  <c r="G216" i="6"/>
  <c r="G215" i="6"/>
  <c r="G276" i="6" s="1"/>
  <c r="G275" i="6"/>
  <c r="E217" i="6"/>
  <c r="E216" i="6"/>
  <c r="E215" i="6"/>
  <c r="E276" i="6" s="1"/>
  <c r="E275" i="6"/>
  <c r="D121" i="6" l="1"/>
  <c r="W349" i="3" l="1"/>
  <c r="AE349" i="3" s="1"/>
  <c r="H349" i="3"/>
  <c r="J349" i="3" s="1"/>
  <c r="L349" i="3" s="1"/>
  <c r="N349" i="3" s="1"/>
  <c r="Q349" i="3" s="1"/>
  <c r="S349" i="3" l="1"/>
  <c r="U349" i="3" s="1"/>
  <c r="X349" i="3" s="1"/>
  <c r="Z349" i="3" s="1"/>
  <c r="AB349" i="3" l="1"/>
  <c r="AF349" i="3" s="1"/>
  <c r="J81" i="6"/>
  <c r="AE470" i="3"/>
  <c r="AE471" i="3"/>
  <c r="H470" i="3"/>
  <c r="J470" i="3" s="1"/>
  <c r="L470" i="3" s="1"/>
  <c r="N470" i="3" s="1"/>
  <c r="Q470" i="3" s="1"/>
  <c r="S470" i="3" s="1"/>
  <c r="H471" i="3"/>
  <c r="J471" i="3" s="1"/>
  <c r="L471" i="3" s="1"/>
  <c r="N471" i="3" s="1"/>
  <c r="Q471" i="3" s="1"/>
  <c r="L80" i="6" l="1"/>
  <c r="P80" i="6" s="1"/>
  <c r="T80" i="6" s="1"/>
  <c r="P470" i="3"/>
  <c r="U470" i="3"/>
  <c r="P471" i="3"/>
  <c r="S471" i="3"/>
  <c r="U471" i="3" s="1"/>
  <c r="Z80" i="6" l="1"/>
  <c r="AD80" i="6" s="1"/>
  <c r="AH80" i="6" s="1"/>
  <c r="AN80" i="6" s="1"/>
  <c r="AR80" i="6" s="1"/>
  <c r="AV80" i="6" s="1"/>
  <c r="BD80" i="6" s="1"/>
  <c r="X470" i="3"/>
  <c r="X471" i="3"/>
  <c r="M80" i="6"/>
  <c r="Q80" i="6" s="1"/>
  <c r="U80" i="6" s="1"/>
  <c r="AA80" i="6" l="1"/>
  <c r="AE80" i="6" s="1"/>
  <c r="AI80" i="6" s="1"/>
  <c r="AO80" i="6" s="1"/>
  <c r="AS80" i="6" s="1"/>
  <c r="AW80" i="6" s="1"/>
  <c r="BE80" i="6" s="1"/>
  <c r="Z471" i="3"/>
  <c r="Z470" i="3"/>
  <c r="I217" i="6"/>
  <c r="I215" i="6"/>
  <c r="I276" i="6" s="1"/>
  <c r="I216" i="6"/>
  <c r="AB470" i="3" l="1"/>
  <c r="AF470" i="3" s="1"/>
  <c r="AB471" i="3"/>
  <c r="AF471" i="3" s="1"/>
  <c r="M216" i="6"/>
  <c r="M217" i="6"/>
  <c r="M215" i="6"/>
  <c r="M276" i="6" s="1"/>
  <c r="Q276" i="6" l="1"/>
  <c r="Q1059" i="3" l="1"/>
  <c r="S1059" i="3" s="1"/>
  <c r="U1059" i="3" s="1"/>
  <c r="X1059" i="3" s="1"/>
  <c r="Z1059" i="3" l="1"/>
  <c r="N1057" i="3"/>
  <c r="Q1057" i="3"/>
  <c r="N1059" i="3"/>
  <c r="AB1059" i="3" l="1"/>
  <c r="AF1059" i="3" s="1"/>
  <c r="S1057" i="3"/>
  <c r="AD287" i="3"/>
  <c r="AD286" i="3"/>
  <c r="AD289" i="3" l="1"/>
  <c r="U1057" i="3"/>
  <c r="N961" i="3"/>
  <c r="X1057" i="3" l="1"/>
  <c r="Z1057" i="3" s="1"/>
  <c r="AB1057" i="3" s="1"/>
  <c r="AF1057" i="3" s="1"/>
  <c r="Q961" i="3"/>
  <c r="S961" i="3" s="1"/>
  <c r="U961" i="3" s="1"/>
  <c r="X961" i="3" l="1"/>
  <c r="Z961" i="3" s="1"/>
  <c r="AB961" i="3" s="1"/>
  <c r="AF961" i="3" s="1"/>
  <c r="N976" i="3" l="1"/>
  <c r="H83" i="3"/>
  <c r="Q976" i="3" l="1"/>
  <c r="J83" i="3"/>
  <c r="L83" i="3" s="1"/>
  <c r="N83" i="3" s="1"/>
  <c r="Q83" i="3" s="1"/>
  <c r="S83" i="3" s="1"/>
  <c r="U83" i="3" s="1"/>
  <c r="X83" i="3" s="1"/>
  <c r="H90" i="3"/>
  <c r="J90" i="3" s="1"/>
  <c r="S976" i="3" l="1"/>
  <c r="L90" i="3"/>
  <c r="Z83" i="3"/>
  <c r="AB83" i="3" s="1"/>
  <c r="AF83" i="3" l="1"/>
  <c r="U976" i="3"/>
  <c r="N90" i="3"/>
  <c r="Q90" i="3" s="1"/>
  <c r="X976" i="3" l="1"/>
  <c r="Z976" i="3" s="1"/>
  <c r="AB976" i="3" s="1"/>
  <c r="AF976" i="3" s="1"/>
  <c r="S90" i="3"/>
  <c r="AD1516" i="3"/>
  <c r="AD1514" i="3"/>
  <c r="AD1512" i="3"/>
  <c r="AD1506" i="3"/>
  <c r="AD1504" i="3"/>
  <c r="AD1502" i="3"/>
  <c r="AD1497" i="3"/>
  <c r="U90" i="3" l="1"/>
  <c r="AD1499" i="3"/>
  <c r="AD1500" i="3" s="1"/>
  <c r="X90" i="3" l="1"/>
  <c r="Z90" i="3" s="1"/>
  <c r="AD1018" i="3"/>
  <c r="AD1017" i="3"/>
  <c r="AD915" i="3"/>
  <c r="AD914" i="3"/>
  <c r="AB90" i="3" l="1"/>
  <c r="AF90" i="3" s="1"/>
  <c r="AD1133" i="3"/>
  <c r="AD1134" i="3"/>
  <c r="AD1472" i="3"/>
  <c r="AD1473" i="3" l="1"/>
  <c r="AD1474" i="3" s="1"/>
  <c r="Q1067" i="3" l="1"/>
  <c r="S1067" i="3" s="1"/>
  <c r="U1067" i="3" s="1"/>
  <c r="X1067" i="3" s="1"/>
  <c r="Z1067" i="3" l="1"/>
  <c r="N1066" i="3"/>
  <c r="Q1066" i="3"/>
  <c r="S1066" i="3" s="1"/>
  <c r="U1066" i="3" s="1"/>
  <c r="N1041" i="3"/>
  <c r="Q1041" i="3"/>
  <c r="N1067" i="3"/>
  <c r="AB1067" i="3" l="1"/>
  <c r="AF1067" i="3" s="1"/>
  <c r="X1066" i="3"/>
  <c r="Z1066" i="3" s="1"/>
  <c r="AB1066" i="3" s="1"/>
  <c r="AF1066" i="3" s="1"/>
  <c r="S1041" i="3"/>
  <c r="W1267" i="3"/>
  <c r="AE1267" i="3" s="1"/>
  <c r="P1267" i="3"/>
  <c r="H1267" i="3"/>
  <c r="U1041" i="3" l="1"/>
  <c r="N936" i="3"/>
  <c r="J1267" i="3"/>
  <c r="H62" i="9"/>
  <c r="I62" i="9"/>
  <c r="I51" i="48" s="1"/>
  <c r="L62" i="9" l="1"/>
  <c r="M62" i="9"/>
  <c r="M51" i="48" s="1"/>
  <c r="X1041" i="3"/>
  <c r="Z1041" i="3" s="1"/>
  <c r="AB1041" i="3" s="1"/>
  <c r="AF1041" i="3" s="1"/>
  <c r="Q936" i="3"/>
  <c r="L1267" i="3"/>
  <c r="Q1267" i="3"/>
  <c r="S1267" i="3" s="1"/>
  <c r="P62" i="9" l="1"/>
  <c r="Q62" i="9"/>
  <c r="Q51" i="48" s="1"/>
  <c r="S936" i="3"/>
  <c r="N945" i="3"/>
  <c r="N1267" i="3"/>
  <c r="U1267" i="3"/>
  <c r="T62" i="9" l="1"/>
  <c r="U62" i="9"/>
  <c r="U936" i="3"/>
  <c r="Q945" i="3"/>
  <c r="X1267" i="3"/>
  <c r="AA62" i="9" l="1"/>
  <c r="AA51" i="48" s="1"/>
  <c r="U51" i="48"/>
  <c r="AE62" i="9"/>
  <c r="Z62" i="9"/>
  <c r="AD62" i="9" s="1"/>
  <c r="AH62" i="9" s="1"/>
  <c r="X936" i="3"/>
  <c r="Z936" i="3" s="1"/>
  <c r="AB936" i="3" s="1"/>
  <c r="AF936" i="3" s="1"/>
  <c r="S945" i="3"/>
  <c r="Z1267" i="3"/>
  <c r="AB1267" i="3" s="1"/>
  <c r="AI62" i="9" l="1"/>
  <c r="AI51" i="48" s="1"/>
  <c r="AE51" i="48"/>
  <c r="AN62" i="9"/>
  <c r="AR62" i="9" s="1"/>
  <c r="AO62" i="9"/>
  <c r="U945" i="3"/>
  <c r="AS62" i="9" l="1"/>
  <c r="AO51" i="48"/>
  <c r="AV62" i="9"/>
  <c r="BD62" i="9" s="1"/>
  <c r="AF1267" i="3"/>
  <c r="X945" i="3"/>
  <c r="Z945" i="3" s="1"/>
  <c r="AB945" i="3" s="1"/>
  <c r="AF945" i="3" s="1"/>
  <c r="AW62" i="9" l="1"/>
  <c r="BE62" i="9" s="1"/>
  <c r="AS51" i="48"/>
  <c r="AD422" i="3"/>
  <c r="AI211" i="6" s="1"/>
  <c r="AD423" i="3" l="1"/>
  <c r="AI212" i="6" s="1"/>
  <c r="AD424" i="3"/>
  <c r="AI213" i="6" s="1"/>
  <c r="AD730" i="3"/>
  <c r="Y730" i="3"/>
  <c r="AD1457" i="3" l="1"/>
  <c r="AD1257" i="3"/>
  <c r="AD1256" i="3"/>
  <c r="AD1258" i="3" l="1"/>
  <c r="AD1330" i="3"/>
  <c r="AD1329" i="3" s="1"/>
  <c r="AD1458" i="3"/>
  <c r="AD1463" i="3"/>
  <c r="AD237" i="3" l="1"/>
  <c r="AD1007" i="3"/>
  <c r="AD1121" i="3"/>
  <c r="AD1122" i="3" s="1"/>
  <c r="AD1200" i="3"/>
  <c r="AD1465" i="3"/>
  <c r="AD913" i="3"/>
  <c r="AD1016" i="3"/>
  <c r="AD1462" i="3"/>
  <c r="AD1132" i="3"/>
  <c r="AD1008" i="3" l="1"/>
  <c r="AD1201" i="3"/>
  <c r="AD1203" i="3" l="1"/>
  <c r="AD20" i="3"/>
  <c r="AD19" i="3" l="1"/>
  <c r="AD21" i="3" l="1"/>
  <c r="AD459" i="3"/>
  <c r="K205" i="6" l="1"/>
  <c r="I205" i="6"/>
  <c r="G205" i="6"/>
  <c r="E205" i="6"/>
  <c r="K204" i="6"/>
  <c r="I204" i="6"/>
  <c r="G204" i="6"/>
  <c r="E204" i="6"/>
  <c r="O272" i="6"/>
  <c r="K203" i="6"/>
  <c r="K272" i="6" s="1"/>
  <c r="I203" i="6"/>
  <c r="I272" i="6" s="1"/>
  <c r="G203" i="6"/>
  <c r="G272" i="6" s="1"/>
  <c r="E203" i="6"/>
  <c r="E272" i="6" s="1"/>
  <c r="W1207" i="3"/>
  <c r="AE1207" i="3" s="1"/>
  <c r="W1208" i="3"/>
  <c r="AE1208" i="3" s="1"/>
  <c r="W1213" i="3"/>
  <c r="AE1213" i="3" s="1"/>
  <c r="N1068" i="3" l="1"/>
  <c r="Q1068" i="3"/>
  <c r="N949" i="3"/>
  <c r="S1068" i="3" l="1"/>
  <c r="Q949" i="3"/>
  <c r="N799" i="3"/>
  <c r="N792" i="3"/>
  <c r="U1068" i="3" l="1"/>
  <c r="S949" i="3"/>
  <c r="Q792" i="3"/>
  <c r="S792" i="3" s="1"/>
  <c r="Q799" i="3"/>
  <c r="S799" i="3" s="1"/>
  <c r="H353" i="3"/>
  <c r="J353" i="3" s="1"/>
  <c r="L353" i="3" s="1"/>
  <c r="N353" i="3" s="1"/>
  <c r="Q353" i="3" s="1"/>
  <c r="W353" i="3"/>
  <c r="AE353" i="3" s="1"/>
  <c r="X1068" i="3" l="1"/>
  <c r="Z1068" i="3" s="1"/>
  <c r="AB1068" i="3" s="1"/>
  <c r="AF1068" i="3" s="1"/>
  <c r="U949" i="3"/>
  <c r="U799" i="3"/>
  <c r="U792" i="3"/>
  <c r="S353" i="3"/>
  <c r="U353" i="3" s="1"/>
  <c r="X353" i="3" s="1"/>
  <c r="Z353" i="3" s="1"/>
  <c r="AB353" i="3" l="1"/>
  <c r="AF353" i="3" s="1"/>
  <c r="X792" i="3"/>
  <c r="Z792" i="3" s="1"/>
  <c r="AB792" i="3" s="1"/>
  <c r="AF792" i="3" s="1"/>
  <c r="X799" i="3"/>
  <c r="Z799" i="3" s="1"/>
  <c r="AB799" i="3" s="1"/>
  <c r="AF799" i="3" s="1"/>
  <c r="X949" i="3"/>
  <c r="Z949" i="3" s="1"/>
  <c r="AB949" i="3" s="1"/>
  <c r="AF949" i="3" s="1"/>
  <c r="Q1114" i="3" l="1"/>
  <c r="S1114" i="3" s="1"/>
  <c r="U1114" i="3" s="1"/>
  <c r="X1114" i="3" s="1"/>
  <c r="Z1114" i="3" l="1"/>
  <c r="N1116" i="3"/>
  <c r="Q1116" i="3"/>
  <c r="N969" i="3"/>
  <c r="N1114" i="3"/>
  <c r="L75" i="6"/>
  <c r="P75" i="6" l="1"/>
  <c r="L114" i="6"/>
  <c r="W411" i="3"/>
  <c r="W412" i="3"/>
  <c r="W410" i="3"/>
  <c r="AB1114" i="3"/>
  <c r="AF1114" i="3" s="1"/>
  <c r="S1116" i="3"/>
  <c r="Q969" i="3"/>
  <c r="S969" i="3" s="1"/>
  <c r="U969" i="3" s="1"/>
  <c r="M75" i="6"/>
  <c r="P114" i="6" l="1"/>
  <c r="P121" i="6" s="1"/>
  <c r="P126" i="6" s="1"/>
  <c r="T75" i="6"/>
  <c r="P412" i="3"/>
  <c r="P410" i="3"/>
  <c r="P411" i="3"/>
  <c r="Q75" i="6"/>
  <c r="M114" i="6"/>
  <c r="X969" i="3"/>
  <c r="Z969" i="3" s="1"/>
  <c r="AB969" i="3" s="1"/>
  <c r="AF969" i="3" s="1"/>
  <c r="U1116" i="3"/>
  <c r="M205" i="6"/>
  <c r="M204" i="6"/>
  <c r="M203" i="6"/>
  <c r="M272" i="6" s="1"/>
  <c r="T114" i="6" l="1"/>
  <c r="Z75" i="6"/>
  <c r="Q114" i="6"/>
  <c r="U75" i="6"/>
  <c r="T121" i="6"/>
  <c r="T126" i="6" s="1"/>
  <c r="J411" i="3"/>
  <c r="J410" i="3"/>
  <c r="L410" i="3" s="1"/>
  <c r="J412" i="3"/>
  <c r="X1116" i="3"/>
  <c r="Z1116" i="3" s="1"/>
  <c r="AB1116" i="3" s="1"/>
  <c r="AF1116" i="3" s="1"/>
  <c r="Z114" i="6" l="1"/>
  <c r="Z121" i="6" s="1"/>
  <c r="Z126" i="6" s="1"/>
  <c r="AD75" i="6"/>
  <c r="L411" i="3"/>
  <c r="N411" i="3" s="1"/>
  <c r="Q411" i="3" s="1"/>
  <c r="L412" i="3"/>
  <c r="N412" i="3" s="1"/>
  <c r="U114" i="6"/>
  <c r="AA75" i="6"/>
  <c r="X121" i="6"/>
  <c r="X126" i="6" s="1"/>
  <c r="N410" i="3"/>
  <c r="Q410" i="3" s="1"/>
  <c r="Q272" i="6"/>
  <c r="X131" i="6" l="1"/>
  <c r="AA114" i="6"/>
  <c r="AE75" i="6"/>
  <c r="AD114" i="6"/>
  <c r="AH75" i="6"/>
  <c r="S410" i="3"/>
  <c r="Q412" i="3"/>
  <c r="S411" i="3"/>
  <c r="X264" i="6" l="1"/>
  <c r="X263" i="6"/>
  <c r="X265" i="6"/>
  <c r="X262" i="6"/>
  <c r="X266" i="6" s="1"/>
  <c r="X242" i="6"/>
  <c r="AH114" i="6"/>
  <c r="AN75" i="6"/>
  <c r="AD121" i="6"/>
  <c r="AD126" i="6" s="1"/>
  <c r="AE114" i="6"/>
  <c r="AI75" i="6"/>
  <c r="U410" i="3"/>
  <c r="S412" i="3"/>
  <c r="U411" i="3"/>
  <c r="AN114" i="6" l="1"/>
  <c r="AR75" i="6"/>
  <c r="AI114" i="6"/>
  <c r="AO75" i="6"/>
  <c r="AN121" i="6"/>
  <c r="AN126" i="6" s="1"/>
  <c r="AH121" i="6"/>
  <c r="AH126" i="6" s="1"/>
  <c r="X410" i="3"/>
  <c r="U412" i="3"/>
  <c r="X411" i="3"/>
  <c r="AR114" i="6" l="1"/>
  <c r="AV75" i="6"/>
  <c r="AR121" i="6"/>
  <c r="AR126" i="6" s="1"/>
  <c r="AO114" i="6"/>
  <c r="AS75" i="6"/>
  <c r="X412" i="3"/>
  <c r="AV114" i="6" l="1"/>
  <c r="BD75" i="6"/>
  <c r="BD114" i="6" s="1"/>
  <c r="AV121" i="6"/>
  <c r="AV126" i="6" s="1"/>
  <c r="AS114" i="6"/>
  <c r="AW75" i="6"/>
  <c r="AR131" i="6"/>
  <c r="AR242" i="6" s="1"/>
  <c r="Z410" i="3"/>
  <c r="Z411" i="3"/>
  <c r="Z412" i="3"/>
  <c r="BD121" i="6" l="1"/>
  <c r="BD126" i="6" s="1"/>
  <c r="AW114" i="6"/>
  <c r="BE75" i="6"/>
  <c r="BE114" i="6" s="1"/>
  <c r="AV131" i="6"/>
  <c r="AV242" i="6" s="1"/>
  <c r="AR263" i="6"/>
  <c r="AR264" i="6"/>
  <c r="AR265" i="6"/>
  <c r="AR258" i="6"/>
  <c r="AR262" i="6"/>
  <c r="AR254" i="6"/>
  <c r="AR247" i="6"/>
  <c r="AR259" i="6"/>
  <c r="AR251" i="6"/>
  <c r="AR255" i="6"/>
  <c r="AR248" i="6"/>
  <c r="AR253" i="6"/>
  <c r="AR252" i="6"/>
  <c r="AR246" i="6"/>
  <c r="AR257" i="6"/>
  <c r="AR250" i="6"/>
  <c r="AR249" i="6"/>
  <c r="AB411" i="3"/>
  <c r="AB412" i="3"/>
  <c r="AB410" i="3"/>
  <c r="BD131" i="6" l="1"/>
  <c r="BD242" i="6"/>
  <c r="AV264" i="6"/>
  <c r="AV263" i="6"/>
  <c r="AV265" i="6"/>
  <c r="AV258" i="6"/>
  <c r="AV262" i="6"/>
  <c r="AV253" i="6"/>
  <c r="AV247" i="6"/>
  <c r="AV259" i="6"/>
  <c r="AV251" i="6"/>
  <c r="AV254" i="6"/>
  <c r="AV248" i="6"/>
  <c r="AV252" i="6"/>
  <c r="AV255" i="6"/>
  <c r="AV246" i="6"/>
  <c r="AV257" i="6"/>
  <c r="AV250" i="6"/>
  <c r="AV249" i="6"/>
  <c r="AR260" i="6"/>
  <c r="AR256" i="6"/>
  <c r="AR261" i="6" s="1"/>
  <c r="AR266" i="6"/>
  <c r="J25" i="22"/>
  <c r="F24" i="22"/>
  <c r="F23" i="22"/>
  <c r="F51" i="22" s="1"/>
  <c r="F53" i="22" s="1"/>
  <c r="F55" i="22" s="1"/>
  <c r="F56" i="22" s="1"/>
  <c r="E26" i="48" s="1"/>
  <c r="E28" i="48" s="1"/>
  <c r="J22" i="22"/>
  <c r="K21" i="22"/>
  <c r="J21" i="22"/>
  <c r="J11" i="22"/>
  <c r="F9" i="22"/>
  <c r="F43" i="22" s="1"/>
  <c r="F45" i="22" s="1"/>
  <c r="F47" i="22" s="1"/>
  <c r="F48" i="22" s="1"/>
  <c r="E21" i="48" s="1"/>
  <c r="E23" i="48" s="1"/>
  <c r="J8" i="22"/>
  <c r="K7" i="22"/>
  <c r="K8" i="22" s="1"/>
  <c r="K10" i="22" s="1"/>
  <c r="K11" i="22" s="1"/>
  <c r="J7" i="22"/>
  <c r="BD262" i="6" l="1"/>
  <c r="BD265" i="6"/>
  <c r="BD264" i="6"/>
  <c r="BD258" i="6"/>
  <c r="BD263" i="6"/>
  <c r="BD253" i="6"/>
  <c r="BD247" i="6"/>
  <c r="BD254" i="6"/>
  <c r="BD255" i="6"/>
  <c r="BD251" i="6"/>
  <c r="BD252" i="6"/>
  <c r="BD248" i="6"/>
  <c r="BD259" i="6"/>
  <c r="BD246" i="6"/>
  <c r="BD256" i="6" s="1"/>
  <c r="BD257" i="6"/>
  <c r="BD250" i="6"/>
  <c r="BD249" i="6"/>
  <c r="AV260" i="6"/>
  <c r="N22" i="22"/>
  <c r="J52" i="22"/>
  <c r="AV256" i="6"/>
  <c r="N7" i="22"/>
  <c r="N21" i="22"/>
  <c r="N8" i="22"/>
  <c r="J44" i="22"/>
  <c r="AV266" i="6"/>
  <c r="AR267" i="6"/>
  <c r="AR9" i="36"/>
  <c r="N30" i="22"/>
  <c r="N31" i="22"/>
  <c r="N18" i="22"/>
  <c r="N17" i="22"/>
  <c r="N19" i="22"/>
  <c r="N16" i="22"/>
  <c r="K13" i="22"/>
  <c r="J14" i="22"/>
  <c r="J59" i="22" s="1"/>
  <c r="J28" i="22"/>
  <c r="J64" i="22" s="1"/>
  <c r="I7" i="22"/>
  <c r="M7" i="22" s="1"/>
  <c r="N11" i="22"/>
  <c r="R11" i="22" s="1"/>
  <c r="V11" i="22" s="1"/>
  <c r="J9" i="22"/>
  <c r="J43" i="22" s="1"/>
  <c r="N10" i="22"/>
  <c r="R10" i="22" s="1"/>
  <c r="V10" i="22" s="1"/>
  <c r="AB10" i="22" s="1"/>
  <c r="AF10" i="22" s="1"/>
  <c r="F12" i="22"/>
  <c r="F26" i="22"/>
  <c r="I22" i="22"/>
  <c r="K22" i="22"/>
  <c r="K24" i="22" s="1"/>
  <c r="K25" i="22" s="1"/>
  <c r="K27" i="22" s="1"/>
  <c r="I21" i="22"/>
  <c r="M21" i="22" s="1"/>
  <c r="N23" i="22"/>
  <c r="N9" i="22"/>
  <c r="J23" i="22"/>
  <c r="J51" i="22" s="1"/>
  <c r="J53" i="22" s="1"/>
  <c r="J55" i="22" s="1"/>
  <c r="J56" i="22" s="1"/>
  <c r="I26" i="48" s="1"/>
  <c r="J10" i="22"/>
  <c r="J12" i="22" s="1"/>
  <c r="N25" i="22"/>
  <c r="R25" i="22" s="1"/>
  <c r="J24" i="22"/>
  <c r="BD260" i="6" l="1"/>
  <c r="BD280" i="6" s="1"/>
  <c r="BD277" i="6"/>
  <c r="BD261" i="6"/>
  <c r="J45" i="22"/>
  <c r="J47" i="22" s="1"/>
  <c r="J48" i="22" s="1"/>
  <c r="I21" i="48" s="1"/>
  <c r="AV261" i="6"/>
  <c r="AV9" i="36" s="1"/>
  <c r="BD266" i="6"/>
  <c r="BD285" i="6" s="1"/>
  <c r="AV267" i="6"/>
  <c r="R28" i="22"/>
  <c r="R64" i="22" s="1"/>
  <c r="V25" i="22"/>
  <c r="AB11" i="22"/>
  <c r="V12" i="22"/>
  <c r="V14" i="22"/>
  <c r="V59" i="22" s="1"/>
  <c r="R18" i="22"/>
  <c r="V18" i="22" s="1"/>
  <c r="AB18" i="22" s="1"/>
  <c r="AF18" i="22" s="1"/>
  <c r="R8" i="22"/>
  <c r="N44" i="22"/>
  <c r="R7" i="22"/>
  <c r="N43" i="22"/>
  <c r="AJ10" i="22"/>
  <c r="R21" i="22"/>
  <c r="N51" i="22"/>
  <c r="N53" i="22" s="1"/>
  <c r="N55" i="22" s="1"/>
  <c r="N56" i="22" s="1"/>
  <c r="M26" i="48" s="1"/>
  <c r="R22" i="22"/>
  <c r="N52" i="22"/>
  <c r="R12" i="22"/>
  <c r="R14" i="22"/>
  <c r="R59" i="22" s="1"/>
  <c r="R16" i="22"/>
  <c r="V16" i="22" s="1"/>
  <c r="AB16" i="22" s="1"/>
  <c r="AF16" i="22" s="1"/>
  <c r="R31" i="22"/>
  <c r="V31" i="22" s="1"/>
  <c r="R19" i="22"/>
  <c r="V19" i="22" s="1"/>
  <c r="AB19" i="22" s="1"/>
  <c r="AF19" i="22" s="1"/>
  <c r="R30" i="22"/>
  <c r="V30" i="22" s="1"/>
  <c r="R17" i="22"/>
  <c r="V17" i="22" s="1"/>
  <c r="AB17" i="22" s="1"/>
  <c r="AF17" i="22" s="1"/>
  <c r="Q7" i="22"/>
  <c r="U7" i="22" s="1"/>
  <c r="AA7" i="22" s="1"/>
  <c r="AE7" i="22" s="1"/>
  <c r="AI7" i="22" s="1"/>
  <c r="AO7" i="22" s="1"/>
  <c r="AS7" i="22" s="1"/>
  <c r="AW7" i="22" s="1"/>
  <c r="BE7" i="22" s="1"/>
  <c r="Q21" i="22"/>
  <c r="U21" i="22" s="1"/>
  <c r="AA21" i="22" s="1"/>
  <c r="AE21" i="22" s="1"/>
  <c r="AI21" i="22" s="1"/>
  <c r="AO21" i="22" s="1"/>
  <c r="AS21" i="22" s="1"/>
  <c r="AW21" i="22" s="1"/>
  <c r="BE21" i="22" s="1"/>
  <c r="I27" i="22"/>
  <c r="I15" i="22"/>
  <c r="I8" i="22"/>
  <c r="M8" i="22" s="1"/>
  <c r="Q8" i="22" s="1"/>
  <c r="U8" i="22" s="1"/>
  <c r="AA8" i="22" s="1"/>
  <c r="AE8" i="22" s="1"/>
  <c r="N14" i="22"/>
  <c r="N59" i="22" s="1"/>
  <c r="N28" i="22"/>
  <c r="N64" i="22" s="1"/>
  <c r="J26" i="22"/>
  <c r="N24" i="22"/>
  <c r="R24" i="22" s="1"/>
  <c r="I23" i="22"/>
  <c r="N12" i="22"/>
  <c r="I24" i="22"/>
  <c r="M24" i="22" s="1"/>
  <c r="Q24" i="22" s="1"/>
  <c r="U24" i="22" s="1"/>
  <c r="AA24" i="22" s="1"/>
  <c r="AE24" i="22" s="1"/>
  <c r="AI24" i="22" s="1"/>
  <c r="AO24" i="22" s="1"/>
  <c r="AS24" i="22" s="1"/>
  <c r="AW24" i="22" s="1"/>
  <c r="BE24" i="22" s="1"/>
  <c r="M22" i="22"/>
  <c r="Q22" i="22" s="1"/>
  <c r="U22" i="22" s="1"/>
  <c r="AA22" i="22" s="1"/>
  <c r="I13" i="22"/>
  <c r="I10" i="22"/>
  <c r="M10" i="22" s="1"/>
  <c r="Q10" i="22" s="1"/>
  <c r="U10" i="22" s="1"/>
  <c r="AA10" i="22" s="1"/>
  <c r="AE10" i="22" s="1"/>
  <c r="AI10" i="22" s="1"/>
  <c r="AO10" i="22" s="1"/>
  <c r="AS10" i="22" s="1"/>
  <c r="AW10" i="22" s="1"/>
  <c r="BE10" i="22" s="1"/>
  <c r="I25" i="22"/>
  <c r="I29" i="22" s="1"/>
  <c r="AB31" i="22" l="1"/>
  <c r="BD281" i="6"/>
  <c r="BD267" i="6"/>
  <c r="BD9" i="36"/>
  <c r="AB30" i="22"/>
  <c r="N45" i="22"/>
  <c r="N47" i="22" s="1"/>
  <c r="N48" i="22" s="1"/>
  <c r="M21" i="48" s="1"/>
  <c r="AP10" i="22"/>
  <c r="V7" i="22"/>
  <c r="R26" i="22"/>
  <c r="V24" i="22"/>
  <c r="V21" i="22"/>
  <c r="R44" i="22"/>
  <c r="V8" i="22"/>
  <c r="R9" i="22"/>
  <c r="R43" i="22" s="1"/>
  <c r="R45" i="22" s="1"/>
  <c r="R47" i="22" s="1"/>
  <c r="R48" i="22" s="1"/>
  <c r="Q21" i="48" s="1"/>
  <c r="AB14" i="22"/>
  <c r="AB59" i="22" s="1"/>
  <c r="AF11" i="22"/>
  <c r="AJ18" i="22" s="1"/>
  <c r="AB12" i="22"/>
  <c r="R23" i="22"/>
  <c r="R51" i="22" s="1"/>
  <c r="R53" i="22" s="1"/>
  <c r="R55" i="22" s="1"/>
  <c r="R56" i="22" s="1"/>
  <c r="Q26" i="48" s="1"/>
  <c r="R52" i="22"/>
  <c r="V22" i="22"/>
  <c r="AB25" i="22"/>
  <c r="V28" i="22"/>
  <c r="V64" i="22" s="1"/>
  <c r="AE9" i="22"/>
  <c r="AI8" i="22"/>
  <c r="AA23" i="22"/>
  <c r="AE22" i="22"/>
  <c r="AI22" i="22" s="1"/>
  <c r="AA9" i="22"/>
  <c r="U9" i="22"/>
  <c r="U23" i="22"/>
  <c r="M13" i="22"/>
  <c r="Q9" i="22"/>
  <c r="Q23" i="22"/>
  <c r="M27" i="22"/>
  <c r="Q27" i="22" s="1"/>
  <c r="U27" i="22" s="1"/>
  <c r="AA27" i="22" s="1"/>
  <c r="AE27" i="22" s="1"/>
  <c r="AI27" i="22" s="1"/>
  <c r="AO27" i="22" s="1"/>
  <c r="AS27" i="22" s="1"/>
  <c r="AW27" i="22" s="1"/>
  <c r="BE27" i="22" s="1"/>
  <c r="I28" i="22"/>
  <c r="I9" i="22"/>
  <c r="N26" i="22"/>
  <c r="M9" i="22"/>
  <c r="M23" i="22"/>
  <c r="M25" i="22"/>
  <c r="M29" i="22" s="1"/>
  <c r="I26" i="22"/>
  <c r="I11" i="22"/>
  <c r="I14" i="22" s="1"/>
  <c r="BD286" i="6" l="1"/>
  <c r="AF25" i="22"/>
  <c r="AB28" i="22"/>
  <c r="AB64" i="22" s="1"/>
  <c r="V9" i="22"/>
  <c r="V43" i="22" s="1"/>
  <c r="V44" i="22"/>
  <c r="AB8" i="22"/>
  <c r="AF31" i="22"/>
  <c r="AJ11" i="22"/>
  <c r="AF14" i="22"/>
  <c r="AF59" i="22" s="1"/>
  <c r="AF12" i="22"/>
  <c r="AB7" i="22"/>
  <c r="V52" i="22"/>
  <c r="AB22" i="22"/>
  <c r="V23" i="22"/>
  <c r="V51" i="22" s="1"/>
  <c r="V53" i="22" s="1"/>
  <c r="V55" i="22" s="1"/>
  <c r="V56" i="22" s="1"/>
  <c r="U26" i="48" s="1"/>
  <c r="AJ17" i="22"/>
  <c r="AP17" i="22" s="1"/>
  <c r="AB21" i="22"/>
  <c r="V26" i="22"/>
  <c r="AB24" i="22"/>
  <c r="AJ19" i="22"/>
  <c r="AP19" i="22" s="1"/>
  <c r="AF30" i="22"/>
  <c r="AP18" i="22"/>
  <c r="AJ16" i="22"/>
  <c r="AP16" i="22" s="1"/>
  <c r="AT10" i="22"/>
  <c r="AI23" i="22"/>
  <c r="AO22" i="22"/>
  <c r="AI9" i="22"/>
  <c r="AO8" i="22"/>
  <c r="AE23" i="22"/>
  <c r="Q13" i="22"/>
  <c r="U13" i="22" s="1"/>
  <c r="AA13" i="22" s="1"/>
  <c r="AE13" i="22" s="1"/>
  <c r="AI13" i="22" s="1"/>
  <c r="AO13" i="22" s="1"/>
  <c r="AS13" i="22" s="1"/>
  <c r="AW13" i="22" s="1"/>
  <c r="BE13" i="22" s="1"/>
  <c r="M26" i="22"/>
  <c r="Q25" i="22"/>
  <c r="U25" i="22" s="1"/>
  <c r="M28" i="22"/>
  <c r="M11" i="22"/>
  <c r="M14" i="22" s="1"/>
  <c r="I12" i="22"/>
  <c r="AJ31" i="22" l="1"/>
  <c r="AJ30" i="22"/>
  <c r="AP30" i="22" s="1"/>
  <c r="AB52" i="22"/>
  <c r="AF22" i="22"/>
  <c r="AB44" i="22"/>
  <c r="AF8" i="22"/>
  <c r="AB9" i="22"/>
  <c r="AB43" i="22" s="1"/>
  <c r="AJ25" i="22"/>
  <c r="AP31" i="22" s="1"/>
  <c r="AF28" i="22"/>
  <c r="AF64" i="22" s="1"/>
  <c r="AB26" i="22"/>
  <c r="AF24" i="22"/>
  <c r="AX10" i="22"/>
  <c r="BF10" i="22" s="1"/>
  <c r="AF7" i="22"/>
  <c r="AP11" i="22"/>
  <c r="AJ14" i="22"/>
  <c r="AJ59" i="22" s="1"/>
  <c r="AJ12" i="22"/>
  <c r="AB23" i="22"/>
  <c r="AB51" i="22"/>
  <c r="AB53" i="22" s="1"/>
  <c r="AB55" i="22" s="1"/>
  <c r="AB56" i="22" s="1"/>
  <c r="AA26" i="48" s="1"/>
  <c r="AF21" i="22"/>
  <c r="V45" i="22"/>
  <c r="V47" i="22" s="1"/>
  <c r="V48" i="22" s="1"/>
  <c r="U21" i="48" s="1"/>
  <c r="AO23" i="22"/>
  <c r="AS22" i="22"/>
  <c r="AO9" i="22"/>
  <c r="AS8" i="22"/>
  <c r="U26" i="22"/>
  <c r="AA25" i="22"/>
  <c r="AE25" i="22" s="1"/>
  <c r="AI25" i="22" s="1"/>
  <c r="AO25" i="22" s="1"/>
  <c r="AS25" i="22" s="1"/>
  <c r="AW25" i="22" s="1"/>
  <c r="BE25" i="22" s="1"/>
  <c r="U28" i="22"/>
  <c r="Q26" i="22"/>
  <c r="Q29" i="22"/>
  <c r="U29" i="22" s="1"/>
  <c r="Q28" i="22"/>
  <c r="M15" i="22"/>
  <c r="Q15" i="22" s="1"/>
  <c r="Q11" i="22"/>
  <c r="M12" i="22"/>
  <c r="AB45" i="22" l="1"/>
  <c r="AB47" i="22" s="1"/>
  <c r="AB48" i="22" s="1"/>
  <c r="AA21" i="48" s="1"/>
  <c r="BE26" i="22"/>
  <c r="BE28" i="22"/>
  <c r="AJ21" i="22"/>
  <c r="AJ7" i="22"/>
  <c r="AW26" i="22"/>
  <c r="AW28" i="22"/>
  <c r="AS23" i="22"/>
  <c r="AW22" i="22"/>
  <c r="AT11" i="22"/>
  <c r="AP14" i="22"/>
  <c r="AP59" i="22" s="1"/>
  <c r="AP12" i="22"/>
  <c r="AT18" i="22"/>
  <c r="AF44" i="22"/>
  <c r="AJ8" i="22"/>
  <c r="AF9" i="22"/>
  <c r="AF43" i="22" s="1"/>
  <c r="AF45" i="22" s="1"/>
  <c r="AF47" i="22" s="1"/>
  <c r="AF48" i="22" s="1"/>
  <c r="AE21" i="48" s="1"/>
  <c r="AT19" i="22"/>
  <c r="AJ28" i="22"/>
  <c r="AJ64" i="22" s="1"/>
  <c r="AP25" i="22"/>
  <c r="AT30" i="22" s="1"/>
  <c r="AF52" i="22"/>
  <c r="AJ22" i="22"/>
  <c r="AF23" i="22"/>
  <c r="AF51" i="22" s="1"/>
  <c r="AT16" i="22"/>
  <c r="AS9" i="22"/>
  <c r="AW8" i="22"/>
  <c r="AT31" i="22"/>
  <c r="AT17" i="22"/>
  <c r="AF26" i="22"/>
  <c r="AJ24" i="22"/>
  <c r="AS26" i="22"/>
  <c r="AS28" i="22"/>
  <c r="AO26" i="22"/>
  <c r="AO28" i="22"/>
  <c r="AI26" i="22"/>
  <c r="AI28" i="22"/>
  <c r="AE26" i="22"/>
  <c r="AE28" i="22"/>
  <c r="AA29" i="22"/>
  <c r="AE29" i="22" s="1"/>
  <c r="AI29" i="22" s="1"/>
  <c r="AO29" i="22" s="1"/>
  <c r="AS29" i="22" s="1"/>
  <c r="AW29" i="22" s="1"/>
  <c r="BE29" i="22" s="1"/>
  <c r="AA26" i="22"/>
  <c r="AA28" i="22"/>
  <c r="U15" i="22"/>
  <c r="Q12" i="22"/>
  <c r="U11" i="22"/>
  <c r="AA11" i="22" s="1"/>
  <c r="AE11" i="22" s="1"/>
  <c r="AI11" i="22" s="1"/>
  <c r="AO11" i="22" s="1"/>
  <c r="AS11" i="22" s="1"/>
  <c r="AW11" i="22" s="1"/>
  <c r="BE11" i="22" s="1"/>
  <c r="Q14" i="22"/>
  <c r="AF53" i="22" l="1"/>
  <c r="AF55" i="22" s="1"/>
  <c r="AF56" i="22" s="1"/>
  <c r="AE26" i="48" s="1"/>
  <c r="AX19" i="22"/>
  <c r="AX18" i="22"/>
  <c r="AX17" i="22"/>
  <c r="AX16" i="22"/>
  <c r="BE12" i="22"/>
  <c r="BE14" i="22"/>
  <c r="AW9" i="22"/>
  <c r="BE8" i="22"/>
  <c r="BE9" i="22" s="1"/>
  <c r="AW23" i="22"/>
  <c r="BE22" i="22"/>
  <c r="BE23" i="22" s="1"/>
  <c r="AJ26" i="22"/>
  <c r="AP24" i="22"/>
  <c r="AT24" i="22" s="1"/>
  <c r="AX11" i="22"/>
  <c r="BF11" i="22" s="1"/>
  <c r="AT14" i="22"/>
  <c r="AT59" i="22" s="1"/>
  <c r="AT12" i="22"/>
  <c r="AP7" i="22"/>
  <c r="AT25" i="22"/>
  <c r="AP26" i="22"/>
  <c r="AP28" i="22"/>
  <c r="AP64" i="22" s="1"/>
  <c r="AP21" i="22"/>
  <c r="AW12" i="22"/>
  <c r="AW14" i="22"/>
  <c r="AJ52" i="22"/>
  <c r="AP22" i="22"/>
  <c r="AJ23" i="22"/>
  <c r="AJ51" i="22" s="1"/>
  <c r="AJ53" i="22" s="1"/>
  <c r="AJ55" i="22" s="1"/>
  <c r="AJ56" i="22" s="1"/>
  <c r="AI26" i="48" s="1"/>
  <c r="AJ44" i="22"/>
  <c r="AP8" i="22"/>
  <c r="AJ9" i="22"/>
  <c r="AJ43" i="22" s="1"/>
  <c r="AS12" i="22"/>
  <c r="AS14" i="22"/>
  <c r="AO12" i="22"/>
  <c r="AO14" i="22"/>
  <c r="AI12" i="22"/>
  <c r="AI14" i="22"/>
  <c r="AE12" i="22"/>
  <c r="AE14" i="22"/>
  <c r="AA15" i="22"/>
  <c r="AE15" i="22" s="1"/>
  <c r="AI15" i="22" s="1"/>
  <c r="AO15" i="22" s="1"/>
  <c r="AS15" i="22" s="1"/>
  <c r="AW15" i="22" s="1"/>
  <c r="BE15" i="22" s="1"/>
  <c r="AA12" i="22"/>
  <c r="AA14" i="22"/>
  <c r="U12" i="22"/>
  <c r="U14" i="22"/>
  <c r="W1420" i="3"/>
  <c r="AE1420" i="3" s="1"/>
  <c r="W1414" i="3"/>
  <c r="AE1414" i="3" s="1"/>
  <c r="W1345" i="3"/>
  <c r="W1346" i="3"/>
  <c r="AE1346" i="3" s="1"/>
  <c r="W1347" i="3"/>
  <c r="W1366" i="3" s="1"/>
  <c r="W1348" i="3"/>
  <c r="AE1348" i="3" s="1"/>
  <c r="W1349" i="3"/>
  <c r="AE1349" i="3" s="1"/>
  <c r="W1323" i="3"/>
  <c r="AE1323" i="3" s="1"/>
  <c r="W1252" i="3"/>
  <c r="AE1252" i="3" s="1"/>
  <c r="W1253" i="3"/>
  <c r="AE1253" i="3" s="1"/>
  <c r="W1254" i="3"/>
  <c r="AE1254" i="3" s="1"/>
  <c r="W1251" i="3"/>
  <c r="W1249" i="3"/>
  <c r="AE1249" i="3" s="1"/>
  <c r="W1248" i="3"/>
  <c r="AE1248" i="3" s="1"/>
  <c r="W1246" i="3"/>
  <c r="AE1246" i="3" s="1"/>
  <c r="W1245" i="3"/>
  <c r="AE1245" i="3" s="1"/>
  <c r="W1231" i="3"/>
  <c r="AE1231" i="3" s="1"/>
  <c r="W1232" i="3"/>
  <c r="AE1232" i="3" s="1"/>
  <c r="W1198" i="3"/>
  <c r="AE1198" i="3" s="1"/>
  <c r="W1197" i="3"/>
  <c r="W1191" i="3"/>
  <c r="W1192" i="3"/>
  <c r="AE1192" i="3" s="1"/>
  <c r="W1127" i="3"/>
  <c r="AE1127" i="3" s="1"/>
  <c r="W1125" i="3"/>
  <c r="W1078" i="3"/>
  <c r="W1011" i="3"/>
  <c r="AE1011" i="3" s="1"/>
  <c r="W1009" i="3"/>
  <c r="W967" i="3"/>
  <c r="W851" i="3"/>
  <c r="W754" i="3"/>
  <c r="AE754" i="3" s="1"/>
  <c r="W686" i="3"/>
  <c r="W615" i="3"/>
  <c r="AE615" i="3" s="1"/>
  <c r="W616" i="3"/>
  <c r="AE616" i="3" s="1"/>
  <c r="W590" i="3"/>
  <c r="W568" i="3"/>
  <c r="AE568" i="3" s="1"/>
  <c r="BF17" i="22" l="1"/>
  <c r="BF18" i="22"/>
  <c r="BF14" i="22"/>
  <c r="BF59" i="22" s="1"/>
  <c r="BF12" i="22"/>
  <c r="BF19" i="22"/>
  <c r="AJ45" i="22"/>
  <c r="AJ48" i="22" s="1"/>
  <c r="AI21" i="48" s="1"/>
  <c r="BF16" i="22"/>
  <c r="AJ47" i="22"/>
  <c r="AT8" i="22"/>
  <c r="AP44" i="22"/>
  <c r="AP9" i="22"/>
  <c r="AP43" i="22" s="1"/>
  <c r="AP45" i="22" s="1"/>
  <c r="AP47" i="22" s="1"/>
  <c r="AP48" i="22" s="1"/>
  <c r="AO21" i="48" s="1"/>
  <c r="AT26" i="22"/>
  <c r="AX24" i="22"/>
  <c r="BF24" i="22" s="1"/>
  <c r="AX25" i="22"/>
  <c r="BF25" i="22" s="1"/>
  <c r="BF28" i="22" s="1"/>
  <c r="BF64" i="22" s="1"/>
  <c r="AT28" i="22"/>
  <c r="AT64" i="22" s="1"/>
  <c r="AX31" i="22"/>
  <c r="AX30" i="22"/>
  <c r="AT22" i="22"/>
  <c r="AP52" i="22"/>
  <c r="AP23" i="22"/>
  <c r="AT21" i="22"/>
  <c r="AX21" i="22" s="1"/>
  <c r="BF21" i="22" s="1"/>
  <c r="AP51" i="22"/>
  <c r="AT7" i="22"/>
  <c r="AX7" i="22" s="1"/>
  <c r="BF7" i="22" s="1"/>
  <c r="AX14" i="22"/>
  <c r="AX59" i="22" s="1"/>
  <c r="AX12" i="22"/>
  <c r="AE851" i="3"/>
  <c r="W902" i="3"/>
  <c r="AE686" i="3"/>
  <c r="AE1078" i="3"/>
  <c r="W1119" i="3"/>
  <c r="AE967" i="3"/>
  <c r="AE1005" i="3" s="1"/>
  <c r="W1005" i="3"/>
  <c r="AE1347" i="3"/>
  <c r="AE1366" i="3" s="1"/>
  <c r="AE1125" i="3"/>
  <c r="AE1247" i="3"/>
  <c r="AE1250" i="3"/>
  <c r="AE1009" i="3"/>
  <c r="AE590" i="3"/>
  <c r="W1196" i="3"/>
  <c r="AE1197" i="3"/>
  <c r="AE1199" i="3" s="1"/>
  <c r="W1250" i="3"/>
  <c r="W1199" i="3"/>
  <c r="W844" i="3"/>
  <c r="W1010" i="3"/>
  <c r="W1255" i="3"/>
  <c r="W1247" i="3"/>
  <c r="W479" i="3"/>
  <c r="AE479" i="3" s="1"/>
  <c r="W346" i="3"/>
  <c r="AE346" i="3" s="1"/>
  <c r="W347" i="3"/>
  <c r="AE347" i="3" s="1"/>
  <c r="W348" i="3"/>
  <c r="AE348" i="3" s="1"/>
  <c r="W351" i="3"/>
  <c r="AE351" i="3" s="1"/>
  <c r="W354" i="3"/>
  <c r="AE354" i="3" s="1"/>
  <c r="W327" i="3"/>
  <c r="AE327" i="3" s="1"/>
  <c r="W334" i="3"/>
  <c r="AE334" i="3" s="1"/>
  <c r="W335" i="3"/>
  <c r="AE335" i="3" s="1"/>
  <c r="W336" i="3"/>
  <c r="AE336" i="3" s="1"/>
  <c r="W337" i="3"/>
  <c r="AE337" i="3" s="1"/>
  <c r="W338" i="3"/>
  <c r="AE338" i="3" s="1"/>
  <c r="W339" i="3"/>
  <c r="AE339" i="3" s="1"/>
  <c r="W340" i="3"/>
  <c r="AE340" i="3" s="1"/>
  <c r="W341" i="3"/>
  <c r="AE341" i="3" s="1"/>
  <c r="W288" i="3"/>
  <c r="AE288" i="3" s="1"/>
  <c r="BF30" i="22" l="1"/>
  <c r="BF26" i="22"/>
  <c r="BF31" i="22"/>
  <c r="AT44" i="22"/>
  <c r="AX8" i="22"/>
  <c r="BF8" i="22" s="1"/>
  <c r="AT9" i="22"/>
  <c r="AT43" i="22" s="1"/>
  <c r="AP53" i="22"/>
  <c r="AP55" i="22" s="1"/>
  <c r="AP56" i="22" s="1"/>
  <c r="AO26" i="48" s="1"/>
  <c r="AT52" i="22"/>
  <c r="AX22" i="22"/>
  <c r="BF22" i="22" s="1"/>
  <c r="AT23" i="22"/>
  <c r="AT51" i="22" s="1"/>
  <c r="AX26" i="22"/>
  <c r="AX28" i="22"/>
  <c r="AX64" i="22" s="1"/>
  <c r="AD399" i="3"/>
  <c r="AI228" i="6" s="1"/>
  <c r="AE1010" i="3"/>
  <c r="AE1196" i="3"/>
  <c r="W1515" i="3"/>
  <c r="AE1515" i="3" s="1"/>
  <c r="W1513" i="3"/>
  <c r="AE1513" i="3" s="1"/>
  <c r="W1511" i="3"/>
  <c r="AE1511" i="3" s="1"/>
  <c r="W1510" i="3"/>
  <c r="AE1510" i="3" s="1"/>
  <c r="W1509" i="3"/>
  <c r="AE1509" i="3" s="1"/>
  <c r="W1508" i="3"/>
  <c r="AE1508" i="3" s="1"/>
  <c r="W1505" i="3"/>
  <c r="AE1505" i="3" s="1"/>
  <c r="W1498" i="3"/>
  <c r="AE1498" i="3" s="1"/>
  <c r="W1495" i="3"/>
  <c r="AE1495" i="3" s="1"/>
  <c r="W1494" i="3"/>
  <c r="AE1494" i="3" s="1"/>
  <c r="W1493" i="3"/>
  <c r="AE1493" i="3" s="1"/>
  <c r="W1491" i="3"/>
  <c r="AE1491" i="3" s="1"/>
  <c r="W1467" i="3"/>
  <c r="W1464" i="3"/>
  <c r="AE1464" i="3" s="1"/>
  <c r="W1460" i="3"/>
  <c r="W1204" i="3"/>
  <c r="AE1204" i="3" s="1"/>
  <c r="W1195" i="3"/>
  <c r="AE1195" i="3" s="1"/>
  <c r="W1019" i="3"/>
  <c r="AE1019" i="3" s="1"/>
  <c r="W1006" i="3"/>
  <c r="AE1006" i="3" s="1"/>
  <c r="W904" i="3"/>
  <c r="AE904" i="3" s="1"/>
  <c r="AT45" i="22" l="1"/>
  <c r="AT47" i="22" s="1"/>
  <c r="AT48" i="22" s="1"/>
  <c r="AS21" i="48" s="1"/>
  <c r="BF52" i="22"/>
  <c r="BF23" i="22"/>
  <c r="BF51" i="22" s="1"/>
  <c r="BF44" i="22"/>
  <c r="BF9" i="22"/>
  <c r="BF43" i="22" s="1"/>
  <c r="AX52" i="22"/>
  <c r="AX23" i="22"/>
  <c r="AX51" i="22" s="1"/>
  <c r="AX44" i="22"/>
  <c r="AX9" i="22"/>
  <c r="AX43" i="22" s="1"/>
  <c r="AT53" i="22"/>
  <c r="AT55" i="22" s="1"/>
  <c r="AT56" i="22" s="1"/>
  <c r="AS26" i="48" s="1"/>
  <c r="AD398" i="3"/>
  <c r="AI227" i="6" s="1"/>
  <c r="AD400" i="3"/>
  <c r="AI229" i="6" s="1"/>
  <c r="AE1467" i="3"/>
  <c r="W1476" i="3"/>
  <c r="W1461" i="3"/>
  <c r="W1480" i="3"/>
  <c r="W1469" i="3"/>
  <c r="W1485" i="3"/>
  <c r="W1477" i="3"/>
  <c r="W1481" i="3"/>
  <c r="W1484" i="3"/>
  <c r="W1478" i="3"/>
  <c r="W1475" i="3"/>
  <c r="W1479" i="3"/>
  <c r="W1470" i="3"/>
  <c r="W1506" i="3"/>
  <c r="AE1506" i="3" s="1"/>
  <c r="AX53" i="22" l="1"/>
  <c r="AX55" i="22" s="1"/>
  <c r="AX56" i="22" s="1"/>
  <c r="BF53" i="22"/>
  <c r="BF55" i="22" s="1"/>
  <c r="BF56" i="22" s="1"/>
  <c r="BF45" i="22"/>
  <c r="BF47" i="22" s="1"/>
  <c r="BF48" i="22" s="1"/>
  <c r="AX45" i="22"/>
  <c r="AX47" i="22" s="1"/>
  <c r="AX48" i="22" s="1"/>
  <c r="AE1484" i="3"/>
  <c r="AE1469" i="3"/>
  <c r="AE1476" i="3"/>
  <c r="AE1470" i="3"/>
  <c r="AE1479" i="3"/>
  <c r="AE1481" i="3"/>
  <c r="AE1480" i="3"/>
  <c r="AE1475" i="3"/>
  <c r="AE1477" i="3"/>
  <c r="AE1478" i="3"/>
  <c r="AE1485" i="3"/>
  <c r="W1482" i="3"/>
  <c r="W1486" i="3"/>
  <c r="W1471" i="3"/>
  <c r="W1483" i="3" l="1"/>
  <c r="AE1486" i="3"/>
  <c r="AE1471" i="3"/>
  <c r="AE1482" i="3"/>
  <c r="AE1483" i="3" l="1"/>
  <c r="W457" i="3"/>
  <c r="AE457" i="3" l="1"/>
  <c r="H1213" i="3"/>
  <c r="J1213" i="3" s="1"/>
  <c r="L1213" i="3" s="1"/>
  <c r="N1213" i="3" s="1"/>
  <c r="Q1213" i="3" s="1"/>
  <c r="P1213" i="3"/>
  <c r="S1213" i="3" l="1"/>
  <c r="U1213" i="3" s="1"/>
  <c r="X1213" i="3" s="1"/>
  <c r="Z1213" i="3" s="1"/>
  <c r="AB1213" i="3" l="1"/>
  <c r="AF1213" i="3" s="1"/>
  <c r="Q1032" i="3"/>
  <c r="S1032" i="3" s="1"/>
  <c r="U1032" i="3" s="1"/>
  <c r="X1032" i="3" s="1"/>
  <c r="Z1032" i="3" l="1"/>
  <c r="N1027" i="3"/>
  <c r="Q1027" i="3"/>
  <c r="S1027" i="3" s="1"/>
  <c r="U1027" i="3" s="1"/>
  <c r="X1027" i="3" s="1"/>
  <c r="N1037" i="3"/>
  <c r="Q1037" i="3"/>
  <c r="S1037" i="3" s="1"/>
  <c r="U1037" i="3" s="1"/>
  <c r="X1037" i="3" s="1"/>
  <c r="N1026" i="3"/>
  <c r="Q1026" i="3"/>
  <c r="S1026" i="3" s="1"/>
  <c r="U1026" i="3" s="1"/>
  <c r="X1026" i="3" s="1"/>
  <c r="N1036" i="3"/>
  <c r="Q1036" i="3"/>
  <c r="S1036" i="3" s="1"/>
  <c r="U1036" i="3" s="1"/>
  <c r="X1036" i="3" s="1"/>
  <c r="N837" i="3"/>
  <c r="Q837" i="3" s="1"/>
  <c r="S837" i="3" s="1"/>
  <c r="N946" i="3"/>
  <c r="N931" i="3"/>
  <c r="N943" i="3"/>
  <c r="N947" i="3"/>
  <c r="Q947" i="3" s="1"/>
  <c r="S947" i="3" s="1"/>
  <c r="U947" i="3" s="1"/>
  <c r="X947" i="3" s="1"/>
  <c r="Z947" i="3" s="1"/>
  <c r="AB947" i="3" s="1"/>
  <c r="AF947" i="3" s="1"/>
  <c r="N937" i="3"/>
  <c r="N962" i="3"/>
  <c r="Q962" i="3" s="1"/>
  <c r="N1032" i="3"/>
  <c r="AB1032" i="3" l="1"/>
  <c r="AF1032" i="3" s="1"/>
  <c r="Z1036" i="3"/>
  <c r="Z1026" i="3"/>
  <c r="Z1027" i="3"/>
  <c r="Z1037" i="3"/>
  <c r="Q931" i="3"/>
  <c r="S931" i="3" s="1"/>
  <c r="U931" i="3" s="1"/>
  <c r="X931" i="3" s="1"/>
  <c r="Z931" i="3" s="1"/>
  <c r="AB931" i="3" s="1"/>
  <c r="AF931" i="3" s="1"/>
  <c r="Q937" i="3"/>
  <c r="S937" i="3" s="1"/>
  <c r="U937" i="3" s="1"/>
  <c r="X937" i="3" s="1"/>
  <c r="Z937" i="3" s="1"/>
  <c r="AB937" i="3" s="1"/>
  <c r="AF937" i="3" s="1"/>
  <c r="Q943" i="3"/>
  <c r="S943" i="3" s="1"/>
  <c r="U943" i="3" s="1"/>
  <c r="X943" i="3" s="1"/>
  <c r="Z943" i="3" s="1"/>
  <c r="AB943" i="3" s="1"/>
  <c r="AF943" i="3" s="1"/>
  <c r="Q946" i="3"/>
  <c r="S946" i="3" s="1"/>
  <c r="U946" i="3" s="1"/>
  <c r="X946" i="3" s="1"/>
  <c r="Z946" i="3" s="1"/>
  <c r="AB946" i="3" s="1"/>
  <c r="AF946" i="3" s="1"/>
  <c r="N833" i="3"/>
  <c r="AB1026" i="3" l="1"/>
  <c r="AF1026" i="3" s="1"/>
  <c r="AB1036" i="3"/>
  <c r="AF1036" i="3" s="1"/>
  <c r="AB1037" i="3"/>
  <c r="AF1037" i="3" s="1"/>
  <c r="AB1027" i="3"/>
  <c r="AF1027" i="3" s="1"/>
  <c r="Q833" i="3"/>
  <c r="S833" i="3" s="1"/>
  <c r="W1123" i="3"/>
  <c r="W1124" i="3" s="1"/>
  <c r="AE1123" i="3" l="1"/>
  <c r="U833" i="3" l="1"/>
  <c r="AE1124" i="3"/>
  <c r="X833" i="3" l="1"/>
  <c r="Z833" i="3" s="1"/>
  <c r="AB833" i="3" s="1"/>
  <c r="AF833" i="3" s="1"/>
  <c r="H336" i="3" l="1"/>
  <c r="J336" i="3" s="1"/>
  <c r="L336" i="3" s="1"/>
  <c r="N336" i="3" s="1"/>
  <c r="Q336" i="3" s="1"/>
  <c r="S336" i="3" l="1"/>
  <c r="U336" i="3" s="1"/>
  <c r="X336" i="3" s="1"/>
  <c r="Z336" i="3" s="1"/>
  <c r="AB336" i="3" l="1"/>
  <c r="AF336" i="3" s="1"/>
  <c r="P242" i="3" l="1"/>
  <c r="W1121" i="3" l="1"/>
  <c r="W1122" i="3" s="1"/>
  <c r="AE1121" i="3" l="1"/>
  <c r="AE1122" i="3" s="1"/>
  <c r="I43" i="9" l="1"/>
  <c r="M43" i="9" s="1"/>
  <c r="Q43" i="9" s="1"/>
  <c r="U43" i="9" s="1"/>
  <c r="AA43" i="9" s="1"/>
  <c r="AE43" i="9" s="1"/>
  <c r="AI43" i="9" s="1"/>
  <c r="AO43" i="9" s="1"/>
  <c r="AS43" i="9" s="1"/>
  <c r="AW43" i="9" s="1"/>
  <c r="BE43" i="9" s="1"/>
  <c r="I41" i="9"/>
  <c r="M41" i="9" s="1"/>
  <c r="Q41" i="9" s="1"/>
  <c r="U41" i="9" s="1"/>
  <c r="AA41" i="9" s="1"/>
  <c r="AE41" i="9" s="1"/>
  <c r="AI41" i="9" s="1"/>
  <c r="AO41" i="9" s="1"/>
  <c r="AS41" i="9" s="1"/>
  <c r="AW41" i="9" s="1"/>
  <c r="BE41" i="9" s="1"/>
  <c r="BF42" i="9" s="1"/>
  <c r="P1254" i="3"/>
  <c r="P1252" i="3"/>
  <c r="H1254" i="3"/>
  <c r="J1254" i="3" s="1"/>
  <c r="H1252" i="3"/>
  <c r="J1252" i="3" s="1"/>
  <c r="L1252" i="3" s="1"/>
  <c r="N1252" i="3" s="1"/>
  <c r="W1257" i="3"/>
  <c r="AE1257" i="3" s="1"/>
  <c r="W1256" i="3"/>
  <c r="AE1256" i="3" s="1"/>
  <c r="AE1258" i="3" l="1"/>
  <c r="W1258" i="3"/>
  <c r="L1254" i="3"/>
  <c r="N1254" i="3" s="1"/>
  <c r="Q1254" i="3"/>
  <c r="S1254" i="3" s="1"/>
  <c r="U1254" i="3" s="1"/>
  <c r="X1254" i="3" s="1"/>
  <c r="Z1254" i="3" s="1"/>
  <c r="Q1252" i="3"/>
  <c r="S1252" i="3" s="1"/>
  <c r="U1252" i="3" s="1"/>
  <c r="X1252" i="3" s="1"/>
  <c r="Z1252" i="3" s="1"/>
  <c r="AB1254" i="3" l="1"/>
  <c r="AF1254" i="3" s="1"/>
  <c r="AB1252" i="3"/>
  <c r="AF1252" i="3" s="1"/>
  <c r="W1507" i="3" l="1"/>
  <c r="W1497" i="3"/>
  <c r="W1499" i="3" l="1"/>
  <c r="AE1497" i="3"/>
  <c r="N777" i="3" l="1"/>
  <c r="AE1499" i="3"/>
  <c r="W1516" i="3"/>
  <c r="AE1516" i="3" s="1"/>
  <c r="W1514" i="3"/>
  <c r="AE1514" i="3" s="1"/>
  <c r="W1512" i="3"/>
  <c r="AE1512" i="3" s="1"/>
  <c r="W1504" i="3"/>
  <c r="AE1504" i="3" s="1"/>
  <c r="W1503" i="3"/>
  <c r="W1502" i="3"/>
  <c r="AE1502" i="3" s="1"/>
  <c r="Q777" i="3" l="1"/>
  <c r="S777" i="3" s="1"/>
  <c r="W1492" i="3"/>
  <c r="W1496" i="3" l="1"/>
  <c r="W1500" i="3" s="1"/>
  <c r="AE1492" i="3"/>
  <c r="W1472" i="3"/>
  <c r="AE1472" i="3" s="1"/>
  <c r="U777" i="3" l="1"/>
  <c r="AE1473" i="3"/>
  <c r="AE1474" i="3" s="1"/>
  <c r="AE1496" i="3"/>
  <c r="AE1500" i="3" s="1"/>
  <c r="W1473" i="3"/>
  <c r="W1474" i="3" s="1"/>
  <c r="X777" i="3" l="1"/>
  <c r="Z777" i="3" s="1"/>
  <c r="AB777" i="3" s="1"/>
  <c r="AF777" i="3" s="1"/>
  <c r="Q1090" i="3"/>
  <c r="S1090" i="3" s="1"/>
  <c r="U1090" i="3" s="1"/>
  <c r="X1090" i="3" s="1"/>
  <c r="Q1098" i="3"/>
  <c r="S1098" i="3" s="1"/>
  <c r="U1098" i="3" s="1"/>
  <c r="X1098" i="3" s="1"/>
  <c r="Z1098" i="3" l="1"/>
  <c r="Z1090" i="3"/>
  <c r="N1093" i="3"/>
  <c r="Q1093" i="3"/>
  <c r="S1093" i="3" s="1"/>
  <c r="U1093" i="3" s="1"/>
  <c r="X1093" i="3" s="1"/>
  <c r="N1098" i="3"/>
  <c r="N1090" i="3"/>
  <c r="AB1090" i="3" l="1"/>
  <c r="AF1090" i="3" s="1"/>
  <c r="AB1098" i="3"/>
  <c r="AF1098" i="3" s="1"/>
  <c r="Z1093" i="3"/>
  <c r="AB1093" i="3" l="1"/>
  <c r="AF1093" i="3" s="1"/>
  <c r="W287" i="3"/>
  <c r="AE287" i="3" s="1"/>
  <c r="W286" i="3"/>
  <c r="AE286" i="3" s="1"/>
  <c r="AE289" i="3" l="1"/>
  <c r="W289" i="3"/>
  <c r="P1207" i="3" l="1"/>
  <c r="H1207" i="3"/>
  <c r="J1207" i="3" s="1"/>
  <c r="L1207" i="3" l="1"/>
  <c r="N1207" i="3" s="1"/>
  <c r="Q1207" i="3" s="1"/>
  <c r="S1207" i="3" s="1"/>
  <c r="U1207" i="3" s="1"/>
  <c r="X1207" i="3" s="1"/>
  <c r="Z1207" i="3" s="1"/>
  <c r="AB1207" i="3" l="1"/>
  <c r="AF1207" i="3" s="1"/>
  <c r="P615" i="3"/>
  <c r="P616" i="3"/>
  <c r="H615" i="3"/>
  <c r="J615" i="3" s="1"/>
  <c r="H616" i="3"/>
  <c r="J616" i="3" s="1"/>
  <c r="I108" i="17" l="1"/>
  <c r="M108" i="17" s="1"/>
  <c r="Q108" i="17" s="1"/>
  <c r="U108" i="17" s="1"/>
  <c r="AA108" i="17" s="1"/>
  <c r="AE108" i="17" s="1"/>
  <c r="AI108" i="17" s="1"/>
  <c r="AO108" i="17" s="1"/>
  <c r="AS108" i="17" s="1"/>
  <c r="AW108" i="17" s="1"/>
  <c r="BE108" i="17" s="1"/>
  <c r="I107" i="17"/>
  <c r="M107" i="17" s="1"/>
  <c r="Q107" i="17" s="1"/>
  <c r="U107" i="17" s="1"/>
  <c r="AA107" i="17" s="1"/>
  <c r="AE107" i="17" s="1"/>
  <c r="AI107" i="17" s="1"/>
  <c r="AO107" i="17" s="1"/>
  <c r="AS107" i="17" s="1"/>
  <c r="AW107" i="17" s="1"/>
  <c r="BE107" i="17" s="1"/>
  <c r="Q616" i="3"/>
  <c r="S616" i="3" s="1"/>
  <c r="U616" i="3" s="1"/>
  <c r="X616" i="3" s="1"/>
  <c r="Z616" i="3" s="1"/>
  <c r="L616" i="3"/>
  <c r="N616" i="3" s="1"/>
  <c r="L615" i="3"/>
  <c r="N615" i="3" s="1"/>
  <c r="Q615" i="3"/>
  <c r="S615" i="3" s="1"/>
  <c r="U615" i="3" s="1"/>
  <c r="X615" i="3" s="1"/>
  <c r="Z615" i="3" s="1"/>
  <c r="AB615" i="3" l="1"/>
  <c r="AF615" i="3" s="1"/>
  <c r="AB616" i="3"/>
  <c r="AF616" i="3" s="1"/>
  <c r="S962" i="3"/>
  <c r="U962" i="3" s="1"/>
  <c r="X962" i="3" l="1"/>
  <c r="Z962" i="3" s="1"/>
  <c r="AB962" i="3" s="1"/>
  <c r="AF962" i="3" s="1"/>
  <c r="G113" i="10" l="1"/>
  <c r="AE730" i="3" l="1"/>
  <c r="W422" i="3" l="1"/>
  <c r="W423" i="3" l="1"/>
  <c r="W424" i="3"/>
  <c r="AE422" i="3"/>
  <c r="AG211" i="6" s="1"/>
  <c r="W434" i="3"/>
  <c r="W394" i="3"/>
  <c r="W398" i="3"/>
  <c r="W400" i="3"/>
  <c r="W399" i="3"/>
  <c r="AE424" i="3" l="1"/>
  <c r="AG213" i="6" s="1"/>
  <c r="AE423" i="3"/>
  <c r="AG212" i="6" s="1"/>
  <c r="W443" i="3"/>
  <c r="W430" i="3"/>
  <c r="W396" i="3"/>
  <c r="W395" i="3"/>
  <c r="W442" i="3"/>
  <c r="W432" i="3"/>
  <c r="W436" i="3"/>
  <c r="W444" i="3"/>
  <c r="W431" i="3"/>
  <c r="W435" i="3"/>
  <c r="W1457" i="3" l="1"/>
  <c r="W1330" i="3"/>
  <c r="AE1457" i="3" l="1"/>
  <c r="W1462" i="3"/>
  <c r="W1329" i="3"/>
  <c r="AE1330" i="3"/>
  <c r="W1200" i="3"/>
  <c r="AE1200" i="3" s="1"/>
  <c r="AE1329" i="3" l="1"/>
  <c r="W1007" i="3"/>
  <c r="AE1007" i="3" s="1"/>
  <c r="W1201" i="3"/>
  <c r="H90" i="6"/>
  <c r="L90" i="6" s="1"/>
  <c r="H108" i="6"/>
  <c r="P90" i="6" l="1"/>
  <c r="T90" i="6" s="1"/>
  <c r="W1203" i="3"/>
  <c r="AE237" i="3"/>
  <c r="AE1008" i="3"/>
  <c r="AE1201" i="3"/>
  <c r="AE1203" i="3" s="1"/>
  <c r="W1008" i="3"/>
  <c r="I108" i="6"/>
  <c r="M108" i="6" s="1"/>
  <c r="L108" i="6"/>
  <c r="P108" i="6" s="1"/>
  <c r="T108" i="6" s="1"/>
  <c r="I90" i="6"/>
  <c r="Z108" i="6" l="1"/>
  <c r="AD108" i="6" s="1"/>
  <c r="AH108" i="6" s="1"/>
  <c r="AN108" i="6" s="1"/>
  <c r="AR108" i="6" s="1"/>
  <c r="AV108" i="6" s="1"/>
  <c r="BD108" i="6" s="1"/>
  <c r="Z90" i="6"/>
  <c r="AD90" i="6" s="1"/>
  <c r="AH90" i="6" s="1"/>
  <c r="AN90" i="6" s="1"/>
  <c r="AR90" i="6" s="1"/>
  <c r="AV90" i="6" s="1"/>
  <c r="BD90" i="6" s="1"/>
  <c r="Q108" i="6"/>
  <c r="U108" i="6" s="1"/>
  <c r="H442" i="3"/>
  <c r="I127" i="6"/>
  <c r="P444" i="3"/>
  <c r="U237" i="6" s="1"/>
  <c r="M90" i="6"/>
  <c r="Q90" i="6" s="1"/>
  <c r="U90" i="6" s="1"/>
  <c r="M127" i="6" l="1"/>
  <c r="AA90" i="6"/>
  <c r="AE90" i="6" s="1"/>
  <c r="AI90" i="6" s="1"/>
  <c r="AO90" i="6" s="1"/>
  <c r="AS90" i="6" s="1"/>
  <c r="AW90" i="6" s="1"/>
  <c r="BE90" i="6" s="1"/>
  <c r="AA108" i="6"/>
  <c r="AE108" i="6" s="1"/>
  <c r="AI108" i="6" s="1"/>
  <c r="AO108" i="6" s="1"/>
  <c r="AS108" i="6" s="1"/>
  <c r="AW108" i="6" s="1"/>
  <c r="BE108" i="6" s="1"/>
  <c r="W19" i="3"/>
  <c r="AE19" i="3" s="1"/>
  <c r="W20" i="3"/>
  <c r="P443" i="3"/>
  <c r="U236" i="6" s="1"/>
  <c r="P442" i="3"/>
  <c r="U235" i="6" s="1"/>
  <c r="U283" i="6" s="1"/>
  <c r="H444" i="3"/>
  <c r="H443" i="3"/>
  <c r="W1458" i="3"/>
  <c r="Q127" i="6" l="1"/>
  <c r="W1463" i="3"/>
  <c r="AE1463" i="3" s="1"/>
  <c r="W459" i="3"/>
  <c r="AE459" i="3" s="1"/>
  <c r="W21" i="3"/>
  <c r="AE20" i="3"/>
  <c r="AE21" i="3" s="1"/>
  <c r="AE1458" i="3"/>
  <c r="J443" i="3"/>
  <c r="J444" i="3"/>
  <c r="J442" i="3"/>
  <c r="U127" i="6" l="1"/>
  <c r="W1465" i="3"/>
  <c r="AE1462" i="3"/>
  <c r="AE1465" i="3"/>
  <c r="L443" i="3"/>
  <c r="Q236" i="6" s="1"/>
  <c r="L444" i="3"/>
  <c r="Q237" i="6" s="1"/>
  <c r="L442" i="3"/>
  <c r="Q235" i="6" s="1"/>
  <c r="AA127" i="6" l="1"/>
  <c r="N442" i="3"/>
  <c r="Q442" i="3" s="1"/>
  <c r="S235" i="6" s="1"/>
  <c r="S283" i="6" s="1"/>
  <c r="S285" i="6" s="1"/>
  <c r="N444" i="3"/>
  <c r="Q444" i="3" s="1"/>
  <c r="S237" i="6" s="1"/>
  <c r="N443" i="3"/>
  <c r="Q443" i="3" s="1"/>
  <c r="S236" i="6" s="1"/>
  <c r="AE127" i="6" l="1"/>
  <c r="S443" i="3"/>
  <c r="S444" i="3"/>
  <c r="S442" i="3"/>
  <c r="AI127" i="6" l="1"/>
  <c r="U442" i="3"/>
  <c r="U444" i="3"/>
  <c r="U443" i="3"/>
  <c r="AO127" i="6" l="1"/>
  <c r="AS127" i="6" s="1"/>
  <c r="AW127" i="6" s="1"/>
  <c r="BE127" i="6" s="1"/>
  <c r="X443" i="3"/>
  <c r="Z443" i="3" s="1"/>
  <c r="W236" i="6"/>
  <c r="X444" i="3"/>
  <c r="Z444" i="3" s="1"/>
  <c r="W237" i="6"/>
  <c r="X442" i="3"/>
  <c r="Z442" i="3" s="1"/>
  <c r="W235" i="6"/>
  <c r="W283" i="6" s="1"/>
  <c r="W285" i="6" s="1"/>
  <c r="AB442" i="3" l="1"/>
  <c r="AE235" i="6"/>
  <c r="AE283" i="6" s="1"/>
  <c r="AB443" i="3"/>
  <c r="AE236" i="6"/>
  <c r="AB444" i="3"/>
  <c r="AE237" i="6"/>
  <c r="P1414" i="3"/>
  <c r="H1414" i="3"/>
  <c r="J1414" i="3" s="1"/>
  <c r="M33" i="27" s="1"/>
  <c r="Q33" i="27" s="1"/>
  <c r="U33" i="27" s="1"/>
  <c r="AA33" i="27" s="1"/>
  <c r="AE33" i="27" s="1"/>
  <c r="AI33" i="27" s="1"/>
  <c r="AO33" i="27" s="1"/>
  <c r="AS33" i="27" s="1"/>
  <c r="AW33" i="27" s="1"/>
  <c r="BE33" i="27" s="1"/>
  <c r="L1414" i="3" l="1"/>
  <c r="N1414" i="3" s="1"/>
  <c r="Q1414" i="3" s="1"/>
  <c r="S1414" i="3" s="1"/>
  <c r="U1414" i="3" s="1"/>
  <c r="X1414" i="3" s="1"/>
  <c r="Z1414" i="3" s="1"/>
  <c r="AB1414" i="3" l="1"/>
  <c r="AF1414" i="3" s="1"/>
  <c r="U837" i="3"/>
  <c r="X837" i="3" l="1"/>
  <c r="Z837" i="3" s="1"/>
  <c r="AB837" i="3" s="1"/>
  <c r="AF837" i="3" s="1"/>
  <c r="Q1039" i="3" l="1"/>
  <c r="S1039" i="3" s="1"/>
  <c r="U1039" i="3" s="1"/>
  <c r="X1039" i="3" s="1"/>
  <c r="Q1031" i="3"/>
  <c r="S1031" i="3" s="1"/>
  <c r="U1031" i="3" s="1"/>
  <c r="X1031" i="3" s="1"/>
  <c r="Z1031" i="3" l="1"/>
  <c r="Z1039" i="3"/>
  <c r="N1031" i="3"/>
  <c r="N1039" i="3"/>
  <c r="AB1039" i="3" l="1"/>
  <c r="AF1039" i="3" s="1"/>
  <c r="AB1031" i="3"/>
  <c r="AF1031" i="3" s="1"/>
  <c r="P608" i="3"/>
  <c r="H686" i="3" l="1"/>
  <c r="J686" i="3" s="1"/>
  <c r="L686" i="3" s="1"/>
  <c r="N686" i="3" s="1"/>
  <c r="Q686" i="3" s="1"/>
  <c r="S686" i="3" l="1"/>
  <c r="K259" i="6" l="1"/>
  <c r="K250" i="6"/>
  <c r="K254" i="6"/>
  <c r="K246" i="6"/>
  <c r="K247" i="6"/>
  <c r="K249" i="6"/>
  <c r="K257" i="6"/>
  <c r="K251" i="6"/>
  <c r="K253" i="6"/>
  <c r="K248" i="6"/>
  <c r="K255" i="6"/>
  <c r="K258" i="6"/>
  <c r="K252" i="6"/>
  <c r="U686" i="3"/>
  <c r="X686" i="3" s="1"/>
  <c r="Z686" i="3" s="1"/>
  <c r="AB686" i="3" s="1"/>
  <c r="P398" i="3"/>
  <c r="U227" i="6" s="1"/>
  <c r="U284" i="6" s="1"/>
  <c r="K260" i="6" l="1"/>
  <c r="K256" i="6"/>
  <c r="H398" i="3"/>
  <c r="P400" i="3"/>
  <c r="U229" i="6" s="1"/>
  <c r="H399" i="3"/>
  <c r="H400" i="3"/>
  <c r="P399" i="3"/>
  <c r="U228" i="6" s="1"/>
  <c r="K261" i="6" l="1"/>
  <c r="K267" i="6" s="1"/>
  <c r="AF686" i="3"/>
  <c r="J399" i="3"/>
  <c r="L399" i="3" s="1"/>
  <c r="Q228" i="6" s="1"/>
  <c r="J398" i="3"/>
  <c r="L398" i="3" s="1"/>
  <c r="Q227" i="6" s="1"/>
  <c r="J400" i="3"/>
  <c r="L400" i="3" s="1"/>
  <c r="Q229" i="6" s="1"/>
  <c r="K9" i="36" l="1"/>
  <c r="N398" i="3"/>
  <c r="Q398" i="3" l="1"/>
  <c r="S227" i="6" s="1"/>
  <c r="S284" i="6" s="1"/>
  <c r="N400" i="3"/>
  <c r="Q400" i="3" s="1"/>
  <c r="S229" i="6" s="1"/>
  <c r="N399" i="3"/>
  <c r="Q399" i="3" s="1"/>
  <c r="S228" i="6" s="1"/>
  <c r="S399" i="3" l="1"/>
  <c r="S400" i="3"/>
  <c r="S398" i="3"/>
  <c r="U398" i="3" s="1"/>
  <c r="X398" i="3" l="1"/>
  <c r="W227" i="6"/>
  <c r="W284" i="6" s="1"/>
  <c r="U399" i="3"/>
  <c r="U400" i="3"/>
  <c r="X399" i="3" l="1"/>
  <c r="Z399" i="3" s="1"/>
  <c r="W228" i="6"/>
  <c r="X400" i="3"/>
  <c r="Z400" i="3" s="1"/>
  <c r="W229" i="6"/>
  <c r="Z398" i="3"/>
  <c r="AB400" i="3" l="1"/>
  <c r="AF400" i="3" s="1"/>
  <c r="AE229" i="6"/>
  <c r="AB398" i="3"/>
  <c r="AF398" i="3" s="1"/>
  <c r="AE227" i="6"/>
  <c r="AE284" i="6" s="1"/>
  <c r="AB399" i="3"/>
  <c r="AF399" i="3" s="1"/>
  <c r="AE228" i="6"/>
  <c r="P1495" i="3" l="1"/>
  <c r="P1494" i="3"/>
  <c r="P1493" i="3"/>
  <c r="P1492" i="3"/>
  <c r="P1491" i="3"/>
  <c r="P1464" i="3"/>
  <c r="P1460" i="3"/>
  <c r="P1461" i="3" s="1"/>
  <c r="P1323" i="3"/>
  <c r="P1346" i="3"/>
  <c r="P1347" i="3"/>
  <c r="P1366" i="3" s="1"/>
  <c r="P1348" i="3"/>
  <c r="P1349" i="3"/>
  <c r="P1515" i="3"/>
  <c r="P1513" i="3"/>
  <c r="P1511" i="3"/>
  <c r="P1510" i="3"/>
  <c r="P1509" i="3"/>
  <c r="P1508" i="3"/>
  <c r="P1505" i="3"/>
  <c r="P1420" i="3"/>
  <c r="P1253" i="3"/>
  <c r="P1251" i="3"/>
  <c r="P1249" i="3"/>
  <c r="P1248" i="3"/>
  <c r="P1246" i="3"/>
  <c r="P1245" i="3"/>
  <c r="P1232" i="3"/>
  <c r="P1231" i="3"/>
  <c r="P1214" i="3"/>
  <c r="P1212" i="3"/>
  <c r="P1211" i="3"/>
  <c r="P1210" i="3"/>
  <c r="P1209" i="3"/>
  <c r="P1208" i="3"/>
  <c r="P1198" i="3"/>
  <c r="P1197" i="3"/>
  <c r="P1196" i="3" s="1"/>
  <c r="P1192" i="3"/>
  <c r="P1127" i="3"/>
  <c r="P1125" i="3"/>
  <c r="P1123" i="3"/>
  <c r="P1078" i="3"/>
  <c r="P1011" i="3"/>
  <c r="P1009" i="3"/>
  <c r="P967" i="3"/>
  <c r="P1005" i="3" s="1"/>
  <c r="P851" i="3"/>
  <c r="P754" i="3"/>
  <c r="P1255" i="3" l="1"/>
  <c r="P1010" i="3"/>
  <c r="P1199" i="3"/>
  <c r="P1250" i="3"/>
  <c r="P1247" i="3"/>
  <c r="P1124" i="3"/>
  <c r="P590" i="3"/>
  <c r="P568" i="3"/>
  <c r="P1467" i="3"/>
  <c r="P1476" i="3" s="1"/>
  <c r="P1195" i="3"/>
  <c r="P1006" i="3"/>
  <c r="P1019" i="3"/>
  <c r="P29" i="3" l="1"/>
  <c r="P1477" i="3"/>
  <c r="P1481" i="3"/>
  <c r="P1469" i="3"/>
  <c r="P1485" i="3"/>
  <c r="P1478" i="3"/>
  <c r="P1475" i="3"/>
  <c r="P1484" i="3"/>
  <c r="P1479" i="3"/>
  <c r="P1480" i="3"/>
  <c r="P1470" i="3"/>
  <c r="P1458" i="3" l="1"/>
  <c r="N1025" i="3" l="1"/>
  <c r="Q1025" i="3"/>
  <c r="N1054" i="3"/>
  <c r="Q1054" i="3"/>
  <c r="N1035" i="3"/>
  <c r="Q1035" i="3"/>
  <c r="N1056" i="3"/>
  <c r="Q1056" i="3"/>
  <c r="S1056" i="3" l="1"/>
  <c r="S1054" i="3"/>
  <c r="S1035" i="3"/>
  <c r="S1025" i="3"/>
  <c r="N996" i="3"/>
  <c r="U1025" i="3" l="1"/>
  <c r="U1035" i="3"/>
  <c r="U1054" i="3"/>
  <c r="U1056" i="3"/>
  <c r="Q996" i="3"/>
  <c r="X1056" i="3" l="1"/>
  <c r="Z1056" i="3" s="1"/>
  <c r="AB1056" i="3" s="1"/>
  <c r="AF1056" i="3" s="1"/>
  <c r="X1054" i="3"/>
  <c r="Z1054" i="3" s="1"/>
  <c r="AB1054" i="3" s="1"/>
  <c r="AF1054" i="3" s="1"/>
  <c r="X1035" i="3"/>
  <c r="Z1035" i="3" s="1"/>
  <c r="AB1035" i="3" s="1"/>
  <c r="AF1035" i="3" s="1"/>
  <c r="X1025" i="3"/>
  <c r="Z1025" i="3" s="1"/>
  <c r="AB1025" i="3" s="1"/>
  <c r="AF1025" i="3" s="1"/>
  <c r="S996" i="3"/>
  <c r="U996" i="3" l="1"/>
  <c r="N836" i="3"/>
  <c r="C17" i="3"/>
  <c r="X996" i="3" l="1"/>
  <c r="Z996" i="3" s="1"/>
  <c r="AB996" i="3" s="1"/>
  <c r="AF996" i="3" s="1"/>
  <c r="Q836" i="3"/>
  <c r="S836" i="3" s="1"/>
  <c r="U836" i="3" l="1"/>
  <c r="X836" i="3" l="1"/>
  <c r="Z836" i="3" s="1"/>
  <c r="AB836" i="3" s="1"/>
  <c r="AF836" i="3" s="1"/>
  <c r="E46" i="11" l="1"/>
  <c r="E106" i="10"/>
  <c r="D66" i="6" l="1"/>
  <c r="D67" i="6" s="1"/>
  <c r="L66" i="6"/>
  <c r="H66" i="6"/>
  <c r="H1458" i="3" l="1"/>
  <c r="J1458" i="3" l="1"/>
  <c r="L1458" i="3" l="1"/>
  <c r="N1458" i="3" s="1"/>
  <c r="Q1458" i="3" s="1"/>
  <c r="S1458" i="3" s="1"/>
  <c r="U1458" i="3" s="1"/>
  <c r="X1458" i="3" s="1"/>
  <c r="Z1458" i="3" s="1"/>
  <c r="AB1458" i="3" l="1"/>
  <c r="AF1458" i="3" s="1"/>
  <c r="P457" i="3"/>
  <c r="P458" i="3" s="1"/>
  <c r="P1498" i="3"/>
  <c r="P1516" i="3"/>
  <c r="P1514" i="3"/>
  <c r="P1504" i="3"/>
  <c r="P1512" i="3"/>
  <c r="P1506" i="3"/>
  <c r="P1507" i="3"/>
  <c r="P1503" i="3"/>
  <c r="P1502" i="3"/>
  <c r="P1497" i="3"/>
  <c r="N842" i="3" l="1"/>
  <c r="Q842" i="3" l="1"/>
  <c r="S842" i="3" s="1"/>
  <c r="N840" i="3"/>
  <c r="U842" i="3" l="1"/>
  <c r="Q840" i="3"/>
  <c r="S840" i="3" s="1"/>
  <c r="N839" i="3"/>
  <c r="Q839" i="3" s="1"/>
  <c r="S839" i="3" s="1"/>
  <c r="X842" i="3" l="1"/>
  <c r="Z842" i="3" s="1"/>
  <c r="AB842" i="3" s="1"/>
  <c r="AF842" i="3" s="1"/>
  <c r="U840" i="3"/>
  <c r="N1089" i="3"/>
  <c r="Q1089" i="3"/>
  <c r="H347" i="3"/>
  <c r="J347" i="3" s="1"/>
  <c r="L347" i="3" s="1"/>
  <c r="N347" i="3" s="1"/>
  <c r="Q347" i="3" s="1"/>
  <c r="H346" i="3"/>
  <c r="J346" i="3" s="1"/>
  <c r="L346" i="3" s="1"/>
  <c r="N346" i="3" s="1"/>
  <c r="Q346" i="3" s="1"/>
  <c r="X840" i="3" l="1"/>
  <c r="Z840" i="3" s="1"/>
  <c r="AB840" i="3" s="1"/>
  <c r="AF840" i="3" s="1"/>
  <c r="S1089" i="3"/>
  <c r="U839" i="3"/>
  <c r="N987" i="3"/>
  <c r="S347" i="3"/>
  <c r="U347" i="3" s="1"/>
  <c r="X347" i="3" s="1"/>
  <c r="Z347" i="3" s="1"/>
  <c r="S346" i="3"/>
  <c r="U346" i="3" s="1"/>
  <c r="X346" i="3" s="1"/>
  <c r="Z346" i="3" s="1"/>
  <c r="AB346" i="3" l="1"/>
  <c r="AF346" i="3" s="1"/>
  <c r="AB347" i="3"/>
  <c r="AF347" i="3" s="1"/>
  <c r="X839" i="3"/>
  <c r="Z839" i="3" s="1"/>
  <c r="AB839" i="3" s="1"/>
  <c r="AF839" i="3" s="1"/>
  <c r="U1089" i="3"/>
  <c r="Q987" i="3"/>
  <c r="X1089" i="3" l="1"/>
  <c r="Z1089" i="3" s="1"/>
  <c r="AB1089" i="3" s="1"/>
  <c r="AF1089" i="3" s="1"/>
  <c r="S987" i="3"/>
  <c r="N1030" i="3"/>
  <c r="Q1030" i="3"/>
  <c r="N1029" i="3"/>
  <c r="Q1029" i="3"/>
  <c r="N1034" i="3"/>
  <c r="Q1034" i="3"/>
  <c r="P1472" i="3"/>
  <c r="U987" i="3" l="1"/>
  <c r="S1029" i="3"/>
  <c r="S1034" i="3"/>
  <c r="S1030" i="3"/>
  <c r="X987" i="3" l="1"/>
  <c r="Z987" i="3" s="1"/>
  <c r="AB987" i="3" s="1"/>
  <c r="AF987" i="3" s="1"/>
  <c r="U1034" i="3"/>
  <c r="U1029" i="3"/>
  <c r="U1030" i="3"/>
  <c r="X1029" i="3" l="1"/>
  <c r="Z1029" i="3" s="1"/>
  <c r="AB1029" i="3" s="1"/>
  <c r="AF1029" i="3" s="1"/>
  <c r="X1034" i="3"/>
  <c r="Z1034" i="3" s="1"/>
  <c r="AB1034" i="3" s="1"/>
  <c r="AF1034" i="3" s="1"/>
  <c r="X1030" i="3"/>
  <c r="Z1030" i="3" s="1"/>
  <c r="AB1030" i="3" s="1"/>
  <c r="AF1030" i="3" s="1"/>
  <c r="P270" i="3" l="1"/>
  <c r="P269" i="3"/>
  <c r="P271" i="3" l="1"/>
  <c r="O13" i="17" l="1"/>
  <c r="O112" i="17"/>
  <c r="N113" i="17" l="1"/>
  <c r="N81" i="17"/>
  <c r="O81" i="17"/>
  <c r="N77" i="17"/>
  <c r="O77" i="17"/>
  <c r="N66" i="17"/>
  <c r="N68" i="17" s="1"/>
  <c r="O66" i="17"/>
  <c r="O68" i="17" s="1"/>
  <c r="O58" i="17"/>
  <c r="Y89" i="17" s="1"/>
  <c r="N51" i="17"/>
  <c r="X51" i="17" s="1"/>
  <c r="N50" i="17"/>
  <c r="N111" i="17" s="1"/>
  <c r="N47" i="17"/>
  <c r="X47" i="17" s="1"/>
  <c r="X48" i="17" s="1"/>
  <c r="N45" i="17"/>
  <c r="X45" i="17" s="1"/>
  <c r="X46" i="17" s="1"/>
  <c r="N43" i="17"/>
  <c r="O43" i="17"/>
  <c r="O21" i="17"/>
  <c r="O12" i="17"/>
  <c r="O15" i="17" l="1"/>
  <c r="Y15" i="17" s="1"/>
  <c r="Y34" i="17"/>
  <c r="O49" i="17"/>
  <c r="O53" i="17" s="1"/>
  <c r="Y43" i="17"/>
  <c r="N49" i="17"/>
  <c r="N53" i="17" s="1"/>
  <c r="X43" i="17"/>
  <c r="X52" i="17"/>
  <c r="X113" i="17" s="1"/>
  <c r="X112" i="17"/>
  <c r="O32" i="17"/>
  <c r="O31" i="17"/>
  <c r="O30" i="17"/>
  <c r="O33" i="17"/>
  <c r="O29" i="17"/>
  <c r="O44" i="17"/>
  <c r="N115" i="17"/>
  <c r="N58" i="17"/>
  <c r="N59" i="17" s="1"/>
  <c r="N54" i="17"/>
  <c r="O59" i="17"/>
  <c r="O61" i="17"/>
  <c r="N112" i="17"/>
  <c r="O11" i="17"/>
  <c r="O10" i="17"/>
  <c r="Y49" i="17" l="1"/>
  <c r="Y44" i="17"/>
  <c r="O50" i="17"/>
  <c r="X49" i="17"/>
  <c r="X44" i="17"/>
  <c r="X50" i="17" s="1"/>
  <c r="Y32" i="17"/>
  <c r="Y33" i="17"/>
  <c r="Y31" i="17"/>
  <c r="Y29" i="17"/>
  <c r="Y30" i="17"/>
  <c r="O110" i="17"/>
  <c r="O114" i="17" s="1"/>
  <c r="O54" i="17"/>
  <c r="N61" i="17"/>
  <c r="N110" i="17"/>
  <c r="N114" i="17" s="1"/>
  <c r="O14" i="17"/>
  <c r="X53" i="17" l="1"/>
  <c r="X110" i="17"/>
  <c r="X114" i="17" s="1"/>
  <c r="X54" i="17"/>
  <c r="X111" i="17"/>
  <c r="X115" i="17" s="1"/>
  <c r="Y110" i="17"/>
  <c r="Y114" i="17" s="1"/>
  <c r="Y50" i="17"/>
  <c r="Y111" i="17" s="1"/>
  <c r="Y115" i="17" s="1"/>
  <c r="Y53" i="17"/>
  <c r="P37" i="11"/>
  <c r="O37" i="11"/>
  <c r="O97" i="10"/>
  <c r="P97" i="10" l="1"/>
  <c r="O5" i="26" l="1"/>
  <c r="O58" i="7" l="1"/>
  <c r="Y58" i="7" s="1"/>
  <c r="Y60" i="7" s="1"/>
  <c r="O16" i="7"/>
  <c r="O30" i="7" s="1"/>
  <c r="Y30" i="7" s="1"/>
  <c r="O283" i="6"/>
  <c r="O282" i="6"/>
  <c r="O284" i="6"/>
  <c r="O278" i="6"/>
  <c r="O274" i="6"/>
  <c r="O271" i="6"/>
  <c r="O270" i="6"/>
  <c r="Y41" i="7" l="1"/>
  <c r="Y39" i="7"/>
  <c r="N65" i="7"/>
  <c r="P422" i="3"/>
  <c r="U211" i="6" s="1"/>
  <c r="N79" i="7"/>
  <c r="N80" i="7"/>
  <c r="N77" i="7"/>
  <c r="N78" i="7"/>
  <c r="N74" i="7"/>
  <c r="N75" i="7"/>
  <c r="N76" i="7"/>
  <c r="N84" i="7"/>
  <c r="O54" i="7"/>
  <c r="O62" i="7"/>
  <c r="O60" i="7"/>
  <c r="O104" i="7" l="1"/>
  <c r="O105" i="7" s="1"/>
  <c r="Y87" i="7"/>
  <c r="Y88" i="7"/>
  <c r="Y90" i="7"/>
  <c r="Y92" i="7"/>
  <c r="Y94" i="7"/>
  <c r="Y93" i="7"/>
  <c r="Y89" i="7"/>
  <c r="Y91" i="7"/>
  <c r="Y72" i="7"/>
  <c r="Y64" i="7"/>
  <c r="Y50" i="7"/>
  <c r="O70" i="7"/>
  <c r="O67" i="7"/>
  <c r="O65" i="7"/>
  <c r="O49" i="7"/>
  <c r="O45" i="7"/>
  <c r="O41" i="7"/>
  <c r="O24" i="7"/>
  <c r="O79" i="7" s="1"/>
  <c r="O19" i="7"/>
  <c r="O48" i="7"/>
  <c r="O44" i="7"/>
  <c r="O27" i="7"/>
  <c r="O77" i="7" s="1"/>
  <c r="O23" i="7"/>
  <c r="O78" i="7" s="1"/>
  <c r="O18" i="7"/>
  <c r="O74" i="7" s="1"/>
  <c r="O47" i="7"/>
  <c r="O43" i="7"/>
  <c r="O26" i="7"/>
  <c r="O83" i="7" s="1"/>
  <c r="O21" i="7"/>
  <c r="O46" i="7"/>
  <c r="O42" i="7"/>
  <c r="O25" i="7"/>
  <c r="O80" i="7" s="1"/>
  <c r="O20" i="7"/>
  <c r="N83" i="7"/>
  <c r="N82" i="7"/>
  <c r="P423" i="3"/>
  <c r="U212" i="6" s="1"/>
  <c r="P424" i="3"/>
  <c r="U213" i="6" s="1"/>
  <c r="P431" i="3"/>
  <c r="U224" i="6" s="1"/>
  <c r="P434" i="3"/>
  <c r="U219" i="6" s="1"/>
  <c r="U274" i="6" s="1"/>
  <c r="O56" i="7"/>
  <c r="O68" i="7"/>
  <c r="O63" i="7"/>
  <c r="G65" i="26"/>
  <c r="H1198" i="3"/>
  <c r="H1197" i="3"/>
  <c r="H1196" i="3" s="1"/>
  <c r="O107" i="7" l="1"/>
  <c r="O108" i="7" s="1"/>
  <c r="O106" i="7"/>
  <c r="O109" i="7" s="1"/>
  <c r="O64" i="7"/>
  <c r="O82" i="7"/>
  <c r="O76" i="7"/>
  <c r="H1201" i="3"/>
  <c r="O75" i="7"/>
  <c r="O84" i="7"/>
  <c r="H1200" i="3"/>
  <c r="J1200" i="3" s="1"/>
  <c r="L1200" i="3" s="1"/>
  <c r="P435" i="3"/>
  <c r="U220" i="6" s="1"/>
  <c r="P432" i="3"/>
  <c r="U225" i="6" s="1"/>
  <c r="P436" i="3"/>
  <c r="U221" i="6" s="1"/>
  <c r="P430" i="3"/>
  <c r="U223" i="6" s="1"/>
  <c r="U278" i="6" s="1"/>
  <c r="P1200" i="3"/>
  <c r="L1195" i="3"/>
  <c r="N1195" i="3" s="1"/>
  <c r="Q1195" i="3" s="1"/>
  <c r="S1195" i="3" s="1"/>
  <c r="U1195" i="3" s="1"/>
  <c r="X1195" i="3" s="1"/>
  <c r="Z1195" i="3" s="1"/>
  <c r="H1199" i="3"/>
  <c r="J1197" i="3"/>
  <c r="J1196" i="3" s="1"/>
  <c r="J1198" i="3"/>
  <c r="Q1198" i="3" s="1"/>
  <c r="S1198" i="3" s="1"/>
  <c r="H851" i="3"/>
  <c r="J851" i="3" s="1"/>
  <c r="U1198" i="3" l="1"/>
  <c r="X1198" i="3" s="1"/>
  <c r="Z1198" i="3" s="1"/>
  <c r="W59" i="26"/>
  <c r="O16" i="48"/>
  <c r="O18" i="48" s="1"/>
  <c r="O116" i="7"/>
  <c r="AB1198" i="3"/>
  <c r="AB1195" i="3"/>
  <c r="AF1195" i="3" s="1"/>
  <c r="N1200" i="3"/>
  <c r="Q1200" i="3" s="1"/>
  <c r="S1200" i="3" s="1"/>
  <c r="U1200" i="3" s="1"/>
  <c r="X1200" i="3" s="1"/>
  <c r="Z1200" i="3" s="1"/>
  <c r="J1201" i="3"/>
  <c r="J1203" i="3" s="1"/>
  <c r="H1203" i="3"/>
  <c r="P395" i="3"/>
  <c r="U188" i="6" s="1"/>
  <c r="P394" i="3"/>
  <c r="U187" i="6" s="1"/>
  <c r="U270" i="6" s="1"/>
  <c r="P396" i="3"/>
  <c r="U189" i="6" s="1"/>
  <c r="P1201" i="3"/>
  <c r="Q1197" i="3"/>
  <c r="L1197" i="3"/>
  <c r="J1199" i="3"/>
  <c r="L1198" i="3"/>
  <c r="N1198" i="3" s="1"/>
  <c r="W61" i="26" l="1"/>
  <c r="W60" i="26"/>
  <c r="Y59" i="26"/>
  <c r="AA59" i="26"/>
  <c r="AB1200" i="3"/>
  <c r="AF1200" i="3" s="1"/>
  <c r="AF1198" i="3"/>
  <c r="E65" i="26"/>
  <c r="I63" i="26"/>
  <c r="P1203" i="3"/>
  <c r="L1201" i="3"/>
  <c r="L851" i="3"/>
  <c r="L1196" i="3"/>
  <c r="S1197" i="3"/>
  <c r="Q1199" i="3"/>
  <c r="N1197" i="3"/>
  <c r="N1199" i="3" s="1"/>
  <c r="L1199" i="3"/>
  <c r="AE59" i="26" l="1"/>
  <c r="AA60" i="26"/>
  <c r="AA61" i="26"/>
  <c r="Y60" i="26"/>
  <c r="Y61" i="26"/>
  <c r="I65" i="26"/>
  <c r="M63" i="26"/>
  <c r="N1201" i="3"/>
  <c r="L1203" i="3"/>
  <c r="N851" i="3"/>
  <c r="S1199" i="3"/>
  <c r="U1197" i="3"/>
  <c r="N1196" i="3"/>
  <c r="N28" i="21"/>
  <c r="N21" i="21"/>
  <c r="AI59" i="26" l="1"/>
  <c r="AE60" i="26"/>
  <c r="AE61" i="26"/>
  <c r="M65" i="26"/>
  <c r="Q63" i="26"/>
  <c r="U63" i="26" s="1"/>
  <c r="Q1196" i="3"/>
  <c r="N1203" i="3"/>
  <c r="Q1201" i="3"/>
  <c r="Q851" i="3"/>
  <c r="U1199" i="3"/>
  <c r="X1197" i="3"/>
  <c r="Z1197" i="3" s="1"/>
  <c r="AB1197" i="3" s="1"/>
  <c r="O32" i="21"/>
  <c r="N14" i="21"/>
  <c r="X14" i="21" s="1"/>
  <c r="O36" i="21"/>
  <c r="O12" i="15" s="1"/>
  <c r="O13" i="15" s="1"/>
  <c r="AA63" i="26" l="1"/>
  <c r="U65" i="26"/>
  <c r="AO59" i="26"/>
  <c r="AM59" i="26"/>
  <c r="AI60" i="26"/>
  <c r="AI61" i="26"/>
  <c r="AB1199" i="3"/>
  <c r="Q65" i="26"/>
  <c r="S1196" i="3"/>
  <c r="Q1203" i="3"/>
  <c r="S1201" i="3"/>
  <c r="S851" i="3"/>
  <c r="Z1199" i="3"/>
  <c r="X1199" i="3"/>
  <c r="AM60" i="26" l="1"/>
  <c r="AM61" i="26"/>
  <c r="AS59" i="26"/>
  <c r="AO60" i="26"/>
  <c r="AO61" i="26"/>
  <c r="AA65" i="26"/>
  <c r="AE63" i="26"/>
  <c r="U1196" i="3"/>
  <c r="U1201" i="3"/>
  <c r="S1203" i="3"/>
  <c r="AF1197" i="3"/>
  <c r="AF1199" i="3" s="1"/>
  <c r="U851" i="3"/>
  <c r="P1330" i="3"/>
  <c r="P1329" i="3" s="1"/>
  <c r="P1257" i="3"/>
  <c r="P1256" i="3"/>
  <c r="P1007" i="3"/>
  <c r="P20" i="3"/>
  <c r="AI63" i="26" l="1"/>
  <c r="AE65" i="26"/>
  <c r="AW59" i="26"/>
  <c r="AS60" i="26"/>
  <c r="AS61" i="26"/>
  <c r="X1196" i="3"/>
  <c r="X1201" i="3"/>
  <c r="U1203" i="3"/>
  <c r="P26" i="3"/>
  <c r="P32" i="3"/>
  <c r="P1121" i="3"/>
  <c r="P1122" i="3" s="1"/>
  <c r="X851" i="3"/>
  <c r="P19" i="3"/>
  <c r="P21" i="3" s="1"/>
  <c r="P1258" i="3"/>
  <c r="P1457" i="3"/>
  <c r="P1462" i="3" s="1"/>
  <c r="P1008" i="3"/>
  <c r="P1463" i="3"/>
  <c r="BE59" i="26" l="1"/>
  <c r="BA59" i="26"/>
  <c r="BC59" i="26" s="1"/>
  <c r="AW60" i="26"/>
  <c r="AW61" i="26"/>
  <c r="AO63" i="26"/>
  <c r="AI65" i="26"/>
  <c r="Z1196" i="3"/>
  <c r="AB1196" i="3" s="1"/>
  <c r="Z1201" i="3"/>
  <c r="AB1201" i="3" s="1"/>
  <c r="AB1203" i="3" s="1"/>
  <c r="X1203" i="3"/>
  <c r="Z851" i="3"/>
  <c r="AB851" i="3" s="1"/>
  <c r="AB902" i="3" s="1"/>
  <c r="P459" i="3"/>
  <c r="P33" i="22"/>
  <c r="BC61" i="26" l="1"/>
  <c r="BC60" i="26"/>
  <c r="BA61" i="26"/>
  <c r="BA60" i="26"/>
  <c r="BE61" i="26"/>
  <c r="BE60" i="26"/>
  <c r="AO65" i="26"/>
  <c r="AS63" i="26"/>
  <c r="O94" i="26"/>
  <c r="Z1203" i="3"/>
  <c r="AF851" i="3"/>
  <c r="AS65" i="26" l="1"/>
  <c r="AW63" i="26"/>
  <c r="Y86" i="26"/>
  <c r="Y82" i="26"/>
  <c r="Y90" i="26"/>
  <c r="Y83" i="26"/>
  <c r="Y81" i="26"/>
  <c r="Y91" i="26"/>
  <c r="Y85" i="26"/>
  <c r="Y87" i="26"/>
  <c r="Y80" i="26"/>
  <c r="Y84" i="26"/>
  <c r="Y88" i="26"/>
  <c r="Y89" i="26"/>
  <c r="AF1196" i="3"/>
  <c r="AF1201" i="3"/>
  <c r="AF1203" i="3" s="1"/>
  <c r="O285" i="6"/>
  <c r="O280" i="6"/>
  <c r="O277" i="6"/>
  <c r="AW65" i="26" l="1"/>
  <c r="BE63" i="26"/>
  <c r="BE65" i="26" s="1"/>
  <c r="Y92" i="26"/>
  <c r="O281" i="6"/>
  <c r="O286" i="6" s="1"/>
  <c r="H348" i="3"/>
  <c r="J348" i="3" s="1"/>
  <c r="L348" i="3" s="1"/>
  <c r="N348" i="3" s="1"/>
  <c r="Q348" i="3" s="1"/>
  <c r="H334" i="3"/>
  <c r="J334" i="3" s="1"/>
  <c r="L334" i="3" s="1"/>
  <c r="N334" i="3" s="1"/>
  <c r="Q334" i="3" s="1"/>
  <c r="H327" i="3"/>
  <c r="J327" i="3" s="1"/>
  <c r="L327" i="3" s="1"/>
  <c r="N327" i="3" s="1"/>
  <c r="Q327" i="3" s="1"/>
  <c r="N1097" i="3" l="1"/>
  <c r="Q1097" i="3"/>
  <c r="N970" i="3"/>
  <c r="S334" i="3"/>
  <c r="U334" i="3" s="1"/>
  <c r="X334" i="3" s="1"/>
  <c r="Z334" i="3" s="1"/>
  <c r="S348" i="3"/>
  <c r="U348" i="3" s="1"/>
  <c r="X348" i="3" s="1"/>
  <c r="Z348" i="3" s="1"/>
  <c r="S327" i="3"/>
  <c r="U327" i="3" s="1"/>
  <c r="X327" i="3" s="1"/>
  <c r="Z327" i="3" s="1"/>
  <c r="AB327" i="3" s="1"/>
  <c r="AB334" i="3" l="1"/>
  <c r="AF334" i="3" s="1"/>
  <c r="AB348" i="3"/>
  <c r="AF348" i="3" s="1"/>
  <c r="AF327" i="3"/>
  <c r="S1097" i="3"/>
  <c r="Q970" i="3"/>
  <c r="H568" i="3"/>
  <c r="U1097" i="3" l="1"/>
  <c r="S970" i="3"/>
  <c r="U970" i="3" s="1"/>
  <c r="J568" i="3"/>
  <c r="L568" i="3" s="1"/>
  <c r="X1097" i="3" l="1"/>
  <c r="Z1097" i="3" s="1"/>
  <c r="AB1097" i="3" s="1"/>
  <c r="AF1097" i="3" s="1"/>
  <c r="X970" i="3"/>
  <c r="Z970" i="3" s="1"/>
  <c r="AB970" i="3" s="1"/>
  <c r="AF970" i="3" s="1"/>
  <c r="N568" i="3"/>
  <c r="Q568" i="3"/>
  <c r="S568" i="3" l="1"/>
  <c r="U568" i="3" s="1"/>
  <c r="X568" i="3" s="1"/>
  <c r="Z568" i="3" s="1"/>
  <c r="AB568" i="3" l="1"/>
  <c r="N1042" i="3"/>
  <c r="Q1042" i="3"/>
  <c r="N1040" i="3"/>
  <c r="Q1040" i="3"/>
  <c r="N797" i="3"/>
  <c r="N807" i="3"/>
  <c r="AF568" i="3" l="1"/>
  <c r="S1040" i="3"/>
  <c r="S1042" i="3"/>
  <c r="Q797" i="3"/>
  <c r="S797" i="3" s="1"/>
  <c r="Q807" i="3"/>
  <c r="S807" i="3" s="1"/>
  <c r="U807" i="3" s="1"/>
  <c r="U1042" i="3" l="1"/>
  <c r="U1040" i="3"/>
  <c r="U797" i="3"/>
  <c r="H20" i="8"/>
  <c r="L20" i="8" s="1"/>
  <c r="P20" i="8" s="1"/>
  <c r="T20" i="8" s="1"/>
  <c r="Z20" i="8" s="1"/>
  <c r="AD20" i="8" s="1"/>
  <c r="AH20" i="8" s="1"/>
  <c r="AN20" i="8" s="1"/>
  <c r="AR20" i="8" s="1"/>
  <c r="AV20" i="8" s="1"/>
  <c r="BD20" i="8" s="1"/>
  <c r="H1323" i="3"/>
  <c r="J1323" i="3" s="1"/>
  <c r="X797" i="3" l="1"/>
  <c r="Z797" i="3" s="1"/>
  <c r="AB797" i="3" s="1"/>
  <c r="AF797" i="3" s="1"/>
  <c r="X1040" i="3"/>
  <c r="Z1040" i="3" s="1"/>
  <c r="AB1040" i="3" s="1"/>
  <c r="AF1040" i="3" s="1"/>
  <c r="X1042" i="3"/>
  <c r="Z1042" i="3" s="1"/>
  <c r="AB1042" i="3" s="1"/>
  <c r="AF1042" i="3" s="1"/>
  <c r="L1323" i="3"/>
  <c r="N1323" i="3" s="1"/>
  <c r="Q1323" i="3"/>
  <c r="S1323" i="3" s="1"/>
  <c r="U1323" i="3" s="1"/>
  <c r="X1323" i="3" s="1"/>
  <c r="Z1323" i="3" s="1"/>
  <c r="I20" i="8"/>
  <c r="M20" i="8" s="1"/>
  <c r="Q20" i="8" s="1"/>
  <c r="U20" i="8" s="1"/>
  <c r="AA20" i="8" s="1"/>
  <c r="AE20" i="8" s="1"/>
  <c r="AI20" i="8" s="1"/>
  <c r="AO20" i="8" s="1"/>
  <c r="AS20" i="8" s="1"/>
  <c r="AW20" i="8" s="1"/>
  <c r="BE20" i="8" s="1"/>
  <c r="AB1323" i="3" l="1"/>
  <c r="AF1323" i="3" s="1"/>
  <c r="X807" i="3"/>
  <c r="Z807" i="3" s="1"/>
  <c r="AB807" i="3" s="1"/>
  <c r="AF807" i="3" s="1"/>
  <c r="K13" i="17" l="1"/>
  <c r="K11" i="17"/>
  <c r="K21" i="17"/>
  <c r="K15" i="17" s="1"/>
  <c r="K33" i="17" l="1"/>
  <c r="K29" i="17"/>
  <c r="K32" i="17"/>
  <c r="K31" i="17"/>
  <c r="K30" i="17"/>
  <c r="K112" i="17"/>
  <c r="K43" i="17"/>
  <c r="K49" i="17" s="1"/>
  <c r="K53" i="17" s="1"/>
  <c r="K81" i="17"/>
  <c r="K77" i="17"/>
  <c r="K66" i="17"/>
  <c r="K68" i="17" s="1"/>
  <c r="K10" i="17"/>
  <c r="K12" i="17"/>
  <c r="K58" i="17"/>
  <c r="K54" i="17" l="1"/>
  <c r="K44" i="17"/>
  <c r="K61" i="17"/>
  <c r="K59" i="17"/>
  <c r="K14" i="17"/>
  <c r="K110" i="17" l="1"/>
  <c r="K114" i="17" s="1"/>
  <c r="K50" i="17"/>
  <c r="K37" i="11"/>
  <c r="K97" i="10" l="1"/>
  <c r="L37" i="11" l="1"/>
  <c r="L94" i="10"/>
  <c r="L95" i="10" l="1"/>
  <c r="L126" i="10"/>
  <c r="L113" i="10"/>
  <c r="L99" i="10"/>
  <c r="L97" i="10"/>
  <c r="K51" i="8"/>
  <c r="K52" i="8"/>
  <c r="K53" i="8"/>
  <c r="K54" i="8"/>
  <c r="K55" i="8"/>
  <c r="K12" i="8"/>
  <c r="K128" i="9"/>
  <c r="K130" i="9" s="1"/>
  <c r="J54" i="7"/>
  <c r="K236" i="6"/>
  <c r="K237" i="6"/>
  <c r="K235" i="6"/>
  <c r="K283" i="6" s="1"/>
  <c r="K232" i="6"/>
  <c r="K233" i="6"/>
  <c r="K231" i="6"/>
  <c r="K282" i="6" s="1"/>
  <c r="K228" i="6"/>
  <c r="K229" i="6"/>
  <c r="K227" i="6"/>
  <c r="K284" i="6" s="1"/>
  <c r="K224" i="6"/>
  <c r="K225" i="6"/>
  <c r="K223" i="6"/>
  <c r="K278" i="6" s="1"/>
  <c r="K220" i="6"/>
  <c r="K221" i="6"/>
  <c r="K219" i="6"/>
  <c r="K274" i="6" s="1"/>
  <c r="K192" i="6"/>
  <c r="K193" i="6"/>
  <c r="K191" i="6"/>
  <c r="K271" i="6" s="1"/>
  <c r="K188" i="6"/>
  <c r="K189" i="6"/>
  <c r="K187" i="6"/>
  <c r="K270" i="6" s="1"/>
  <c r="L130" i="10" l="1"/>
  <c r="L128" i="10"/>
  <c r="J68" i="7"/>
  <c r="J63" i="7"/>
  <c r="J67" i="7"/>
  <c r="J70" i="7"/>
  <c r="K34" i="8"/>
  <c r="K131" i="9"/>
  <c r="K132" i="9"/>
  <c r="K35" i="8"/>
  <c r="J37" i="7"/>
  <c r="J33" i="7"/>
  <c r="J25" i="7"/>
  <c r="J80" i="7" s="1"/>
  <c r="J21" i="7"/>
  <c r="J84" i="7" s="1"/>
  <c r="J36" i="7"/>
  <c r="J65" i="7" s="1"/>
  <c r="J32" i="7"/>
  <c r="J24" i="7"/>
  <c r="J79" i="7" s="1"/>
  <c r="J20" i="7"/>
  <c r="J76" i="7" s="1"/>
  <c r="J35" i="7"/>
  <c r="J31" i="7"/>
  <c r="J27" i="7"/>
  <c r="J77" i="7" s="1"/>
  <c r="J23" i="7"/>
  <c r="J78" i="7" s="1"/>
  <c r="J19" i="7"/>
  <c r="J75" i="7" s="1"/>
  <c r="J38" i="7"/>
  <c r="J34" i="7"/>
  <c r="J26" i="7"/>
  <c r="J18" i="7"/>
  <c r="J74" i="7" s="1"/>
  <c r="J55" i="7"/>
  <c r="K16" i="7"/>
  <c r="K30" i="7" s="1"/>
  <c r="K16" i="8"/>
  <c r="K86" i="8"/>
  <c r="K26" i="8"/>
  <c r="K54" i="7"/>
  <c r="AY22" i="7" s="1"/>
  <c r="AY81" i="7" l="1"/>
  <c r="AY85" i="7" s="1"/>
  <c r="AY28" i="7"/>
  <c r="AU22" i="7"/>
  <c r="AQ22" i="7"/>
  <c r="K104" i="7"/>
  <c r="K105" i="7" s="1"/>
  <c r="AK22" i="7"/>
  <c r="AG22" i="7"/>
  <c r="AC22" i="7"/>
  <c r="W22" i="7"/>
  <c r="S22" i="7"/>
  <c r="K48" i="8"/>
  <c r="K24" i="7"/>
  <c r="K79" i="7" s="1"/>
  <c r="O22" i="7"/>
  <c r="K25" i="7"/>
  <c r="K80" i="7" s="1"/>
  <c r="K65" i="7"/>
  <c r="K45" i="7"/>
  <c r="K47" i="7"/>
  <c r="K44" i="7"/>
  <c r="K19" i="7"/>
  <c r="J82" i="7"/>
  <c r="J83" i="7"/>
  <c r="K46" i="7"/>
  <c r="K21" i="7"/>
  <c r="K49" i="7"/>
  <c r="K48" i="7"/>
  <c r="K67" i="7"/>
  <c r="I730" i="3" s="1"/>
  <c r="K68" i="7"/>
  <c r="K63" i="7"/>
  <c r="K70" i="7"/>
  <c r="K26" i="7"/>
  <c r="K83" i="7" s="1"/>
  <c r="K43" i="7"/>
  <c r="K23" i="7"/>
  <c r="K78" i="7" s="1"/>
  <c r="K20" i="7"/>
  <c r="K42" i="7"/>
  <c r="K27" i="7"/>
  <c r="K77" i="7" s="1"/>
  <c r="K18" i="7"/>
  <c r="K74" i="7" s="1"/>
  <c r="K5" i="26"/>
  <c r="K56" i="7"/>
  <c r="K22" i="7"/>
  <c r="K81" i="7" s="1"/>
  <c r="AQ81" i="7" l="1"/>
  <c r="AQ85" i="7" s="1"/>
  <c r="AQ28" i="7"/>
  <c r="AU81" i="7"/>
  <c r="AU85" i="7" s="1"/>
  <c r="AU28" i="7"/>
  <c r="AC81" i="7"/>
  <c r="AC85" i="7" s="1"/>
  <c r="AC28" i="7"/>
  <c r="AG81" i="7"/>
  <c r="AG85" i="7" s="1"/>
  <c r="AG28" i="7"/>
  <c r="AK81" i="7"/>
  <c r="AK85" i="7" s="1"/>
  <c r="AK28" i="7"/>
  <c r="K106" i="7"/>
  <c r="K107" i="7"/>
  <c r="K108" i="7" s="1"/>
  <c r="S81" i="7"/>
  <c r="S85" i="7" s="1"/>
  <c r="S28" i="7"/>
  <c r="W81" i="7"/>
  <c r="W85" i="7" s="1"/>
  <c r="W28" i="7"/>
  <c r="O81" i="7"/>
  <c r="O85" i="7" s="1"/>
  <c r="O28" i="7"/>
  <c r="K76" i="7"/>
  <c r="K84" i="7"/>
  <c r="K75" i="7"/>
  <c r="K82" i="7"/>
  <c r="K28" i="7"/>
  <c r="K109" i="7" l="1"/>
  <c r="K85" i="7"/>
  <c r="K103" i="6"/>
  <c r="J103" i="6"/>
  <c r="J100" i="6"/>
  <c r="J85" i="6"/>
  <c r="J52" i="6"/>
  <c r="J44" i="6"/>
  <c r="J41" i="6"/>
  <c r="J12" i="6"/>
  <c r="K16" i="48" l="1"/>
  <c r="K18" i="48" s="1"/>
  <c r="K116" i="7"/>
  <c r="K81" i="6"/>
  <c r="K44" i="6"/>
  <c r="K100" i="6"/>
  <c r="K104" i="6" s="1"/>
  <c r="K109" i="6" s="1"/>
  <c r="K41" i="6"/>
  <c r="K52" i="6"/>
  <c r="K29" i="6"/>
  <c r="J15" i="6"/>
  <c r="J59" i="6" s="1"/>
  <c r="J86" i="6"/>
  <c r="J91" i="6" s="1"/>
  <c r="J138" i="6" s="1"/>
  <c r="K85" i="6"/>
  <c r="J104" i="6"/>
  <c r="J109" i="6" s="1"/>
  <c r="K163" i="6" l="1"/>
  <c r="K164" i="6"/>
  <c r="J164" i="6"/>
  <c r="J163" i="6"/>
  <c r="J56" i="6"/>
  <c r="J161" i="6"/>
  <c r="K86" i="6"/>
  <c r="K91" i="6" s="1"/>
  <c r="K138" i="6" s="1"/>
  <c r="K36" i="21"/>
  <c r="K12" i="15" s="1"/>
  <c r="K13" i="15" s="1"/>
  <c r="J160" i="6"/>
  <c r="J135" i="6"/>
  <c r="J136" i="6"/>
  <c r="K32" i="21"/>
  <c r="J162" i="6" l="1"/>
  <c r="J8" i="36" s="1"/>
  <c r="J37" i="6"/>
  <c r="J137" i="6"/>
  <c r="J7" i="36" s="1"/>
  <c r="K240" i="6" l="1"/>
  <c r="L33" i="22"/>
  <c r="K94" i="26"/>
  <c r="K136" i="6"/>
  <c r="K135" i="6"/>
  <c r="J285" i="6" l="1"/>
  <c r="J280" i="6"/>
  <c r="K137" i="6"/>
  <c r="K7" i="36" s="1"/>
  <c r="J277" i="6" l="1"/>
  <c r="K28" i="6"/>
  <c r="K25" i="6"/>
  <c r="K22" i="6"/>
  <c r="J281" i="6" l="1"/>
  <c r="J286" i="6" s="1"/>
  <c r="K161" i="6" l="1"/>
  <c r="K160" i="6"/>
  <c r="K162" i="6" l="1"/>
  <c r="K8" i="36" s="1"/>
  <c r="K285" i="6" l="1"/>
  <c r="K280" i="6"/>
  <c r="K277" i="6" l="1"/>
  <c r="K281" i="6" l="1"/>
  <c r="H1420" i="3"/>
  <c r="J1420" i="3" s="1"/>
  <c r="K286" i="6" l="1"/>
  <c r="L1420" i="3"/>
  <c r="N1420" i="3" s="1"/>
  <c r="Q1420" i="3" s="1"/>
  <c r="S1420" i="3" s="1"/>
  <c r="U1420" i="3" s="1"/>
  <c r="X1420" i="3" s="1"/>
  <c r="Z1420" i="3" s="1"/>
  <c r="AB1420" i="3" l="1"/>
  <c r="AF1420" i="3" s="1"/>
  <c r="H340" i="3"/>
  <c r="J340" i="3" s="1"/>
  <c r="L340" i="3" s="1"/>
  <c r="N340" i="3" s="1"/>
  <c r="Q340" i="3" s="1"/>
  <c r="S340" i="3" l="1"/>
  <c r="U340" i="3" s="1"/>
  <c r="X340" i="3" s="1"/>
  <c r="Z340" i="3" s="1"/>
  <c r="AB340" i="3" l="1"/>
  <c r="AF340" i="3" s="1"/>
  <c r="E235" i="6"/>
  <c r="E283" i="6" s="1"/>
  <c r="E231" i="6"/>
  <c r="E282" i="6" s="1"/>
  <c r="G237" i="6"/>
  <c r="E237" i="6"/>
  <c r="G236" i="6"/>
  <c r="E236" i="6"/>
  <c r="G235" i="6"/>
  <c r="G283" i="6" s="1"/>
  <c r="H479" i="3"/>
  <c r="I13" i="11"/>
  <c r="N942" i="3" l="1"/>
  <c r="M13" i="11"/>
  <c r="Q13" i="11" s="1"/>
  <c r="U13" i="11" s="1"/>
  <c r="AA13" i="11" s="1"/>
  <c r="J479" i="3"/>
  <c r="Q942" i="3" l="1"/>
  <c r="L479" i="3"/>
  <c r="N479" i="3" s="1"/>
  <c r="Q479" i="3" s="1"/>
  <c r="I237" i="6"/>
  <c r="I235" i="6"/>
  <c r="I283" i="6" s="1"/>
  <c r="I236" i="6"/>
  <c r="S942" i="3" l="1"/>
  <c r="P479" i="3"/>
  <c r="S479" i="3"/>
  <c r="U479" i="3" s="1"/>
  <c r="X479" i="3" s="1"/>
  <c r="Z479" i="3" s="1"/>
  <c r="M237" i="6"/>
  <c r="M236" i="6"/>
  <c r="M235" i="6"/>
  <c r="M283" i="6" s="1"/>
  <c r="AB479" i="3" l="1"/>
  <c r="AF479" i="3" s="1"/>
  <c r="U942" i="3"/>
  <c r="Q283" i="6"/>
  <c r="X942" i="3" l="1"/>
  <c r="Z942" i="3" s="1"/>
  <c r="AB942" i="3" s="1"/>
  <c r="AF942" i="3" s="1"/>
  <c r="H288" i="3"/>
  <c r="J288" i="3" s="1"/>
  <c r="L288" i="3" s="1"/>
  <c r="N288" i="3" s="1"/>
  <c r="Q288" i="3" s="1"/>
  <c r="S288" i="3" s="1"/>
  <c r="U288" i="3" s="1"/>
  <c r="X288" i="3" s="1"/>
  <c r="Z288" i="3" s="1"/>
  <c r="H287" i="3"/>
  <c r="J287" i="3" s="1"/>
  <c r="L287" i="3" s="1"/>
  <c r="N287" i="3" s="1"/>
  <c r="Q287" i="3" s="1"/>
  <c r="S287" i="3" s="1"/>
  <c r="U287" i="3" s="1"/>
  <c r="X287" i="3" s="1"/>
  <c r="Z287" i="3" s="1"/>
  <c r="H286" i="3"/>
  <c r="J286" i="3" s="1"/>
  <c r="L286" i="3" s="1"/>
  <c r="N286" i="3" s="1"/>
  <c r="Q286" i="3" s="1"/>
  <c r="S286" i="3" s="1"/>
  <c r="U286" i="3" s="1"/>
  <c r="X286" i="3" s="1"/>
  <c r="Z286" i="3" s="1"/>
  <c r="H754" i="3"/>
  <c r="AB288" i="3" l="1"/>
  <c r="AF288" i="3" s="1"/>
  <c r="AB286" i="3"/>
  <c r="AB287" i="3"/>
  <c r="AF287" i="3" s="1"/>
  <c r="Z289" i="3"/>
  <c r="X289" i="3"/>
  <c r="U289" i="3"/>
  <c r="J754" i="3"/>
  <c r="S289" i="3"/>
  <c r="Q289" i="3"/>
  <c r="N289" i="3"/>
  <c r="L289" i="3"/>
  <c r="J289" i="3"/>
  <c r="J1515" i="3"/>
  <c r="L1515" i="3" s="1"/>
  <c r="N1515" i="3" s="1"/>
  <c r="Q1515" i="3" s="1"/>
  <c r="S1515" i="3" s="1"/>
  <c r="U1515" i="3" s="1"/>
  <c r="X1515" i="3" s="1"/>
  <c r="Z1515" i="3" s="1"/>
  <c r="J1513" i="3"/>
  <c r="L1513" i="3" s="1"/>
  <c r="N1513" i="3" s="1"/>
  <c r="Q1513" i="3" s="1"/>
  <c r="S1513" i="3" s="1"/>
  <c r="U1513" i="3" s="1"/>
  <c r="X1513" i="3" s="1"/>
  <c r="Z1513" i="3" s="1"/>
  <c r="J1511" i="3"/>
  <c r="L1511" i="3" s="1"/>
  <c r="N1511" i="3" s="1"/>
  <c r="Q1511" i="3" s="1"/>
  <c r="S1511" i="3" s="1"/>
  <c r="U1511" i="3" s="1"/>
  <c r="X1511" i="3" s="1"/>
  <c r="Z1511" i="3" s="1"/>
  <c r="J1510" i="3"/>
  <c r="L1510" i="3" s="1"/>
  <c r="N1510" i="3" s="1"/>
  <c r="Q1510" i="3" s="1"/>
  <c r="S1510" i="3" s="1"/>
  <c r="U1510" i="3" s="1"/>
  <c r="X1510" i="3" s="1"/>
  <c r="Z1510" i="3" s="1"/>
  <c r="J1509" i="3"/>
  <c r="L1509" i="3" s="1"/>
  <c r="N1509" i="3" s="1"/>
  <c r="Q1509" i="3" s="1"/>
  <c r="S1509" i="3" s="1"/>
  <c r="U1509" i="3" s="1"/>
  <c r="X1509" i="3" s="1"/>
  <c r="Z1509" i="3" s="1"/>
  <c r="J1508" i="3"/>
  <c r="L1508" i="3" s="1"/>
  <c r="N1508" i="3" s="1"/>
  <c r="Q1508" i="3" s="1"/>
  <c r="S1508" i="3" s="1"/>
  <c r="U1508" i="3" s="1"/>
  <c r="X1508" i="3" s="1"/>
  <c r="Z1508" i="3" s="1"/>
  <c r="J1505" i="3"/>
  <c r="L1505" i="3" s="1"/>
  <c r="N1505" i="3" s="1"/>
  <c r="Q1505" i="3" s="1"/>
  <c r="S1505" i="3" s="1"/>
  <c r="U1505" i="3" s="1"/>
  <c r="X1505" i="3" s="1"/>
  <c r="Z1505" i="3" s="1"/>
  <c r="J1504" i="3"/>
  <c r="L1504" i="3" s="1"/>
  <c r="N1504" i="3" s="1"/>
  <c r="Q1504" i="3" s="1"/>
  <c r="S1504" i="3" s="1"/>
  <c r="U1504" i="3" s="1"/>
  <c r="X1504" i="3" s="1"/>
  <c r="Z1504" i="3" s="1"/>
  <c r="J1498" i="3"/>
  <c r="L1498" i="3" s="1"/>
  <c r="N1498" i="3" s="1"/>
  <c r="Q1498" i="3" s="1"/>
  <c r="S1498" i="3" s="1"/>
  <c r="U1498" i="3" s="1"/>
  <c r="X1498" i="3" s="1"/>
  <c r="Z1498" i="3" s="1"/>
  <c r="J1495" i="3"/>
  <c r="L1495" i="3" s="1"/>
  <c r="N1495" i="3" s="1"/>
  <c r="Q1495" i="3" s="1"/>
  <c r="S1495" i="3" s="1"/>
  <c r="U1495" i="3" s="1"/>
  <c r="X1495" i="3" s="1"/>
  <c r="Z1495" i="3" s="1"/>
  <c r="J1494" i="3"/>
  <c r="L1494" i="3" s="1"/>
  <c r="N1494" i="3" s="1"/>
  <c r="Q1494" i="3" s="1"/>
  <c r="S1494" i="3" s="1"/>
  <c r="U1494" i="3" s="1"/>
  <c r="X1494" i="3" s="1"/>
  <c r="Z1494" i="3" s="1"/>
  <c r="J1493" i="3"/>
  <c r="L1493" i="3" s="1"/>
  <c r="N1493" i="3" s="1"/>
  <c r="Q1493" i="3" s="1"/>
  <c r="S1493" i="3" s="1"/>
  <c r="U1493" i="3" s="1"/>
  <c r="X1493" i="3" s="1"/>
  <c r="Z1493" i="3" s="1"/>
  <c r="J1492" i="3"/>
  <c r="L1492" i="3" s="1"/>
  <c r="N1492" i="3" s="1"/>
  <c r="Q1492" i="3" s="1"/>
  <c r="S1492" i="3" s="1"/>
  <c r="U1492" i="3" s="1"/>
  <c r="X1492" i="3" s="1"/>
  <c r="Z1492" i="3" s="1"/>
  <c r="AB1494" i="3" l="1"/>
  <c r="AF1494" i="3" s="1"/>
  <c r="AB1505" i="3"/>
  <c r="AF1505" i="3" s="1"/>
  <c r="AB1511" i="3"/>
  <c r="AF1511" i="3" s="1"/>
  <c r="AB1495" i="3"/>
  <c r="AF1495" i="3" s="1"/>
  <c r="AB1508" i="3"/>
  <c r="AF1508" i="3" s="1"/>
  <c r="AB1513" i="3"/>
  <c r="AF1513" i="3" s="1"/>
  <c r="AB1492" i="3"/>
  <c r="AF1492" i="3" s="1"/>
  <c r="AB1498" i="3"/>
  <c r="AF1498" i="3" s="1"/>
  <c r="AB1509" i="3"/>
  <c r="AF1509" i="3" s="1"/>
  <c r="AB1515" i="3"/>
  <c r="AF1515" i="3" s="1"/>
  <c r="AB1493" i="3"/>
  <c r="AF1493" i="3" s="1"/>
  <c r="AB1504" i="3"/>
  <c r="AF1504" i="3" s="1"/>
  <c r="AB1510" i="3"/>
  <c r="AF1510" i="3" s="1"/>
  <c r="AB289" i="3"/>
  <c r="AF286" i="3"/>
  <c r="AF289" i="3" s="1"/>
  <c r="N811" i="3"/>
  <c r="L754" i="3"/>
  <c r="P289" i="3"/>
  <c r="J1514" i="3"/>
  <c r="L1514" i="3" s="1"/>
  <c r="N1514" i="3" s="1"/>
  <c r="Q1514" i="3" s="1"/>
  <c r="S1514" i="3" s="1"/>
  <c r="U1514" i="3" s="1"/>
  <c r="X1514" i="3" s="1"/>
  <c r="Z1514" i="3" s="1"/>
  <c r="J1506" i="3"/>
  <c r="L1506" i="3" s="1"/>
  <c r="N1506" i="3" s="1"/>
  <c r="Q1506" i="3" s="1"/>
  <c r="S1506" i="3" s="1"/>
  <c r="U1506" i="3" s="1"/>
  <c r="X1506" i="3" s="1"/>
  <c r="Z1506" i="3" s="1"/>
  <c r="AB1506" i="3" l="1"/>
  <c r="AF1506" i="3" s="1"/>
  <c r="AB1514" i="3"/>
  <c r="AF1514" i="3" s="1"/>
  <c r="Q811" i="3"/>
  <c r="S811" i="3" s="1"/>
  <c r="N754" i="3"/>
  <c r="J1512" i="3"/>
  <c r="L1512" i="3" s="1"/>
  <c r="N1512" i="3" s="1"/>
  <c r="Q1512" i="3" s="1"/>
  <c r="S1512" i="3" s="1"/>
  <c r="U1512" i="3" s="1"/>
  <c r="X1512" i="3" s="1"/>
  <c r="Z1512" i="3" s="1"/>
  <c r="J1503" i="3"/>
  <c r="L1503" i="3" s="1"/>
  <c r="N1503" i="3" s="1"/>
  <c r="Q1503" i="3" s="1"/>
  <c r="S1503" i="3" s="1"/>
  <c r="U1503" i="3" s="1"/>
  <c r="X1503" i="3" s="1"/>
  <c r="Z1503" i="3" s="1"/>
  <c r="AB1503" i="3" s="1"/>
  <c r="J1516" i="3"/>
  <c r="L1516" i="3" s="1"/>
  <c r="N1516" i="3" s="1"/>
  <c r="Q1516" i="3" s="1"/>
  <c r="S1516" i="3" s="1"/>
  <c r="U1516" i="3" s="1"/>
  <c r="X1516" i="3" s="1"/>
  <c r="Z1516" i="3" s="1"/>
  <c r="J1507" i="3"/>
  <c r="L1507" i="3" s="1"/>
  <c r="N1507" i="3" s="1"/>
  <c r="Q1507" i="3" s="1"/>
  <c r="S1507" i="3" s="1"/>
  <c r="U1507" i="3" s="1"/>
  <c r="X1507" i="3" s="1"/>
  <c r="Z1507" i="3" s="1"/>
  <c r="AB1507" i="3" s="1"/>
  <c r="AB1512" i="3" l="1"/>
  <c r="AF1512" i="3" s="1"/>
  <c r="AB1516" i="3"/>
  <c r="AF1516" i="3" s="1"/>
  <c r="Q754" i="3"/>
  <c r="J1491" i="3"/>
  <c r="U811" i="3" l="1"/>
  <c r="S754" i="3"/>
  <c r="U754" i="3" s="1"/>
  <c r="X754" i="3" s="1"/>
  <c r="Z754" i="3" s="1"/>
  <c r="J1497" i="3"/>
  <c r="J1502" i="3"/>
  <c r="L1491" i="3"/>
  <c r="J1496" i="3"/>
  <c r="D81" i="17"/>
  <c r="D77" i="17"/>
  <c r="D66" i="17"/>
  <c r="D68" i="17" s="1"/>
  <c r="H1467" i="3"/>
  <c r="H1476" i="3" s="1"/>
  <c r="AB754" i="3" l="1"/>
  <c r="X811" i="3"/>
  <c r="Z811" i="3" s="1"/>
  <c r="AB811" i="3" s="1"/>
  <c r="AF811" i="3" s="1"/>
  <c r="H1485" i="3"/>
  <c r="L1496" i="3"/>
  <c r="N1491" i="3"/>
  <c r="Q1491" i="3" s="1"/>
  <c r="S1491" i="3" s="1"/>
  <c r="L1502" i="3"/>
  <c r="J1499" i="3"/>
  <c r="J1500" i="3" s="1"/>
  <c r="L1497" i="3"/>
  <c r="H1480" i="3"/>
  <c r="J1467" i="3"/>
  <c r="L1467" i="3" s="1"/>
  <c r="N1467" i="3" s="1"/>
  <c r="Q1467" i="3" s="1"/>
  <c r="S1467" i="3" s="1"/>
  <c r="U1467" i="3" s="1"/>
  <c r="X1467" i="3" s="1"/>
  <c r="Z1467" i="3" s="1"/>
  <c r="AB1467" i="3" s="1"/>
  <c r="H1477" i="3"/>
  <c r="H1469" i="3"/>
  <c r="H1481" i="3"/>
  <c r="H1470" i="3"/>
  <c r="H1478" i="3"/>
  <c r="H1484" i="3"/>
  <c r="H1472" i="3"/>
  <c r="H1479" i="3"/>
  <c r="H1475" i="3"/>
  <c r="E81" i="17"/>
  <c r="E66" i="17"/>
  <c r="E68" i="17" s="1"/>
  <c r="G81" i="17"/>
  <c r="G66" i="17"/>
  <c r="G68" i="17" s="1"/>
  <c r="G77" i="17"/>
  <c r="E77" i="17"/>
  <c r="H289" i="3"/>
  <c r="J1469" i="3" l="1"/>
  <c r="J1476" i="3"/>
  <c r="J1472" i="3"/>
  <c r="J1485" i="3"/>
  <c r="AF754" i="3"/>
  <c r="AF1467" i="3"/>
  <c r="S1496" i="3"/>
  <c r="U1491" i="3"/>
  <c r="N1496" i="3"/>
  <c r="J1484" i="3"/>
  <c r="H1486" i="3"/>
  <c r="J1475" i="3"/>
  <c r="L1475" i="3" s="1"/>
  <c r="H1482" i="3"/>
  <c r="L1499" i="3"/>
  <c r="L1500" i="3" s="1"/>
  <c r="N1497" i="3"/>
  <c r="Q1497" i="3" s="1"/>
  <c r="S1497" i="3" s="1"/>
  <c r="N1502" i="3"/>
  <c r="Q1502" i="3" s="1"/>
  <c r="S1502" i="3" s="1"/>
  <c r="L1469" i="3"/>
  <c r="J1478" i="3"/>
  <c r="L1478" i="3" s="1"/>
  <c r="J1470" i="3"/>
  <c r="J1477" i="3"/>
  <c r="J1480" i="3"/>
  <c r="L1480" i="3" s="1"/>
  <c r="J1479" i="3"/>
  <c r="L1479" i="3" s="1"/>
  <c r="J1481" i="3"/>
  <c r="L1481" i="3" s="1"/>
  <c r="H1471" i="3"/>
  <c r="H1473" i="3" s="1"/>
  <c r="H1483" i="3" l="1"/>
  <c r="H1474" i="3" s="1"/>
  <c r="L1476" i="3"/>
  <c r="L1477" i="3"/>
  <c r="U1496" i="3"/>
  <c r="X1491" i="3"/>
  <c r="L1484" i="3"/>
  <c r="N1484" i="3" s="1"/>
  <c r="Q1484" i="3" s="1"/>
  <c r="U1502" i="3"/>
  <c r="S1499" i="3"/>
  <c r="S1500" i="3" s="1"/>
  <c r="U1497" i="3"/>
  <c r="N1499" i="3"/>
  <c r="N1500" i="3" s="1"/>
  <c r="Q1496" i="3"/>
  <c r="P1496" i="3"/>
  <c r="N1475" i="3"/>
  <c r="Q1475" i="3" s="1"/>
  <c r="J1471" i="3"/>
  <c r="J1473" i="3" s="1"/>
  <c r="J1482" i="3"/>
  <c r="L1472" i="3"/>
  <c r="L1470" i="3"/>
  <c r="L1485" i="3"/>
  <c r="J1486" i="3"/>
  <c r="J1483" i="3" l="1"/>
  <c r="J1474" i="3" s="1"/>
  <c r="N1476" i="3"/>
  <c r="X1496" i="3"/>
  <c r="Z1491" i="3"/>
  <c r="AB1491" i="3" s="1"/>
  <c r="AB1496" i="3" s="1"/>
  <c r="U1499" i="3"/>
  <c r="U1500" i="3" s="1"/>
  <c r="X1497" i="3"/>
  <c r="X1502" i="3"/>
  <c r="S1475" i="3"/>
  <c r="U1475" i="3" s="1"/>
  <c r="S1484" i="3"/>
  <c r="U1484" i="3" s="1"/>
  <c r="P1499" i="3"/>
  <c r="P1500" i="3" s="1"/>
  <c r="Q1499" i="3"/>
  <c r="Q1500" i="3" s="1"/>
  <c r="N1481" i="3"/>
  <c r="Q1481" i="3" s="1"/>
  <c r="N1485" i="3"/>
  <c r="Q1485" i="3" s="1"/>
  <c r="L1486" i="3"/>
  <c r="N1480" i="3"/>
  <c r="Q1480" i="3" s="1"/>
  <c r="N1479" i="3"/>
  <c r="Q1479" i="3" s="1"/>
  <c r="N1478" i="3"/>
  <c r="Q1478" i="3" s="1"/>
  <c r="N1477" i="3"/>
  <c r="L1482" i="3"/>
  <c r="N1472" i="3"/>
  <c r="Q1472" i="3" s="1"/>
  <c r="S1472" i="3" s="1"/>
  <c r="U1472" i="3" s="1"/>
  <c r="N1470" i="3"/>
  <c r="Q1470" i="3" s="1"/>
  <c r="S1470" i="3" s="1"/>
  <c r="U1470" i="3" s="1"/>
  <c r="L1471" i="3"/>
  <c r="L1473" i="3" s="1"/>
  <c r="N1469" i="3"/>
  <c r="Q1469" i="3" s="1"/>
  <c r="S1469" i="3" s="1"/>
  <c r="U1469" i="3" s="1"/>
  <c r="H1078" i="3"/>
  <c r="H967" i="3"/>
  <c r="H15" i="15"/>
  <c r="L15" i="15" s="1"/>
  <c r="P15" i="15" s="1"/>
  <c r="T15" i="15" s="1"/>
  <c r="H1464" i="3"/>
  <c r="Z15" i="15" l="1"/>
  <c r="AD15" i="15" s="1"/>
  <c r="AH15" i="15" s="1"/>
  <c r="X15" i="15"/>
  <c r="L1483" i="3"/>
  <c r="L1474" i="3" s="1"/>
  <c r="J1464" i="3"/>
  <c r="L1464" i="3" s="1"/>
  <c r="N1464" i="3" s="1"/>
  <c r="Q1464" i="3" s="1"/>
  <c r="S1464" i="3" s="1"/>
  <c r="U1464" i="3" s="1"/>
  <c r="X1464" i="3" s="1"/>
  <c r="Z1464" i="3" s="1"/>
  <c r="AB1464" i="3" s="1"/>
  <c r="Q1476" i="3"/>
  <c r="Q1477" i="3"/>
  <c r="N1082" i="3"/>
  <c r="Q1082" i="3"/>
  <c r="S1082" i="3" s="1"/>
  <c r="U1082" i="3" s="1"/>
  <c r="X1082" i="3" s="1"/>
  <c r="N968" i="3"/>
  <c r="E16" i="15"/>
  <c r="J967" i="3"/>
  <c r="J1078" i="3"/>
  <c r="L1078" i="3" s="1"/>
  <c r="H1119" i="3"/>
  <c r="Z1496" i="3"/>
  <c r="X1499" i="3"/>
  <c r="X1500" i="3" s="1"/>
  <c r="Z1497" i="3"/>
  <c r="AB1497" i="3" s="1"/>
  <c r="AB1499" i="3" s="1"/>
  <c r="AB1500" i="3" s="1"/>
  <c r="Z1502" i="3"/>
  <c r="AB1502" i="3" s="1"/>
  <c r="X1470" i="3"/>
  <c r="X1484" i="3"/>
  <c r="Z1484" i="3" s="1"/>
  <c r="AB1484" i="3" s="1"/>
  <c r="X1469" i="3"/>
  <c r="Z1469" i="3" s="1"/>
  <c r="AB1469" i="3" s="1"/>
  <c r="X1472" i="3"/>
  <c r="X1475" i="3"/>
  <c r="Z1475" i="3" s="1"/>
  <c r="AB1475" i="3" s="1"/>
  <c r="S1485" i="3"/>
  <c r="U1485" i="3" s="1"/>
  <c r="S1479" i="3"/>
  <c r="U1479" i="3" s="1"/>
  <c r="S1478" i="3"/>
  <c r="U1478" i="3" s="1"/>
  <c r="S1480" i="3"/>
  <c r="U1480" i="3" s="1"/>
  <c r="S1481" i="3"/>
  <c r="U1481" i="3" s="1"/>
  <c r="P1486" i="3"/>
  <c r="Q1486" i="3"/>
  <c r="N1486" i="3"/>
  <c r="N1482" i="3"/>
  <c r="N1471" i="3"/>
  <c r="N1473" i="3" s="1"/>
  <c r="H1457" i="3"/>
  <c r="H1463" i="3"/>
  <c r="I15" i="15"/>
  <c r="M15" i="15" s="1"/>
  <c r="Q15" i="15" s="1"/>
  <c r="H1208" i="3"/>
  <c r="J1208" i="3" s="1"/>
  <c r="H1192" i="3"/>
  <c r="J1192" i="3" s="1"/>
  <c r="AN15" i="15" l="1"/>
  <c r="AR15" i="15" s="1"/>
  <c r="AV15" i="15" s="1"/>
  <c r="AL15" i="15"/>
  <c r="U15" i="15"/>
  <c r="N1483" i="3"/>
  <c r="N1474" i="3" s="1"/>
  <c r="Z1082" i="3"/>
  <c r="S1477" i="3"/>
  <c r="U1477" i="3" s="1"/>
  <c r="S1476" i="3"/>
  <c r="AF1464" i="3"/>
  <c r="Q968" i="3"/>
  <c r="S968" i="3" s="1"/>
  <c r="U968" i="3" s="1"/>
  <c r="N1078" i="3"/>
  <c r="I14" i="15"/>
  <c r="M14" i="15" s="1"/>
  <c r="Q1078" i="3"/>
  <c r="L967" i="3"/>
  <c r="AF1484" i="3"/>
  <c r="AF1491" i="3"/>
  <c r="AF1496" i="3" s="1"/>
  <c r="AF1475" i="3"/>
  <c r="AF1469" i="3"/>
  <c r="Z1499" i="3"/>
  <c r="Z1500" i="3" s="1"/>
  <c r="Z1472" i="3"/>
  <c r="AB1472" i="3" s="1"/>
  <c r="Z1470" i="3"/>
  <c r="AB1470" i="3" s="1"/>
  <c r="AB1471" i="3" s="1"/>
  <c r="X1481" i="3"/>
  <c r="X1478" i="3"/>
  <c r="X1480" i="3"/>
  <c r="X1479" i="3"/>
  <c r="X1485" i="3"/>
  <c r="X1471" i="3"/>
  <c r="X1473" i="3" s="1"/>
  <c r="U1471" i="3"/>
  <c r="U1486" i="3"/>
  <c r="S1471" i="3"/>
  <c r="S1473" i="3" s="1"/>
  <c r="S1486" i="3"/>
  <c r="L1208" i="3"/>
  <c r="N1208" i="3" s="1"/>
  <c r="Q1208" i="3" s="1"/>
  <c r="S1208" i="3" s="1"/>
  <c r="U1208" i="3" s="1"/>
  <c r="X1208" i="3" s="1"/>
  <c r="Z1208" i="3" s="1"/>
  <c r="L1192" i="3"/>
  <c r="N1192" i="3" s="1"/>
  <c r="Q1192" i="3"/>
  <c r="S1192" i="3" s="1"/>
  <c r="P1482" i="3"/>
  <c r="P1483" i="3" s="1"/>
  <c r="Q1482" i="3"/>
  <c r="Q1483" i="3" s="1"/>
  <c r="P1471" i="3"/>
  <c r="P1473" i="3" s="1"/>
  <c r="Q1471" i="3"/>
  <c r="Q1473" i="3" s="1"/>
  <c r="H1465" i="3"/>
  <c r="J1463" i="3"/>
  <c r="J1457" i="3"/>
  <c r="AZ15" i="15" l="1"/>
  <c r="BB15" i="15" s="1"/>
  <c r="BD15" i="15"/>
  <c r="U1192" i="3"/>
  <c r="X1192" i="3" s="1"/>
  <c r="Z1192" i="3" s="1"/>
  <c r="AB1192" i="3" s="1"/>
  <c r="AF1192" i="3" s="1"/>
  <c r="W54" i="26"/>
  <c r="AA15" i="15"/>
  <c r="AE15" i="15" s="1"/>
  <c r="AI15" i="15" s="1"/>
  <c r="Y15" i="15"/>
  <c r="M16" i="15"/>
  <c r="Q14" i="15"/>
  <c r="P1474" i="3"/>
  <c r="Q1474" i="3"/>
  <c r="AB1473" i="3"/>
  <c r="AB1208" i="3"/>
  <c r="AF1208" i="3" s="1"/>
  <c r="AB1082" i="3"/>
  <c r="AF1082" i="3" s="1"/>
  <c r="S1482" i="3"/>
  <c r="S1483" i="3" s="1"/>
  <c r="S1474" i="3" s="1"/>
  <c r="X1477" i="3"/>
  <c r="U1476" i="3"/>
  <c r="U1482" i="3" s="1"/>
  <c r="U1483" i="3" s="1"/>
  <c r="X968" i="3"/>
  <c r="Z968" i="3" s="1"/>
  <c r="AB968" i="3" s="1"/>
  <c r="AF968" i="3" s="1"/>
  <c r="S1078" i="3"/>
  <c r="I16" i="15"/>
  <c r="N967" i="3"/>
  <c r="AF1497" i="3"/>
  <c r="AF1499" i="3" s="1"/>
  <c r="AF1500" i="3" s="1"/>
  <c r="AF1502" i="3"/>
  <c r="AF1470" i="3"/>
  <c r="Z1485" i="3"/>
  <c r="Z1480" i="3"/>
  <c r="AB1480" i="3" s="1"/>
  <c r="Z1471" i="3"/>
  <c r="Z1473" i="3" s="1"/>
  <c r="Z1481" i="3"/>
  <c r="AB1481" i="3" s="1"/>
  <c r="Z1479" i="3"/>
  <c r="AB1479" i="3" s="1"/>
  <c r="Z1478" i="3"/>
  <c r="AB1478" i="3" s="1"/>
  <c r="X1486" i="3"/>
  <c r="U1473" i="3"/>
  <c r="L1457" i="3"/>
  <c r="J1465" i="3"/>
  <c r="L1463" i="3"/>
  <c r="L1465" i="3" s="1"/>
  <c r="W55" i="26" l="1"/>
  <c r="Y54" i="26"/>
  <c r="Y55" i="26" s="1"/>
  <c r="AA54" i="26"/>
  <c r="AE54" i="26" s="1"/>
  <c r="AO15" i="15"/>
  <c r="AS15" i="15" s="1"/>
  <c r="AM15" i="15"/>
  <c r="U14" i="15"/>
  <c r="Y14" i="15" s="1"/>
  <c r="Y16" i="15" s="1"/>
  <c r="Q16" i="15"/>
  <c r="U1474" i="3"/>
  <c r="AB1485" i="3"/>
  <c r="AB1486" i="3" s="1"/>
  <c r="Z1477" i="3"/>
  <c r="X1476" i="3"/>
  <c r="Z1476" i="3" s="1"/>
  <c r="AB1476" i="3" s="1"/>
  <c r="U1078" i="3"/>
  <c r="Q967" i="3"/>
  <c r="AF1472" i="3"/>
  <c r="AF1471" i="3"/>
  <c r="Z1486" i="3"/>
  <c r="N1463" i="3"/>
  <c r="Q1463" i="3" s="1"/>
  <c r="S1463" i="3" s="1"/>
  <c r="N1457" i="3"/>
  <c r="AW15" i="15" l="1"/>
  <c r="AI54" i="26"/>
  <c r="U16" i="15"/>
  <c r="AA14" i="15"/>
  <c r="AB1477" i="3"/>
  <c r="AF1485" i="3"/>
  <c r="Z1482" i="3"/>
  <c r="Z1483" i="3" s="1"/>
  <c r="Z1474" i="3" s="1"/>
  <c r="X1482" i="3"/>
  <c r="X1483" i="3" s="1"/>
  <c r="X1474" i="3" s="1"/>
  <c r="X1078" i="3"/>
  <c r="S967" i="3"/>
  <c r="Q1457" i="3"/>
  <c r="AF1478" i="3"/>
  <c r="AF1473" i="3"/>
  <c r="AF1479" i="3"/>
  <c r="AF1481" i="3"/>
  <c r="AF1480" i="3"/>
  <c r="S1465" i="3"/>
  <c r="U1463" i="3"/>
  <c r="N1465" i="3"/>
  <c r="BE15" i="15" l="1"/>
  <c r="BA15" i="15"/>
  <c r="BC15" i="15" s="1"/>
  <c r="AM54" i="26"/>
  <c r="AM55" i="26" s="1"/>
  <c r="AO54" i="26"/>
  <c r="AS54" i="26" s="1"/>
  <c r="AW54" i="26" s="1"/>
  <c r="AA16" i="15"/>
  <c r="AE14" i="15"/>
  <c r="AB1482" i="3"/>
  <c r="AB1483" i="3" s="1"/>
  <c r="AB1474" i="3" s="1"/>
  <c r="AF1477" i="3"/>
  <c r="AF1486" i="3"/>
  <c r="AF1476" i="3"/>
  <c r="Z1078" i="3"/>
  <c r="AB1078" i="3" s="1"/>
  <c r="U967" i="3"/>
  <c r="S1457" i="3"/>
  <c r="U1465" i="3"/>
  <c r="X1463" i="3"/>
  <c r="Q1465" i="3"/>
  <c r="P1465" i="3"/>
  <c r="BA54" i="26" l="1"/>
  <c r="BE54" i="26"/>
  <c r="AE16" i="15"/>
  <c r="AI14" i="15"/>
  <c r="AF1482" i="3"/>
  <c r="AF1483" i="3" s="1"/>
  <c r="AF1474" i="3" s="1"/>
  <c r="X967" i="3"/>
  <c r="Z967" i="3" s="1"/>
  <c r="AB967" i="3" s="1"/>
  <c r="U1457" i="3"/>
  <c r="X1465" i="3"/>
  <c r="Z1463" i="3"/>
  <c r="BA55" i="26" l="1"/>
  <c r="BC54" i="26"/>
  <c r="BC55" i="26" s="1"/>
  <c r="AI16" i="15"/>
  <c r="AO14" i="15"/>
  <c r="AM14" i="15"/>
  <c r="AM16" i="15" s="1"/>
  <c r="Z1465" i="3"/>
  <c r="AB1463" i="3"/>
  <c r="AB1465" i="3" s="1"/>
  <c r="AF1078" i="3"/>
  <c r="X1457" i="3"/>
  <c r="H87" i="17"/>
  <c r="L87" i="17" s="1"/>
  <c r="P87" i="17" s="1"/>
  <c r="T87" i="17" s="1"/>
  <c r="Z87" i="17" l="1"/>
  <c r="AD87" i="17" s="1"/>
  <c r="AH87" i="17" s="1"/>
  <c r="X87" i="17"/>
  <c r="AO16" i="15"/>
  <c r="AS14" i="15"/>
  <c r="Z1457" i="3"/>
  <c r="AB1457" i="3" s="1"/>
  <c r="AF1463" i="3"/>
  <c r="AF1465" i="3" s="1"/>
  <c r="I93" i="17"/>
  <c r="M93" i="17" s="1"/>
  <c r="Q93" i="17" s="1"/>
  <c r="U93" i="17" s="1"/>
  <c r="AA93" i="17" s="1"/>
  <c r="AE93" i="17" s="1"/>
  <c r="AI93" i="17" s="1"/>
  <c r="AO93" i="17" s="1"/>
  <c r="AS93" i="17" s="1"/>
  <c r="AW93" i="17" s="1"/>
  <c r="BE93" i="17" s="1"/>
  <c r="I97" i="17"/>
  <c r="M97" i="17" s="1"/>
  <c r="Q97" i="17" s="1"/>
  <c r="U97" i="17" s="1"/>
  <c r="AA97" i="17" s="1"/>
  <c r="AE97" i="17" s="1"/>
  <c r="AI97" i="17" s="1"/>
  <c r="AO97" i="17" s="1"/>
  <c r="AS97" i="17" s="1"/>
  <c r="AW97" i="17" s="1"/>
  <c r="BE97" i="17" s="1"/>
  <c r="I101" i="17"/>
  <c r="M101" i="17" s="1"/>
  <c r="Q101" i="17" s="1"/>
  <c r="U101" i="17" s="1"/>
  <c r="AA101" i="17" s="1"/>
  <c r="AE101" i="17" s="1"/>
  <c r="AI101" i="17" s="1"/>
  <c r="AO101" i="17" s="1"/>
  <c r="AS101" i="17" s="1"/>
  <c r="AW101" i="17" s="1"/>
  <c r="BE101" i="17" s="1"/>
  <c r="I105" i="17"/>
  <c r="M105" i="17" s="1"/>
  <c r="Q105" i="17" s="1"/>
  <c r="U105" i="17" s="1"/>
  <c r="AA105" i="17" s="1"/>
  <c r="AE105" i="17" s="1"/>
  <c r="AI105" i="17" s="1"/>
  <c r="AO105" i="17" s="1"/>
  <c r="AS105" i="17" s="1"/>
  <c r="AW105" i="17" s="1"/>
  <c r="BE105" i="17" s="1"/>
  <c r="I91" i="17"/>
  <c r="M91" i="17" s="1"/>
  <c r="Q91" i="17" s="1"/>
  <c r="U91" i="17" s="1"/>
  <c r="AA91" i="17" s="1"/>
  <c r="AE91" i="17" s="1"/>
  <c r="AI91" i="17" s="1"/>
  <c r="AO91" i="17" s="1"/>
  <c r="AS91" i="17" s="1"/>
  <c r="AW91" i="17" s="1"/>
  <c r="BE91" i="17" s="1"/>
  <c r="I92" i="17"/>
  <c r="M92" i="17" s="1"/>
  <c r="Q92" i="17" s="1"/>
  <c r="U92" i="17" s="1"/>
  <c r="AA92" i="17" s="1"/>
  <c r="AE92" i="17" s="1"/>
  <c r="AI92" i="17" s="1"/>
  <c r="AO92" i="17" s="1"/>
  <c r="AS92" i="17" s="1"/>
  <c r="AW92" i="17" s="1"/>
  <c r="BE92" i="17" s="1"/>
  <c r="I96" i="17"/>
  <c r="M96" i="17" s="1"/>
  <c r="Q96" i="17" s="1"/>
  <c r="U96" i="17" s="1"/>
  <c r="AA96" i="17" s="1"/>
  <c r="AE96" i="17" s="1"/>
  <c r="AI96" i="17" s="1"/>
  <c r="AO96" i="17" s="1"/>
  <c r="AS96" i="17" s="1"/>
  <c r="AW96" i="17" s="1"/>
  <c r="BE96" i="17" s="1"/>
  <c r="I100" i="17"/>
  <c r="M100" i="17" s="1"/>
  <c r="Q100" i="17" s="1"/>
  <c r="U100" i="17" s="1"/>
  <c r="AA100" i="17" s="1"/>
  <c r="AE100" i="17" s="1"/>
  <c r="AI100" i="17" s="1"/>
  <c r="AO100" i="17" s="1"/>
  <c r="AS100" i="17" s="1"/>
  <c r="AW100" i="17" s="1"/>
  <c r="BE100" i="17" s="1"/>
  <c r="I104" i="17"/>
  <c r="M104" i="17" s="1"/>
  <c r="Q104" i="17" s="1"/>
  <c r="U104" i="17" s="1"/>
  <c r="AA104" i="17" s="1"/>
  <c r="AE104" i="17" s="1"/>
  <c r="AI104" i="17" s="1"/>
  <c r="AO104" i="17" s="1"/>
  <c r="AS104" i="17" s="1"/>
  <c r="AW104" i="17" s="1"/>
  <c r="BE104" i="17" s="1"/>
  <c r="I94" i="17"/>
  <c r="M94" i="17" s="1"/>
  <c r="Q94" i="17" s="1"/>
  <c r="U94" i="17" s="1"/>
  <c r="AA94" i="17" s="1"/>
  <c r="AE94" i="17" s="1"/>
  <c r="AI94" i="17" s="1"/>
  <c r="AO94" i="17" s="1"/>
  <c r="AS94" i="17" s="1"/>
  <c r="AW94" i="17" s="1"/>
  <c r="BE94" i="17" s="1"/>
  <c r="I102" i="17"/>
  <c r="M102" i="17" s="1"/>
  <c r="Q102" i="17" s="1"/>
  <c r="U102" i="17" s="1"/>
  <c r="AA102" i="17" s="1"/>
  <c r="AE102" i="17" s="1"/>
  <c r="AI102" i="17" s="1"/>
  <c r="AO102" i="17" s="1"/>
  <c r="AS102" i="17" s="1"/>
  <c r="AW102" i="17" s="1"/>
  <c r="BE102" i="17" s="1"/>
  <c r="I98" i="17"/>
  <c r="M98" i="17" s="1"/>
  <c r="Q98" i="17" s="1"/>
  <c r="U98" i="17" s="1"/>
  <c r="AA98" i="17" s="1"/>
  <c r="AE98" i="17" s="1"/>
  <c r="AI98" i="17" s="1"/>
  <c r="AO98" i="17" s="1"/>
  <c r="AS98" i="17" s="1"/>
  <c r="AW98" i="17" s="1"/>
  <c r="BE98" i="17" s="1"/>
  <c r="I106" i="17"/>
  <c r="M106" i="17" s="1"/>
  <c r="Q106" i="17" s="1"/>
  <c r="U106" i="17" s="1"/>
  <c r="AA106" i="17" s="1"/>
  <c r="AE106" i="17" s="1"/>
  <c r="AI106" i="17" s="1"/>
  <c r="AO106" i="17" s="1"/>
  <c r="AS106" i="17" s="1"/>
  <c r="AW106" i="17" s="1"/>
  <c r="BE106" i="17" s="1"/>
  <c r="I95" i="17"/>
  <c r="M95" i="17" s="1"/>
  <c r="Q95" i="17" s="1"/>
  <c r="U95" i="17" s="1"/>
  <c r="AA95" i="17" s="1"/>
  <c r="AE95" i="17" s="1"/>
  <c r="AI95" i="17" s="1"/>
  <c r="AO95" i="17" s="1"/>
  <c r="AS95" i="17" s="1"/>
  <c r="AW95" i="17" s="1"/>
  <c r="BE95" i="17" s="1"/>
  <c r="I99" i="17"/>
  <c r="M99" i="17" s="1"/>
  <c r="Q99" i="17" s="1"/>
  <c r="U99" i="17" s="1"/>
  <c r="AA99" i="17" s="1"/>
  <c r="AE99" i="17" s="1"/>
  <c r="AI99" i="17" s="1"/>
  <c r="AO99" i="17" s="1"/>
  <c r="AS99" i="17" s="1"/>
  <c r="AW99" i="17" s="1"/>
  <c r="BE99" i="17" s="1"/>
  <c r="I103" i="17"/>
  <c r="M103" i="17" s="1"/>
  <c r="Q103" i="17" s="1"/>
  <c r="U103" i="17" s="1"/>
  <c r="AA103" i="17" s="1"/>
  <c r="AE103" i="17" s="1"/>
  <c r="AI103" i="17" s="1"/>
  <c r="AO103" i="17" s="1"/>
  <c r="AS103" i="17" s="1"/>
  <c r="AW103" i="17" s="1"/>
  <c r="BE103" i="17" s="1"/>
  <c r="H590" i="3"/>
  <c r="J590" i="3" s="1"/>
  <c r="Q590" i="3" s="1"/>
  <c r="AW14" i="15" l="1"/>
  <c r="AS16" i="15"/>
  <c r="AN87" i="17"/>
  <c r="AR87" i="17" s="1"/>
  <c r="AV87" i="17" s="1"/>
  <c r="AL87" i="17"/>
  <c r="AF967" i="3"/>
  <c r="S590" i="3"/>
  <c r="L590" i="3"/>
  <c r="BD87" i="17" l="1"/>
  <c r="AZ87" i="17"/>
  <c r="BB87" i="17" s="1"/>
  <c r="AW16" i="15"/>
  <c r="BE14" i="15"/>
  <c r="BE16" i="15" s="1"/>
  <c r="BA14" i="15"/>
  <c r="AF1457" i="3"/>
  <c r="AF1462" i="3" s="1"/>
  <c r="U590" i="3"/>
  <c r="N590" i="3"/>
  <c r="H60" i="17"/>
  <c r="L60" i="17" s="1"/>
  <c r="P60" i="17" s="1"/>
  <c r="T60" i="17" s="1"/>
  <c r="Z60" i="17" s="1"/>
  <c r="AD60" i="17" s="1"/>
  <c r="AH60" i="17" s="1"/>
  <c r="AN60" i="17" s="1"/>
  <c r="AR60" i="17" s="1"/>
  <c r="AV60" i="17" s="1"/>
  <c r="BD60" i="17" l="1"/>
  <c r="BB60" i="17"/>
  <c r="BA16" i="15"/>
  <c r="BC14" i="15"/>
  <c r="BC16" i="15" s="1"/>
  <c r="X590" i="3"/>
  <c r="I60" i="17"/>
  <c r="M60" i="17" s="1"/>
  <c r="Q60" i="17" s="1"/>
  <c r="U60" i="17" s="1"/>
  <c r="AA60" i="17" s="1"/>
  <c r="AE60" i="17" s="1"/>
  <c r="AI60" i="17" s="1"/>
  <c r="AO60" i="17" s="1"/>
  <c r="AS60" i="17" s="1"/>
  <c r="AW60" i="17" s="1"/>
  <c r="BE60" i="17" s="1"/>
  <c r="E58" i="17"/>
  <c r="G58" i="17"/>
  <c r="G59" i="17" s="1"/>
  <c r="I57" i="17"/>
  <c r="M57" i="17" s="1"/>
  <c r="Q57" i="17" s="1"/>
  <c r="U57" i="17" s="1"/>
  <c r="AA57" i="17" s="1"/>
  <c r="AE57" i="17" s="1"/>
  <c r="AI57" i="17" s="1"/>
  <c r="AO57" i="17" s="1"/>
  <c r="AS57" i="17" s="1"/>
  <c r="AW57" i="17" s="1"/>
  <c r="BE57" i="17" s="1"/>
  <c r="I56" i="17"/>
  <c r="M56" i="17" s="1"/>
  <c r="Q56" i="17" s="1"/>
  <c r="U56" i="17" s="1"/>
  <c r="D50" i="17"/>
  <c r="D111" i="17" s="1"/>
  <c r="D115" i="17" s="1"/>
  <c r="D47" i="17"/>
  <c r="D45" i="17"/>
  <c r="D43" i="17"/>
  <c r="H26" i="17"/>
  <c r="H24" i="17"/>
  <c r="H23" i="17"/>
  <c r="G13" i="17"/>
  <c r="G12" i="17"/>
  <c r="G21" i="17"/>
  <c r="G15" i="17" s="1"/>
  <c r="I20" i="17"/>
  <c r="M20" i="17" s="1"/>
  <c r="Q20" i="17" s="1"/>
  <c r="U20" i="17" s="1"/>
  <c r="AA20" i="17" s="1"/>
  <c r="AE20" i="17" s="1"/>
  <c r="AI20" i="17" s="1"/>
  <c r="AO20" i="17" s="1"/>
  <c r="AS20" i="17" s="1"/>
  <c r="AW20" i="17" s="1"/>
  <c r="BE20" i="17" s="1"/>
  <c r="I19" i="17"/>
  <c r="M19" i="17" s="1"/>
  <c r="Q19" i="17" s="1"/>
  <c r="U19" i="17" s="1"/>
  <c r="AA19" i="17" s="1"/>
  <c r="AE19" i="17" s="1"/>
  <c r="AI19" i="17" s="1"/>
  <c r="AO19" i="17" s="1"/>
  <c r="AS19" i="17" s="1"/>
  <c r="AW19" i="17" s="1"/>
  <c r="BE19" i="17" s="1"/>
  <c r="I18" i="17"/>
  <c r="M18" i="17" s="1"/>
  <c r="Q18" i="17" s="1"/>
  <c r="U18" i="17" s="1"/>
  <c r="AA18" i="17" s="1"/>
  <c r="AE18" i="17" s="1"/>
  <c r="AI18" i="17" s="1"/>
  <c r="AO18" i="17" s="1"/>
  <c r="AS18" i="17" s="1"/>
  <c r="AW18" i="17" s="1"/>
  <c r="BE18" i="17" s="1"/>
  <c r="I17" i="17"/>
  <c r="M17" i="17" s="1"/>
  <c r="Q17" i="17" s="1"/>
  <c r="U17" i="17" s="1"/>
  <c r="H20" i="17"/>
  <c r="L20" i="17" s="1"/>
  <c r="P20" i="17" s="1"/>
  <c r="T20" i="17" s="1"/>
  <c r="Z20" i="17" s="1"/>
  <c r="AD20" i="17" s="1"/>
  <c r="AH20" i="17" s="1"/>
  <c r="AN20" i="17" s="1"/>
  <c r="AR20" i="17" s="1"/>
  <c r="AV20" i="17" s="1"/>
  <c r="E21" i="17"/>
  <c r="E15" i="17" s="1"/>
  <c r="H9" i="17"/>
  <c r="H7" i="17"/>
  <c r="L7" i="17" s="1"/>
  <c r="P7" i="17" s="1"/>
  <c r="T7" i="17" s="1"/>
  <c r="I2" i="17"/>
  <c r="H2" i="17"/>
  <c r="H89" i="17" l="1"/>
  <c r="BD20" i="17"/>
  <c r="BB20" i="17"/>
  <c r="L26" i="17"/>
  <c r="Z7" i="17"/>
  <c r="AA17" i="17"/>
  <c r="U21" i="17"/>
  <c r="L24" i="17"/>
  <c r="AA56" i="17"/>
  <c r="U58" i="17"/>
  <c r="L23" i="17"/>
  <c r="G30" i="17"/>
  <c r="G33" i="17"/>
  <c r="G29" i="17"/>
  <c r="G32" i="17"/>
  <c r="G31" i="17"/>
  <c r="E59" i="17"/>
  <c r="E31" i="17"/>
  <c r="E30" i="17"/>
  <c r="E33" i="17"/>
  <c r="E32" i="17"/>
  <c r="I73" i="17"/>
  <c r="I65" i="17"/>
  <c r="I70" i="17"/>
  <c r="I80" i="17"/>
  <c r="I76" i="17"/>
  <c r="I72" i="17"/>
  <c r="I64" i="17"/>
  <c r="I67" i="17"/>
  <c r="I79" i="17"/>
  <c r="I75" i="17"/>
  <c r="I71" i="17"/>
  <c r="I82" i="17"/>
  <c r="I74" i="17"/>
  <c r="I40" i="17"/>
  <c r="I52" i="17"/>
  <c r="I42" i="17"/>
  <c r="I84" i="17"/>
  <c r="I85" i="17"/>
  <c r="I38" i="17"/>
  <c r="I48" i="17"/>
  <c r="I46" i="17"/>
  <c r="I83" i="17"/>
  <c r="L2" i="17"/>
  <c r="P2" i="17" s="1"/>
  <c r="T2" i="17" s="1"/>
  <c r="Z2" i="17" s="1"/>
  <c r="H71" i="17"/>
  <c r="I23" i="17"/>
  <c r="I25" i="17"/>
  <c r="L9" i="17"/>
  <c r="H13" i="17"/>
  <c r="N1070" i="3"/>
  <c r="Q1070" i="3"/>
  <c r="Z590" i="3"/>
  <c r="AB590" i="3" s="1"/>
  <c r="I24" i="17"/>
  <c r="H56" i="17"/>
  <c r="L56" i="17" s="1"/>
  <c r="P56" i="17" s="1"/>
  <c r="T56" i="17" s="1"/>
  <c r="D49" i="17"/>
  <c r="Q21" i="17"/>
  <c r="Q58" i="17"/>
  <c r="Q61" i="17" s="1"/>
  <c r="M2" i="17"/>
  <c r="M21" i="17"/>
  <c r="M58" i="17"/>
  <c r="I21" i="17"/>
  <c r="I26" i="17"/>
  <c r="H76" i="17"/>
  <c r="H72" i="17"/>
  <c r="H75" i="17"/>
  <c r="H70" i="17"/>
  <c r="H80" i="17"/>
  <c r="H74" i="17"/>
  <c r="H65" i="17"/>
  <c r="H79" i="17"/>
  <c r="H73" i="17"/>
  <c r="H64" i="17"/>
  <c r="H47" i="17"/>
  <c r="H57" i="17"/>
  <c r="D58" i="17"/>
  <c r="D61" i="17" s="1"/>
  <c r="H45" i="17"/>
  <c r="H46" i="17" s="1"/>
  <c r="H82" i="17"/>
  <c r="H85" i="17"/>
  <c r="H84" i="17"/>
  <c r="L84" i="17" s="1"/>
  <c r="P84" i="17" s="1"/>
  <c r="T84" i="17" s="1"/>
  <c r="H83" i="17"/>
  <c r="H12" i="17"/>
  <c r="H43" i="17"/>
  <c r="J48" i="11"/>
  <c r="N48" i="11" s="1"/>
  <c r="H51" i="17"/>
  <c r="H52" i="17" s="1"/>
  <c r="D54" i="17"/>
  <c r="I58" i="17"/>
  <c r="I61" i="17" s="1"/>
  <c r="G61" i="17"/>
  <c r="E61" i="17"/>
  <c r="E43" i="17"/>
  <c r="G112" i="17"/>
  <c r="H8" i="17"/>
  <c r="L8" i="17" s="1"/>
  <c r="P8" i="17" s="1"/>
  <c r="T8" i="17" s="1"/>
  <c r="E112" i="17"/>
  <c r="G43" i="17"/>
  <c r="G49" i="17" s="1"/>
  <c r="G53" i="17" s="1"/>
  <c r="G11" i="17"/>
  <c r="I9" i="17"/>
  <c r="E29" i="17"/>
  <c r="I15" i="17"/>
  <c r="I29" i="17" s="1"/>
  <c r="H15" i="17"/>
  <c r="I7" i="17"/>
  <c r="M7" i="17" s="1"/>
  <c r="Q7" i="17" s="1"/>
  <c r="U7" i="17" s="1"/>
  <c r="E13" i="17"/>
  <c r="H25" i="17"/>
  <c r="E11" i="17"/>
  <c r="I8" i="17"/>
  <c r="M8" i="17" s="1"/>
  <c r="Q8" i="17" s="1"/>
  <c r="U8" i="17" s="1"/>
  <c r="E10" i="17"/>
  <c r="G10" i="17"/>
  <c r="AA8" i="17" l="1"/>
  <c r="U112" i="17"/>
  <c r="Z8" i="17"/>
  <c r="L43" i="17"/>
  <c r="H49" i="17"/>
  <c r="H53" i="17" s="1"/>
  <c r="Z56" i="17"/>
  <c r="P23" i="17"/>
  <c r="P24" i="17"/>
  <c r="E44" i="17"/>
  <c r="E49" i="17"/>
  <c r="E53" i="17" s="1"/>
  <c r="U61" i="17"/>
  <c r="AD7" i="17"/>
  <c r="L47" i="17"/>
  <c r="L48" i="17" s="1"/>
  <c r="H48" i="17"/>
  <c r="AD2" i="17"/>
  <c r="AE56" i="17"/>
  <c r="AA58" i="17"/>
  <c r="AE17" i="17"/>
  <c r="AA21" i="17"/>
  <c r="L25" i="17"/>
  <c r="AA7" i="17"/>
  <c r="X84" i="17"/>
  <c r="Z84" i="17"/>
  <c r="AD84" i="17" s="1"/>
  <c r="AH84" i="17" s="1"/>
  <c r="P26" i="17"/>
  <c r="M71" i="17"/>
  <c r="M64" i="17"/>
  <c r="I66" i="17"/>
  <c r="I68" i="17" s="1"/>
  <c r="M70" i="17"/>
  <c r="I77" i="17"/>
  <c r="I32" i="17"/>
  <c r="M83" i="17"/>
  <c r="M85" i="17"/>
  <c r="I86" i="17"/>
  <c r="M75" i="17"/>
  <c r="M72" i="17"/>
  <c r="M65" i="17"/>
  <c r="I89" i="17"/>
  <c r="M89" i="17" s="1"/>
  <c r="Q89" i="17" s="1"/>
  <c r="U89" i="17" s="1"/>
  <c r="AA89" i="17" s="1"/>
  <c r="I33" i="17"/>
  <c r="M40" i="17"/>
  <c r="M38" i="17"/>
  <c r="M48" i="17"/>
  <c r="M52" i="17"/>
  <c r="M46" i="17"/>
  <c r="M42" i="17"/>
  <c r="I30" i="17"/>
  <c r="M84" i="17"/>
  <c r="M74" i="17"/>
  <c r="M79" i="17"/>
  <c r="I81" i="17"/>
  <c r="M76" i="17"/>
  <c r="M73" i="17"/>
  <c r="I34" i="17"/>
  <c r="G110" i="17"/>
  <c r="G114" i="17" s="1"/>
  <c r="G44" i="17"/>
  <c r="I31" i="17"/>
  <c r="M82" i="17"/>
  <c r="M67" i="17"/>
  <c r="M80" i="17"/>
  <c r="R48" i="11"/>
  <c r="V48" i="11" s="1"/>
  <c r="E50" i="17"/>
  <c r="I43" i="17"/>
  <c r="I49" i="17" s="1"/>
  <c r="I53" i="17" s="1"/>
  <c r="M25" i="17"/>
  <c r="M26" i="17"/>
  <c r="M24" i="17"/>
  <c r="M23" i="17"/>
  <c r="L85" i="17"/>
  <c r="P85" i="17" s="1"/>
  <c r="T85" i="17" s="1"/>
  <c r="L73" i="17"/>
  <c r="P73" i="17" s="1"/>
  <c r="T73" i="17" s="1"/>
  <c r="Z73" i="17" s="1"/>
  <c r="AD73" i="17" s="1"/>
  <c r="AH73" i="17" s="1"/>
  <c r="AN73" i="17" s="1"/>
  <c r="AR73" i="17" s="1"/>
  <c r="L80" i="17"/>
  <c r="P80" i="17" s="1"/>
  <c r="T80" i="17" s="1"/>
  <c r="L76" i="17"/>
  <c r="P76" i="17" s="1"/>
  <c r="T76" i="17" s="1"/>
  <c r="Z76" i="17" s="1"/>
  <c r="AD76" i="17" s="1"/>
  <c r="AH76" i="17" s="1"/>
  <c r="AN76" i="17" s="1"/>
  <c r="AR76" i="17" s="1"/>
  <c r="L82" i="17"/>
  <c r="P82" i="17" s="1"/>
  <c r="T82" i="17" s="1"/>
  <c r="L79" i="17"/>
  <c r="P79" i="17" s="1"/>
  <c r="T79" i="17" s="1"/>
  <c r="L83" i="17"/>
  <c r="P83" i="17" s="1"/>
  <c r="T83" i="17" s="1"/>
  <c r="L65" i="17"/>
  <c r="P65" i="17" s="1"/>
  <c r="T65" i="17" s="1"/>
  <c r="Z65" i="17" s="1"/>
  <c r="AD65" i="17" s="1"/>
  <c r="L70" i="17"/>
  <c r="P70" i="17" s="1"/>
  <c r="T70" i="17" s="1"/>
  <c r="L75" i="17"/>
  <c r="P75" i="17" s="1"/>
  <c r="T75" i="17" s="1"/>
  <c r="Z75" i="17" s="1"/>
  <c r="AD75" i="17" s="1"/>
  <c r="AH75" i="17" s="1"/>
  <c r="AN75" i="17" s="1"/>
  <c r="AR75" i="17" s="1"/>
  <c r="L64" i="17"/>
  <c r="P64" i="17" s="1"/>
  <c r="T64" i="17" s="1"/>
  <c r="L74" i="17"/>
  <c r="P74" i="17" s="1"/>
  <c r="T74" i="17" s="1"/>
  <c r="Z74" i="17" s="1"/>
  <c r="AD74" i="17" s="1"/>
  <c r="AH74" i="17" s="1"/>
  <c r="AN74" i="17" s="1"/>
  <c r="AR74" i="17" s="1"/>
  <c r="L72" i="17"/>
  <c r="P72" i="17" s="1"/>
  <c r="T72" i="17" s="1"/>
  <c r="Z72" i="17" s="1"/>
  <c r="AD72" i="17" s="1"/>
  <c r="AH72" i="17" s="1"/>
  <c r="AN72" i="17" s="1"/>
  <c r="AR72" i="17" s="1"/>
  <c r="L71" i="17"/>
  <c r="P71" i="17" s="1"/>
  <c r="T71" i="17" s="1"/>
  <c r="Z71" i="17" s="1"/>
  <c r="AD71" i="17" s="1"/>
  <c r="AH71" i="17" s="1"/>
  <c r="AN71" i="17" s="1"/>
  <c r="AR71" i="17" s="1"/>
  <c r="D53" i="17"/>
  <c r="D110" i="17"/>
  <c r="D114" i="17" s="1"/>
  <c r="S1070" i="3"/>
  <c r="P9" i="17"/>
  <c r="L13" i="17"/>
  <c r="H18" i="17"/>
  <c r="L18" i="17" s="1"/>
  <c r="P18" i="17" s="1"/>
  <c r="T18" i="17" s="1"/>
  <c r="Z18" i="17" s="1"/>
  <c r="AD18" i="17" s="1"/>
  <c r="AH18" i="17" s="1"/>
  <c r="AN18" i="17" s="1"/>
  <c r="AR18" i="17" s="1"/>
  <c r="H17" i="17"/>
  <c r="L17" i="17" s="1"/>
  <c r="P17" i="17" s="1"/>
  <c r="T17" i="17" s="1"/>
  <c r="H44" i="17"/>
  <c r="D59" i="17"/>
  <c r="Q2" i="17"/>
  <c r="U2" i="17" s="1"/>
  <c r="U12" i="17" s="1"/>
  <c r="P47" i="17"/>
  <c r="H81" i="17"/>
  <c r="H77" i="17"/>
  <c r="H14" i="17"/>
  <c r="L12" i="17"/>
  <c r="M15" i="17"/>
  <c r="M29" i="17" s="1"/>
  <c r="H29" i="17"/>
  <c r="L15" i="17"/>
  <c r="M12" i="17"/>
  <c r="M11" i="17"/>
  <c r="L45" i="17"/>
  <c r="L46" i="17" s="1"/>
  <c r="H113" i="17"/>
  <c r="L51" i="17"/>
  <c r="L52" i="17" s="1"/>
  <c r="H58" i="17"/>
  <c r="H61" i="17" s="1"/>
  <c r="L57" i="17"/>
  <c r="L10" i="17"/>
  <c r="M61" i="17"/>
  <c r="M59" i="17"/>
  <c r="I13" i="17"/>
  <c r="M9" i="17"/>
  <c r="L44" i="17"/>
  <c r="I59" i="17"/>
  <c r="H110" i="17"/>
  <c r="H66" i="17"/>
  <c r="H68" i="17" s="1"/>
  <c r="I11" i="17"/>
  <c r="G14" i="17"/>
  <c r="I12" i="17"/>
  <c r="H10" i="17"/>
  <c r="H112" i="17"/>
  <c r="E14" i="17"/>
  <c r="I10" i="17"/>
  <c r="E49" i="11"/>
  <c r="E44" i="11"/>
  <c r="I45" i="11"/>
  <c r="M45" i="11" s="1"/>
  <c r="I43" i="11"/>
  <c r="M43" i="11" s="1"/>
  <c r="E41" i="11"/>
  <c r="E42" i="11" s="1"/>
  <c r="J2" i="11"/>
  <c r="I2" i="11"/>
  <c r="I23" i="11"/>
  <c r="I21" i="11"/>
  <c r="I11" i="11"/>
  <c r="N930" i="3"/>
  <c r="I5" i="11"/>
  <c r="H22" i="36" s="1"/>
  <c r="E109" i="10"/>
  <c r="E104" i="10"/>
  <c r="I105" i="10"/>
  <c r="M105" i="10" s="1"/>
  <c r="I103" i="10"/>
  <c r="E101" i="10"/>
  <c r="E102" i="10" s="1"/>
  <c r="J2" i="10"/>
  <c r="I2" i="10"/>
  <c r="G97" i="10"/>
  <c r="E97" i="10"/>
  <c r="C821" i="3"/>
  <c r="AV75" i="17" l="1"/>
  <c r="BD75" i="17" s="1"/>
  <c r="AV73" i="17"/>
  <c r="BD73" i="17" s="1"/>
  <c r="AV72" i="17"/>
  <c r="BD72" i="17" s="1"/>
  <c r="AV74" i="17"/>
  <c r="BD74" i="17" s="1"/>
  <c r="AV76" i="17"/>
  <c r="BD76" i="17" s="1"/>
  <c r="T21" i="17"/>
  <c r="Z17" i="17"/>
  <c r="Z70" i="17"/>
  <c r="T77" i="17"/>
  <c r="Z82" i="17"/>
  <c r="AD82" i="17" s="1"/>
  <c r="AH82" i="17" s="1"/>
  <c r="X82" i="17"/>
  <c r="Z85" i="17"/>
  <c r="AD85" i="17" s="1"/>
  <c r="AH85" i="17" s="1"/>
  <c r="X85" i="17"/>
  <c r="AN84" i="17"/>
  <c r="AR84" i="17" s="1"/>
  <c r="AV84" i="17" s="1"/>
  <c r="AL84" i="17"/>
  <c r="AE7" i="17"/>
  <c r="AI17" i="17"/>
  <c r="AE21" i="17"/>
  <c r="T24" i="17"/>
  <c r="AD8" i="17"/>
  <c r="AV18" i="17"/>
  <c r="AH65" i="17"/>
  <c r="AA61" i="17"/>
  <c r="AH7" i="17"/>
  <c r="AA2" i="17"/>
  <c r="AA59" i="17" s="1"/>
  <c r="U40" i="17"/>
  <c r="U38" i="17"/>
  <c r="U48" i="17"/>
  <c r="U52" i="17"/>
  <c r="U113" i="17" s="1"/>
  <c r="U42" i="17"/>
  <c r="U46" i="17"/>
  <c r="T66" i="17"/>
  <c r="T68" i="17" s="1"/>
  <c r="Z64" i="17"/>
  <c r="X83" i="17"/>
  <c r="Z83" i="17"/>
  <c r="AD83" i="17" s="1"/>
  <c r="AH83" i="17" s="1"/>
  <c r="X80" i="17"/>
  <c r="Z80" i="17"/>
  <c r="AD80" i="17" s="1"/>
  <c r="P25" i="17"/>
  <c r="AI56" i="17"/>
  <c r="AE58" i="17"/>
  <c r="U59" i="17"/>
  <c r="T23" i="17"/>
  <c r="P43" i="17"/>
  <c r="L49" i="17"/>
  <c r="L53" i="17" s="1"/>
  <c r="P48" i="17"/>
  <c r="T47" i="17"/>
  <c r="P10" i="17"/>
  <c r="T9" i="17"/>
  <c r="AV71" i="17"/>
  <c r="BD71" i="17" s="1"/>
  <c r="X79" i="17"/>
  <c r="Z79" i="17"/>
  <c r="T81" i="17"/>
  <c r="T26" i="17"/>
  <c r="U11" i="17"/>
  <c r="AH2" i="17"/>
  <c r="AD56" i="17"/>
  <c r="AE8" i="17"/>
  <c r="AA112" i="17"/>
  <c r="AB48" i="11"/>
  <c r="AF48" i="11" s="1"/>
  <c r="AJ48" i="11" s="1"/>
  <c r="M31" i="17"/>
  <c r="Q82" i="17"/>
  <c r="U82" i="17" s="1"/>
  <c r="M34" i="17"/>
  <c r="Q79" i="17"/>
  <c r="U79" i="17" s="1"/>
  <c r="M81" i="17"/>
  <c r="Q65" i="17"/>
  <c r="U65" i="17" s="1"/>
  <c r="Q85" i="17"/>
  <c r="U85" i="17" s="1"/>
  <c r="Q70" i="17"/>
  <c r="U70" i="17" s="1"/>
  <c r="M77" i="17"/>
  <c r="M33" i="17"/>
  <c r="Q73" i="17"/>
  <c r="U73" i="17" s="1"/>
  <c r="AA73" i="17" s="1"/>
  <c r="Q74" i="17"/>
  <c r="U74" i="17" s="1"/>
  <c r="AA74" i="17" s="1"/>
  <c r="Q72" i="17"/>
  <c r="U72" i="17" s="1"/>
  <c r="AA72" i="17" s="1"/>
  <c r="Q83" i="17"/>
  <c r="U83" i="17" s="1"/>
  <c r="AA83" i="17" s="1"/>
  <c r="M32" i="17"/>
  <c r="Q80" i="17"/>
  <c r="U80" i="17" s="1"/>
  <c r="AA80" i="17" s="1"/>
  <c r="Q76" i="17"/>
  <c r="U76" i="17" s="1"/>
  <c r="AA76" i="17" s="1"/>
  <c r="Q84" i="17"/>
  <c r="U84" i="17" s="1"/>
  <c r="AA84" i="17" s="1"/>
  <c r="Q75" i="17"/>
  <c r="U75" i="17" s="1"/>
  <c r="AA75" i="17" s="1"/>
  <c r="Q64" i="17"/>
  <c r="M66" i="17"/>
  <c r="M68" i="17" s="1"/>
  <c r="Q59" i="17"/>
  <c r="Q38" i="17"/>
  <c r="Q48" i="17"/>
  <c r="Q40" i="17"/>
  <c r="Q42" i="17"/>
  <c r="Q46" i="17"/>
  <c r="Q52" i="17"/>
  <c r="M30" i="17"/>
  <c r="Q67" i="17"/>
  <c r="U67" i="17" s="1"/>
  <c r="AA67" i="17" s="1"/>
  <c r="G54" i="17"/>
  <c r="G50" i="17"/>
  <c r="M86" i="17"/>
  <c r="Q86" i="17" s="1"/>
  <c r="Q71" i="17"/>
  <c r="U71" i="17" s="1"/>
  <c r="AA71" i="17" s="1"/>
  <c r="Q43" i="11"/>
  <c r="U43" i="11" s="1"/>
  <c r="I52" i="11"/>
  <c r="I50" i="11"/>
  <c r="I51" i="11"/>
  <c r="Q45" i="11"/>
  <c r="U45" i="11" s="1"/>
  <c r="M44" i="11"/>
  <c r="M46" i="11"/>
  <c r="M53" i="11"/>
  <c r="N2" i="11"/>
  <c r="R2" i="11" s="1"/>
  <c r="V2" i="11" s="1"/>
  <c r="AB2" i="11" s="1"/>
  <c r="J52" i="11"/>
  <c r="J51" i="11"/>
  <c r="J50" i="11"/>
  <c r="M43" i="17"/>
  <c r="M49" i="17" s="1"/>
  <c r="M53" i="17" s="1"/>
  <c r="I44" i="17"/>
  <c r="E110" i="17"/>
  <c r="E114" i="17" s="1"/>
  <c r="M5" i="11"/>
  <c r="L22" i="36" s="1"/>
  <c r="M103" i="10"/>
  <c r="M106" i="10" s="1"/>
  <c r="I111" i="10"/>
  <c r="I112" i="10"/>
  <c r="I110" i="10"/>
  <c r="M113" i="10"/>
  <c r="N2" i="10"/>
  <c r="R2" i="10" s="1"/>
  <c r="V2" i="10" s="1"/>
  <c r="AB2" i="10" s="1"/>
  <c r="AF2" i="10" s="1"/>
  <c r="AJ2" i="10" s="1"/>
  <c r="AP2" i="10" s="1"/>
  <c r="AT2" i="10" s="1"/>
  <c r="AX2" i="10" s="1"/>
  <c r="BF2" i="10" s="1"/>
  <c r="J112" i="10"/>
  <c r="J111" i="10"/>
  <c r="J110" i="10"/>
  <c r="Q23" i="17"/>
  <c r="U23" i="17" s="1"/>
  <c r="AA23" i="17" s="1"/>
  <c r="AE23" i="17" s="1"/>
  <c r="Q26" i="17"/>
  <c r="U26" i="17" s="1"/>
  <c r="AA26" i="17" s="1"/>
  <c r="AE26" i="17" s="1"/>
  <c r="Q24" i="17"/>
  <c r="U24" i="17" s="1"/>
  <c r="AA24" i="17" s="1"/>
  <c r="AE24" i="17" s="1"/>
  <c r="Q25" i="17"/>
  <c r="U25" i="17" s="1"/>
  <c r="AA25" i="17" s="1"/>
  <c r="AE25" i="17" s="1"/>
  <c r="L81" i="17"/>
  <c r="P81" i="17"/>
  <c r="L66" i="17"/>
  <c r="L68" i="17" s="1"/>
  <c r="P66" i="17"/>
  <c r="P68" i="17" s="1"/>
  <c r="L77" i="17"/>
  <c r="P77" i="17"/>
  <c r="I37" i="11"/>
  <c r="U1070" i="3"/>
  <c r="P13" i="17"/>
  <c r="Q930" i="3"/>
  <c r="H21" i="17"/>
  <c r="M11" i="11"/>
  <c r="Q11" i="11" s="1"/>
  <c r="U11" i="11" s="1"/>
  <c r="AA11" i="11" s="1"/>
  <c r="M21" i="11"/>
  <c r="Q21" i="11" s="1"/>
  <c r="U21" i="11" s="1"/>
  <c r="AA21" i="11" s="1"/>
  <c r="M23" i="11"/>
  <c r="Q23" i="11" s="1"/>
  <c r="U23" i="11" s="1"/>
  <c r="AA23" i="11" s="1"/>
  <c r="P21" i="17"/>
  <c r="P31" i="17" s="1"/>
  <c r="L21" i="17"/>
  <c r="AF590" i="3"/>
  <c r="I41" i="11"/>
  <c r="M41" i="11" s="1"/>
  <c r="Q41" i="11" s="1"/>
  <c r="U41" i="11" s="1"/>
  <c r="AA41" i="11" s="1"/>
  <c r="AE41" i="11" s="1"/>
  <c r="AI41" i="11" s="1"/>
  <c r="Q12" i="17"/>
  <c r="Q11" i="17"/>
  <c r="F94" i="10"/>
  <c r="F126" i="10" s="1"/>
  <c r="H94" i="10"/>
  <c r="H126" i="10" s="1"/>
  <c r="H59" i="17"/>
  <c r="M2" i="11"/>
  <c r="Q2" i="11" s="1"/>
  <c r="U2" i="11" s="1"/>
  <c r="AA2" i="11" s="1"/>
  <c r="AE2" i="11" s="1"/>
  <c r="AI2" i="11" s="1"/>
  <c r="AO2" i="11" s="1"/>
  <c r="AS2" i="11" s="1"/>
  <c r="AW2" i="11" s="1"/>
  <c r="BE2" i="11" s="1"/>
  <c r="Q15" i="17"/>
  <c r="U15" i="17" s="1"/>
  <c r="I47" i="11"/>
  <c r="L29" i="17"/>
  <c r="P15" i="17"/>
  <c r="T15" i="17" s="1"/>
  <c r="L14" i="17"/>
  <c r="P12" i="17"/>
  <c r="T12" i="17" s="1"/>
  <c r="H106" i="10"/>
  <c r="F106" i="10"/>
  <c r="H46" i="11"/>
  <c r="I106" i="10"/>
  <c r="I46" i="11"/>
  <c r="F46" i="11"/>
  <c r="I108" i="10"/>
  <c r="I101" i="10"/>
  <c r="M2" i="10"/>
  <c r="Q2" i="10" s="1"/>
  <c r="U2" i="10" s="1"/>
  <c r="AA2" i="10" s="1"/>
  <c r="AE2" i="10" s="1"/>
  <c r="AI2" i="10" s="1"/>
  <c r="AO2" i="10" s="1"/>
  <c r="AS2" i="10" s="1"/>
  <c r="AW2" i="10" s="1"/>
  <c r="BE2" i="10" s="1"/>
  <c r="H50" i="17"/>
  <c r="H111" i="17" s="1"/>
  <c r="H115" i="17" s="1"/>
  <c r="M13" i="17"/>
  <c r="M14" i="17" s="1"/>
  <c r="Q9" i="17"/>
  <c r="U9" i="17" s="1"/>
  <c r="L58" i="17"/>
  <c r="L59" i="17" s="1"/>
  <c r="P57" i="17"/>
  <c r="T57" i="17" s="1"/>
  <c r="L113" i="17"/>
  <c r="P51" i="17"/>
  <c r="L50" i="17"/>
  <c r="P45" i="17"/>
  <c r="L112" i="17"/>
  <c r="M10" i="17"/>
  <c r="E37" i="11"/>
  <c r="E53" i="11"/>
  <c r="E113" i="10"/>
  <c r="I14" i="17"/>
  <c r="F34" i="11"/>
  <c r="H114" i="17"/>
  <c r="J8" i="11"/>
  <c r="F49" i="11"/>
  <c r="I48" i="11"/>
  <c r="M48" i="11" s="1"/>
  <c r="H49" i="11"/>
  <c r="I44" i="11"/>
  <c r="J7" i="10"/>
  <c r="J98" i="10" s="1"/>
  <c r="I104" i="10"/>
  <c r="J5" i="11"/>
  <c r="I22" i="36" s="1"/>
  <c r="AZ84" i="17" l="1"/>
  <c r="BB84" i="17" s="1"/>
  <c r="BD84" i="17"/>
  <c r="BD18" i="17"/>
  <c r="BB18" i="17"/>
  <c r="AA65" i="17"/>
  <c r="AA82" i="17"/>
  <c r="AA12" i="17"/>
  <c r="P46" i="17"/>
  <c r="T45" i="17"/>
  <c r="Z57" i="17"/>
  <c r="T58" i="17"/>
  <c r="T29" i="17"/>
  <c r="Z15" i="17"/>
  <c r="L31" i="17"/>
  <c r="L33" i="17"/>
  <c r="L30" i="17"/>
  <c r="AI25" i="17"/>
  <c r="U86" i="17"/>
  <c r="AA85" i="17"/>
  <c r="AH56" i="17"/>
  <c r="T33" i="17"/>
  <c r="Z26" i="17"/>
  <c r="X81" i="17"/>
  <c r="P49" i="17"/>
  <c r="P53" i="17" s="1"/>
  <c r="T43" i="17"/>
  <c r="P44" i="17"/>
  <c r="AE61" i="17"/>
  <c r="AH80" i="17"/>
  <c r="AD64" i="17"/>
  <c r="Z66" i="17"/>
  <c r="Z68" i="17" s="1"/>
  <c r="AE2" i="17"/>
  <c r="AE11" i="17" s="1"/>
  <c r="AA48" i="17"/>
  <c r="AA40" i="17"/>
  <c r="AA38" i="17"/>
  <c r="AA46" i="17"/>
  <c r="AA42" i="17"/>
  <c r="AA52" i="17"/>
  <c r="AA113" i="17" s="1"/>
  <c r="AN7" i="17"/>
  <c r="AI7" i="17"/>
  <c r="AL85" i="17"/>
  <c r="AN85" i="17"/>
  <c r="AR85" i="17" s="1"/>
  <c r="AV85" i="17" s="1"/>
  <c r="Z77" i="17"/>
  <c r="AD70" i="17"/>
  <c r="H31" i="17"/>
  <c r="H30" i="17"/>
  <c r="H33" i="17"/>
  <c r="H32" i="17"/>
  <c r="AI24" i="17"/>
  <c r="AE71" i="17"/>
  <c r="AE83" i="17"/>
  <c r="AE65" i="17"/>
  <c r="AE82" i="17"/>
  <c r="AN2" i="17"/>
  <c r="AN65" i="17" s="1"/>
  <c r="AR65" i="17" s="1"/>
  <c r="P33" i="17"/>
  <c r="T48" i="17"/>
  <c r="Z47" i="17"/>
  <c r="P30" i="17"/>
  <c r="AO56" i="17"/>
  <c r="AI58" i="17"/>
  <c r="AH8" i="17"/>
  <c r="AO17" i="17"/>
  <c r="AI21" i="17"/>
  <c r="Z21" i="17"/>
  <c r="AD17" i="17"/>
  <c r="P52" i="17"/>
  <c r="T51" i="17"/>
  <c r="U13" i="17"/>
  <c r="AA9" i="17"/>
  <c r="U10" i="17"/>
  <c r="Z12" i="17"/>
  <c r="AO41" i="11"/>
  <c r="AS41" i="11" s="1"/>
  <c r="AW41" i="11" s="1"/>
  <c r="BE41" i="11" s="1"/>
  <c r="AI26" i="17"/>
  <c r="AE76" i="17"/>
  <c r="AE72" i="17"/>
  <c r="AI8" i="17"/>
  <c r="AE112" i="17"/>
  <c r="AE12" i="17"/>
  <c r="T30" i="17"/>
  <c r="Z23" i="17"/>
  <c r="L32" i="17"/>
  <c r="AL83" i="17"/>
  <c r="AN83" i="17"/>
  <c r="AR83" i="17" s="1"/>
  <c r="AV83" i="17" s="1"/>
  <c r="AN82" i="17"/>
  <c r="AR82" i="17" s="1"/>
  <c r="AV82" i="17" s="1"/>
  <c r="AL82" i="17"/>
  <c r="AI23" i="17"/>
  <c r="Q66" i="17"/>
  <c r="U64" i="17"/>
  <c r="U66" i="17" s="1"/>
  <c r="U68" i="17" s="1"/>
  <c r="AE80" i="17"/>
  <c r="AE74" i="17"/>
  <c r="AA70" i="17"/>
  <c r="U77" i="17"/>
  <c r="AA79" i="17"/>
  <c r="U81" i="17"/>
  <c r="U14" i="17"/>
  <c r="Z81" i="17"/>
  <c r="AD79" i="17"/>
  <c r="AH79" i="17" s="1"/>
  <c r="T13" i="17"/>
  <c r="T14" i="17" s="1"/>
  <c r="Z9" i="17"/>
  <c r="T10" i="17"/>
  <c r="T25" i="17"/>
  <c r="P32" i="17"/>
  <c r="AE89" i="17"/>
  <c r="Z24" i="17"/>
  <c r="T31" i="17"/>
  <c r="AA11" i="17"/>
  <c r="AP48" i="11"/>
  <c r="AF2" i="11"/>
  <c r="AJ2" i="11" s="1"/>
  <c r="AP2" i="11" s="1"/>
  <c r="AT2" i="11" s="1"/>
  <c r="AX2" i="11" s="1"/>
  <c r="BF2" i="11" s="1"/>
  <c r="N52" i="11"/>
  <c r="R52" i="11" s="1"/>
  <c r="V52" i="11" s="1"/>
  <c r="AB52" i="11" s="1"/>
  <c r="J63" i="11"/>
  <c r="N7" i="10"/>
  <c r="N98" i="10" s="1"/>
  <c r="U29" i="17"/>
  <c r="AA15" i="17"/>
  <c r="AE15" i="17" s="1"/>
  <c r="AE32" i="17" s="1"/>
  <c r="U33" i="17"/>
  <c r="U31" i="17"/>
  <c r="U30" i="17"/>
  <c r="U32" i="17"/>
  <c r="E54" i="17"/>
  <c r="Y53" i="11"/>
  <c r="AA45" i="11"/>
  <c r="U53" i="11"/>
  <c r="AA43" i="11"/>
  <c r="AE43" i="11" s="1"/>
  <c r="U46" i="11"/>
  <c r="U44" i="11"/>
  <c r="U42" i="11"/>
  <c r="H130" i="10"/>
  <c r="H128" i="10"/>
  <c r="Q29" i="17"/>
  <c r="Q31" i="17"/>
  <c r="Q77" i="17"/>
  <c r="Q81" i="17"/>
  <c r="Q33" i="17"/>
  <c r="Q34" i="17"/>
  <c r="U34" i="17" s="1"/>
  <c r="Q30" i="17"/>
  <c r="Q68" i="17"/>
  <c r="Q32" i="17"/>
  <c r="F66" i="11"/>
  <c r="F70" i="11" s="1"/>
  <c r="F128" i="10"/>
  <c r="F130" i="10"/>
  <c r="J58" i="11"/>
  <c r="M47" i="11"/>
  <c r="N111" i="10"/>
  <c r="R111" i="10" s="1"/>
  <c r="V111" i="10" s="1"/>
  <c r="AB111" i="10" s="1"/>
  <c r="AF111" i="10" s="1"/>
  <c r="AJ111" i="10" s="1"/>
  <c r="AP111" i="10" s="1"/>
  <c r="AT111" i="10" s="1"/>
  <c r="AX111" i="10" s="1"/>
  <c r="BF111" i="10" s="1"/>
  <c r="N112" i="10"/>
  <c r="R112" i="10" s="1"/>
  <c r="V112" i="10" s="1"/>
  <c r="AB112" i="10" s="1"/>
  <c r="AF112" i="10" s="1"/>
  <c r="AJ112" i="10" s="1"/>
  <c r="AP112" i="10" s="1"/>
  <c r="AT112" i="10" s="1"/>
  <c r="AX112" i="10" s="1"/>
  <c r="BF112" i="10" s="1"/>
  <c r="F99" i="10"/>
  <c r="F95" i="10"/>
  <c r="H99" i="10"/>
  <c r="H95" i="10"/>
  <c r="J47" i="11"/>
  <c r="F39" i="11"/>
  <c r="F35" i="11"/>
  <c r="M50" i="11"/>
  <c r="Q50" i="11" s="1"/>
  <c r="U50" i="11" s="1"/>
  <c r="M52" i="11"/>
  <c r="Q52" i="11" s="1"/>
  <c r="U52" i="11" s="1"/>
  <c r="N50" i="11"/>
  <c r="R50" i="11" s="1"/>
  <c r="V50" i="11" s="1"/>
  <c r="AB50" i="11" s="1"/>
  <c r="Q46" i="11"/>
  <c r="Q44" i="11"/>
  <c r="Q53" i="11"/>
  <c r="Q42" i="11"/>
  <c r="N51" i="11"/>
  <c r="R51" i="11" s="1"/>
  <c r="V51" i="11" s="1"/>
  <c r="AB51" i="11" s="1"/>
  <c r="AF51" i="11" s="1"/>
  <c r="AJ51" i="11" s="1"/>
  <c r="AP51" i="11" s="1"/>
  <c r="AT51" i="11" s="1"/>
  <c r="AX51" i="11" s="1"/>
  <c r="BF51" i="11" s="1"/>
  <c r="M51" i="11"/>
  <c r="Q51" i="11" s="1"/>
  <c r="U51" i="11" s="1"/>
  <c r="M42" i="11"/>
  <c r="M49" i="11"/>
  <c r="Q48" i="11"/>
  <c r="U48" i="11" s="1"/>
  <c r="N110" i="10"/>
  <c r="R110" i="10" s="1"/>
  <c r="V110" i="10" s="1"/>
  <c r="AB110" i="10" s="1"/>
  <c r="AF110" i="10" s="1"/>
  <c r="AJ110" i="10" s="1"/>
  <c r="AP110" i="10" s="1"/>
  <c r="AT110" i="10" s="1"/>
  <c r="AX110" i="10" s="1"/>
  <c r="BF110" i="10" s="1"/>
  <c r="I50" i="17"/>
  <c r="M44" i="17"/>
  <c r="Q43" i="17"/>
  <c r="F53" i="11"/>
  <c r="N8" i="11"/>
  <c r="Q5" i="11"/>
  <c r="M104" i="10"/>
  <c r="M112" i="10"/>
  <c r="Q112" i="10" s="1"/>
  <c r="U112" i="10" s="1"/>
  <c r="AA112" i="10" s="1"/>
  <c r="AE112" i="10" s="1"/>
  <c r="AI112" i="10" s="1"/>
  <c r="AO112" i="10" s="1"/>
  <c r="AS112" i="10" s="1"/>
  <c r="AW112" i="10" s="1"/>
  <c r="BE112" i="10" s="1"/>
  <c r="M101" i="10"/>
  <c r="Q101" i="10" s="1"/>
  <c r="U101" i="10" s="1"/>
  <c r="AA101" i="10" s="1"/>
  <c r="AE101" i="10" s="1"/>
  <c r="AI101" i="10" s="1"/>
  <c r="AO101" i="10" s="1"/>
  <c r="AS101" i="10" s="1"/>
  <c r="AW101" i="10" s="1"/>
  <c r="BE101" i="10" s="1"/>
  <c r="M111" i="10"/>
  <c r="Q111" i="10" s="1"/>
  <c r="U111" i="10" s="1"/>
  <c r="AA111" i="10" s="1"/>
  <c r="AE111" i="10" s="1"/>
  <c r="AI111" i="10" s="1"/>
  <c r="AO111" i="10" s="1"/>
  <c r="AS111" i="10" s="1"/>
  <c r="AW111" i="10" s="1"/>
  <c r="BE111" i="10" s="1"/>
  <c r="M108" i="10"/>
  <c r="Q108" i="10" s="1"/>
  <c r="U108" i="10" s="1"/>
  <c r="AA108" i="10" s="1"/>
  <c r="AE108" i="10" s="1"/>
  <c r="AI108" i="10" s="1"/>
  <c r="M110" i="10"/>
  <c r="Q110" i="10" s="1"/>
  <c r="U110" i="10" s="1"/>
  <c r="AA110" i="10" s="1"/>
  <c r="AE110" i="10" s="1"/>
  <c r="AI110" i="10" s="1"/>
  <c r="AO110" i="10" s="1"/>
  <c r="AS110" i="10" s="1"/>
  <c r="AW110" i="10" s="1"/>
  <c r="BE110" i="10" s="1"/>
  <c r="Q103" i="10"/>
  <c r="U103" i="10" s="1"/>
  <c r="AA103" i="10" s="1"/>
  <c r="AE103" i="10" s="1"/>
  <c r="AI103" i="10" s="1"/>
  <c r="N5" i="11"/>
  <c r="M22" i="36" s="1"/>
  <c r="X1070" i="3"/>
  <c r="Z1070" i="3" s="1"/>
  <c r="AB1070" i="3" s="1"/>
  <c r="AF1070" i="3" s="1"/>
  <c r="U764" i="3"/>
  <c r="S930" i="3"/>
  <c r="P112" i="17"/>
  <c r="H34" i="17"/>
  <c r="L34" i="17" s="1"/>
  <c r="P34" i="17" s="1"/>
  <c r="T34" i="17" s="1"/>
  <c r="Z34" i="17" s="1"/>
  <c r="M37" i="11"/>
  <c r="I42" i="11"/>
  <c r="J94" i="10"/>
  <c r="P14" i="17"/>
  <c r="P29" i="17"/>
  <c r="L89" i="17"/>
  <c r="H54" i="17"/>
  <c r="P58" i="17"/>
  <c r="P61" i="17" s="1"/>
  <c r="Q105" i="10"/>
  <c r="U105" i="10" s="1"/>
  <c r="AA105" i="10" s="1"/>
  <c r="I102" i="10"/>
  <c r="I113" i="10"/>
  <c r="L54" i="17"/>
  <c r="L61" i="17"/>
  <c r="P50" i="17"/>
  <c r="P111" i="17" s="1"/>
  <c r="P110" i="17"/>
  <c r="L110" i="17"/>
  <c r="L114" i="17" s="1"/>
  <c r="P113" i="17"/>
  <c r="Q13" i="17"/>
  <c r="Q14" i="17" s="1"/>
  <c r="Q10" i="17"/>
  <c r="L111" i="17"/>
  <c r="L115" i="17" s="1"/>
  <c r="I49" i="11"/>
  <c r="I53" i="11"/>
  <c r="J34" i="11"/>
  <c r="J66" i="11" s="1"/>
  <c r="H113" i="10"/>
  <c r="F37" i="11"/>
  <c r="J49" i="11"/>
  <c r="F113" i="10"/>
  <c r="AV65" i="17" l="1"/>
  <c r="BD82" i="17"/>
  <c r="AZ82" i="17"/>
  <c r="BB82" i="17" s="1"/>
  <c r="AZ85" i="17"/>
  <c r="BB85" i="17" s="1"/>
  <c r="BD85" i="17"/>
  <c r="AZ83" i="17"/>
  <c r="BB83" i="17" s="1"/>
  <c r="BD83" i="17"/>
  <c r="AA64" i="17"/>
  <c r="AE64" i="17" s="1"/>
  <c r="AE67" i="17"/>
  <c r="Q44" i="17"/>
  <c r="Q49" i="17"/>
  <c r="Q53" i="17" s="1"/>
  <c r="Q54" i="17" s="1"/>
  <c r="U43" i="17"/>
  <c r="AE42" i="11"/>
  <c r="AI43" i="11"/>
  <c r="AI89" i="17"/>
  <c r="Z13" i="17"/>
  <c r="AD9" i="17"/>
  <c r="Z10" i="17"/>
  <c r="AE70" i="17"/>
  <c r="AA77" i="17"/>
  <c r="AE33" i="17"/>
  <c r="Z14" i="17"/>
  <c r="AD12" i="17"/>
  <c r="AN8" i="17"/>
  <c r="AD47" i="17"/>
  <c r="Z48" i="17"/>
  <c r="AA66" i="17"/>
  <c r="AA68" i="17" s="1"/>
  <c r="AE31" i="17"/>
  <c r="AE85" i="17"/>
  <c r="AI2" i="17"/>
  <c r="AE38" i="17"/>
  <c r="AE40" i="17"/>
  <c r="AE48" i="17"/>
  <c r="AE52" i="17"/>
  <c r="AE46" i="17"/>
  <c r="AE42" i="17"/>
  <c r="AN80" i="17"/>
  <c r="AR80" i="17" s="1"/>
  <c r="AV80" i="17" s="1"/>
  <c r="AL80" i="17"/>
  <c r="AD26" i="17"/>
  <c r="AH26" i="17" s="1"/>
  <c r="Z33" i="17"/>
  <c r="AA86" i="17"/>
  <c r="AD57" i="17"/>
  <c r="Z58" i="17"/>
  <c r="Q37" i="11"/>
  <c r="P22" i="36"/>
  <c r="AI15" i="17"/>
  <c r="AE29" i="17"/>
  <c r="AI74" i="17"/>
  <c r="AE30" i="17"/>
  <c r="AD23" i="17"/>
  <c r="Z30" i="17"/>
  <c r="AO8" i="17"/>
  <c r="AI112" i="17"/>
  <c r="AO26" i="17"/>
  <c r="AI33" i="17"/>
  <c r="T52" i="17"/>
  <c r="T113" i="17" s="1"/>
  <c r="Z51" i="17"/>
  <c r="T112" i="17"/>
  <c r="AI59" i="17"/>
  <c r="AI61" i="17"/>
  <c r="AI83" i="17"/>
  <c r="AO24" i="17"/>
  <c r="AI31" i="17"/>
  <c r="AR7" i="17"/>
  <c r="AI64" i="17"/>
  <c r="AE66" i="17"/>
  <c r="AE68" i="17" s="1"/>
  <c r="AD81" i="17"/>
  <c r="T49" i="17"/>
  <c r="Z43" i="17"/>
  <c r="T44" i="17"/>
  <c r="AO25" i="17"/>
  <c r="AI32" i="17"/>
  <c r="Z29" i="17"/>
  <c r="AD15" i="17"/>
  <c r="T46" i="17"/>
  <c r="Z45" i="17"/>
  <c r="T32" i="17"/>
  <c r="Z25" i="17"/>
  <c r="AH81" i="17"/>
  <c r="AN79" i="17"/>
  <c r="AL79" i="17"/>
  <c r="AL81" i="17" s="1"/>
  <c r="AE79" i="17"/>
  <c r="AA81" i="17"/>
  <c r="AI80" i="17"/>
  <c r="AO23" i="17"/>
  <c r="AI30" i="17"/>
  <c r="AI72" i="17"/>
  <c r="AS17" i="17"/>
  <c r="AO21" i="17"/>
  <c r="AO58" i="17"/>
  <c r="AS56" i="17"/>
  <c r="AI82" i="17"/>
  <c r="AI67" i="17"/>
  <c r="AD77" i="17"/>
  <c r="AH70" i="17"/>
  <c r="AE59" i="17"/>
  <c r="AN56" i="17"/>
  <c r="AE73" i="17"/>
  <c r="AI73" i="17" s="1"/>
  <c r="AD24" i="17"/>
  <c r="Z31" i="17"/>
  <c r="AE113" i="17"/>
  <c r="AI76" i="17"/>
  <c r="AA13" i="17"/>
  <c r="AA14" i="17" s="1"/>
  <c r="AE9" i="17"/>
  <c r="AA10" i="17"/>
  <c r="AH17" i="17"/>
  <c r="AD21" i="17"/>
  <c r="AD33" i="17" s="1"/>
  <c r="AR2" i="17"/>
  <c r="AI65" i="17"/>
  <c r="AI71" i="17"/>
  <c r="AO7" i="17"/>
  <c r="AI11" i="17"/>
  <c r="AH64" i="17"/>
  <c r="AD66" i="17"/>
  <c r="AD68" i="17" s="1"/>
  <c r="AE75" i="17"/>
  <c r="AI75" i="17" s="1"/>
  <c r="T61" i="17"/>
  <c r="T59" i="17"/>
  <c r="AE84" i="17"/>
  <c r="AI84" i="17" s="1"/>
  <c r="AT48" i="11"/>
  <c r="AO103" i="10"/>
  <c r="AS103" i="10" s="1"/>
  <c r="AI102" i="10"/>
  <c r="AO108" i="10"/>
  <c r="AS108" i="10" s="1"/>
  <c r="AE102" i="10"/>
  <c r="AA113" i="10"/>
  <c r="AE105" i="10"/>
  <c r="AI105" i="10" s="1"/>
  <c r="AF52" i="11"/>
  <c r="AJ52" i="11" s="1"/>
  <c r="AP52" i="11" s="1"/>
  <c r="AT52" i="11" s="1"/>
  <c r="AX52" i="11" s="1"/>
  <c r="BF52" i="11" s="1"/>
  <c r="AF50" i="11"/>
  <c r="AJ50" i="11" s="1"/>
  <c r="AP50" i="11" s="1"/>
  <c r="AT50" i="11" s="1"/>
  <c r="AX50" i="11" s="1"/>
  <c r="BF50" i="11" s="1"/>
  <c r="AA53" i="11"/>
  <c r="AE45" i="11"/>
  <c r="AI45" i="11" s="1"/>
  <c r="N63" i="11"/>
  <c r="AA34" i="17"/>
  <c r="AE34" i="17" s="1"/>
  <c r="AI34" i="17" s="1"/>
  <c r="M54" i="17"/>
  <c r="I54" i="17"/>
  <c r="AA29" i="17"/>
  <c r="AA30" i="17"/>
  <c r="AA33" i="17"/>
  <c r="AA31" i="17"/>
  <c r="AA32" i="17"/>
  <c r="Y54" i="17"/>
  <c r="AA52" i="11"/>
  <c r="AE52" i="11" s="1"/>
  <c r="AI52" i="11" s="1"/>
  <c r="AO52" i="11" s="1"/>
  <c r="AS52" i="11" s="1"/>
  <c r="AA51" i="11"/>
  <c r="AE51" i="11" s="1"/>
  <c r="AI51" i="11" s="1"/>
  <c r="AO51" i="11" s="1"/>
  <c r="AS51" i="11" s="1"/>
  <c r="AA50" i="11"/>
  <c r="AE50" i="11" s="1"/>
  <c r="AI50" i="11" s="1"/>
  <c r="AO50" i="11" s="1"/>
  <c r="AS50" i="11" s="1"/>
  <c r="AA44" i="11"/>
  <c r="AA46" i="11"/>
  <c r="AA42" i="11"/>
  <c r="Y46" i="11"/>
  <c r="Y42" i="11"/>
  <c r="Y44" i="11"/>
  <c r="U5" i="11"/>
  <c r="AA48" i="11"/>
  <c r="AE48" i="11" s="1"/>
  <c r="AI48" i="11" s="1"/>
  <c r="AA102" i="10"/>
  <c r="AA106" i="10"/>
  <c r="AA104" i="10"/>
  <c r="J70" i="11"/>
  <c r="J68" i="11"/>
  <c r="J95" i="10"/>
  <c r="J126" i="10"/>
  <c r="J128" i="10" s="1"/>
  <c r="U102" i="10"/>
  <c r="U106" i="10"/>
  <c r="U104" i="10"/>
  <c r="U113" i="10"/>
  <c r="F68" i="11"/>
  <c r="N58" i="11"/>
  <c r="R5" i="11"/>
  <c r="Q49" i="11"/>
  <c r="J35" i="11"/>
  <c r="N49" i="11"/>
  <c r="Q47" i="11"/>
  <c r="N47" i="11"/>
  <c r="Q102" i="10"/>
  <c r="M102" i="10"/>
  <c r="M50" i="17"/>
  <c r="J113" i="10"/>
  <c r="J99" i="10"/>
  <c r="J37" i="11"/>
  <c r="J39" i="11"/>
  <c r="R8" i="11"/>
  <c r="N34" i="11"/>
  <c r="N66" i="11" s="1"/>
  <c r="P114" i="17"/>
  <c r="X764" i="3"/>
  <c r="Z764" i="3" s="1"/>
  <c r="AB764" i="3" s="1"/>
  <c r="AF764" i="3" s="1"/>
  <c r="U930" i="3"/>
  <c r="P115" i="17"/>
  <c r="N758" i="3"/>
  <c r="Q758" i="3" s="1"/>
  <c r="S758" i="3" s="1"/>
  <c r="R7" i="10"/>
  <c r="R98" i="10" s="1"/>
  <c r="N94" i="10"/>
  <c r="P59" i="17"/>
  <c r="P89" i="17"/>
  <c r="T89" i="17" s="1"/>
  <c r="Q106" i="10"/>
  <c r="Q104" i="10"/>
  <c r="P54" i="17"/>
  <c r="I5" i="10"/>
  <c r="H21" i="36" s="1"/>
  <c r="H97" i="10"/>
  <c r="BD80" i="17" l="1"/>
  <c r="AZ80" i="17"/>
  <c r="BB80" i="17" s="1"/>
  <c r="AW50" i="11"/>
  <c r="BE50" i="11" s="1"/>
  <c r="AW52" i="11"/>
  <c r="BE52" i="11" s="1"/>
  <c r="AW51" i="11"/>
  <c r="BE51" i="11" s="1"/>
  <c r="AO102" i="10"/>
  <c r="U49" i="11"/>
  <c r="T22" i="36"/>
  <c r="AH21" i="17"/>
  <c r="AH33" i="17" s="1"/>
  <c r="AN17" i="17"/>
  <c r="AH77" i="17"/>
  <c r="AN70" i="17"/>
  <c r="AW56" i="17"/>
  <c r="AS58" i="17"/>
  <c r="AN81" i="17"/>
  <c r="AR79" i="17"/>
  <c r="AD43" i="17"/>
  <c r="Z49" i="17"/>
  <c r="Z44" i="17"/>
  <c r="Z50" i="17" s="1"/>
  <c r="AI66" i="17"/>
  <c r="AI68" i="17" s="1"/>
  <c r="AI29" i="17"/>
  <c r="AO15" i="17"/>
  <c r="Z59" i="17"/>
  <c r="Z61" i="17"/>
  <c r="AN26" i="17"/>
  <c r="AD48" i="17"/>
  <c r="AH47" i="17"/>
  <c r="U44" i="17"/>
  <c r="U49" i="17"/>
  <c r="U53" i="17" s="1"/>
  <c r="AA43" i="17"/>
  <c r="R49" i="11"/>
  <c r="Q22" i="36"/>
  <c r="AO45" i="11"/>
  <c r="AI46" i="11"/>
  <c r="AI44" i="11"/>
  <c r="AI53" i="11"/>
  <c r="AV2" i="17"/>
  <c r="BD2" i="17" s="1"/>
  <c r="AR56" i="17"/>
  <c r="AO61" i="17"/>
  <c r="AD45" i="17"/>
  <c r="Z46" i="17"/>
  <c r="T53" i="17"/>
  <c r="T110" i="17"/>
  <c r="T114" i="17" s="1"/>
  <c r="AS24" i="17"/>
  <c r="AO31" i="17"/>
  <c r="AS8" i="17"/>
  <c r="AO112" i="17"/>
  <c r="AH57" i="17"/>
  <c r="AD58" i="17"/>
  <c r="AI85" i="17"/>
  <c r="AO2" i="17"/>
  <c r="AO76" i="17" s="1"/>
  <c r="AI40" i="17"/>
  <c r="AI48" i="17"/>
  <c r="AI38" i="17"/>
  <c r="AI46" i="17"/>
  <c r="AI52" i="17"/>
  <c r="AI42" i="17"/>
  <c r="AI70" i="17"/>
  <c r="AE77" i="17"/>
  <c r="AO89" i="17"/>
  <c r="AS89" i="17" s="1"/>
  <c r="Z89" i="17"/>
  <c r="AD89" i="17" s="1"/>
  <c r="X89" i="17"/>
  <c r="AO84" i="17"/>
  <c r="AO11" i="17"/>
  <c r="AS7" i="17"/>
  <c r="AE13" i="17"/>
  <c r="AE14" i="17" s="1"/>
  <c r="AI9" i="17"/>
  <c r="AE10" i="17"/>
  <c r="AO67" i="17"/>
  <c r="AI79" i="17"/>
  <c r="AE81" i="17"/>
  <c r="AD25" i="17"/>
  <c r="Z32" i="17"/>
  <c r="AS25" i="17"/>
  <c r="AO32" i="17"/>
  <c r="AO83" i="17"/>
  <c r="AD51" i="17"/>
  <c r="Z52" i="17"/>
  <c r="Z113" i="17" s="1"/>
  <c r="Z112" i="17"/>
  <c r="AS26" i="17"/>
  <c r="AO33" i="17"/>
  <c r="AE86" i="17"/>
  <c r="AI86" i="17" s="1"/>
  <c r="AR8" i="17"/>
  <c r="AO43" i="11"/>
  <c r="AI42" i="11"/>
  <c r="AW103" i="10"/>
  <c r="AS102" i="10"/>
  <c r="AN64" i="17"/>
  <c r="AH66" i="17"/>
  <c r="AH68" i="17" s="1"/>
  <c r="AO71" i="17"/>
  <c r="AH24" i="17"/>
  <c r="AD31" i="17"/>
  <c r="AO82" i="17"/>
  <c r="AW17" i="17"/>
  <c r="AS21" i="17"/>
  <c r="AS23" i="17"/>
  <c r="AO30" i="17"/>
  <c r="AD29" i="17"/>
  <c r="AH15" i="17"/>
  <c r="T50" i="17"/>
  <c r="AV7" i="17"/>
  <c r="BD7" i="17" s="1"/>
  <c r="AI12" i="17"/>
  <c r="AH23" i="17"/>
  <c r="AD30" i="17"/>
  <c r="AH12" i="17"/>
  <c r="AD13" i="17"/>
  <c r="AD14" i="17" s="1"/>
  <c r="AH9" i="17"/>
  <c r="AD10" i="17"/>
  <c r="AD34" i="17"/>
  <c r="AX48" i="11"/>
  <c r="BF48" i="11" s="1"/>
  <c r="AW108" i="10"/>
  <c r="BE108" i="10" s="1"/>
  <c r="AO48" i="11"/>
  <c r="AO105" i="10"/>
  <c r="AS105" i="10" s="1"/>
  <c r="AI106" i="10"/>
  <c r="AI104" i="10"/>
  <c r="AI113" i="10"/>
  <c r="AO104" i="10"/>
  <c r="AE106" i="10"/>
  <c r="AE104" i="10"/>
  <c r="AE113" i="10"/>
  <c r="AE46" i="11"/>
  <c r="AE44" i="11"/>
  <c r="AE53" i="11"/>
  <c r="R47" i="11"/>
  <c r="V5" i="11"/>
  <c r="U22" i="36" s="1"/>
  <c r="R63" i="11"/>
  <c r="R58" i="11"/>
  <c r="V7" i="10"/>
  <c r="V98" i="10" s="1"/>
  <c r="Q50" i="17"/>
  <c r="U54" i="17"/>
  <c r="U47" i="11"/>
  <c r="AA5" i="11"/>
  <c r="Z22" i="36" s="1"/>
  <c r="U37" i="11"/>
  <c r="N70" i="11"/>
  <c r="N68" i="11"/>
  <c r="V8" i="11"/>
  <c r="N95" i="10"/>
  <c r="N126" i="10"/>
  <c r="N128" i="10" s="1"/>
  <c r="R34" i="11"/>
  <c r="R66" i="11" s="1"/>
  <c r="N53" i="11"/>
  <c r="N35" i="11"/>
  <c r="N113" i="10"/>
  <c r="N99" i="10"/>
  <c r="N37" i="11"/>
  <c r="N39" i="11"/>
  <c r="M5" i="10"/>
  <c r="L21" i="36" s="1"/>
  <c r="X930" i="3"/>
  <c r="Z930" i="3" s="1"/>
  <c r="AB930" i="3" s="1"/>
  <c r="AF930" i="3" s="1"/>
  <c r="R94" i="10"/>
  <c r="Q113" i="10"/>
  <c r="I107" i="10"/>
  <c r="I109" i="10"/>
  <c r="I97" i="10"/>
  <c r="J5" i="10"/>
  <c r="I21" i="36" s="1"/>
  <c r="F97" i="10"/>
  <c r="D90" i="9"/>
  <c r="H90" i="9" s="1"/>
  <c r="H1232" i="3"/>
  <c r="J1232" i="3" s="1"/>
  <c r="H1231" i="3"/>
  <c r="J1231" i="3" s="1"/>
  <c r="D86" i="9"/>
  <c r="AW21" i="17" l="1"/>
  <c r="BE17" i="17"/>
  <c r="BE21" i="17" s="1"/>
  <c r="BB75" i="17"/>
  <c r="BB74" i="17"/>
  <c r="AW58" i="17"/>
  <c r="BE56" i="17"/>
  <c r="BE58" i="17" s="1"/>
  <c r="BD65" i="17"/>
  <c r="BB76" i="17"/>
  <c r="BB73" i="17"/>
  <c r="R70" i="11"/>
  <c r="AO59" i="17"/>
  <c r="BC52" i="11"/>
  <c r="BB72" i="17"/>
  <c r="BB71" i="17"/>
  <c r="BC51" i="11"/>
  <c r="BC50" i="11"/>
  <c r="AW102" i="10"/>
  <c r="BE103" i="10"/>
  <c r="AW89" i="17"/>
  <c r="BE89" i="17" s="1"/>
  <c r="AH13" i="17"/>
  <c r="AH14" i="17" s="1"/>
  <c r="AN9" i="17"/>
  <c r="AH10" i="17"/>
  <c r="AV8" i="17"/>
  <c r="BD8" i="17" s="1"/>
  <c r="AI13" i="17"/>
  <c r="AI14" i="17" s="1"/>
  <c r="AO9" i="17"/>
  <c r="AI10" i="17"/>
  <c r="AW7" i="17"/>
  <c r="BE7" i="17" s="1"/>
  <c r="AD61" i="17"/>
  <c r="AD59" i="17"/>
  <c r="AO72" i="17"/>
  <c r="AV56" i="17"/>
  <c r="AO75" i="17"/>
  <c r="AS75" i="17" s="1"/>
  <c r="AS45" i="11"/>
  <c r="AO44" i="11"/>
  <c r="AO46" i="11"/>
  <c r="AO53" i="11"/>
  <c r="AO29" i="17"/>
  <c r="AS15" i="17"/>
  <c r="AS32" i="17" s="1"/>
  <c r="AO64" i="17"/>
  <c r="AR81" i="17"/>
  <c r="AV79" i="17"/>
  <c r="AW61" i="17"/>
  <c r="AW25" i="17"/>
  <c r="BE25" i="17" s="1"/>
  <c r="AN57" i="17"/>
  <c r="AH58" i="17"/>
  <c r="AW8" i="17"/>
  <c r="BE8" i="17" s="1"/>
  <c r="AS112" i="17"/>
  <c r="AR26" i="17"/>
  <c r="Z111" i="17"/>
  <c r="Z115" i="17" s="1"/>
  <c r="Z54" i="17"/>
  <c r="AR70" i="17"/>
  <c r="AN77" i="17"/>
  <c r="AN21" i="17"/>
  <c r="AR17" i="17"/>
  <c r="AN12" i="17"/>
  <c r="AN23" i="17"/>
  <c r="AR23" i="17" s="1"/>
  <c r="AH30" i="17"/>
  <c r="T111" i="17"/>
  <c r="T115" i="17" s="1"/>
  <c r="T54" i="17"/>
  <c r="AW23" i="17"/>
  <c r="BE23" i="17" s="1"/>
  <c r="AS30" i="17"/>
  <c r="AN66" i="17"/>
  <c r="AN68" i="17" s="1"/>
  <c r="AR64" i="17"/>
  <c r="AS43" i="11"/>
  <c r="AO42" i="11"/>
  <c r="AD52" i="17"/>
  <c r="AD113" i="17" s="1"/>
  <c r="AH51" i="17"/>
  <c r="AD112" i="17"/>
  <c r="AS67" i="17"/>
  <c r="AS84" i="17"/>
  <c r="AS2" i="17"/>
  <c r="AS76" i="17" s="1"/>
  <c r="AO40" i="17"/>
  <c r="AO38" i="17"/>
  <c r="AO48" i="17"/>
  <c r="AO52" i="17"/>
  <c r="AO46" i="17"/>
  <c r="AO42" i="17"/>
  <c r="AO74" i="17"/>
  <c r="AS74" i="17" s="1"/>
  <c r="AN47" i="17"/>
  <c r="AH48" i="17"/>
  <c r="Z53" i="17"/>
  <c r="Z110" i="17"/>
  <c r="Z114" i="17" s="1"/>
  <c r="AO80" i="17"/>
  <c r="AS80" i="17" s="1"/>
  <c r="AH34" i="17"/>
  <c r="AN34" i="17" s="1"/>
  <c r="AS82" i="17"/>
  <c r="AO79" i="17"/>
  <c r="AI81" i="17"/>
  <c r="AB8" i="11"/>
  <c r="AW105" i="10"/>
  <c r="BE105" i="10" s="1"/>
  <c r="AS104" i="10"/>
  <c r="AS106" i="10"/>
  <c r="AS113" i="10"/>
  <c r="AI113" i="17"/>
  <c r="AH29" i="17"/>
  <c r="AN15" i="17"/>
  <c r="AN24" i="17"/>
  <c r="AH31" i="17"/>
  <c r="AW26" i="17"/>
  <c r="BE26" i="17" s="1"/>
  <c r="AS33" i="17"/>
  <c r="AS83" i="17"/>
  <c r="AD32" i="17"/>
  <c r="AH25" i="17"/>
  <c r="AO70" i="17"/>
  <c r="AI77" i="17"/>
  <c r="AO85" i="17"/>
  <c r="AO86" i="17" s="1"/>
  <c r="AO12" i="17"/>
  <c r="AO113" i="17" s="1"/>
  <c r="AW24" i="17"/>
  <c r="BE24" i="17" s="1"/>
  <c r="AS31" i="17"/>
  <c r="AD46" i="17"/>
  <c r="AH45" i="17"/>
  <c r="AE43" i="17"/>
  <c r="AA44" i="17"/>
  <c r="AA49" i="17"/>
  <c r="AA53" i="17" s="1"/>
  <c r="AA54" i="17" s="1"/>
  <c r="AH43" i="17"/>
  <c r="AD49" i="17"/>
  <c r="AD44" i="17"/>
  <c r="AD50" i="17" s="1"/>
  <c r="AS59" i="17"/>
  <c r="AS61" i="17"/>
  <c r="AO73" i="17"/>
  <c r="AS73" i="17" s="1"/>
  <c r="AO65" i="17"/>
  <c r="AS65" i="17" s="1"/>
  <c r="AO34" i="17"/>
  <c r="AS34" i="17" s="1"/>
  <c r="AS48" i="11"/>
  <c r="AO106" i="10"/>
  <c r="AO113" i="10"/>
  <c r="AB7" i="10"/>
  <c r="AB98" i="10" s="1"/>
  <c r="V94" i="10"/>
  <c r="V126" i="10" s="1"/>
  <c r="V128" i="10" s="1"/>
  <c r="AE5" i="11"/>
  <c r="V63" i="11"/>
  <c r="AB5" i="11"/>
  <c r="AA22" i="36" s="1"/>
  <c r="V58" i="11"/>
  <c r="V49" i="11"/>
  <c r="V47" i="11"/>
  <c r="U50" i="17"/>
  <c r="U111" i="17" s="1"/>
  <c r="U115" i="17" s="1"/>
  <c r="U110" i="17"/>
  <c r="U114" i="17" s="1"/>
  <c r="L90" i="9"/>
  <c r="AB34" i="11"/>
  <c r="J123" i="10"/>
  <c r="J130" i="10" s="1"/>
  <c r="AA47" i="11"/>
  <c r="AA37" i="11"/>
  <c r="AA49" i="11"/>
  <c r="Q5" i="10"/>
  <c r="V34" i="11"/>
  <c r="R95" i="10"/>
  <c r="R126" i="10"/>
  <c r="R128" i="10" s="1"/>
  <c r="M107" i="10"/>
  <c r="R68" i="11"/>
  <c r="R35" i="11"/>
  <c r="R53" i="11"/>
  <c r="R39" i="11"/>
  <c r="R37" i="11"/>
  <c r="J118" i="10"/>
  <c r="R99" i="10"/>
  <c r="R113" i="10"/>
  <c r="J107" i="10"/>
  <c r="J109" i="10"/>
  <c r="M109" i="10"/>
  <c r="M97" i="10"/>
  <c r="N5" i="10"/>
  <c r="M21" i="36" s="1"/>
  <c r="H87" i="9"/>
  <c r="U758" i="3"/>
  <c r="L1231" i="3"/>
  <c r="N1231" i="3" s="1"/>
  <c r="Q1231" i="3" s="1"/>
  <c r="S1231" i="3" s="1"/>
  <c r="U1231" i="3" s="1"/>
  <c r="X1231" i="3" s="1"/>
  <c r="Z1231" i="3" s="1"/>
  <c r="AB1231" i="3" s="1"/>
  <c r="L1232" i="3"/>
  <c r="N1232" i="3" s="1"/>
  <c r="Q1232" i="3" s="1"/>
  <c r="S1232" i="3" s="1"/>
  <c r="U1232" i="3" s="1"/>
  <c r="X1232" i="3" s="1"/>
  <c r="Z1232" i="3" s="1"/>
  <c r="AB1232" i="3" s="1"/>
  <c r="J97" i="10"/>
  <c r="I94" i="9"/>
  <c r="M94" i="9" s="1"/>
  <c r="H1233" i="3"/>
  <c r="I90" i="9"/>
  <c r="M90" i="9" s="1"/>
  <c r="I87" i="9"/>
  <c r="M87" i="9" s="1"/>
  <c r="H94" i="9"/>
  <c r="L94" i="9" s="1"/>
  <c r="AV81" i="17" l="1"/>
  <c r="AZ79" i="17"/>
  <c r="BD79" i="17"/>
  <c r="BD81" i="17" s="1"/>
  <c r="AS71" i="17"/>
  <c r="AB47" i="11"/>
  <c r="AN30" i="17"/>
  <c r="BE112" i="17"/>
  <c r="BE61" i="17"/>
  <c r="AN33" i="17"/>
  <c r="AS12" i="17"/>
  <c r="BD56" i="17"/>
  <c r="BB56" i="17"/>
  <c r="AS11" i="17"/>
  <c r="BE106" i="10"/>
  <c r="BE113" i="10"/>
  <c r="BE104" i="10"/>
  <c r="BE102" i="10"/>
  <c r="AD53" i="17"/>
  <c r="AD110" i="17"/>
  <c r="AE49" i="17"/>
  <c r="AI43" i="17"/>
  <c r="AE44" i="17"/>
  <c r="AS70" i="17"/>
  <c r="AO77" i="17"/>
  <c r="AN29" i="17"/>
  <c r="AR15" i="17"/>
  <c r="AF8" i="11"/>
  <c r="AB38" i="11"/>
  <c r="AB39" i="11" s="1"/>
  <c r="AR12" i="17"/>
  <c r="AW112" i="17"/>
  <c r="AW45" i="11"/>
  <c r="BE45" i="11" s="1"/>
  <c r="AS44" i="11"/>
  <c r="AS46" i="11"/>
  <c r="AS53" i="11"/>
  <c r="AS72" i="17"/>
  <c r="AS9" i="17"/>
  <c r="AO13" i="17"/>
  <c r="AO14" i="17" s="1"/>
  <c r="AO10" i="17"/>
  <c r="AN43" i="17"/>
  <c r="AH49" i="17"/>
  <c r="AH44" i="17"/>
  <c r="AH50" i="17" s="1"/>
  <c r="AH46" i="17"/>
  <c r="AN45" i="17"/>
  <c r="AN25" i="17"/>
  <c r="AH32" i="17"/>
  <c r="AI5" i="11"/>
  <c r="AD22" i="36"/>
  <c r="AW104" i="10"/>
  <c r="AW106" i="10"/>
  <c r="AW113" i="10"/>
  <c r="AS79" i="17"/>
  <c r="AO81" i="17"/>
  <c r="AD114" i="17"/>
  <c r="AW43" i="11"/>
  <c r="AS42" i="11"/>
  <c r="AV23" i="17"/>
  <c r="AV70" i="17"/>
  <c r="AR77" i="17"/>
  <c r="AV26" i="17"/>
  <c r="AH61" i="17"/>
  <c r="AH59" i="17"/>
  <c r="AO66" i="17"/>
  <c r="AO68" i="17" s="1"/>
  <c r="AS64" i="17"/>
  <c r="AD111" i="17"/>
  <c r="AD115" i="17" s="1"/>
  <c r="AD54" i="17"/>
  <c r="AR24" i="17"/>
  <c r="AN31" i="17"/>
  <c r="AN48" i="17"/>
  <c r="AR47" i="17"/>
  <c r="AS85" i="17"/>
  <c r="AW2" i="17"/>
  <c r="AS40" i="17"/>
  <c r="AS38" i="17"/>
  <c r="AS48" i="17"/>
  <c r="AS52" i="17"/>
  <c r="AS113" i="17" s="1"/>
  <c r="AS42" i="17"/>
  <c r="AS46" i="17"/>
  <c r="AN51" i="17"/>
  <c r="AH52" i="17"/>
  <c r="AH113" i="17" s="1"/>
  <c r="AH112" i="17"/>
  <c r="AR66" i="17"/>
  <c r="AR68" i="17" s="1"/>
  <c r="AV64" i="17"/>
  <c r="AV17" i="17"/>
  <c r="AR21" i="17"/>
  <c r="AR30" i="17" s="1"/>
  <c r="AR57" i="17"/>
  <c r="AN58" i="17"/>
  <c r="AW15" i="17"/>
  <c r="BC15" i="17" s="1"/>
  <c r="AS29" i="17"/>
  <c r="AH89" i="17"/>
  <c r="AR9" i="17"/>
  <c r="AN13" i="17"/>
  <c r="AN14" i="17" s="1"/>
  <c r="AN10" i="17"/>
  <c r="AW48" i="11"/>
  <c r="BE48" i="11" s="1"/>
  <c r="Q109" i="10"/>
  <c r="P21" i="36"/>
  <c r="AF7" i="10"/>
  <c r="AF98" i="10" s="1"/>
  <c r="Q90" i="9"/>
  <c r="Q87" i="9"/>
  <c r="AB94" i="10"/>
  <c r="AB95" i="10" s="1"/>
  <c r="V113" i="10"/>
  <c r="V95" i="10"/>
  <c r="V99" i="10"/>
  <c r="AE47" i="11"/>
  <c r="AE49" i="11"/>
  <c r="AE37" i="11"/>
  <c r="AF5" i="11"/>
  <c r="AB63" i="11"/>
  <c r="AB58" i="11"/>
  <c r="AB49" i="11"/>
  <c r="AA50" i="17"/>
  <c r="AA111" i="17" s="1"/>
  <c r="AA115" i="17" s="1"/>
  <c r="AA110" i="17"/>
  <c r="AA114" i="17" s="1"/>
  <c r="L87" i="9"/>
  <c r="P90" i="9"/>
  <c r="AB53" i="11"/>
  <c r="AB35" i="11"/>
  <c r="AB37" i="11"/>
  <c r="AB66" i="11"/>
  <c r="Q97" i="10"/>
  <c r="Q107" i="10"/>
  <c r="U5" i="10"/>
  <c r="T21" i="36" s="1"/>
  <c r="P94" i="9"/>
  <c r="Q94" i="9"/>
  <c r="V35" i="11"/>
  <c r="V53" i="11"/>
  <c r="V66" i="11"/>
  <c r="V37" i="11"/>
  <c r="V39" i="11"/>
  <c r="N118" i="10"/>
  <c r="N123" i="10"/>
  <c r="N130" i="10" s="1"/>
  <c r="N107" i="10"/>
  <c r="N109" i="10"/>
  <c r="AF1231" i="3"/>
  <c r="AF1232" i="3"/>
  <c r="X758" i="3"/>
  <c r="Z758" i="3" s="1"/>
  <c r="AB758" i="3" s="1"/>
  <c r="AF758" i="3" s="1"/>
  <c r="N97" i="10"/>
  <c r="R5" i="10"/>
  <c r="Q21" i="36" s="1"/>
  <c r="H40" i="9"/>
  <c r="L40" i="9" s="1"/>
  <c r="P40" i="9" s="1"/>
  <c r="T40" i="9" s="1"/>
  <c r="H31" i="9"/>
  <c r="L31" i="9" s="1"/>
  <c r="P31" i="9" s="1"/>
  <c r="T31" i="9" s="1"/>
  <c r="D45" i="9"/>
  <c r="H22" i="9"/>
  <c r="H18" i="9"/>
  <c r="D29" i="9"/>
  <c r="G129" i="9"/>
  <c r="E129" i="9"/>
  <c r="I2" i="9"/>
  <c r="H2" i="9"/>
  <c r="H5" i="9"/>
  <c r="BC29" i="17" l="1"/>
  <c r="BC31" i="17"/>
  <c r="BC33" i="17"/>
  <c r="BC30" i="17"/>
  <c r="BC32" i="17"/>
  <c r="AV21" i="17"/>
  <c r="AV30" i="17" s="1"/>
  <c r="BD17" i="17"/>
  <c r="BD21" i="17" s="1"/>
  <c r="BB17" i="17"/>
  <c r="BB21" i="17" s="1"/>
  <c r="AW84" i="17"/>
  <c r="BE2" i="17"/>
  <c r="AW65" i="17"/>
  <c r="BD23" i="17"/>
  <c r="BD30" i="17" s="1"/>
  <c r="BB23" i="17"/>
  <c r="AZ81" i="17"/>
  <c r="BB79" i="17"/>
  <c r="BB81" i="17" s="1"/>
  <c r="AV66" i="17"/>
  <c r="AV68" i="17" s="1"/>
  <c r="BD64" i="17"/>
  <c r="BD66" i="17" s="1"/>
  <c r="BD68" i="17" s="1"/>
  <c r="BB65" i="17"/>
  <c r="BD26" i="17"/>
  <c r="BD33" i="17" s="1"/>
  <c r="BB26" i="17"/>
  <c r="AW74" i="17"/>
  <c r="BE74" i="17" s="1"/>
  <c r="BB64" i="17"/>
  <c r="AV77" i="17"/>
  <c r="BD70" i="17"/>
  <c r="BD77" i="17" s="1"/>
  <c r="AW75" i="17"/>
  <c r="BE75" i="17" s="1"/>
  <c r="BB70" i="17"/>
  <c r="BB77" i="17" s="1"/>
  <c r="AW42" i="11"/>
  <c r="BE43" i="11"/>
  <c r="BE46" i="11" s="1"/>
  <c r="BE53" i="11"/>
  <c r="AW29" i="17"/>
  <c r="BE15" i="17"/>
  <c r="AW30" i="17"/>
  <c r="AI47" i="11"/>
  <c r="AN89" i="17"/>
  <c r="AL89" i="17"/>
  <c r="AV57" i="17"/>
  <c r="AR58" i="17"/>
  <c r="AV47" i="17"/>
  <c r="AR48" i="17"/>
  <c r="AW11" i="17"/>
  <c r="AW33" i="17"/>
  <c r="AW12" i="17"/>
  <c r="AR29" i="17"/>
  <c r="AV15" i="17"/>
  <c r="AW31" i="17"/>
  <c r="AV24" i="17"/>
  <c r="AR31" i="17"/>
  <c r="AR34" i="17"/>
  <c r="AO5" i="11"/>
  <c r="AH22" i="36"/>
  <c r="AI37" i="11"/>
  <c r="AI49" i="11"/>
  <c r="AH54" i="17"/>
  <c r="AH111" i="17"/>
  <c r="AH115" i="17" s="1"/>
  <c r="AV9" i="17"/>
  <c r="BD9" i="17" s="1"/>
  <c r="AR13" i="17"/>
  <c r="AR10" i="17"/>
  <c r="AW48" i="17"/>
  <c r="AW40" i="17"/>
  <c r="AW38" i="17"/>
  <c r="AW42" i="17"/>
  <c r="AW52" i="17"/>
  <c r="AW46" i="17"/>
  <c r="AW59" i="17"/>
  <c r="AW80" i="17"/>
  <c r="BE80" i="17" s="1"/>
  <c r="AW83" i="17"/>
  <c r="BE83" i="17" s="1"/>
  <c r="AS66" i="17"/>
  <c r="AS68" i="17" s="1"/>
  <c r="AW64" i="17"/>
  <c r="AR33" i="17"/>
  <c r="AW71" i="17"/>
  <c r="BE71" i="17" s="1"/>
  <c r="AW32" i="17"/>
  <c r="AR25" i="17"/>
  <c r="AN32" i="17"/>
  <c r="AH53" i="17"/>
  <c r="AH110" i="17"/>
  <c r="AH114" i="17" s="1"/>
  <c r="AW9" i="17"/>
  <c r="BE9" i="17" s="1"/>
  <c r="AS13" i="17"/>
  <c r="AS14" i="17" s="1"/>
  <c r="AS10" i="17"/>
  <c r="AO43" i="17"/>
  <c r="AI44" i="17"/>
  <c r="AI49" i="17"/>
  <c r="AW73" i="17"/>
  <c r="BE73" i="17" s="1"/>
  <c r="AF47" i="11"/>
  <c r="AJ5" i="11"/>
  <c r="AE22" i="36"/>
  <c r="AN59" i="17"/>
  <c r="AN61" i="17"/>
  <c r="AR51" i="17"/>
  <c r="AN52" i="17"/>
  <c r="AN113" i="17" s="1"/>
  <c r="AN112" i="17"/>
  <c r="AS86" i="17"/>
  <c r="AW85" i="17"/>
  <c r="BE85" i="17" s="1"/>
  <c r="AW82" i="17"/>
  <c r="BE82" i="17" s="1"/>
  <c r="AV33" i="17"/>
  <c r="AS81" i="17"/>
  <c r="AW79" i="17"/>
  <c r="AW34" i="17"/>
  <c r="BC34" i="17" s="1"/>
  <c r="AW67" i="17"/>
  <c r="BE67" i="17" s="1"/>
  <c r="AR45" i="17"/>
  <c r="AN46" i="17"/>
  <c r="AR43" i="17"/>
  <c r="AN44" i="17"/>
  <c r="AN50" i="17" s="1"/>
  <c r="AN49" i="17"/>
  <c r="AW72" i="17"/>
  <c r="BE72" i="17" s="1"/>
  <c r="AW46" i="11"/>
  <c r="AW44" i="11"/>
  <c r="AW53" i="11"/>
  <c r="AV12" i="17"/>
  <c r="BD12" i="17" s="1"/>
  <c r="AR14" i="17"/>
  <c r="AJ8" i="11"/>
  <c r="AF38" i="11"/>
  <c r="AF34" i="11"/>
  <c r="AF37" i="11" s="1"/>
  <c r="AW70" i="17"/>
  <c r="AS77" i="17"/>
  <c r="AE110" i="17"/>
  <c r="AE114" i="17" s="1"/>
  <c r="AE53" i="17"/>
  <c r="AE54" i="17" s="1"/>
  <c r="AE50" i="17"/>
  <c r="AE111" i="17" s="1"/>
  <c r="AE115" i="17" s="1"/>
  <c r="AW76" i="17"/>
  <c r="BE76" i="17" s="1"/>
  <c r="AJ7" i="10"/>
  <c r="AJ98" i="10" s="1"/>
  <c r="AF94" i="10"/>
  <c r="U87" i="9"/>
  <c r="U90" i="9"/>
  <c r="I98" i="9"/>
  <c r="I92" i="9"/>
  <c r="I93" i="9"/>
  <c r="AB99" i="10"/>
  <c r="AB126" i="10"/>
  <c r="AB128" i="10" s="1"/>
  <c r="AB113" i="10"/>
  <c r="AF63" i="11"/>
  <c r="AF58" i="11"/>
  <c r="AF49" i="11"/>
  <c r="Z40" i="9"/>
  <c r="AD40" i="9" s="1"/>
  <c r="AH40" i="9" s="1"/>
  <c r="AN40" i="9" s="1"/>
  <c r="AR40" i="9" s="1"/>
  <c r="AV40" i="9" s="1"/>
  <c r="BD40" i="9" s="1"/>
  <c r="Z31" i="9"/>
  <c r="AD31" i="9" s="1"/>
  <c r="AH31" i="9" s="1"/>
  <c r="AN31" i="9" s="1"/>
  <c r="AR31" i="9" s="1"/>
  <c r="AV31" i="9" s="1"/>
  <c r="BD31" i="9" s="1"/>
  <c r="H49" i="9"/>
  <c r="L18" i="9"/>
  <c r="P18" i="9" s="1"/>
  <c r="T18" i="9" s="1"/>
  <c r="T90" i="9"/>
  <c r="L5" i="9"/>
  <c r="L89" i="9" s="1"/>
  <c r="L18" i="15" s="1"/>
  <c r="H99" i="9"/>
  <c r="H83" i="9"/>
  <c r="H91" i="9"/>
  <c r="H89" i="9"/>
  <c r="H18" i="15" s="1"/>
  <c r="P87" i="9"/>
  <c r="AB68" i="11"/>
  <c r="AB70" i="11"/>
  <c r="AA5" i="10"/>
  <c r="Z21" i="36" s="1"/>
  <c r="U109" i="10"/>
  <c r="U97" i="10"/>
  <c r="U107" i="10"/>
  <c r="U94" i="9"/>
  <c r="H88" i="9"/>
  <c r="L22" i="9"/>
  <c r="T94" i="9"/>
  <c r="V68" i="11"/>
  <c r="V70" i="11"/>
  <c r="V5" i="10"/>
  <c r="U21" i="36" s="1"/>
  <c r="R123" i="10"/>
  <c r="R130" i="10" s="1"/>
  <c r="R118" i="10"/>
  <c r="R109" i="10"/>
  <c r="R107" i="10"/>
  <c r="V107" i="10" s="1"/>
  <c r="H94" i="26"/>
  <c r="H63" i="9"/>
  <c r="H29" i="9"/>
  <c r="L29" i="9" s="1"/>
  <c r="P29" i="9" s="1"/>
  <c r="T29" i="9" s="1"/>
  <c r="H93" i="9"/>
  <c r="H92" i="9"/>
  <c r="I33" i="22"/>
  <c r="H53" i="9"/>
  <c r="H55" i="9" s="1"/>
  <c r="H65" i="9"/>
  <c r="H57" i="9"/>
  <c r="H60" i="9"/>
  <c r="H26" i="9"/>
  <c r="L26" i="9" s="1"/>
  <c r="P26" i="9" s="1"/>
  <c r="T26" i="9" s="1"/>
  <c r="H45" i="9"/>
  <c r="D27" i="9"/>
  <c r="D28" i="9" s="1"/>
  <c r="H59" i="9"/>
  <c r="H64" i="9"/>
  <c r="H56" i="9"/>
  <c r="H61" i="9"/>
  <c r="H66" i="9"/>
  <c r="E44" i="9"/>
  <c r="G44" i="9"/>
  <c r="H24" i="9"/>
  <c r="L24" i="9" s="1"/>
  <c r="L2" i="9"/>
  <c r="H98" i="9"/>
  <c r="L98" i="9" s="1"/>
  <c r="M2" i="9"/>
  <c r="Q2" i="9" s="1"/>
  <c r="U2" i="9" s="1"/>
  <c r="H21" i="9"/>
  <c r="H96" i="9"/>
  <c r="R97" i="10"/>
  <c r="I129" i="9"/>
  <c r="M129" i="9" s="1"/>
  <c r="Q129" i="9" s="1"/>
  <c r="U129" i="9" s="1"/>
  <c r="AA129" i="9" s="1"/>
  <c r="AE129" i="9" s="1"/>
  <c r="AI129" i="9" s="1"/>
  <c r="AO129" i="9" s="1"/>
  <c r="AS129" i="9" s="1"/>
  <c r="AW129" i="9" s="1"/>
  <c r="BE129" i="9" s="1"/>
  <c r="I60" i="9"/>
  <c r="I45" i="48" s="1"/>
  <c r="I56" i="9"/>
  <c r="I44" i="48" s="1"/>
  <c r="I11" i="9"/>
  <c r="M11" i="9" s="1"/>
  <c r="Q11" i="9" s="1"/>
  <c r="U11" i="9" s="1"/>
  <c r="AA11" i="9" s="1"/>
  <c r="AE11" i="9" s="1"/>
  <c r="AI11" i="9" s="1"/>
  <c r="AO11" i="9" s="1"/>
  <c r="AS11" i="9" s="1"/>
  <c r="AW11" i="9" s="1"/>
  <c r="BE11" i="9" s="1"/>
  <c r="I65" i="9"/>
  <c r="I163" i="9" s="1"/>
  <c r="I165" i="9" s="1"/>
  <c r="I53" i="9"/>
  <c r="I59" i="9"/>
  <c r="I46" i="48" s="1"/>
  <c r="I58" i="9"/>
  <c r="I63" i="9"/>
  <c r="I34" i="9"/>
  <c r="M34" i="9" s="1"/>
  <c r="I32" i="9"/>
  <c r="M32" i="9" s="1"/>
  <c r="Q32" i="9" s="1"/>
  <c r="U32" i="9" s="1"/>
  <c r="AA32" i="9" s="1"/>
  <c r="AE32" i="9" s="1"/>
  <c r="AI32" i="9" s="1"/>
  <c r="I42" i="9"/>
  <c r="M42" i="9" s="1"/>
  <c r="Q42" i="9" s="1"/>
  <c r="U42" i="9" s="1"/>
  <c r="AA42" i="9" s="1"/>
  <c r="AE42" i="9" s="1"/>
  <c r="AI42" i="9" s="1"/>
  <c r="AO42" i="9" s="1"/>
  <c r="AS42" i="9" s="1"/>
  <c r="AW42" i="9" s="1"/>
  <c r="BE42" i="9" s="1"/>
  <c r="G33" i="9"/>
  <c r="G39" i="9" s="1"/>
  <c r="I64" i="9"/>
  <c r="I18" i="9"/>
  <c r="H97" i="9"/>
  <c r="L97" i="9" s="1"/>
  <c r="H95" i="9"/>
  <c r="I22" i="9"/>
  <c r="I9" i="9"/>
  <c r="M9" i="9" s="1"/>
  <c r="Q9" i="9" s="1"/>
  <c r="U9" i="9" s="1"/>
  <c r="AA9" i="9" s="1"/>
  <c r="I35" i="9"/>
  <c r="M35" i="9" s="1"/>
  <c r="E33" i="9"/>
  <c r="E39" i="9" s="1"/>
  <c r="I7" i="9"/>
  <c r="M7" i="9" s="1"/>
  <c r="Q7" i="9" s="1"/>
  <c r="U7" i="9" s="1"/>
  <c r="AA7" i="9" s="1"/>
  <c r="AE7" i="9" s="1"/>
  <c r="AI7" i="9" s="1"/>
  <c r="I21" i="9"/>
  <c r="I82" i="9"/>
  <c r="M82" i="9" s="1"/>
  <c r="Q82" i="9" s="1"/>
  <c r="U82" i="9" s="1"/>
  <c r="AA82" i="9" s="1"/>
  <c r="AE82" i="9" s="1"/>
  <c r="AI82" i="9" s="1"/>
  <c r="AO82" i="9" s="1"/>
  <c r="AS82" i="9" s="1"/>
  <c r="AW82" i="9" s="1"/>
  <c r="I57" i="9"/>
  <c r="I43" i="48" s="1"/>
  <c r="I61" i="9"/>
  <c r="J63" i="22" s="1"/>
  <c r="J65" i="22" s="1"/>
  <c r="J66" i="22" s="1"/>
  <c r="I40" i="48" s="1"/>
  <c r="I66" i="9"/>
  <c r="J58" i="22" s="1"/>
  <c r="J60" i="22" s="1"/>
  <c r="J61" i="22" s="1"/>
  <c r="I37" i="48" s="1"/>
  <c r="I29" i="9"/>
  <c r="M29" i="9" s="1"/>
  <c r="Q29" i="9" s="1"/>
  <c r="U29" i="9" s="1"/>
  <c r="AA29" i="9" s="1"/>
  <c r="AE29" i="9" s="1"/>
  <c r="AI29" i="9" s="1"/>
  <c r="AO29" i="9" s="1"/>
  <c r="AS29" i="9" s="1"/>
  <c r="AW29" i="9" s="1"/>
  <c r="BE29" i="9" s="1"/>
  <c r="G10" i="9"/>
  <c r="I31" i="9"/>
  <c r="M31" i="9" s="1"/>
  <c r="I40" i="9"/>
  <c r="M40" i="9" s="1"/>
  <c r="I8" i="9"/>
  <c r="M8" i="9" s="1"/>
  <c r="E10" i="9"/>
  <c r="I26" i="9"/>
  <c r="M26" i="9" s="1"/>
  <c r="I12" i="9"/>
  <c r="M12" i="9" s="1"/>
  <c r="Q12" i="9" s="1"/>
  <c r="U12" i="9" s="1"/>
  <c r="AA12" i="9" s="1"/>
  <c r="AE12" i="9" s="1"/>
  <c r="AI12" i="9" s="1"/>
  <c r="AO12" i="9" s="1"/>
  <c r="AS12" i="9" s="1"/>
  <c r="AW12" i="9" s="1"/>
  <c r="BE12" i="9" s="1"/>
  <c r="I25" i="9"/>
  <c r="M25" i="9" s="1"/>
  <c r="I24" i="9"/>
  <c r="M24" i="9" s="1"/>
  <c r="I2" i="8"/>
  <c r="H2" i="8"/>
  <c r="L2" i="8" s="1"/>
  <c r="P2" i="8" s="1"/>
  <c r="T2" i="8" s="1"/>
  <c r="Z2" i="8" s="1"/>
  <c r="AD2" i="8" s="1"/>
  <c r="G55" i="8"/>
  <c r="G54" i="8"/>
  <c r="G53" i="8"/>
  <c r="G52" i="8"/>
  <c r="G51" i="8"/>
  <c r="E55" i="8"/>
  <c r="E54" i="8"/>
  <c r="E53" i="8"/>
  <c r="E52" i="8"/>
  <c r="E51" i="8"/>
  <c r="AW81" i="17" l="1"/>
  <c r="BE79" i="17"/>
  <c r="BE81" i="17" s="1"/>
  <c r="BE13" i="17"/>
  <c r="BE10" i="17"/>
  <c r="AW66" i="17"/>
  <c r="BE64" i="17"/>
  <c r="AV34" i="17"/>
  <c r="BD34" i="17" s="1"/>
  <c r="BB34" i="17"/>
  <c r="AV29" i="17"/>
  <c r="BD15" i="17"/>
  <c r="BD29" i="17" s="1"/>
  <c r="BB15" i="17"/>
  <c r="BB29" i="17" s="1"/>
  <c r="AV58" i="17"/>
  <c r="BD57" i="17"/>
  <c r="BD58" i="17" s="1"/>
  <c r="BB57" i="17"/>
  <c r="BB58" i="17" s="1"/>
  <c r="AJ47" i="11"/>
  <c r="BD13" i="17"/>
  <c r="BD14" i="17" s="1"/>
  <c r="BD10" i="17"/>
  <c r="BE65" i="17"/>
  <c r="BE82" i="9"/>
  <c r="BC82" i="9"/>
  <c r="AV31" i="17"/>
  <c r="BD24" i="17"/>
  <c r="BD31" i="17" s="1"/>
  <c r="BB24" i="17"/>
  <c r="BB31" i="17" s="1"/>
  <c r="AV48" i="17"/>
  <c r="BD47" i="17"/>
  <c r="BD48" i="17" s="1"/>
  <c r="BB47" i="17"/>
  <c r="BB48" i="17" s="1"/>
  <c r="BB12" i="17"/>
  <c r="BE40" i="17"/>
  <c r="BE48" i="17"/>
  <c r="BE38" i="17"/>
  <c r="BE42" i="17"/>
  <c r="BE52" i="17"/>
  <c r="BE46" i="17"/>
  <c r="BE12" i="17"/>
  <c r="BE113" i="17" s="1"/>
  <c r="BE11" i="17"/>
  <c r="BE59" i="17"/>
  <c r="AW77" i="17"/>
  <c r="BE70" i="17"/>
  <c r="BE77" i="17" s="1"/>
  <c r="BB66" i="17"/>
  <c r="BB68" i="17" s="1"/>
  <c r="BB33" i="17"/>
  <c r="BB30" i="17"/>
  <c r="BE84" i="17"/>
  <c r="BE44" i="11"/>
  <c r="BE42" i="11"/>
  <c r="BE34" i="17"/>
  <c r="AR89" i="17"/>
  <c r="AV89" i="17" s="1"/>
  <c r="BE30" i="17"/>
  <c r="BE29" i="17"/>
  <c r="BE31" i="17"/>
  <c r="BE32" i="17"/>
  <c r="BE33" i="17"/>
  <c r="AJ94" i="10"/>
  <c r="AJ99" i="10" s="1"/>
  <c r="AP8" i="11"/>
  <c r="AJ38" i="11"/>
  <c r="AJ34" i="11"/>
  <c r="AN53" i="17"/>
  <c r="AN110" i="17"/>
  <c r="AN114" i="17" s="1"/>
  <c r="AV45" i="17"/>
  <c r="AR46" i="17"/>
  <c r="AS43" i="17"/>
  <c r="AO44" i="17"/>
  <c r="AO49" i="17"/>
  <c r="AV13" i="17"/>
  <c r="AV14" i="17" s="1"/>
  <c r="AV10" i="17"/>
  <c r="AV61" i="17"/>
  <c r="AV59" i="17"/>
  <c r="I166" i="9"/>
  <c r="I110" i="7"/>
  <c r="AN111" i="17"/>
  <c r="AN115" i="17" s="1"/>
  <c r="AN54" i="17"/>
  <c r="AF35" i="11"/>
  <c r="AF66" i="11"/>
  <c r="AF68" i="11" s="1"/>
  <c r="AF53" i="11"/>
  <c r="AR49" i="17"/>
  <c r="AV43" i="17"/>
  <c r="AR44" i="17"/>
  <c r="AI110" i="17"/>
  <c r="AI114" i="17" s="1"/>
  <c r="AI50" i="17"/>
  <c r="AI111" i="17" s="1"/>
  <c r="AI115" i="17" s="1"/>
  <c r="AI53" i="17"/>
  <c r="AI54" i="17" s="1"/>
  <c r="AW113" i="17"/>
  <c r="AF39" i="11"/>
  <c r="AW86" i="17"/>
  <c r="BE86" i="17" s="1"/>
  <c r="AV51" i="17"/>
  <c r="AR52" i="17"/>
  <c r="AR113" i="17" s="1"/>
  <c r="AR112" i="17"/>
  <c r="AP5" i="11"/>
  <c r="AJ63" i="11"/>
  <c r="AJ58" i="11"/>
  <c r="AI22" i="36"/>
  <c r="AJ49" i="11"/>
  <c r="AW13" i="17"/>
  <c r="AW14" i="17" s="1"/>
  <c r="AW10" i="17"/>
  <c r="AV25" i="17"/>
  <c r="AR32" i="17"/>
  <c r="AW68" i="17"/>
  <c r="AS5" i="11"/>
  <c r="AN22" i="36"/>
  <c r="AO37" i="11"/>
  <c r="AO49" i="11"/>
  <c r="AR59" i="17"/>
  <c r="AR61" i="17"/>
  <c r="AO47" i="11"/>
  <c r="L93" i="9"/>
  <c r="AO32" i="9"/>
  <c r="AS32" i="9" s="1"/>
  <c r="AO7" i="9"/>
  <c r="AS7" i="9" s="1"/>
  <c r="AH2" i="8"/>
  <c r="AA107" i="10"/>
  <c r="AP7" i="10"/>
  <c r="AF99" i="10"/>
  <c r="AF126" i="10"/>
  <c r="AF128" i="10" s="1"/>
  <c r="AF113" i="10"/>
  <c r="AF95" i="10"/>
  <c r="M33" i="9"/>
  <c r="Q31" i="9"/>
  <c r="M22" i="9"/>
  <c r="I96" i="9"/>
  <c r="I55" i="9"/>
  <c r="I42" i="48" s="1"/>
  <c r="M53" i="9"/>
  <c r="L92" i="9"/>
  <c r="M92" i="9"/>
  <c r="Q92" i="9" s="1"/>
  <c r="U92" i="9" s="1"/>
  <c r="AA2" i="9"/>
  <c r="Y2" i="9"/>
  <c r="H51" i="9"/>
  <c r="H69" i="9"/>
  <c r="M98" i="9"/>
  <c r="Q98" i="9" s="1"/>
  <c r="U98" i="9" s="1"/>
  <c r="AA87" i="9"/>
  <c r="H70" i="9"/>
  <c r="A43" i="9"/>
  <c r="M21" i="9"/>
  <c r="M18" i="9"/>
  <c r="I49" i="9"/>
  <c r="M49" i="9" s="1"/>
  <c r="M93" i="9"/>
  <c r="Q93" i="9" s="1"/>
  <c r="U93" i="9" s="1"/>
  <c r="AA90" i="9"/>
  <c r="AE9" i="9"/>
  <c r="AI9" i="9" s="1"/>
  <c r="AE5" i="10"/>
  <c r="L45" i="9"/>
  <c r="L69" i="9" s="1"/>
  <c r="H73" i="9"/>
  <c r="H77" i="9"/>
  <c r="Z26" i="9"/>
  <c r="AD26" i="9" s="1"/>
  <c r="AH26" i="9" s="1"/>
  <c r="AN26" i="9" s="1"/>
  <c r="AR26" i="9" s="1"/>
  <c r="AV26" i="9" s="1"/>
  <c r="BD26" i="9" s="1"/>
  <c r="L27" i="9"/>
  <c r="P24" i="9"/>
  <c r="Z18" i="9"/>
  <c r="AD18" i="9" s="1"/>
  <c r="AH18" i="9" s="1"/>
  <c r="X83" i="9"/>
  <c r="L49" i="9"/>
  <c r="P49" i="9" s="1"/>
  <c r="T49" i="9" s="1"/>
  <c r="L99" i="9"/>
  <c r="L53" i="9"/>
  <c r="L55" i="9" s="1"/>
  <c r="H68" i="9"/>
  <c r="Z29" i="9"/>
  <c r="AD29" i="9" s="1"/>
  <c r="AH29" i="9" s="1"/>
  <c r="AN29" i="9" s="1"/>
  <c r="AR29" i="9" s="1"/>
  <c r="AV29" i="9" s="1"/>
  <c r="BD29" i="9" s="1"/>
  <c r="T87" i="9"/>
  <c r="L83" i="9"/>
  <c r="P5" i="9"/>
  <c r="L95" i="9"/>
  <c r="L91" i="9"/>
  <c r="X91" i="9"/>
  <c r="Z90" i="9"/>
  <c r="AD90" i="9" s="1"/>
  <c r="AH90" i="9" s="1"/>
  <c r="AA94" i="9"/>
  <c r="Z94" i="9"/>
  <c r="AD94" i="9" s="1"/>
  <c r="AH94" i="9" s="1"/>
  <c r="AB5" i="10"/>
  <c r="AA21" i="36" s="1"/>
  <c r="AA97" i="10"/>
  <c r="AA109" i="10"/>
  <c r="Q26" i="9"/>
  <c r="M61" i="9"/>
  <c r="N63" i="22" s="1"/>
  <c r="M64" i="9"/>
  <c r="M36" i="9"/>
  <c r="M39" i="9" s="1"/>
  <c r="Q34" i="9"/>
  <c r="M37" i="9"/>
  <c r="M45" i="9" s="1"/>
  <c r="M60" i="9"/>
  <c r="M45" i="48" s="1"/>
  <c r="H76" i="9"/>
  <c r="L61" i="9"/>
  <c r="L57" i="9"/>
  <c r="H72" i="9"/>
  <c r="M66" i="9"/>
  <c r="N58" i="22" s="1"/>
  <c r="N60" i="22" s="1"/>
  <c r="N61" i="22" s="1"/>
  <c r="M37" i="48" s="1"/>
  <c r="Q24" i="9"/>
  <c r="M57" i="9"/>
  <c r="M43" i="48" s="1"/>
  <c r="M63" i="9"/>
  <c r="M65" i="9"/>
  <c r="M163" i="9" s="1"/>
  <c r="M165" i="9" s="1"/>
  <c r="H71" i="9"/>
  <c r="L56" i="9"/>
  <c r="H80" i="9"/>
  <c r="L65" i="9"/>
  <c r="M44" i="9"/>
  <c r="Q40" i="9"/>
  <c r="M27" i="9"/>
  <c r="M28" i="9" s="1"/>
  <c r="Q25" i="9"/>
  <c r="U25" i="9" s="1"/>
  <c r="AA25" i="9" s="1"/>
  <c r="Q8" i="9"/>
  <c r="M10" i="9"/>
  <c r="M38" i="9"/>
  <c r="M46" i="9" s="1"/>
  <c r="Q35" i="9"/>
  <c r="L64" i="9"/>
  <c r="H79" i="9"/>
  <c r="M59" i="9"/>
  <c r="M46" i="48" s="1"/>
  <c r="M56" i="9"/>
  <c r="M44" i="48" s="1"/>
  <c r="L66" i="9"/>
  <c r="H81" i="9"/>
  <c r="H74" i="9"/>
  <c r="L59" i="9"/>
  <c r="L60" i="9"/>
  <c r="H75" i="9"/>
  <c r="H78" i="9"/>
  <c r="L63" i="9"/>
  <c r="L96" i="9"/>
  <c r="P22" i="9"/>
  <c r="L51" i="9"/>
  <c r="L88" i="9"/>
  <c r="H84" i="9"/>
  <c r="H86" i="9" s="1"/>
  <c r="L21" i="9"/>
  <c r="L84" i="9" s="1"/>
  <c r="M2" i="8"/>
  <c r="Q2" i="8" s="1"/>
  <c r="U2" i="8" s="1"/>
  <c r="AA2" i="8" s="1"/>
  <c r="I75" i="8"/>
  <c r="I82" i="8"/>
  <c r="I83" i="8"/>
  <c r="V123" i="10"/>
  <c r="V130" i="10" s="1"/>
  <c r="V118" i="10"/>
  <c r="V109" i="10"/>
  <c r="V97" i="10"/>
  <c r="M58" i="9"/>
  <c r="G14" i="9"/>
  <c r="E14" i="9"/>
  <c r="H81" i="26"/>
  <c r="H80" i="26"/>
  <c r="H87" i="26"/>
  <c r="H91" i="26"/>
  <c r="H85" i="26"/>
  <c r="H83" i="26"/>
  <c r="H82" i="26"/>
  <c r="H90" i="26"/>
  <c r="H86" i="26"/>
  <c r="H88" i="26"/>
  <c r="H89" i="26"/>
  <c r="H84" i="26"/>
  <c r="D34" i="8"/>
  <c r="Q33" i="22"/>
  <c r="L94" i="26"/>
  <c r="I119" i="9"/>
  <c r="M119" i="9" s="1"/>
  <c r="Q119" i="9" s="1"/>
  <c r="U119" i="9" s="1"/>
  <c r="AA119" i="9" s="1"/>
  <c r="AE119" i="9" s="1"/>
  <c r="AI119" i="9" s="1"/>
  <c r="AO119" i="9" s="1"/>
  <c r="M33" i="22"/>
  <c r="I123" i="9"/>
  <c r="M123" i="9" s="1"/>
  <c r="I122" i="9"/>
  <c r="M122" i="9" s="1"/>
  <c r="I124" i="9"/>
  <c r="M124" i="9" s="1"/>
  <c r="I121" i="9"/>
  <c r="M121" i="9" s="1"/>
  <c r="Q121" i="9" s="1"/>
  <c r="U121" i="9" s="1"/>
  <c r="AA121" i="9" s="1"/>
  <c r="I120" i="9"/>
  <c r="M120" i="9" s="1"/>
  <c r="I65" i="8"/>
  <c r="I57" i="8" s="1"/>
  <c r="I67" i="8"/>
  <c r="I58" i="8" s="1"/>
  <c r="D82" i="9"/>
  <c r="I44" i="9"/>
  <c r="H27" i="9"/>
  <c r="H50" i="9" s="1"/>
  <c r="H7" i="9" s="1"/>
  <c r="P2" i="9"/>
  <c r="T2" i="9" s="1"/>
  <c r="H29" i="8"/>
  <c r="H85" i="8"/>
  <c r="L85" i="8" s="1"/>
  <c r="P85" i="8" s="1"/>
  <c r="T85" i="8" s="1"/>
  <c r="Z85" i="8" s="1"/>
  <c r="AD85" i="8" s="1"/>
  <c r="AH85" i="8" s="1"/>
  <c r="AN85" i="8" s="1"/>
  <c r="AR85" i="8" s="1"/>
  <c r="AV85" i="8" s="1"/>
  <c r="BD85" i="8" s="1"/>
  <c r="H82" i="8"/>
  <c r="L82" i="8" s="1"/>
  <c r="P82" i="8" s="1"/>
  <c r="T82" i="8" s="1"/>
  <c r="Z82" i="8" s="1"/>
  <c r="AD82" i="8" s="1"/>
  <c r="H30" i="8"/>
  <c r="I88" i="9"/>
  <c r="I10" i="9"/>
  <c r="G47" i="9"/>
  <c r="E47" i="9"/>
  <c r="I36" i="9"/>
  <c r="H83" i="8"/>
  <c r="L83" i="8" s="1"/>
  <c r="P83" i="8" s="1"/>
  <c r="T83" i="8" s="1"/>
  <c r="Z83" i="8" s="1"/>
  <c r="AD83" i="8" s="1"/>
  <c r="AH83" i="8" s="1"/>
  <c r="I38" i="9"/>
  <c r="I46" i="9" s="1"/>
  <c r="H27" i="8"/>
  <c r="I37" i="9"/>
  <c r="I45" i="9" s="1"/>
  <c r="I33" i="9"/>
  <c r="I27" i="9"/>
  <c r="I28" i="9" s="1"/>
  <c r="H28" i="8"/>
  <c r="AV32" i="17" l="1"/>
  <c r="BD25" i="17"/>
  <c r="BD32" i="17" s="1"/>
  <c r="BB25" i="17"/>
  <c r="BB32" i="17" s="1"/>
  <c r="BB59" i="17"/>
  <c r="BB61" i="17"/>
  <c r="BE66" i="17"/>
  <c r="BE68" i="17" s="1"/>
  <c r="AA93" i="9"/>
  <c r="BD61" i="17"/>
  <c r="BD59" i="17"/>
  <c r="BD51" i="17"/>
  <c r="BB51" i="17"/>
  <c r="BD43" i="17"/>
  <c r="BB43" i="17"/>
  <c r="AV46" i="17"/>
  <c r="BD45" i="17"/>
  <c r="BD46" i="17" s="1"/>
  <c r="BB45" i="17"/>
  <c r="BB46" i="17" s="1"/>
  <c r="BE14" i="17"/>
  <c r="BB14" i="17"/>
  <c r="AJ126" i="10"/>
  <c r="AJ113" i="10"/>
  <c r="AJ95" i="10"/>
  <c r="AZ89" i="17"/>
  <c r="BB89" i="17" s="1"/>
  <c r="BD89" i="17"/>
  <c r="AF70" i="11"/>
  <c r="M75" i="8"/>
  <c r="Q75" i="8" s="1"/>
  <c r="U75" i="8" s="1"/>
  <c r="AA75" i="8" s="1"/>
  <c r="M166" i="9"/>
  <c r="M110" i="7"/>
  <c r="AW32" i="9"/>
  <c r="BE32" i="9" s="1"/>
  <c r="AS47" i="11"/>
  <c r="AW5" i="11"/>
  <c r="BE5" i="11" s="1"/>
  <c r="AR22" i="36"/>
  <c r="AS37" i="11"/>
  <c r="AS49" i="11"/>
  <c r="AV44" i="17"/>
  <c r="AV50" i="17" s="1"/>
  <c r="AV49" i="17"/>
  <c r="I170" i="9"/>
  <c r="I171" i="9" s="1"/>
  <c r="I168" i="9"/>
  <c r="AS49" i="17"/>
  <c r="AW43" i="17"/>
  <c r="BE43" i="17" s="1"/>
  <c r="AS44" i="17"/>
  <c r="AV52" i="17"/>
  <c r="AV113" i="17" s="1"/>
  <c r="AV112" i="17"/>
  <c r="AR53" i="17"/>
  <c r="AR110" i="17"/>
  <c r="AR114" i="17" s="1"/>
  <c r="AJ35" i="11"/>
  <c r="AJ53" i="11"/>
  <c r="AJ66" i="11"/>
  <c r="AJ68" i="11" s="1"/>
  <c r="AJ37" i="11"/>
  <c r="M83" i="8"/>
  <c r="Q83" i="8" s="1"/>
  <c r="U83" i="8" s="1"/>
  <c r="N65" i="22"/>
  <c r="N66" i="22" s="1"/>
  <c r="M40" i="48" s="1"/>
  <c r="AP47" i="11"/>
  <c r="AT5" i="11"/>
  <c r="AP63" i="11"/>
  <c r="AP58" i="11"/>
  <c r="AO22" i="36"/>
  <c r="AP49" i="11"/>
  <c r="AO53" i="17"/>
  <c r="AO54" i="17" s="1"/>
  <c r="AO50" i="17"/>
  <c r="AO111" i="17" s="1"/>
  <c r="AO115" i="17" s="1"/>
  <c r="AO110" i="17"/>
  <c r="AO114" i="17" s="1"/>
  <c r="AJ39" i="11"/>
  <c r="M82" i="8"/>
  <c r="Q82" i="8" s="1"/>
  <c r="U82" i="8" s="1"/>
  <c r="AA82" i="8" s="1"/>
  <c r="AS119" i="9"/>
  <c r="AW7" i="9"/>
  <c r="BE7" i="9" s="1"/>
  <c r="AR50" i="17"/>
  <c r="I111" i="7"/>
  <c r="I112" i="7"/>
  <c r="I113" i="7" s="1"/>
  <c r="AT8" i="11"/>
  <c r="AP34" i="11"/>
  <c r="AP38" i="11"/>
  <c r="AT7" i="10"/>
  <c r="AP98" i="10"/>
  <c r="AN90" i="9"/>
  <c r="AR90" i="9" s="1"/>
  <c r="AN18" i="9"/>
  <c r="AR18" i="9" s="1"/>
  <c r="AO9" i="9"/>
  <c r="AS9" i="9" s="1"/>
  <c r="AN94" i="9"/>
  <c r="AR94" i="9" s="1"/>
  <c r="AA83" i="8"/>
  <c r="AE2" i="8"/>
  <c r="AH82" i="8"/>
  <c r="AN2" i="8"/>
  <c r="AR2" i="8" s="1"/>
  <c r="AD21" i="36"/>
  <c r="AI5" i="10"/>
  <c r="AP94" i="10"/>
  <c r="AJ128" i="10"/>
  <c r="Q21" i="9"/>
  <c r="Y28" i="9"/>
  <c r="Y98" i="9"/>
  <c r="Y92" i="9"/>
  <c r="Y93" i="9"/>
  <c r="M55" i="9"/>
  <c r="M42" i="48" s="1"/>
  <c r="Q53" i="9"/>
  <c r="P89" i="9"/>
  <c r="P18" i="15" s="1"/>
  <c r="P93" i="9"/>
  <c r="T93" i="9" s="1"/>
  <c r="AA92" i="9"/>
  <c r="AE92" i="9" s="1"/>
  <c r="AE2" i="9"/>
  <c r="U31" i="9"/>
  <c r="Q33" i="9"/>
  <c r="E69" i="9"/>
  <c r="E70" i="9"/>
  <c r="E80" i="9"/>
  <c r="E76" i="9"/>
  <c r="E72" i="9"/>
  <c r="E51" i="9"/>
  <c r="E81" i="9"/>
  <c r="E79" i="9"/>
  <c r="E75" i="9"/>
  <c r="E71" i="9"/>
  <c r="E50" i="9"/>
  <c r="E73" i="9"/>
  <c r="E78" i="9"/>
  <c r="E74" i="9"/>
  <c r="E68" i="9"/>
  <c r="E77" i="9"/>
  <c r="Z2" i="9"/>
  <c r="AD2" i="9" s="1"/>
  <c r="AH2" i="9" s="1"/>
  <c r="X2" i="9"/>
  <c r="L70" i="9"/>
  <c r="Q18" i="9"/>
  <c r="AE87" i="9"/>
  <c r="AI87" i="9" s="1"/>
  <c r="G69" i="9"/>
  <c r="G70" i="9"/>
  <c r="G80" i="9"/>
  <c r="G76" i="9"/>
  <c r="G72" i="9"/>
  <c r="G81" i="9"/>
  <c r="G79" i="9"/>
  <c r="G75" i="9"/>
  <c r="G71" i="9"/>
  <c r="G73" i="9"/>
  <c r="G51" i="9"/>
  <c r="G78" i="9"/>
  <c r="G74" i="9"/>
  <c r="G68" i="9"/>
  <c r="G77" i="9"/>
  <c r="G50" i="9"/>
  <c r="AE90" i="9"/>
  <c r="AI90" i="9" s="1"/>
  <c r="AA98" i="9"/>
  <c r="AE98" i="9" s="1"/>
  <c r="P92" i="9"/>
  <c r="T92" i="9" s="1"/>
  <c r="M96" i="9"/>
  <c r="Q22" i="9"/>
  <c r="M88" i="9"/>
  <c r="P98" i="9"/>
  <c r="T98" i="9" s="1"/>
  <c r="Q120" i="9"/>
  <c r="AE25" i="9"/>
  <c r="AI25" i="9" s="1"/>
  <c r="AE94" i="9"/>
  <c r="AI94" i="9" s="1"/>
  <c r="AE121" i="9"/>
  <c r="AI121" i="9" s="1"/>
  <c r="AE107" i="10"/>
  <c r="AI107" i="10" s="1"/>
  <c r="AE97" i="10"/>
  <c r="AE109" i="10"/>
  <c r="AF5" i="10"/>
  <c r="P45" i="9"/>
  <c r="P69" i="9" s="1"/>
  <c r="L73" i="9"/>
  <c r="L77" i="9"/>
  <c r="P27" i="9"/>
  <c r="T24" i="9"/>
  <c r="L82" i="9"/>
  <c r="L50" i="9"/>
  <c r="L7" i="9" s="1"/>
  <c r="L28" i="9"/>
  <c r="L86" i="9"/>
  <c r="Z49" i="9"/>
  <c r="AD49" i="9" s="1"/>
  <c r="AH49" i="9" s="1"/>
  <c r="P99" i="9"/>
  <c r="T5" i="9"/>
  <c r="P83" i="9"/>
  <c r="P95" i="9"/>
  <c r="P91" i="9"/>
  <c r="Z87" i="9"/>
  <c r="AD87" i="9" s="1"/>
  <c r="AH87" i="9" s="1"/>
  <c r="L68" i="9"/>
  <c r="P53" i="9"/>
  <c r="P55" i="9" s="1"/>
  <c r="P97" i="9"/>
  <c r="AB123" i="10"/>
  <c r="AB130" i="10" s="1"/>
  <c r="AB118" i="10"/>
  <c r="AB109" i="10"/>
  <c r="AB97" i="10"/>
  <c r="AB107" i="10"/>
  <c r="M47" i="9"/>
  <c r="M79" i="9" s="1"/>
  <c r="Q123" i="9"/>
  <c r="L78" i="9"/>
  <c r="P63" i="9"/>
  <c r="L74" i="9"/>
  <c r="P59" i="9"/>
  <c r="Q65" i="9"/>
  <c r="Q163" i="9" s="1"/>
  <c r="Q165" i="9" s="1"/>
  <c r="Q57" i="9"/>
  <c r="Q43" i="48" s="1"/>
  <c r="Q66" i="9"/>
  <c r="R58" i="22" s="1"/>
  <c r="R60" i="22" s="1"/>
  <c r="R61" i="22" s="1"/>
  <c r="Q37" i="48" s="1"/>
  <c r="U34" i="9"/>
  <c r="Q37" i="9"/>
  <c r="Q45" i="9" s="1"/>
  <c r="L71" i="9"/>
  <c r="P56" i="9"/>
  <c r="P96" i="9"/>
  <c r="T22" i="9"/>
  <c r="P88" i="9"/>
  <c r="Q59" i="9"/>
  <c r="Q46" i="48" s="1"/>
  <c r="L79" i="9"/>
  <c r="P64" i="9"/>
  <c r="U8" i="9"/>
  <c r="AA8" i="9" s="1"/>
  <c r="Q10" i="9"/>
  <c r="L72" i="9"/>
  <c r="P57" i="9"/>
  <c r="Q60" i="9"/>
  <c r="Q45" i="48" s="1"/>
  <c r="Q124" i="9"/>
  <c r="U26" i="9"/>
  <c r="Q56" i="9"/>
  <c r="Q44" i="48" s="1"/>
  <c r="Q44" i="9"/>
  <c r="U40" i="9"/>
  <c r="Q63" i="9"/>
  <c r="Q122" i="9"/>
  <c r="U24" i="9"/>
  <c r="Q27" i="9"/>
  <c r="Q28" i="9" s="1"/>
  <c r="Q61" i="9"/>
  <c r="R63" i="22" s="1"/>
  <c r="R65" i="22" s="1"/>
  <c r="R66" i="22" s="1"/>
  <c r="Q40" i="48" s="1"/>
  <c r="L75" i="9"/>
  <c r="P60" i="9"/>
  <c r="L81" i="9"/>
  <c r="P66" i="9"/>
  <c r="Q36" i="9"/>
  <c r="Q39" i="9" s="1"/>
  <c r="U35" i="9"/>
  <c r="AA35" i="9" s="1"/>
  <c r="Q38" i="9"/>
  <c r="Q46" i="9" s="1"/>
  <c r="U123" i="9"/>
  <c r="AA123" i="9" s="1"/>
  <c r="L80" i="9"/>
  <c r="P65" i="9"/>
  <c r="L76" i="9"/>
  <c r="P61" i="9"/>
  <c r="M77" i="9"/>
  <c r="Q64" i="9"/>
  <c r="Q58" i="9"/>
  <c r="M73" i="9"/>
  <c r="L86" i="26"/>
  <c r="L84" i="26"/>
  <c r="L90" i="26"/>
  <c r="L91" i="26"/>
  <c r="L89" i="26"/>
  <c r="L82" i="26"/>
  <c r="L87" i="26"/>
  <c r="L88" i="26"/>
  <c r="L83" i="26"/>
  <c r="L80" i="26"/>
  <c r="L85" i="26"/>
  <c r="L81" i="26"/>
  <c r="L28" i="8"/>
  <c r="L30" i="8"/>
  <c r="L29" i="8"/>
  <c r="L27" i="8"/>
  <c r="H82" i="9"/>
  <c r="H28" i="9"/>
  <c r="H92" i="26"/>
  <c r="P94" i="26"/>
  <c r="H68" i="8"/>
  <c r="D35" i="8"/>
  <c r="H35" i="8" s="1"/>
  <c r="L35" i="8" s="1"/>
  <c r="P35" i="8" s="1"/>
  <c r="T35" i="8" s="1"/>
  <c r="Z35" i="8" s="1"/>
  <c r="AD35" i="8" s="1"/>
  <c r="AH35" i="8" s="1"/>
  <c r="AN35" i="8" s="1"/>
  <c r="AR35" i="8" s="1"/>
  <c r="AV35" i="8" s="1"/>
  <c r="BD35" i="8" s="1"/>
  <c r="H60" i="8"/>
  <c r="I39" i="9"/>
  <c r="I47" i="9"/>
  <c r="I69" i="9" s="1"/>
  <c r="BD22" i="36" l="1"/>
  <c r="BE37" i="11"/>
  <c r="BE49" i="11"/>
  <c r="BD49" i="17"/>
  <c r="BD44" i="17"/>
  <c r="BD50" i="17" s="1"/>
  <c r="AE82" i="8"/>
  <c r="BB52" i="17"/>
  <c r="BB113" i="17" s="1"/>
  <c r="BB112" i="17"/>
  <c r="BD52" i="17"/>
  <c r="BD113" i="17" s="1"/>
  <c r="BD112" i="17"/>
  <c r="BE49" i="17"/>
  <c r="BE44" i="17"/>
  <c r="BB44" i="17"/>
  <c r="BB50" i="17" s="1"/>
  <c r="BB49" i="17"/>
  <c r="I172" i="9"/>
  <c r="I12" i="48" s="1"/>
  <c r="I13" i="48" s="1"/>
  <c r="I114" i="7"/>
  <c r="I17" i="48" s="1"/>
  <c r="AP39" i="11"/>
  <c r="AV111" i="17"/>
  <c r="AV115" i="17" s="1"/>
  <c r="AV54" i="17"/>
  <c r="AV2" i="8"/>
  <c r="BD2" i="8" s="1"/>
  <c r="AV90" i="9"/>
  <c r="BD90" i="9" s="1"/>
  <c r="AP66" i="11"/>
  <c r="AP68" i="11" s="1"/>
  <c r="AP37" i="11"/>
  <c r="AP35" i="11"/>
  <c r="AP53" i="11"/>
  <c r="AJ70" i="11"/>
  <c r="AS110" i="17"/>
  <c r="AS114" i="17" s="1"/>
  <c r="AS53" i="17"/>
  <c r="AS54" i="17" s="1"/>
  <c r="AS50" i="17"/>
  <c r="AS111" i="17" s="1"/>
  <c r="AS115" i="17" s="1"/>
  <c r="AV53" i="17"/>
  <c r="AV110" i="17"/>
  <c r="AV114" i="17" s="1"/>
  <c r="AV94" i="9"/>
  <c r="BD94" i="9" s="1"/>
  <c r="AX8" i="11"/>
  <c r="AT38" i="11"/>
  <c r="AT34" i="11"/>
  <c r="AR54" i="17"/>
  <c r="AR111" i="17"/>
  <c r="AR115" i="17" s="1"/>
  <c r="AW47" i="11"/>
  <c r="BE47" i="11" s="1"/>
  <c r="AV22" i="36"/>
  <c r="AW37" i="11"/>
  <c r="AW49" i="11"/>
  <c r="M112" i="7"/>
  <c r="M113" i="7" s="1"/>
  <c r="M111" i="7"/>
  <c r="M51" i="9"/>
  <c r="P51" i="9"/>
  <c r="Z98" i="9"/>
  <c r="AD98" i="9" s="1"/>
  <c r="AH98" i="9" s="1"/>
  <c r="Z92" i="9"/>
  <c r="AD92" i="9" s="1"/>
  <c r="AH92" i="9" s="1"/>
  <c r="AN83" i="8"/>
  <c r="AR83" i="8" s="1"/>
  <c r="AW9" i="9"/>
  <c r="BE9" i="9" s="1"/>
  <c r="M168" i="9"/>
  <c r="M170" i="9"/>
  <c r="M171" i="9" s="1"/>
  <c r="Q166" i="9"/>
  <c r="Q110" i="7"/>
  <c r="AV18" i="9"/>
  <c r="BD18" i="9" s="1"/>
  <c r="AW119" i="9"/>
  <c r="BE119" i="9" s="1"/>
  <c r="AT47" i="11"/>
  <c r="AX5" i="11"/>
  <c r="AT63" i="11"/>
  <c r="AT58" i="11"/>
  <c r="AS22" i="36"/>
  <c r="AT49" i="11"/>
  <c r="AW49" i="17"/>
  <c r="AW44" i="17"/>
  <c r="AX7" i="10"/>
  <c r="BF7" i="10" s="1"/>
  <c r="AT98" i="10"/>
  <c r="AT94" i="10"/>
  <c r="AT113" i="10" s="1"/>
  <c r="AO87" i="9"/>
  <c r="AS87" i="9" s="1"/>
  <c r="AN2" i="9"/>
  <c r="AR2" i="9" s="1"/>
  <c r="AN49" i="9"/>
  <c r="AR49" i="9" s="1"/>
  <c r="AN87" i="9"/>
  <c r="AR87" i="9" s="1"/>
  <c r="Z93" i="9"/>
  <c r="AD93" i="9" s="1"/>
  <c r="AH93" i="9" s="1"/>
  <c r="AO121" i="9"/>
  <c r="AS121" i="9" s="1"/>
  <c r="AO94" i="9"/>
  <c r="AS94" i="9" s="1"/>
  <c r="P70" i="9"/>
  <c r="AO25" i="9"/>
  <c r="AS25" i="9" s="1"/>
  <c r="AW25" i="9" s="1"/>
  <c r="BE25" i="9" s="1"/>
  <c r="AO90" i="9"/>
  <c r="AS90" i="9" s="1"/>
  <c r="AE93" i="9"/>
  <c r="AI2" i="9"/>
  <c r="AE83" i="8"/>
  <c r="AE75" i="8"/>
  <c r="AI2" i="8"/>
  <c r="AN82" i="8"/>
  <c r="AR82" i="8" s="1"/>
  <c r="AP113" i="10"/>
  <c r="AP126" i="10"/>
  <c r="AP128" i="10" s="1"/>
  <c r="AP95" i="10"/>
  <c r="AP99" i="10"/>
  <c r="AO5" i="10"/>
  <c r="AS5" i="10" s="1"/>
  <c r="AH21" i="36"/>
  <c r="AI97" i="10"/>
  <c r="AI109" i="10"/>
  <c r="AO107" i="10"/>
  <c r="AE21" i="36"/>
  <c r="AJ5" i="10"/>
  <c r="M70" i="9"/>
  <c r="M80" i="9"/>
  <c r="M69" i="9"/>
  <c r="Q96" i="9"/>
  <c r="U22" i="9"/>
  <c r="Q88" i="9"/>
  <c r="U21" i="9"/>
  <c r="Z5" i="9"/>
  <c r="AA31" i="9"/>
  <c r="U33" i="9"/>
  <c r="T97" i="9"/>
  <c r="U18" i="9"/>
  <c r="X98" i="9"/>
  <c r="X93" i="9"/>
  <c r="X92" i="9"/>
  <c r="I70" i="9"/>
  <c r="Q49" i="9"/>
  <c r="Q55" i="9"/>
  <c r="Q42" i="48" s="1"/>
  <c r="U53" i="9"/>
  <c r="M76" i="9"/>
  <c r="M50" i="9"/>
  <c r="M78" i="9"/>
  <c r="M71" i="9"/>
  <c r="M75" i="9"/>
  <c r="M74" i="9"/>
  <c r="M72" i="9"/>
  <c r="AE35" i="9"/>
  <c r="AA38" i="9"/>
  <c r="AA46" i="9" s="1"/>
  <c r="AE8" i="9"/>
  <c r="AI8" i="9" s="1"/>
  <c r="AA10" i="9"/>
  <c r="AE123" i="9"/>
  <c r="AI123" i="9" s="1"/>
  <c r="U37" i="9"/>
  <c r="U45" i="9" s="1"/>
  <c r="AA34" i="9"/>
  <c r="M68" i="9"/>
  <c r="U27" i="9"/>
  <c r="U28" i="9" s="1"/>
  <c r="AA24" i="9"/>
  <c r="U44" i="9"/>
  <c r="AA40" i="9"/>
  <c r="U124" i="9"/>
  <c r="AA26" i="9"/>
  <c r="M81" i="9"/>
  <c r="AF107" i="10"/>
  <c r="AF123" i="10"/>
  <c r="AF130" i="10" s="1"/>
  <c r="AF118" i="10"/>
  <c r="AF109" i="10"/>
  <c r="AF97" i="10"/>
  <c r="T99" i="9"/>
  <c r="T45" i="9"/>
  <c r="T69" i="9" s="1"/>
  <c r="P73" i="9"/>
  <c r="P77" i="9"/>
  <c r="X27" i="9"/>
  <c r="Z24" i="9"/>
  <c r="T27" i="9"/>
  <c r="P82" i="9"/>
  <c r="P28" i="9"/>
  <c r="P50" i="9"/>
  <c r="P7" i="9" s="1"/>
  <c r="Z22" i="9"/>
  <c r="T89" i="9"/>
  <c r="T18" i="15" s="1"/>
  <c r="Z89" i="9"/>
  <c r="Z18" i="15" s="1"/>
  <c r="T94" i="26"/>
  <c r="T83" i="9"/>
  <c r="U33" i="22"/>
  <c r="T95" i="9"/>
  <c r="T91" i="9"/>
  <c r="P68" i="9"/>
  <c r="T53" i="9"/>
  <c r="T55" i="9" s="1"/>
  <c r="X89" i="9"/>
  <c r="X18" i="15" s="1"/>
  <c r="X88" i="9"/>
  <c r="U61" i="9"/>
  <c r="T96" i="9"/>
  <c r="T51" i="9"/>
  <c r="T88" i="9"/>
  <c r="Q47" i="9"/>
  <c r="P74" i="9"/>
  <c r="T59" i="9"/>
  <c r="P75" i="9"/>
  <c r="T60" i="9"/>
  <c r="U64" i="9"/>
  <c r="AA64" i="9" s="1"/>
  <c r="P72" i="9"/>
  <c r="T57" i="9"/>
  <c r="P79" i="9"/>
  <c r="T64" i="9"/>
  <c r="P71" i="9"/>
  <c r="T56" i="9"/>
  <c r="P78" i="9"/>
  <c r="T63" i="9"/>
  <c r="P80" i="9"/>
  <c r="T65" i="9"/>
  <c r="U36" i="9"/>
  <c r="U39" i="9" s="1"/>
  <c r="U38" i="9"/>
  <c r="U46" i="9" s="1"/>
  <c r="U63" i="9"/>
  <c r="AA63" i="9" s="1"/>
  <c r="U56" i="9"/>
  <c r="U60" i="9"/>
  <c r="U120" i="9"/>
  <c r="AA120" i="9" s="1"/>
  <c r="U10" i="9"/>
  <c r="U59" i="9"/>
  <c r="U57" i="9"/>
  <c r="I68" i="9"/>
  <c r="I77" i="9"/>
  <c r="I81" i="9"/>
  <c r="I72" i="9"/>
  <c r="I80" i="9"/>
  <c r="I74" i="9"/>
  <c r="I75" i="9"/>
  <c r="I79" i="9"/>
  <c r="I78" i="9"/>
  <c r="I73" i="9"/>
  <c r="I76" i="9"/>
  <c r="I71" i="9"/>
  <c r="U58" i="9"/>
  <c r="AA58" i="9" s="1"/>
  <c r="P76" i="9"/>
  <c r="T61" i="9"/>
  <c r="P81" i="9"/>
  <c r="T66" i="9"/>
  <c r="U122" i="9"/>
  <c r="U66" i="9"/>
  <c r="U65" i="9"/>
  <c r="Q80" i="9"/>
  <c r="P86" i="26"/>
  <c r="L68" i="8"/>
  <c r="H72" i="8"/>
  <c r="L60" i="8"/>
  <c r="P83" i="26"/>
  <c r="P89" i="26"/>
  <c r="T89" i="26" s="1"/>
  <c r="P81" i="26"/>
  <c r="P80" i="26"/>
  <c r="P82" i="26"/>
  <c r="P84" i="26"/>
  <c r="T84" i="26" s="1"/>
  <c r="P85" i="26"/>
  <c r="T85" i="26" s="1"/>
  <c r="P88" i="26"/>
  <c r="P91" i="26"/>
  <c r="P87" i="26"/>
  <c r="T87" i="26" s="1"/>
  <c r="P90" i="26"/>
  <c r="T90" i="26" s="1"/>
  <c r="P27" i="8"/>
  <c r="P30" i="8"/>
  <c r="P29" i="8"/>
  <c r="P28" i="8"/>
  <c r="L92" i="26"/>
  <c r="H34" i="8"/>
  <c r="L34" i="8" s="1"/>
  <c r="P34" i="8" s="1"/>
  <c r="T34" i="8" s="1"/>
  <c r="Z34" i="8" s="1"/>
  <c r="AD34" i="8" s="1"/>
  <c r="AH34" i="8" s="1"/>
  <c r="AN34" i="8" s="1"/>
  <c r="AR34" i="8" s="1"/>
  <c r="AV34" i="8" s="1"/>
  <c r="BD34" i="8" s="1"/>
  <c r="H64" i="8"/>
  <c r="L64" i="8" s="1"/>
  <c r="P64" i="8" s="1"/>
  <c r="T64" i="8" s="1"/>
  <c r="Z64" i="8" s="1"/>
  <c r="AD64" i="8" s="1"/>
  <c r="AH64" i="8" s="1"/>
  <c r="AN64" i="8" s="1"/>
  <c r="AR64" i="8" s="1"/>
  <c r="AV64" i="8" s="1"/>
  <c r="I50" i="9"/>
  <c r="I51" i="9"/>
  <c r="D47" i="8"/>
  <c r="D74" i="8" s="1"/>
  <c r="E44" i="8"/>
  <c r="E43" i="8"/>
  <c r="H1349" i="3"/>
  <c r="H1348" i="3"/>
  <c r="H1346" i="3"/>
  <c r="G12" i="8"/>
  <c r="E12" i="8"/>
  <c r="H15" i="8"/>
  <c r="L15" i="8" s="1"/>
  <c r="P15" i="8" s="1"/>
  <c r="T15" i="8" s="1"/>
  <c r="Z15" i="8" s="1"/>
  <c r="AD15" i="8" s="1"/>
  <c r="AH15" i="8" s="1"/>
  <c r="AN15" i="8" s="1"/>
  <c r="AR15" i="8" s="1"/>
  <c r="AV15" i="8" s="1"/>
  <c r="BD15" i="8" s="1"/>
  <c r="H12" i="8"/>
  <c r="L12" i="8" s="1"/>
  <c r="P12" i="8" s="1"/>
  <c r="T12" i="8" s="1"/>
  <c r="G128" i="9"/>
  <c r="G130" i="9" s="1"/>
  <c r="G127" i="9"/>
  <c r="E128" i="9"/>
  <c r="E127" i="9"/>
  <c r="H10" i="8"/>
  <c r="L10" i="8" s="1"/>
  <c r="P10" i="8" s="1"/>
  <c r="T10" i="8" s="1"/>
  <c r="Z10" i="8" s="1"/>
  <c r="AD10" i="8" s="1"/>
  <c r="AH10" i="8" s="1"/>
  <c r="AN10" i="8" s="1"/>
  <c r="AR10" i="8" s="1"/>
  <c r="AV10" i="8" s="1"/>
  <c r="BD10" i="8" s="1"/>
  <c r="H9" i="8"/>
  <c r="L9" i="8" s="1"/>
  <c r="P9" i="8" s="1"/>
  <c r="T9" i="8" s="1"/>
  <c r="Z9" i="8" s="1"/>
  <c r="AD9" i="8" s="1"/>
  <c r="AH9" i="8" s="1"/>
  <c r="AN9" i="8" s="1"/>
  <c r="AR9" i="8" s="1"/>
  <c r="AV9" i="8" s="1"/>
  <c r="BD9" i="8" s="1"/>
  <c r="H8" i="8"/>
  <c r="L8" i="8" s="1"/>
  <c r="P8" i="8" s="1"/>
  <c r="T8" i="8" s="1"/>
  <c r="Z8" i="8" s="1"/>
  <c r="AD8" i="8" s="1"/>
  <c r="AH8" i="8" s="1"/>
  <c r="AN8" i="8" s="1"/>
  <c r="AR8" i="8" s="1"/>
  <c r="AV8" i="8" s="1"/>
  <c r="BD8" i="8" s="1"/>
  <c r="H7" i="8"/>
  <c r="L7" i="8" s="1"/>
  <c r="P7" i="8" s="1"/>
  <c r="T7" i="8" s="1"/>
  <c r="Z7" i="8" s="1"/>
  <c r="AD7" i="8" s="1"/>
  <c r="AH7" i="8" s="1"/>
  <c r="AN7" i="8" s="1"/>
  <c r="AR7" i="8" s="1"/>
  <c r="AV7" i="8" s="1"/>
  <c r="BD7" i="8" s="1"/>
  <c r="I85" i="8"/>
  <c r="M85" i="8" s="1"/>
  <c r="Q85" i="8" s="1"/>
  <c r="U85" i="8" s="1"/>
  <c r="AA85" i="8" s="1"/>
  <c r="AE85" i="8" s="1"/>
  <c r="AI85" i="8" s="1"/>
  <c r="AO85" i="8" s="1"/>
  <c r="AS85" i="8" s="1"/>
  <c r="AW85" i="8" s="1"/>
  <c r="BE85" i="8" s="1"/>
  <c r="M67" i="8"/>
  <c r="M65" i="8"/>
  <c r="I59" i="8"/>
  <c r="I56" i="8" s="1"/>
  <c r="H5" i="8"/>
  <c r="I69" i="7"/>
  <c r="M69" i="7" s="1"/>
  <c r="Q69" i="7" s="1"/>
  <c r="U69" i="7" s="1"/>
  <c r="I55" i="7"/>
  <c r="M55" i="7" s="1"/>
  <c r="Q55" i="7" s="1"/>
  <c r="U55" i="7" s="1"/>
  <c r="AV82" i="8" l="1"/>
  <c r="BD82" i="8" s="1"/>
  <c r="BB82" i="8"/>
  <c r="T81" i="26"/>
  <c r="U49" i="9"/>
  <c r="AV83" i="8"/>
  <c r="BD83" i="8" s="1"/>
  <c r="BB111" i="17"/>
  <c r="BB115" i="17" s="1"/>
  <c r="BB54" i="17"/>
  <c r="BD53" i="17"/>
  <c r="BD110" i="17"/>
  <c r="BD114" i="17" s="1"/>
  <c r="BD64" i="8"/>
  <c r="BB64" i="8"/>
  <c r="BF5" i="11"/>
  <c r="AX63" i="11"/>
  <c r="AX58" i="11"/>
  <c r="M172" i="9"/>
  <c r="M12" i="48" s="1"/>
  <c r="M13" i="48" s="1"/>
  <c r="BE50" i="17"/>
  <c r="BE111" i="17" s="1"/>
  <c r="BE115" i="17" s="1"/>
  <c r="BE53" i="17"/>
  <c r="BE54" i="17" s="1"/>
  <c r="BE110" i="17"/>
  <c r="BE114" i="17" s="1"/>
  <c r="T70" i="9"/>
  <c r="BB53" i="17"/>
  <c r="BB110" i="17"/>
  <c r="BB114" i="17" s="1"/>
  <c r="BD111" i="17"/>
  <c r="BD115" i="17" s="1"/>
  <c r="BD54" i="17"/>
  <c r="AX38" i="11"/>
  <c r="BF8" i="11"/>
  <c r="AX34" i="11"/>
  <c r="AX66" i="11" s="1"/>
  <c r="BC47" i="11"/>
  <c r="BF94" i="10"/>
  <c r="BF98" i="10"/>
  <c r="M114" i="7"/>
  <c r="M17" i="48" s="1"/>
  <c r="AV49" i="9"/>
  <c r="BD49" i="9" s="1"/>
  <c r="AA66" i="9"/>
  <c r="AB58" i="22" s="1"/>
  <c r="V58" i="22"/>
  <c r="V60" i="22" s="1"/>
  <c r="V61" i="22" s="1"/>
  <c r="U37" i="48" s="1"/>
  <c r="AA59" i="9"/>
  <c r="U46" i="48"/>
  <c r="AA56" i="9"/>
  <c r="AA44" i="48" s="1"/>
  <c r="U44" i="48"/>
  <c r="AN92" i="9"/>
  <c r="AR92" i="9" s="1"/>
  <c r="AN98" i="9"/>
  <c r="AW94" i="9"/>
  <c r="BE94" i="9" s="1"/>
  <c r="AW87" i="9"/>
  <c r="BE87" i="9" s="1"/>
  <c r="AW90" i="9"/>
  <c r="BE90" i="9" s="1"/>
  <c r="AW50" i="17"/>
  <c r="AW111" i="17" s="1"/>
  <c r="AW115" i="17" s="1"/>
  <c r="AW53" i="17"/>
  <c r="AW54" i="17" s="1"/>
  <c r="AW110" i="17"/>
  <c r="AW114" i="17" s="1"/>
  <c r="Q112" i="7"/>
  <c r="Q113" i="7" s="1"/>
  <c r="Q111" i="7"/>
  <c r="AP70" i="11"/>
  <c r="AT37" i="11"/>
  <c r="AT53" i="11"/>
  <c r="AT35" i="11"/>
  <c r="AT66" i="11"/>
  <c r="AT68" i="11" s="1"/>
  <c r="AV87" i="9"/>
  <c r="AA65" i="9"/>
  <c r="AA163" i="9" s="1"/>
  <c r="AA165" i="9" s="1"/>
  <c r="U163" i="9"/>
  <c r="U165" i="9" s="1"/>
  <c r="AA57" i="9"/>
  <c r="AA43" i="48" s="1"/>
  <c r="U43" i="48"/>
  <c r="AA60" i="9"/>
  <c r="AA45" i="48" s="1"/>
  <c r="U45" i="48"/>
  <c r="AA61" i="9"/>
  <c r="AB63" i="22" s="1"/>
  <c r="AB65" i="22" s="1"/>
  <c r="AB66" i="22" s="1"/>
  <c r="AA40" i="48" s="1"/>
  <c r="V63" i="22"/>
  <c r="AS107" i="10"/>
  <c r="AW5" i="10"/>
  <c r="BE5" i="10" s="1"/>
  <c r="AR21" i="36"/>
  <c r="AS97" i="10"/>
  <c r="AS109" i="10"/>
  <c r="AR98" i="9"/>
  <c r="AV2" i="9"/>
  <c r="BD2" i="9" s="1"/>
  <c r="AX47" i="11"/>
  <c r="BF47" i="11" s="1"/>
  <c r="AW22" i="36"/>
  <c r="AX49" i="11"/>
  <c r="Q168" i="9"/>
  <c r="Q170" i="9"/>
  <c r="Q171" i="9" s="1"/>
  <c r="AW121" i="9"/>
  <c r="BE121" i="9" s="1"/>
  <c r="AT39" i="11"/>
  <c r="AX94" i="10"/>
  <c r="AX98" i="10"/>
  <c r="AT99" i="10"/>
  <c r="AT95" i="10"/>
  <c r="AT126" i="10"/>
  <c r="AA55" i="7"/>
  <c r="AE38" i="9"/>
  <c r="AE46" i="9" s="1"/>
  <c r="AI35" i="9"/>
  <c r="AI98" i="9"/>
  <c r="AO2" i="9"/>
  <c r="AS2" i="9" s="1"/>
  <c r="AW2" i="9" s="1"/>
  <c r="BE2" i="9" s="1"/>
  <c r="AO123" i="9"/>
  <c r="AS123" i="9" s="1"/>
  <c r="AW123" i="9" s="1"/>
  <c r="BE123" i="9" s="1"/>
  <c r="AO8" i="9"/>
  <c r="AS8" i="9" s="1"/>
  <c r="AI10" i="9"/>
  <c r="AI93" i="9"/>
  <c r="AO93" i="9" s="1"/>
  <c r="AS93" i="9" s="1"/>
  <c r="AW93" i="9" s="1"/>
  <c r="BE93" i="9" s="1"/>
  <c r="AI92" i="9"/>
  <c r="AN93" i="9"/>
  <c r="AR93" i="9" s="1"/>
  <c r="AI75" i="8"/>
  <c r="AI83" i="8"/>
  <c r="AO2" i="8"/>
  <c r="X12" i="8"/>
  <c r="X16" i="8" s="1"/>
  <c r="Z12" i="8"/>
  <c r="AD12" i="8" s="1"/>
  <c r="AH12" i="8" s="1"/>
  <c r="AI82" i="8"/>
  <c r="AJ107" i="10"/>
  <c r="AP5" i="10"/>
  <c r="AT5" i="10" s="1"/>
  <c r="AJ123" i="10"/>
  <c r="AJ130" i="10" s="1"/>
  <c r="AJ118" i="10"/>
  <c r="AJ109" i="10"/>
  <c r="AI21" i="36"/>
  <c r="AJ97" i="10"/>
  <c r="AN21" i="36"/>
  <c r="AO97" i="10"/>
  <c r="AO109" i="10"/>
  <c r="U55" i="9"/>
  <c r="U42" i="48" s="1"/>
  <c r="AA53" i="9"/>
  <c r="AA18" i="9"/>
  <c r="AE31" i="9"/>
  <c r="AA33" i="9"/>
  <c r="Q70" i="9"/>
  <c r="AA21" i="9"/>
  <c r="Q71" i="9"/>
  <c r="Q69" i="9"/>
  <c r="AA49" i="9"/>
  <c r="AD5" i="9"/>
  <c r="AA33" i="22"/>
  <c r="Z94" i="26"/>
  <c r="Z87" i="26" s="1"/>
  <c r="U96" i="9"/>
  <c r="AA96" i="9" s="1"/>
  <c r="AA22" i="9"/>
  <c r="U88" i="9"/>
  <c r="Z27" i="9"/>
  <c r="Z82" i="9" s="1"/>
  <c r="AD24" i="9"/>
  <c r="Q74" i="9"/>
  <c r="Q75" i="9"/>
  <c r="Q81" i="9"/>
  <c r="Q73" i="9"/>
  <c r="X87" i="26"/>
  <c r="AE56" i="9"/>
  <c r="AE40" i="9"/>
  <c r="AA44" i="9"/>
  <c r="X84" i="26"/>
  <c r="X90" i="26"/>
  <c r="X85" i="26"/>
  <c r="X81" i="26"/>
  <c r="AE65" i="9"/>
  <c r="AE58" i="9"/>
  <c r="AI58" i="9" s="1"/>
  <c r="Q78" i="9"/>
  <c r="Z88" i="9"/>
  <c r="AD22" i="9"/>
  <c r="AH22" i="9" s="1"/>
  <c r="AE34" i="9"/>
  <c r="AI34" i="9" s="1"/>
  <c r="AA36" i="9"/>
  <c r="AA37" i="9"/>
  <c r="AA45" i="9" s="1"/>
  <c r="AA47" i="9" s="1"/>
  <c r="AE120" i="9"/>
  <c r="AI120" i="9" s="1"/>
  <c r="AE10" i="9"/>
  <c r="AE63" i="9"/>
  <c r="AI63" i="9" s="1"/>
  <c r="AA78" i="9"/>
  <c r="AA124" i="9"/>
  <c r="AE26" i="9"/>
  <c r="AI26" i="9" s="1"/>
  <c r="AA122" i="9"/>
  <c r="AE24" i="9"/>
  <c r="AI24" i="9" s="1"/>
  <c r="AA27" i="9"/>
  <c r="AA28" i="9" s="1"/>
  <c r="X89" i="26"/>
  <c r="AE60" i="9"/>
  <c r="AE66" i="9"/>
  <c r="Q72" i="9"/>
  <c r="U47" i="9"/>
  <c r="U69" i="9" s="1"/>
  <c r="AE64" i="9"/>
  <c r="AI64" i="9" s="1"/>
  <c r="T88" i="26"/>
  <c r="T80" i="26"/>
  <c r="T91" i="26"/>
  <c r="T82" i="26"/>
  <c r="T83" i="26"/>
  <c r="T86" i="26"/>
  <c r="Z45" i="9"/>
  <c r="T73" i="9"/>
  <c r="T77" i="9"/>
  <c r="T28" i="9"/>
  <c r="T82" i="9"/>
  <c r="T50" i="9"/>
  <c r="T7" i="9" s="1"/>
  <c r="X82" i="9"/>
  <c r="X28" i="9"/>
  <c r="Z96" i="9"/>
  <c r="T78" i="9"/>
  <c r="Z63" i="9"/>
  <c r="AD63" i="9" s="1"/>
  <c r="AH63" i="9" s="1"/>
  <c r="T81" i="9"/>
  <c r="Z66" i="9"/>
  <c r="AD66" i="9" s="1"/>
  <c r="AH66" i="9" s="1"/>
  <c r="T80" i="9"/>
  <c r="Z65" i="9"/>
  <c r="AD65" i="9" s="1"/>
  <c r="AH65" i="9" s="1"/>
  <c r="T71" i="9"/>
  <c r="Z56" i="9"/>
  <c r="T72" i="9"/>
  <c r="Z57" i="9"/>
  <c r="AD57" i="9" s="1"/>
  <c r="AH57" i="9" s="1"/>
  <c r="T74" i="9"/>
  <c r="Z59" i="9"/>
  <c r="AD59" i="9" s="1"/>
  <c r="AH59" i="9" s="1"/>
  <c r="Z97" i="9"/>
  <c r="AD97" i="9" s="1"/>
  <c r="Z83" i="9"/>
  <c r="Z95" i="9"/>
  <c r="Z91" i="9"/>
  <c r="T76" i="9"/>
  <c r="Z61" i="9"/>
  <c r="T79" i="9"/>
  <c r="Z64" i="9"/>
  <c r="AD64" i="9" s="1"/>
  <c r="AH64" i="9" s="1"/>
  <c r="T75" i="9"/>
  <c r="Z60" i="9"/>
  <c r="Z53" i="9"/>
  <c r="T68" i="9"/>
  <c r="Z99" i="9"/>
  <c r="AD99" i="9" s="1"/>
  <c r="AA69" i="7"/>
  <c r="T29" i="8"/>
  <c r="T30" i="8"/>
  <c r="T27" i="8"/>
  <c r="T28" i="8"/>
  <c r="U79" i="9"/>
  <c r="U72" i="9"/>
  <c r="U71" i="9"/>
  <c r="U80" i="9"/>
  <c r="U73" i="9"/>
  <c r="U74" i="9"/>
  <c r="U75" i="9"/>
  <c r="U78" i="9"/>
  <c r="Q68" i="9"/>
  <c r="Q51" i="9"/>
  <c r="Q50" i="9"/>
  <c r="Q77" i="9"/>
  <c r="Q76" i="9"/>
  <c r="U77" i="9"/>
  <c r="U68" i="9"/>
  <c r="U51" i="9"/>
  <c r="U50" i="9"/>
  <c r="U81" i="9"/>
  <c r="Q79" i="9"/>
  <c r="U76" i="9"/>
  <c r="Q67" i="8"/>
  <c r="U67" i="8" s="1"/>
  <c r="AA67" i="8" s="1"/>
  <c r="AE67" i="8" s="1"/>
  <c r="M58" i="8"/>
  <c r="Q65" i="8"/>
  <c r="U65" i="8" s="1"/>
  <c r="AA65" i="8" s="1"/>
  <c r="M57" i="8"/>
  <c r="P60" i="8"/>
  <c r="L70" i="8"/>
  <c r="H70" i="8"/>
  <c r="P68" i="8"/>
  <c r="L72" i="8"/>
  <c r="G35" i="8"/>
  <c r="E34" i="8"/>
  <c r="E41" i="8"/>
  <c r="H42" i="8"/>
  <c r="H43" i="8"/>
  <c r="H44" i="8"/>
  <c r="H41" i="8"/>
  <c r="G34" i="8"/>
  <c r="G48" i="8"/>
  <c r="E35" i="8"/>
  <c r="E42" i="8"/>
  <c r="H14" i="36"/>
  <c r="I30" i="8"/>
  <c r="M30" i="8" s="1"/>
  <c r="P92" i="26"/>
  <c r="J1348" i="3"/>
  <c r="Q1348" i="3" s="1"/>
  <c r="J1349" i="3"/>
  <c r="J1346" i="3"/>
  <c r="M59" i="8"/>
  <c r="M56" i="8" s="1"/>
  <c r="I28" i="8"/>
  <c r="I72" i="8" s="1"/>
  <c r="H18" i="8"/>
  <c r="H76" i="8" s="1"/>
  <c r="H46" i="8"/>
  <c r="L5" i="8"/>
  <c r="H86" i="8"/>
  <c r="H14" i="8"/>
  <c r="L14" i="8" s="1"/>
  <c r="P14" i="8" s="1"/>
  <c r="T14" i="8" s="1"/>
  <c r="Z14" i="8" s="1"/>
  <c r="AD14" i="8" s="1"/>
  <c r="AH14" i="8" s="1"/>
  <c r="AN14" i="8" s="1"/>
  <c r="AR14" i="8" s="1"/>
  <c r="AV14" i="8" s="1"/>
  <c r="BD14" i="8" s="1"/>
  <c r="I127" i="9"/>
  <c r="M127" i="9" s="1"/>
  <c r="E130" i="9"/>
  <c r="I128" i="9"/>
  <c r="M128" i="9" s="1"/>
  <c r="Q128" i="9" s="1"/>
  <c r="U128" i="9" s="1"/>
  <c r="AA128" i="9" s="1"/>
  <c r="AE128" i="9" s="1"/>
  <c r="AI128" i="9" s="1"/>
  <c r="AO128" i="9" s="1"/>
  <c r="AS128" i="9" s="1"/>
  <c r="AW128" i="9" s="1"/>
  <c r="BE128" i="9" s="1"/>
  <c r="G131" i="9"/>
  <c r="G132" i="9"/>
  <c r="H47" i="8"/>
  <c r="H74" i="8" s="1"/>
  <c r="E5" i="26"/>
  <c r="E86" i="8"/>
  <c r="G86" i="8"/>
  <c r="G26" i="8"/>
  <c r="F16" i="8"/>
  <c r="H84" i="8"/>
  <c r="I9" i="8"/>
  <c r="M9" i="8" s="1"/>
  <c r="Q9" i="8" s="1"/>
  <c r="U9" i="8" s="1"/>
  <c r="AA9" i="8" s="1"/>
  <c r="AE9" i="8" s="1"/>
  <c r="AI9" i="8" s="1"/>
  <c r="AO9" i="8" s="1"/>
  <c r="AS9" i="8" s="1"/>
  <c r="AW9" i="8" s="1"/>
  <c r="BE9" i="8" s="1"/>
  <c r="I23" i="8"/>
  <c r="I10" i="36" s="1"/>
  <c r="I29" i="8"/>
  <c r="M29" i="8" s="1"/>
  <c r="Q29" i="8" s="1"/>
  <c r="U29" i="8" s="1"/>
  <c r="AA29" i="8" s="1"/>
  <c r="AE29" i="8" s="1"/>
  <c r="AI29" i="8" s="1"/>
  <c r="AO29" i="8" s="1"/>
  <c r="AS29" i="8" s="1"/>
  <c r="AW29" i="8" s="1"/>
  <c r="BE29" i="8" s="1"/>
  <c r="I25" i="8"/>
  <c r="I14" i="8"/>
  <c r="M14" i="8" s="1"/>
  <c r="Q14" i="8" s="1"/>
  <c r="U14" i="8" s="1"/>
  <c r="AA14" i="8" s="1"/>
  <c r="AE14" i="8" s="1"/>
  <c r="AI14" i="8" s="1"/>
  <c r="AO14" i="8" s="1"/>
  <c r="AS14" i="8" s="1"/>
  <c r="AW14" i="8" s="1"/>
  <c r="BE14" i="8" s="1"/>
  <c r="I27" i="8"/>
  <c r="I24" i="8"/>
  <c r="E26" i="8"/>
  <c r="H13" i="8"/>
  <c r="I10" i="8"/>
  <c r="M10" i="8" s="1"/>
  <c r="Q10" i="8" s="1"/>
  <c r="U10" i="8" s="1"/>
  <c r="AA10" i="8" s="1"/>
  <c r="AE10" i="8" s="1"/>
  <c r="AI10" i="8" s="1"/>
  <c r="AO10" i="8" s="1"/>
  <c r="AS10" i="8" s="1"/>
  <c r="AW10" i="8" s="1"/>
  <c r="BE10" i="8" s="1"/>
  <c r="I13" i="8"/>
  <c r="M13" i="8" s="1"/>
  <c r="Q13" i="8" s="1"/>
  <c r="U13" i="8" s="1"/>
  <c r="AA13" i="8" s="1"/>
  <c r="AE13" i="8" s="1"/>
  <c r="AI13" i="8" s="1"/>
  <c r="AO13" i="8" s="1"/>
  <c r="AS13" i="8" s="1"/>
  <c r="AW13" i="8" s="1"/>
  <c r="BE13" i="8" s="1"/>
  <c r="I12" i="8"/>
  <c r="M12" i="8" s="1"/>
  <c r="Q12" i="8" s="1"/>
  <c r="H19" i="8"/>
  <c r="L19" i="8" s="1"/>
  <c r="P19" i="8" s="1"/>
  <c r="T19" i="8" s="1"/>
  <c r="Z19" i="8" s="1"/>
  <c r="AD19" i="8" s="1"/>
  <c r="AH19" i="8" s="1"/>
  <c r="AN19" i="8" s="1"/>
  <c r="AR19" i="8" s="1"/>
  <c r="AV19" i="8" s="1"/>
  <c r="BD19" i="8" s="1"/>
  <c r="I21" i="8"/>
  <c r="M21" i="8" s="1"/>
  <c r="Q21" i="8" s="1"/>
  <c r="U21" i="8" s="1"/>
  <c r="AA21" i="8" s="1"/>
  <c r="AE21" i="8" s="1"/>
  <c r="AI21" i="8" s="1"/>
  <c r="AO21" i="8" s="1"/>
  <c r="AS21" i="8" s="1"/>
  <c r="AW21" i="8" s="1"/>
  <c r="BE21" i="8" s="1"/>
  <c r="I19" i="8"/>
  <c r="M19" i="8" s="1"/>
  <c r="Q19" i="8" s="1"/>
  <c r="U19" i="8" s="1"/>
  <c r="AA19" i="8" s="1"/>
  <c r="AE19" i="8" s="1"/>
  <c r="AI19" i="8" s="1"/>
  <c r="AO19" i="8" s="1"/>
  <c r="AS19" i="8" s="1"/>
  <c r="AW19" i="8" s="1"/>
  <c r="BE19" i="8" s="1"/>
  <c r="I18" i="8"/>
  <c r="G16" i="8"/>
  <c r="I8" i="8"/>
  <c r="M8" i="8" s="1"/>
  <c r="Q8" i="8" s="1"/>
  <c r="U8" i="8" s="1"/>
  <c r="AA8" i="8" s="1"/>
  <c r="AE8" i="8" s="1"/>
  <c r="AI8" i="8" s="1"/>
  <c r="AO8" i="8" s="1"/>
  <c r="AS8" i="8" s="1"/>
  <c r="AW8" i="8" s="1"/>
  <c r="BE8" i="8" s="1"/>
  <c r="I7" i="8"/>
  <c r="M7" i="8" s="1"/>
  <c r="Q7" i="8" s="1"/>
  <c r="U7" i="8" s="1"/>
  <c r="AA7" i="8" s="1"/>
  <c r="AE7" i="8" s="1"/>
  <c r="AI7" i="8" s="1"/>
  <c r="AO7" i="8" s="1"/>
  <c r="AS7" i="8" s="1"/>
  <c r="AW7" i="8" s="1"/>
  <c r="BE7" i="8" s="1"/>
  <c r="I5" i="8"/>
  <c r="AV93" i="9" l="1"/>
  <c r="BD93" i="9" s="1"/>
  <c r="AV98" i="9"/>
  <c r="BD98" i="9" s="1"/>
  <c r="BB98" i="9"/>
  <c r="BB83" i="8"/>
  <c r="BB49" i="9"/>
  <c r="AV92" i="9"/>
  <c r="BD92" i="9" s="1"/>
  <c r="BD87" i="9"/>
  <c r="BB87" i="9"/>
  <c r="BF63" i="11"/>
  <c r="BF58" i="11"/>
  <c r="BE22" i="36"/>
  <c r="BF49" i="11"/>
  <c r="AX70" i="11"/>
  <c r="AX68" i="11"/>
  <c r="BF38" i="11"/>
  <c r="BF34" i="11"/>
  <c r="BD47" i="11"/>
  <c r="BD21" i="36"/>
  <c r="BE97" i="10"/>
  <c r="BE109" i="10"/>
  <c r="BF99" i="10"/>
  <c r="BF95" i="10"/>
  <c r="BF113" i="10"/>
  <c r="BF126" i="10"/>
  <c r="Q172" i="9"/>
  <c r="Q12" i="48" s="1"/>
  <c r="Q13" i="48" s="1"/>
  <c r="Q114" i="7"/>
  <c r="Q17" i="48" s="1"/>
  <c r="Z28" i="9"/>
  <c r="Z84" i="26"/>
  <c r="Z85" i="26"/>
  <c r="AI65" i="9"/>
  <c r="AI163" i="9" s="1"/>
  <c r="AI165" i="9" s="1"/>
  <c r="AE163" i="9"/>
  <c r="AE165" i="9" s="1"/>
  <c r="AI56" i="9"/>
  <c r="AI44" i="48" s="1"/>
  <c r="AE44" i="48"/>
  <c r="AT70" i="11"/>
  <c r="AX37" i="11"/>
  <c r="AX35" i="11"/>
  <c r="AX53" i="11"/>
  <c r="AE59" i="9"/>
  <c r="AA46" i="48"/>
  <c r="AI60" i="9"/>
  <c r="AI45" i="48" s="1"/>
  <c r="AE45" i="48"/>
  <c r="AE57" i="9"/>
  <c r="AX5" i="10"/>
  <c r="AT123" i="10"/>
  <c r="AT118" i="10"/>
  <c r="AT109" i="10"/>
  <c r="AS21" i="36"/>
  <c r="AO98" i="9"/>
  <c r="AS98" i="9" s="1"/>
  <c r="AW98" i="9" s="1"/>
  <c r="BE98" i="9" s="1"/>
  <c r="AT97" i="10"/>
  <c r="AW107" i="10"/>
  <c r="BE107" i="10" s="1"/>
  <c r="AV21" i="36"/>
  <c r="AW97" i="10"/>
  <c r="AW109" i="10"/>
  <c r="U166" i="9"/>
  <c r="U110" i="7"/>
  <c r="AX39" i="11"/>
  <c r="AA39" i="9"/>
  <c r="Z81" i="26"/>
  <c r="Z90" i="26"/>
  <c r="AO75" i="8"/>
  <c r="AS2" i="8"/>
  <c r="AW8" i="9"/>
  <c r="BE8" i="9" s="1"/>
  <c r="AS10" i="9"/>
  <c r="AT130" i="10"/>
  <c r="AA166" i="9"/>
  <c r="AA110" i="7"/>
  <c r="AB60" i="22"/>
  <c r="AB61" i="22" s="1"/>
  <c r="AA37" i="48" s="1"/>
  <c r="AI66" i="9"/>
  <c r="AJ58" i="22" s="1"/>
  <c r="AJ60" i="22" s="1"/>
  <c r="AJ61" i="22" s="1"/>
  <c r="AI37" i="48" s="1"/>
  <c r="AF58" i="22"/>
  <c r="AF60" i="22" s="1"/>
  <c r="AF61" i="22" s="1"/>
  <c r="AE37" i="48" s="1"/>
  <c r="Z89" i="26"/>
  <c r="AE61" i="9"/>
  <c r="AO92" i="9"/>
  <c r="AS92" i="9" s="1"/>
  <c r="AW92" i="9" s="1"/>
  <c r="BE92" i="9" s="1"/>
  <c r="V65" i="22"/>
  <c r="V66" i="22" s="1"/>
  <c r="U40" i="48" s="1"/>
  <c r="AX99" i="10"/>
  <c r="AX95" i="10"/>
  <c r="AX126" i="10"/>
  <c r="AX113" i="10"/>
  <c r="AT128" i="10"/>
  <c r="AE55" i="7"/>
  <c r="AE69" i="7"/>
  <c r="AN64" i="9"/>
  <c r="AR64" i="9" s="1"/>
  <c r="AN66" i="9"/>
  <c r="AR66" i="9" s="1"/>
  <c r="AO65" i="9"/>
  <c r="AO64" i="9"/>
  <c r="AS64" i="9" s="1"/>
  <c r="AW64" i="9" s="1"/>
  <c r="BE64" i="9" s="1"/>
  <c r="AO60" i="9"/>
  <c r="AI27" i="9"/>
  <c r="AI28" i="9" s="1"/>
  <c r="AO24" i="9"/>
  <c r="AS24" i="9" s="1"/>
  <c r="AN59" i="9"/>
  <c r="AR59" i="9" s="1"/>
  <c r="AN22" i="9"/>
  <c r="AR22" i="9" s="1"/>
  <c r="AH88" i="9"/>
  <c r="AO56" i="9"/>
  <c r="AD27" i="9"/>
  <c r="AD28" i="9" s="1"/>
  <c r="AH24" i="9"/>
  <c r="AN57" i="9"/>
  <c r="AR57" i="9" s="1"/>
  <c r="AN65" i="9"/>
  <c r="AR65" i="9" s="1"/>
  <c r="AN63" i="9"/>
  <c r="AR63" i="9" s="1"/>
  <c r="AO63" i="9"/>
  <c r="AS63" i="9" s="1"/>
  <c r="AE44" i="9"/>
  <c r="AI40" i="9"/>
  <c r="AE33" i="9"/>
  <c r="AI31" i="9"/>
  <c r="AO35" i="9"/>
  <c r="AI38" i="9"/>
  <c r="AI46" i="9" s="1"/>
  <c r="AO120" i="9"/>
  <c r="AS120" i="9" s="1"/>
  <c r="AO10" i="9"/>
  <c r="AO26" i="9"/>
  <c r="AS26" i="9" s="1"/>
  <c r="AO34" i="9"/>
  <c r="AI36" i="9"/>
  <c r="AH5" i="9"/>
  <c r="AH97" i="9" s="1"/>
  <c r="AO82" i="8"/>
  <c r="M25" i="8"/>
  <c r="M12" i="36" s="1"/>
  <c r="I12" i="36"/>
  <c r="AI67" i="8"/>
  <c r="AE65" i="8"/>
  <c r="M24" i="8"/>
  <c r="M11" i="36" s="1"/>
  <c r="I11" i="36"/>
  <c r="Q57" i="8"/>
  <c r="U57" i="8" s="1"/>
  <c r="AA57" i="8" s="1"/>
  <c r="AN12" i="8"/>
  <c r="AR12" i="8" s="1"/>
  <c r="AV12" i="8" s="1"/>
  <c r="AL12" i="8"/>
  <c r="AL16" i="8" s="1"/>
  <c r="AO83" i="8"/>
  <c r="AP118" i="10"/>
  <c r="AP123" i="10"/>
  <c r="AP130" i="10" s="1"/>
  <c r="AO21" i="36"/>
  <c r="AP109" i="10"/>
  <c r="AP97" i="10"/>
  <c r="AP107" i="10"/>
  <c r="AT107" i="10" s="1"/>
  <c r="AO58" i="9"/>
  <c r="AS58" i="9" s="1"/>
  <c r="Z69" i="9"/>
  <c r="AD45" i="9"/>
  <c r="AH45" i="9" s="1"/>
  <c r="AH79" i="9" s="1"/>
  <c r="Z50" i="9"/>
  <c r="Z7" i="9" s="1"/>
  <c r="Z51" i="9"/>
  <c r="AE22" i="9"/>
  <c r="AI22" i="9" s="1"/>
  <c r="AA88" i="9"/>
  <c r="AE18" i="9"/>
  <c r="AI18" i="9" s="1"/>
  <c r="AA55" i="9"/>
  <c r="AE53" i="9"/>
  <c r="Z68" i="9"/>
  <c r="Z55" i="9"/>
  <c r="Z70" i="9" s="1"/>
  <c r="AD53" i="9"/>
  <c r="AH53" i="9" s="1"/>
  <c r="AD78" i="9"/>
  <c r="AA72" i="9"/>
  <c r="AA69" i="9"/>
  <c r="AD94" i="26"/>
  <c r="AD90" i="26" s="1"/>
  <c r="AE33" i="22"/>
  <c r="AD91" i="9"/>
  <c r="AD95" i="9"/>
  <c r="AD83" i="9"/>
  <c r="AD89" i="9"/>
  <c r="AD18" i="15" s="1"/>
  <c r="AE21" i="9"/>
  <c r="AI21" i="9" s="1"/>
  <c r="U70" i="9"/>
  <c r="AA79" i="9"/>
  <c r="AA81" i="9"/>
  <c r="AE27" i="9"/>
  <c r="AE28" i="9" s="1"/>
  <c r="AD96" i="9"/>
  <c r="AH96" i="9" s="1"/>
  <c r="AE124" i="9"/>
  <c r="AI124" i="9" s="1"/>
  <c r="AA73" i="9"/>
  <c r="AA75" i="9"/>
  <c r="AA71" i="9"/>
  <c r="Z91" i="26"/>
  <c r="AD91" i="26" s="1"/>
  <c r="X91" i="26"/>
  <c r="AA76" i="9"/>
  <c r="Z71" i="9"/>
  <c r="AD56" i="9"/>
  <c r="Z86" i="26"/>
  <c r="X86" i="26"/>
  <c r="Z80" i="26"/>
  <c r="X80" i="26"/>
  <c r="AE36" i="9"/>
  <c r="AE37" i="9"/>
  <c r="AE45" i="9" s="1"/>
  <c r="AE47" i="9" s="1"/>
  <c r="AE78" i="9" s="1"/>
  <c r="Z83" i="26"/>
  <c r="X83" i="26"/>
  <c r="Z88" i="26"/>
  <c r="X88" i="26"/>
  <c r="AD88" i="9"/>
  <c r="Z76" i="9"/>
  <c r="AD61" i="9"/>
  <c r="Z82" i="26"/>
  <c r="X82" i="26"/>
  <c r="AE122" i="9"/>
  <c r="AI122" i="9" s="1"/>
  <c r="AA74" i="9"/>
  <c r="AA51" i="9"/>
  <c r="AA68" i="9"/>
  <c r="AA50" i="9"/>
  <c r="AA77" i="9"/>
  <c r="AA80" i="9"/>
  <c r="Z75" i="9"/>
  <c r="AD60" i="9"/>
  <c r="L41" i="8"/>
  <c r="L43" i="8"/>
  <c r="L44" i="8"/>
  <c r="L42" i="8"/>
  <c r="T92" i="26"/>
  <c r="X75" i="9"/>
  <c r="X71" i="9"/>
  <c r="Z72" i="9"/>
  <c r="Z78" i="9"/>
  <c r="Z74" i="9"/>
  <c r="Z81" i="9"/>
  <c r="Z79" i="9"/>
  <c r="Z80" i="9"/>
  <c r="X79" i="9"/>
  <c r="X80" i="9"/>
  <c r="X73" i="9"/>
  <c r="X77" i="9"/>
  <c r="X68" i="9"/>
  <c r="X72" i="9"/>
  <c r="X78" i="9"/>
  <c r="Z73" i="9"/>
  <c r="Z77" i="9"/>
  <c r="X76" i="9"/>
  <c r="X74" i="9"/>
  <c r="X81" i="9"/>
  <c r="X50" i="9"/>
  <c r="X7" i="9" s="1"/>
  <c r="X51" i="9"/>
  <c r="Z28" i="8"/>
  <c r="AD28" i="8" s="1"/>
  <c r="AH28" i="8" s="1"/>
  <c r="AN28" i="8" s="1"/>
  <c r="AR28" i="8" s="1"/>
  <c r="AV28" i="8" s="1"/>
  <c r="BD28" i="8" s="1"/>
  <c r="Z30" i="8"/>
  <c r="AD30" i="8" s="1"/>
  <c r="AH30" i="8" s="1"/>
  <c r="AN30" i="8" s="1"/>
  <c r="AR30" i="8" s="1"/>
  <c r="AV30" i="8" s="1"/>
  <c r="BD30" i="8" s="1"/>
  <c r="Z27" i="8"/>
  <c r="AD27" i="8" s="1"/>
  <c r="AH27" i="8" s="1"/>
  <c r="AN27" i="8" s="1"/>
  <c r="AR27" i="8" s="1"/>
  <c r="AV27" i="8" s="1"/>
  <c r="BD27" i="8" s="1"/>
  <c r="Z29" i="8"/>
  <c r="AD29" i="8" s="1"/>
  <c r="AH29" i="8" s="1"/>
  <c r="AN29" i="8" s="1"/>
  <c r="AR29" i="8" s="1"/>
  <c r="AV29" i="8" s="1"/>
  <c r="BD29" i="8" s="1"/>
  <c r="I70" i="8"/>
  <c r="I69" i="8"/>
  <c r="P72" i="8"/>
  <c r="T68" i="8"/>
  <c r="M18" i="8"/>
  <c r="I8" i="15"/>
  <c r="L18" i="8"/>
  <c r="L76" i="8" s="1"/>
  <c r="H8" i="15"/>
  <c r="H13" i="15" s="1"/>
  <c r="Q58" i="8"/>
  <c r="U58" i="8" s="1"/>
  <c r="AA58" i="8" s="1"/>
  <c r="AE58" i="8" s="1"/>
  <c r="P70" i="8"/>
  <c r="T60" i="8"/>
  <c r="I39" i="8"/>
  <c r="I38" i="8"/>
  <c r="I76" i="8"/>
  <c r="I37" i="8"/>
  <c r="I77" i="8"/>
  <c r="I78" i="8"/>
  <c r="Q127" i="9"/>
  <c r="E48" i="8"/>
  <c r="H48" i="8"/>
  <c r="I42" i="8"/>
  <c r="I41" i="8"/>
  <c r="I43" i="8"/>
  <c r="I44" i="8"/>
  <c r="Q30" i="8"/>
  <c r="U30" i="8" s="1"/>
  <c r="AA30" i="8" s="1"/>
  <c r="AE30" i="8" s="1"/>
  <c r="AI30" i="8" s="1"/>
  <c r="AO30" i="8" s="1"/>
  <c r="AS30" i="8" s="1"/>
  <c r="AW30" i="8" s="1"/>
  <c r="BE30" i="8" s="1"/>
  <c r="L14" i="36"/>
  <c r="Q24" i="8"/>
  <c r="G5" i="26"/>
  <c r="I14" i="36"/>
  <c r="L1348" i="3"/>
  <c r="N1348" i="3" s="1"/>
  <c r="S1348" i="3"/>
  <c r="P5" i="8"/>
  <c r="M23" i="8"/>
  <c r="M10" i="36" s="1"/>
  <c r="L1349" i="3"/>
  <c r="L1346" i="3"/>
  <c r="Q1349" i="3"/>
  <c r="Q1346" i="3"/>
  <c r="S1346" i="3" s="1"/>
  <c r="U1346" i="3" s="1"/>
  <c r="X1346" i="3" s="1"/>
  <c r="Z1346" i="3" s="1"/>
  <c r="M28" i="8"/>
  <c r="L84" i="8"/>
  <c r="Q59" i="8"/>
  <c r="U59" i="8" s="1"/>
  <c r="AA59" i="8" s="1"/>
  <c r="H79" i="8"/>
  <c r="L47" i="8"/>
  <c r="L74" i="8" s="1"/>
  <c r="L46" i="8"/>
  <c r="L86" i="8"/>
  <c r="I86" i="8"/>
  <c r="M5" i="8"/>
  <c r="H16" i="8"/>
  <c r="L13" i="8"/>
  <c r="M27" i="8"/>
  <c r="I34" i="8"/>
  <c r="M34" i="8" s="1"/>
  <c r="Q34" i="8" s="1"/>
  <c r="U34" i="8" s="1"/>
  <c r="AA34" i="8" s="1"/>
  <c r="AE34" i="8" s="1"/>
  <c r="AI34" i="8" s="1"/>
  <c r="AO34" i="8" s="1"/>
  <c r="AS34" i="8" s="1"/>
  <c r="AW34" i="8" s="1"/>
  <c r="BE34" i="8" s="1"/>
  <c r="E132" i="9"/>
  <c r="E131" i="9"/>
  <c r="I130" i="9"/>
  <c r="M130" i="9" s="1"/>
  <c r="M132" i="9" s="1"/>
  <c r="I47" i="8"/>
  <c r="E40" i="8"/>
  <c r="I35" i="8"/>
  <c r="M35" i="8" s="1"/>
  <c r="Q35" i="8" s="1"/>
  <c r="U35" i="8" s="1"/>
  <c r="AA35" i="8" s="1"/>
  <c r="AE35" i="8" s="1"/>
  <c r="AI35" i="8" s="1"/>
  <c r="AO35" i="8" s="1"/>
  <c r="AS35" i="8" s="1"/>
  <c r="AW35" i="8" s="1"/>
  <c r="BE35" i="8" s="1"/>
  <c r="I26" i="8"/>
  <c r="I46" i="8"/>
  <c r="I84" i="8"/>
  <c r="H21" i="8"/>
  <c r="L21" i="8" s="1"/>
  <c r="P21" i="8" s="1"/>
  <c r="T21" i="8" s="1"/>
  <c r="Z21" i="8" s="1"/>
  <c r="AD21" i="8" s="1"/>
  <c r="AH21" i="8" s="1"/>
  <c r="AN21" i="8" s="1"/>
  <c r="AR21" i="8" s="1"/>
  <c r="AV21" i="8" s="1"/>
  <c r="BD21" i="8" s="1"/>
  <c r="E16" i="8"/>
  <c r="I15" i="8"/>
  <c r="AH99" i="9" l="1"/>
  <c r="BB92" i="9"/>
  <c r="BB93" i="9"/>
  <c r="BE10" i="9"/>
  <c r="BB89" i="9"/>
  <c r="BB88" i="9"/>
  <c r="AD81" i="9"/>
  <c r="AZ12" i="8"/>
  <c r="BD12" i="8"/>
  <c r="BF35" i="11"/>
  <c r="BF37" i="11"/>
  <c r="BF66" i="11"/>
  <c r="BF53" i="11"/>
  <c r="BF39" i="11"/>
  <c r="AX97" i="10"/>
  <c r="BF5" i="10"/>
  <c r="BF128" i="10"/>
  <c r="AD82" i="26"/>
  <c r="AD88" i="26"/>
  <c r="AD86" i="26"/>
  <c r="AD83" i="26"/>
  <c r="AD80" i="26"/>
  <c r="AX107" i="10"/>
  <c r="AO38" i="9"/>
  <c r="AO46" i="9" s="1"/>
  <c r="AS35" i="9"/>
  <c r="AV59" i="9"/>
  <c r="BD59" i="9" s="1"/>
  <c r="AS82" i="8"/>
  <c r="AW2" i="8"/>
  <c r="BE2" i="8" s="1"/>
  <c r="AD51" i="9"/>
  <c r="AD80" i="9"/>
  <c r="AD74" i="9"/>
  <c r="AS83" i="8"/>
  <c r="AW63" i="9"/>
  <c r="BE63" i="9" s="1"/>
  <c r="AV22" i="9"/>
  <c r="BD22" i="9" s="1"/>
  <c r="AR88" i="9"/>
  <c r="AV64" i="9"/>
  <c r="BD64" i="9" s="1"/>
  <c r="AI61" i="9"/>
  <c r="AF63" i="22"/>
  <c r="AF65" i="22" s="1"/>
  <c r="AF66" i="22" s="1"/>
  <c r="AE40" i="48" s="1"/>
  <c r="AS75" i="8"/>
  <c r="AW75" i="8" s="1"/>
  <c r="BE75" i="8" s="1"/>
  <c r="U112" i="7"/>
  <c r="U113" i="7" s="1"/>
  <c r="U111" i="7"/>
  <c r="AX123" i="10"/>
  <c r="AX130" i="10" s="1"/>
  <c r="AX118" i="10"/>
  <c r="AX109" i="10"/>
  <c r="AW21" i="36"/>
  <c r="AS60" i="9"/>
  <c r="AO45" i="48"/>
  <c r="AD72" i="9"/>
  <c r="AD79" i="9"/>
  <c r="AW58" i="9"/>
  <c r="BE58" i="9" s="1"/>
  <c r="AO36" i="9"/>
  <c r="AS34" i="9"/>
  <c r="AV63" i="9"/>
  <c r="BD63" i="9" s="1"/>
  <c r="AO66" i="9"/>
  <c r="AW24" i="9"/>
  <c r="BE24" i="9" s="1"/>
  <c r="AS27" i="9"/>
  <c r="AS28" i="9" s="1"/>
  <c r="AS65" i="9"/>
  <c r="AO163" i="9"/>
  <c r="AO165" i="9" s="1"/>
  <c r="AA112" i="7"/>
  <c r="AA113" i="7" s="1"/>
  <c r="AA111" i="7"/>
  <c r="AA114" i="7" s="1"/>
  <c r="AA17" i="48" s="1"/>
  <c r="AW120" i="9"/>
  <c r="BE120" i="9" s="1"/>
  <c r="AW10" i="9"/>
  <c r="U168" i="9"/>
  <c r="U170" i="9"/>
  <c r="U171" i="9" s="1"/>
  <c r="AI57" i="9"/>
  <c r="AE43" i="48"/>
  <c r="AE166" i="9"/>
  <c r="AE110" i="7"/>
  <c r="AV57" i="9"/>
  <c r="BD57" i="9" s="1"/>
  <c r="AV66" i="9"/>
  <c r="BD66" i="9" s="1"/>
  <c r="AA70" i="9"/>
  <c r="AA42" i="48"/>
  <c r="AW26" i="9"/>
  <c r="BE26" i="9" s="1"/>
  <c r="AV65" i="9"/>
  <c r="BD65" i="9" s="1"/>
  <c r="AS56" i="9"/>
  <c r="AO44" i="48"/>
  <c r="AH74" i="9"/>
  <c r="AH81" i="9"/>
  <c r="AA170" i="9"/>
  <c r="AA171" i="9" s="1"/>
  <c r="AA168" i="9"/>
  <c r="AA172" i="9" s="1"/>
  <c r="AA12" i="48" s="1"/>
  <c r="AA13" i="48" s="1"/>
  <c r="AI59" i="9"/>
  <c r="AE46" i="48"/>
  <c r="AI166" i="9"/>
  <c r="AI110" i="7"/>
  <c r="AX128" i="10"/>
  <c r="AI55" i="7"/>
  <c r="AI69" i="7"/>
  <c r="AO124" i="9"/>
  <c r="AS124" i="9" s="1"/>
  <c r="AE39" i="9"/>
  <c r="AD82" i="9"/>
  <c r="AO22" i="9"/>
  <c r="AI88" i="9"/>
  <c r="AO40" i="9"/>
  <c r="AI44" i="9"/>
  <c r="AH78" i="9"/>
  <c r="AH72" i="9"/>
  <c r="AD75" i="9"/>
  <c r="AH60" i="9"/>
  <c r="AN53" i="9"/>
  <c r="AR53" i="9" s="1"/>
  <c r="AH55" i="9"/>
  <c r="AH70" i="9" s="1"/>
  <c r="AH68" i="9"/>
  <c r="AN96" i="9"/>
  <c r="AR96" i="9" s="1"/>
  <c r="AN88" i="9"/>
  <c r="AD71" i="9"/>
  <c r="AH56" i="9"/>
  <c r="AD76" i="9"/>
  <c r="AH61" i="9"/>
  <c r="AO21" i="9"/>
  <c r="AS21" i="9" s="1"/>
  <c r="AO122" i="9"/>
  <c r="AS122" i="9" s="1"/>
  <c r="AW122" i="9" s="1"/>
  <c r="AO27" i="9"/>
  <c r="AO28" i="9" s="1"/>
  <c r="AE55" i="9"/>
  <c r="AI53" i="9"/>
  <c r="AO18" i="9"/>
  <c r="AS18" i="9" s="1"/>
  <c r="AN45" i="9"/>
  <c r="AN74" i="9" s="1"/>
  <c r="AH51" i="9"/>
  <c r="AH69" i="9"/>
  <c r="AH73" i="9"/>
  <c r="AH77" i="9"/>
  <c r="AN5" i="9"/>
  <c r="AR5" i="9" s="1"/>
  <c r="AN99" i="9"/>
  <c r="AI33" i="22"/>
  <c r="AH94" i="26"/>
  <c r="AH86" i="26" s="1"/>
  <c r="AH83" i="9"/>
  <c r="AH91" i="9"/>
  <c r="AH95" i="9"/>
  <c r="AH89" i="9"/>
  <c r="AH18" i="15" s="1"/>
  <c r="AO31" i="9"/>
  <c r="AS31" i="9" s="1"/>
  <c r="AI33" i="9"/>
  <c r="AI39" i="9" s="1"/>
  <c r="AI37" i="9"/>
  <c r="AI45" i="9" s="1"/>
  <c r="AI47" i="9" s="1"/>
  <c r="AH80" i="9"/>
  <c r="AH27" i="9"/>
  <c r="AN24" i="9"/>
  <c r="Q25" i="8"/>
  <c r="U25" i="8" s="1"/>
  <c r="M13" i="36"/>
  <c r="I13" i="36"/>
  <c r="Q12" i="36"/>
  <c r="AE59" i="8"/>
  <c r="AI58" i="8"/>
  <c r="AO67" i="8"/>
  <c r="AS67" i="8" s="1"/>
  <c r="U24" i="8"/>
  <c r="Q11" i="36"/>
  <c r="AE57" i="8"/>
  <c r="AI65" i="8"/>
  <c r="AD55" i="9"/>
  <c r="AD70" i="9" s="1"/>
  <c r="AD68" i="9"/>
  <c r="AD85" i="26"/>
  <c r="AH85" i="26" s="1"/>
  <c r="AE96" i="9"/>
  <c r="AI96" i="9" s="1"/>
  <c r="AE88" i="9"/>
  <c r="AD81" i="26"/>
  <c r="AE49" i="9"/>
  <c r="AI49" i="9" s="1"/>
  <c r="AD87" i="26"/>
  <c r="AD89" i="26"/>
  <c r="AH89" i="26" s="1"/>
  <c r="AD69" i="9"/>
  <c r="AD50" i="9"/>
  <c r="AD7" i="9" s="1"/>
  <c r="AD73" i="9"/>
  <c r="AD77" i="9"/>
  <c r="AE79" i="9"/>
  <c r="AE69" i="9"/>
  <c r="AD84" i="26"/>
  <c r="Z92" i="26"/>
  <c r="AE73" i="9"/>
  <c r="AE72" i="9"/>
  <c r="X92" i="26"/>
  <c r="AE81" i="9"/>
  <c r="AE76" i="9"/>
  <c r="AE51" i="9"/>
  <c r="AE50" i="9"/>
  <c r="AE68" i="9"/>
  <c r="AE77" i="9"/>
  <c r="AE74" i="9"/>
  <c r="AE71" i="9"/>
  <c r="AE75" i="9"/>
  <c r="AE80" i="9"/>
  <c r="M14" i="36"/>
  <c r="I74" i="8"/>
  <c r="T5" i="8"/>
  <c r="T86" i="8" s="1"/>
  <c r="P44" i="8"/>
  <c r="P42" i="8"/>
  <c r="P43" i="8"/>
  <c r="P41" i="8"/>
  <c r="M42" i="8"/>
  <c r="M38" i="8"/>
  <c r="M41" i="8"/>
  <c r="M37" i="8"/>
  <c r="M44" i="8"/>
  <c r="M43" i="8"/>
  <c r="M39" i="8"/>
  <c r="T70" i="8"/>
  <c r="Z60" i="8"/>
  <c r="T72" i="8"/>
  <c r="Z68" i="8"/>
  <c r="U127" i="9"/>
  <c r="AA127" i="9" s="1"/>
  <c r="AE127" i="9" s="1"/>
  <c r="AI127" i="9" s="1"/>
  <c r="Q18" i="8"/>
  <c r="M8" i="15"/>
  <c r="Q28" i="8"/>
  <c r="M72" i="8"/>
  <c r="P18" i="8"/>
  <c r="L8" i="15"/>
  <c r="L13" i="15" s="1"/>
  <c r="M131" i="9"/>
  <c r="Q130" i="9"/>
  <c r="Q27" i="8"/>
  <c r="M70" i="8"/>
  <c r="M69" i="8"/>
  <c r="Q56" i="8"/>
  <c r="U56" i="8" s="1"/>
  <c r="AA56" i="8" s="1"/>
  <c r="P86" i="8"/>
  <c r="M76" i="8"/>
  <c r="M78" i="8"/>
  <c r="M77" i="8"/>
  <c r="P14" i="36"/>
  <c r="L48" i="8"/>
  <c r="Q5" i="8"/>
  <c r="Q23" i="8"/>
  <c r="Q10" i="36" s="1"/>
  <c r="AB1346" i="3"/>
  <c r="AF1346" i="3" s="1"/>
  <c r="M47" i="8"/>
  <c r="I5" i="26"/>
  <c r="P84" i="8"/>
  <c r="T84" i="8" s="1"/>
  <c r="U1348" i="3"/>
  <c r="M26" i="8"/>
  <c r="S1349" i="3"/>
  <c r="N1346" i="3"/>
  <c r="N1349" i="3"/>
  <c r="P47" i="8"/>
  <c r="P74" i="8" s="1"/>
  <c r="P46" i="8"/>
  <c r="L79" i="8"/>
  <c r="H80" i="8"/>
  <c r="L16" i="8"/>
  <c r="P13" i="8"/>
  <c r="T13" i="8" s="1"/>
  <c r="M46" i="8"/>
  <c r="M86" i="8"/>
  <c r="I16" i="8"/>
  <c r="M15" i="8"/>
  <c r="M84" i="8"/>
  <c r="I132" i="9"/>
  <c r="I131" i="9"/>
  <c r="I48" i="8"/>
  <c r="I40" i="8"/>
  <c r="AN78" i="9" l="1"/>
  <c r="BE122" i="9"/>
  <c r="BE27" i="9"/>
  <c r="BE28" i="9" s="1"/>
  <c r="BB12" i="8"/>
  <c r="BB16" i="8" s="1"/>
  <c r="AZ16" i="8"/>
  <c r="BD88" i="9"/>
  <c r="BB18" i="15"/>
  <c r="BD18" i="15"/>
  <c r="BF70" i="11"/>
  <c r="BF68" i="11"/>
  <c r="BF107" i="10"/>
  <c r="BF123" i="10"/>
  <c r="BF130" i="10" s="1"/>
  <c r="BG1" i="10"/>
  <c r="BF118" i="10"/>
  <c r="BF109" i="10"/>
  <c r="BE21" i="36"/>
  <c r="BF97" i="10"/>
  <c r="AE112" i="7"/>
  <c r="AE113" i="7" s="1"/>
  <c r="AE111" i="7"/>
  <c r="AS163" i="9"/>
  <c r="AS165" i="9" s="1"/>
  <c r="AW65" i="9"/>
  <c r="BE65" i="9" s="1"/>
  <c r="AS66" i="9"/>
  <c r="AP58" i="22"/>
  <c r="AP60" i="22" s="1"/>
  <c r="AP61" i="22" s="1"/>
  <c r="AO37" i="48" s="1"/>
  <c r="AJ63" i="22"/>
  <c r="AJ65" i="22" s="1"/>
  <c r="AJ66" i="22" s="1"/>
  <c r="AI40" i="48" s="1"/>
  <c r="AO61" i="9"/>
  <c r="AH84" i="26"/>
  <c r="AW31" i="9"/>
  <c r="BE31" i="9" s="1"/>
  <c r="AS37" i="9"/>
  <c r="AS33" i="9"/>
  <c r="AR99" i="9"/>
  <c r="AV5" i="9"/>
  <c r="AR94" i="26"/>
  <c r="AS33" i="22"/>
  <c r="AR91" i="9"/>
  <c r="AR83" i="9"/>
  <c r="AR95" i="9"/>
  <c r="AR89" i="9"/>
  <c r="AR18" i="15" s="1"/>
  <c r="AE70" i="9"/>
  <c r="AE42" i="48"/>
  <c r="AW21" i="9"/>
  <c r="BE21" i="9" s="1"/>
  <c r="AN97" i="9"/>
  <c r="AR97" i="9" s="1"/>
  <c r="AV53" i="9"/>
  <c r="BD53" i="9" s="1"/>
  <c r="AR55" i="9"/>
  <c r="AI170" i="9"/>
  <c r="AI171" i="9" s="1"/>
  <c r="AI168" i="9"/>
  <c r="AW56" i="9"/>
  <c r="BE56" i="9" s="1"/>
  <c r="AS44" i="48"/>
  <c r="AE168" i="9"/>
  <c r="AE170" i="9"/>
  <c r="AE171" i="9" s="1"/>
  <c r="U172" i="9"/>
  <c r="U12" i="48" s="1"/>
  <c r="U13" i="48" s="1"/>
  <c r="U114" i="7"/>
  <c r="U17" i="48" s="1"/>
  <c r="AV96" i="9"/>
  <c r="BB96" i="9" s="1"/>
  <c r="AV88" i="9"/>
  <c r="AW83" i="8"/>
  <c r="BE83" i="8" s="1"/>
  <c r="AN27" i="9"/>
  <c r="AR24" i="9"/>
  <c r="AN81" i="9"/>
  <c r="AR45" i="9"/>
  <c r="AR68" i="9" s="1"/>
  <c r="AH80" i="26"/>
  <c r="AL80" i="26" s="1"/>
  <c r="AH91" i="26"/>
  <c r="AL91" i="26" s="1"/>
  <c r="AO88" i="9"/>
  <c r="AS22" i="9"/>
  <c r="AH88" i="26"/>
  <c r="AL88" i="26" s="1"/>
  <c r="AW27" i="9"/>
  <c r="AW28" i="9" s="1"/>
  <c r="AW35" i="9"/>
  <c r="AS38" i="9"/>
  <c r="AS46" i="9" s="1"/>
  <c r="AO44" i="9"/>
  <c r="AS40" i="9"/>
  <c r="AI112" i="7"/>
  <c r="AI113" i="7" s="1"/>
  <c r="AI111" i="7"/>
  <c r="AW124" i="9"/>
  <c r="BE124" i="9" s="1"/>
  <c r="AH81" i="26"/>
  <c r="AL81" i="26" s="1"/>
  <c r="AW67" i="8"/>
  <c r="BE67" i="8" s="1"/>
  <c r="AN79" i="9"/>
  <c r="AW18" i="9"/>
  <c r="BE18" i="9" s="1"/>
  <c r="AI46" i="48"/>
  <c r="AO59" i="9"/>
  <c r="AI43" i="48"/>
  <c r="AO57" i="9"/>
  <c r="AO166" i="9"/>
  <c r="AO110" i="7"/>
  <c r="AW34" i="9"/>
  <c r="BE34" i="9" s="1"/>
  <c r="AS36" i="9"/>
  <c r="AW60" i="9"/>
  <c r="BE60" i="9" s="1"/>
  <c r="AS45" i="48"/>
  <c r="AW82" i="8"/>
  <c r="BE82" i="8" s="1"/>
  <c r="Q13" i="36"/>
  <c r="AO55" i="7"/>
  <c r="AS55" i="7" s="1"/>
  <c r="AO69" i="7"/>
  <c r="AS69" i="7" s="1"/>
  <c r="AL86" i="26"/>
  <c r="AI51" i="9"/>
  <c r="AI50" i="9"/>
  <c r="AI69" i="9"/>
  <c r="AI77" i="9"/>
  <c r="AI74" i="9"/>
  <c r="AI78" i="9"/>
  <c r="AI80" i="9"/>
  <c r="AI75" i="9"/>
  <c r="AI72" i="9"/>
  <c r="AI81" i="9"/>
  <c r="AI76" i="9"/>
  <c r="AI71" i="9"/>
  <c r="AI73" i="9"/>
  <c r="AI79" i="9"/>
  <c r="AN60" i="9"/>
  <c r="AH75" i="9"/>
  <c r="AL89" i="26"/>
  <c r="AO49" i="9"/>
  <c r="AS49" i="9" s="1"/>
  <c r="AW49" i="9" s="1"/>
  <c r="BE49" i="9" s="1"/>
  <c r="AN61" i="9"/>
  <c r="AH76" i="9"/>
  <c r="AN56" i="9"/>
  <c r="AH71" i="9"/>
  <c r="AO96" i="9"/>
  <c r="AD92" i="26"/>
  <c r="AH87" i="26"/>
  <c r="AH50" i="9"/>
  <c r="AH7" i="9" s="1"/>
  <c r="AH28" i="9"/>
  <c r="AH82" i="9"/>
  <c r="AO37" i="9"/>
  <c r="AO45" i="9" s="1"/>
  <c r="AO47" i="9" s="1"/>
  <c r="AO33" i="9"/>
  <c r="AO39" i="9" s="1"/>
  <c r="AN94" i="26"/>
  <c r="AN91" i="26" s="1"/>
  <c r="AR91" i="26" s="1"/>
  <c r="AO33" i="22"/>
  <c r="AN91" i="9"/>
  <c r="AN83" i="9"/>
  <c r="AN95" i="9"/>
  <c r="AN89" i="9"/>
  <c r="AN18" i="15" s="1"/>
  <c r="AH83" i="26"/>
  <c r="AN80" i="9"/>
  <c r="AL84" i="26"/>
  <c r="AN28" i="9"/>
  <c r="AN82" i="9"/>
  <c r="AN85" i="26"/>
  <c r="AR85" i="26" s="1"/>
  <c r="AL85" i="26"/>
  <c r="AN72" i="9"/>
  <c r="AN51" i="9"/>
  <c r="AN50" i="9"/>
  <c r="AN7" i="9" s="1"/>
  <c r="AN69" i="9"/>
  <c r="AN73" i="9"/>
  <c r="AN77" i="9"/>
  <c r="AO53" i="9"/>
  <c r="AS53" i="9" s="1"/>
  <c r="AI55" i="9"/>
  <c r="AI68" i="9"/>
  <c r="AH82" i="26"/>
  <c r="AH90" i="26"/>
  <c r="AN55" i="9"/>
  <c r="AN70" i="9" s="1"/>
  <c r="AN68" i="9"/>
  <c r="AA24" i="8"/>
  <c r="U11" i="36"/>
  <c r="AE56" i="8"/>
  <c r="AI59" i="8"/>
  <c r="AO127" i="9"/>
  <c r="AS127" i="9" s="1"/>
  <c r="AI57" i="8"/>
  <c r="AO65" i="8"/>
  <c r="AS65" i="8" s="1"/>
  <c r="AO58" i="8"/>
  <c r="AS58" i="8" s="1"/>
  <c r="AW58" i="8" s="1"/>
  <c r="AA25" i="8"/>
  <c r="U12" i="36"/>
  <c r="Z70" i="8"/>
  <c r="AD60" i="8"/>
  <c r="Z72" i="8"/>
  <c r="AD68" i="8"/>
  <c r="Q14" i="36"/>
  <c r="M74" i="8"/>
  <c r="P48" i="8"/>
  <c r="Q42" i="8"/>
  <c r="Q38" i="8"/>
  <c r="Q41" i="8"/>
  <c r="Q37" i="8"/>
  <c r="Q44" i="8"/>
  <c r="Q43" i="8"/>
  <c r="Q39" i="8"/>
  <c r="Z5" i="8"/>
  <c r="AD5" i="8" s="1"/>
  <c r="AH5" i="8" s="1"/>
  <c r="AN5" i="8" s="1"/>
  <c r="AR5" i="8" s="1"/>
  <c r="AV5" i="8" s="1"/>
  <c r="BD5" i="8" s="1"/>
  <c r="T44" i="8"/>
  <c r="T43" i="8"/>
  <c r="T42" i="8"/>
  <c r="T41" i="8"/>
  <c r="M40" i="8"/>
  <c r="T16" i="8"/>
  <c r="Z13" i="8"/>
  <c r="T47" i="8"/>
  <c r="T14" i="36"/>
  <c r="Q26" i="8"/>
  <c r="U23" i="8"/>
  <c r="U5" i="8"/>
  <c r="U27" i="8"/>
  <c r="AA27" i="8" s="1"/>
  <c r="Q70" i="8"/>
  <c r="Q69" i="8"/>
  <c r="T18" i="8"/>
  <c r="P8" i="15"/>
  <c r="P13" i="15" s="1"/>
  <c r="T46" i="8"/>
  <c r="U130" i="9"/>
  <c r="AA130" i="9" s="1"/>
  <c r="AE130" i="9" s="1"/>
  <c r="AI130" i="9" s="1"/>
  <c r="Q131" i="9"/>
  <c r="U18" i="8"/>
  <c r="Q8" i="15"/>
  <c r="P76" i="8"/>
  <c r="Q132" i="9"/>
  <c r="U28" i="8"/>
  <c r="AA28" i="8" s="1"/>
  <c r="Q72" i="8"/>
  <c r="Q78" i="8"/>
  <c r="Q76" i="8"/>
  <c r="Q77" i="8"/>
  <c r="Q84" i="8"/>
  <c r="Q86" i="8"/>
  <c r="Q46" i="8"/>
  <c r="Q47" i="8"/>
  <c r="Q74" i="8" s="1"/>
  <c r="M5" i="26"/>
  <c r="Q5" i="26" s="1"/>
  <c r="U5" i="26" s="1"/>
  <c r="AA5" i="26" s="1"/>
  <c r="AE5" i="26" s="1"/>
  <c r="AI5" i="26" s="1"/>
  <c r="AO5" i="26" s="1"/>
  <c r="AS5" i="26" s="1"/>
  <c r="AW5" i="26" s="1"/>
  <c r="BE5" i="26" s="1"/>
  <c r="X1348" i="3"/>
  <c r="Z1348" i="3" s="1"/>
  <c r="AB1348" i="3" s="1"/>
  <c r="U1349" i="3"/>
  <c r="P16" i="8"/>
  <c r="P79" i="8"/>
  <c r="T79" i="8" s="1"/>
  <c r="L80" i="8"/>
  <c r="M16" i="8"/>
  <c r="Q15" i="8"/>
  <c r="U15" i="8" s="1"/>
  <c r="M48" i="8"/>
  <c r="G62" i="7"/>
  <c r="F62" i="7"/>
  <c r="D62" i="7"/>
  <c r="I61" i="7"/>
  <c r="H61" i="7"/>
  <c r="I59" i="7"/>
  <c r="M59" i="7" s="1"/>
  <c r="H59" i="7"/>
  <c r="L59" i="7" s="1"/>
  <c r="G58" i="7"/>
  <c r="G60" i="7" s="1"/>
  <c r="F58" i="7"/>
  <c r="F60" i="7" s="1"/>
  <c r="E58" i="7"/>
  <c r="E60" i="7" s="1"/>
  <c r="D58" i="7"/>
  <c r="D60" i="7" s="1"/>
  <c r="I2" i="7"/>
  <c r="M2" i="7" s="1"/>
  <c r="Q2" i="7" s="1"/>
  <c r="U2" i="7" s="1"/>
  <c r="AA2" i="7" s="1"/>
  <c r="AE2" i="7" s="1"/>
  <c r="AI2" i="7" s="1"/>
  <c r="AO2" i="7" s="1"/>
  <c r="AS2" i="7" s="1"/>
  <c r="H2" i="7"/>
  <c r="I53" i="7"/>
  <c r="M53" i="7" s="1"/>
  <c r="Q53" i="7" s="1"/>
  <c r="U53" i="7" s="1"/>
  <c r="AA53" i="7" s="1"/>
  <c r="AE53" i="7" s="1"/>
  <c r="AI53" i="7" s="1"/>
  <c r="AO53" i="7" s="1"/>
  <c r="AS53" i="7" s="1"/>
  <c r="AW53" i="7" s="1"/>
  <c r="BE53" i="7" s="1"/>
  <c r="I52" i="7"/>
  <c r="M52" i="7" s="1"/>
  <c r="Q52" i="7" s="1"/>
  <c r="U52" i="7" s="1"/>
  <c r="I38" i="7"/>
  <c r="I36" i="7"/>
  <c r="I35" i="7"/>
  <c r="I34" i="7"/>
  <c r="I33" i="7"/>
  <c r="I31" i="7"/>
  <c r="I15" i="7"/>
  <c r="I13" i="7"/>
  <c r="I12" i="7"/>
  <c r="I10" i="7"/>
  <c r="M10" i="7" s="1"/>
  <c r="I9" i="7"/>
  <c r="I8" i="7"/>
  <c r="I125" i="7" s="1"/>
  <c r="I127" i="7" s="1"/>
  <c r="I128" i="7" s="1"/>
  <c r="I27" i="48" s="1"/>
  <c r="I28" i="48" s="1"/>
  <c r="I7" i="7"/>
  <c r="I119" i="7" s="1"/>
  <c r="I121" i="7" s="1"/>
  <c r="I122" i="7" s="1"/>
  <c r="I22" i="48" s="1"/>
  <c r="I23" i="48" s="1"/>
  <c r="I6" i="7"/>
  <c r="G54" i="7"/>
  <c r="G104" i="7" s="1"/>
  <c r="G105" i="7" s="1"/>
  <c r="E54" i="7"/>
  <c r="E104" i="7" s="1"/>
  <c r="E105" i="7" s="1"/>
  <c r="G16" i="7"/>
  <c r="G30" i="7" s="1"/>
  <c r="E16" i="7"/>
  <c r="E30" i="7" s="1"/>
  <c r="H53" i="7"/>
  <c r="L53" i="7" s="1"/>
  <c r="P53" i="7" s="1"/>
  <c r="T53" i="7" s="1"/>
  <c r="Z53" i="7" s="1"/>
  <c r="AD53" i="7" s="1"/>
  <c r="AH53" i="7" s="1"/>
  <c r="AN53" i="7" s="1"/>
  <c r="AR53" i="7" s="1"/>
  <c r="AV53" i="7" s="1"/>
  <c r="BD53" i="7" s="1"/>
  <c r="H52" i="7"/>
  <c r="L52" i="7" s="1"/>
  <c r="F54" i="7"/>
  <c r="D54" i="7"/>
  <c r="AX22" i="7" s="1"/>
  <c r="G233" i="6"/>
  <c r="G232" i="6"/>
  <c r="G225" i="6"/>
  <c r="G224" i="6"/>
  <c r="G193" i="6"/>
  <c r="G192" i="6"/>
  <c r="G189" i="6"/>
  <c r="G188" i="6"/>
  <c r="G231" i="6"/>
  <c r="G282" i="6" s="1"/>
  <c r="G223" i="6"/>
  <c r="G278" i="6" s="1"/>
  <c r="G274" i="6"/>
  <c r="G191" i="6"/>
  <c r="G271" i="6" s="1"/>
  <c r="G187" i="6"/>
  <c r="G270" i="6" s="1"/>
  <c r="E233" i="6"/>
  <c r="E232" i="6"/>
  <c r="E229" i="6"/>
  <c r="E228" i="6"/>
  <c r="E227" i="6"/>
  <c r="E284" i="6" s="1"/>
  <c r="E225" i="6"/>
  <c r="E224" i="6"/>
  <c r="E223" i="6"/>
  <c r="E278" i="6" s="1"/>
  <c r="E221" i="6"/>
  <c r="E220" i="6"/>
  <c r="E219" i="6"/>
  <c r="E274" i="6" s="1"/>
  <c r="E193" i="6"/>
  <c r="E192" i="6"/>
  <c r="E191" i="6"/>
  <c r="E271" i="6" s="1"/>
  <c r="E189" i="6"/>
  <c r="E188" i="6"/>
  <c r="E187" i="6"/>
  <c r="E270" i="6" s="1"/>
  <c r="AR70" i="9" l="1"/>
  <c r="BD96" i="9"/>
  <c r="BD55" i="9"/>
  <c r="BD5" i="9"/>
  <c r="BE37" i="9"/>
  <c r="BE33" i="9"/>
  <c r="BE58" i="8"/>
  <c r="AW38" i="9"/>
  <c r="AW46" i="9" s="1"/>
  <c r="BE35" i="9"/>
  <c r="BE38" i="9" s="1"/>
  <c r="BE46" i="9" s="1"/>
  <c r="BE163" i="9"/>
  <c r="BE165" i="9" s="1"/>
  <c r="AN84" i="26"/>
  <c r="AR84" i="26" s="1"/>
  <c r="AV84" i="26" s="1"/>
  <c r="AN86" i="26"/>
  <c r="AR86" i="26" s="1"/>
  <c r="AN81" i="26"/>
  <c r="AR81" i="26" s="1"/>
  <c r="AE172" i="9"/>
  <c r="AE12" i="48" s="1"/>
  <c r="AE13" i="48" s="1"/>
  <c r="AE114" i="7"/>
  <c r="AE17" i="48" s="1"/>
  <c r="BD86" i="8"/>
  <c r="BD44" i="8"/>
  <c r="BD42" i="8"/>
  <c r="BD43" i="8"/>
  <c r="BD41" i="8"/>
  <c r="AI172" i="9"/>
  <c r="AI12" i="48" s="1"/>
  <c r="AI13" i="48" s="1"/>
  <c r="AX81" i="7"/>
  <c r="AX85" i="7" s="1"/>
  <c r="AX28" i="7"/>
  <c r="AX41" i="7" s="1"/>
  <c r="AN76" i="9"/>
  <c r="AR61" i="9"/>
  <c r="AS59" i="9"/>
  <c r="AO46" i="48"/>
  <c r="AV99" i="9"/>
  <c r="BD99" i="9" s="1"/>
  <c r="AW33" i="22"/>
  <c r="AV94" i="26"/>
  <c r="AV91" i="9"/>
  <c r="AV83" i="9"/>
  <c r="AV95" i="9"/>
  <c r="AV89" i="9"/>
  <c r="AV18" i="15" s="1"/>
  <c r="AW163" i="9"/>
  <c r="AT22" i="7"/>
  <c r="AP22" i="7"/>
  <c r="AV81" i="26"/>
  <c r="AS57" i="9"/>
  <c r="AO43" i="48"/>
  <c r="AW40" i="9"/>
  <c r="AS44" i="9"/>
  <c r="AR27" i="9"/>
  <c r="AV24" i="9"/>
  <c r="AV97" i="9"/>
  <c r="BD97" i="9" s="1"/>
  <c r="AS166" i="9"/>
  <c r="AS110" i="7"/>
  <c r="AV86" i="8"/>
  <c r="AV43" i="8"/>
  <c r="AV41" i="8"/>
  <c r="AV44" i="8"/>
  <c r="AV42" i="8"/>
  <c r="AW2" i="7"/>
  <c r="BE2" i="7" s="1"/>
  <c r="AW65" i="8"/>
  <c r="BE65" i="8" s="1"/>
  <c r="AI70" i="9"/>
  <c r="AI42" i="48"/>
  <c r="AN71" i="9"/>
  <c r="AR56" i="9"/>
  <c r="AN75" i="9"/>
  <c r="AR60" i="9"/>
  <c r="AW69" i="7"/>
  <c r="BE69" i="7" s="1"/>
  <c r="AW36" i="9"/>
  <c r="AI114" i="7"/>
  <c r="AI17" i="48" s="1"/>
  <c r="AS39" i="9"/>
  <c r="AW66" i="9"/>
  <c r="BE66" i="9" s="1"/>
  <c r="AT58" i="22"/>
  <c r="AT60" i="22" s="1"/>
  <c r="AT61" i="22" s="1"/>
  <c r="AS37" i="48" s="1"/>
  <c r="AW127" i="9"/>
  <c r="BE127" i="9" s="1"/>
  <c r="AO168" i="9"/>
  <c r="AO170" i="9"/>
  <c r="AO171" i="9" s="1"/>
  <c r="AW33" i="9"/>
  <c r="AW39" i="9" s="1"/>
  <c r="AW37" i="9"/>
  <c r="AW45" i="9" s="1"/>
  <c r="AW47" i="9" s="1"/>
  <c r="AW75" i="9" s="1"/>
  <c r="AW53" i="9"/>
  <c r="BE53" i="9" s="1"/>
  <c r="AS55" i="9"/>
  <c r="AV85" i="26"/>
  <c r="AN89" i="26"/>
  <c r="AR89" i="26" s="1"/>
  <c r="AW55" i="7"/>
  <c r="BE55" i="7" s="1"/>
  <c r="AO112" i="7"/>
  <c r="AO113" i="7" s="1"/>
  <c r="AO111" i="7"/>
  <c r="AS96" i="9"/>
  <c r="AW22" i="9"/>
  <c r="BE22" i="9" s="1"/>
  <c r="AS88" i="9"/>
  <c r="AV45" i="9"/>
  <c r="BD45" i="9" s="1"/>
  <c r="AR51" i="9"/>
  <c r="AR50" i="9"/>
  <c r="AR7" i="9" s="1"/>
  <c r="AR69" i="9"/>
  <c r="AR73" i="9"/>
  <c r="AR77" i="9"/>
  <c r="AR81" i="9"/>
  <c r="AR80" i="9"/>
  <c r="AR79" i="9"/>
  <c r="AR78" i="9"/>
  <c r="AR72" i="9"/>
  <c r="AR74" i="9"/>
  <c r="AV55" i="9"/>
  <c r="AV70" i="9" s="1"/>
  <c r="AV68" i="9"/>
  <c r="AS45" i="9"/>
  <c r="AS47" i="9" s="1"/>
  <c r="AS81" i="9" s="1"/>
  <c r="AS61" i="9"/>
  <c r="AP63" i="22"/>
  <c r="AP65" i="22" s="1"/>
  <c r="AP66" i="22" s="1"/>
  <c r="AO40" i="48" s="1"/>
  <c r="AR86" i="8"/>
  <c r="AR43" i="8"/>
  <c r="AR41" i="8"/>
  <c r="AR44" i="8"/>
  <c r="AR42" i="8"/>
  <c r="M61" i="7"/>
  <c r="I1" i="7"/>
  <c r="E106" i="7"/>
  <c r="E107" i="7"/>
  <c r="E108" i="7" s="1"/>
  <c r="AA52" i="7"/>
  <c r="U54" i="7"/>
  <c r="G106" i="7"/>
  <c r="G107" i="7"/>
  <c r="G108" i="7" s="1"/>
  <c r="AJ22" i="7"/>
  <c r="AF22" i="7"/>
  <c r="AB22" i="7"/>
  <c r="AL83" i="26"/>
  <c r="AN83" i="26"/>
  <c r="AR83" i="26" s="1"/>
  <c r="AN87" i="26"/>
  <c r="AR87" i="26" s="1"/>
  <c r="AV87" i="26" s="1"/>
  <c r="AL87" i="26"/>
  <c r="AH92" i="26"/>
  <c r="AO55" i="9"/>
  <c r="AO68" i="9"/>
  <c r="AN88" i="26"/>
  <c r="AR88" i="26" s="1"/>
  <c r="AV88" i="26" s="1"/>
  <c r="AN80" i="26"/>
  <c r="AR80" i="26" s="1"/>
  <c r="AL82" i="26"/>
  <c r="AN82" i="26"/>
  <c r="AR82" i="26" s="1"/>
  <c r="AV82" i="26" s="1"/>
  <c r="AO74" i="9"/>
  <c r="AO50" i="9"/>
  <c r="AO51" i="9"/>
  <c r="AO69" i="9"/>
  <c r="AO77" i="9"/>
  <c r="AO79" i="9"/>
  <c r="AO71" i="9"/>
  <c r="AO72" i="9"/>
  <c r="AO81" i="9"/>
  <c r="AO78" i="9"/>
  <c r="AO76" i="9"/>
  <c r="AO73" i="9"/>
  <c r="AO75" i="9"/>
  <c r="AO80" i="9"/>
  <c r="AL90" i="26"/>
  <c r="AN90" i="26"/>
  <c r="AR90" i="26" s="1"/>
  <c r="AV90" i="26" s="1"/>
  <c r="AO57" i="8"/>
  <c r="AS57" i="8" s="1"/>
  <c r="AW57" i="8" s="1"/>
  <c r="U8" i="15"/>
  <c r="AA18" i="8"/>
  <c r="Z18" i="8"/>
  <c r="Z76" i="8" s="1"/>
  <c r="T8" i="15"/>
  <c r="T13" i="15" s="1"/>
  <c r="AN86" i="8"/>
  <c r="AN42" i="8"/>
  <c r="AN41" i="8"/>
  <c r="AN43" i="8"/>
  <c r="AN44" i="8"/>
  <c r="AE25" i="8"/>
  <c r="AA12" i="36"/>
  <c r="AE28" i="8"/>
  <c r="AA72" i="8"/>
  <c r="AO130" i="9"/>
  <c r="AI131" i="9"/>
  <c r="AA23" i="8"/>
  <c r="U10" i="36"/>
  <c r="U13" i="36" s="1"/>
  <c r="AI132" i="9"/>
  <c r="AE24" i="8"/>
  <c r="AA11" i="36"/>
  <c r="AE27" i="8"/>
  <c r="AA70" i="8"/>
  <c r="AA69" i="8"/>
  <c r="AI56" i="8"/>
  <c r="AO59" i="8"/>
  <c r="AS59" i="8" s="1"/>
  <c r="AD72" i="8"/>
  <c r="AH68" i="8"/>
  <c r="AH86" i="8"/>
  <c r="AH41" i="8"/>
  <c r="AH43" i="8"/>
  <c r="AH44" i="8"/>
  <c r="AH42" i="8"/>
  <c r="AD70" i="8"/>
  <c r="AH60" i="8"/>
  <c r="U77" i="8"/>
  <c r="U84" i="8"/>
  <c r="AD86" i="8"/>
  <c r="AD41" i="8"/>
  <c r="AD44" i="8"/>
  <c r="AD42" i="8"/>
  <c r="AD43" i="8"/>
  <c r="Z16" i="8"/>
  <c r="AD13" i="8"/>
  <c r="AE132" i="9"/>
  <c r="AE131" i="9"/>
  <c r="T48" i="8"/>
  <c r="Q40" i="8"/>
  <c r="Z43" i="8"/>
  <c r="Z42" i="8"/>
  <c r="Z44" i="8"/>
  <c r="Z86" i="8"/>
  <c r="Z41" i="8"/>
  <c r="U43" i="8"/>
  <c r="U38" i="8"/>
  <c r="U42" i="8"/>
  <c r="U37" i="8"/>
  <c r="U41" i="8"/>
  <c r="U44" i="8"/>
  <c r="U39" i="8"/>
  <c r="AA5" i="8"/>
  <c r="Z84" i="8"/>
  <c r="AD84" i="8" s="1"/>
  <c r="AH84" i="8" s="1"/>
  <c r="AN84" i="8" s="1"/>
  <c r="AR84" i="8" s="1"/>
  <c r="AA132" i="9"/>
  <c r="AA131" i="9"/>
  <c r="L61" i="7"/>
  <c r="L1" i="7" s="1"/>
  <c r="H1" i="7"/>
  <c r="N22" i="7"/>
  <c r="V22" i="7"/>
  <c r="R22" i="7"/>
  <c r="AA15" i="8"/>
  <c r="T80" i="8"/>
  <c r="Z79" i="8"/>
  <c r="Z14" i="36"/>
  <c r="Z47" i="8"/>
  <c r="Z46" i="8"/>
  <c r="T74" i="8"/>
  <c r="U72" i="8"/>
  <c r="U26" i="8"/>
  <c r="U47" i="8"/>
  <c r="U74" i="8" s="1"/>
  <c r="U14" i="36"/>
  <c r="U76" i="8"/>
  <c r="U70" i="8"/>
  <c r="U69" i="8"/>
  <c r="U78" i="8"/>
  <c r="T76" i="8"/>
  <c r="U132" i="9"/>
  <c r="U131" i="9"/>
  <c r="U46" i="8"/>
  <c r="U86" i="8"/>
  <c r="Q48" i="8"/>
  <c r="E48" i="7"/>
  <c r="E26" i="7"/>
  <c r="E43" i="7"/>
  <c r="E23" i="7"/>
  <c r="E78" i="7" s="1"/>
  <c r="E25" i="7"/>
  <c r="E80" i="7" s="1"/>
  <c r="E47" i="7"/>
  <c r="E24" i="7"/>
  <c r="E79" i="7" s="1"/>
  <c r="E20" i="7"/>
  <c r="E21" i="7"/>
  <c r="E44" i="7"/>
  <c r="E45" i="7"/>
  <c r="E27" i="7"/>
  <c r="E77" i="7" s="1"/>
  <c r="E18" i="7"/>
  <c r="E74" i="7" s="1"/>
  <c r="E49" i="7"/>
  <c r="E46" i="7"/>
  <c r="E42" i="7"/>
  <c r="E19" i="7"/>
  <c r="M8" i="7"/>
  <c r="M125" i="7" s="1"/>
  <c r="M127" i="7" s="1"/>
  <c r="M128" i="7" s="1"/>
  <c r="M27" i="48" s="1"/>
  <c r="M28" i="48" s="1"/>
  <c r="M13" i="7"/>
  <c r="Q13" i="7" s="1"/>
  <c r="U13" i="7" s="1"/>
  <c r="G67" i="7"/>
  <c r="G44" i="7"/>
  <c r="G48" i="7"/>
  <c r="G43" i="7"/>
  <c r="G20" i="7"/>
  <c r="G46" i="7"/>
  <c r="G19" i="7"/>
  <c r="G18" i="7"/>
  <c r="G47" i="7"/>
  <c r="G45" i="7"/>
  <c r="G49" i="7"/>
  <c r="G42" i="7"/>
  <c r="G21" i="7"/>
  <c r="M9" i="7"/>
  <c r="M15" i="7"/>
  <c r="D35" i="7"/>
  <c r="D31" i="7"/>
  <c r="F22" i="7"/>
  <c r="F81" i="7" s="1"/>
  <c r="D24" i="7"/>
  <c r="D19" i="7"/>
  <c r="D75" i="7" s="1"/>
  <c r="D32" i="7"/>
  <c r="D38" i="7"/>
  <c r="D34" i="7"/>
  <c r="D27" i="7"/>
  <c r="D77" i="7" s="1"/>
  <c r="D23" i="7"/>
  <c r="D78" i="7" s="1"/>
  <c r="D18" i="7"/>
  <c r="D74" i="7" s="1"/>
  <c r="D36" i="7"/>
  <c r="D65" i="7" s="1"/>
  <c r="D20" i="7"/>
  <c r="D76" i="7" s="1"/>
  <c r="D37" i="7"/>
  <c r="D33" i="7"/>
  <c r="J22" i="7"/>
  <c r="J81" i="7" s="1"/>
  <c r="D26" i="7"/>
  <c r="D82" i="7" s="1"/>
  <c r="D21" i="7"/>
  <c r="D84" i="7" s="1"/>
  <c r="D25" i="7"/>
  <c r="D80" i="7" s="1"/>
  <c r="M6" i="7"/>
  <c r="F38" i="7"/>
  <c r="F34" i="7"/>
  <c r="F26" i="7"/>
  <c r="F18" i="7"/>
  <c r="F74" i="7" s="1"/>
  <c r="F35" i="7"/>
  <c r="F19" i="7"/>
  <c r="F75" i="7" s="1"/>
  <c r="F37" i="7"/>
  <c r="F33" i="7"/>
  <c r="F25" i="7"/>
  <c r="F80" i="7" s="1"/>
  <c r="F21" i="7"/>
  <c r="F84" i="7" s="1"/>
  <c r="F23" i="7"/>
  <c r="F78" i="7" s="1"/>
  <c r="F36" i="7"/>
  <c r="F65" i="7" s="1"/>
  <c r="F32" i="7"/>
  <c r="F24" i="7"/>
  <c r="F79" i="7" s="1"/>
  <c r="F20" i="7"/>
  <c r="F76" i="7" s="1"/>
  <c r="F31" i="7"/>
  <c r="F27" i="7"/>
  <c r="F77" i="7" s="1"/>
  <c r="F68" i="7"/>
  <c r="M7" i="7"/>
  <c r="M12" i="7"/>
  <c r="F70" i="7"/>
  <c r="D70" i="7"/>
  <c r="D63" i="7"/>
  <c r="D55" i="7"/>
  <c r="G26" i="7"/>
  <c r="G83" i="7" s="1"/>
  <c r="F67" i="7"/>
  <c r="E83" i="7"/>
  <c r="X1349" i="3"/>
  <c r="Z1349" i="3" s="1"/>
  <c r="AB1349" i="3" s="1"/>
  <c r="Q12" i="7"/>
  <c r="U12" i="7" s="1"/>
  <c r="Q15" i="7"/>
  <c r="U15" i="7" s="1"/>
  <c r="Q10" i="7"/>
  <c r="U10" i="7" s="1"/>
  <c r="AA10" i="7" s="1"/>
  <c r="AE10" i="7" s="1"/>
  <c r="D22" i="7"/>
  <c r="D81" i="7" s="1"/>
  <c r="D79" i="7"/>
  <c r="M34" i="7"/>
  <c r="G23" i="7"/>
  <c r="G78" i="7" s="1"/>
  <c r="G65" i="7"/>
  <c r="M35" i="7"/>
  <c r="M31" i="7"/>
  <c r="M36" i="7"/>
  <c r="M33" i="7"/>
  <c r="M38" i="7"/>
  <c r="E65" i="7"/>
  <c r="E22" i="7"/>
  <c r="E81" i="7" s="1"/>
  <c r="P52" i="7"/>
  <c r="T52" i="7" s="1"/>
  <c r="L54" i="7"/>
  <c r="F55" i="7"/>
  <c r="I58" i="7"/>
  <c r="M58" i="7" s="1"/>
  <c r="Q58" i="7" s="1"/>
  <c r="U58" i="7" s="1"/>
  <c r="AA58" i="7" s="1"/>
  <c r="P61" i="7"/>
  <c r="L62" i="7"/>
  <c r="F63" i="7"/>
  <c r="L2" i="7"/>
  <c r="H71" i="7"/>
  <c r="P59" i="7"/>
  <c r="T59" i="7" s="1"/>
  <c r="D68" i="7"/>
  <c r="D67" i="7"/>
  <c r="H62" i="7"/>
  <c r="H58" i="7"/>
  <c r="L58" i="7" s="1"/>
  <c r="P58" i="7" s="1"/>
  <c r="T58" i="7" s="1"/>
  <c r="Z58" i="7" s="1"/>
  <c r="AD58" i="7" s="1"/>
  <c r="P80" i="8"/>
  <c r="Q16" i="8"/>
  <c r="Q54" i="7"/>
  <c r="Q59" i="7"/>
  <c r="U59" i="7" s="1"/>
  <c r="M54" i="7"/>
  <c r="M62" i="7"/>
  <c r="I182" i="6"/>
  <c r="M182" i="6" s="1"/>
  <c r="I62" i="7"/>
  <c r="E56" i="7"/>
  <c r="E67" i="7"/>
  <c r="E70" i="7"/>
  <c r="E68" i="7"/>
  <c r="E63" i="7"/>
  <c r="G74" i="7"/>
  <c r="G22" i="7"/>
  <c r="G81" i="7" s="1"/>
  <c r="G68" i="7"/>
  <c r="G70" i="7"/>
  <c r="G27" i="7"/>
  <c r="G77" i="7" s="1"/>
  <c r="G56" i="7"/>
  <c r="G24" i="7"/>
  <c r="G79" i="7" s="1"/>
  <c r="G63" i="7"/>
  <c r="G25" i="7"/>
  <c r="G80" i="7" s="1"/>
  <c r="I54" i="7"/>
  <c r="I16" i="7"/>
  <c r="H54" i="7"/>
  <c r="BE88" i="9" l="1"/>
  <c r="BE55" i="9"/>
  <c r="BE57" i="8"/>
  <c r="BB97" i="9"/>
  <c r="BD94" i="26"/>
  <c r="BE33" i="22"/>
  <c r="BD91" i="9"/>
  <c r="BD95" i="9"/>
  <c r="BD83" i="9"/>
  <c r="BD89" i="9"/>
  <c r="BA22" i="7"/>
  <c r="BC22" i="7"/>
  <c r="AV84" i="8"/>
  <c r="BD84" i="8" s="1"/>
  <c r="BB84" i="8"/>
  <c r="AW71" i="9"/>
  <c r="BD70" i="9"/>
  <c r="BD51" i="9"/>
  <c r="BD69" i="9"/>
  <c r="BD73" i="9"/>
  <c r="BD77" i="9"/>
  <c r="BD79" i="9"/>
  <c r="BD80" i="9"/>
  <c r="BD74" i="9"/>
  <c r="BD81" i="9"/>
  <c r="BD72" i="9"/>
  <c r="BD78" i="9"/>
  <c r="AW44" i="9"/>
  <c r="BE40" i="9"/>
  <c r="BE45" i="9"/>
  <c r="BE47" i="9" s="1"/>
  <c r="BD68" i="9"/>
  <c r="AZ22" i="7"/>
  <c r="BB22" i="7"/>
  <c r="BF58" i="22"/>
  <c r="BF60" i="22" s="1"/>
  <c r="BF61" i="22" s="1"/>
  <c r="AV27" i="9"/>
  <c r="BD24" i="9"/>
  <c r="BD27" i="9" s="1"/>
  <c r="BD50" i="9" s="1"/>
  <c r="BD7" i="9" s="1"/>
  <c r="BD48" i="8"/>
  <c r="BE166" i="9"/>
  <c r="BC110" i="7"/>
  <c r="BE110" i="7"/>
  <c r="BE36" i="9"/>
  <c r="BE39" i="9" s="1"/>
  <c r="AV86" i="26"/>
  <c r="BD88" i="26"/>
  <c r="AZ88" i="26"/>
  <c r="BB88" i="26" s="1"/>
  <c r="BD85" i="26"/>
  <c r="AZ85" i="26"/>
  <c r="BB85" i="26" s="1"/>
  <c r="BD90" i="26"/>
  <c r="AZ90" i="26"/>
  <c r="BB90" i="26" s="1"/>
  <c r="BD82" i="26"/>
  <c r="AZ82" i="26"/>
  <c r="BB82" i="26" s="1"/>
  <c r="BD87" i="26"/>
  <c r="AZ87" i="26"/>
  <c r="BB87" i="26" s="1"/>
  <c r="BD84" i="26"/>
  <c r="AZ84" i="26"/>
  <c r="BB84" i="26" s="1"/>
  <c r="BD81" i="26"/>
  <c r="AZ81" i="26"/>
  <c r="BB81" i="26" s="1"/>
  <c r="BD86" i="26"/>
  <c r="AZ86" i="26"/>
  <c r="BB86" i="26" s="1"/>
  <c r="AV83" i="26"/>
  <c r="AV89" i="26"/>
  <c r="AV91" i="26"/>
  <c r="AO114" i="7"/>
  <c r="AO17" i="48" s="1"/>
  <c r="BA81" i="7"/>
  <c r="BA85" i="7" s="1"/>
  <c r="BA28" i="7"/>
  <c r="AZ81" i="7"/>
  <c r="AZ85" i="7" s="1"/>
  <c r="AZ28" i="7"/>
  <c r="AZ41" i="7" s="1"/>
  <c r="AT81" i="7"/>
  <c r="AT85" i="7" s="1"/>
  <c r="AT28" i="7"/>
  <c r="AT41" i="7" s="1"/>
  <c r="I104" i="7"/>
  <c r="I105" i="7" s="1"/>
  <c r="I106" i="7" s="1"/>
  <c r="AX30" i="7"/>
  <c r="AX39" i="7" s="1"/>
  <c r="AX50" i="7"/>
  <c r="AX64" i="7"/>
  <c r="AR92" i="26"/>
  <c r="AV80" i="26"/>
  <c r="AS170" i="9"/>
  <c r="AS171" i="9" s="1"/>
  <c r="AS168" i="9"/>
  <c r="AL92" i="26"/>
  <c r="G109" i="7"/>
  <c r="G16" i="48" s="1"/>
  <c r="G18" i="48" s="1"/>
  <c r="AW96" i="9"/>
  <c r="BE96" i="9" s="1"/>
  <c r="AW88" i="9"/>
  <c r="AS70" i="9"/>
  <c r="AS42" i="48"/>
  <c r="AO172" i="9"/>
  <c r="AO12" i="48" s="1"/>
  <c r="AO13" i="48" s="1"/>
  <c r="AV60" i="9"/>
  <c r="AR75" i="9"/>
  <c r="AP81" i="7"/>
  <c r="AP85" i="7" s="1"/>
  <c r="AP28" i="7"/>
  <c r="AP41" i="7" s="1"/>
  <c r="AW59" i="9"/>
  <c r="AS74" i="9"/>
  <c r="AS46" i="48"/>
  <c r="M16" i="7"/>
  <c r="M119" i="7"/>
  <c r="M121" i="7" s="1"/>
  <c r="M122" i="7" s="1"/>
  <c r="M22" i="48" s="1"/>
  <c r="M23" i="48" s="1"/>
  <c r="G82" i="7"/>
  <c r="AW55" i="9"/>
  <c r="AW70" i="9" s="1"/>
  <c r="AW68" i="9"/>
  <c r="AX58" i="22"/>
  <c r="AX60" i="22" s="1"/>
  <c r="AX61" i="22" s="1"/>
  <c r="AW81" i="9"/>
  <c r="AV28" i="9"/>
  <c r="AV82" i="9"/>
  <c r="AV61" i="9"/>
  <c r="AR76" i="9"/>
  <c r="AW59" i="8"/>
  <c r="BE59" i="8" s="1"/>
  <c r="AS79" i="9"/>
  <c r="AS51" i="9"/>
  <c r="AS50" i="9"/>
  <c r="AS69" i="9"/>
  <c r="AS77" i="9"/>
  <c r="AS78" i="9"/>
  <c r="AS73" i="9"/>
  <c r="AS80" i="9"/>
  <c r="AS75" i="9"/>
  <c r="AS71" i="9"/>
  <c r="AS68" i="9"/>
  <c r="AW165" i="9"/>
  <c r="AW110" i="7" s="1"/>
  <c r="AO131" i="9"/>
  <c r="AS130" i="9"/>
  <c r="AO70" i="9"/>
  <c r="AO42" i="48"/>
  <c r="AW61" i="9"/>
  <c r="BE61" i="9" s="1"/>
  <c r="AT63" i="22"/>
  <c r="AS76" i="9"/>
  <c r="AV50" i="9"/>
  <c r="AV7" i="9" s="1"/>
  <c r="AV51" i="9"/>
  <c r="AV69" i="9"/>
  <c r="AV73" i="9"/>
  <c r="AV77" i="9"/>
  <c r="AV74" i="9"/>
  <c r="AV78" i="9"/>
  <c r="AV80" i="9"/>
  <c r="AV81" i="9"/>
  <c r="AV72" i="9"/>
  <c r="AV79" i="9"/>
  <c r="AW51" i="9"/>
  <c r="AW50" i="9"/>
  <c r="AW69" i="9"/>
  <c r="AW77" i="9"/>
  <c r="AW79" i="9"/>
  <c r="AW78" i="9"/>
  <c r="AW73" i="9"/>
  <c r="AV56" i="9"/>
  <c r="AR71" i="9"/>
  <c r="AV48" i="8"/>
  <c r="AS112" i="7"/>
  <c r="AS113" i="7" s="1"/>
  <c r="AS111" i="7"/>
  <c r="AR82" i="9"/>
  <c r="AR28" i="9"/>
  <c r="AW57" i="9"/>
  <c r="AS72" i="9"/>
  <c r="AS43" i="48"/>
  <c r="AW80" i="9"/>
  <c r="AR48" i="8"/>
  <c r="M42" i="7"/>
  <c r="M45" i="7"/>
  <c r="E109" i="7"/>
  <c r="E116" i="7" s="1"/>
  <c r="M49" i="7"/>
  <c r="M46" i="7"/>
  <c r="M44" i="7"/>
  <c r="AA15" i="7"/>
  <c r="U27" i="7"/>
  <c r="U77" i="7" s="1"/>
  <c r="AM22" i="7"/>
  <c r="Y22" i="7"/>
  <c r="M48" i="7"/>
  <c r="M43" i="7"/>
  <c r="AE58" i="7"/>
  <c r="M47" i="7"/>
  <c r="AE22" i="7"/>
  <c r="AE81" i="7" s="1"/>
  <c r="AI10" i="7"/>
  <c r="D83" i="7"/>
  <c r="M104" i="7"/>
  <c r="M105" i="7" s="1"/>
  <c r="AJ81" i="7"/>
  <c r="AJ85" i="7" s="1"/>
  <c r="AJ28" i="7"/>
  <c r="AJ41" i="7" s="1"/>
  <c r="U48" i="7"/>
  <c r="U26" i="7"/>
  <c r="U83" i="7" s="1"/>
  <c r="U43" i="7"/>
  <c r="U23" i="7"/>
  <c r="U78" i="7" s="1"/>
  <c r="U56" i="7"/>
  <c r="U70" i="7"/>
  <c r="AA59" i="7"/>
  <c r="AE59" i="7" s="1"/>
  <c r="AI59" i="7" s="1"/>
  <c r="AO59" i="7" s="1"/>
  <c r="AS59" i="7" s="1"/>
  <c r="U60" i="7"/>
  <c r="AH58" i="7"/>
  <c r="X22" i="7"/>
  <c r="AL22" i="7"/>
  <c r="AA12" i="7"/>
  <c r="U24" i="7"/>
  <c r="U79" i="7" s="1"/>
  <c r="AB81" i="7"/>
  <c r="AB85" i="7" s="1"/>
  <c r="AB28" i="7"/>
  <c r="AB41" i="7" s="1"/>
  <c r="AA54" i="7"/>
  <c r="AE52" i="7"/>
  <c r="AA13" i="7"/>
  <c r="U25" i="7"/>
  <c r="U80" i="7" s="1"/>
  <c r="AF81" i="7"/>
  <c r="AF85" i="7" s="1"/>
  <c r="AF28" i="7"/>
  <c r="AF41" i="7" s="1"/>
  <c r="Q61" i="7"/>
  <c r="M1" i="7"/>
  <c r="AN92" i="26"/>
  <c r="AN48" i="8"/>
  <c r="AI27" i="8"/>
  <c r="AE70" i="8"/>
  <c r="AE69" i="8"/>
  <c r="AI25" i="8"/>
  <c r="AE12" i="36"/>
  <c r="AD18" i="8"/>
  <c r="Z8" i="15"/>
  <c r="Z13" i="15" s="1"/>
  <c r="AO56" i="8"/>
  <c r="AS56" i="8" s="1"/>
  <c r="AW56" i="8" s="1"/>
  <c r="AE23" i="8"/>
  <c r="AA10" i="36"/>
  <c r="AA13" i="36" s="1"/>
  <c r="AA26" i="8"/>
  <c r="AI28" i="8"/>
  <c r="AE72" i="8"/>
  <c r="AE18" i="8"/>
  <c r="AA8" i="15"/>
  <c r="AA13" i="15" s="1"/>
  <c r="AH70" i="8"/>
  <c r="AN60" i="8"/>
  <c r="AH72" i="8"/>
  <c r="AN68" i="8"/>
  <c r="AI24" i="8"/>
  <c r="AE11" i="36"/>
  <c r="AO132" i="9"/>
  <c r="AD16" i="8"/>
  <c r="AH13" i="8"/>
  <c r="AH48" i="8"/>
  <c r="U48" i="8"/>
  <c r="AE15" i="8"/>
  <c r="Z80" i="8"/>
  <c r="AD79" i="8"/>
  <c r="AE5" i="8"/>
  <c r="AI5" i="8" s="1"/>
  <c r="AO5" i="8" s="1"/>
  <c r="AS5" i="8" s="1"/>
  <c r="AW5" i="8" s="1"/>
  <c r="BE5" i="8" s="1"/>
  <c r="AD48" i="8"/>
  <c r="Z74" i="8"/>
  <c r="AD46" i="8"/>
  <c r="AD47" i="8"/>
  <c r="AD14" i="36"/>
  <c r="AA46" i="8"/>
  <c r="AA76" i="8"/>
  <c r="AA78" i="8"/>
  <c r="AE78" i="8" s="1"/>
  <c r="AI78" i="8" s="1"/>
  <c r="AO78" i="8" s="1"/>
  <c r="AS78" i="8" s="1"/>
  <c r="AW78" i="8" s="1"/>
  <c r="BE78" i="8" s="1"/>
  <c r="AA39" i="8"/>
  <c r="AA38" i="8"/>
  <c r="AA37" i="8"/>
  <c r="AA42" i="8"/>
  <c r="AA44" i="8"/>
  <c r="AA41" i="8"/>
  <c r="AA43" i="8"/>
  <c r="AA77" i="8"/>
  <c r="AE77" i="8" s="1"/>
  <c r="AI77" i="8" s="1"/>
  <c r="U40" i="8"/>
  <c r="AA84" i="8"/>
  <c r="AA86" i="8"/>
  <c r="Z48" i="8"/>
  <c r="Q48" i="7"/>
  <c r="Q43" i="7"/>
  <c r="T61" i="7"/>
  <c r="T62" i="7" s="1"/>
  <c r="P1" i="7"/>
  <c r="Z59" i="7"/>
  <c r="AD59" i="7" s="1"/>
  <c r="AH59" i="7" s="1"/>
  <c r="AN59" i="7" s="1"/>
  <c r="AR59" i="7" s="1"/>
  <c r="T60" i="7"/>
  <c r="X81" i="7"/>
  <c r="X85" i="7" s="1"/>
  <c r="X28" i="7"/>
  <c r="Z52" i="7"/>
  <c r="T54" i="7"/>
  <c r="R81" i="7"/>
  <c r="R85" i="7" s="1"/>
  <c r="R28" i="7"/>
  <c r="R41" i="7" s="1"/>
  <c r="R64" i="7" s="1"/>
  <c r="I46" i="7"/>
  <c r="AA22" i="7"/>
  <c r="U22" i="7"/>
  <c r="Q22" i="7"/>
  <c r="Q81" i="7" s="1"/>
  <c r="V81" i="7"/>
  <c r="V85" i="7" s="1"/>
  <c r="V28" i="7"/>
  <c r="V41" i="7" s="1"/>
  <c r="V64" i="7" s="1"/>
  <c r="Q25" i="7"/>
  <c r="Q80" i="7" s="1"/>
  <c r="Q24" i="7"/>
  <c r="Q79" i="7" s="1"/>
  <c r="Q27" i="7"/>
  <c r="Q77" i="7" s="1"/>
  <c r="Q23" i="7"/>
  <c r="Q26" i="7"/>
  <c r="AA47" i="8"/>
  <c r="AA14" i="36"/>
  <c r="I93" i="7"/>
  <c r="M93" i="7" s="1"/>
  <c r="Q93" i="7" s="1"/>
  <c r="U93" i="7" s="1"/>
  <c r="AA93" i="7" s="1"/>
  <c r="I87" i="7"/>
  <c r="M87" i="7" s="1"/>
  <c r="Q87" i="7" s="1"/>
  <c r="U87" i="7" s="1"/>
  <c r="I89" i="7"/>
  <c r="M89" i="7" s="1"/>
  <c r="Q89" i="7" s="1"/>
  <c r="U89" i="7" s="1"/>
  <c r="I91" i="7"/>
  <c r="M91" i="7" s="1"/>
  <c r="Q91" i="7" s="1"/>
  <c r="U91" i="7" s="1"/>
  <c r="AA91" i="7" s="1"/>
  <c r="I92" i="7"/>
  <c r="M92" i="7" s="1"/>
  <c r="Q92" i="7" s="1"/>
  <c r="U92" i="7" s="1"/>
  <c r="AA92" i="7" s="1"/>
  <c r="I94" i="7"/>
  <c r="M94" i="7" s="1"/>
  <c r="Q94" i="7" s="1"/>
  <c r="U94" i="7" s="1"/>
  <c r="I88" i="7"/>
  <c r="M88" i="7" s="1"/>
  <c r="Q88" i="7" s="1"/>
  <c r="U88" i="7" s="1"/>
  <c r="I90" i="7"/>
  <c r="M90" i="7" s="1"/>
  <c r="Q90" i="7" s="1"/>
  <c r="U90" i="7" s="1"/>
  <c r="AA90" i="7" s="1"/>
  <c r="Q182" i="6"/>
  <c r="U182" i="6" s="1"/>
  <c r="AA182" i="6" s="1"/>
  <c r="AE182" i="6" s="1"/>
  <c r="AI182" i="6" s="1"/>
  <c r="AO182" i="6" s="1"/>
  <c r="AS182" i="6" s="1"/>
  <c r="AW182" i="6" s="1"/>
  <c r="BE182" i="6" s="1"/>
  <c r="M24" i="7"/>
  <c r="M79" i="7" s="1"/>
  <c r="Q6" i="7"/>
  <c r="Q18" i="7" s="1"/>
  <c r="Q74" i="7" s="1"/>
  <c r="M18" i="7"/>
  <c r="M74" i="7" s="1"/>
  <c r="Q9" i="7"/>
  <c r="U9" i="7" s="1"/>
  <c r="M21" i="7"/>
  <c r="M25" i="7"/>
  <c r="M26" i="7"/>
  <c r="M83" i="7" s="1"/>
  <c r="M23" i="7"/>
  <c r="M78" i="7" s="1"/>
  <c r="I48" i="7"/>
  <c r="I26" i="7"/>
  <c r="I83" i="7" s="1"/>
  <c r="I43" i="7"/>
  <c r="I23" i="7"/>
  <c r="I78" i="7" s="1"/>
  <c r="L26" i="7"/>
  <c r="L23" i="7"/>
  <c r="L78" i="7" s="1"/>
  <c r="Q36" i="7"/>
  <c r="U36" i="7" s="1"/>
  <c r="I49" i="7"/>
  <c r="I19" i="7"/>
  <c r="I47" i="7"/>
  <c r="I27" i="7"/>
  <c r="I77" i="7" s="1"/>
  <c r="I20" i="7"/>
  <c r="Q31" i="7"/>
  <c r="U31" i="7" s="1"/>
  <c r="I44" i="7"/>
  <c r="Q7" i="7"/>
  <c r="M19" i="7"/>
  <c r="I42" i="7"/>
  <c r="H37" i="7"/>
  <c r="M27" i="7"/>
  <c r="M77" i="7" s="1"/>
  <c r="I45" i="7"/>
  <c r="Q8" i="7"/>
  <c r="M20" i="7"/>
  <c r="H26" i="7"/>
  <c r="H23" i="7"/>
  <c r="H78" i="7" s="1"/>
  <c r="I24" i="7"/>
  <c r="I18" i="7"/>
  <c r="I74" i="7" s="1"/>
  <c r="I21" i="7"/>
  <c r="I25" i="7"/>
  <c r="I80" i="7" s="1"/>
  <c r="E82" i="7"/>
  <c r="E76" i="7"/>
  <c r="E84" i="7"/>
  <c r="F83" i="7"/>
  <c r="F82" i="7"/>
  <c r="G76" i="7"/>
  <c r="G84" i="7"/>
  <c r="AF1348" i="3"/>
  <c r="G75" i="7"/>
  <c r="E75" i="7"/>
  <c r="H32" i="7"/>
  <c r="Q78" i="7"/>
  <c r="Q33" i="7"/>
  <c r="U33" i="7" s="1"/>
  <c r="Q34" i="7"/>
  <c r="U34" i="7" s="1"/>
  <c r="Q38" i="7"/>
  <c r="U38" i="7" s="1"/>
  <c r="Q35" i="7"/>
  <c r="U35" i="7" s="1"/>
  <c r="H72" i="7"/>
  <c r="L72" i="7" s="1"/>
  <c r="M22" i="7"/>
  <c r="M81" i="7" s="1"/>
  <c r="M65" i="7"/>
  <c r="P54" i="7"/>
  <c r="I65" i="7"/>
  <c r="F28" i="7"/>
  <c r="I60" i="7"/>
  <c r="M60" i="7"/>
  <c r="H7" i="7"/>
  <c r="H19" i="7" s="1"/>
  <c r="F16" i="7"/>
  <c r="H55" i="7"/>
  <c r="H68" i="7"/>
  <c r="H67" i="7"/>
  <c r="H63" i="7"/>
  <c r="L71" i="7"/>
  <c r="P2" i="7"/>
  <c r="T2" i="7" s="1"/>
  <c r="Z2" i="7" s="1"/>
  <c r="AD2" i="7" s="1"/>
  <c r="P60" i="7"/>
  <c r="L60" i="7"/>
  <c r="P62" i="7"/>
  <c r="L63" i="7"/>
  <c r="L67" i="7"/>
  <c r="L68" i="7"/>
  <c r="H60" i="7"/>
  <c r="Q60" i="7"/>
  <c r="Q62" i="7"/>
  <c r="Q63" i="7"/>
  <c r="Q68" i="7"/>
  <c r="Q70" i="7"/>
  <c r="Q56" i="7"/>
  <c r="M80" i="7"/>
  <c r="M70" i="7"/>
  <c r="M63" i="7"/>
  <c r="M68" i="7"/>
  <c r="M67" i="7"/>
  <c r="J730" i="3" s="1"/>
  <c r="M56" i="7"/>
  <c r="E28" i="7"/>
  <c r="I67" i="7"/>
  <c r="I70" i="7"/>
  <c r="I68" i="7"/>
  <c r="I63" i="7"/>
  <c r="I56" i="7"/>
  <c r="I72" i="7"/>
  <c r="M72" i="7" s="1"/>
  <c r="Q72" i="7" s="1"/>
  <c r="U72" i="7" s="1"/>
  <c r="AA72" i="7" s="1"/>
  <c r="I22" i="7"/>
  <c r="I81" i="7" s="1"/>
  <c r="G28" i="7"/>
  <c r="I79" i="7"/>
  <c r="H34" i="7"/>
  <c r="H9" i="7"/>
  <c r="H21" i="7" s="1"/>
  <c r="H35" i="7"/>
  <c r="H36" i="7"/>
  <c r="H47" i="7" s="1"/>
  <c r="H31" i="7"/>
  <c r="H12" i="7"/>
  <c r="H24" i="7" s="1"/>
  <c r="H13" i="7"/>
  <c r="H25" i="7" s="1"/>
  <c r="H8" i="7"/>
  <c r="H20" i="7" s="1"/>
  <c r="H15" i="7"/>
  <c r="H27" i="7" s="1"/>
  <c r="H6" i="7"/>
  <c r="H18" i="7" s="1"/>
  <c r="AW166" i="9" l="1"/>
  <c r="BE71" i="9"/>
  <c r="BE51" i="9"/>
  <c r="BE50" i="9"/>
  <c r="BE69" i="9"/>
  <c r="BE77" i="9"/>
  <c r="BE79" i="9"/>
  <c r="BE73" i="9"/>
  <c r="BE78" i="9"/>
  <c r="BE80" i="9"/>
  <c r="BE75" i="9"/>
  <c r="BC81" i="7"/>
  <c r="BC85" i="7" s="1"/>
  <c r="BC28" i="7"/>
  <c r="BE70" i="9"/>
  <c r="BE56" i="8"/>
  <c r="BE112" i="7"/>
  <c r="BE113" i="7" s="1"/>
  <c r="BE111" i="7"/>
  <c r="BE114" i="7" s="1"/>
  <c r="BD28" i="9"/>
  <c r="BD82" i="9"/>
  <c r="BB81" i="7"/>
  <c r="BB85" i="7" s="1"/>
  <c r="BB28" i="7"/>
  <c r="BB41" i="7" s="1"/>
  <c r="BF40" i="9"/>
  <c r="BE44" i="9"/>
  <c r="AV71" i="9"/>
  <c r="BD56" i="9"/>
  <c r="BD71" i="9" s="1"/>
  <c r="BC111" i="7"/>
  <c r="BC112" i="7"/>
  <c r="BC113" i="7" s="1"/>
  <c r="AW72" i="9"/>
  <c r="BE57" i="9"/>
  <c r="BE72" i="9" s="1"/>
  <c r="BF63" i="22"/>
  <c r="BF65" i="22" s="1"/>
  <c r="BF66" i="22" s="1"/>
  <c r="BE76" i="9"/>
  <c r="AV76" i="9"/>
  <c r="BD61" i="9"/>
  <c r="BD76" i="9" s="1"/>
  <c r="AW74" i="9"/>
  <c r="BE59" i="9"/>
  <c r="BE74" i="9" s="1"/>
  <c r="AV75" i="9"/>
  <c r="BD60" i="9"/>
  <c r="BD75" i="9" s="1"/>
  <c r="BE170" i="9"/>
  <c r="BE171" i="9" s="1"/>
  <c r="BE168" i="9"/>
  <c r="BE172" i="9" s="1"/>
  <c r="BE81" i="9"/>
  <c r="BE68" i="9"/>
  <c r="BD91" i="26"/>
  <c r="AZ91" i="26"/>
  <c r="BB91" i="26" s="1"/>
  <c r="BD80" i="26"/>
  <c r="AZ80" i="26"/>
  <c r="BB80" i="26" s="1"/>
  <c r="BD89" i="26"/>
  <c r="AZ89" i="26"/>
  <c r="BB89" i="26" s="1"/>
  <c r="BD83" i="26"/>
  <c r="AZ83" i="26"/>
  <c r="BB83" i="26" s="1"/>
  <c r="AV92" i="26"/>
  <c r="BE43" i="8"/>
  <c r="BE44" i="8"/>
  <c r="BE86" i="8"/>
  <c r="AZ50" i="7"/>
  <c r="AZ64" i="7"/>
  <c r="I107" i="7"/>
  <c r="I108" i="7" s="1"/>
  <c r="AT64" i="7"/>
  <c r="AT30" i="7"/>
  <c r="AT39" i="7" s="1"/>
  <c r="AT50" i="7"/>
  <c r="E16" i="48"/>
  <c r="E18" i="48" s="1"/>
  <c r="AW86" i="8"/>
  <c r="AW43" i="8"/>
  <c r="AW44" i="8"/>
  <c r="G116" i="7"/>
  <c r="AW168" i="9"/>
  <c r="AW170" i="9"/>
  <c r="AW171" i="9" s="1"/>
  <c r="U7" i="7"/>
  <c r="U119" i="7" s="1"/>
  <c r="U121" i="7" s="1"/>
  <c r="U122" i="7" s="1"/>
  <c r="U22" i="48" s="1"/>
  <c r="U23" i="48" s="1"/>
  <c r="Q119" i="7"/>
  <c r="Q121" i="7" s="1"/>
  <c r="Q122" i="7" s="1"/>
  <c r="Q22" i="48" s="1"/>
  <c r="Q23" i="48" s="1"/>
  <c r="AX63" i="22"/>
  <c r="AX65" i="22" s="1"/>
  <c r="AX66" i="22" s="1"/>
  <c r="AW76" i="9"/>
  <c r="U8" i="7"/>
  <c r="Q125" i="7"/>
  <c r="Q127" i="7" s="1"/>
  <c r="Q128" i="7" s="1"/>
  <c r="Q27" i="48" s="1"/>
  <c r="Q28" i="48" s="1"/>
  <c r="AW59" i="7"/>
  <c r="BE59" i="7" s="1"/>
  <c r="AW111" i="7"/>
  <c r="AW112" i="7"/>
  <c r="AW113" i="7" s="1"/>
  <c r="AS172" i="9"/>
  <c r="AS12" i="48" s="1"/>
  <c r="AS13" i="48" s="1"/>
  <c r="AV59" i="7"/>
  <c r="BD59" i="7" s="1"/>
  <c r="AS114" i="7"/>
  <c r="AS17" i="48" s="1"/>
  <c r="AT65" i="22"/>
  <c r="AT66" i="22" s="1"/>
  <c r="AS40" i="48" s="1"/>
  <c r="AW130" i="9"/>
  <c r="BE130" i="9" s="1"/>
  <c r="AS131" i="9"/>
  <c r="AS132" i="9"/>
  <c r="AP50" i="7"/>
  <c r="AP64" i="7"/>
  <c r="AP30" i="7"/>
  <c r="AN70" i="8"/>
  <c r="AR60" i="8"/>
  <c r="AS86" i="8"/>
  <c r="AS43" i="8"/>
  <c r="AS44" i="8"/>
  <c r="AN72" i="8"/>
  <c r="AR68" i="8"/>
  <c r="AA88" i="7"/>
  <c r="AA89" i="7"/>
  <c r="AA94" i="7"/>
  <c r="AA87" i="7"/>
  <c r="Q49" i="7"/>
  <c r="AH2" i="7"/>
  <c r="AA9" i="7"/>
  <c r="U21" i="7"/>
  <c r="AI52" i="7"/>
  <c r="AE54" i="7"/>
  <c r="AE72" i="7" s="1"/>
  <c r="AH60" i="7"/>
  <c r="AN58" i="7"/>
  <c r="L55" i="7"/>
  <c r="L56" i="7" s="1"/>
  <c r="H56" i="7"/>
  <c r="AA38" i="7"/>
  <c r="U49" i="7"/>
  <c r="L32" i="7"/>
  <c r="H43" i="7"/>
  <c r="AA7" i="7"/>
  <c r="U19" i="7"/>
  <c r="AA36" i="7"/>
  <c r="U47" i="7"/>
  <c r="U65" i="7"/>
  <c r="Q42" i="7"/>
  <c r="AA48" i="7"/>
  <c r="AA26" i="7"/>
  <c r="AA83" i="7" s="1"/>
  <c r="AA43" i="7"/>
  <c r="AA23" i="7"/>
  <c r="AA78" i="7" s="1"/>
  <c r="AA56" i="7"/>
  <c r="AA70" i="7"/>
  <c r="AA24" i="7"/>
  <c r="AA79" i="7" s="1"/>
  <c r="AE12" i="7"/>
  <c r="AD60" i="7"/>
  <c r="U20" i="7"/>
  <c r="U76" i="7" s="1"/>
  <c r="M107" i="7"/>
  <c r="M108" i="7" s="1"/>
  <c r="M106" i="7"/>
  <c r="AA27" i="7"/>
  <c r="AA77" i="7" s="1"/>
  <c r="AE15" i="7"/>
  <c r="L35" i="7"/>
  <c r="L46" i="7" s="1"/>
  <c r="H46" i="7"/>
  <c r="Z54" i="7"/>
  <c r="AD52" i="7"/>
  <c r="AF30" i="7"/>
  <c r="AF39" i="7" s="1"/>
  <c r="AF64" i="7"/>
  <c r="AF50" i="7"/>
  <c r="L31" i="7"/>
  <c r="L42" i="7" s="1"/>
  <c r="H42" i="7"/>
  <c r="H75" i="7" s="1"/>
  <c r="L34" i="7"/>
  <c r="L45" i="7" s="1"/>
  <c r="H45" i="7"/>
  <c r="AA34" i="7"/>
  <c r="U45" i="7"/>
  <c r="M76" i="7"/>
  <c r="L37" i="7"/>
  <c r="H48" i="7"/>
  <c r="Q104" i="7"/>
  <c r="Q105" i="7" s="1"/>
  <c r="U6" i="7"/>
  <c r="AE88" i="7"/>
  <c r="Q19" i="7"/>
  <c r="Q75" i="7" s="1"/>
  <c r="Q21" i="7"/>
  <c r="Q45" i="7"/>
  <c r="Q44" i="7"/>
  <c r="AB50" i="7"/>
  <c r="AB30" i="7"/>
  <c r="AB64" i="7"/>
  <c r="AL81" i="7"/>
  <c r="AL85" i="7" s="1"/>
  <c r="AL28" i="7"/>
  <c r="AL41" i="7" s="1"/>
  <c r="AE60" i="7"/>
  <c r="AI58" i="7"/>
  <c r="Y81" i="7"/>
  <c r="Y85" i="7" s="1"/>
  <c r="Y28" i="7"/>
  <c r="AA35" i="7"/>
  <c r="U46" i="7"/>
  <c r="AA33" i="7"/>
  <c r="U44" i="7"/>
  <c r="U82" i="7" s="1"/>
  <c r="AA31" i="7"/>
  <c r="U42" i="7"/>
  <c r="AE87" i="7"/>
  <c r="Q20" i="7"/>
  <c r="Q47" i="7"/>
  <c r="Q46" i="7"/>
  <c r="U61" i="7"/>
  <c r="Q1" i="7"/>
  <c r="Q67" i="7" s="1"/>
  <c r="AA25" i="7"/>
  <c r="AA80" i="7" s="1"/>
  <c r="AE13" i="7"/>
  <c r="AJ30" i="7"/>
  <c r="AJ39" i="7" s="1"/>
  <c r="AJ50" i="7"/>
  <c r="AJ64" i="7"/>
  <c r="AO10" i="7"/>
  <c r="AI22" i="7"/>
  <c r="AI81" i="7" s="1"/>
  <c r="AA60" i="7"/>
  <c r="AM81" i="7"/>
  <c r="AM85" i="7" s="1"/>
  <c r="AM28" i="7"/>
  <c r="AO25" i="8"/>
  <c r="AS25" i="8" s="1"/>
  <c r="AI12" i="36"/>
  <c r="AE8" i="15"/>
  <c r="AE13" i="15" s="1"/>
  <c r="AI18" i="8"/>
  <c r="AD8" i="15"/>
  <c r="AD13" i="15" s="1"/>
  <c r="AH18" i="8"/>
  <c r="AD76" i="8"/>
  <c r="AO77" i="8"/>
  <c r="AS77" i="8" s="1"/>
  <c r="AW77" i="8" s="1"/>
  <c r="BE77" i="8" s="1"/>
  <c r="AO86" i="8"/>
  <c r="AO43" i="8"/>
  <c r="AO44" i="8"/>
  <c r="AH16" i="8"/>
  <c r="AN13" i="8"/>
  <c r="AO24" i="8"/>
  <c r="AS24" i="8" s="1"/>
  <c r="AS38" i="8" s="1"/>
  <c r="AI11" i="36"/>
  <c r="AO28" i="8"/>
  <c r="AS28" i="8" s="1"/>
  <c r="AI72" i="8"/>
  <c r="AI23" i="8"/>
  <c r="AE26" i="8"/>
  <c r="AE10" i="36"/>
  <c r="AE13" i="36" s="1"/>
  <c r="AO27" i="8"/>
  <c r="AS27" i="8" s="1"/>
  <c r="AI69" i="8"/>
  <c r="AI70" i="8"/>
  <c r="AD80" i="8"/>
  <c r="AH79" i="8"/>
  <c r="AD74" i="8"/>
  <c r="AH47" i="8"/>
  <c r="AH14" i="36"/>
  <c r="AH46" i="8"/>
  <c r="AI41" i="8"/>
  <c r="AI43" i="8"/>
  <c r="AI44" i="8"/>
  <c r="AI42" i="8"/>
  <c r="AI38" i="8"/>
  <c r="AI39" i="8"/>
  <c r="AI86" i="8"/>
  <c r="AI15" i="8"/>
  <c r="AE84" i="8"/>
  <c r="AI84" i="8" s="1"/>
  <c r="AO84" i="8" s="1"/>
  <c r="AS84" i="8" s="1"/>
  <c r="AW84" i="8" s="1"/>
  <c r="BE84" i="8" s="1"/>
  <c r="AE37" i="8"/>
  <c r="AE76" i="8"/>
  <c r="AE38" i="8"/>
  <c r="AE44" i="8"/>
  <c r="AE42" i="8"/>
  <c r="AE86" i="8"/>
  <c r="AE43" i="8"/>
  <c r="AE41" i="8"/>
  <c r="AE39" i="8"/>
  <c r="AA74" i="8"/>
  <c r="AE47" i="8"/>
  <c r="AE46" i="8"/>
  <c r="AE14" i="36"/>
  <c r="AA48" i="8"/>
  <c r="AA40" i="8"/>
  <c r="X41" i="7"/>
  <c r="X64" i="7" s="1"/>
  <c r="Z61" i="7"/>
  <c r="T1" i="7"/>
  <c r="T67" i="7" s="1"/>
  <c r="Z60" i="7"/>
  <c r="T63" i="7"/>
  <c r="T26" i="7"/>
  <c r="T83" i="7" s="1"/>
  <c r="T68" i="7"/>
  <c r="T23" i="7"/>
  <c r="T78" i="7" s="1"/>
  <c r="I82" i="7"/>
  <c r="P23" i="7"/>
  <c r="P78" i="7" s="1"/>
  <c r="P26" i="7"/>
  <c r="P83" i="7" s="1"/>
  <c r="V50" i="7"/>
  <c r="V30" i="7"/>
  <c r="U81" i="7"/>
  <c r="R30" i="7"/>
  <c r="R50" i="7"/>
  <c r="AA81" i="7"/>
  <c r="F85" i="7"/>
  <c r="Q83" i="7"/>
  <c r="Q16" i="7"/>
  <c r="Q65" i="7"/>
  <c r="Q82" i="7"/>
  <c r="Q76" i="7"/>
  <c r="M82" i="7"/>
  <c r="L83" i="7"/>
  <c r="H83" i="7"/>
  <c r="I76" i="7"/>
  <c r="F41" i="7"/>
  <c r="I84" i="7"/>
  <c r="P63" i="7"/>
  <c r="P72" i="7"/>
  <c r="T72" i="7" s="1"/>
  <c r="I75" i="7"/>
  <c r="AF1349" i="3"/>
  <c r="M75" i="7"/>
  <c r="M84" i="7"/>
  <c r="P68" i="7"/>
  <c r="P67" i="7"/>
  <c r="P31" i="7"/>
  <c r="P42" i="7" s="1"/>
  <c r="P35" i="7"/>
  <c r="P46" i="7" s="1"/>
  <c r="G85" i="7"/>
  <c r="L8" i="7"/>
  <c r="L20" i="7" s="1"/>
  <c r="H76" i="7"/>
  <c r="L36" i="7"/>
  <c r="H65" i="7"/>
  <c r="L7" i="7"/>
  <c r="L19" i="7" s="1"/>
  <c r="L13" i="7"/>
  <c r="H80" i="7"/>
  <c r="L6" i="7"/>
  <c r="H74" i="7"/>
  <c r="L12" i="7"/>
  <c r="H79" i="7"/>
  <c r="L9" i="7"/>
  <c r="L21" i="7" s="1"/>
  <c r="H84" i="7"/>
  <c r="L15" i="7"/>
  <c r="H77" i="7"/>
  <c r="P71" i="7"/>
  <c r="T71" i="7" s="1"/>
  <c r="Z71" i="7" s="1"/>
  <c r="AD71" i="7" s="1"/>
  <c r="P55" i="7"/>
  <c r="T55" i="7" s="1"/>
  <c r="M28" i="7"/>
  <c r="I28" i="7"/>
  <c r="E85" i="7"/>
  <c r="H33" i="7"/>
  <c r="Z68" i="7" l="1"/>
  <c r="BB92" i="26"/>
  <c r="AE90" i="7"/>
  <c r="BB30" i="7"/>
  <c r="BB64" i="7"/>
  <c r="BB50" i="7"/>
  <c r="BC114" i="7"/>
  <c r="BC116" i="7" s="1"/>
  <c r="AZ92" i="26"/>
  <c r="BD92" i="26"/>
  <c r="BE131" i="9"/>
  <c r="BE132" i="9"/>
  <c r="AW172" i="9"/>
  <c r="AE89" i="7"/>
  <c r="Z26" i="7"/>
  <c r="Z83" i="7" s="1"/>
  <c r="AE92" i="7"/>
  <c r="AE91" i="7"/>
  <c r="Z23" i="7"/>
  <c r="Z78" i="7" s="1"/>
  <c r="AE94" i="7"/>
  <c r="AE93" i="7"/>
  <c r="AP39" i="7"/>
  <c r="AZ30" i="7"/>
  <c r="Z72" i="7"/>
  <c r="I109" i="7"/>
  <c r="AW114" i="7"/>
  <c r="AW27" i="8"/>
  <c r="BE27" i="8" s="1"/>
  <c r="AS70" i="8"/>
  <c r="AS69" i="8"/>
  <c r="AW25" i="8"/>
  <c r="BE25" i="8" s="1"/>
  <c r="AS12" i="36"/>
  <c r="M109" i="7"/>
  <c r="M116" i="7" s="1"/>
  <c r="AN60" i="7"/>
  <c r="AR58" i="7"/>
  <c r="AR72" i="8"/>
  <c r="AV68" i="8"/>
  <c r="BB68" i="8" s="1"/>
  <c r="BB72" i="8" s="1"/>
  <c r="AR70" i="8"/>
  <c r="AV60" i="8"/>
  <c r="BB60" i="8" s="1"/>
  <c r="BB70" i="8" s="1"/>
  <c r="AW28" i="8"/>
  <c r="BE28" i="8" s="1"/>
  <c r="AS72" i="8"/>
  <c r="AO22" i="7"/>
  <c r="AO81" i="7" s="1"/>
  <c r="AS10" i="7"/>
  <c r="AS41" i="8"/>
  <c r="AA8" i="7"/>
  <c r="U125" i="7"/>
  <c r="U127" i="7" s="1"/>
  <c r="U128" i="7" s="1"/>
  <c r="U27" i="48" s="1"/>
  <c r="U28" i="48" s="1"/>
  <c r="AW24" i="8"/>
  <c r="BE24" i="8" s="1"/>
  <c r="AS11" i="36"/>
  <c r="AA119" i="7"/>
  <c r="AA121" i="7" s="1"/>
  <c r="AA122" i="7" s="1"/>
  <c r="AA22" i="48" s="1"/>
  <c r="AA23" i="48" s="1"/>
  <c r="AS42" i="8"/>
  <c r="AS39" i="8"/>
  <c r="AW132" i="9"/>
  <c r="AW131" i="9"/>
  <c r="AN16" i="8"/>
  <c r="AR13" i="8"/>
  <c r="AS48" i="8"/>
  <c r="U84" i="7"/>
  <c r="Q28" i="7"/>
  <c r="Q84" i="7"/>
  <c r="Q85" i="7" s="1"/>
  <c r="P36" i="7"/>
  <c r="P65" i="7" s="1"/>
  <c r="L47" i="7"/>
  <c r="AA42" i="7"/>
  <c r="AE31" i="7"/>
  <c r="AA6" i="7"/>
  <c r="U104" i="7"/>
  <c r="U105" i="7" s="1"/>
  <c r="U16" i="7"/>
  <c r="U18" i="7"/>
  <c r="P34" i="7"/>
  <c r="P45" i="7" s="1"/>
  <c r="F30" i="7"/>
  <c r="F39" i="7" s="1"/>
  <c r="F64" i="7"/>
  <c r="P56" i="7"/>
  <c r="U62" i="7"/>
  <c r="U1" i="7"/>
  <c r="U67" i="7" s="1"/>
  <c r="AA61" i="7"/>
  <c r="U68" i="7"/>
  <c r="U63" i="7"/>
  <c r="AL50" i="7"/>
  <c r="AL64" i="7"/>
  <c r="Q107" i="7"/>
  <c r="Q108" i="7" s="1"/>
  <c r="Q106" i="7"/>
  <c r="M16" i="48"/>
  <c r="M18" i="48" s="1"/>
  <c r="AI12" i="7"/>
  <c r="AE24" i="7"/>
  <c r="AE79" i="7" s="1"/>
  <c r="AE36" i="7"/>
  <c r="AA47" i="7"/>
  <c r="AA65" i="7"/>
  <c r="P32" i="7"/>
  <c r="L43" i="7"/>
  <c r="AA21" i="7"/>
  <c r="AE9" i="7"/>
  <c r="L33" i="7"/>
  <c r="L44" i="7" s="1"/>
  <c r="L82" i="7" s="1"/>
  <c r="H44" i="7"/>
  <c r="H82" i="7" s="1"/>
  <c r="AA46" i="7"/>
  <c r="AE35" i="7"/>
  <c r="AI35" i="7" s="1"/>
  <c r="AI13" i="7"/>
  <c r="AE25" i="7"/>
  <c r="AE80" i="7" s="1"/>
  <c r="AA45" i="7"/>
  <c r="AE34" i="7"/>
  <c r="AH52" i="7"/>
  <c r="AD54" i="7"/>
  <c r="U75" i="7"/>
  <c r="AE48" i="7"/>
  <c r="AE26" i="7"/>
  <c r="AE83" i="7" s="1"/>
  <c r="AE43" i="7"/>
  <c r="AE23" i="7"/>
  <c r="AE78" i="7" s="1"/>
  <c r="AE70" i="7"/>
  <c r="AE56" i="7"/>
  <c r="AH71" i="7"/>
  <c r="AN2" i="7"/>
  <c r="AA44" i="7"/>
  <c r="AA82" i="7" s="1"/>
  <c r="AE33" i="7"/>
  <c r="AB39" i="7"/>
  <c r="AL30" i="7"/>
  <c r="AL39" i="7" s="1"/>
  <c r="Z1" i="7"/>
  <c r="Z67" i="7" s="1"/>
  <c r="AD61" i="7"/>
  <c r="AI60" i="7"/>
  <c r="AO58" i="7"/>
  <c r="P37" i="7"/>
  <c r="L48" i="7"/>
  <c r="AI15" i="7"/>
  <c r="AE27" i="7"/>
  <c r="AE77" i="7" s="1"/>
  <c r="AA19" i="7"/>
  <c r="AE7" i="7"/>
  <c r="AE119" i="7" s="1"/>
  <c r="AE121" i="7" s="1"/>
  <c r="AE122" i="7" s="1"/>
  <c r="AE22" i="48" s="1"/>
  <c r="AE23" i="48" s="1"/>
  <c r="AE38" i="7"/>
  <c r="AA49" i="7"/>
  <c r="AO52" i="7"/>
  <c r="AI54" i="7"/>
  <c r="AI93" i="7" s="1"/>
  <c r="AE48" i="8"/>
  <c r="AH74" i="8"/>
  <c r="AN14" i="36"/>
  <c r="AN47" i="8"/>
  <c r="AN46" i="8"/>
  <c r="AI8" i="15"/>
  <c r="AI13" i="15" s="1"/>
  <c r="AO18" i="8"/>
  <c r="AS18" i="8" s="1"/>
  <c r="AO38" i="8"/>
  <c r="AO11" i="36"/>
  <c r="AO15" i="8"/>
  <c r="AI76" i="8"/>
  <c r="AH80" i="8"/>
  <c r="AN79" i="8"/>
  <c r="AO41" i="8"/>
  <c r="AO70" i="8"/>
  <c r="AO69" i="8"/>
  <c r="AN18" i="8"/>
  <c r="AR18" i="8" s="1"/>
  <c r="AH8" i="15"/>
  <c r="AH13" i="15" s="1"/>
  <c r="AH76" i="8"/>
  <c r="AO23" i="8"/>
  <c r="AS23" i="8" s="1"/>
  <c r="AI10" i="36"/>
  <c r="AI13" i="36" s="1"/>
  <c r="AI26" i="8"/>
  <c r="AI37" i="8"/>
  <c r="AI40" i="8" s="1"/>
  <c r="AO42" i="8"/>
  <c r="AO72" i="8"/>
  <c r="AO39" i="8"/>
  <c r="AO12" i="36"/>
  <c r="AI48" i="8"/>
  <c r="AE74" i="8"/>
  <c r="AI47" i="8"/>
  <c r="AI14" i="36"/>
  <c r="AI46" i="8"/>
  <c r="AE40" i="8"/>
  <c r="X50" i="7"/>
  <c r="Z55" i="7"/>
  <c r="T56" i="7"/>
  <c r="Z62" i="7"/>
  <c r="Z63" i="7"/>
  <c r="T31" i="7"/>
  <c r="T42" i="7" s="1"/>
  <c r="R39" i="7"/>
  <c r="V39" i="7"/>
  <c r="T35" i="7"/>
  <c r="T46" i="7" s="1"/>
  <c r="P15" i="7"/>
  <c r="L27" i="7"/>
  <c r="L77" i="7" s="1"/>
  <c r="P12" i="7"/>
  <c r="L24" i="7"/>
  <c r="L79" i="7" s="1"/>
  <c r="P13" i="7"/>
  <c r="L25" i="7"/>
  <c r="L80" i="7" s="1"/>
  <c r="L18" i="7"/>
  <c r="L74" i="7" s="1"/>
  <c r="F50" i="7"/>
  <c r="P6" i="7"/>
  <c r="I85" i="7"/>
  <c r="P9" i="7"/>
  <c r="L84" i="7"/>
  <c r="P7" i="7"/>
  <c r="L75" i="7"/>
  <c r="P8" i="7"/>
  <c r="L76" i="7"/>
  <c r="L65" i="7"/>
  <c r="M85" i="7"/>
  <c r="BE72" i="8" l="1"/>
  <c r="BE42" i="8"/>
  <c r="BE69" i="8"/>
  <c r="BE70" i="8"/>
  <c r="BE41" i="8"/>
  <c r="BE11" i="36"/>
  <c r="BE38" i="8"/>
  <c r="BE12" i="36"/>
  <c r="BE39" i="8"/>
  <c r="AV72" i="8"/>
  <c r="BD68" i="8"/>
  <c r="BD72" i="8" s="1"/>
  <c r="AV70" i="8"/>
  <c r="BD60" i="8"/>
  <c r="BD70" i="8" s="1"/>
  <c r="AZ39" i="7"/>
  <c r="BB39" i="7"/>
  <c r="AD72" i="7"/>
  <c r="I16" i="48"/>
  <c r="I18" i="48" s="1"/>
  <c r="I116" i="7"/>
  <c r="AA84" i="7"/>
  <c r="AW23" i="8"/>
  <c r="BE23" i="8" s="1"/>
  <c r="AS26" i="8"/>
  <c r="AS10" i="36"/>
  <c r="AS13" i="36" s="1"/>
  <c r="AS37" i="8"/>
  <c r="AS40" i="8" s="1"/>
  <c r="AO60" i="7"/>
  <c r="AS58" i="7"/>
  <c r="AN71" i="7"/>
  <c r="AR2" i="7"/>
  <c r="AS22" i="7"/>
  <c r="AS81" i="7" s="1"/>
  <c r="AW10" i="7"/>
  <c r="AV58" i="7"/>
  <c r="AR60" i="7"/>
  <c r="AW12" i="36"/>
  <c r="AW39" i="8"/>
  <c r="AI91" i="7"/>
  <c r="AR16" i="8"/>
  <c r="AV13" i="8"/>
  <c r="AW18" i="8"/>
  <c r="BE18" i="8" s="1"/>
  <c r="BE76" i="8" s="1"/>
  <c r="AS8" i="15"/>
  <c r="AS13" i="15" s="1"/>
  <c r="AS76" i="8"/>
  <c r="AO54" i="7"/>
  <c r="AS52" i="7"/>
  <c r="AI92" i="7"/>
  <c r="AO92" i="7" s="1"/>
  <c r="Q109" i="7"/>
  <c r="AW38" i="8"/>
  <c r="AW11" i="36"/>
  <c r="AA125" i="7"/>
  <c r="AA127" i="7" s="1"/>
  <c r="AA128" i="7" s="1"/>
  <c r="AA27" i="48" s="1"/>
  <c r="AA28" i="48" s="1"/>
  <c r="AA20" i="7"/>
  <c r="AA76" i="7" s="1"/>
  <c r="AE8" i="7"/>
  <c r="AV18" i="8"/>
  <c r="BD18" i="8" s="1"/>
  <c r="BD76" i="8" s="1"/>
  <c r="AR8" i="15"/>
  <c r="AR13" i="15" s="1"/>
  <c r="AR76" i="8"/>
  <c r="AI88" i="7"/>
  <c r="AW42" i="8"/>
  <c r="AW72" i="8"/>
  <c r="AW41" i="8"/>
  <c r="AW69" i="8"/>
  <c r="AW70" i="8"/>
  <c r="AN74" i="8"/>
  <c r="AR47" i="8"/>
  <c r="AR14" i="36"/>
  <c r="AR46" i="8"/>
  <c r="AS15" i="8"/>
  <c r="AN80" i="8"/>
  <c r="AR79" i="8"/>
  <c r="P33" i="7"/>
  <c r="P44" i="7" s="1"/>
  <c r="T34" i="7"/>
  <c r="T45" i="7" s="1"/>
  <c r="AO93" i="7"/>
  <c r="AI90" i="7"/>
  <c r="AO90" i="7" s="1"/>
  <c r="AI87" i="7"/>
  <c r="T37" i="7"/>
  <c r="P48" i="7"/>
  <c r="AH61" i="7"/>
  <c r="AD1" i="7"/>
  <c r="AD62" i="7"/>
  <c r="AI34" i="7"/>
  <c r="AE45" i="7"/>
  <c r="AI94" i="7"/>
  <c r="AO94" i="7" s="1"/>
  <c r="AO35" i="7"/>
  <c r="AI46" i="7"/>
  <c r="AI9" i="7"/>
  <c r="AE21" i="7"/>
  <c r="AE84" i="7" s="1"/>
  <c r="Q16" i="48"/>
  <c r="Q18" i="48" s="1"/>
  <c r="Q116" i="7"/>
  <c r="AI72" i="7"/>
  <c r="AO72" i="7" s="1"/>
  <c r="U107" i="7"/>
  <c r="U108" i="7" s="1"/>
  <c r="U106" i="7"/>
  <c r="AN52" i="7"/>
  <c r="AH54" i="7"/>
  <c r="T32" i="7"/>
  <c r="P43" i="7"/>
  <c r="AO87" i="7"/>
  <c r="AA75" i="7"/>
  <c r="AE49" i="7"/>
  <c r="AI38" i="7"/>
  <c r="AO38" i="7" s="1"/>
  <c r="AO15" i="7"/>
  <c r="AI27" i="7"/>
  <c r="AI77" i="7" s="1"/>
  <c r="AO88" i="7"/>
  <c r="AI33" i="7"/>
  <c r="AE44" i="7"/>
  <c r="AE82" i="7" s="1"/>
  <c r="AO12" i="7"/>
  <c r="AI24" i="7"/>
  <c r="AI79" i="7" s="1"/>
  <c r="AA104" i="7"/>
  <c r="AA105" i="7" s="1"/>
  <c r="AE6" i="7"/>
  <c r="AA16" i="7"/>
  <c r="AA18" i="7"/>
  <c r="AO48" i="7"/>
  <c r="AO26" i="7"/>
  <c r="AO83" i="7" s="1"/>
  <c r="AO43" i="7"/>
  <c r="AO23" i="7"/>
  <c r="AO78" i="7" s="1"/>
  <c r="AO70" i="7"/>
  <c r="AO56" i="7"/>
  <c r="AH72" i="7"/>
  <c r="Z56" i="7"/>
  <c r="AD55" i="7"/>
  <c r="AI48" i="7"/>
  <c r="AI26" i="7"/>
  <c r="AI83" i="7" s="1"/>
  <c r="AI43" i="7"/>
  <c r="AI23" i="7"/>
  <c r="AI78" i="7" s="1"/>
  <c r="AI70" i="7"/>
  <c r="AI56" i="7"/>
  <c r="AI7" i="7"/>
  <c r="AI119" i="7" s="1"/>
  <c r="AI121" i="7" s="1"/>
  <c r="AI122" i="7" s="1"/>
  <c r="AI22" i="48" s="1"/>
  <c r="AI23" i="48" s="1"/>
  <c r="AE19" i="7"/>
  <c r="AE46" i="7"/>
  <c r="AD68" i="7"/>
  <c r="AD67" i="7"/>
  <c r="AD63" i="7"/>
  <c r="AD26" i="7"/>
  <c r="AD83" i="7" s="1"/>
  <c r="AD23" i="7"/>
  <c r="AD78" i="7" s="1"/>
  <c r="AI89" i="7"/>
  <c r="AO89" i="7" s="1"/>
  <c r="AO13" i="7"/>
  <c r="AI25" i="7"/>
  <c r="AI80" i="7" s="1"/>
  <c r="AI36" i="7"/>
  <c r="AE47" i="7"/>
  <c r="AE65" i="7"/>
  <c r="AA68" i="7"/>
  <c r="AE61" i="7"/>
  <c r="AA1" i="7"/>
  <c r="AA67" i="7" s="1"/>
  <c r="AA62" i="7"/>
  <c r="AA63" i="7"/>
  <c r="U74" i="7"/>
  <c r="U85" i="7" s="1"/>
  <c r="U28" i="7"/>
  <c r="AI31" i="7"/>
  <c r="AE42" i="7"/>
  <c r="T36" i="7"/>
  <c r="P47" i="7"/>
  <c r="AI74" i="8"/>
  <c r="AO47" i="8"/>
  <c r="AO14" i="36"/>
  <c r="AO46" i="8"/>
  <c r="AO48" i="8"/>
  <c r="AO8" i="15"/>
  <c r="AO13" i="15" s="1"/>
  <c r="AO76" i="8"/>
  <c r="AO26" i="8"/>
  <c r="AO37" i="8"/>
  <c r="AO40" i="8" s="1"/>
  <c r="AO10" i="36"/>
  <c r="AO13" i="36" s="1"/>
  <c r="AN8" i="15"/>
  <c r="AN13" i="15" s="1"/>
  <c r="AN76" i="8"/>
  <c r="T15" i="7"/>
  <c r="P27" i="7"/>
  <c r="P77" i="7" s="1"/>
  <c r="T12" i="7"/>
  <c r="P24" i="7"/>
  <c r="P79" i="7" s="1"/>
  <c r="T13" i="7"/>
  <c r="P25" i="7"/>
  <c r="P80" i="7" s="1"/>
  <c r="T8" i="7"/>
  <c r="P20" i="7"/>
  <c r="P76" i="7" s="1"/>
  <c r="T9" i="7"/>
  <c r="P21" i="7"/>
  <c r="P84" i="7" s="1"/>
  <c r="T6" i="7"/>
  <c r="P18" i="7"/>
  <c r="P74" i="7" s="1"/>
  <c r="T7" i="7"/>
  <c r="P19" i="7"/>
  <c r="P75" i="7" s="1"/>
  <c r="P82" i="7"/>
  <c r="T33" i="7"/>
  <c r="T44" i="7" s="1"/>
  <c r="Z31" i="7"/>
  <c r="Z35" i="7"/>
  <c r="Z34" i="7"/>
  <c r="AF730" i="3"/>
  <c r="Z730" i="3"/>
  <c r="AV16" i="8" l="1"/>
  <c r="BD13" i="8"/>
  <c r="BD16" i="8" s="1"/>
  <c r="BE26" i="8"/>
  <c r="BE10" i="36"/>
  <c r="BE13" i="36" s="1"/>
  <c r="BE37" i="8"/>
  <c r="BE40" i="8" s="1"/>
  <c r="BB46" i="8"/>
  <c r="AV60" i="7"/>
  <c r="BD58" i="7"/>
  <c r="BD60" i="7" s="1"/>
  <c r="AW22" i="7"/>
  <c r="AW81" i="7" s="1"/>
  <c r="BE10" i="7"/>
  <c r="BE22" i="7" s="1"/>
  <c r="BE81" i="7" s="1"/>
  <c r="BE48" i="8"/>
  <c r="U109" i="7"/>
  <c r="AO91" i="7"/>
  <c r="AW48" i="8"/>
  <c r="AN54" i="7"/>
  <c r="AN26" i="7" s="1"/>
  <c r="AN83" i="7" s="1"/>
  <c r="AR52" i="7"/>
  <c r="AO25" i="7"/>
  <c r="AO80" i="7" s="1"/>
  <c r="AS13" i="7"/>
  <c r="AO24" i="7"/>
  <c r="AO79" i="7" s="1"/>
  <c r="AS12" i="7"/>
  <c r="AW15" i="8"/>
  <c r="BE15" i="8" s="1"/>
  <c r="AR74" i="8"/>
  <c r="AV47" i="8"/>
  <c r="AV14" i="36"/>
  <c r="AV46" i="8"/>
  <c r="AR71" i="7"/>
  <c r="AV2" i="7"/>
  <c r="BD2" i="7" s="1"/>
  <c r="AO27" i="7"/>
  <c r="AO77" i="7" s="1"/>
  <c r="AS15" i="7"/>
  <c r="AO49" i="7"/>
  <c r="AS38" i="7"/>
  <c r="AO46" i="7"/>
  <c r="AS35" i="7"/>
  <c r="AR80" i="8"/>
  <c r="AV79" i="8"/>
  <c r="BB79" i="8" s="1"/>
  <c r="BB80" i="8" s="1"/>
  <c r="AV76" i="8"/>
  <c r="AV8" i="15"/>
  <c r="AV13" i="15" s="1"/>
  <c r="AW52" i="7"/>
  <c r="AS54" i="7"/>
  <c r="AS93" i="7" s="1"/>
  <c r="AW8" i="15"/>
  <c r="AW13" i="15" s="1"/>
  <c r="AW76" i="8"/>
  <c r="AW58" i="7"/>
  <c r="AS60" i="7"/>
  <c r="AE125" i="7"/>
  <c r="AE127" i="7" s="1"/>
  <c r="AE128" i="7" s="1"/>
  <c r="AE27" i="48" s="1"/>
  <c r="AE28" i="48" s="1"/>
  <c r="AI8" i="7"/>
  <c r="AE20" i="7"/>
  <c r="AE76" i="7" s="1"/>
  <c r="AW10" i="36"/>
  <c r="AW13" i="36" s="1"/>
  <c r="AW26" i="8"/>
  <c r="AW37" i="8"/>
  <c r="AW40" i="8" s="1"/>
  <c r="AO74" i="8"/>
  <c r="AS47" i="8"/>
  <c r="AS14" i="36"/>
  <c r="AS46" i="8"/>
  <c r="Z46" i="7"/>
  <c r="AD35" i="7"/>
  <c r="AE75" i="7"/>
  <c r="AO34" i="7"/>
  <c r="AI45" i="7"/>
  <c r="AO36" i="7"/>
  <c r="AS36" i="7" s="1"/>
  <c r="AI65" i="7"/>
  <c r="AI47" i="7"/>
  <c r="AA74" i="7"/>
  <c r="AA85" i="7" s="1"/>
  <c r="AA28" i="7"/>
  <c r="AO33" i="7"/>
  <c r="AI44" i="7"/>
  <c r="AI82" i="7" s="1"/>
  <c r="T43" i="7"/>
  <c r="Z32" i="7"/>
  <c r="T48" i="7"/>
  <c r="Z37" i="7"/>
  <c r="AH55" i="7"/>
  <c r="AD56" i="7"/>
  <c r="AA107" i="7"/>
  <c r="AA108" i="7" s="1"/>
  <c r="AA106" i="7"/>
  <c r="AN61" i="7"/>
  <c r="AR61" i="7" s="1"/>
  <c r="AH1" i="7"/>
  <c r="AH62" i="7"/>
  <c r="Z42" i="7"/>
  <c r="AD31" i="7"/>
  <c r="AO31" i="7"/>
  <c r="AI42" i="7"/>
  <c r="AO7" i="7"/>
  <c r="AI19" i="7"/>
  <c r="U16" i="48"/>
  <c r="U18" i="48" s="1"/>
  <c r="U116" i="7"/>
  <c r="Z45" i="7"/>
  <c r="AD34" i="7"/>
  <c r="T47" i="7"/>
  <c r="Z36" i="7"/>
  <c r="T65" i="7"/>
  <c r="AI61" i="7"/>
  <c r="AE62" i="7"/>
  <c r="AE1" i="7"/>
  <c r="AE67" i="7" s="1"/>
  <c r="AE63" i="7"/>
  <c r="AE68" i="7"/>
  <c r="AI49" i="7"/>
  <c r="AE104" i="7"/>
  <c r="AE105" i="7" s="1"/>
  <c r="AI6" i="7"/>
  <c r="AE18" i="7"/>
  <c r="AE16" i="7"/>
  <c r="AH26" i="7"/>
  <c r="AH83" i="7" s="1"/>
  <c r="AH68" i="7"/>
  <c r="AH63" i="7"/>
  <c r="AH67" i="7"/>
  <c r="AH23" i="7"/>
  <c r="AH78" i="7" s="1"/>
  <c r="AO9" i="7"/>
  <c r="AI21" i="7"/>
  <c r="Z15" i="7"/>
  <c r="T27" i="7"/>
  <c r="T77" i="7" s="1"/>
  <c r="Z13" i="7"/>
  <c r="T25" i="7"/>
  <c r="T80" i="7" s="1"/>
  <c r="Z12" i="7"/>
  <c r="T24" i="7"/>
  <c r="T79" i="7" s="1"/>
  <c r="Z7" i="7"/>
  <c r="T19" i="7"/>
  <c r="T75" i="7" s="1"/>
  <c r="Z9" i="7"/>
  <c r="T21" i="7"/>
  <c r="T84" i="7" s="1"/>
  <c r="Z6" i="7"/>
  <c r="AD6" i="7" s="1"/>
  <c r="T18" i="7"/>
  <c r="Z8" i="7"/>
  <c r="T20" i="7"/>
  <c r="T76" i="7" s="1"/>
  <c r="Z33" i="7"/>
  <c r="AD33" i="7" s="1"/>
  <c r="T82" i="7"/>
  <c r="AB730" i="3"/>
  <c r="H177" i="6"/>
  <c r="M102" i="6"/>
  <c r="G124" i="6"/>
  <c r="G122" i="6"/>
  <c r="G111" i="6"/>
  <c r="G121" i="6" s="1"/>
  <c r="G103" i="6"/>
  <c r="I87" i="6"/>
  <c r="H87" i="6"/>
  <c r="L87" i="6" s="1"/>
  <c r="P87" i="6" s="1"/>
  <c r="T87" i="6" s="1"/>
  <c r="L84" i="6"/>
  <c r="P84" i="6" s="1"/>
  <c r="H73" i="6"/>
  <c r="H105" i="6"/>
  <c r="L96" i="6"/>
  <c r="H93" i="6"/>
  <c r="L93" i="6" s="1"/>
  <c r="P93" i="6" s="1"/>
  <c r="T93" i="6" s="1"/>
  <c r="D100" i="6"/>
  <c r="D86" i="6"/>
  <c r="D91" i="6" s="1"/>
  <c r="D138" i="6" s="1"/>
  <c r="BB47" i="8" l="1"/>
  <c r="BB74" i="8" s="1"/>
  <c r="BD14" i="36"/>
  <c r="AW60" i="7"/>
  <c r="BE58" i="7"/>
  <c r="BE60" i="7" s="1"/>
  <c r="AW54" i="7"/>
  <c r="AW93" i="7" s="1"/>
  <c r="BE93" i="7" s="1"/>
  <c r="BE52" i="7"/>
  <c r="BE54" i="7" s="1"/>
  <c r="AV80" i="8"/>
  <c r="BD79" i="8"/>
  <c r="BD80" i="8" s="1"/>
  <c r="BD47" i="8"/>
  <c r="BD74" i="8" s="1"/>
  <c r="BD46" i="8"/>
  <c r="AS88" i="7"/>
  <c r="AS89" i="7"/>
  <c r="AN23" i="7"/>
  <c r="AN78" i="7" s="1"/>
  <c r="AN72" i="7"/>
  <c r="AV74" i="8"/>
  <c r="AO19" i="7"/>
  <c r="AS7" i="7"/>
  <c r="AO119" i="7"/>
  <c r="AO121" i="7" s="1"/>
  <c r="AO122" i="7" s="1"/>
  <c r="AO22" i="48" s="1"/>
  <c r="AO23" i="48" s="1"/>
  <c r="AW36" i="7"/>
  <c r="BE36" i="7" s="1"/>
  <c r="AS65" i="7"/>
  <c r="AS47" i="7"/>
  <c r="AS74" i="8"/>
  <c r="AW47" i="8"/>
  <c r="BE14" i="36" s="1"/>
  <c r="AW14" i="36"/>
  <c r="AW46" i="8"/>
  <c r="AS48" i="7"/>
  <c r="AS26" i="7"/>
  <c r="AS83" i="7" s="1"/>
  <c r="AS43" i="7"/>
  <c r="AS23" i="7"/>
  <c r="AS78" i="7" s="1"/>
  <c r="AS70" i="7"/>
  <c r="AS56" i="7"/>
  <c r="AV71" i="7"/>
  <c r="BD71" i="7" s="1"/>
  <c r="AW12" i="7"/>
  <c r="AS24" i="7"/>
  <c r="AS79" i="7" s="1"/>
  <c r="AV52" i="7"/>
  <c r="AR54" i="7"/>
  <c r="AW48" i="7"/>
  <c r="AW26" i="7"/>
  <c r="AW83" i="7" s="1"/>
  <c r="AW43" i="7"/>
  <c r="AW23" i="7"/>
  <c r="AW78" i="7" s="1"/>
  <c r="AW70" i="7"/>
  <c r="AW56" i="7"/>
  <c r="AW38" i="7"/>
  <c r="AS49" i="7"/>
  <c r="AW89" i="7"/>
  <c r="BE89" i="7" s="1"/>
  <c r="AI84" i="7"/>
  <c r="AO42" i="7"/>
  <c r="AS31" i="7"/>
  <c r="AW31" i="7" s="1"/>
  <c r="AO45" i="7"/>
  <c r="AS34" i="7"/>
  <c r="AS94" i="7"/>
  <c r="AW94" i="7" s="1"/>
  <c r="BE94" i="7" s="1"/>
  <c r="AS90" i="7"/>
  <c r="AW90" i="7" s="1"/>
  <c r="BE90" i="7" s="1"/>
  <c r="AS87" i="7"/>
  <c r="AW87" i="7" s="1"/>
  <c r="BE87" i="7" s="1"/>
  <c r="AW13" i="7"/>
  <c r="AS25" i="7"/>
  <c r="AS80" i="7" s="1"/>
  <c r="AS91" i="7"/>
  <c r="AW91" i="7" s="1"/>
  <c r="BE91" i="7" s="1"/>
  <c r="AO21" i="7"/>
  <c r="AS9" i="7"/>
  <c r="AI75" i="7"/>
  <c r="AR1" i="7"/>
  <c r="AV61" i="7"/>
  <c r="BD61" i="7" s="1"/>
  <c r="AR62" i="7"/>
  <c r="AO44" i="7"/>
  <c r="AO82" i="7" s="1"/>
  <c r="AS33" i="7"/>
  <c r="AI125" i="7"/>
  <c r="AI127" i="7" s="1"/>
  <c r="AI128" i="7" s="1"/>
  <c r="AI27" i="48" s="1"/>
  <c r="AI28" i="48" s="1"/>
  <c r="AO8" i="7"/>
  <c r="AI20" i="7"/>
  <c r="AI76" i="7" s="1"/>
  <c r="AW88" i="7"/>
  <c r="BE88" i="7" s="1"/>
  <c r="AW35" i="7"/>
  <c r="AS46" i="7"/>
  <c r="AW15" i="7"/>
  <c r="AS27" i="7"/>
  <c r="AS77" i="7" s="1"/>
  <c r="AS72" i="7"/>
  <c r="AW72" i="7" s="1"/>
  <c r="BE72" i="7" s="1"/>
  <c r="AS92" i="7"/>
  <c r="AW92" i="7" s="1"/>
  <c r="BE92" i="7" s="1"/>
  <c r="AA109" i="7"/>
  <c r="AA116" i="7" s="1"/>
  <c r="AN1" i="7"/>
  <c r="AN67" i="7" s="1"/>
  <c r="AN62" i="7"/>
  <c r="AN68" i="7"/>
  <c r="Z21" i="7"/>
  <c r="Z84" i="7" s="1"/>
  <c r="AD9" i="7"/>
  <c r="Z24" i="7"/>
  <c r="Z79" i="7" s="1"/>
  <c r="AD12" i="7"/>
  <c r="Z27" i="7"/>
  <c r="Z77" i="7" s="1"/>
  <c r="AD15" i="7"/>
  <c r="Z47" i="7"/>
  <c r="AD36" i="7"/>
  <c r="Z65" i="7"/>
  <c r="AN55" i="7"/>
  <c r="AH56" i="7"/>
  <c r="Z43" i="7"/>
  <c r="AD32" i="7"/>
  <c r="AO47" i="7"/>
  <c r="AO65" i="7"/>
  <c r="AD46" i="7"/>
  <c r="AH35" i="7"/>
  <c r="AH6" i="7"/>
  <c r="AD18" i="7"/>
  <c r="Z19" i="7"/>
  <c r="Z75" i="7" s="1"/>
  <c r="AD7" i="7"/>
  <c r="Z25" i="7"/>
  <c r="Z80" i="7" s="1"/>
  <c r="AD13" i="7"/>
  <c r="AI104" i="7"/>
  <c r="AI105" i="7" s="1"/>
  <c r="AO6" i="7"/>
  <c r="AS6" i="7" s="1"/>
  <c r="AI16" i="7"/>
  <c r="AI18" i="7"/>
  <c r="AI1" i="7"/>
  <c r="AI67" i="7" s="1"/>
  <c r="AO61" i="7"/>
  <c r="AS61" i="7" s="1"/>
  <c r="AS68" i="7" s="1"/>
  <c r="AI62" i="7"/>
  <c r="AI63" i="7"/>
  <c r="AI68" i="7"/>
  <c r="AD45" i="7"/>
  <c r="AH34" i="7"/>
  <c r="AH31" i="7"/>
  <c r="AD42" i="7"/>
  <c r="AA16" i="48"/>
  <c r="AA18" i="48" s="1"/>
  <c r="Z20" i="7"/>
  <c r="Z76" i="7" s="1"/>
  <c r="AD8" i="7"/>
  <c r="AE107" i="7"/>
  <c r="AE108" i="7" s="1"/>
  <c r="AE106" i="7"/>
  <c r="AH33" i="7"/>
  <c r="AD44" i="7"/>
  <c r="AD82" i="7" s="1"/>
  <c r="AE74" i="7"/>
  <c r="AE85" i="7" s="1"/>
  <c r="AE28" i="7"/>
  <c r="AN63" i="7"/>
  <c r="Z48" i="7"/>
  <c r="AD37" i="7"/>
  <c r="Z44" i="7"/>
  <c r="Z82" i="7" s="1"/>
  <c r="Z18" i="7"/>
  <c r="T74" i="7"/>
  <c r="Z93" i="6"/>
  <c r="AD93" i="6" s="1"/>
  <c r="AH93" i="6" s="1"/>
  <c r="AN93" i="6" s="1"/>
  <c r="AR93" i="6" s="1"/>
  <c r="AV93" i="6" s="1"/>
  <c r="BD93" i="6" s="1"/>
  <c r="Z87" i="6"/>
  <c r="AD87" i="6" s="1"/>
  <c r="AH87" i="6" s="1"/>
  <c r="AN87" i="6" s="1"/>
  <c r="AR87" i="6" s="1"/>
  <c r="AV87" i="6" s="1"/>
  <c r="BD87" i="6" s="1"/>
  <c r="P85" i="6"/>
  <c r="T84" i="6"/>
  <c r="Q102" i="6"/>
  <c r="U102" i="6" s="1"/>
  <c r="P96" i="6"/>
  <c r="T96" i="6" s="1"/>
  <c r="I124" i="6"/>
  <c r="H422" i="3" s="1"/>
  <c r="I122" i="6"/>
  <c r="M122" i="6" s="1"/>
  <c r="Q122" i="6" s="1"/>
  <c r="U122" i="6" s="1"/>
  <c r="D104" i="6"/>
  <c r="D109" i="6" s="1"/>
  <c r="D135" i="6"/>
  <c r="D136" i="6"/>
  <c r="E81" i="6"/>
  <c r="E85" i="6"/>
  <c r="L74" i="6"/>
  <c r="P74" i="6" s="1"/>
  <c r="T74" i="6" s="1"/>
  <c r="L79" i="6"/>
  <c r="P79" i="6" s="1"/>
  <c r="T79" i="6" s="1"/>
  <c r="L73" i="6"/>
  <c r="P73" i="6" s="1"/>
  <c r="T73" i="6" s="1"/>
  <c r="H81" i="6"/>
  <c r="G81" i="6"/>
  <c r="L105" i="6"/>
  <c r="D125" i="6"/>
  <c r="D126" i="6" s="1"/>
  <c r="M87" i="6"/>
  <c r="Q87" i="6" s="1"/>
  <c r="U87" i="6" s="1"/>
  <c r="L100" i="6"/>
  <c r="L85" i="6"/>
  <c r="H85" i="6"/>
  <c r="H100" i="6"/>
  <c r="L103" i="6"/>
  <c r="H103" i="6"/>
  <c r="I73" i="6"/>
  <c r="L177" i="6"/>
  <c r="P177" i="6" s="1"/>
  <c r="T177" i="6" s="1"/>
  <c r="L151" i="6"/>
  <c r="M82" i="6"/>
  <c r="I93" i="6"/>
  <c r="M93" i="6" s="1"/>
  <c r="I105" i="6"/>
  <c r="E100" i="6"/>
  <c r="E104" i="6" s="1"/>
  <c r="E109" i="6" s="1"/>
  <c r="H155" i="6"/>
  <c r="G100" i="6"/>
  <c r="G104" i="6" s="1"/>
  <c r="G109" i="6" s="1"/>
  <c r="G85" i="6"/>
  <c r="I69" i="6"/>
  <c r="M69" i="6" s="1"/>
  <c r="AW42" i="7" l="1"/>
  <c r="BE31" i="7"/>
  <c r="BE42" i="7" s="1"/>
  <c r="BE48" i="7"/>
  <c r="BE26" i="7"/>
  <c r="BE83" i="7" s="1"/>
  <c r="BE43" i="7"/>
  <c r="BE23" i="7"/>
  <c r="BE78" i="7" s="1"/>
  <c r="BE70" i="7"/>
  <c r="BE56" i="7"/>
  <c r="AW27" i="7"/>
  <c r="AW77" i="7" s="1"/>
  <c r="BE15" i="7"/>
  <c r="BE27" i="7" s="1"/>
  <c r="BE77" i="7" s="1"/>
  <c r="AW49" i="7"/>
  <c r="BE38" i="7"/>
  <c r="BE49" i="7" s="1"/>
  <c r="AV54" i="7"/>
  <c r="BD52" i="7"/>
  <c r="BD54" i="7" s="1"/>
  <c r="AW25" i="7"/>
  <c r="AW80" i="7" s="1"/>
  <c r="BE13" i="7"/>
  <c r="BE25" i="7" s="1"/>
  <c r="BE80" i="7" s="1"/>
  <c r="BE65" i="7"/>
  <c r="BE47" i="7"/>
  <c r="AW46" i="7"/>
  <c r="BE35" i="7"/>
  <c r="BE46" i="7" s="1"/>
  <c r="BD62" i="7"/>
  <c r="BD1" i="7"/>
  <c r="AW24" i="7"/>
  <c r="AW79" i="7" s="1"/>
  <c r="BE12" i="7"/>
  <c r="BE24" i="7" s="1"/>
  <c r="BE79" i="7" s="1"/>
  <c r="AS42" i="7"/>
  <c r="BE47" i="8"/>
  <c r="BE74" i="8" s="1"/>
  <c r="BE46" i="8"/>
  <c r="AR72" i="7"/>
  <c r="AO84" i="7"/>
  <c r="AW74" i="8"/>
  <c r="AO20" i="7"/>
  <c r="AO76" i="7" s="1"/>
  <c r="AS8" i="7"/>
  <c r="AO125" i="7"/>
  <c r="AO127" i="7" s="1"/>
  <c r="AO128" i="7" s="1"/>
  <c r="AO27" i="48" s="1"/>
  <c r="AO28" i="48" s="1"/>
  <c r="AW9" i="7"/>
  <c r="AS21" i="7"/>
  <c r="AV68" i="7"/>
  <c r="AV63" i="7"/>
  <c r="AV26" i="7"/>
  <c r="AV83" i="7" s="1"/>
  <c r="AV23" i="7"/>
  <c r="AV78" i="7" s="1"/>
  <c r="AW65" i="7"/>
  <c r="AW47" i="7"/>
  <c r="AV62" i="7"/>
  <c r="AV1" i="7"/>
  <c r="AV67" i="7" s="1"/>
  <c r="AW34" i="7"/>
  <c r="AS45" i="7"/>
  <c r="AE109" i="7"/>
  <c r="AE16" i="48" s="1"/>
  <c r="AE18" i="48" s="1"/>
  <c r="AN56" i="7"/>
  <c r="AR55" i="7"/>
  <c r="AW33" i="7"/>
  <c r="AS44" i="7"/>
  <c r="AS82" i="7" s="1"/>
  <c r="AW7" i="7"/>
  <c r="BE7" i="7" s="1"/>
  <c r="AS119" i="7"/>
  <c r="AS121" i="7" s="1"/>
  <c r="AS122" i="7" s="1"/>
  <c r="AS22" i="48" s="1"/>
  <c r="AS23" i="48" s="1"/>
  <c r="AS19" i="7"/>
  <c r="AS75" i="7" s="1"/>
  <c r="AS62" i="7"/>
  <c r="AW61" i="7"/>
  <c r="BE61" i="7" s="1"/>
  <c r="BE68" i="7" s="1"/>
  <c r="AS1" i="7"/>
  <c r="AW6" i="7"/>
  <c r="BE6" i="7" s="1"/>
  <c r="AS18" i="7"/>
  <c r="AS104" i="7"/>
  <c r="AS105" i="7" s="1"/>
  <c r="AS16" i="7"/>
  <c r="AR63" i="7"/>
  <c r="AR67" i="7"/>
  <c r="AR68" i="7"/>
  <c r="AR26" i="7"/>
  <c r="AR83" i="7" s="1"/>
  <c r="AR23" i="7"/>
  <c r="AR78" i="7" s="1"/>
  <c r="AS63" i="7"/>
  <c r="AO75" i="7"/>
  <c r="AH8" i="7"/>
  <c r="AD20" i="7"/>
  <c r="AD76" i="7" s="1"/>
  <c r="AI106" i="7"/>
  <c r="AI107" i="7"/>
  <c r="AI108" i="7" s="1"/>
  <c r="AN35" i="7"/>
  <c r="AH46" i="7"/>
  <c r="AN33" i="7"/>
  <c r="AH44" i="7"/>
  <c r="AH82" i="7" s="1"/>
  <c r="AN31" i="7"/>
  <c r="AH42" i="7"/>
  <c r="AI74" i="7"/>
  <c r="AI85" i="7" s="1"/>
  <c r="AI28" i="7"/>
  <c r="AH36" i="7"/>
  <c r="AD47" i="7"/>
  <c r="AD65" i="7"/>
  <c r="AN34" i="7"/>
  <c r="AH45" i="7"/>
  <c r="AD74" i="7"/>
  <c r="AD43" i="7"/>
  <c r="AH32" i="7"/>
  <c r="AH13" i="7"/>
  <c r="AD25" i="7"/>
  <c r="AD80" i="7" s="1"/>
  <c r="AH12" i="7"/>
  <c r="AD24" i="7"/>
  <c r="AD79" i="7" s="1"/>
  <c r="AH37" i="7"/>
  <c r="AD48" i="7"/>
  <c r="AO1" i="7"/>
  <c r="AO67" i="7" s="1"/>
  <c r="AO62" i="7"/>
  <c r="AO63" i="7"/>
  <c r="AO68" i="7"/>
  <c r="AO104" i="7"/>
  <c r="AO105" i="7" s="1"/>
  <c r="AO18" i="7"/>
  <c r="AO16" i="7"/>
  <c r="AH7" i="7"/>
  <c r="AD19" i="7"/>
  <c r="AD75" i="7" s="1"/>
  <c r="AN6" i="7"/>
  <c r="AR6" i="7" s="1"/>
  <c r="AH18" i="7"/>
  <c r="AH15" i="7"/>
  <c r="AD27" i="7"/>
  <c r="AD77" i="7" s="1"/>
  <c r="AH9" i="7"/>
  <c r="AD21" i="7"/>
  <c r="AD84" i="7" s="1"/>
  <c r="D131" i="6"/>
  <c r="D251" i="6" s="1"/>
  <c r="G163" i="6"/>
  <c r="G164" i="6"/>
  <c r="E164" i="6"/>
  <c r="E163" i="6"/>
  <c r="D164" i="6"/>
  <c r="D163" i="6"/>
  <c r="P151" i="6"/>
  <c r="T151" i="6" s="1"/>
  <c r="Z151" i="6" s="1"/>
  <c r="AD151" i="6" s="1"/>
  <c r="AH151" i="6" s="1"/>
  <c r="AN151" i="6" s="1"/>
  <c r="AR151" i="6" s="1"/>
  <c r="AV151" i="6" s="1"/>
  <c r="BD151" i="6" s="1"/>
  <c r="Z74" i="7"/>
  <c r="AA102" i="6"/>
  <c r="AE102" i="6" s="1"/>
  <c r="AA122" i="6"/>
  <c r="AE122" i="6" s="1"/>
  <c r="T85" i="6"/>
  <c r="X85" i="6"/>
  <c r="Z84" i="6"/>
  <c r="AA87" i="6"/>
  <c r="AE87" i="6" s="1"/>
  <c r="AI87" i="6" s="1"/>
  <c r="AO87" i="6" s="1"/>
  <c r="AS87" i="6" s="1"/>
  <c r="AW87" i="6" s="1"/>
  <c r="BE87" i="6" s="1"/>
  <c r="Z177" i="6"/>
  <c r="AD177" i="6" s="1"/>
  <c r="AH177" i="6" s="1"/>
  <c r="AN177" i="6" s="1"/>
  <c r="AR177" i="6" s="1"/>
  <c r="AV177" i="6" s="1"/>
  <c r="BD177" i="6" s="1"/>
  <c r="X178" i="6"/>
  <c r="T100" i="6"/>
  <c r="T104" i="6" s="1"/>
  <c r="X100" i="6"/>
  <c r="Z96" i="6"/>
  <c r="Z73" i="6"/>
  <c r="AD73" i="6" s="1"/>
  <c r="Z79" i="6"/>
  <c r="AD79" i="6" s="1"/>
  <c r="AH79" i="6" s="1"/>
  <c r="AN79" i="6" s="1"/>
  <c r="AR79" i="6" s="1"/>
  <c r="AV79" i="6" s="1"/>
  <c r="BD79" i="6" s="1"/>
  <c r="Z74" i="6"/>
  <c r="AD74" i="6" s="1"/>
  <c r="AH74" i="6" s="1"/>
  <c r="AN74" i="6" s="1"/>
  <c r="AR74" i="6" s="1"/>
  <c r="AV74" i="6" s="1"/>
  <c r="BD74" i="6" s="1"/>
  <c r="T81" i="6"/>
  <c r="P100" i="6"/>
  <c r="P104" i="6" s="1"/>
  <c r="P81" i="6"/>
  <c r="Q93" i="6"/>
  <c r="U93" i="6" s="1"/>
  <c r="Q82" i="6"/>
  <c r="U82" i="6" s="1"/>
  <c r="P131" i="6"/>
  <c r="P105" i="6"/>
  <c r="Q69" i="6"/>
  <c r="U69" i="6" s="1"/>
  <c r="H86" i="6"/>
  <c r="H91" i="6" s="1"/>
  <c r="H138" i="6" s="1"/>
  <c r="D255" i="6"/>
  <c r="I211" i="6"/>
  <c r="H424" i="3"/>
  <c r="H423" i="3"/>
  <c r="I111" i="6"/>
  <c r="M124" i="6"/>
  <c r="Q124" i="6" s="1"/>
  <c r="U124" i="6" s="1"/>
  <c r="D161" i="6"/>
  <c r="D160" i="6"/>
  <c r="E86" i="6"/>
  <c r="E91" i="6" s="1"/>
  <c r="E138" i="6" s="1"/>
  <c r="G125" i="6"/>
  <c r="E121" i="6"/>
  <c r="H121" i="6"/>
  <c r="L81" i="6"/>
  <c r="L86" i="6" s="1"/>
  <c r="L121" i="6"/>
  <c r="M74" i="6"/>
  <c r="Q74" i="6" s="1"/>
  <c r="U74" i="6" s="1"/>
  <c r="M79" i="6"/>
  <c r="Q79" i="6" s="1"/>
  <c r="U79" i="6" s="1"/>
  <c r="M73" i="6"/>
  <c r="Q73" i="6" s="1"/>
  <c r="U73" i="6" s="1"/>
  <c r="I81" i="6"/>
  <c r="D137" i="6"/>
  <c r="D7" i="36" s="1"/>
  <c r="E125" i="6"/>
  <c r="E161" i="6"/>
  <c r="H104" i="6"/>
  <c r="L104" i="6"/>
  <c r="L109" i="6" s="1"/>
  <c r="L164" i="6" s="1"/>
  <c r="H125" i="6"/>
  <c r="L125" i="6"/>
  <c r="M84" i="6"/>
  <c r="Q84" i="6" s="1"/>
  <c r="U84" i="6" s="1"/>
  <c r="L155" i="6"/>
  <c r="P155" i="6" s="1"/>
  <c r="T155" i="6" s="1"/>
  <c r="Z155" i="6" s="1"/>
  <c r="AD155" i="6" s="1"/>
  <c r="AH155" i="6" s="1"/>
  <c r="AN155" i="6" s="1"/>
  <c r="AR155" i="6" s="1"/>
  <c r="AV155" i="6" s="1"/>
  <c r="BD155" i="6" s="1"/>
  <c r="M96" i="6"/>
  <c r="Q96" i="6" s="1"/>
  <c r="U96" i="6" s="1"/>
  <c r="M105" i="6"/>
  <c r="I103" i="6"/>
  <c r="M101" i="6"/>
  <c r="Q101" i="6" s="1"/>
  <c r="I100" i="6"/>
  <c r="I68" i="6"/>
  <c r="M68" i="6" s="1"/>
  <c r="I70" i="6"/>
  <c r="M70" i="6" s="1"/>
  <c r="I85" i="6"/>
  <c r="G161" i="6"/>
  <c r="G86" i="6"/>
  <c r="G91" i="6" s="1"/>
  <c r="G138" i="6" s="1"/>
  <c r="G160" i="6"/>
  <c r="E160" i="6"/>
  <c r="G52" i="6"/>
  <c r="H45" i="6"/>
  <c r="H70" i="6"/>
  <c r="L70" i="6" s="1"/>
  <c r="H69" i="6"/>
  <c r="L69" i="6" s="1"/>
  <c r="H68" i="6"/>
  <c r="L68" i="6" s="1"/>
  <c r="H51" i="6"/>
  <c r="L51" i="6" s="1"/>
  <c r="H50" i="6"/>
  <c r="L50" i="6" s="1"/>
  <c r="H49" i="6"/>
  <c r="L49" i="6" s="1"/>
  <c r="H48" i="6"/>
  <c r="H47" i="6"/>
  <c r="L47" i="6" s="1"/>
  <c r="D52" i="6"/>
  <c r="AW21" i="7" l="1"/>
  <c r="BE9" i="7"/>
  <c r="BE21" i="7" s="1"/>
  <c r="BE104" i="7"/>
  <c r="BE105" i="7" s="1"/>
  <c r="BE18" i="7"/>
  <c r="AW44" i="7"/>
  <c r="AW82" i="7" s="1"/>
  <c r="BE33" i="7"/>
  <c r="BE44" i="7" s="1"/>
  <c r="BE82" i="7" s="1"/>
  <c r="BD63" i="7"/>
  <c r="BD68" i="7"/>
  <c r="BD67" i="7"/>
  <c r="BD26" i="7"/>
  <c r="BD83" i="7" s="1"/>
  <c r="BD23" i="7"/>
  <c r="BD78" i="7" s="1"/>
  <c r="AS67" i="7"/>
  <c r="AW45" i="7"/>
  <c r="BE34" i="7"/>
  <c r="BE45" i="7" s="1"/>
  <c r="AV72" i="7"/>
  <c r="BD72" i="7" s="1"/>
  <c r="BB72" i="7"/>
  <c r="BE1" i="7"/>
  <c r="BE67" i="7" s="1"/>
  <c r="BE62" i="7"/>
  <c r="BE119" i="7"/>
  <c r="BE121" i="7" s="1"/>
  <c r="BE122" i="7" s="1"/>
  <c r="BE19" i="7"/>
  <c r="BE75" i="7" s="1"/>
  <c r="BE63" i="7"/>
  <c r="BB1" i="7"/>
  <c r="BB67" i="7" s="1"/>
  <c r="AE116" i="7"/>
  <c r="AV6" i="7"/>
  <c r="BD6" i="7" s="1"/>
  <c r="AR18" i="7"/>
  <c r="AN45" i="7"/>
  <c r="AR34" i="7"/>
  <c r="AS74" i="7"/>
  <c r="AW119" i="7"/>
  <c r="AW121" i="7" s="1"/>
  <c r="AW122" i="7" s="1"/>
  <c r="AW19" i="7"/>
  <c r="AW75" i="7" s="1"/>
  <c r="AW84" i="7"/>
  <c r="AN42" i="7"/>
  <c r="AR31" i="7"/>
  <c r="AN46" i="7"/>
  <c r="AR35" i="7"/>
  <c r="AW18" i="7"/>
  <c r="AW104" i="7"/>
  <c r="AW105" i="7" s="1"/>
  <c r="AS125" i="7"/>
  <c r="AS127" i="7" s="1"/>
  <c r="AS128" i="7" s="1"/>
  <c r="AS27" i="48" s="1"/>
  <c r="AS28" i="48" s="1"/>
  <c r="AW8" i="7"/>
  <c r="BE8" i="7" s="1"/>
  <c r="BE16" i="7" s="1"/>
  <c r="AS20" i="7"/>
  <c r="AS76" i="7" s="1"/>
  <c r="AN44" i="7"/>
  <c r="AN82" i="7" s="1"/>
  <c r="AR33" i="7"/>
  <c r="AS107" i="7"/>
  <c r="AS108" i="7" s="1"/>
  <c r="AS106" i="7"/>
  <c r="AW1" i="7"/>
  <c r="AW67" i="7" s="1"/>
  <c r="AW62" i="7"/>
  <c r="AW68" i="7"/>
  <c r="AW63" i="7"/>
  <c r="AR56" i="7"/>
  <c r="AV55" i="7"/>
  <c r="AS84" i="7"/>
  <c r="D248" i="6"/>
  <c r="D254" i="6"/>
  <c r="D253" i="6"/>
  <c r="D257" i="6"/>
  <c r="D259" i="6"/>
  <c r="D258" i="6"/>
  <c r="D246" i="6"/>
  <c r="D252" i="6"/>
  <c r="D247" i="6"/>
  <c r="D250" i="6"/>
  <c r="D249" i="6"/>
  <c r="AO106" i="7"/>
  <c r="AO107" i="7"/>
  <c r="AO108" i="7" s="1"/>
  <c r="AI109" i="7"/>
  <c r="AN9" i="7"/>
  <c r="AH21" i="7"/>
  <c r="AH84" i="7" s="1"/>
  <c r="AN37" i="7"/>
  <c r="AH48" i="7"/>
  <c r="AN36" i="7"/>
  <c r="AR36" i="7" s="1"/>
  <c r="AH65" i="7"/>
  <c r="AH47" i="7"/>
  <c r="AN15" i="7"/>
  <c r="AH27" i="7"/>
  <c r="AH77" i="7" s="1"/>
  <c r="AN32" i="7"/>
  <c r="AH43" i="7"/>
  <c r="AH74" i="7"/>
  <c r="AN7" i="7"/>
  <c r="AH19" i="7"/>
  <c r="AH75" i="7" s="1"/>
  <c r="AN12" i="7"/>
  <c r="AH24" i="7"/>
  <c r="AH79" i="7" s="1"/>
  <c r="AN18" i="7"/>
  <c r="AO74" i="7"/>
  <c r="AO85" i="7" s="1"/>
  <c r="AO28" i="7"/>
  <c r="AN13" i="7"/>
  <c r="AH25" i="7"/>
  <c r="AH80" i="7" s="1"/>
  <c r="AN8" i="7"/>
  <c r="AH20" i="7"/>
  <c r="AH76" i="7" s="1"/>
  <c r="P265" i="6"/>
  <c r="P264" i="6"/>
  <c r="P263" i="6"/>
  <c r="P262" i="6"/>
  <c r="P242" i="6"/>
  <c r="D265" i="6"/>
  <c r="D262" i="6"/>
  <c r="D264" i="6"/>
  <c r="D263" i="6"/>
  <c r="D242" i="6"/>
  <c r="Q105" i="6"/>
  <c r="T105" i="6"/>
  <c r="T109" i="6" s="1"/>
  <c r="T164" i="6" s="1"/>
  <c r="T131" i="6"/>
  <c r="P109" i="6"/>
  <c r="P164" i="6" s="1"/>
  <c r="L163" i="6"/>
  <c r="H109" i="6"/>
  <c r="H166" i="6" s="1"/>
  <c r="AI122" i="6"/>
  <c r="L91" i="6"/>
  <c r="L138" i="6" s="1"/>
  <c r="Z100" i="6"/>
  <c r="Z104" i="6" s="1"/>
  <c r="AD96" i="6"/>
  <c r="AI102" i="6"/>
  <c r="AO102" i="6" s="1"/>
  <c r="AS102" i="6" s="1"/>
  <c r="AW102" i="6" s="1"/>
  <c r="BE102" i="6" s="1"/>
  <c r="AH73" i="6"/>
  <c r="AD81" i="6"/>
  <c r="Z85" i="6"/>
  <c r="AD84" i="6"/>
  <c r="Y125" i="6"/>
  <c r="AA96" i="6"/>
  <c r="AE96" i="6" s="1"/>
  <c r="AI96" i="6" s="1"/>
  <c r="AO96" i="6" s="1"/>
  <c r="AS96" i="6" s="1"/>
  <c r="AW96" i="6" s="1"/>
  <c r="BE96" i="6" s="1"/>
  <c r="AA73" i="6"/>
  <c r="AE73" i="6" s="1"/>
  <c r="AI73" i="6" s="1"/>
  <c r="AO73" i="6" s="1"/>
  <c r="AS73" i="6" s="1"/>
  <c r="AW73" i="6" s="1"/>
  <c r="BE73" i="6" s="1"/>
  <c r="AA124" i="6"/>
  <c r="AA84" i="6"/>
  <c r="AE84" i="6" s="1"/>
  <c r="AI84" i="6" s="1"/>
  <c r="AO84" i="6" s="1"/>
  <c r="AS84" i="6" s="1"/>
  <c r="AW84" i="6" s="1"/>
  <c r="BE84" i="6" s="1"/>
  <c r="AA74" i="6"/>
  <c r="AE74" i="6" s="1"/>
  <c r="AA93" i="6"/>
  <c r="AE93" i="6" s="1"/>
  <c r="Y100" i="6"/>
  <c r="AA79" i="6"/>
  <c r="AE79" i="6" s="1"/>
  <c r="AI79" i="6" s="1"/>
  <c r="AO79" i="6" s="1"/>
  <c r="AS79" i="6" s="1"/>
  <c r="AW79" i="6" s="1"/>
  <c r="BE79" i="6" s="1"/>
  <c r="AA82" i="6"/>
  <c r="AA69" i="6"/>
  <c r="AE69" i="6" s="1"/>
  <c r="AI69" i="6" s="1"/>
  <c r="AO69" i="6" s="1"/>
  <c r="AS69" i="6" s="1"/>
  <c r="AW69" i="6" s="1"/>
  <c r="BE69" i="6" s="1"/>
  <c r="X104" i="6"/>
  <c r="X109" i="6" s="1"/>
  <c r="Z81" i="6"/>
  <c r="X81" i="6"/>
  <c r="Q103" i="6"/>
  <c r="U101" i="6"/>
  <c r="U85" i="6"/>
  <c r="U81" i="6"/>
  <c r="U100" i="6"/>
  <c r="U125" i="6"/>
  <c r="T86" i="6"/>
  <c r="L45" i="6"/>
  <c r="P45" i="6" s="1"/>
  <c r="T45" i="6" s="1"/>
  <c r="Q85" i="6"/>
  <c r="P86" i="6"/>
  <c r="P91" i="6" s="1"/>
  <c r="P138" i="6" s="1"/>
  <c r="P69" i="6"/>
  <c r="T69" i="6" s="1"/>
  <c r="P50" i="6"/>
  <c r="T50" i="6" s="1"/>
  <c r="P70" i="6"/>
  <c r="T70" i="6" s="1"/>
  <c r="Q81" i="6"/>
  <c r="P68" i="6"/>
  <c r="T68" i="6" s="1"/>
  <c r="Q100" i="6"/>
  <c r="P49" i="6"/>
  <c r="T49" i="6" s="1"/>
  <c r="I86" i="6"/>
  <c r="P47" i="6"/>
  <c r="T47" i="6" s="1"/>
  <c r="P51" i="6"/>
  <c r="T51" i="6" s="1"/>
  <c r="Q125" i="6"/>
  <c r="Q70" i="6"/>
  <c r="U70" i="6" s="1"/>
  <c r="AA70" i="6" s="1"/>
  <c r="AE70" i="6" s="1"/>
  <c r="AI70" i="6" s="1"/>
  <c r="AO70" i="6" s="1"/>
  <c r="AS70" i="6" s="1"/>
  <c r="AW70" i="6" s="1"/>
  <c r="BE70" i="6" s="1"/>
  <c r="Q68" i="6"/>
  <c r="U68" i="6" s="1"/>
  <c r="M111" i="6"/>
  <c r="Q111" i="6" s="1"/>
  <c r="U111" i="6" s="1"/>
  <c r="H394" i="3"/>
  <c r="I213" i="6"/>
  <c r="J424" i="3"/>
  <c r="J422" i="3"/>
  <c r="I212" i="6"/>
  <c r="J423" i="3"/>
  <c r="D162" i="6"/>
  <c r="D8" i="36" s="1"/>
  <c r="G126" i="6"/>
  <c r="H395" i="3"/>
  <c r="H430" i="3"/>
  <c r="H126" i="6"/>
  <c r="I121" i="6"/>
  <c r="M81" i="6"/>
  <c r="E126" i="6"/>
  <c r="L161" i="6"/>
  <c r="H431" i="3"/>
  <c r="H396" i="3"/>
  <c r="H432" i="3"/>
  <c r="L126" i="6"/>
  <c r="E162" i="6"/>
  <c r="E8" i="36" s="1"/>
  <c r="I50" i="6"/>
  <c r="I47" i="6"/>
  <c r="I51" i="6"/>
  <c r="I48" i="6"/>
  <c r="I49" i="6"/>
  <c r="H52" i="6"/>
  <c r="L48" i="6"/>
  <c r="P48" i="6" s="1"/>
  <c r="T48" i="6" s="1"/>
  <c r="M103" i="6"/>
  <c r="I125" i="6"/>
  <c r="M85" i="6"/>
  <c r="M100" i="6"/>
  <c r="I104" i="6"/>
  <c r="I109" i="6" s="1"/>
  <c r="G162" i="6"/>
  <c r="G8" i="36" s="1"/>
  <c r="G136" i="6"/>
  <c r="G135" i="6"/>
  <c r="E135" i="6"/>
  <c r="E136" i="6"/>
  <c r="E52" i="6"/>
  <c r="I45" i="6"/>
  <c r="AS109" i="7" l="1"/>
  <c r="BD18" i="7"/>
  <c r="BE107" i="7"/>
  <c r="BE108" i="7" s="1"/>
  <c r="BE106" i="7"/>
  <c r="BE109" i="7"/>
  <c r="BE116" i="7" s="1"/>
  <c r="BE125" i="7"/>
  <c r="BE127" i="7" s="1"/>
  <c r="BE128" i="7" s="1"/>
  <c r="BE20" i="7"/>
  <c r="BE76" i="7" s="1"/>
  <c r="BC1" i="7"/>
  <c r="BC67" i="7" s="1"/>
  <c r="BE84" i="7"/>
  <c r="BE74" i="7"/>
  <c r="BE28" i="7"/>
  <c r="AV56" i="7"/>
  <c r="BD55" i="7"/>
  <c r="BD56" i="7" s="1"/>
  <c r="AS85" i="7"/>
  <c r="AN24" i="7"/>
  <c r="AN79" i="7" s="1"/>
  <c r="AR12" i="7"/>
  <c r="AN48" i="7"/>
  <c r="AR37" i="7"/>
  <c r="AW125" i="7"/>
  <c r="AW127" i="7" s="1"/>
  <c r="AW128" i="7" s="1"/>
  <c r="AW20" i="7"/>
  <c r="AW76" i="7" s="1"/>
  <c r="AW16" i="7"/>
  <c r="AS28" i="7"/>
  <c r="AN20" i="7"/>
  <c r="AN76" i="7" s="1"/>
  <c r="AR8" i="7"/>
  <c r="AN43" i="7"/>
  <c r="AR32" i="7"/>
  <c r="AS16" i="48"/>
  <c r="AS18" i="48" s="1"/>
  <c r="AS116" i="7"/>
  <c r="AR46" i="7"/>
  <c r="AV35" i="7"/>
  <c r="AR74" i="7"/>
  <c r="AN19" i="7"/>
  <c r="AN75" i="7" s="1"/>
  <c r="AR7" i="7"/>
  <c r="AR65" i="7"/>
  <c r="AV36" i="7"/>
  <c r="BD36" i="7" s="1"/>
  <c r="AR47" i="7"/>
  <c r="AN21" i="7"/>
  <c r="AN84" i="7" s="1"/>
  <c r="AR9" i="7"/>
  <c r="AW107" i="7"/>
  <c r="AW108" i="7" s="1"/>
  <c r="AW106" i="7"/>
  <c r="AR45" i="7"/>
  <c r="AV34" i="7"/>
  <c r="AV18" i="7"/>
  <c r="AN25" i="7"/>
  <c r="AN80" i="7" s="1"/>
  <c r="AR13" i="7"/>
  <c r="AN27" i="7"/>
  <c r="AN77" i="7" s="1"/>
  <c r="AR15" i="7"/>
  <c r="AV33" i="7"/>
  <c r="AR44" i="7"/>
  <c r="AR82" i="7" s="1"/>
  <c r="AW74" i="7"/>
  <c r="AW85" i="7" s="1"/>
  <c r="AW28" i="7"/>
  <c r="AR42" i="7"/>
  <c r="AV31" i="7"/>
  <c r="AN47" i="7"/>
  <c r="AN65" i="7"/>
  <c r="AO109" i="7"/>
  <c r="AN74" i="7"/>
  <c r="AI16" i="48"/>
  <c r="AI18" i="48" s="1"/>
  <c r="AI116" i="7"/>
  <c r="L135" i="6"/>
  <c r="L136" i="6"/>
  <c r="H161" i="6"/>
  <c r="D266" i="6"/>
  <c r="L131" i="6"/>
  <c r="L242" i="6" s="1"/>
  <c r="H131" i="6"/>
  <c r="P266" i="6"/>
  <c r="E131" i="6"/>
  <c r="G131" i="6"/>
  <c r="G242" i="6" s="1"/>
  <c r="H167" i="6"/>
  <c r="L167" i="6" s="1"/>
  <c r="P167" i="6" s="1"/>
  <c r="T167" i="6" s="1"/>
  <c r="Z105" i="6"/>
  <c r="Z109" i="6" s="1"/>
  <c r="Z164" i="6" s="1"/>
  <c r="T265" i="6"/>
  <c r="T263" i="6"/>
  <c r="T264" i="6"/>
  <c r="T262" i="6"/>
  <c r="T242" i="6"/>
  <c r="P163" i="6"/>
  <c r="X164" i="6"/>
  <c r="X163" i="6"/>
  <c r="T163" i="6"/>
  <c r="H164" i="6"/>
  <c r="H163" i="6"/>
  <c r="I164" i="6"/>
  <c r="I163" i="6"/>
  <c r="H168" i="6"/>
  <c r="L168" i="6" s="1"/>
  <c r="P168" i="6" s="1"/>
  <c r="T168" i="6" s="1"/>
  <c r="Z131" i="6"/>
  <c r="U105" i="6"/>
  <c r="AA125" i="6"/>
  <c r="AE124" i="6"/>
  <c r="AO122" i="6"/>
  <c r="AS122" i="6" s="1"/>
  <c r="AW122" i="6" s="1"/>
  <c r="BE122" i="6" s="1"/>
  <c r="I91" i="6"/>
  <c r="I138" i="6" s="1"/>
  <c r="AH96" i="6"/>
  <c r="AD100" i="6"/>
  <c r="AD105" i="6"/>
  <c r="T91" i="6"/>
  <c r="AI93" i="6"/>
  <c r="AE100" i="6"/>
  <c r="AA85" i="6"/>
  <c r="AE82" i="6"/>
  <c r="AI74" i="6"/>
  <c r="AE81" i="6"/>
  <c r="AH84" i="6"/>
  <c r="AD85" i="6"/>
  <c r="AH81" i="6"/>
  <c r="AN73" i="6"/>
  <c r="AA100" i="6"/>
  <c r="AA81" i="6"/>
  <c r="X247" i="6"/>
  <c r="Y81" i="6"/>
  <c r="U103" i="6"/>
  <c r="AA101" i="6"/>
  <c r="Y103" i="6"/>
  <c r="Y104" i="6" s="1"/>
  <c r="Y109" i="6" s="1"/>
  <c r="AA111" i="6"/>
  <c r="X246" i="6"/>
  <c r="Y85" i="6"/>
  <c r="AA68" i="6"/>
  <c r="AE68" i="6" s="1"/>
  <c r="AI68" i="6" s="1"/>
  <c r="AO68" i="6" s="1"/>
  <c r="AS68" i="6" s="1"/>
  <c r="AW68" i="6" s="1"/>
  <c r="BE68" i="6" s="1"/>
  <c r="X250" i="6"/>
  <c r="X254" i="6"/>
  <c r="X255" i="6"/>
  <c r="X259" i="6"/>
  <c r="X253" i="6"/>
  <c r="X249" i="6"/>
  <c r="X252" i="6"/>
  <c r="X251" i="6"/>
  <c r="X248" i="6"/>
  <c r="X258" i="6"/>
  <c r="X257" i="6"/>
  <c r="X86" i="6"/>
  <c r="X91" i="6" s="1"/>
  <c r="X138" i="6" s="1"/>
  <c r="Z86" i="6"/>
  <c r="Z70" i="6"/>
  <c r="AD70" i="6" s="1"/>
  <c r="AH70" i="6" s="1"/>
  <c r="AN70" i="6" s="1"/>
  <c r="AR70" i="6" s="1"/>
  <c r="AV70" i="6" s="1"/>
  <c r="BD70" i="6" s="1"/>
  <c r="Z69" i="6"/>
  <c r="AD69" i="6" s="1"/>
  <c r="AH69" i="6" s="1"/>
  <c r="AN69" i="6" s="1"/>
  <c r="AR69" i="6" s="1"/>
  <c r="AV69" i="6" s="1"/>
  <c r="BD69" i="6" s="1"/>
  <c r="Z68" i="6"/>
  <c r="AD68" i="6" s="1"/>
  <c r="AH68" i="6" s="1"/>
  <c r="AN68" i="6" s="1"/>
  <c r="AR68" i="6" s="1"/>
  <c r="AV68" i="6" s="1"/>
  <c r="BD68" i="6" s="1"/>
  <c r="Z50" i="6"/>
  <c r="AD50" i="6" s="1"/>
  <c r="AH50" i="6" s="1"/>
  <c r="AN50" i="6" s="1"/>
  <c r="AR50" i="6" s="1"/>
  <c r="AV50" i="6" s="1"/>
  <c r="BD50" i="6" s="1"/>
  <c r="Z47" i="6"/>
  <c r="AD47" i="6" s="1"/>
  <c r="AH47" i="6" s="1"/>
  <c r="AN47" i="6" s="1"/>
  <c r="AR47" i="6" s="1"/>
  <c r="AV47" i="6" s="1"/>
  <c r="BD47" i="6" s="1"/>
  <c r="T52" i="6"/>
  <c r="Z49" i="6"/>
  <c r="AD49" i="6" s="1"/>
  <c r="AH49" i="6" s="1"/>
  <c r="AN49" i="6" s="1"/>
  <c r="AR49" i="6" s="1"/>
  <c r="AV49" i="6" s="1"/>
  <c r="BD49" i="6" s="1"/>
  <c r="Z48" i="6"/>
  <c r="AD48" i="6" s="1"/>
  <c r="Z51" i="6"/>
  <c r="AD51" i="6" s="1"/>
  <c r="AH51" i="6" s="1"/>
  <c r="AN51" i="6" s="1"/>
  <c r="AR51" i="6" s="1"/>
  <c r="AV51" i="6" s="1"/>
  <c r="BD51" i="6" s="1"/>
  <c r="X60" i="6"/>
  <c r="X67" i="6" s="1"/>
  <c r="Z45" i="6"/>
  <c r="AD45" i="6" s="1"/>
  <c r="AH45" i="6" s="1"/>
  <c r="AN45" i="6" s="1"/>
  <c r="AR45" i="6" s="1"/>
  <c r="AV45" i="6" s="1"/>
  <c r="BD45" i="6" s="1"/>
  <c r="H142" i="6"/>
  <c r="L142" i="6" s="1"/>
  <c r="P142" i="6" s="1"/>
  <c r="H141" i="6"/>
  <c r="L141" i="6" s="1"/>
  <c r="P141" i="6" s="1"/>
  <c r="H140" i="6"/>
  <c r="L166" i="6"/>
  <c r="P166" i="6" s="1"/>
  <c r="T166" i="6" s="1"/>
  <c r="U121" i="6"/>
  <c r="U126" i="6" s="1"/>
  <c r="U86" i="6"/>
  <c r="I167" i="6"/>
  <c r="I168" i="6"/>
  <c r="I166" i="6"/>
  <c r="T161" i="6"/>
  <c r="T160" i="6"/>
  <c r="T251" i="6"/>
  <c r="T136" i="6"/>
  <c r="U104" i="6"/>
  <c r="J396" i="3"/>
  <c r="Q121" i="6"/>
  <c r="Q126" i="6" s="1"/>
  <c r="P52" i="6"/>
  <c r="Q86" i="6"/>
  <c r="P136" i="6"/>
  <c r="I142" i="6"/>
  <c r="I141" i="6"/>
  <c r="P247" i="6"/>
  <c r="P258" i="6"/>
  <c r="P251" i="6"/>
  <c r="P248" i="6"/>
  <c r="P253" i="6"/>
  <c r="P255" i="6"/>
  <c r="P259" i="6"/>
  <c r="P254" i="6"/>
  <c r="P257" i="6"/>
  <c r="P252" i="6"/>
  <c r="P249" i="6"/>
  <c r="P246" i="6"/>
  <c r="P250" i="6"/>
  <c r="J395" i="3"/>
  <c r="L395" i="3" s="1"/>
  <c r="Q188" i="6" s="1"/>
  <c r="P161" i="6"/>
  <c r="P160" i="6"/>
  <c r="J394" i="3"/>
  <c r="L394" i="3" s="1"/>
  <c r="Q187" i="6" s="1"/>
  <c r="Q104" i="6"/>
  <c r="I140" i="6"/>
  <c r="P135" i="6"/>
  <c r="L422" i="3"/>
  <c r="Q211" i="6" s="1"/>
  <c r="M211" i="6"/>
  <c r="L424" i="3"/>
  <c r="Q213" i="6" s="1"/>
  <c r="M213" i="6"/>
  <c r="L423" i="3"/>
  <c r="Q212" i="6" s="1"/>
  <c r="M212" i="6"/>
  <c r="F280" i="6"/>
  <c r="F285" i="6"/>
  <c r="D260" i="6"/>
  <c r="F277" i="6"/>
  <c r="J430" i="3"/>
  <c r="M121" i="6"/>
  <c r="L160" i="6"/>
  <c r="L162" i="6" s="1"/>
  <c r="L8" i="36" s="1"/>
  <c r="L439" i="3"/>
  <c r="Q232" i="6" s="1"/>
  <c r="H136" i="6"/>
  <c r="H135" i="6"/>
  <c r="H160" i="6"/>
  <c r="H162" i="6" s="1"/>
  <c r="H8" i="36" s="1"/>
  <c r="J431" i="3"/>
  <c r="J432" i="3"/>
  <c r="I160" i="6"/>
  <c r="I126" i="6"/>
  <c r="I52" i="6"/>
  <c r="M104" i="6"/>
  <c r="M109" i="6" s="1"/>
  <c r="M45" i="6"/>
  <c r="M48" i="6"/>
  <c r="M49" i="6"/>
  <c r="M47" i="6"/>
  <c r="M51" i="6"/>
  <c r="M50" i="6"/>
  <c r="L52" i="6"/>
  <c r="M125" i="6"/>
  <c r="G137" i="6"/>
  <c r="G7" i="36" s="1"/>
  <c r="M86" i="6"/>
  <c r="M91" i="6" s="1"/>
  <c r="M138" i="6" s="1"/>
  <c r="E137" i="6"/>
  <c r="E7" i="36" s="1"/>
  <c r="I136" i="6"/>
  <c r="H43" i="6"/>
  <c r="L43" i="6" s="1"/>
  <c r="H42" i="6"/>
  <c r="L42" i="6" s="1"/>
  <c r="P42" i="6" s="1"/>
  <c r="T42" i="6" s="1"/>
  <c r="H40" i="6"/>
  <c r="L40" i="6" s="1"/>
  <c r="H39" i="6"/>
  <c r="D44" i="6"/>
  <c r="D41" i="6"/>
  <c r="BE85" i="7" l="1"/>
  <c r="BD74" i="7"/>
  <c r="AA86" i="6"/>
  <c r="BD65" i="7"/>
  <c r="BD47" i="7"/>
  <c r="AV45" i="7"/>
  <c r="BD34" i="7"/>
  <c r="BD45" i="7" s="1"/>
  <c r="AV46" i="7"/>
  <c r="BD35" i="7"/>
  <c r="BD46" i="7" s="1"/>
  <c r="AV42" i="7"/>
  <c r="BD31" i="7"/>
  <c r="BD42" i="7" s="1"/>
  <c r="AV44" i="7"/>
  <c r="AV82" i="7" s="1"/>
  <c r="BD33" i="7"/>
  <c r="BD44" i="7" s="1"/>
  <c r="BD82" i="7" s="1"/>
  <c r="AW109" i="7"/>
  <c r="AW116" i="7" s="1"/>
  <c r="AV74" i="7"/>
  <c r="AV13" i="7"/>
  <c r="AR25" i="7"/>
  <c r="AR80" i="7" s="1"/>
  <c r="AV65" i="7"/>
  <c r="AV47" i="7"/>
  <c r="AV8" i="7"/>
  <c r="AR20" i="7"/>
  <c r="AR76" i="7" s="1"/>
  <c r="AV12" i="7"/>
  <c r="AR24" i="7"/>
  <c r="AR79" i="7" s="1"/>
  <c r="AV9" i="7"/>
  <c r="AR21" i="7"/>
  <c r="AR84" i="7" s="1"/>
  <c r="AV15" i="7"/>
  <c r="AR27" i="7"/>
  <c r="AR77" i="7" s="1"/>
  <c r="AV7" i="7"/>
  <c r="BD7" i="7" s="1"/>
  <c r="AR19" i="7"/>
  <c r="AR43" i="7"/>
  <c r="AV32" i="7"/>
  <c r="AR48" i="7"/>
  <c r="AV37" i="7"/>
  <c r="G254" i="6"/>
  <c r="L137" i="6"/>
  <c r="L7" i="36" s="1"/>
  <c r="G249" i="6"/>
  <c r="T141" i="6"/>
  <c r="G246" i="6"/>
  <c r="AN81" i="6"/>
  <c r="AR73" i="6"/>
  <c r="AO16" i="48"/>
  <c r="AO18" i="48" s="1"/>
  <c r="AO116" i="7"/>
  <c r="G259" i="6"/>
  <c r="G240" i="6"/>
  <c r="G258" i="6"/>
  <c r="G253" i="6"/>
  <c r="G255" i="6"/>
  <c r="T142" i="6"/>
  <c r="G250" i="6"/>
  <c r="G251" i="6"/>
  <c r="I135" i="6"/>
  <c r="I137" i="6" s="1"/>
  <c r="I7" i="36" s="1"/>
  <c r="G257" i="6"/>
  <c r="G252" i="6"/>
  <c r="G247" i="6"/>
  <c r="G248" i="6"/>
  <c r="Z160" i="6"/>
  <c r="Z161" i="6"/>
  <c r="T266" i="6"/>
  <c r="T285" i="6" s="1"/>
  <c r="H263" i="6"/>
  <c r="H265" i="6"/>
  <c r="H264" i="6"/>
  <c r="H262" i="6"/>
  <c r="I131" i="6"/>
  <c r="I242" i="6" s="1"/>
  <c r="Z263" i="6"/>
  <c r="Z265" i="6"/>
  <c r="Z264" i="6"/>
  <c r="Z262" i="6"/>
  <c r="Z242" i="6"/>
  <c r="E262" i="6"/>
  <c r="E265" i="6"/>
  <c r="E264" i="6"/>
  <c r="E263" i="6"/>
  <c r="H242" i="6"/>
  <c r="E242" i="6"/>
  <c r="E100" i="8" s="1"/>
  <c r="L264" i="6"/>
  <c r="L263" i="6"/>
  <c r="L265" i="6"/>
  <c r="L262" i="6"/>
  <c r="Q131" i="6"/>
  <c r="Q252" i="6" s="1"/>
  <c r="G264" i="6"/>
  <c r="G263" i="6"/>
  <c r="G265" i="6"/>
  <c r="G262" i="6"/>
  <c r="U131" i="6"/>
  <c r="U242" i="6" s="1"/>
  <c r="T247" i="6"/>
  <c r="T250" i="6"/>
  <c r="AA121" i="6"/>
  <c r="AA126" i="6" s="1"/>
  <c r="AE111" i="6"/>
  <c r="T246" i="6"/>
  <c r="T257" i="6"/>
  <c r="T255" i="6"/>
  <c r="T252" i="6"/>
  <c r="T248" i="6"/>
  <c r="T259" i="6"/>
  <c r="T249" i="6"/>
  <c r="T253" i="6"/>
  <c r="T254" i="6"/>
  <c r="T258" i="6"/>
  <c r="Z163" i="6"/>
  <c r="AA105" i="6"/>
  <c r="Y163" i="6"/>
  <c r="Y164" i="6"/>
  <c r="Q246" i="6"/>
  <c r="T135" i="6"/>
  <c r="T137" i="6" s="1"/>
  <c r="T7" i="36" s="1"/>
  <c r="T138" i="6"/>
  <c r="AD131" i="6"/>
  <c r="M164" i="6"/>
  <c r="M163" i="6"/>
  <c r="AI124" i="6"/>
  <c r="AE125" i="6"/>
  <c r="Q109" i="6"/>
  <c r="U109" i="6"/>
  <c r="U163" i="6" s="1"/>
  <c r="H248" i="6"/>
  <c r="H252" i="6"/>
  <c r="Q91" i="6"/>
  <c r="AO93" i="6"/>
  <c r="AI100" i="6"/>
  <c r="AN96" i="6"/>
  <c r="AH100" i="6"/>
  <c r="AA103" i="6"/>
  <c r="AA104" i="6" s="1"/>
  <c r="AA109" i="6" s="1"/>
  <c r="AA164" i="6" s="1"/>
  <c r="AE101" i="6"/>
  <c r="H257" i="6"/>
  <c r="U91" i="6"/>
  <c r="U136" i="6" s="1"/>
  <c r="AH105" i="6"/>
  <c r="AA91" i="6"/>
  <c r="AA136" i="6" s="1"/>
  <c r="AD104" i="6"/>
  <c r="AD109" i="6" s="1"/>
  <c r="H249" i="6"/>
  <c r="Z91" i="6"/>
  <c r="Z138" i="6" s="1"/>
  <c r="AH48" i="6"/>
  <c r="AD52" i="6"/>
  <c r="AO74" i="6"/>
  <c r="AI81" i="6"/>
  <c r="AN84" i="6"/>
  <c r="AH85" i="6"/>
  <c r="AH86" i="6" s="1"/>
  <c r="AH91" i="6" s="1"/>
  <c r="AH138" i="6" s="1"/>
  <c r="AI82" i="6"/>
  <c r="AE85" i="6"/>
  <c r="AD86" i="6"/>
  <c r="AD91" i="6" s="1"/>
  <c r="AD138" i="6" s="1"/>
  <c r="X160" i="6"/>
  <c r="X167" i="6"/>
  <c r="X168" i="6"/>
  <c r="X166" i="6"/>
  <c r="Y167" i="6"/>
  <c r="Y166" i="6"/>
  <c r="Y168" i="6"/>
  <c r="H255" i="6"/>
  <c r="H251" i="6"/>
  <c r="H247" i="6"/>
  <c r="H250" i="6"/>
  <c r="H258" i="6"/>
  <c r="H253" i="6"/>
  <c r="H246" i="6"/>
  <c r="H259" i="6"/>
  <c r="H254" i="6"/>
  <c r="X135" i="6"/>
  <c r="X142" i="6"/>
  <c r="X140" i="6"/>
  <c r="X141" i="6"/>
  <c r="L140" i="6"/>
  <c r="H240" i="6"/>
  <c r="Y160" i="6"/>
  <c r="X256" i="6"/>
  <c r="X277" i="6" s="1"/>
  <c r="X285" i="6"/>
  <c r="Y121" i="6"/>
  <c r="Y126" i="6" s="1"/>
  <c r="Y161" i="6"/>
  <c r="Y86" i="6"/>
  <c r="Y91" i="6" s="1"/>
  <c r="Y138" i="6" s="1"/>
  <c r="X260" i="6"/>
  <c r="X280" i="6" s="1"/>
  <c r="X161" i="6"/>
  <c r="Z168" i="6"/>
  <c r="Z167" i="6"/>
  <c r="Z166" i="6"/>
  <c r="AD166" i="6" s="1"/>
  <c r="X136" i="6"/>
  <c r="X52" i="6"/>
  <c r="Z52" i="6"/>
  <c r="Z42" i="6"/>
  <c r="AD42" i="6" s="1"/>
  <c r="P162" i="6"/>
  <c r="P8" i="36" s="1"/>
  <c r="T162" i="6"/>
  <c r="T8" i="36" s="1"/>
  <c r="M166" i="6"/>
  <c r="M168" i="6"/>
  <c r="M167" i="6"/>
  <c r="Q49" i="6"/>
  <c r="U49" i="6" s="1"/>
  <c r="AA49" i="6" s="1"/>
  <c r="AE49" i="6" s="1"/>
  <c r="AI49" i="6" s="1"/>
  <c r="AO49" i="6" s="1"/>
  <c r="AS49" i="6" s="1"/>
  <c r="AW49" i="6" s="1"/>
  <c r="BE49" i="6" s="1"/>
  <c r="Q50" i="6"/>
  <c r="U50" i="6" s="1"/>
  <c r="AA50" i="6" s="1"/>
  <c r="AE50" i="6" s="1"/>
  <c r="AI50" i="6" s="1"/>
  <c r="AO50" i="6" s="1"/>
  <c r="AS50" i="6" s="1"/>
  <c r="AW50" i="6" s="1"/>
  <c r="BE50" i="6" s="1"/>
  <c r="Q48" i="6"/>
  <c r="U48" i="6" s="1"/>
  <c r="E249" i="6"/>
  <c r="Q51" i="6"/>
  <c r="U51" i="6" s="1"/>
  <c r="AA51" i="6" s="1"/>
  <c r="AE51" i="6" s="1"/>
  <c r="AI51" i="6" s="1"/>
  <c r="AO51" i="6" s="1"/>
  <c r="AS51" i="6" s="1"/>
  <c r="AW51" i="6" s="1"/>
  <c r="BE51" i="6" s="1"/>
  <c r="Q45" i="6"/>
  <c r="U45" i="6" s="1"/>
  <c r="AA45" i="6" s="1"/>
  <c r="AE45" i="6" s="1"/>
  <c r="AI45" i="6" s="1"/>
  <c r="AO45" i="6" s="1"/>
  <c r="AS45" i="6" s="1"/>
  <c r="AW45" i="6" s="1"/>
  <c r="BE45" i="6" s="1"/>
  <c r="Q47" i="6"/>
  <c r="U47" i="6" s="1"/>
  <c r="AA47" i="6" s="1"/>
  <c r="AE47" i="6" s="1"/>
  <c r="AI47" i="6" s="1"/>
  <c r="AO47" i="6" s="1"/>
  <c r="AS47" i="6" s="1"/>
  <c r="AW47" i="6" s="1"/>
  <c r="BE47" i="6" s="1"/>
  <c r="P137" i="6"/>
  <c r="P7" i="36" s="1"/>
  <c r="P40" i="6"/>
  <c r="T40" i="6" s="1"/>
  <c r="P260" i="6"/>
  <c r="Q249" i="6"/>
  <c r="Q255" i="6"/>
  <c r="Q248" i="6"/>
  <c r="Q258" i="6"/>
  <c r="P43" i="6"/>
  <c r="P256" i="6"/>
  <c r="L258" i="6"/>
  <c r="L252" i="6"/>
  <c r="L251" i="6"/>
  <c r="L249" i="6"/>
  <c r="L259" i="6"/>
  <c r="L248" i="6"/>
  <c r="L253" i="6"/>
  <c r="L247" i="6"/>
  <c r="L257" i="6"/>
  <c r="L254" i="6"/>
  <c r="L255" i="6"/>
  <c r="L246" i="6"/>
  <c r="L250" i="6"/>
  <c r="D285" i="6"/>
  <c r="N424" i="3"/>
  <c r="N423" i="3"/>
  <c r="N422" i="3"/>
  <c r="E258" i="6"/>
  <c r="E259" i="6"/>
  <c r="E252" i="6"/>
  <c r="E247" i="6"/>
  <c r="E255" i="6"/>
  <c r="E251" i="6"/>
  <c r="E250" i="6"/>
  <c r="E254" i="6"/>
  <c r="E253" i="6"/>
  <c r="E248" i="6"/>
  <c r="L430" i="3"/>
  <c r="D256" i="6"/>
  <c r="D261" i="6" s="1"/>
  <c r="D280" i="6"/>
  <c r="E257" i="6"/>
  <c r="E246" i="6"/>
  <c r="L435" i="3"/>
  <c r="Q220" i="6" s="1"/>
  <c r="L438" i="3"/>
  <c r="Q231" i="6" s="1"/>
  <c r="M126" i="6"/>
  <c r="E240" i="6"/>
  <c r="E98" i="8" s="1"/>
  <c r="L434" i="3"/>
  <c r="Q219" i="6" s="1"/>
  <c r="L436" i="3"/>
  <c r="Q221" i="6" s="1"/>
  <c r="L396" i="3"/>
  <c r="Q189" i="6" s="1"/>
  <c r="N394" i="3"/>
  <c r="L440" i="3"/>
  <c r="Q233" i="6" s="1"/>
  <c r="H137" i="6"/>
  <c r="H7" i="36" s="1"/>
  <c r="I161" i="6"/>
  <c r="I162" i="6" s="1"/>
  <c r="I8" i="36" s="1"/>
  <c r="L432" i="3"/>
  <c r="Q225" i="6" s="1"/>
  <c r="L431" i="3"/>
  <c r="M161" i="6"/>
  <c r="H41" i="6"/>
  <c r="L39" i="6"/>
  <c r="P39" i="6" s="1"/>
  <c r="H44" i="6"/>
  <c r="L44" i="6"/>
  <c r="M52" i="6"/>
  <c r="E41" i="6"/>
  <c r="E44" i="6"/>
  <c r="I40" i="6"/>
  <c r="G41" i="6"/>
  <c r="I42" i="6"/>
  <c r="I43" i="6"/>
  <c r="I39" i="6"/>
  <c r="G44" i="6"/>
  <c r="I2" i="6"/>
  <c r="D12" i="6"/>
  <c r="D11" i="6"/>
  <c r="H2" i="6"/>
  <c r="BD19" i="7" l="1"/>
  <c r="AV21" i="7"/>
  <c r="BD9" i="7"/>
  <c r="BD21" i="7" s="1"/>
  <c r="BD84" i="7" s="1"/>
  <c r="AV20" i="7"/>
  <c r="AV76" i="7" s="1"/>
  <c r="BD8" i="7"/>
  <c r="BD20" i="7" s="1"/>
  <c r="BD76" i="7" s="1"/>
  <c r="AV25" i="7"/>
  <c r="AV80" i="7" s="1"/>
  <c r="BD13" i="7"/>
  <c r="BD25" i="7" s="1"/>
  <c r="BD80" i="7" s="1"/>
  <c r="AV27" i="7"/>
  <c r="AV77" i="7" s="1"/>
  <c r="BD15" i="7"/>
  <c r="BD27" i="7" s="1"/>
  <c r="BD77" i="7" s="1"/>
  <c r="AV24" i="7"/>
  <c r="AV79" i="7" s="1"/>
  <c r="BD12" i="7"/>
  <c r="BD24" i="7" s="1"/>
  <c r="BD79" i="7" s="1"/>
  <c r="Z162" i="6"/>
  <c r="Z8" i="36" s="1"/>
  <c r="AV43" i="7"/>
  <c r="BD32" i="7"/>
  <c r="BD43" i="7" s="1"/>
  <c r="BD75" i="7"/>
  <c r="AV48" i="7"/>
  <c r="BD37" i="7"/>
  <c r="BD48" i="7" s="1"/>
  <c r="AV84" i="7"/>
  <c r="X137" i="6"/>
  <c r="X7" i="36" s="1"/>
  <c r="AV19" i="7"/>
  <c r="AR81" i="6"/>
  <c r="AV73" i="6"/>
  <c r="AR75" i="7"/>
  <c r="Q257" i="6"/>
  <c r="Q251" i="6"/>
  <c r="Q247" i="6"/>
  <c r="AD167" i="6"/>
  <c r="G256" i="6"/>
  <c r="G277" i="6" s="1"/>
  <c r="Q250" i="6"/>
  <c r="Q253" i="6"/>
  <c r="AO100" i="6"/>
  <c r="AS93" i="6"/>
  <c r="G260" i="6"/>
  <c r="G280" i="6" s="1"/>
  <c r="AO81" i="6"/>
  <c r="AS74" i="6"/>
  <c r="AN85" i="6"/>
  <c r="AN86" i="6" s="1"/>
  <c r="AR84" i="6"/>
  <c r="AN100" i="6"/>
  <c r="AR96" i="6"/>
  <c r="Q259" i="6"/>
  <c r="Q254" i="6"/>
  <c r="U160" i="6"/>
  <c r="H266" i="6"/>
  <c r="H285" i="6" s="1"/>
  <c r="G266" i="6"/>
  <c r="G285" i="6" s="1"/>
  <c r="L266" i="6"/>
  <c r="L285" i="6" s="1"/>
  <c r="Y131" i="6"/>
  <c r="Y242" i="6" s="1"/>
  <c r="Q263" i="6"/>
  <c r="Q265" i="6"/>
  <c r="Q264" i="6"/>
  <c r="Q262" i="6"/>
  <c r="M131" i="6"/>
  <c r="M242" i="6" s="1"/>
  <c r="AD265" i="6"/>
  <c r="AD263" i="6"/>
  <c r="AD264" i="6"/>
  <c r="AD262" i="6"/>
  <c r="AD242" i="6"/>
  <c r="Z266" i="6"/>
  <c r="Q242" i="6"/>
  <c r="I263" i="6"/>
  <c r="I265" i="6"/>
  <c r="I264" i="6"/>
  <c r="I262" i="6"/>
  <c r="U263" i="6"/>
  <c r="U265" i="6"/>
  <c r="U264" i="6"/>
  <c r="U262" i="6"/>
  <c r="E266" i="6"/>
  <c r="E285" i="6" s="1"/>
  <c r="D9" i="36"/>
  <c r="D267" i="6"/>
  <c r="AA131" i="6"/>
  <c r="T260" i="6"/>
  <c r="T280" i="6" s="1"/>
  <c r="I154" i="6"/>
  <c r="I9" i="6"/>
  <c r="I8" i="6"/>
  <c r="I181" i="6"/>
  <c r="I180" i="6"/>
  <c r="H9" i="6"/>
  <c r="H8" i="6"/>
  <c r="H180" i="6"/>
  <c r="H181" i="6"/>
  <c r="AI111" i="6"/>
  <c r="AE121" i="6"/>
  <c r="AE126" i="6" s="1"/>
  <c r="AH42" i="6"/>
  <c r="AN42" i="6" s="1"/>
  <c r="AR42" i="6" s="1"/>
  <c r="AV42" i="6" s="1"/>
  <c r="BD42" i="6" s="1"/>
  <c r="T256" i="6"/>
  <c r="Q164" i="6"/>
  <c r="Q163" i="6"/>
  <c r="Q161" i="6"/>
  <c r="Z251" i="6"/>
  <c r="Z255" i="6"/>
  <c r="Z259" i="6"/>
  <c r="Z258" i="6"/>
  <c r="Z248" i="6"/>
  <c r="Z252" i="6"/>
  <c r="Z253" i="6"/>
  <c r="Z257" i="6"/>
  <c r="Z250" i="6"/>
  <c r="Z247" i="6"/>
  <c r="Z246" i="6"/>
  <c r="Z249" i="6"/>
  <c r="Z254" i="6"/>
  <c r="AE105" i="6"/>
  <c r="AA163" i="6"/>
  <c r="Q135" i="6"/>
  <c r="Q138" i="6"/>
  <c r="Q136" i="6"/>
  <c r="Q167" i="6"/>
  <c r="U167" i="6" s="1"/>
  <c r="U135" i="6"/>
  <c r="U137" i="6" s="1"/>
  <c r="U7" i="36" s="1"/>
  <c r="U138" i="6"/>
  <c r="AH131" i="6"/>
  <c r="AA135" i="6"/>
  <c r="AA138" i="6"/>
  <c r="Q166" i="6"/>
  <c r="U166" i="6" s="1"/>
  <c r="AA166" i="6" s="1"/>
  <c r="Y162" i="6"/>
  <c r="Y8" i="36" s="1"/>
  <c r="AD160" i="6"/>
  <c r="AD164" i="6"/>
  <c r="U161" i="6"/>
  <c r="U164" i="6"/>
  <c r="AD163" i="6"/>
  <c r="Q168" i="6"/>
  <c r="U168" i="6" s="1"/>
  <c r="AA168" i="6" s="1"/>
  <c r="U162" i="6"/>
  <c r="U8" i="36" s="1"/>
  <c r="Z142" i="6"/>
  <c r="AD142" i="6" s="1"/>
  <c r="AH142" i="6" s="1"/>
  <c r="AD168" i="6"/>
  <c r="Q160" i="6"/>
  <c r="Q162" i="6" s="1"/>
  <c r="Q8" i="36" s="1"/>
  <c r="AO124" i="6"/>
  <c r="AI125" i="6"/>
  <c r="AN105" i="6"/>
  <c r="AR105" i="6" s="1"/>
  <c r="AV105" i="6" s="1"/>
  <c r="BD105" i="6" s="1"/>
  <c r="Z141" i="6"/>
  <c r="AD141" i="6" s="1"/>
  <c r="AH141" i="6" s="1"/>
  <c r="Z135" i="6"/>
  <c r="AD161" i="6"/>
  <c r="AH104" i="6"/>
  <c r="AI101" i="6"/>
  <c r="AE103" i="6"/>
  <c r="Z136" i="6"/>
  <c r="X162" i="6"/>
  <c r="X8" i="36" s="1"/>
  <c r="AN104" i="6"/>
  <c r="Q52" i="6"/>
  <c r="AH136" i="6"/>
  <c r="AH135" i="6"/>
  <c r="AA48" i="6"/>
  <c r="U52" i="6"/>
  <c r="AE86" i="6"/>
  <c r="AN48" i="6"/>
  <c r="AH52" i="6"/>
  <c r="AD135" i="6"/>
  <c r="AO82" i="6"/>
  <c r="AI85" i="6"/>
  <c r="AI86" i="6" s="1"/>
  <c r="AD136" i="6"/>
  <c r="H260" i="6"/>
  <c r="H256" i="6"/>
  <c r="H277" i="6" s="1"/>
  <c r="I240" i="6"/>
  <c r="Y142" i="6"/>
  <c r="Y140" i="6"/>
  <c r="Y141" i="6"/>
  <c r="P140" i="6"/>
  <c r="L240" i="6"/>
  <c r="AA137" i="6"/>
  <c r="AA7" i="36" s="1"/>
  <c r="Y135" i="6"/>
  <c r="L260" i="6"/>
  <c r="L280" i="6" s="1"/>
  <c r="X240" i="6"/>
  <c r="AA160" i="6"/>
  <c r="AA167" i="6"/>
  <c r="X261" i="6"/>
  <c r="X267" i="6" s="1"/>
  <c r="Y136" i="6"/>
  <c r="AA161" i="6"/>
  <c r="P44" i="6"/>
  <c r="T43" i="6"/>
  <c r="Z40" i="6"/>
  <c r="AD40" i="6" s="1"/>
  <c r="AH40" i="6" s="1"/>
  <c r="AN40" i="6" s="1"/>
  <c r="AR40" i="6" s="1"/>
  <c r="AV40" i="6" s="1"/>
  <c r="BD40" i="6" s="1"/>
  <c r="X55" i="6"/>
  <c r="P41" i="6"/>
  <c r="T39" i="6"/>
  <c r="U247" i="6"/>
  <c r="U252" i="6"/>
  <c r="U255" i="6"/>
  <c r="U251" i="6"/>
  <c r="U253" i="6"/>
  <c r="U248" i="6"/>
  <c r="U254" i="6"/>
  <c r="U258" i="6"/>
  <c r="U250" i="6"/>
  <c r="U249" i="6"/>
  <c r="U257" i="6"/>
  <c r="U259" i="6"/>
  <c r="U246" i="6"/>
  <c r="H154" i="6"/>
  <c r="M140" i="6"/>
  <c r="M142" i="6"/>
  <c r="Q142" i="6" s="1"/>
  <c r="U142" i="6" s="1"/>
  <c r="M141" i="6"/>
  <c r="Q141" i="6" s="1"/>
  <c r="U141" i="6" s="1"/>
  <c r="Q260" i="6"/>
  <c r="N430" i="3"/>
  <c r="Q430" i="3" s="1"/>
  <c r="Q223" i="6"/>
  <c r="N431" i="3"/>
  <c r="Q431" i="3" s="1"/>
  <c r="Q224" i="6"/>
  <c r="P261" i="6"/>
  <c r="P267" i="6" s="1"/>
  <c r="I255" i="6"/>
  <c r="I248" i="6"/>
  <c r="I252" i="6"/>
  <c r="I247" i="6"/>
  <c r="I253" i="6"/>
  <c r="I254" i="6"/>
  <c r="I249" i="6"/>
  <c r="I250" i="6"/>
  <c r="I251" i="6"/>
  <c r="I258" i="6"/>
  <c r="I259" i="6"/>
  <c r="I257" i="6"/>
  <c r="I246" i="6"/>
  <c r="L256" i="6"/>
  <c r="M2" i="6"/>
  <c r="Q2" i="6" s="1"/>
  <c r="U2" i="6" s="1"/>
  <c r="AA2" i="6" s="1"/>
  <c r="Q423" i="3"/>
  <c r="S212" i="6" s="1"/>
  <c r="Q422" i="3"/>
  <c r="S211" i="6" s="1"/>
  <c r="Q424" i="3"/>
  <c r="S213" i="6" s="1"/>
  <c r="E256" i="6"/>
  <c r="E277" i="6" s="1"/>
  <c r="E260" i="6"/>
  <c r="E280" i="6" s="1"/>
  <c r="D277" i="6"/>
  <c r="H182" i="6"/>
  <c r="L182" i="6" s="1"/>
  <c r="N435" i="3"/>
  <c r="F281" i="6"/>
  <c r="F286" i="6" s="1"/>
  <c r="L2" i="6"/>
  <c r="P2" i="6" s="1"/>
  <c r="T2" i="6" s="1"/>
  <c r="Z2" i="6" s="1"/>
  <c r="AD2" i="6" s="1"/>
  <c r="AH2" i="6" s="1"/>
  <c r="N436" i="3"/>
  <c r="N434" i="3"/>
  <c r="Q394" i="3"/>
  <c r="S187" i="6" s="1"/>
  <c r="S270" i="6" s="1"/>
  <c r="S277" i="6" s="1"/>
  <c r="N396" i="3"/>
  <c r="Q396" i="3" s="1"/>
  <c r="S189" i="6" s="1"/>
  <c r="N395" i="3"/>
  <c r="Q395" i="3" s="1"/>
  <c r="S188" i="6" s="1"/>
  <c r="M135" i="6"/>
  <c r="M136" i="6"/>
  <c r="N432" i="3"/>
  <c r="Q432" i="3" s="1"/>
  <c r="S225" i="6" s="1"/>
  <c r="M160" i="6"/>
  <c r="M162" i="6" s="1"/>
  <c r="M8" i="36" s="1"/>
  <c r="L41" i="6"/>
  <c r="M40" i="6"/>
  <c r="Q40" i="6" s="1"/>
  <c r="U40" i="6" s="1"/>
  <c r="AA40" i="6" s="1"/>
  <c r="AE40" i="6" s="1"/>
  <c r="AI40" i="6" s="1"/>
  <c r="AO40" i="6" s="1"/>
  <c r="AS40" i="6" s="1"/>
  <c r="AW40" i="6" s="1"/>
  <c r="BE40" i="6" s="1"/>
  <c r="M43" i="6"/>
  <c r="Q43" i="6" s="1"/>
  <c r="U43" i="6" s="1"/>
  <c r="AA43" i="6" s="1"/>
  <c r="AE43" i="6" s="1"/>
  <c r="AI43" i="6" s="1"/>
  <c r="AO43" i="6" s="1"/>
  <c r="AS43" i="6" s="1"/>
  <c r="AW43" i="6" s="1"/>
  <c r="BE43" i="6" s="1"/>
  <c r="M42" i="6"/>
  <c r="Q42" i="6" s="1"/>
  <c r="U42" i="6" s="1"/>
  <c r="I41" i="6"/>
  <c r="M39" i="6"/>
  <c r="Q39" i="6" s="1"/>
  <c r="U39" i="6" s="1"/>
  <c r="E29" i="6"/>
  <c r="I20" i="6"/>
  <c r="M20" i="6" s="1"/>
  <c r="G29" i="6"/>
  <c r="I44" i="6"/>
  <c r="I23" i="6"/>
  <c r="M23" i="6" s="1"/>
  <c r="I26" i="6"/>
  <c r="M26" i="6" s="1"/>
  <c r="H14" i="6"/>
  <c r="H13" i="6"/>
  <c r="D15" i="6"/>
  <c r="I17" i="6"/>
  <c r="AV81" i="6" l="1"/>
  <c r="BD73" i="6"/>
  <c r="BD81" i="6" s="1"/>
  <c r="AR85" i="6"/>
  <c r="AR86" i="6" s="1"/>
  <c r="AR91" i="6" s="1"/>
  <c r="AR135" i="6" s="1"/>
  <c r="AV84" i="6"/>
  <c r="AS100" i="6"/>
  <c r="AW93" i="6"/>
  <c r="AV75" i="7"/>
  <c r="AR100" i="6"/>
  <c r="AV96" i="6"/>
  <c r="AS81" i="6"/>
  <c r="AW74" i="6"/>
  <c r="Q256" i="6"/>
  <c r="G261" i="6"/>
  <c r="G267" i="6" s="1"/>
  <c r="AN52" i="6"/>
  <c r="AR48" i="6"/>
  <c r="AR104" i="6"/>
  <c r="AR109" i="6" s="1"/>
  <c r="AR163" i="6" s="1"/>
  <c r="AO125" i="6"/>
  <c r="AS124" i="6"/>
  <c r="AW124" i="6" s="1"/>
  <c r="BE124" i="6" s="1"/>
  <c r="AO85" i="6"/>
  <c r="AO86" i="6" s="1"/>
  <c r="AO91" i="6" s="1"/>
  <c r="AO138" i="6" s="1"/>
  <c r="AS82" i="6"/>
  <c r="Y336" i="6"/>
  <c r="Y322" i="6"/>
  <c r="AD266" i="6"/>
  <c r="U266" i="6"/>
  <c r="I266" i="6"/>
  <c r="AA265" i="6"/>
  <c r="AA263" i="6"/>
  <c r="AA264" i="6"/>
  <c r="AA262" i="6"/>
  <c r="AH264" i="6"/>
  <c r="AH265" i="6"/>
  <c r="AH263" i="6"/>
  <c r="AH262" i="6"/>
  <c r="AH242" i="6"/>
  <c r="Q266" i="6"/>
  <c r="AA242" i="6"/>
  <c r="Y264" i="6"/>
  <c r="Y263" i="6"/>
  <c r="Y265" i="6"/>
  <c r="Y262" i="6"/>
  <c r="M263" i="6"/>
  <c r="M265" i="6"/>
  <c r="M264" i="6"/>
  <c r="M262" i="6"/>
  <c r="T261" i="6"/>
  <c r="T9" i="36" s="1"/>
  <c r="G9" i="36"/>
  <c r="T277" i="6"/>
  <c r="AA254" i="6"/>
  <c r="AA251" i="6"/>
  <c r="AA253" i="6"/>
  <c r="AA248" i="6"/>
  <c r="AA255" i="6"/>
  <c r="AA246" i="6"/>
  <c r="AA249" i="6"/>
  <c r="AA259" i="6"/>
  <c r="AA257" i="6"/>
  <c r="AA250" i="6"/>
  <c r="AA247" i="6"/>
  <c r="AA252" i="6"/>
  <c r="AA258" i="6"/>
  <c r="AE131" i="6"/>
  <c r="AE246" i="6" s="1"/>
  <c r="AA39" i="6"/>
  <c r="U41" i="6"/>
  <c r="L180" i="6"/>
  <c r="P180" i="6" s="1"/>
  <c r="T180" i="6" s="1"/>
  <c r="Z180" i="6" s="1"/>
  <c r="AD180" i="6" s="1"/>
  <c r="AH180" i="6" s="1"/>
  <c r="M181" i="6"/>
  <c r="Q181" i="6" s="1"/>
  <c r="U181" i="6" s="1"/>
  <c r="AA181" i="6" s="1"/>
  <c r="AA42" i="6"/>
  <c r="U44" i="6"/>
  <c r="AH137" i="6"/>
  <c r="AH7" i="36" s="1"/>
  <c r="AO111" i="6"/>
  <c r="AI121" i="6"/>
  <c r="AI126" i="6" s="1"/>
  <c r="L8" i="6"/>
  <c r="P8" i="6" s="1"/>
  <c r="T8" i="6" s="1"/>
  <c r="M8" i="6"/>
  <c r="Q8" i="6" s="1"/>
  <c r="U8" i="6" s="1"/>
  <c r="AN2" i="6"/>
  <c r="AR2" i="6" s="1"/>
  <c r="AV2" i="6" s="1"/>
  <c r="BD2" i="6" s="1"/>
  <c r="L9" i="6"/>
  <c r="P9" i="6" s="1"/>
  <c r="T9" i="6" s="1"/>
  <c r="M9" i="6"/>
  <c r="Q9" i="6" s="1"/>
  <c r="U9" i="6" s="1"/>
  <c r="U12" i="6" s="1"/>
  <c r="AE2" i="6"/>
  <c r="AI2" i="6" s="1"/>
  <c r="L181" i="6"/>
  <c r="P181" i="6" s="1"/>
  <c r="T181" i="6" s="1"/>
  <c r="Z181" i="6" s="1"/>
  <c r="AD181" i="6" s="1"/>
  <c r="AH181" i="6" s="1"/>
  <c r="M180" i="6"/>
  <c r="Q180" i="6" s="1"/>
  <c r="U180" i="6" s="1"/>
  <c r="AA180" i="6" s="1"/>
  <c r="Q137" i="6"/>
  <c r="Q7" i="36" s="1"/>
  <c r="Z256" i="6"/>
  <c r="Z277" i="6" s="1"/>
  <c r="AD255" i="6"/>
  <c r="AD250" i="6"/>
  <c r="AD251" i="6"/>
  <c r="AD247" i="6"/>
  <c r="AD257" i="6"/>
  <c r="AD252" i="6"/>
  <c r="AD259" i="6"/>
  <c r="AD258" i="6"/>
  <c r="AD246" i="6"/>
  <c r="AD254" i="6"/>
  <c r="AD253" i="6"/>
  <c r="AD248" i="6"/>
  <c r="AD249" i="6"/>
  <c r="AD137" i="6"/>
  <c r="AD7" i="36" s="1"/>
  <c r="Z285" i="6"/>
  <c r="AI105" i="6"/>
  <c r="AD162" i="6"/>
  <c r="AD8" i="36" s="1"/>
  <c r="AN131" i="6"/>
  <c r="AN242" i="6" s="1"/>
  <c r="Z260" i="6"/>
  <c r="AH109" i="6"/>
  <c r="AH161" i="6" s="1"/>
  <c r="AN109" i="6"/>
  <c r="AN164" i="6" s="1"/>
  <c r="AI91" i="6"/>
  <c r="AE104" i="6"/>
  <c r="Z137" i="6"/>
  <c r="Z7" i="36" s="1"/>
  <c r="AO101" i="6"/>
  <c r="AI103" i="6"/>
  <c r="AN91" i="6"/>
  <c r="AE91" i="6"/>
  <c r="H261" i="6"/>
  <c r="AO136" i="6"/>
  <c r="AO135" i="6"/>
  <c r="X9" i="36"/>
  <c r="AE48" i="6"/>
  <c r="AA52" i="6"/>
  <c r="H280" i="6"/>
  <c r="L261" i="6"/>
  <c r="Q140" i="6"/>
  <c r="U140" i="6" s="1"/>
  <c r="U240" i="6" s="1"/>
  <c r="M240" i="6"/>
  <c r="T140" i="6"/>
  <c r="P240" i="6"/>
  <c r="Y137" i="6"/>
  <c r="Y7" i="36" s="1"/>
  <c r="Y240" i="6"/>
  <c r="X281" i="6"/>
  <c r="AA142" i="6"/>
  <c r="AE142" i="6" s="1"/>
  <c r="AA162" i="6"/>
  <c r="AA8" i="36" s="1"/>
  <c r="AA141" i="6"/>
  <c r="Y247" i="6"/>
  <c r="Y255" i="6"/>
  <c r="Y252" i="6"/>
  <c r="Y254" i="6"/>
  <c r="Y251" i="6"/>
  <c r="Y248" i="6"/>
  <c r="Y253" i="6"/>
  <c r="Y258" i="6"/>
  <c r="Y250" i="6"/>
  <c r="Y249" i="6"/>
  <c r="Y257" i="6"/>
  <c r="Y259" i="6"/>
  <c r="Y246" i="6"/>
  <c r="X44" i="6"/>
  <c r="Z43" i="6"/>
  <c r="T44" i="6"/>
  <c r="Z39" i="6"/>
  <c r="T41" i="6"/>
  <c r="P9" i="36"/>
  <c r="H60" i="6"/>
  <c r="H67" i="6" s="1"/>
  <c r="H54" i="6"/>
  <c r="H184" i="6"/>
  <c r="H55" i="6"/>
  <c r="L277" i="6"/>
  <c r="T281" i="6"/>
  <c r="U260" i="6"/>
  <c r="U280" i="6" s="1"/>
  <c r="U285" i="6"/>
  <c r="S431" i="3"/>
  <c r="U431" i="3" s="1"/>
  <c r="S224" i="6"/>
  <c r="S430" i="3"/>
  <c r="U430" i="3" s="1"/>
  <c r="S223" i="6"/>
  <c r="S278" i="6" s="1"/>
  <c r="S280" i="6" s="1"/>
  <c r="S281" i="6" s="1"/>
  <c r="S286" i="6" s="1"/>
  <c r="U256" i="6"/>
  <c r="U277" i="6" s="1"/>
  <c r="L154" i="6"/>
  <c r="P154" i="6" s="1"/>
  <c r="T154" i="6" s="1"/>
  <c r="M154" i="6"/>
  <c r="Q154" i="6" s="1"/>
  <c r="U154" i="6" s="1"/>
  <c r="AA154" i="6" s="1"/>
  <c r="AE154" i="6" s="1"/>
  <c r="AI154" i="6" s="1"/>
  <c r="Q11" i="6"/>
  <c r="Q12" i="6"/>
  <c r="Q261" i="6"/>
  <c r="Q267" i="6" s="1"/>
  <c r="M17" i="6"/>
  <c r="Q17" i="6" s="1"/>
  <c r="U17" i="6" s="1"/>
  <c r="AA17" i="6" s="1"/>
  <c r="AE17" i="6" s="1"/>
  <c r="AI17" i="6" s="1"/>
  <c r="AO17" i="6" s="1"/>
  <c r="AS17" i="6" s="1"/>
  <c r="AW17" i="6" s="1"/>
  <c r="BE17" i="6" s="1"/>
  <c r="I149" i="6"/>
  <c r="I145" i="6"/>
  <c r="I147" i="6"/>
  <c r="I146" i="6"/>
  <c r="M146" i="6" s="1"/>
  <c r="I148" i="6"/>
  <c r="I144" i="6"/>
  <c r="P182" i="6"/>
  <c r="T182" i="6" s="1"/>
  <c r="Z182" i="6" s="1"/>
  <c r="AD182" i="6" s="1"/>
  <c r="AH182" i="6" s="1"/>
  <c r="AN182" i="6" s="1"/>
  <c r="AR182" i="6" s="1"/>
  <c r="AV182" i="6" s="1"/>
  <c r="BD182" i="6" s="1"/>
  <c r="I256" i="6"/>
  <c r="Q44" i="6"/>
  <c r="I260" i="6"/>
  <c r="Q41" i="6"/>
  <c r="Q26" i="6"/>
  <c r="U26" i="6" s="1"/>
  <c r="Q23" i="6"/>
  <c r="U23" i="6" s="1"/>
  <c r="Q20" i="6"/>
  <c r="U20" i="6" s="1"/>
  <c r="D56" i="6"/>
  <c r="D59" i="6"/>
  <c r="H157" i="6"/>
  <c r="H152" i="6"/>
  <c r="M247" i="6"/>
  <c r="M249" i="6"/>
  <c r="M255" i="6"/>
  <c r="M252" i="6"/>
  <c r="M254" i="6"/>
  <c r="M251" i="6"/>
  <c r="M248" i="6"/>
  <c r="M253" i="6"/>
  <c r="M258" i="6"/>
  <c r="M250" i="6"/>
  <c r="M257" i="6"/>
  <c r="M259" i="6"/>
  <c r="M246" i="6"/>
  <c r="G281" i="6"/>
  <c r="H7" i="6"/>
  <c r="S422" i="3"/>
  <c r="S424" i="3"/>
  <c r="S423" i="3"/>
  <c r="E261" i="6"/>
  <c r="Q435" i="3"/>
  <c r="P277" i="6"/>
  <c r="P280" i="6"/>
  <c r="P285" i="6"/>
  <c r="D281" i="6"/>
  <c r="D286" i="6" s="1"/>
  <c r="H11" i="6"/>
  <c r="H12" i="6"/>
  <c r="M137" i="6"/>
  <c r="M7" i="36" s="1"/>
  <c r="Q436" i="3"/>
  <c r="S221" i="6" s="1"/>
  <c r="Q434" i="3"/>
  <c r="S219" i="6" s="1"/>
  <c r="S274" i="6" s="1"/>
  <c r="S396" i="3"/>
  <c r="S432" i="3"/>
  <c r="M44" i="6"/>
  <c r="H15" i="6"/>
  <c r="L13" i="6"/>
  <c r="H156" i="6"/>
  <c r="L14" i="6"/>
  <c r="H178" i="6"/>
  <c r="H183" i="6"/>
  <c r="M41" i="6"/>
  <c r="I29" i="6"/>
  <c r="M29" i="6" s="1"/>
  <c r="BE125" i="6" l="1"/>
  <c r="AW81" i="6"/>
  <c r="BE74" i="6"/>
  <c r="BE81" i="6" s="1"/>
  <c r="AW100" i="6"/>
  <c r="BE93" i="6"/>
  <c r="BE100" i="6" s="1"/>
  <c r="AV100" i="6"/>
  <c r="AV104" i="6" s="1"/>
  <c r="AV109" i="6" s="1"/>
  <c r="AV160" i="6" s="1"/>
  <c r="BD96" i="6"/>
  <c r="BD100" i="6" s="1"/>
  <c r="AR138" i="6"/>
  <c r="AV85" i="6"/>
  <c r="BD84" i="6"/>
  <c r="BD85" i="6" s="1"/>
  <c r="BD86" i="6"/>
  <c r="BD91" i="6" s="1"/>
  <c r="AS85" i="6"/>
  <c r="AW82" i="6"/>
  <c r="AW125" i="6"/>
  <c r="AR136" i="6"/>
  <c r="AR137" i="6" s="1"/>
  <c r="AR7" i="36" s="1"/>
  <c r="AR52" i="6"/>
  <c r="AV48" i="6"/>
  <c r="AV86" i="6"/>
  <c r="AV91" i="6" s="1"/>
  <c r="AV136" i="6" s="1"/>
  <c r="AE141" i="6"/>
  <c r="AE252" i="6"/>
  <c r="AR160" i="6"/>
  <c r="AE251" i="6"/>
  <c r="AR164" i="6"/>
  <c r="AR161" i="6"/>
  <c r="AS125" i="6"/>
  <c r="AO103" i="6"/>
  <c r="AS101" i="6"/>
  <c r="AE255" i="6"/>
  <c r="AE249" i="6"/>
  <c r="AO121" i="6"/>
  <c r="AO126" i="6" s="1"/>
  <c r="AS111" i="6"/>
  <c r="AW111" i="6" s="1"/>
  <c r="BE111" i="6" s="1"/>
  <c r="AE248" i="6"/>
  <c r="AE254" i="6"/>
  <c r="AS86" i="6"/>
  <c r="AS91" i="6" s="1"/>
  <c r="Y316" i="6"/>
  <c r="Y330" i="6"/>
  <c r="Y324" i="6"/>
  <c r="Y325" i="6" s="1"/>
  <c r="Y323" i="6"/>
  <c r="Y338" i="6"/>
  <c r="Y339" i="6" s="1"/>
  <c r="Y337" i="6"/>
  <c r="AE258" i="6"/>
  <c r="AE247" i="6"/>
  <c r="AE253" i="6"/>
  <c r="T267" i="6"/>
  <c r="AI142" i="6"/>
  <c r="AO142" i="6" s="1"/>
  <c r="AE250" i="6"/>
  <c r="AE257" i="6"/>
  <c r="AE259" i="6"/>
  <c r="M266" i="6"/>
  <c r="Y266" i="6"/>
  <c r="Y285" i="6" s="1"/>
  <c r="AE265" i="6"/>
  <c r="AE263" i="6"/>
  <c r="AE264" i="6"/>
  <c r="AE262" i="6"/>
  <c r="AN180" i="6"/>
  <c r="AR180" i="6" s="1"/>
  <c r="AV180" i="6" s="1"/>
  <c r="BD180" i="6" s="1"/>
  <c r="AN181" i="6"/>
  <c r="AR181" i="6" s="1"/>
  <c r="AV181" i="6" s="1"/>
  <c r="BD181" i="6" s="1"/>
  <c r="AH266" i="6"/>
  <c r="AA266" i="6"/>
  <c r="AE242" i="6"/>
  <c r="AN265" i="6"/>
  <c r="AN264" i="6"/>
  <c r="AN263" i="6"/>
  <c r="AN262" i="6"/>
  <c r="L9" i="36"/>
  <c r="L267" i="6"/>
  <c r="E9" i="36"/>
  <c r="E267" i="6"/>
  <c r="H9" i="36"/>
  <c r="H267" i="6"/>
  <c r="AA285" i="6"/>
  <c r="AA260" i="6"/>
  <c r="AA280" i="6" s="1"/>
  <c r="AA256" i="6"/>
  <c r="AI131" i="6"/>
  <c r="AI253" i="6" s="1"/>
  <c r="AO131" i="6"/>
  <c r="H281" i="6"/>
  <c r="AN160" i="6"/>
  <c r="AE180" i="6"/>
  <c r="AI180" i="6" s="1"/>
  <c r="Z44" i="6"/>
  <c r="AD43" i="6"/>
  <c r="AA8" i="6"/>
  <c r="U11" i="6"/>
  <c r="AN161" i="6"/>
  <c r="Z9" i="6"/>
  <c r="T12" i="6"/>
  <c r="Z8" i="6"/>
  <c r="T11" i="6"/>
  <c r="AA26" i="6"/>
  <c r="AA20" i="6"/>
  <c r="Z41" i="6"/>
  <c r="AD39" i="6"/>
  <c r="AO2" i="6"/>
  <c r="AE42" i="6"/>
  <c r="AA44" i="6"/>
  <c r="AA23" i="6"/>
  <c r="AA9" i="6"/>
  <c r="AE181" i="6"/>
  <c r="AI181" i="6" s="1"/>
  <c r="AE39" i="6"/>
  <c r="AA41" i="6"/>
  <c r="AH167" i="6"/>
  <c r="AN167" i="6" s="1"/>
  <c r="AR167" i="6" s="1"/>
  <c r="AN163" i="6"/>
  <c r="AI135" i="6"/>
  <c r="AI138" i="6"/>
  <c r="AO105" i="6"/>
  <c r="AS105" i="6" s="1"/>
  <c r="AW105" i="6" s="1"/>
  <c r="BE105" i="6" s="1"/>
  <c r="AI136" i="6"/>
  <c r="AI137" i="6" s="1"/>
  <c r="AI7" i="36" s="1"/>
  <c r="AH168" i="6"/>
  <c r="AN168" i="6" s="1"/>
  <c r="AR168" i="6" s="1"/>
  <c r="AH164" i="6"/>
  <c r="AH163" i="6"/>
  <c r="Z280" i="6"/>
  <c r="Z261" i="6"/>
  <c r="Z267" i="6" s="1"/>
  <c r="AH250" i="6"/>
  <c r="AH248" i="6"/>
  <c r="AH255" i="6"/>
  <c r="AH247" i="6"/>
  <c r="AH249" i="6"/>
  <c r="AH257" i="6"/>
  <c r="AH252" i="6"/>
  <c r="AH254" i="6"/>
  <c r="AH259" i="6"/>
  <c r="AH251" i="6"/>
  <c r="AH246" i="6"/>
  <c r="AH253" i="6"/>
  <c r="AH258" i="6"/>
  <c r="AD285" i="6"/>
  <c r="AI141" i="6"/>
  <c r="AO141" i="6" s="1"/>
  <c r="AE136" i="6"/>
  <c r="AE138" i="6"/>
  <c r="AH166" i="6"/>
  <c r="AN166" i="6" s="1"/>
  <c r="AR166" i="6" s="1"/>
  <c r="AI248" i="6"/>
  <c r="AI254" i="6"/>
  <c r="AD256" i="6"/>
  <c r="AD277" i="6" s="1"/>
  <c r="AD260" i="6"/>
  <c r="AD280" i="6" s="1"/>
  <c r="AN141" i="6"/>
  <c r="AR141" i="6" s="1"/>
  <c r="AV141" i="6" s="1"/>
  <c r="BD141" i="6" s="1"/>
  <c r="AN138" i="6"/>
  <c r="AE109" i="6"/>
  <c r="AE160" i="6" s="1"/>
  <c r="AN142" i="6"/>
  <c r="AR142" i="6" s="1"/>
  <c r="AV142" i="6" s="1"/>
  <c r="BD142" i="6" s="1"/>
  <c r="AE135" i="6"/>
  <c r="AH160" i="6"/>
  <c r="AH162" i="6" s="1"/>
  <c r="AH8" i="36" s="1"/>
  <c r="AN136" i="6"/>
  <c r="AO104" i="6"/>
  <c r="AO109" i="6" s="1"/>
  <c r="AO164" i="6" s="1"/>
  <c r="AN135" i="6"/>
  <c r="AI104" i="6"/>
  <c r="AI109" i="6" s="1"/>
  <c r="AI164" i="6" s="1"/>
  <c r="AO137" i="6"/>
  <c r="AO7" i="36" s="1"/>
  <c r="X286" i="6"/>
  <c r="AI48" i="6"/>
  <c r="AE52" i="6"/>
  <c r="L54" i="6"/>
  <c r="L152" i="6"/>
  <c r="AA140" i="6"/>
  <c r="Z140" i="6"/>
  <c r="T240" i="6"/>
  <c r="Y256" i="6"/>
  <c r="Y277" i="6" s="1"/>
  <c r="Y260" i="6"/>
  <c r="Y280" i="6" s="1"/>
  <c r="Z154" i="6"/>
  <c r="AD154" i="6" s="1"/>
  <c r="AH154" i="6" s="1"/>
  <c r="AN154" i="6" s="1"/>
  <c r="AR154" i="6" s="1"/>
  <c r="AV154" i="6" s="1"/>
  <c r="BD154" i="6" s="1"/>
  <c r="X41" i="6"/>
  <c r="X54" i="6"/>
  <c r="X56" i="6" s="1"/>
  <c r="X430" i="3"/>
  <c r="Z430" i="3" s="1"/>
  <c r="W223" i="6"/>
  <c r="W278" i="6" s="1"/>
  <c r="W280" i="6" s="1"/>
  <c r="Q9" i="36"/>
  <c r="M144" i="6"/>
  <c r="X431" i="3"/>
  <c r="Z431" i="3" s="1"/>
  <c r="W224" i="6"/>
  <c r="M148" i="6"/>
  <c r="Q148" i="6" s="1"/>
  <c r="U148" i="6" s="1"/>
  <c r="AA148" i="6" s="1"/>
  <c r="AE148" i="6" s="1"/>
  <c r="AI148" i="6" s="1"/>
  <c r="AO148" i="6" s="1"/>
  <c r="AS148" i="6" s="1"/>
  <c r="AW148" i="6" s="1"/>
  <c r="BE148" i="6" s="1"/>
  <c r="M145" i="6"/>
  <c r="Q145" i="6" s="1"/>
  <c r="U145" i="6" s="1"/>
  <c r="AA145" i="6" s="1"/>
  <c r="AE145" i="6" s="1"/>
  <c r="AI145" i="6" s="1"/>
  <c r="AO145" i="6" s="1"/>
  <c r="AS145" i="6" s="1"/>
  <c r="AW145" i="6" s="1"/>
  <c r="BE145" i="6" s="1"/>
  <c r="H56" i="6"/>
  <c r="L184" i="6"/>
  <c r="L55" i="6"/>
  <c r="T286" i="6"/>
  <c r="M147" i="6"/>
  <c r="Q147" i="6" s="1"/>
  <c r="U147" i="6" s="1"/>
  <c r="AA147" i="6" s="1"/>
  <c r="AE147" i="6" s="1"/>
  <c r="AI147" i="6" s="1"/>
  <c r="AO147" i="6" s="1"/>
  <c r="AS147" i="6" s="1"/>
  <c r="AW147" i="6" s="1"/>
  <c r="BE147" i="6" s="1"/>
  <c r="S435" i="3"/>
  <c r="S220" i="6"/>
  <c r="U261" i="6"/>
  <c r="U267" i="6" s="1"/>
  <c r="P13" i="6"/>
  <c r="L60" i="6"/>
  <c r="L67" i="6" s="1"/>
  <c r="M149" i="6"/>
  <c r="Q149" i="6" s="1"/>
  <c r="U149" i="6" s="1"/>
  <c r="AA149" i="6" s="1"/>
  <c r="AE149" i="6" s="1"/>
  <c r="AI149" i="6" s="1"/>
  <c r="AO149" i="6" s="1"/>
  <c r="AS149" i="6" s="1"/>
  <c r="AW149" i="6" s="1"/>
  <c r="BE149" i="6" s="1"/>
  <c r="Q146" i="6"/>
  <c r="U146" i="6" s="1"/>
  <c r="AA146" i="6" s="1"/>
  <c r="AE146" i="6" s="1"/>
  <c r="AI146" i="6" s="1"/>
  <c r="AO146" i="6" s="1"/>
  <c r="AS146" i="6" s="1"/>
  <c r="AW146" i="6" s="1"/>
  <c r="BE146" i="6" s="1"/>
  <c r="P11" i="6"/>
  <c r="P14" i="6"/>
  <c r="L12" i="6"/>
  <c r="P12" i="6"/>
  <c r="I261" i="6"/>
  <c r="I267" i="6" s="1"/>
  <c r="Q29" i="6"/>
  <c r="U29" i="6" s="1"/>
  <c r="AA29" i="6" s="1"/>
  <c r="AE29" i="6" s="1"/>
  <c r="AI29" i="6" s="1"/>
  <c r="AO29" i="6" s="1"/>
  <c r="AS29" i="6" s="1"/>
  <c r="AW29" i="6" s="1"/>
  <c r="BE29" i="6" s="1"/>
  <c r="M260" i="6"/>
  <c r="M256" i="6"/>
  <c r="G286" i="6"/>
  <c r="L11" i="6"/>
  <c r="L7" i="6"/>
  <c r="U424" i="3"/>
  <c r="W213" i="6" s="1"/>
  <c r="U423" i="3"/>
  <c r="W212" i="6" s="1"/>
  <c r="U422" i="3"/>
  <c r="W211" i="6" s="1"/>
  <c r="L281" i="6"/>
  <c r="L286" i="6" s="1"/>
  <c r="E281" i="6"/>
  <c r="L157" i="6"/>
  <c r="S434" i="3"/>
  <c r="S436" i="3"/>
  <c r="S395" i="3"/>
  <c r="S394" i="3"/>
  <c r="U432" i="3"/>
  <c r="H59" i="6"/>
  <c r="L15" i="6"/>
  <c r="L59" i="6" s="1"/>
  <c r="L156" i="6"/>
  <c r="L178" i="6"/>
  <c r="L183" i="6"/>
  <c r="D37" i="6"/>
  <c r="AW85" i="6" l="1"/>
  <c r="AW86" i="6" s="1"/>
  <c r="AW91" i="6" s="1"/>
  <c r="BE82" i="6"/>
  <c r="BE85" i="6" s="1"/>
  <c r="BE86" i="6" s="1"/>
  <c r="BE91" i="6" s="1"/>
  <c r="BD136" i="6"/>
  <c r="BD138" i="6"/>
  <c r="BD104" i="6"/>
  <c r="BD109" i="6" s="1"/>
  <c r="BD160" i="6"/>
  <c r="AV166" i="6"/>
  <c r="BD166" i="6" s="1"/>
  <c r="AV167" i="6"/>
  <c r="BD167" i="6" s="1"/>
  <c r="BE121" i="6"/>
  <c r="BE126" i="6" s="1"/>
  <c r="BE131" i="6" s="1"/>
  <c r="BE246" i="6" s="1"/>
  <c r="AV168" i="6"/>
  <c r="BD168" i="6" s="1"/>
  <c r="AV52" i="6"/>
  <c r="BD48" i="6"/>
  <c r="BD52" i="6" s="1"/>
  <c r="BD135" i="6"/>
  <c r="BD137" i="6" s="1"/>
  <c r="BD7" i="36" s="1"/>
  <c r="AW121" i="6"/>
  <c r="AW126" i="6" s="1"/>
  <c r="AS103" i="6"/>
  <c r="AS104" i="6" s="1"/>
  <c r="AS109" i="6" s="1"/>
  <c r="AS163" i="6" s="1"/>
  <c r="AW101" i="6"/>
  <c r="AW135" i="6"/>
  <c r="AW138" i="6"/>
  <c r="AW136" i="6"/>
  <c r="AV138" i="6"/>
  <c r="AV135" i="6"/>
  <c r="AV137" i="6" s="1"/>
  <c r="AV7" i="36" s="1"/>
  <c r="AV164" i="6"/>
  <c r="AV161" i="6"/>
  <c r="AV162" i="6" s="1"/>
  <c r="AV8" i="36" s="1"/>
  <c r="AV163" i="6"/>
  <c r="AO154" i="6"/>
  <c r="AS2" i="6"/>
  <c r="AW2" i="6" s="1"/>
  <c r="BE2" i="6" s="1"/>
  <c r="H286" i="6"/>
  <c r="AE256" i="6"/>
  <c r="Y326" i="6"/>
  <c r="AR162" i="6"/>
  <c r="AR8" i="36" s="1"/>
  <c r="AS138" i="6"/>
  <c r="AS135" i="6"/>
  <c r="AS141" i="6"/>
  <c r="AW141" i="6" s="1"/>
  <c r="AS142" i="6"/>
  <c r="AW142" i="6" s="1"/>
  <c r="AS136" i="6"/>
  <c r="AE260" i="6"/>
  <c r="AS121" i="6"/>
  <c r="AS126" i="6" s="1"/>
  <c r="Y340" i="6"/>
  <c r="Y331" i="6"/>
  <c r="Y332" i="6"/>
  <c r="Y333" i="6" s="1"/>
  <c r="Y318" i="6"/>
  <c r="Y319" i="6" s="1"/>
  <c r="Y317" i="6"/>
  <c r="AE137" i="6"/>
  <c r="AE7" i="36" s="1"/>
  <c r="AE266" i="6"/>
  <c r="AE285" i="6" s="1"/>
  <c r="AO263" i="6"/>
  <c r="AO264" i="6"/>
  <c r="AO265" i="6"/>
  <c r="AO262" i="6"/>
  <c r="AO242" i="6"/>
  <c r="AI246" i="6"/>
  <c r="AI263" i="6"/>
  <c r="AI264" i="6"/>
  <c r="AI265" i="6"/>
  <c r="AI262" i="6"/>
  <c r="AI242" i="6"/>
  <c r="AN162" i="6"/>
  <c r="AN8" i="36" s="1"/>
  <c r="AN266" i="6"/>
  <c r="AI252" i="6"/>
  <c r="AI258" i="6"/>
  <c r="AI251" i="6"/>
  <c r="AI257" i="6"/>
  <c r="AI255" i="6"/>
  <c r="AI250" i="6"/>
  <c r="AI259" i="6"/>
  <c r="AI249" i="6"/>
  <c r="AI247" i="6"/>
  <c r="AA261" i="6"/>
  <c r="AA267" i="6" s="1"/>
  <c r="AA277" i="6"/>
  <c r="AO180" i="6"/>
  <c r="AS180" i="6" s="1"/>
  <c r="AW180" i="6" s="1"/>
  <c r="BE180" i="6" s="1"/>
  <c r="Z281" i="6"/>
  <c r="AO181" i="6"/>
  <c r="AS181" i="6" s="1"/>
  <c r="AW181" i="6" s="1"/>
  <c r="BE181" i="6" s="1"/>
  <c r="AH43" i="6"/>
  <c r="AD44" i="6"/>
  <c r="AE9" i="6"/>
  <c r="AA12" i="6"/>
  <c r="AI42" i="6"/>
  <c r="AE44" i="6"/>
  <c r="AE20" i="6"/>
  <c r="Z11" i="6"/>
  <c r="AD8" i="6"/>
  <c r="AE23" i="6"/>
  <c r="AH39" i="6"/>
  <c r="AD41" i="6"/>
  <c r="AI39" i="6"/>
  <c r="AE41" i="6"/>
  <c r="AE26" i="6"/>
  <c r="Z12" i="6"/>
  <c r="AD9" i="6"/>
  <c r="AA11" i="6"/>
  <c r="AE8" i="6"/>
  <c r="AO246" i="6"/>
  <c r="AO254" i="6"/>
  <c r="AO251" i="6"/>
  <c r="AO248" i="6"/>
  <c r="AO255" i="6"/>
  <c r="AO252" i="6"/>
  <c r="AO257" i="6"/>
  <c r="AO247" i="6"/>
  <c r="AO250" i="6"/>
  <c r="AO259" i="6"/>
  <c r="AO253" i="6"/>
  <c r="AO258" i="6"/>
  <c r="AO249" i="6"/>
  <c r="AE168" i="6"/>
  <c r="AI168" i="6" s="1"/>
  <c r="AO168" i="6" s="1"/>
  <c r="AE164" i="6"/>
  <c r="AE163" i="6"/>
  <c r="AH260" i="6"/>
  <c r="AO163" i="6"/>
  <c r="AD261" i="6"/>
  <c r="AD267" i="6" s="1"/>
  <c r="AN253" i="6"/>
  <c r="AN252" i="6"/>
  <c r="AN254" i="6"/>
  <c r="AN251" i="6"/>
  <c r="AN255" i="6"/>
  <c r="AN250" i="6"/>
  <c r="AN257" i="6"/>
  <c r="AN285" i="6"/>
  <c r="AN249" i="6"/>
  <c r="AN248" i="6"/>
  <c r="AN258" i="6"/>
  <c r="AN259" i="6"/>
  <c r="AN247" i="6"/>
  <c r="AN246" i="6"/>
  <c r="AI163" i="6"/>
  <c r="AH256" i="6"/>
  <c r="Z9" i="36"/>
  <c r="AE166" i="6"/>
  <c r="AI166" i="6" s="1"/>
  <c r="AO166" i="6" s="1"/>
  <c r="AE161" i="6"/>
  <c r="AE167" i="6"/>
  <c r="AI167" i="6" s="1"/>
  <c r="AO167" i="6" s="1"/>
  <c r="AI160" i="6"/>
  <c r="AI161" i="6"/>
  <c r="AE162" i="6"/>
  <c r="AE8" i="36" s="1"/>
  <c r="AN137" i="6"/>
  <c r="AN7" i="36" s="1"/>
  <c r="AO160" i="6"/>
  <c r="AO161" i="6"/>
  <c r="AB431" i="3"/>
  <c r="AE224" i="6"/>
  <c r="AA240" i="6"/>
  <c r="AE140" i="6"/>
  <c r="AB430" i="3"/>
  <c r="AE223" i="6"/>
  <c r="AE278" i="6" s="1"/>
  <c r="Z240" i="6"/>
  <c r="AD140" i="6"/>
  <c r="AO48" i="6"/>
  <c r="AS48" i="6" s="1"/>
  <c r="AW48" i="6" s="1"/>
  <c r="BE48" i="6" s="1"/>
  <c r="BE52" i="6" s="1"/>
  <c r="AI52" i="6"/>
  <c r="Q144" i="6"/>
  <c r="U144" i="6" s="1"/>
  <c r="AA144" i="6" s="1"/>
  <c r="AE144" i="6" s="1"/>
  <c r="AI144" i="6" s="1"/>
  <c r="AO144" i="6" s="1"/>
  <c r="AS144" i="6" s="1"/>
  <c r="AW144" i="6" s="1"/>
  <c r="BE144" i="6" s="1"/>
  <c r="Y261" i="6"/>
  <c r="Y267" i="6" s="1"/>
  <c r="U281" i="6"/>
  <c r="U9" i="36"/>
  <c r="X432" i="3"/>
  <c r="Z432" i="3" s="1"/>
  <c r="W225" i="6"/>
  <c r="I9" i="36"/>
  <c r="P157" i="6"/>
  <c r="P152" i="6"/>
  <c r="P54" i="6"/>
  <c r="T14" i="6"/>
  <c r="P55" i="6"/>
  <c r="P156" i="6"/>
  <c r="P60" i="6"/>
  <c r="P67" i="6" s="1"/>
  <c r="T13" i="6"/>
  <c r="P184" i="6"/>
  <c r="P7" i="6"/>
  <c r="P183" i="6"/>
  <c r="P178" i="6"/>
  <c r="P15" i="6"/>
  <c r="P59" i="6" s="1"/>
  <c r="P281" i="6"/>
  <c r="P286" i="6" s="1"/>
  <c r="M261" i="6"/>
  <c r="M267" i="6" s="1"/>
  <c r="E286" i="6"/>
  <c r="X423" i="3"/>
  <c r="X422" i="3"/>
  <c r="X424" i="3"/>
  <c r="U436" i="3"/>
  <c r="W221" i="6" s="1"/>
  <c r="U434" i="3"/>
  <c r="W219" i="6" s="1"/>
  <c r="W274" i="6" s="1"/>
  <c r="U435" i="3"/>
  <c r="W220" i="6" s="1"/>
  <c r="U395" i="3"/>
  <c r="W188" i="6" s="1"/>
  <c r="U396" i="3"/>
  <c r="W189" i="6" s="1"/>
  <c r="U394" i="3"/>
  <c r="W187" i="6" s="1"/>
  <c r="W270" i="6" s="1"/>
  <c r="W277" i="6" s="1"/>
  <c r="W281" i="6" s="1"/>
  <c r="W286" i="6" s="1"/>
  <c r="L56" i="6"/>
  <c r="BE135" i="6" l="1"/>
  <c r="BE138" i="6"/>
  <c r="AW103" i="6"/>
  <c r="BE101" i="6"/>
  <c r="BE103" i="6" s="1"/>
  <c r="BE104" i="6" s="1"/>
  <c r="BE109" i="6" s="1"/>
  <c r="BE160" i="6" s="1"/>
  <c r="BE142" i="6"/>
  <c r="BE242" i="6"/>
  <c r="BE262" i="6"/>
  <c r="BE253" i="6"/>
  <c r="BE265" i="6"/>
  <c r="BE252" i="6"/>
  <c r="BE249" i="6"/>
  <c r="BE250" i="6"/>
  <c r="BE264" i="6"/>
  <c r="BE247" i="6"/>
  <c r="BE256" i="6" s="1"/>
  <c r="BE248" i="6"/>
  <c r="BE254" i="6"/>
  <c r="BE263" i="6"/>
  <c r="BE251" i="6"/>
  <c r="BE255" i="6"/>
  <c r="BE258" i="6"/>
  <c r="BE257" i="6"/>
  <c r="BE259" i="6"/>
  <c r="BE136" i="6"/>
  <c r="BE137" i="6" s="1"/>
  <c r="BE7" i="36" s="1"/>
  <c r="BE141" i="6"/>
  <c r="BD161" i="6"/>
  <c r="BD162" i="6" s="1"/>
  <c r="BD8" i="36" s="1"/>
  <c r="BD164" i="6"/>
  <c r="BD163" i="6"/>
  <c r="AW52" i="6"/>
  <c r="AE261" i="6"/>
  <c r="AE267" i="6" s="1"/>
  <c r="AW131" i="6"/>
  <c r="AW104" i="6"/>
  <c r="AW109" i="6" s="1"/>
  <c r="AW161" i="6" s="1"/>
  <c r="AW137" i="6"/>
  <c r="AW7" i="36" s="1"/>
  <c r="AS154" i="6"/>
  <c r="AW154" i="6" s="1"/>
  <c r="BE154" i="6" s="1"/>
  <c r="AE280" i="6"/>
  <c r="AS52" i="6"/>
  <c r="AS167" i="6"/>
  <c r="AS164" i="6"/>
  <c r="AS160" i="6"/>
  <c r="AS161" i="6"/>
  <c r="AS166" i="6"/>
  <c r="AS168" i="6"/>
  <c r="AS131" i="6"/>
  <c r="AS242" i="6" s="1"/>
  <c r="AS137" i="6"/>
  <c r="AS7" i="36" s="1"/>
  <c r="Y334" i="6"/>
  <c r="Y341" i="6" s="1"/>
  <c r="Y7" i="48" s="1"/>
  <c r="Y320" i="6"/>
  <c r="Y327" i="6" s="1"/>
  <c r="AI266" i="6"/>
  <c r="AO266" i="6"/>
  <c r="AI256" i="6"/>
  <c r="AI260" i="6"/>
  <c r="Z286" i="6"/>
  <c r="AA281" i="6"/>
  <c r="AA9" i="36"/>
  <c r="AO256" i="6"/>
  <c r="AH9" i="6"/>
  <c r="AD12" i="6"/>
  <c r="AI23" i="6"/>
  <c r="AI20" i="6"/>
  <c r="AO260" i="6"/>
  <c r="AO280" i="6" s="1"/>
  <c r="AO285" i="6"/>
  <c r="AO39" i="6"/>
  <c r="AI41" i="6"/>
  <c r="AE12" i="6"/>
  <c r="AI9" i="6"/>
  <c r="AI8" i="6"/>
  <c r="AE11" i="6"/>
  <c r="AD11" i="6"/>
  <c r="AH8" i="6"/>
  <c r="AH261" i="6"/>
  <c r="AI26" i="6"/>
  <c r="AN39" i="6"/>
  <c r="AH41" i="6"/>
  <c r="AO42" i="6"/>
  <c r="AI44" i="6"/>
  <c r="AH44" i="6"/>
  <c r="AN43" i="6"/>
  <c r="AO162" i="6"/>
  <c r="AO8" i="36" s="1"/>
  <c r="AE9" i="36"/>
  <c r="AN260" i="6"/>
  <c r="AN280" i="6" s="1"/>
  <c r="AD9" i="36"/>
  <c r="AN256" i="6"/>
  <c r="AD281" i="6"/>
  <c r="AI162" i="6"/>
  <c r="AI8" i="36" s="1"/>
  <c r="AB432" i="3"/>
  <c r="AE225" i="6"/>
  <c r="Y281" i="6"/>
  <c r="Y9" i="36"/>
  <c r="AH140" i="6"/>
  <c r="AD240" i="6"/>
  <c r="AO52" i="6"/>
  <c r="AE240" i="6"/>
  <c r="AI140" i="6"/>
  <c r="T55" i="6"/>
  <c r="Z14" i="6"/>
  <c r="U286" i="6"/>
  <c r="M9" i="36"/>
  <c r="T54" i="6"/>
  <c r="Z13" i="6"/>
  <c r="T184" i="6"/>
  <c r="T178" i="6"/>
  <c r="T183" i="6"/>
  <c r="T157" i="6"/>
  <c r="Z157" i="6" s="1"/>
  <c r="T15" i="6"/>
  <c r="T59" i="6" s="1"/>
  <c r="T152" i="6"/>
  <c r="T60" i="6"/>
  <c r="T67" i="6" s="1"/>
  <c r="T156" i="6"/>
  <c r="P56" i="6"/>
  <c r="Z422" i="3"/>
  <c r="Z424" i="3"/>
  <c r="Z423" i="3"/>
  <c r="X436" i="3"/>
  <c r="X434" i="3"/>
  <c r="X435" i="3"/>
  <c r="X394" i="3"/>
  <c r="X396" i="3"/>
  <c r="X395" i="3"/>
  <c r="BE164" i="6" l="1"/>
  <c r="BE163" i="6"/>
  <c r="BE277" i="6"/>
  <c r="BE161" i="6"/>
  <c r="BE162" i="6" s="1"/>
  <c r="BE8" i="36" s="1"/>
  <c r="BE260" i="6"/>
  <c r="BE280" i="6" s="1"/>
  <c r="BE266" i="6"/>
  <c r="BE285" i="6" s="1"/>
  <c r="AW168" i="6"/>
  <c r="BE168" i="6" s="1"/>
  <c r="AW166" i="6"/>
  <c r="BE166" i="6" s="1"/>
  <c r="AW167" i="6"/>
  <c r="BE167" i="6" s="1"/>
  <c r="Y343" i="6"/>
  <c r="AW160" i="6"/>
  <c r="AW164" i="6"/>
  <c r="AW163" i="6"/>
  <c r="AW263" i="6"/>
  <c r="AW264" i="6"/>
  <c r="AW265" i="6"/>
  <c r="AW247" i="6"/>
  <c r="AW252" i="6"/>
  <c r="AW255" i="6"/>
  <c r="AW254" i="6"/>
  <c r="AW248" i="6"/>
  <c r="AW253" i="6"/>
  <c r="AW251" i="6"/>
  <c r="AW258" i="6"/>
  <c r="AW250" i="6"/>
  <c r="AW249" i="6"/>
  <c r="AW262" i="6"/>
  <c r="AW257" i="6"/>
  <c r="AW259" i="6"/>
  <c r="AW246" i="6"/>
  <c r="AW162" i="6"/>
  <c r="AW8" i="36" s="1"/>
  <c r="AW242" i="6"/>
  <c r="Y6" i="48"/>
  <c r="Y8" i="48" s="1"/>
  <c r="AN41" i="6"/>
  <c r="AR39" i="6"/>
  <c r="AO44" i="6"/>
  <c r="AS42" i="6"/>
  <c r="AO41" i="6"/>
  <c r="AS39" i="6"/>
  <c r="AN44" i="6"/>
  <c r="AR43" i="6"/>
  <c r="AS263" i="6"/>
  <c r="AS264" i="6"/>
  <c r="AS265" i="6"/>
  <c r="AS247" i="6"/>
  <c r="AS252" i="6"/>
  <c r="AS255" i="6"/>
  <c r="AS248" i="6"/>
  <c r="AS254" i="6"/>
  <c r="AS251" i="6"/>
  <c r="AS253" i="6"/>
  <c r="AS258" i="6"/>
  <c r="AS250" i="6"/>
  <c r="AS249" i="6"/>
  <c r="AS262" i="6"/>
  <c r="AS257" i="6"/>
  <c r="AS259" i="6"/>
  <c r="AS246" i="6"/>
  <c r="AS162" i="6"/>
  <c r="AS8" i="36" s="1"/>
  <c r="AI261" i="6"/>
  <c r="AI267" i="6" s="1"/>
  <c r="AH9" i="36"/>
  <c r="AH267" i="6"/>
  <c r="AN261" i="6"/>
  <c r="AN267" i="6" s="1"/>
  <c r="AA286" i="6"/>
  <c r="AO23" i="6"/>
  <c r="AS23" i="6" s="1"/>
  <c r="AW23" i="6" s="1"/>
  <c r="BE23" i="6" s="1"/>
  <c r="AO26" i="6"/>
  <c r="AS26" i="6" s="1"/>
  <c r="AW26" i="6" s="1"/>
  <c r="BE26" i="6" s="1"/>
  <c r="AO8" i="6"/>
  <c r="AI11" i="6"/>
  <c r="AO20" i="6"/>
  <c r="AS20" i="6" s="1"/>
  <c r="AW20" i="6" s="1"/>
  <c r="BE20" i="6" s="1"/>
  <c r="AH12" i="6"/>
  <c r="AN9" i="6"/>
  <c r="AN277" i="6"/>
  <c r="AN8" i="6"/>
  <c r="AH11" i="6"/>
  <c r="AO9" i="6"/>
  <c r="AI12" i="6"/>
  <c r="AO277" i="6"/>
  <c r="AO261" i="6"/>
  <c r="AO267" i="6" s="1"/>
  <c r="AD286" i="6"/>
  <c r="Y286" i="6"/>
  <c r="AB422" i="3"/>
  <c r="AE211" i="6"/>
  <c r="AB424" i="3"/>
  <c r="AE213" i="6"/>
  <c r="AB423" i="3"/>
  <c r="AE212" i="6"/>
  <c r="AO140" i="6"/>
  <c r="AI240" i="6"/>
  <c r="AN140" i="6"/>
  <c r="AH240" i="6"/>
  <c r="Z58" i="6"/>
  <c r="AD14" i="6"/>
  <c r="Z57" i="6"/>
  <c r="AD13" i="6"/>
  <c r="Z184" i="6"/>
  <c r="Z55" i="6"/>
  <c r="Z178" i="6"/>
  <c r="Z183" i="6"/>
  <c r="Z152" i="6"/>
  <c r="Z54" i="6"/>
  <c r="Z60" i="6"/>
  <c r="Z67" i="6" s="1"/>
  <c r="Z15" i="6"/>
  <c r="Z156" i="6"/>
  <c r="T56" i="6"/>
  <c r="Z436" i="3"/>
  <c r="AE221" i="6" s="1"/>
  <c r="Z434" i="3"/>
  <c r="Z435" i="3"/>
  <c r="Z395" i="3"/>
  <c r="Z394" i="3"/>
  <c r="Z396" i="3"/>
  <c r="BE261" i="6" l="1"/>
  <c r="AW266" i="6"/>
  <c r="AW256" i="6"/>
  <c r="AS41" i="6"/>
  <c r="AW39" i="6"/>
  <c r="BE39" i="6" s="1"/>
  <c r="BE41" i="6" s="1"/>
  <c r="AR41" i="6"/>
  <c r="AV39" i="6"/>
  <c r="BD39" i="6" s="1"/>
  <c r="BD41" i="6" s="1"/>
  <c r="AW260" i="6"/>
  <c r="AR44" i="6"/>
  <c r="AV43" i="6"/>
  <c r="AS44" i="6"/>
  <c r="AW42" i="6"/>
  <c r="AN11" i="6"/>
  <c r="AR8" i="6"/>
  <c r="AO12" i="6"/>
  <c r="AS9" i="6"/>
  <c r="AN12" i="6"/>
  <c r="AR9" i="6"/>
  <c r="AO11" i="6"/>
  <c r="AS8" i="6"/>
  <c r="AS260" i="6"/>
  <c r="AS266" i="6"/>
  <c r="AS256" i="6"/>
  <c r="AO240" i="6"/>
  <c r="AS140" i="6"/>
  <c r="AN240" i="6"/>
  <c r="AR140" i="6"/>
  <c r="AN281" i="6"/>
  <c r="AN286" i="6" s="1"/>
  <c r="AI9" i="36"/>
  <c r="AH13" i="6"/>
  <c r="AH60" i="6" s="1"/>
  <c r="AH67" i="6" s="1"/>
  <c r="AH14" i="6"/>
  <c r="AH55" i="6" s="1"/>
  <c r="AN9" i="36"/>
  <c r="AO281" i="6"/>
  <c r="AO286" i="6" s="1"/>
  <c r="AO9" i="36"/>
  <c r="AD184" i="6"/>
  <c r="AB434" i="3"/>
  <c r="AE219" i="6"/>
  <c r="AE274" i="6" s="1"/>
  <c r="AB435" i="3"/>
  <c r="AE220" i="6"/>
  <c r="AB396" i="3"/>
  <c r="AE189" i="6"/>
  <c r="AD57" i="6"/>
  <c r="AB394" i="3"/>
  <c r="AE187" i="6"/>
  <c r="AE270" i="6" s="1"/>
  <c r="AE277" i="6" s="1"/>
  <c r="AE281" i="6" s="1"/>
  <c r="AE286" i="6" s="1"/>
  <c r="AB395" i="3"/>
  <c r="AE188" i="6"/>
  <c r="AD157" i="6"/>
  <c r="Z59" i="6"/>
  <c r="AD58" i="6"/>
  <c r="AD156" i="6"/>
  <c r="AD54" i="6"/>
  <c r="AD60" i="6"/>
  <c r="AD67" i="6" s="1"/>
  <c r="AD15" i="6"/>
  <c r="AD152" i="6"/>
  <c r="AD55" i="6"/>
  <c r="AD183" i="6"/>
  <c r="AD178" i="6"/>
  <c r="Z56" i="6"/>
  <c r="AB436" i="3"/>
  <c r="AF423" i="3"/>
  <c r="AF422" i="3"/>
  <c r="AF424" i="3"/>
  <c r="AW44" i="6" l="1"/>
  <c r="BE42" i="6"/>
  <c r="BE44" i="6" s="1"/>
  <c r="BE9" i="36"/>
  <c r="BE267" i="6"/>
  <c r="BE281" i="6"/>
  <c r="BE286" i="6" s="1"/>
  <c r="AV44" i="6"/>
  <c r="BD43" i="6"/>
  <c r="BD44" i="6" s="1"/>
  <c r="AS240" i="6"/>
  <c r="AW140" i="6"/>
  <c r="AS12" i="6"/>
  <c r="AW9" i="6"/>
  <c r="AW41" i="6"/>
  <c r="AS11" i="6"/>
  <c r="AW8" i="6"/>
  <c r="AR240" i="6"/>
  <c r="AV140" i="6"/>
  <c r="AR12" i="6"/>
  <c r="AV9" i="6"/>
  <c r="AR11" i="6"/>
  <c r="AV8" i="6"/>
  <c r="AV41" i="6"/>
  <c r="AW261" i="6"/>
  <c r="AN13" i="6"/>
  <c r="AN152" i="6" s="1"/>
  <c r="AS261" i="6"/>
  <c r="AS9" i="36" s="1"/>
  <c r="AH183" i="6"/>
  <c r="AH178" i="6"/>
  <c r="AH54" i="6"/>
  <c r="AH157" i="6"/>
  <c r="AH15" i="6"/>
  <c r="AH59" i="6" s="1"/>
  <c r="AH152" i="6"/>
  <c r="AH156" i="6"/>
  <c r="AN14" i="6"/>
  <c r="AD59" i="6"/>
  <c r="AH184" i="6"/>
  <c r="AN54" i="6"/>
  <c r="AD56" i="6"/>
  <c r="E36" i="21"/>
  <c r="E32" i="21"/>
  <c r="AW12" i="6" l="1"/>
  <c r="BE9" i="6"/>
  <c r="BE12" i="6" s="1"/>
  <c r="AV12" i="6"/>
  <c r="BD9" i="6"/>
  <c r="BD12" i="6" s="1"/>
  <c r="AW11" i="6"/>
  <c r="BE8" i="6"/>
  <c r="BE11" i="6" s="1"/>
  <c r="AV11" i="6"/>
  <c r="BD8" i="6"/>
  <c r="BD11" i="6" s="1"/>
  <c r="AW240" i="6"/>
  <c r="BE140" i="6"/>
  <c r="BE240" i="6" s="1"/>
  <c r="AV240" i="6"/>
  <c r="BD140" i="6"/>
  <c r="BD240" i="6" s="1"/>
  <c r="AN157" i="6"/>
  <c r="AW267" i="6"/>
  <c r="AW9" i="36"/>
  <c r="AN55" i="6"/>
  <c r="AR13" i="6"/>
  <c r="AR156" i="6" s="1"/>
  <c r="AN58" i="6"/>
  <c r="AR14" i="6"/>
  <c r="AN156" i="6"/>
  <c r="AN57" i="6"/>
  <c r="AR57" i="6" s="1"/>
  <c r="AN60" i="6"/>
  <c r="AN67" i="6" s="1"/>
  <c r="AS267" i="6"/>
  <c r="AN178" i="6"/>
  <c r="AN183" i="6"/>
  <c r="AN184" i="6"/>
  <c r="AH56" i="6"/>
  <c r="AN15" i="6"/>
  <c r="M12" i="15"/>
  <c r="M13" i="15" s="1"/>
  <c r="N981" i="3"/>
  <c r="AR152" i="6" l="1"/>
  <c r="AR157" i="6"/>
  <c r="AR60" i="6"/>
  <c r="AR67" i="6" s="1"/>
  <c r="AV13" i="6"/>
  <c r="BD13" i="6" s="1"/>
  <c r="AV14" i="6"/>
  <c r="BD14" i="6" s="1"/>
  <c r="AR15" i="6"/>
  <c r="AR54" i="6"/>
  <c r="AR58" i="6"/>
  <c r="AR184" i="6"/>
  <c r="AV184" i="6" s="1"/>
  <c r="AN59" i="6"/>
  <c r="AR183" i="6"/>
  <c r="AR55" i="6"/>
  <c r="AR178" i="6"/>
  <c r="AN56" i="6"/>
  <c r="U12" i="15"/>
  <c r="U13" i="15" s="1"/>
  <c r="Q12" i="15"/>
  <c r="Q13" i="15" s="1"/>
  <c r="Q981" i="3"/>
  <c r="H38" i="21"/>
  <c r="L38" i="21" s="1"/>
  <c r="P38" i="21" s="1"/>
  <c r="T38" i="21" s="1"/>
  <c r="Z38" i="21" s="1"/>
  <c r="AD38" i="21" s="1"/>
  <c r="AH38" i="21" s="1"/>
  <c r="AN38" i="21" s="1"/>
  <c r="AR38" i="21" s="1"/>
  <c r="AV38" i="21" s="1"/>
  <c r="BD38" i="21" s="1"/>
  <c r="H37" i="21"/>
  <c r="L37" i="21" s="1"/>
  <c r="P37" i="21" s="1"/>
  <c r="T37" i="21" s="1"/>
  <c r="Z37" i="21" s="1"/>
  <c r="AD37" i="21" s="1"/>
  <c r="AH37" i="21" s="1"/>
  <c r="AN37" i="21" s="1"/>
  <c r="AR37" i="21" s="1"/>
  <c r="AV37" i="21" s="1"/>
  <c r="BD37" i="21" s="1"/>
  <c r="H27" i="21"/>
  <c r="H26" i="21"/>
  <c r="L26" i="21" s="1"/>
  <c r="P26" i="21" s="1"/>
  <c r="T26" i="21" s="1"/>
  <c r="Z26" i="21" s="1"/>
  <c r="AD26" i="21" s="1"/>
  <c r="AH26" i="21" s="1"/>
  <c r="AN26" i="21" s="1"/>
  <c r="AR26" i="21" s="1"/>
  <c r="AV26" i="21" s="1"/>
  <c r="BD26" i="21" s="1"/>
  <c r="H25" i="21"/>
  <c r="L25" i="21" s="1"/>
  <c r="I38" i="21"/>
  <c r="M38" i="21" s="1"/>
  <c r="Q38" i="21" s="1"/>
  <c r="U38" i="21" s="1"/>
  <c r="AA38" i="21" s="1"/>
  <c r="AE38" i="21" s="1"/>
  <c r="AI38" i="21" s="1"/>
  <c r="AO38" i="21" s="1"/>
  <c r="AS38" i="21" s="1"/>
  <c r="AW38" i="21" s="1"/>
  <c r="BE38" i="21" s="1"/>
  <c r="I37" i="21"/>
  <c r="M37" i="21" s="1"/>
  <c r="Q37" i="21" s="1"/>
  <c r="U37" i="21" s="1"/>
  <c r="AA37" i="21" s="1"/>
  <c r="AE37" i="21" s="1"/>
  <c r="AI37" i="21" s="1"/>
  <c r="AO37" i="21" s="1"/>
  <c r="AS37" i="21" s="1"/>
  <c r="AW37" i="21" s="1"/>
  <c r="BE37" i="21" s="1"/>
  <c r="I35" i="21"/>
  <c r="M35" i="21" s="1"/>
  <c r="Q35" i="21" s="1"/>
  <c r="U35" i="21" s="1"/>
  <c r="AA35" i="21" s="1"/>
  <c r="AE35" i="21" s="1"/>
  <c r="AI35" i="21" s="1"/>
  <c r="AO35" i="21" s="1"/>
  <c r="AS35" i="21" s="1"/>
  <c r="AW35" i="21" s="1"/>
  <c r="BE35" i="21" s="1"/>
  <c r="I34" i="21"/>
  <c r="M34" i="21" s="1"/>
  <c r="Q34" i="21" s="1"/>
  <c r="U34" i="21" s="1"/>
  <c r="AA34" i="21" s="1"/>
  <c r="I31" i="21"/>
  <c r="M31" i="21" s="1"/>
  <c r="Q31" i="21" s="1"/>
  <c r="U31" i="21" s="1"/>
  <c r="AA31" i="21" s="1"/>
  <c r="AE31" i="21" s="1"/>
  <c r="AI31" i="21" s="1"/>
  <c r="AO31" i="21" s="1"/>
  <c r="AS31" i="21" s="1"/>
  <c r="AW31" i="21" s="1"/>
  <c r="BE31" i="21" s="1"/>
  <c r="I30" i="21"/>
  <c r="M30" i="21" s="1"/>
  <c r="I27" i="21"/>
  <c r="M27" i="21" s="1"/>
  <c r="Q27" i="21" s="1"/>
  <c r="U27" i="21" s="1"/>
  <c r="AA27" i="21" s="1"/>
  <c r="AE27" i="21" s="1"/>
  <c r="AI27" i="21" s="1"/>
  <c r="AO27" i="21" s="1"/>
  <c r="AS27" i="21" s="1"/>
  <c r="AW27" i="21" s="1"/>
  <c r="BE27" i="21" s="1"/>
  <c r="I26" i="21"/>
  <c r="M26" i="21" s="1"/>
  <c r="Q26" i="21" s="1"/>
  <c r="U26" i="21" s="1"/>
  <c r="AA26" i="21" s="1"/>
  <c r="AE26" i="21" s="1"/>
  <c r="AI26" i="21" s="1"/>
  <c r="AO26" i="21" s="1"/>
  <c r="AS26" i="21" s="1"/>
  <c r="AW26" i="21" s="1"/>
  <c r="BE26" i="21" s="1"/>
  <c r="I14" i="21"/>
  <c r="M14" i="21" s="1"/>
  <c r="Q14" i="21" s="1"/>
  <c r="U14" i="21" s="1"/>
  <c r="AA14" i="21" s="1"/>
  <c r="AE14" i="21" s="1"/>
  <c r="AI14" i="21" s="1"/>
  <c r="AO14" i="21" s="1"/>
  <c r="AS14" i="21" s="1"/>
  <c r="AW14" i="21" s="1"/>
  <c r="BE14" i="21" s="1"/>
  <c r="H11" i="21"/>
  <c r="L11" i="21" s="1"/>
  <c r="P11" i="21" s="1"/>
  <c r="T11" i="21" s="1"/>
  <c r="Z11" i="21" s="1"/>
  <c r="AD11" i="21" s="1"/>
  <c r="AH11" i="21" s="1"/>
  <c r="AN11" i="21" s="1"/>
  <c r="AR11" i="21" s="1"/>
  <c r="AV11" i="21" s="1"/>
  <c r="BD11" i="21" s="1"/>
  <c r="H10" i="21"/>
  <c r="L10" i="21" s="1"/>
  <c r="P10" i="21" s="1"/>
  <c r="T10" i="21" s="1"/>
  <c r="Z10" i="21" s="1"/>
  <c r="AD10" i="21" s="1"/>
  <c r="AH10" i="21" s="1"/>
  <c r="AN10" i="21" s="1"/>
  <c r="AR10" i="21" s="1"/>
  <c r="AV10" i="21" s="1"/>
  <c r="BD10" i="21" s="1"/>
  <c r="H9" i="21"/>
  <c r="L9" i="21" s="1"/>
  <c r="P9" i="21" s="1"/>
  <c r="T9" i="21" s="1"/>
  <c r="Z9" i="21" s="1"/>
  <c r="AD9" i="21" s="1"/>
  <c r="AH9" i="21" s="1"/>
  <c r="AN9" i="21" s="1"/>
  <c r="AR9" i="21" s="1"/>
  <c r="AV9" i="21" s="1"/>
  <c r="BD9" i="21" s="1"/>
  <c r="H8" i="21"/>
  <c r="D21" i="21"/>
  <c r="AV58" i="6" l="1"/>
  <c r="BD58" i="6" s="1"/>
  <c r="BD54" i="6"/>
  <c r="BD60" i="6"/>
  <c r="BD67" i="6" s="1"/>
  <c r="BD15" i="6"/>
  <c r="BD156" i="6"/>
  <c r="BD152" i="6"/>
  <c r="BD184" i="6"/>
  <c r="BD55" i="6"/>
  <c r="BD178" i="6"/>
  <c r="BD183" i="6"/>
  <c r="AV157" i="6"/>
  <c r="BD157" i="6" s="1"/>
  <c r="AV57" i="6"/>
  <c r="BD57" i="6" s="1"/>
  <c r="BD59" i="6" s="1"/>
  <c r="AV156" i="6"/>
  <c r="AV152" i="6"/>
  <c r="AV60" i="6"/>
  <c r="AV67" i="6" s="1"/>
  <c r="AV54" i="6"/>
  <c r="AR56" i="6"/>
  <c r="AR59" i="6"/>
  <c r="AV15" i="6"/>
  <c r="AV178" i="6"/>
  <c r="AV55" i="6"/>
  <c r="AV183" i="6"/>
  <c r="AE34" i="21"/>
  <c r="AA36" i="21"/>
  <c r="U36" i="21"/>
  <c r="S981" i="3"/>
  <c r="H34" i="21"/>
  <c r="L34" i="21" s="1"/>
  <c r="P34" i="21" s="1"/>
  <c r="T34" i="21" s="1"/>
  <c r="Z34" i="21" s="1"/>
  <c r="AD34" i="21" s="1"/>
  <c r="AH34" i="21" s="1"/>
  <c r="AN34" i="21" s="1"/>
  <c r="AR34" i="21" s="1"/>
  <c r="AV34" i="21" s="1"/>
  <c r="BD34" i="21" s="1"/>
  <c r="L8" i="21"/>
  <c r="L12" i="21" s="1"/>
  <c r="L21" i="21" s="1"/>
  <c r="H12" i="21"/>
  <c r="H21" i="21" s="1"/>
  <c r="H28" i="21"/>
  <c r="L27" i="21"/>
  <c r="P27" i="21" s="1"/>
  <c r="T27" i="21" s="1"/>
  <c r="Z27" i="21" s="1"/>
  <c r="AD27" i="21" s="1"/>
  <c r="AH27" i="21" s="1"/>
  <c r="AN27" i="21" s="1"/>
  <c r="AR27" i="21" s="1"/>
  <c r="AV27" i="21" s="1"/>
  <c r="BD27" i="21" s="1"/>
  <c r="P25" i="21"/>
  <c r="T25" i="21" s="1"/>
  <c r="Z25" i="21" s="1"/>
  <c r="Q36" i="21"/>
  <c r="M32" i="21"/>
  <c r="Q30" i="21"/>
  <c r="U30" i="21" s="1"/>
  <c r="M36" i="21"/>
  <c r="I32" i="21"/>
  <c r="I36" i="21"/>
  <c r="BB59" i="6" l="1"/>
  <c r="BD56" i="6"/>
  <c r="AV59" i="6"/>
  <c r="AV56" i="6"/>
  <c r="U32" i="21"/>
  <c r="AA30" i="21"/>
  <c r="AI34" i="21"/>
  <c r="AE36" i="21"/>
  <c r="Z28" i="21"/>
  <c r="AD25" i="21"/>
  <c r="T28" i="21"/>
  <c r="P8" i="21"/>
  <c r="T8" i="21" s="1"/>
  <c r="L28" i="21"/>
  <c r="U981" i="3"/>
  <c r="H14" i="21"/>
  <c r="L14" i="21" s="1"/>
  <c r="P14" i="21" s="1"/>
  <c r="T14" i="21" s="1"/>
  <c r="Z14" i="21" s="1"/>
  <c r="AD14" i="21" s="1"/>
  <c r="AH14" i="21" s="1"/>
  <c r="AN14" i="21" s="1"/>
  <c r="AR14" i="21" s="1"/>
  <c r="AV14" i="21" s="1"/>
  <c r="BD14" i="21" s="1"/>
  <c r="P28" i="21"/>
  <c r="Q32" i="21"/>
  <c r="H1127" i="3"/>
  <c r="J1127" i="3" s="1"/>
  <c r="Q1127" i="3" s="1"/>
  <c r="S1127" i="3" s="1"/>
  <c r="U1127" i="3" s="1"/>
  <c r="X1127" i="3" s="1"/>
  <c r="Z1127" i="3" s="1"/>
  <c r="H1125" i="3"/>
  <c r="H1123" i="3"/>
  <c r="H1121" i="3"/>
  <c r="J1121" i="3" s="1"/>
  <c r="H1020" i="3"/>
  <c r="H1129" i="3" s="1"/>
  <c r="AI36" i="21" l="1"/>
  <c r="AO34" i="21"/>
  <c r="AA32" i="21"/>
  <c r="AE30" i="21"/>
  <c r="AH25" i="21"/>
  <c r="AD28" i="21"/>
  <c r="T12" i="21"/>
  <c r="T21" i="21" s="1"/>
  <c r="Z8" i="21"/>
  <c r="AB1127" i="3"/>
  <c r="AF1127" i="3" s="1"/>
  <c r="P12" i="21"/>
  <c r="P21" i="21" s="1"/>
  <c r="X981" i="3"/>
  <c r="Z981" i="3" s="1"/>
  <c r="AB981" i="3" s="1"/>
  <c r="AF981" i="3" s="1"/>
  <c r="J1123" i="3"/>
  <c r="L1121" i="3"/>
  <c r="N1121" i="3" s="1"/>
  <c r="Q1121" i="3" s="1"/>
  <c r="S1121" i="3" s="1"/>
  <c r="U1121" i="3" s="1"/>
  <c r="X1121" i="3" s="1"/>
  <c r="Z1121" i="3" s="1"/>
  <c r="J1020" i="3"/>
  <c r="J1128" i="3" s="1"/>
  <c r="L1127" i="3"/>
  <c r="N1127" i="3" s="1"/>
  <c r="J1125" i="3"/>
  <c r="H1122" i="3"/>
  <c r="H1124" i="3"/>
  <c r="H1128" i="3"/>
  <c r="H1330" i="3"/>
  <c r="AS34" i="21" l="1"/>
  <c r="AO36" i="21"/>
  <c r="AH28" i="21"/>
  <c r="AN25" i="21"/>
  <c r="AI30" i="21"/>
  <c r="AE32" i="21"/>
  <c r="Z12" i="21"/>
  <c r="Z21" i="21" s="1"/>
  <c r="AD8" i="21"/>
  <c r="AB1121" i="3"/>
  <c r="AF1121" i="3" s="1"/>
  <c r="J1122" i="3"/>
  <c r="L1123" i="3"/>
  <c r="J1129" i="3"/>
  <c r="L1020" i="3"/>
  <c r="L1125" i="3"/>
  <c r="J1124" i="3"/>
  <c r="H19" i="3"/>
  <c r="J19" i="3" s="1"/>
  <c r="H20" i="3"/>
  <c r="J20" i="3" s="1"/>
  <c r="L20" i="3" s="1"/>
  <c r="N20" i="3" s="1"/>
  <c r="Q20" i="3" s="1"/>
  <c r="S20" i="3" s="1"/>
  <c r="U20" i="3" s="1"/>
  <c r="X20" i="3" s="1"/>
  <c r="Z20" i="3" s="1"/>
  <c r="AS36" i="21" l="1"/>
  <c r="AW34" i="21"/>
  <c r="AR25" i="21"/>
  <c r="AN28" i="21"/>
  <c r="AI32" i="21"/>
  <c r="AO30" i="21"/>
  <c r="AD12" i="21"/>
  <c r="AD21" i="21" s="1"/>
  <c r="AH8" i="21"/>
  <c r="AB20" i="3"/>
  <c r="AF20" i="3" s="1"/>
  <c r="L1122" i="3"/>
  <c r="N1123" i="3"/>
  <c r="N1122" i="3" s="1"/>
  <c r="L1129" i="3"/>
  <c r="H459" i="3"/>
  <c r="J459" i="3" s="1"/>
  <c r="L1124" i="3"/>
  <c r="N1125" i="3"/>
  <c r="L1128" i="3"/>
  <c r="N1020" i="3"/>
  <c r="J21" i="3"/>
  <c r="L19" i="3"/>
  <c r="H21" i="3"/>
  <c r="H1253" i="3"/>
  <c r="H1251" i="3"/>
  <c r="H1249" i="3"/>
  <c r="J1249" i="3" s="1"/>
  <c r="H1248" i="3"/>
  <c r="J1248" i="3" s="1"/>
  <c r="H1246" i="3"/>
  <c r="J1246" i="3" s="1"/>
  <c r="H1245" i="3"/>
  <c r="J1245" i="3" s="1"/>
  <c r="Q1245" i="3" s="1"/>
  <c r="S1245" i="3" s="1"/>
  <c r="U1245" i="3" s="1"/>
  <c r="X1245" i="3" s="1"/>
  <c r="Z1245" i="3" s="1"/>
  <c r="AW36" i="21" l="1"/>
  <c r="BE34" i="21"/>
  <c r="BE36" i="21" s="1"/>
  <c r="AR28" i="21"/>
  <c r="AV25" i="21"/>
  <c r="AS30" i="21"/>
  <c r="AO32" i="21"/>
  <c r="AH12" i="21"/>
  <c r="AH21" i="21" s="1"/>
  <c r="AN8" i="21"/>
  <c r="AB1245" i="3"/>
  <c r="Q1123" i="3"/>
  <c r="N1129" i="3"/>
  <c r="Q1125" i="3"/>
  <c r="L459" i="3"/>
  <c r="H1255" i="3"/>
  <c r="L1248" i="3"/>
  <c r="N1248" i="3" s="1"/>
  <c r="Q1248" i="3"/>
  <c r="S1248" i="3" s="1"/>
  <c r="U1248" i="3" s="1"/>
  <c r="X1248" i="3" s="1"/>
  <c r="Z1248" i="3" s="1"/>
  <c r="L1246" i="3"/>
  <c r="N1246" i="3" s="1"/>
  <c r="Q1246" i="3"/>
  <c r="L1249" i="3"/>
  <c r="N1249" i="3" s="1"/>
  <c r="Q1249" i="3"/>
  <c r="S1249" i="3" s="1"/>
  <c r="U1249" i="3" s="1"/>
  <c r="X1249" i="3" s="1"/>
  <c r="Z1249" i="3" s="1"/>
  <c r="N1124" i="3"/>
  <c r="L21" i="3"/>
  <c r="N19" i="3"/>
  <c r="N1128" i="3"/>
  <c r="L1245" i="3"/>
  <c r="J1247" i="3"/>
  <c r="H1250" i="3"/>
  <c r="H1247" i="3"/>
  <c r="H1011" i="3"/>
  <c r="J1011" i="3" s="1"/>
  <c r="H1009" i="3"/>
  <c r="H1007" i="3"/>
  <c r="J1007" i="3" s="1"/>
  <c r="Q1007" i="3" s="1"/>
  <c r="N922" i="3"/>
  <c r="G28" i="6"/>
  <c r="G25" i="6"/>
  <c r="G22" i="6"/>
  <c r="AV28" i="21" l="1"/>
  <c r="BD25" i="21"/>
  <c r="BD28" i="21" s="1"/>
  <c r="AS32" i="21"/>
  <c r="AW30" i="21"/>
  <c r="AN12" i="21"/>
  <c r="AN21" i="21" s="1"/>
  <c r="AR8" i="21"/>
  <c r="AB1249" i="3"/>
  <c r="AF1249" i="3" s="1"/>
  <c r="AB1248" i="3"/>
  <c r="AF1245" i="3"/>
  <c r="N1250" i="3"/>
  <c r="Q1122" i="3"/>
  <c r="S1123" i="3"/>
  <c r="Q922" i="3"/>
  <c r="S922" i="3" s="1"/>
  <c r="S1125" i="3"/>
  <c r="Q1124" i="3"/>
  <c r="N977" i="3"/>
  <c r="N978" i="3"/>
  <c r="N459" i="3"/>
  <c r="Z1250" i="3"/>
  <c r="X1250" i="3"/>
  <c r="U1250" i="3"/>
  <c r="S1007" i="3"/>
  <c r="L1250" i="3"/>
  <c r="S1250" i="3"/>
  <c r="Q1247" i="3"/>
  <c r="S1246" i="3"/>
  <c r="L1011" i="3"/>
  <c r="N1011" i="3" s="1"/>
  <c r="Q1011" i="3"/>
  <c r="N21" i="3"/>
  <c r="Q19" i="3"/>
  <c r="L1247" i="3"/>
  <c r="N1245" i="3"/>
  <c r="N1247" i="3" s="1"/>
  <c r="L1007" i="3"/>
  <c r="J1009" i="3"/>
  <c r="I71" i="7"/>
  <c r="M71" i="7" s="1"/>
  <c r="Q71" i="7" s="1"/>
  <c r="U71" i="7" s="1"/>
  <c r="AA71" i="7" s="1"/>
  <c r="AE71" i="7" s="1"/>
  <c r="AI71" i="7" s="1"/>
  <c r="AO71" i="7" s="1"/>
  <c r="AS71" i="7" s="1"/>
  <c r="AW71" i="7" s="1"/>
  <c r="BE71" i="7" s="1"/>
  <c r="H1008" i="3"/>
  <c r="H1010" i="3"/>
  <c r="AW32" i="21" l="1"/>
  <c r="BE30" i="21"/>
  <c r="BE32" i="21" s="1"/>
  <c r="AR12" i="21"/>
  <c r="AR21" i="21" s="1"/>
  <c r="AV8" i="21"/>
  <c r="H33" i="22"/>
  <c r="AB1250" i="3"/>
  <c r="AF1248" i="3"/>
  <c r="S1122" i="3"/>
  <c r="U1123" i="3"/>
  <c r="U1122" i="3" s="1"/>
  <c r="G94" i="26"/>
  <c r="U922" i="3"/>
  <c r="Q977" i="3"/>
  <c r="S977" i="3" s="1"/>
  <c r="U977" i="3" s="1"/>
  <c r="X977" i="3" s="1"/>
  <c r="Z977" i="3" s="1"/>
  <c r="AB977" i="3" s="1"/>
  <c r="AF977" i="3" s="1"/>
  <c r="Q978" i="3"/>
  <c r="S978" i="3" s="1"/>
  <c r="U978" i="3" s="1"/>
  <c r="X978" i="3" s="1"/>
  <c r="Z978" i="3" s="1"/>
  <c r="AB978" i="3" s="1"/>
  <c r="AF978" i="3" s="1"/>
  <c r="S1124" i="3"/>
  <c r="U1125" i="3"/>
  <c r="N982" i="3"/>
  <c r="N998" i="3"/>
  <c r="N1001" i="3"/>
  <c r="N989" i="3"/>
  <c r="N1002" i="3"/>
  <c r="N990" i="3"/>
  <c r="N997" i="3"/>
  <c r="N991" i="3"/>
  <c r="N983" i="3"/>
  <c r="Q459" i="3"/>
  <c r="U1007" i="3"/>
  <c r="X1007" i="3" s="1"/>
  <c r="S1247" i="3"/>
  <c r="U1246" i="3"/>
  <c r="S1011" i="3"/>
  <c r="U1011" i="3" s="1"/>
  <c r="X1011" i="3" s="1"/>
  <c r="Z1011" i="3" s="1"/>
  <c r="AB1011" i="3" s="1"/>
  <c r="Q21" i="3"/>
  <c r="S19" i="3"/>
  <c r="L1009" i="3"/>
  <c r="N1009" i="3" s="1"/>
  <c r="Q1009" i="3"/>
  <c r="J53" i="11"/>
  <c r="J46" i="11"/>
  <c r="N1007" i="3"/>
  <c r="J1008" i="3"/>
  <c r="J1010" i="3"/>
  <c r="G85" i="9"/>
  <c r="H1257" i="3"/>
  <c r="J1257" i="3" s="1"/>
  <c r="H1256" i="3"/>
  <c r="AV12" i="21" l="1"/>
  <c r="AV21" i="21" s="1"/>
  <c r="BD8" i="21"/>
  <c r="BD12" i="21" s="1"/>
  <c r="BD21" i="21" s="1"/>
  <c r="X1123" i="3"/>
  <c r="Z1123" i="3" s="1"/>
  <c r="AB1123" i="3" s="1"/>
  <c r="X922" i="3"/>
  <c r="Z922" i="3" s="1"/>
  <c r="AB922" i="3" s="1"/>
  <c r="Q983" i="3"/>
  <c r="Q997" i="3"/>
  <c r="Q1002" i="3"/>
  <c r="Q1001" i="3"/>
  <c r="Q982" i="3"/>
  <c r="U1124" i="3"/>
  <c r="X1125" i="3"/>
  <c r="Q991" i="3"/>
  <c r="Q990" i="3"/>
  <c r="Q989" i="3"/>
  <c r="Q998" i="3"/>
  <c r="S459" i="3"/>
  <c r="L1008" i="3"/>
  <c r="AF1011" i="3"/>
  <c r="Z1007" i="3"/>
  <c r="AB1007" i="3" s="1"/>
  <c r="U1247" i="3"/>
  <c r="X1246" i="3"/>
  <c r="S21" i="3"/>
  <c r="U19" i="3"/>
  <c r="L1010" i="3"/>
  <c r="J1256" i="3"/>
  <c r="L1256" i="3" s="1"/>
  <c r="H1258" i="3"/>
  <c r="Q1008" i="3"/>
  <c r="S1009" i="3"/>
  <c r="U1009" i="3" s="1"/>
  <c r="L1257" i="3"/>
  <c r="N1257" i="3" s="1"/>
  <c r="Q1257" i="3"/>
  <c r="S1257" i="3" s="1"/>
  <c r="U1257" i="3" s="1"/>
  <c r="X1257" i="3" s="1"/>
  <c r="Z1257" i="3" s="1"/>
  <c r="Q1010" i="3"/>
  <c r="N1010" i="3"/>
  <c r="N1008" i="3"/>
  <c r="AB1257" i="3" l="1"/>
  <c r="AF1257" i="3" s="1"/>
  <c r="X1122" i="3"/>
  <c r="AF922" i="3"/>
  <c r="S990" i="3"/>
  <c r="S1001" i="3"/>
  <c r="S991" i="3"/>
  <c r="U991" i="3" s="1"/>
  <c r="S1002" i="3"/>
  <c r="S998" i="3"/>
  <c r="S997" i="3"/>
  <c r="S989" i="3"/>
  <c r="S982" i="3"/>
  <c r="S983" i="3"/>
  <c r="Z1125" i="3"/>
  <c r="AB1125" i="3" s="1"/>
  <c r="X1124" i="3"/>
  <c r="Z1122" i="3"/>
  <c r="U459" i="3"/>
  <c r="X1247" i="3"/>
  <c r="Z1246" i="3"/>
  <c r="AB1246" i="3" s="1"/>
  <c r="AB1247" i="3" s="1"/>
  <c r="U21" i="3"/>
  <c r="X19" i="3"/>
  <c r="X1009" i="3"/>
  <c r="Z1009" i="3" s="1"/>
  <c r="AB1009" i="3" s="1"/>
  <c r="S1010" i="3"/>
  <c r="U1010" i="3"/>
  <c r="U1008" i="3"/>
  <c r="L1258" i="3"/>
  <c r="Q1256" i="3"/>
  <c r="J1258" i="3"/>
  <c r="S1008" i="3"/>
  <c r="N1256" i="3"/>
  <c r="N1258" i="3" s="1"/>
  <c r="AB1122" i="3" l="1"/>
  <c r="AB1008" i="3"/>
  <c r="AB1010" i="3"/>
  <c r="F33" i="22"/>
  <c r="E94" i="26"/>
  <c r="U982" i="3"/>
  <c r="U1002" i="3"/>
  <c r="U989" i="3"/>
  <c r="U997" i="3"/>
  <c r="U1001" i="3"/>
  <c r="U983" i="3"/>
  <c r="U998" i="3"/>
  <c r="U990" i="3"/>
  <c r="Z1124" i="3"/>
  <c r="AF1123" i="3"/>
  <c r="AF1007" i="3"/>
  <c r="AF1009" i="3"/>
  <c r="Z1247" i="3"/>
  <c r="I5" i="9"/>
  <c r="Z1008" i="3"/>
  <c r="Z1010" i="3"/>
  <c r="X21" i="3"/>
  <c r="Z19" i="3"/>
  <c r="AB19" i="3" s="1"/>
  <c r="AB21" i="3" s="1"/>
  <c r="X459" i="3"/>
  <c r="X1008" i="3"/>
  <c r="X1010" i="3"/>
  <c r="S1256" i="3"/>
  <c r="Q1258" i="3"/>
  <c r="E85" i="9"/>
  <c r="H457" i="3"/>
  <c r="I155" i="6"/>
  <c r="M155" i="6" s="1"/>
  <c r="M5" i="9" l="1"/>
  <c r="I97" i="9"/>
  <c r="M97" i="9" s="1"/>
  <c r="I83" i="9"/>
  <c r="I84" i="9"/>
  <c r="Q155" i="6"/>
  <c r="U155" i="6" s="1"/>
  <c r="AA155" i="6" s="1"/>
  <c r="AE155" i="6" s="1"/>
  <c r="AI155" i="6" s="1"/>
  <c r="AO155" i="6" s="1"/>
  <c r="AS155" i="6" s="1"/>
  <c r="AW155" i="6" s="1"/>
  <c r="BE155" i="6" s="1"/>
  <c r="AB1124" i="3"/>
  <c r="J457" i="3"/>
  <c r="J33" i="22"/>
  <c r="I94" i="26"/>
  <c r="I89" i="26" s="1"/>
  <c r="X983" i="3"/>
  <c r="Z983" i="3" s="1"/>
  <c r="AB983" i="3" s="1"/>
  <c r="AF983" i="3" s="1"/>
  <c r="X991" i="3"/>
  <c r="Z991" i="3" s="1"/>
  <c r="AB991" i="3" s="1"/>
  <c r="AF991" i="3" s="1"/>
  <c r="X989" i="3"/>
  <c r="Z989" i="3" s="1"/>
  <c r="AB989" i="3" s="1"/>
  <c r="AF989" i="3" s="1"/>
  <c r="X990" i="3"/>
  <c r="Z990" i="3" s="1"/>
  <c r="AB990" i="3" s="1"/>
  <c r="AF990" i="3" s="1"/>
  <c r="X1001" i="3"/>
  <c r="Z1001" i="3" s="1"/>
  <c r="AB1001" i="3" s="1"/>
  <c r="AF1001" i="3" s="1"/>
  <c r="X1002" i="3"/>
  <c r="Z1002" i="3" s="1"/>
  <c r="AB1002" i="3" s="1"/>
  <c r="AF1002" i="3" s="1"/>
  <c r="X998" i="3"/>
  <c r="Z998" i="3" s="1"/>
  <c r="AB998" i="3" s="1"/>
  <c r="AF998" i="3" s="1"/>
  <c r="X997" i="3"/>
  <c r="Z997" i="3" s="1"/>
  <c r="AB997" i="3" s="1"/>
  <c r="AF997" i="3" s="1"/>
  <c r="X982" i="3"/>
  <c r="Z982" i="3" s="1"/>
  <c r="AB982" i="3" s="1"/>
  <c r="AF982" i="3" s="1"/>
  <c r="AF1122" i="3"/>
  <c r="AF1125" i="3"/>
  <c r="I89" i="9"/>
  <c r="I18" i="15" s="1"/>
  <c r="I91" i="9"/>
  <c r="I95" i="9"/>
  <c r="AF1246" i="3"/>
  <c r="AF1247" i="3" s="1"/>
  <c r="I99" i="9"/>
  <c r="M99" i="9" s="1"/>
  <c r="AF1008" i="3"/>
  <c r="AF1010" i="3"/>
  <c r="Z459" i="3"/>
  <c r="Z21" i="3"/>
  <c r="AF19" i="3"/>
  <c r="AF21" i="3" s="1"/>
  <c r="S1258" i="3"/>
  <c r="U1256" i="3"/>
  <c r="I177" i="6"/>
  <c r="Q5" i="9" l="1"/>
  <c r="M91" i="9"/>
  <c r="M95" i="9"/>
  <c r="M89" i="9"/>
  <c r="M18" i="15" s="1"/>
  <c r="M84" i="9"/>
  <c r="M83" i="9"/>
  <c r="M177" i="6"/>
  <c r="Q177" i="6" s="1"/>
  <c r="U177" i="6" s="1"/>
  <c r="I179" i="6"/>
  <c r="M179" i="6" s="1"/>
  <c r="I86" i="26"/>
  <c r="I88" i="26"/>
  <c r="I85" i="26"/>
  <c r="I90" i="26"/>
  <c r="I81" i="26"/>
  <c r="I80" i="26"/>
  <c r="I84" i="26"/>
  <c r="I87" i="26"/>
  <c r="I91" i="26"/>
  <c r="I82" i="26"/>
  <c r="I83" i="26"/>
  <c r="I151" i="6"/>
  <c r="M151" i="6" s="1"/>
  <c r="Q151" i="6" s="1"/>
  <c r="U151" i="6" s="1"/>
  <c r="AB459" i="3"/>
  <c r="L457" i="3"/>
  <c r="N33" i="22"/>
  <c r="M94" i="26"/>
  <c r="AF1124" i="3"/>
  <c r="R33" i="22"/>
  <c r="U1258" i="3"/>
  <c r="X1256" i="3"/>
  <c r="I79" i="8"/>
  <c r="I81" i="8" s="1"/>
  <c r="AA177" i="6" l="1"/>
  <c r="Q179" i="6"/>
  <c r="U179" i="6" s="1"/>
  <c r="U5" i="9"/>
  <c r="Q94" i="26"/>
  <c r="Q95" i="9"/>
  <c r="Q91" i="9"/>
  <c r="Q89" i="9"/>
  <c r="Q18" i="15" s="1"/>
  <c r="Q83" i="9"/>
  <c r="Q84" i="9"/>
  <c r="Q99" i="9"/>
  <c r="Q97" i="9"/>
  <c r="U97" i="9" s="1"/>
  <c r="I153" i="6"/>
  <c r="M153" i="6" s="1"/>
  <c r="Q153" i="6" s="1"/>
  <c r="U153" i="6" s="1"/>
  <c r="Y152" i="6"/>
  <c r="AA151" i="6"/>
  <c r="AE151" i="6" s="1"/>
  <c r="M80" i="26"/>
  <c r="M84" i="26"/>
  <c r="M85" i="26"/>
  <c r="M87" i="26"/>
  <c r="M88" i="26"/>
  <c r="M91" i="26"/>
  <c r="M89" i="26"/>
  <c r="M83" i="26"/>
  <c r="M90" i="26"/>
  <c r="M81" i="26"/>
  <c r="M82" i="26"/>
  <c r="M86" i="26"/>
  <c r="N457" i="3"/>
  <c r="AF459" i="3"/>
  <c r="X1258" i="3"/>
  <c r="Z1256" i="3"/>
  <c r="AB1256" i="3" s="1"/>
  <c r="AB1258" i="3" s="1"/>
  <c r="I80" i="8"/>
  <c r="M79" i="8"/>
  <c r="M81" i="8" s="1"/>
  <c r="AA179" i="6" l="1"/>
  <c r="AE177" i="6"/>
  <c r="AI151" i="6"/>
  <c r="U99" i="9"/>
  <c r="AA5" i="9"/>
  <c r="U94" i="26"/>
  <c r="V33" i="22"/>
  <c r="U91" i="9"/>
  <c r="U89" i="9"/>
  <c r="U18" i="15" s="1"/>
  <c r="U95" i="9"/>
  <c r="U83" i="9"/>
  <c r="U84" i="9"/>
  <c r="AA153" i="6"/>
  <c r="AE153" i="6" s="1"/>
  <c r="Q91" i="26"/>
  <c r="U91" i="26" s="1"/>
  <c r="Q81" i="26"/>
  <c r="Q88" i="26"/>
  <c r="Q90" i="26"/>
  <c r="Q85" i="26"/>
  <c r="U85" i="26" s="1"/>
  <c r="Q80" i="26"/>
  <c r="Q86" i="26"/>
  <c r="Q83" i="26"/>
  <c r="Q84" i="26"/>
  <c r="U84" i="26" s="1"/>
  <c r="Q82" i="26"/>
  <c r="Q89" i="26"/>
  <c r="Q87" i="26"/>
  <c r="Q457" i="3"/>
  <c r="S457" i="3" s="1"/>
  <c r="U457" i="3" s="1"/>
  <c r="X457" i="3" s="1"/>
  <c r="Z1258" i="3"/>
  <c r="M80" i="8"/>
  <c r="Q79" i="8"/>
  <c r="U79" i="8" s="1"/>
  <c r="AA79" i="8" s="1"/>
  <c r="AA99" i="9" l="1"/>
  <c r="U82" i="26"/>
  <c r="U80" i="26"/>
  <c r="U81" i="26"/>
  <c r="U87" i="26"/>
  <c r="U90" i="26"/>
  <c r="U83" i="26"/>
  <c r="U89" i="26"/>
  <c r="U86" i="26"/>
  <c r="U88" i="26"/>
  <c r="AE79" i="8"/>
  <c r="AA80" i="8"/>
  <c r="AE179" i="6"/>
  <c r="AI177" i="6"/>
  <c r="AI153" i="6"/>
  <c r="AO151" i="6"/>
  <c r="AS151" i="6" s="1"/>
  <c r="AW151" i="6" s="1"/>
  <c r="BE151" i="6" s="1"/>
  <c r="AA97" i="9"/>
  <c r="AE5" i="9"/>
  <c r="AE99" i="9" s="1"/>
  <c r="AB33" i="22"/>
  <c r="AA94" i="26"/>
  <c r="AA87" i="26" s="1"/>
  <c r="AA91" i="9"/>
  <c r="AA89" i="9"/>
  <c r="AA18" i="15" s="1"/>
  <c r="AA95" i="9"/>
  <c r="AA83" i="9"/>
  <c r="AA84" i="9"/>
  <c r="U86" i="9"/>
  <c r="U80" i="8"/>
  <c r="Q81" i="8"/>
  <c r="U81" i="8" s="1"/>
  <c r="AA81" i="8" s="1"/>
  <c r="Z457" i="3"/>
  <c r="AF1256" i="3"/>
  <c r="AF1258" i="3" s="1"/>
  <c r="Q80" i="8"/>
  <c r="U92" i="26" l="1"/>
  <c r="AA86" i="26"/>
  <c r="AA91" i="26"/>
  <c r="AA85" i="26"/>
  <c r="AA82" i="26"/>
  <c r="AA80" i="26"/>
  <c r="AI5" i="9"/>
  <c r="AI99" i="9"/>
  <c r="AE81" i="8"/>
  <c r="AI79" i="8"/>
  <c r="AE80" i="8"/>
  <c r="AO153" i="6"/>
  <c r="AS153" i="6" s="1"/>
  <c r="AW153" i="6" s="1"/>
  <c r="BE153" i="6" s="1"/>
  <c r="AI179" i="6"/>
  <c r="AO177" i="6"/>
  <c r="AS177" i="6" s="1"/>
  <c r="AW177" i="6" s="1"/>
  <c r="BE177" i="6" s="1"/>
  <c r="AA89" i="26"/>
  <c r="AF33" i="22"/>
  <c r="AE94" i="26"/>
  <c r="AE87" i="26" s="1"/>
  <c r="AE89" i="9"/>
  <c r="AE18" i="15" s="1"/>
  <c r="AE95" i="9"/>
  <c r="AE91" i="9"/>
  <c r="AE84" i="9"/>
  <c r="AE83" i="9"/>
  <c r="AA90" i="26"/>
  <c r="AE97" i="9"/>
  <c r="AA83" i="26"/>
  <c r="AE83" i="26" s="1"/>
  <c r="AA84" i="26"/>
  <c r="AA81" i="26"/>
  <c r="AA88" i="26"/>
  <c r="AB457" i="3"/>
  <c r="AE84" i="26" l="1"/>
  <c r="AE81" i="26"/>
  <c r="AE90" i="26"/>
  <c r="AE82" i="26"/>
  <c r="AE85" i="26"/>
  <c r="AE88" i="26"/>
  <c r="AE86" i="26"/>
  <c r="AE89" i="26"/>
  <c r="AI97" i="9"/>
  <c r="AO5" i="9"/>
  <c r="AS5" i="9" s="1"/>
  <c r="AJ33" i="22"/>
  <c r="AI94" i="26"/>
  <c r="AI83" i="26" s="1"/>
  <c r="AI89" i="9"/>
  <c r="AI18" i="15" s="1"/>
  <c r="AI95" i="9"/>
  <c r="AI91" i="9"/>
  <c r="AI84" i="9"/>
  <c r="AI83" i="9"/>
  <c r="AI86" i="9" s="1"/>
  <c r="AI81" i="8"/>
  <c r="AO79" i="8"/>
  <c r="AS79" i="8" s="1"/>
  <c r="AI80" i="8"/>
  <c r="AO179" i="6"/>
  <c r="AS179" i="6" s="1"/>
  <c r="AW179" i="6" s="1"/>
  <c r="BE179" i="6" s="1"/>
  <c r="AA92" i="26"/>
  <c r="AE80" i="26"/>
  <c r="AI80" i="26" s="1"/>
  <c r="AE91" i="26"/>
  <c r="AF457" i="3"/>
  <c r="AI86" i="26" l="1"/>
  <c r="AI81" i="26"/>
  <c r="AI91" i="26"/>
  <c r="AO99" i="9"/>
  <c r="AI82" i="26"/>
  <c r="AW79" i="8"/>
  <c r="BE79" i="8" s="1"/>
  <c r="AS80" i="8"/>
  <c r="AS99" i="9"/>
  <c r="AW99" i="9" s="1"/>
  <c r="AW5" i="9"/>
  <c r="AS94" i="26"/>
  <c r="AT33" i="22"/>
  <c r="AS95" i="9"/>
  <c r="AS89" i="9"/>
  <c r="AS18" i="15" s="1"/>
  <c r="AS91" i="9"/>
  <c r="AS84" i="9"/>
  <c r="AS83" i="9"/>
  <c r="AS86" i="9" s="1"/>
  <c r="AI87" i="26"/>
  <c r="AI89" i="26"/>
  <c r="AI84" i="26"/>
  <c r="AO94" i="26"/>
  <c r="AO83" i="26" s="1"/>
  <c r="AP33" i="22"/>
  <c r="AO91" i="9"/>
  <c r="AO89" i="9"/>
  <c r="AO18" i="15" s="1"/>
  <c r="AO95" i="9"/>
  <c r="AO83" i="9"/>
  <c r="AO84" i="9"/>
  <c r="AI88" i="26"/>
  <c r="AI90" i="26"/>
  <c r="AO90" i="26" s="1"/>
  <c r="AS90" i="26" s="1"/>
  <c r="AO97" i="9"/>
  <c r="AS97" i="9" s="1"/>
  <c r="AW97" i="9" s="1"/>
  <c r="AI85" i="26"/>
  <c r="AO81" i="8"/>
  <c r="AS81" i="8" s="1"/>
  <c r="AO80" i="8"/>
  <c r="AE92" i="26"/>
  <c r="H32" i="3"/>
  <c r="J32" i="3" s="1"/>
  <c r="L32" i="3" s="1"/>
  <c r="N32" i="3" s="1"/>
  <c r="Q32" i="3" s="1"/>
  <c r="AD32" i="3"/>
  <c r="W32" i="3"/>
  <c r="AD31" i="3"/>
  <c r="W31" i="3"/>
  <c r="H31" i="3"/>
  <c r="J31" i="3" s="1"/>
  <c r="AD29" i="3"/>
  <c r="W29" i="3"/>
  <c r="AD28" i="3"/>
  <c r="W28" i="3"/>
  <c r="H28" i="3"/>
  <c r="J28" i="3" s="1"/>
  <c r="AD26" i="3"/>
  <c r="W26" i="3"/>
  <c r="AD25" i="3"/>
  <c r="W25" i="3"/>
  <c r="H25" i="3"/>
  <c r="BE80" i="8" l="1"/>
  <c r="BE97" i="9"/>
  <c r="AO86" i="9"/>
  <c r="BE5" i="9"/>
  <c r="BE99" i="9"/>
  <c r="AS83" i="26"/>
  <c r="AW81" i="8"/>
  <c r="BE81" i="8" s="1"/>
  <c r="AW80" i="8"/>
  <c r="AW91" i="9"/>
  <c r="AW94" i="26"/>
  <c r="AW90" i="26" s="1"/>
  <c r="AX33" i="22"/>
  <c r="AW95" i="9"/>
  <c r="AW89" i="9"/>
  <c r="AW18" i="15" s="1"/>
  <c r="AW83" i="9"/>
  <c r="AW84" i="9"/>
  <c r="AI92" i="26"/>
  <c r="AO81" i="26"/>
  <c r="AS81" i="26" s="1"/>
  <c r="AO84" i="26"/>
  <c r="AS84" i="26" s="1"/>
  <c r="AW84" i="26" s="1"/>
  <c r="AO86" i="26"/>
  <c r="AS86" i="26" s="1"/>
  <c r="AO88" i="26"/>
  <c r="AS88" i="26" s="1"/>
  <c r="AO80" i="26"/>
  <c r="AS80" i="26" s="1"/>
  <c r="AO89" i="26"/>
  <c r="AS89" i="26" s="1"/>
  <c r="AW89" i="26" s="1"/>
  <c r="AO87" i="26"/>
  <c r="AS87" i="26" s="1"/>
  <c r="AO85" i="26"/>
  <c r="AS85" i="26" s="1"/>
  <c r="AO91" i="26"/>
  <c r="AS91" i="26" s="1"/>
  <c r="AO82" i="26"/>
  <c r="AS82" i="26" s="1"/>
  <c r="AW82" i="26" s="1"/>
  <c r="P34" i="3"/>
  <c r="W35" i="3"/>
  <c r="H29" i="3"/>
  <c r="J29" i="3" s="1"/>
  <c r="L29" i="3" s="1"/>
  <c r="N29" i="3" s="1"/>
  <c r="Q29" i="3" s="1"/>
  <c r="H26" i="3"/>
  <c r="J26" i="3" s="1"/>
  <c r="L26" i="3" s="1"/>
  <c r="N26" i="3" s="1"/>
  <c r="Q26" i="3" s="1"/>
  <c r="S26" i="3" s="1"/>
  <c r="U26" i="3" s="1"/>
  <c r="X26" i="3" s="1"/>
  <c r="Z26" i="3" s="1"/>
  <c r="I24" i="6"/>
  <c r="E25" i="6"/>
  <c r="AE28" i="3"/>
  <c r="AD34" i="3"/>
  <c r="H34" i="3"/>
  <c r="J34" i="3" s="1"/>
  <c r="L34" i="3" s="1"/>
  <c r="AD35" i="3"/>
  <c r="AE32" i="3"/>
  <c r="W34" i="3"/>
  <c r="AD33" i="3"/>
  <c r="AD30" i="3"/>
  <c r="AE31" i="3"/>
  <c r="AE25" i="3"/>
  <c r="AD27" i="3"/>
  <c r="AE29" i="3"/>
  <c r="J33" i="3"/>
  <c r="L31" i="3"/>
  <c r="S32" i="3"/>
  <c r="U32" i="3" s="1"/>
  <c r="X32" i="3" s="1"/>
  <c r="Z32" i="3" s="1"/>
  <c r="W33" i="3"/>
  <c r="H33" i="3"/>
  <c r="AE26" i="3"/>
  <c r="L28" i="3"/>
  <c r="W30" i="3"/>
  <c r="W27" i="3"/>
  <c r="J25" i="3"/>
  <c r="AW85" i="26" l="1"/>
  <c r="BF33" i="22"/>
  <c r="BE94" i="26"/>
  <c r="BE95" i="9"/>
  <c r="BE91" i="9"/>
  <c r="BE89" i="9"/>
  <c r="BE83" i="9"/>
  <c r="BE84" i="9"/>
  <c r="AW88" i="26"/>
  <c r="AW83" i="26"/>
  <c r="AW87" i="26"/>
  <c r="AW86" i="26"/>
  <c r="AW91" i="26"/>
  <c r="AW81" i="26"/>
  <c r="AW80" i="26"/>
  <c r="AS92" i="26"/>
  <c r="AW86" i="9"/>
  <c r="AO92" i="26"/>
  <c r="AB26" i="3"/>
  <c r="AF26" i="3" s="1"/>
  <c r="AB32" i="3"/>
  <c r="AF32" i="3" s="1"/>
  <c r="I25" i="6"/>
  <c r="M24" i="6"/>
  <c r="Q24" i="6" s="1"/>
  <c r="J30" i="3"/>
  <c r="H27" i="3"/>
  <c r="AE35" i="3"/>
  <c r="W36" i="3"/>
  <c r="H30" i="3"/>
  <c r="S29" i="3"/>
  <c r="U29" i="3" s="1"/>
  <c r="X29" i="3" s="1"/>
  <c r="Z29" i="3" s="1"/>
  <c r="I27" i="6"/>
  <c r="E28" i="6"/>
  <c r="E22" i="6"/>
  <c r="I21" i="6"/>
  <c r="AD36" i="3"/>
  <c r="AE33" i="3"/>
  <c r="AE30" i="3"/>
  <c r="AE27" i="3"/>
  <c r="AE34" i="3"/>
  <c r="N34" i="3"/>
  <c r="L33" i="3"/>
  <c r="N31" i="3"/>
  <c r="L30" i="3"/>
  <c r="N28" i="3"/>
  <c r="L25" i="3"/>
  <c r="J27" i="3"/>
  <c r="BE86" i="9" l="1"/>
  <c r="AW92" i="26"/>
  <c r="Q25" i="6"/>
  <c r="U24" i="6"/>
  <c r="AB29" i="3"/>
  <c r="AF29" i="3" s="1"/>
  <c r="M25" i="6"/>
  <c r="AE36" i="3"/>
  <c r="I28" i="6"/>
  <c r="M27" i="6"/>
  <c r="Q27" i="6" s="1"/>
  <c r="I22" i="6"/>
  <c r="M21" i="6"/>
  <c r="Q21" i="6" s="1"/>
  <c r="Q34" i="3"/>
  <c r="Q31" i="3"/>
  <c r="N33" i="3"/>
  <c r="Q28" i="3"/>
  <c r="N30" i="3"/>
  <c r="L27" i="3"/>
  <c r="N25" i="3"/>
  <c r="G33" i="8"/>
  <c r="A1341" i="3"/>
  <c r="BE92" i="26" l="1"/>
  <c r="Q28" i="6"/>
  <c r="U27" i="6"/>
  <c r="AA24" i="6"/>
  <c r="U25" i="6"/>
  <c r="Q22" i="6"/>
  <c r="U21" i="6"/>
  <c r="E33" i="8"/>
  <c r="E95" i="8" s="1"/>
  <c r="E97" i="8" s="1"/>
  <c r="E99" i="8" s="1"/>
  <c r="E101" i="8" s="1"/>
  <c r="E106" i="8" s="1"/>
  <c r="E107" i="8" s="1"/>
  <c r="H1360" i="3"/>
  <c r="M22" i="6"/>
  <c r="M28" i="6"/>
  <c r="S34" i="3"/>
  <c r="Q33" i="3"/>
  <c r="P33" i="3"/>
  <c r="S31" i="3"/>
  <c r="Q30" i="3"/>
  <c r="P30" i="3"/>
  <c r="S28" i="3"/>
  <c r="Q25" i="3"/>
  <c r="N27" i="3"/>
  <c r="AA21" i="6" l="1"/>
  <c r="U22" i="6"/>
  <c r="AE24" i="6"/>
  <c r="AA25" i="6"/>
  <c r="AA27" i="6"/>
  <c r="U28" i="6"/>
  <c r="I66" i="8"/>
  <c r="I71" i="8" s="1"/>
  <c r="I33" i="8"/>
  <c r="M33" i="8" s="1"/>
  <c r="Q33" i="8" s="1"/>
  <c r="U33" i="8" s="1"/>
  <c r="AA33" i="8" s="1"/>
  <c r="AE33" i="8" s="1"/>
  <c r="AI33" i="8" s="1"/>
  <c r="AO33" i="8" s="1"/>
  <c r="AS33" i="8" s="1"/>
  <c r="AW33" i="8" s="1"/>
  <c r="BE33" i="8" s="1"/>
  <c r="J1360" i="3"/>
  <c r="L1360" i="3" s="1"/>
  <c r="U34" i="3"/>
  <c r="S33" i="3"/>
  <c r="U31" i="3"/>
  <c r="S30" i="3"/>
  <c r="U28" i="3"/>
  <c r="Q27" i="3"/>
  <c r="S25" i="3"/>
  <c r="P27" i="3"/>
  <c r="AI24" i="6" l="1"/>
  <c r="AE25" i="6"/>
  <c r="AE27" i="6"/>
  <c r="AA28" i="6"/>
  <c r="AE21" i="6"/>
  <c r="AA22" i="6"/>
  <c r="M66" i="8"/>
  <c r="M71" i="8" s="1"/>
  <c r="X34" i="3"/>
  <c r="U33" i="3"/>
  <c r="X31" i="3"/>
  <c r="U30" i="3"/>
  <c r="X28" i="3"/>
  <c r="S27" i="3"/>
  <c r="U25" i="3"/>
  <c r="AI27" i="6" l="1"/>
  <c r="AE28" i="6"/>
  <c r="AI21" i="6"/>
  <c r="AE22" i="6"/>
  <c r="AO24" i="6"/>
  <c r="AI25" i="6"/>
  <c r="Q66" i="8"/>
  <c r="Q71" i="8" s="1"/>
  <c r="H89" i="3"/>
  <c r="I18" i="21"/>
  <c r="M18" i="21" s="1"/>
  <c r="Z34" i="3"/>
  <c r="X33" i="3"/>
  <c r="Z33" i="3" s="1"/>
  <c r="AB33" i="3" s="1"/>
  <c r="Z31" i="3"/>
  <c r="X30" i="3"/>
  <c r="Z30" i="3" s="1"/>
  <c r="AB30" i="3" s="1"/>
  <c r="Z28" i="3"/>
  <c r="U27" i="3"/>
  <c r="X25" i="3"/>
  <c r="AO25" i="6" l="1"/>
  <c r="AS24" i="6"/>
  <c r="AO21" i="6"/>
  <c r="AI22" i="6"/>
  <c r="AO27" i="6"/>
  <c r="AI28" i="6"/>
  <c r="U66" i="8"/>
  <c r="AB31" i="3"/>
  <c r="AF31" i="3" s="1"/>
  <c r="AF33" i="3" s="1"/>
  <c r="AB28" i="3"/>
  <c r="AF28" i="3" s="1"/>
  <c r="AF30" i="3" s="1"/>
  <c r="AB34" i="3"/>
  <c r="AF34" i="3" s="1"/>
  <c r="I15" i="21"/>
  <c r="Z25" i="3"/>
  <c r="X27" i="3"/>
  <c r="Z27" i="3" s="1"/>
  <c r="AB27" i="3" s="1"/>
  <c r="AS25" i="6" l="1"/>
  <c r="AW24" i="6"/>
  <c r="AO22" i="6"/>
  <c r="AS21" i="6"/>
  <c r="AO28" i="6"/>
  <c r="AS27" i="6"/>
  <c r="U71" i="8"/>
  <c r="AA66" i="8"/>
  <c r="AB25" i="3"/>
  <c r="AF25" i="3" s="1"/>
  <c r="AF27" i="3" s="1"/>
  <c r="M15" i="21"/>
  <c r="AW25" i="6" l="1"/>
  <c r="BE24" i="6"/>
  <c r="BE25" i="6" s="1"/>
  <c r="AS22" i="6"/>
  <c r="AW21" i="6"/>
  <c r="AS28" i="6"/>
  <c r="AW27" i="6"/>
  <c r="AE66" i="8"/>
  <c r="AA71" i="8"/>
  <c r="A775" i="3"/>
  <c r="AW22" i="6" l="1"/>
  <c r="BE21" i="6"/>
  <c r="BE22" i="6" s="1"/>
  <c r="AW28" i="6"/>
  <c r="BE27" i="6"/>
  <c r="BE28" i="6" s="1"/>
  <c r="AI66" i="8"/>
  <c r="AE71" i="8"/>
  <c r="W64" i="3"/>
  <c r="H64" i="3"/>
  <c r="J64" i="3" s="1"/>
  <c r="L64" i="3" s="1"/>
  <c r="N64" i="3" s="1"/>
  <c r="Q64" i="3" s="1"/>
  <c r="AO66" i="8" l="1"/>
  <c r="AI71" i="8"/>
  <c r="S64" i="3"/>
  <c r="U64" i="3" s="1"/>
  <c r="X64" i="3" s="1"/>
  <c r="Z64" i="3" s="1"/>
  <c r="AB64" i="3" s="1"/>
  <c r="AO71" i="8" l="1"/>
  <c r="AS66" i="8"/>
  <c r="H338" i="3"/>
  <c r="H337" i="3"/>
  <c r="H335" i="3"/>
  <c r="AS71" i="8" l="1"/>
  <c r="AW66" i="8"/>
  <c r="J335" i="3"/>
  <c r="L335" i="3" s="1"/>
  <c r="J338" i="3"/>
  <c r="L338" i="3" s="1"/>
  <c r="J337" i="3"/>
  <c r="L337" i="3" s="1"/>
  <c r="C482" i="3"/>
  <c r="AW71" i="8" l="1"/>
  <c r="BE66" i="8"/>
  <c r="BE71" i="8" s="1"/>
  <c r="N337" i="3"/>
  <c r="Q337" i="3" s="1"/>
  <c r="N338" i="3"/>
  <c r="Q338" i="3" s="1"/>
  <c r="N335" i="3"/>
  <c r="Q335" i="3" s="1"/>
  <c r="AF64" i="3"/>
  <c r="AD64" i="3"/>
  <c r="AE64" i="3" s="1"/>
  <c r="S335" i="3" l="1"/>
  <c r="U335" i="3" s="1"/>
  <c r="S338" i="3"/>
  <c r="S337" i="3"/>
  <c r="X335" i="3" l="1"/>
  <c r="Z335" i="3" s="1"/>
  <c r="U338" i="3"/>
  <c r="U337" i="3"/>
  <c r="AB335" i="3" l="1"/>
  <c r="AF335" i="3" s="1"/>
  <c r="X337" i="3"/>
  <c r="Z337" i="3" s="1"/>
  <c r="X338" i="3"/>
  <c r="AD1185" i="3"/>
  <c r="W1185" i="3"/>
  <c r="P1185" i="3"/>
  <c r="H1185" i="3"/>
  <c r="J1185" i="3" s="1"/>
  <c r="L1185" i="3" s="1"/>
  <c r="N1185" i="3" s="1"/>
  <c r="AB337" i="3" l="1"/>
  <c r="AF337" i="3" s="1"/>
  <c r="Z338" i="3"/>
  <c r="AB338" i="3" s="1"/>
  <c r="AE1185" i="3"/>
  <c r="Q1185" i="3"/>
  <c r="S1185" i="3" s="1"/>
  <c r="U1185" i="3" s="1"/>
  <c r="X1185" i="3" s="1"/>
  <c r="AF338" i="3" l="1"/>
  <c r="Z1185" i="3"/>
  <c r="AB1185" i="3" l="1"/>
  <c r="AF1185" i="3" s="1"/>
  <c r="N934" i="3"/>
  <c r="N935" i="3"/>
  <c r="AD1433" i="3"/>
  <c r="W1433" i="3"/>
  <c r="H1433" i="3"/>
  <c r="Q934" i="3" l="1"/>
  <c r="Q935" i="3"/>
  <c r="N926" i="3"/>
  <c r="J1433" i="3"/>
  <c r="L1433" i="3" s="1"/>
  <c r="N1433" i="3" s="1"/>
  <c r="Q1433" i="3" s="1"/>
  <c r="P1433" i="3" s="1"/>
  <c r="AE1433" i="3"/>
  <c r="S935" i="3" l="1"/>
  <c r="S934" i="3"/>
  <c r="Q926" i="3"/>
  <c r="S1433" i="3"/>
  <c r="U1433" i="3" s="1"/>
  <c r="X1433" i="3" s="1"/>
  <c r="Z1433" i="3" s="1"/>
  <c r="A46" i="3"/>
  <c r="A48" i="3" s="1"/>
  <c r="A49" i="3" s="1"/>
  <c r="AB1433" i="3" l="1"/>
  <c r="AF1433" i="3" s="1"/>
  <c r="U934" i="3"/>
  <c r="U935" i="3"/>
  <c r="S926" i="3"/>
  <c r="U926" i="3" s="1"/>
  <c r="A539" i="3"/>
  <c r="X935" i="3" l="1"/>
  <c r="Z935" i="3" s="1"/>
  <c r="AB935" i="3" s="1"/>
  <c r="AF935" i="3" s="1"/>
  <c r="X934" i="3"/>
  <c r="Z934" i="3" s="1"/>
  <c r="AB934" i="3" s="1"/>
  <c r="AF934" i="3" s="1"/>
  <c r="AD1432" i="3"/>
  <c r="AD1431" i="3"/>
  <c r="AD1427" i="3"/>
  <c r="AD1426" i="3"/>
  <c r="AD1425" i="3"/>
  <c r="X926" i="3" l="1"/>
  <c r="Z926" i="3" s="1"/>
  <c r="AB926" i="3" s="1"/>
  <c r="AD1434" i="3"/>
  <c r="AD1428" i="3"/>
  <c r="AD1359" i="3" l="1"/>
  <c r="AD1351" i="3" s="1"/>
  <c r="AD1353" i="3"/>
  <c r="AD1350" i="3" s="1"/>
  <c r="AD1345" i="3"/>
  <c r="AD1344" i="3"/>
  <c r="AD1343" i="3"/>
  <c r="AD1322" i="3"/>
  <c r="AD1314" i="3"/>
  <c r="AD1290" i="3"/>
  <c r="AD1235" i="3"/>
  <c r="AD1300" i="3" s="1"/>
  <c r="AD1206" i="3"/>
  <c r="AD1193" i="3"/>
  <c r="AD1191" i="3"/>
  <c r="AD1190" i="3"/>
  <c r="AD1189" i="3"/>
  <c r="AD1188" i="3"/>
  <c r="AD1187" i="3"/>
  <c r="AD1186" i="3"/>
  <c r="AD1184" i="3"/>
  <c r="AD1183" i="3"/>
  <c r="AD1178" i="3"/>
  <c r="AD1174" i="3"/>
  <c r="AD1173" i="3"/>
  <c r="AD1168" i="3"/>
  <c r="AD1167" i="3"/>
  <c r="AD1166" i="3"/>
  <c r="AD1165" i="3"/>
  <c r="AD1164" i="3"/>
  <c r="AD1163" i="3"/>
  <c r="AD1162" i="3"/>
  <c r="AD1161" i="3"/>
  <c r="AD1160" i="3"/>
  <c r="AD1159" i="3"/>
  <c r="AD1158" i="3"/>
  <c r="AD1157" i="3"/>
  <c r="AD1156" i="3"/>
  <c r="AD1155" i="3"/>
  <c r="AD1154" i="3"/>
  <c r="AD1153" i="3"/>
  <c r="AD1152" i="3"/>
  <c r="AD1151" i="3"/>
  <c r="AD1150" i="3"/>
  <c r="AD1149" i="3"/>
  <c r="AD1143" i="3"/>
  <c r="AD1139" i="3"/>
  <c r="AD1138" i="3"/>
  <c r="AD1137" i="3"/>
  <c r="AD1022" i="3"/>
  <c r="AD1074" i="3" s="1"/>
  <c r="AD1020" i="3"/>
  <c r="AD1120" i="3"/>
  <c r="AD920" i="3"/>
  <c r="AD629" i="3"/>
  <c r="AD628" i="3"/>
  <c r="AD627" i="3"/>
  <c r="AD1364" i="3" l="1"/>
  <c r="AD1363" i="3"/>
  <c r="AF926" i="3"/>
  <c r="AD1129" i="3"/>
  <c r="AD1128" i="3"/>
  <c r="AD1126" i="3"/>
  <c r="AD1076" i="3"/>
  <c r="AD1291" i="3"/>
  <c r="AD1215" i="3"/>
  <c r="AD1175" i="3"/>
  <c r="AD1181" i="3" s="1"/>
  <c r="AD1140" i="3"/>
  <c r="AD1194" i="3"/>
  <c r="AD1222" i="3"/>
  <c r="AD547" i="3"/>
  <c r="AD545" i="3"/>
  <c r="AD543" i="3"/>
  <c r="AD541" i="3"/>
  <c r="AD539" i="3"/>
  <c r="AD345" i="3"/>
  <c r="H351" i="3"/>
  <c r="J351" i="3" s="1"/>
  <c r="L351" i="3" s="1"/>
  <c r="N351" i="3" s="1"/>
  <c r="Q351" i="3" s="1"/>
  <c r="AD330" i="3"/>
  <c r="AD329" i="3"/>
  <c r="AD325" i="3"/>
  <c r="AD324" i="3"/>
  <c r="AD323" i="3"/>
  <c r="AD321" i="3"/>
  <c r="AD249" i="3"/>
  <c r="AD248" i="3"/>
  <c r="AE239" i="3"/>
  <c r="AD239" i="3"/>
  <c r="AF239" i="3"/>
  <c r="AD1180" i="3" l="1"/>
  <c r="AD1145" i="3"/>
  <c r="S351" i="3"/>
  <c r="AD355" i="3"/>
  <c r="U351" i="3" l="1"/>
  <c r="X351" i="3" s="1"/>
  <c r="AD223" i="3"/>
  <c r="AD160" i="3"/>
  <c r="AD159" i="3"/>
  <c r="AD158" i="3"/>
  <c r="AD156" i="3"/>
  <c r="AD155" i="3"/>
  <c r="AD153" i="3"/>
  <c r="AD152" i="3"/>
  <c r="AD145" i="3"/>
  <c r="AD144" i="3"/>
  <c r="AD139" i="3"/>
  <c r="AD135" i="3"/>
  <c r="AD134" i="3"/>
  <c r="AD131" i="3"/>
  <c r="AD129" i="3"/>
  <c r="AD126" i="3"/>
  <c r="AD124" i="3"/>
  <c r="AD123" i="3"/>
  <c r="AD122" i="3"/>
  <c r="AD114" i="3"/>
  <c r="AD113" i="3"/>
  <c r="AD110" i="3"/>
  <c r="AD109" i="3"/>
  <c r="AD106" i="3"/>
  <c r="AD105" i="3"/>
  <c r="AD102" i="3"/>
  <c r="AD101" i="3"/>
  <c r="AD84" i="3"/>
  <c r="AE84" i="3" s="1"/>
  <c r="AD82" i="3"/>
  <c r="AE82" i="3" s="1"/>
  <c r="AD74" i="3"/>
  <c r="AD68" i="3"/>
  <c r="AD65" i="3"/>
  <c r="AD62" i="3"/>
  <c r="AD46" i="3"/>
  <c r="AD43" i="3"/>
  <c r="AD107" i="3" l="1"/>
  <c r="Z351" i="3"/>
  <c r="AB351" i="3" s="1"/>
  <c r="AD115" i="3"/>
  <c r="AD151" i="3"/>
  <c r="AD111" i="3"/>
  <c r="AD103" i="3"/>
  <c r="AD72" i="3"/>
  <c r="AD66" i="3"/>
  <c r="AD154" i="3"/>
  <c r="AD146" i="3"/>
  <c r="AD132" i="3"/>
  <c r="AD78" i="3"/>
  <c r="AD136" i="3"/>
  <c r="AF351" i="3" l="1"/>
  <c r="A859" i="3"/>
  <c r="A94" i="3" l="1"/>
  <c r="B78" i="3" l="1"/>
  <c r="B80" i="3" l="1"/>
  <c r="B84" i="3" s="1"/>
  <c r="W920" i="3"/>
  <c r="AE920" i="3" s="1"/>
  <c r="P920" i="3"/>
  <c r="P964" i="3" s="1"/>
  <c r="H920" i="3"/>
  <c r="N939" i="3" l="1"/>
  <c r="J920" i="3"/>
  <c r="L920" i="3" s="1"/>
  <c r="Q939" i="3" l="1"/>
  <c r="N920" i="3"/>
  <c r="Q920" i="3" s="1"/>
  <c r="P1012" i="3"/>
  <c r="S939" i="3" l="1"/>
  <c r="S920" i="3"/>
  <c r="U920" i="3" s="1"/>
  <c r="X920" i="3" s="1"/>
  <c r="Z920" i="3" s="1"/>
  <c r="AB920" i="3" s="1"/>
  <c r="P292" i="3"/>
  <c r="P278" i="3"/>
  <c r="U939" i="3" l="1"/>
  <c r="AF920" i="3"/>
  <c r="X939" i="3" l="1"/>
  <c r="Z939" i="3" s="1"/>
  <c r="AB939" i="3" s="1"/>
  <c r="AF939" i="3" s="1"/>
  <c r="AD1460" i="3" l="1"/>
  <c r="AE1460" i="3" s="1"/>
  <c r="AD138" i="3" l="1"/>
  <c r="AD140" i="3" s="1"/>
  <c r="AD1461" i="3"/>
  <c r="AE1461" i="3" s="1"/>
  <c r="AD250" i="3" l="1"/>
  <c r="W465" i="3" l="1"/>
  <c r="AD475" i="3"/>
  <c r="L465" i="3" l="1"/>
  <c r="W1155" i="3"/>
  <c r="AE1155" i="3" s="1"/>
  <c r="P1155" i="3"/>
  <c r="H1155" i="3"/>
  <c r="J1155" i="3" s="1"/>
  <c r="N465" i="3" l="1"/>
  <c r="L1155" i="3"/>
  <c r="N1155" i="3" s="1"/>
  <c r="Q1155" i="3"/>
  <c r="S1155" i="3" s="1"/>
  <c r="U1155" i="3" s="1"/>
  <c r="X1155" i="3" s="1"/>
  <c r="Z1155" i="3" s="1"/>
  <c r="AD225" i="3"/>
  <c r="AD224" i="3"/>
  <c r="AB1155" i="3" l="1"/>
  <c r="AF1155" i="3" s="1"/>
  <c r="Q465" i="3"/>
  <c r="AD118" i="3"/>
  <c r="AD117" i="3"/>
  <c r="S465" i="3" l="1"/>
  <c r="U465" i="3" s="1"/>
  <c r="P465" i="3"/>
  <c r="AD119" i="3"/>
  <c r="AD120" i="3" s="1"/>
  <c r="X465" i="3" l="1"/>
  <c r="Z465" i="3" s="1"/>
  <c r="AB465" i="3" s="1"/>
  <c r="A1019" i="3" l="1"/>
  <c r="N940" i="3" l="1"/>
  <c r="Q940" i="3" l="1"/>
  <c r="AD1360" i="3"/>
  <c r="AD1365" i="3" l="1"/>
  <c r="S940" i="3"/>
  <c r="U940" i="3" l="1"/>
  <c r="AD1205" i="3"/>
  <c r="W475" i="3"/>
  <c r="AE475" i="3" s="1"/>
  <c r="H475" i="3"/>
  <c r="J475" i="3" s="1"/>
  <c r="X940" i="3" l="1"/>
  <c r="Z940" i="3" s="1"/>
  <c r="AB940" i="3" s="1"/>
  <c r="AF940" i="3" s="1"/>
  <c r="I227" i="6"/>
  <c r="I284" i="6" s="1"/>
  <c r="I229" i="6"/>
  <c r="I228" i="6"/>
  <c r="AD272" i="3"/>
  <c r="AD270" i="3"/>
  <c r="AD269" i="3"/>
  <c r="Z239" i="3"/>
  <c r="AD141" i="3" l="1"/>
  <c r="AD96" i="3"/>
  <c r="AD95" i="3"/>
  <c r="AD94" i="3"/>
  <c r="L475" i="3"/>
  <c r="M228" i="6"/>
  <c r="M227" i="6"/>
  <c r="M284" i="6" s="1"/>
  <c r="M229" i="6"/>
  <c r="AD273" i="3"/>
  <c r="AD271" i="3"/>
  <c r="N475" i="3" l="1"/>
  <c r="Q284" i="6"/>
  <c r="Q475" i="3" l="1"/>
  <c r="P452" i="3"/>
  <c r="S475" i="3" l="1"/>
  <c r="U475" i="3" s="1"/>
  <c r="X475" i="3" s="1"/>
  <c r="Z475" i="3" s="1"/>
  <c r="AB475" i="3" s="1"/>
  <c r="P475" i="3"/>
  <c r="AF475" i="3" l="1"/>
  <c r="A752" i="3" l="1"/>
  <c r="W547" i="3" l="1"/>
  <c r="W545" i="3"/>
  <c r="W543" i="3"/>
  <c r="W541" i="3"/>
  <c r="W539" i="3"/>
  <c r="P547" i="3"/>
  <c r="P545" i="3"/>
  <c r="P543" i="3"/>
  <c r="P541" i="3"/>
  <c r="P539" i="3"/>
  <c r="H547" i="3"/>
  <c r="H545" i="3"/>
  <c r="H543" i="3"/>
  <c r="H541" i="3"/>
  <c r="H539" i="3"/>
  <c r="AE547" i="3" l="1"/>
  <c r="AE543" i="3"/>
  <c r="AE541" i="3"/>
  <c r="AE539" i="3"/>
  <c r="AE545" i="3"/>
  <c r="O111" i="17"/>
  <c r="G111" i="17"/>
  <c r="J545" i="3"/>
  <c r="J541" i="3"/>
  <c r="J539" i="3"/>
  <c r="J547" i="3"/>
  <c r="J543" i="3"/>
  <c r="K111" i="17" l="1"/>
  <c r="L545" i="3"/>
  <c r="E111" i="17"/>
  <c r="I110" i="17"/>
  <c r="L541" i="3"/>
  <c r="L543" i="3"/>
  <c r="L547" i="3"/>
  <c r="L539" i="3"/>
  <c r="N541" i="3" l="1"/>
  <c r="N545" i="3"/>
  <c r="M110" i="17"/>
  <c r="N543" i="3"/>
  <c r="N547" i="3"/>
  <c r="N539" i="3"/>
  <c r="Q539" i="3" l="1"/>
  <c r="Q547" i="3"/>
  <c r="Q543" i="3"/>
  <c r="Q545" i="3"/>
  <c r="Q541" i="3"/>
  <c r="Q110" i="17"/>
  <c r="S541" i="3" l="1"/>
  <c r="S545" i="3"/>
  <c r="S543" i="3"/>
  <c r="S547" i="3"/>
  <c r="S539" i="3"/>
  <c r="U539" i="3" l="1"/>
  <c r="U541" i="3"/>
  <c r="U547" i="3"/>
  <c r="U543" i="3"/>
  <c r="U545" i="3"/>
  <c r="X545" i="3" l="1"/>
  <c r="X541" i="3"/>
  <c r="X543" i="3"/>
  <c r="X547" i="3"/>
  <c r="X539" i="3"/>
  <c r="A1274" i="3"/>
  <c r="Z539" i="3" l="1"/>
  <c r="AB539" i="3" s="1"/>
  <c r="Z547" i="3"/>
  <c r="AB547" i="3" s="1"/>
  <c r="Z543" i="3"/>
  <c r="AB543" i="3" s="1"/>
  <c r="Z541" i="3"/>
  <c r="AB541" i="3" s="1"/>
  <c r="Z545" i="3"/>
  <c r="AB545" i="3" s="1"/>
  <c r="W1432" i="3"/>
  <c r="AE1432" i="3" s="1"/>
  <c r="W1431" i="3"/>
  <c r="W1427" i="3"/>
  <c r="AE1427" i="3" s="1"/>
  <c r="W1426" i="3"/>
  <c r="AE1426" i="3" s="1"/>
  <c r="W1425" i="3"/>
  <c r="AE1431" i="3" l="1"/>
  <c r="AE1434" i="3" s="1"/>
  <c r="W1434" i="3"/>
  <c r="AE1425" i="3"/>
  <c r="AE1428" i="3" s="1"/>
  <c r="W1428" i="3"/>
  <c r="W1379" i="3"/>
  <c r="W1359" i="3"/>
  <c r="W1353" i="3"/>
  <c r="AE1345" i="3"/>
  <c r="W1344" i="3"/>
  <c r="W1343" i="3"/>
  <c r="AE1359" i="3" l="1"/>
  <c r="W1351" i="3"/>
  <c r="AE1353" i="3"/>
  <c r="W1350" i="3"/>
  <c r="AF541" i="3"/>
  <c r="AF545" i="3"/>
  <c r="AF539" i="3"/>
  <c r="AF547" i="3"/>
  <c r="AF543" i="3"/>
  <c r="AE1344" i="3"/>
  <c r="AE1343" i="3"/>
  <c r="W1314" i="3"/>
  <c r="W1290" i="3"/>
  <c r="AE1290" i="3" s="1"/>
  <c r="W1271" i="3"/>
  <c r="AE1271" i="3" s="1"/>
  <c r="W1270" i="3"/>
  <c r="AE1270" i="3" s="1"/>
  <c r="W1269" i="3"/>
  <c r="AE1269" i="3" s="1"/>
  <c r="W1268" i="3"/>
  <c r="AE1268" i="3" s="1"/>
  <c r="W1266" i="3"/>
  <c r="AE1266" i="3" s="1"/>
  <c r="W1265" i="3"/>
  <c r="AE1265" i="3" s="1"/>
  <c r="W1264" i="3"/>
  <c r="AE1264" i="3" s="1"/>
  <c r="W1263" i="3"/>
  <c r="AE1263" i="3" s="1"/>
  <c r="W1262" i="3"/>
  <c r="AE1262" i="3" s="1"/>
  <c r="W1261" i="3"/>
  <c r="AE1261" i="3" s="1"/>
  <c r="W1214" i="3"/>
  <c r="AE1214" i="3" s="1"/>
  <c r="W1212" i="3"/>
  <c r="AE1212" i="3" s="1"/>
  <c r="W1211" i="3"/>
  <c r="AE1211" i="3" s="1"/>
  <c r="W1210" i="3"/>
  <c r="AE1210" i="3" s="1"/>
  <c r="W1209" i="3"/>
  <c r="AE1209" i="3" s="1"/>
  <c r="W1206" i="3"/>
  <c r="AE1206" i="3" s="1"/>
  <c r="W1193" i="3"/>
  <c r="AE1193" i="3" s="1"/>
  <c r="AE1191" i="3"/>
  <c r="W1190" i="3"/>
  <c r="AE1190" i="3" s="1"/>
  <c r="W1189" i="3"/>
  <c r="AE1189" i="3" s="1"/>
  <c r="W1188" i="3"/>
  <c r="AE1188" i="3" s="1"/>
  <c r="W1187" i="3"/>
  <c r="AE1187" i="3" s="1"/>
  <c r="W1186" i="3"/>
  <c r="AE1186" i="3" s="1"/>
  <c r="W1184" i="3"/>
  <c r="AE1184" i="3" s="1"/>
  <c r="W1183" i="3"/>
  <c r="AE1183" i="3" s="1"/>
  <c r="W1178" i="3"/>
  <c r="AE1178" i="3" s="1"/>
  <c r="W1174" i="3"/>
  <c r="AE1174" i="3" s="1"/>
  <c r="W1173" i="3"/>
  <c r="AE1173" i="3" s="1"/>
  <c r="W1168" i="3"/>
  <c r="AE1168" i="3" s="1"/>
  <c r="W1167" i="3"/>
  <c r="AE1167" i="3" s="1"/>
  <c r="W1166" i="3"/>
  <c r="AE1166" i="3" s="1"/>
  <c r="W1165" i="3"/>
  <c r="AE1165" i="3" s="1"/>
  <c r="W1164" i="3"/>
  <c r="AE1164" i="3" s="1"/>
  <c r="W1163" i="3"/>
  <c r="AE1163" i="3" s="1"/>
  <c r="W1162" i="3"/>
  <c r="AE1162" i="3" s="1"/>
  <c r="W1161" i="3"/>
  <c r="AE1161" i="3" s="1"/>
  <c r="W1160" i="3"/>
  <c r="AE1160" i="3" s="1"/>
  <c r="W1159" i="3"/>
  <c r="AE1159" i="3" s="1"/>
  <c r="W1158" i="3"/>
  <c r="AE1158" i="3" s="1"/>
  <c r="W1157" i="3"/>
  <c r="AE1157" i="3" s="1"/>
  <c r="W1156" i="3"/>
  <c r="AE1156" i="3" s="1"/>
  <c r="W1154" i="3"/>
  <c r="AE1154" i="3" s="1"/>
  <c r="W1153" i="3"/>
  <c r="AE1153" i="3" s="1"/>
  <c r="W1152" i="3"/>
  <c r="AE1152" i="3" s="1"/>
  <c r="W1151" i="3"/>
  <c r="AE1151" i="3" s="1"/>
  <c r="W1150" i="3"/>
  <c r="AE1150" i="3" s="1"/>
  <c r="W1149" i="3"/>
  <c r="AE1149" i="3" s="1"/>
  <c r="W1143" i="3"/>
  <c r="AE1143" i="3" s="1"/>
  <c r="W1139" i="3"/>
  <c r="AE1139" i="3" s="1"/>
  <c r="W1138" i="3"/>
  <c r="AE1138" i="3" s="1"/>
  <c r="W1137" i="3"/>
  <c r="AE1137" i="3" s="1"/>
  <c r="W1132" i="3"/>
  <c r="AE1119" i="3"/>
  <c r="W1022" i="3"/>
  <c r="AE1022" i="3" s="1"/>
  <c r="W1020" i="3"/>
  <c r="W1120" i="3"/>
  <c r="AE1120" i="3" s="1"/>
  <c r="AE1363" i="3" l="1"/>
  <c r="AE1364" i="3"/>
  <c r="AE1351" i="3"/>
  <c r="AE1350" i="3"/>
  <c r="W1363" i="3"/>
  <c r="W1364" i="3"/>
  <c r="AE1132" i="3"/>
  <c r="AE1020" i="3"/>
  <c r="AE1128" i="3" s="1"/>
  <c r="W1129" i="3"/>
  <c r="W1128" i="3"/>
  <c r="AE1074" i="3"/>
  <c r="AE1215" i="3"/>
  <c r="AE1140" i="3"/>
  <c r="AE1175" i="3"/>
  <c r="AE1314" i="3"/>
  <c r="AE1194" i="3"/>
  <c r="W1175" i="3"/>
  <c r="W1181" i="3" s="1"/>
  <c r="W1140" i="3"/>
  <c r="W1145" i="3" s="1"/>
  <c r="W1194" i="3"/>
  <c r="W1215" i="3"/>
  <c r="W1074" i="3"/>
  <c r="W634" i="3"/>
  <c r="W633" i="3"/>
  <c r="W632" i="3"/>
  <c r="W631" i="3"/>
  <c r="W629" i="3"/>
  <c r="W628" i="3"/>
  <c r="W627" i="3"/>
  <c r="W345" i="3"/>
  <c r="AE345" i="3" s="1"/>
  <c r="W342" i="3"/>
  <c r="AE342" i="3" s="1"/>
  <c r="W323" i="3"/>
  <c r="AE323" i="3" s="1"/>
  <c r="AE1129" i="3" l="1"/>
  <c r="AE1076" i="3"/>
  <c r="AE1126" i="3"/>
  <c r="AE902" i="3"/>
  <c r="W1076" i="3"/>
  <c r="W255" i="3" s="1"/>
  <c r="W1126" i="3"/>
  <c r="AE355" i="3"/>
  <c r="AE628" i="3"/>
  <c r="AE1181" i="3"/>
  <c r="AE1180" i="3"/>
  <c r="AE629" i="3"/>
  <c r="AE1145" i="3"/>
  <c r="AE627" i="3"/>
  <c r="W1180" i="3"/>
  <c r="W355" i="3"/>
  <c r="W249" i="3"/>
  <c r="AE249" i="3" s="1"/>
  <c r="W248" i="3"/>
  <c r="AE248" i="3" s="1"/>
  <c r="W223" i="3"/>
  <c r="AE223" i="3" s="1"/>
  <c r="W239" i="3"/>
  <c r="X239" i="3"/>
  <c r="W190" i="3"/>
  <c r="AE190" i="3" s="1"/>
  <c r="W189" i="3"/>
  <c r="AE189" i="3" s="1"/>
  <c r="W159" i="3"/>
  <c r="AE159" i="3" s="1"/>
  <c r="W156" i="3"/>
  <c r="AE156" i="3" s="1"/>
  <c r="W155" i="3"/>
  <c r="AE155" i="3" s="1"/>
  <c r="W153" i="3"/>
  <c r="AE153" i="3" s="1"/>
  <c r="W152" i="3"/>
  <c r="AE152" i="3" s="1"/>
  <c r="W145" i="3"/>
  <c r="AE145" i="3" s="1"/>
  <c r="W144" i="3"/>
  <c r="AE144" i="3" s="1"/>
  <c r="W139" i="3"/>
  <c r="AE139" i="3" s="1"/>
  <c r="W138" i="3"/>
  <c r="AE138" i="3" s="1"/>
  <c r="W135" i="3"/>
  <c r="AE135" i="3" s="1"/>
  <c r="W134" i="3"/>
  <c r="AE134" i="3" s="1"/>
  <c r="AE131" i="3"/>
  <c r="W129" i="3"/>
  <c r="AE129" i="3" s="1"/>
  <c r="AE126" i="3"/>
  <c r="AE124" i="3"/>
  <c r="AE123" i="3"/>
  <c r="W122" i="3"/>
  <c r="AE122" i="3" s="1"/>
  <c r="W114" i="3"/>
  <c r="AE114" i="3" s="1"/>
  <c r="W113" i="3"/>
  <c r="AE113" i="3" s="1"/>
  <c r="W110" i="3"/>
  <c r="AE110" i="3" s="1"/>
  <c r="W109" i="3"/>
  <c r="AE109" i="3" s="1"/>
  <c r="W106" i="3"/>
  <c r="AE106" i="3" s="1"/>
  <c r="W105" i="3"/>
  <c r="AE105" i="3" s="1"/>
  <c r="W102" i="3"/>
  <c r="AE102" i="3" s="1"/>
  <c r="W101" i="3"/>
  <c r="AE101" i="3" s="1"/>
  <c r="W77" i="3"/>
  <c r="AE77" i="3" s="1"/>
  <c r="W74" i="3"/>
  <c r="AE74" i="3" s="1"/>
  <c r="W71" i="3"/>
  <c r="AE71" i="3" s="1"/>
  <c r="W68" i="3"/>
  <c r="AE68" i="3" s="1"/>
  <c r="W65" i="3"/>
  <c r="AE65" i="3" s="1"/>
  <c r="W62" i="3"/>
  <c r="AE62" i="3" s="1"/>
  <c r="W46" i="3"/>
  <c r="AE46" i="3" s="1"/>
  <c r="W43" i="3"/>
  <c r="AE43" i="3" s="1"/>
  <c r="AE154" i="3" l="1"/>
  <c r="AE140" i="3"/>
  <c r="AE132" i="3"/>
  <c r="AE66" i="3"/>
  <c r="AE146" i="3"/>
  <c r="AE78" i="3"/>
  <c r="AE103" i="3"/>
  <c r="AE111" i="3"/>
  <c r="AE136" i="3"/>
  <c r="AE72" i="3"/>
  <c r="AE107" i="3"/>
  <c r="AE115" i="3"/>
  <c r="AE151" i="3"/>
  <c r="W250" i="3"/>
  <c r="AE250" i="3" s="1"/>
  <c r="W107" i="3"/>
  <c r="W72" i="3"/>
  <c r="W66" i="3"/>
  <c r="W146" i="3"/>
  <c r="W132" i="3"/>
  <c r="W140" i="3"/>
  <c r="W136" i="3"/>
  <c r="W154" i="3"/>
  <c r="W151" i="3"/>
  <c r="W115" i="3"/>
  <c r="W111" i="3"/>
  <c r="W103" i="3"/>
  <c r="W78" i="3"/>
  <c r="W141" i="3" l="1"/>
  <c r="AE141" i="3" s="1"/>
  <c r="C1289" i="3"/>
  <c r="W272" i="3" l="1"/>
  <c r="AE272" i="3" s="1"/>
  <c r="H272" i="3"/>
  <c r="J272" i="3" s="1"/>
  <c r="L272" i="3" s="1"/>
  <c r="N272" i="3" s="1"/>
  <c r="Q272" i="3" s="1"/>
  <c r="S272" i="3" s="1"/>
  <c r="U272" i="3" s="1"/>
  <c r="X272" i="3" s="1"/>
  <c r="Z272" i="3" s="1"/>
  <c r="P272" i="3"/>
  <c r="AB272" i="3" l="1"/>
  <c r="AF272" i="3" s="1"/>
  <c r="P1263" i="3" l="1"/>
  <c r="H1263" i="3"/>
  <c r="J1263" i="3" s="1"/>
  <c r="W1322" i="3"/>
  <c r="AE1322" i="3" s="1"/>
  <c r="P1314" i="3"/>
  <c r="H1314" i="3"/>
  <c r="J1314" i="3" s="1"/>
  <c r="L1314" i="3" s="1"/>
  <c r="N1314" i="3" s="1"/>
  <c r="L1263" i="3" l="1"/>
  <c r="Q1263" i="3"/>
  <c r="Q1314" i="3"/>
  <c r="S1314" i="3" s="1"/>
  <c r="U1314" i="3" s="1"/>
  <c r="X1314" i="3" s="1"/>
  <c r="Z1314" i="3" s="1"/>
  <c r="AB1314" i="3" l="1"/>
  <c r="AF1314" i="3" s="1"/>
  <c r="S1263" i="3"/>
  <c r="N1263" i="3"/>
  <c r="U1263" i="3" l="1"/>
  <c r="X1263" i="3" l="1"/>
  <c r="Z1263" i="3" s="1"/>
  <c r="AB1263" i="3" s="1"/>
  <c r="U239" i="3"/>
  <c r="AF1263" i="3" l="1"/>
  <c r="B726" i="3" l="1"/>
  <c r="W225" i="3" l="1"/>
  <c r="AE225" i="3" s="1"/>
  <c r="W224" i="3"/>
  <c r="AE224" i="3" s="1"/>
  <c r="W1134" i="3" l="1"/>
  <c r="W1133" i="3"/>
  <c r="AE1134" i="3" l="1"/>
  <c r="AE1133" i="3"/>
  <c r="W118" i="3" l="1"/>
  <c r="AE118" i="3" s="1"/>
  <c r="W117" i="3"/>
  <c r="AE117" i="3" s="1"/>
  <c r="AE119" i="3" l="1"/>
  <c r="AE120" i="3" s="1"/>
  <c r="W119" i="3"/>
  <c r="W120" i="3" s="1"/>
  <c r="W630" i="3" l="1"/>
  <c r="W1205" i="3" l="1"/>
  <c r="AE1205" i="3" s="1"/>
  <c r="W1360" i="3" l="1"/>
  <c r="W1365" i="3" s="1"/>
  <c r="AE1360" i="3" l="1"/>
  <c r="W270" i="3"/>
  <c r="AE270" i="3" s="1"/>
  <c r="AE1365" i="3" l="1"/>
  <c r="W273" i="3"/>
  <c r="AE273" i="3" s="1"/>
  <c r="W271" i="3"/>
  <c r="AE271" i="3" s="1"/>
  <c r="W94" i="3" l="1"/>
  <c r="AE94" i="3" s="1"/>
  <c r="P1270" i="3"/>
  <c r="H1270" i="3"/>
  <c r="J1270" i="3" s="1"/>
  <c r="W96" i="3" l="1"/>
  <c r="AE96" i="3" s="1"/>
  <c r="W95" i="3"/>
  <c r="AE95" i="3" s="1"/>
  <c r="Q1270" i="3"/>
  <c r="L1270" i="3"/>
  <c r="S1270" i="3" l="1"/>
  <c r="U1270" i="3" s="1"/>
  <c r="X1270" i="3" s="1"/>
  <c r="Z1270" i="3" s="1"/>
  <c r="AB1270" i="3" s="1"/>
  <c r="N1270" i="3"/>
  <c r="AF1270" i="3" l="1"/>
  <c r="P902" i="3" l="1"/>
  <c r="P1268" i="3" l="1"/>
  <c r="P1266" i="3"/>
  <c r="P1269" i="3"/>
  <c r="H1268" i="3"/>
  <c r="H1266" i="3"/>
  <c r="P1236" i="3"/>
  <c r="H159" i="3"/>
  <c r="J159" i="3" s="1"/>
  <c r="L159" i="3" s="1"/>
  <c r="N159" i="3" s="1"/>
  <c r="Q159" i="3" s="1"/>
  <c r="J1266" i="3" l="1"/>
  <c r="J1268" i="3"/>
  <c r="S159" i="3"/>
  <c r="U159" i="3" s="1"/>
  <c r="X159" i="3" s="1"/>
  <c r="Z159" i="3" s="1"/>
  <c r="B1234" i="3"/>
  <c r="B1230" i="3"/>
  <c r="AB159" i="3" l="1"/>
  <c r="AF159" i="3" s="1"/>
  <c r="Q1266" i="3"/>
  <c r="L1266" i="3"/>
  <c r="Q1268" i="3"/>
  <c r="L1268" i="3"/>
  <c r="S1266" i="3" l="1"/>
  <c r="U1266" i="3" s="1"/>
  <c r="X1266" i="3" s="1"/>
  <c r="Z1266" i="3" s="1"/>
  <c r="AB1266" i="3" s="1"/>
  <c r="S1268" i="3"/>
  <c r="U1268" i="3" s="1"/>
  <c r="X1268" i="3" s="1"/>
  <c r="Z1268" i="3" s="1"/>
  <c r="AB1268" i="3" s="1"/>
  <c r="N1266" i="3"/>
  <c r="I17" i="8"/>
  <c r="M17" i="8" s="1"/>
  <c r="Q17" i="8" s="1"/>
  <c r="U17" i="8" s="1"/>
  <c r="AA17" i="8" s="1"/>
  <c r="AE17" i="8" s="1"/>
  <c r="AI17" i="8" s="1"/>
  <c r="AO17" i="8" s="1"/>
  <c r="AS17" i="8" s="1"/>
  <c r="AW17" i="8" s="1"/>
  <c r="BE17" i="8" s="1"/>
  <c r="N1268" i="3"/>
  <c r="AF1268" i="3" l="1"/>
  <c r="P1351" i="3"/>
  <c r="P1353" i="3"/>
  <c r="P1350" i="3" s="1"/>
  <c r="P1345" i="3"/>
  <c r="P1344" i="3"/>
  <c r="P1322" i="3"/>
  <c r="P1319" i="3"/>
  <c r="P1290" i="3"/>
  <c r="P1365" i="3" l="1"/>
  <c r="AF1266" i="3"/>
  <c r="P1206" i="3"/>
  <c r="P1204" i="3"/>
  <c r="P1193" i="3"/>
  <c r="P1191" i="3"/>
  <c r="P1190" i="3"/>
  <c r="P1188" i="3"/>
  <c r="P1187" i="3"/>
  <c r="P1186" i="3"/>
  <c r="P1184" i="3"/>
  <c r="P1183" i="3"/>
  <c r="P1178" i="3"/>
  <c r="P1174" i="3"/>
  <c r="P1173" i="3"/>
  <c r="P1167" i="3"/>
  <c r="P1166" i="3"/>
  <c r="P1165" i="3"/>
  <c r="P1164" i="3"/>
  <c r="P1163" i="3"/>
  <c r="P1162" i="3"/>
  <c r="P1161" i="3"/>
  <c r="P1160" i="3"/>
  <c r="P1159" i="3"/>
  <c r="P1158" i="3"/>
  <c r="P1157" i="3"/>
  <c r="P1156" i="3"/>
  <c r="P1154" i="3"/>
  <c r="P1153" i="3"/>
  <c r="P1152" i="3"/>
  <c r="P1151" i="3"/>
  <c r="P1150" i="3"/>
  <c r="P1149" i="3"/>
  <c r="P1143" i="3"/>
  <c r="P1139" i="3"/>
  <c r="P1138" i="3"/>
  <c r="P1137" i="3"/>
  <c r="P1132" i="3"/>
  <c r="P1119" i="3"/>
  <c r="P1022" i="3"/>
  <c r="P1020" i="3"/>
  <c r="P1120" i="3"/>
  <c r="P904" i="3"/>
  <c r="P629" i="3"/>
  <c r="P628" i="3"/>
  <c r="P627" i="3"/>
  <c r="P280" i="3" l="1"/>
  <c r="P293" i="3"/>
  <c r="Q1020" i="3"/>
  <c r="P1129" i="3"/>
  <c r="P1128" i="3"/>
  <c r="P1074" i="3"/>
  <c r="P1215" i="3"/>
  <c r="P1175" i="3"/>
  <c r="P1181" i="3" s="1"/>
  <c r="P1140" i="3"/>
  <c r="Q239" i="3"/>
  <c r="P1126" i="3" l="1"/>
  <c r="P1076" i="3"/>
  <c r="P255" i="3" s="1"/>
  <c r="S1020" i="3"/>
  <c r="Q1128" i="3"/>
  <c r="Q1129" i="3"/>
  <c r="P1180" i="3"/>
  <c r="P1145" i="3"/>
  <c r="P223" i="3"/>
  <c r="U1020" i="3" l="1"/>
  <c r="S1129" i="3"/>
  <c r="S1128" i="3"/>
  <c r="X1020" i="3" l="1"/>
  <c r="U1129" i="3"/>
  <c r="U1128" i="3"/>
  <c r="H1432" i="3"/>
  <c r="J1432" i="3" s="1"/>
  <c r="L1432" i="3" s="1"/>
  <c r="N1432" i="3" s="1"/>
  <c r="H1431" i="3"/>
  <c r="X1129" i="3" l="1"/>
  <c r="Z1020" i="3"/>
  <c r="AB1020" i="3" s="1"/>
  <c r="X1128" i="3"/>
  <c r="Q1432" i="3"/>
  <c r="S1432" i="3" s="1"/>
  <c r="U1432" i="3" s="1"/>
  <c r="X1432" i="3" s="1"/>
  <c r="Z1432" i="3" s="1"/>
  <c r="H1434" i="3"/>
  <c r="J1431" i="3"/>
  <c r="J1434" i="3" s="1"/>
  <c r="AB1432" i="3" l="1"/>
  <c r="AF1432" i="3" s="1"/>
  <c r="P1432" i="3"/>
  <c r="Z1129" i="3"/>
  <c r="AB1129" i="3" s="1"/>
  <c r="Z1128" i="3"/>
  <c r="AB1128" i="3" s="1"/>
  <c r="L1431" i="3"/>
  <c r="L1434" i="3" s="1"/>
  <c r="N1431" i="3" l="1"/>
  <c r="N1434" i="3" s="1"/>
  <c r="AF1020" i="3"/>
  <c r="AF1128" i="3" s="1"/>
  <c r="Q1431" i="3" l="1"/>
  <c r="Q1434" i="3" s="1"/>
  <c r="AF1129" i="3"/>
  <c r="H1427" i="3"/>
  <c r="J1427" i="3" s="1"/>
  <c r="L1427" i="3" s="1"/>
  <c r="N1427" i="3" s="1"/>
  <c r="Q1427" i="3" s="1"/>
  <c r="H1426" i="3"/>
  <c r="J1426" i="3" s="1"/>
  <c r="L1426" i="3" s="1"/>
  <c r="N1426" i="3" s="1"/>
  <c r="Q1426" i="3" s="1"/>
  <c r="H1425" i="3"/>
  <c r="P1431" i="3" l="1"/>
  <c r="P1434" i="3" s="1"/>
  <c r="S1431" i="3"/>
  <c r="S1434" i="3" s="1"/>
  <c r="H1428" i="3"/>
  <c r="P1426" i="3"/>
  <c r="S1426" i="3"/>
  <c r="U1426" i="3" s="1"/>
  <c r="X1426" i="3" s="1"/>
  <c r="Z1426" i="3" s="1"/>
  <c r="P1427" i="3"/>
  <c r="S1427" i="3"/>
  <c r="J1425" i="3"/>
  <c r="J1428" i="3" s="1"/>
  <c r="AB1426" i="3" l="1"/>
  <c r="AF1426" i="3" s="1"/>
  <c r="U1431" i="3"/>
  <c r="U1434" i="3" s="1"/>
  <c r="U1427" i="3"/>
  <c r="X1427" i="3" s="1"/>
  <c r="Z1427" i="3" s="1"/>
  <c r="L1425" i="3"/>
  <c r="L1428" i="3" s="1"/>
  <c r="AB1427" i="3" l="1"/>
  <c r="AF1427" i="3" s="1"/>
  <c r="X1431" i="3"/>
  <c r="X1434" i="3" s="1"/>
  <c r="N1425" i="3"/>
  <c r="N1428" i="3" s="1"/>
  <c r="P1343" i="3"/>
  <c r="Z1431" i="3" l="1"/>
  <c r="P1364" i="3"/>
  <c r="P1363" i="3"/>
  <c r="Q1425" i="3"/>
  <c r="H239" i="3"/>
  <c r="Z1434" i="3" l="1"/>
  <c r="AB1431" i="3"/>
  <c r="AB1434" i="3" s="1"/>
  <c r="S1425" i="3"/>
  <c r="S1428" i="3" s="1"/>
  <c r="Q1428" i="3"/>
  <c r="P1425" i="3"/>
  <c r="P1428" i="3" s="1"/>
  <c r="AF1431" i="3" l="1"/>
  <c r="AF1434" i="3" s="1"/>
  <c r="U1425" i="3"/>
  <c r="U1428" i="3" s="1"/>
  <c r="P12" i="3"/>
  <c r="X1425" i="3" l="1"/>
  <c r="H1214" i="3"/>
  <c r="J1214" i="3" s="1"/>
  <c r="H1212" i="3"/>
  <c r="J1212" i="3" s="1"/>
  <c r="H1211" i="3"/>
  <c r="J1211" i="3" s="1"/>
  <c r="H1210" i="3"/>
  <c r="J1210" i="3" s="1"/>
  <c r="H1209" i="3"/>
  <c r="J1209" i="3" s="1"/>
  <c r="H1206" i="3"/>
  <c r="H1204" i="3"/>
  <c r="J1204" i="3" s="1"/>
  <c r="L1204" i="3" s="1"/>
  <c r="N1204" i="3" s="1"/>
  <c r="Q1204" i="3" s="1"/>
  <c r="S1204" i="3" s="1"/>
  <c r="U1204" i="3" s="1"/>
  <c r="X1204" i="3" s="1"/>
  <c r="Z1204" i="3" s="1"/>
  <c r="AB1204" i="3" l="1"/>
  <c r="AF1204" i="3" s="1"/>
  <c r="Z1425" i="3"/>
  <c r="X1428" i="3"/>
  <c r="P1205" i="3"/>
  <c r="H1205" i="3"/>
  <c r="J1205" i="3" s="1"/>
  <c r="L1209" i="3"/>
  <c r="N1209" i="3" s="1"/>
  <c r="Q1209" i="3" s="1"/>
  <c r="S1209" i="3" s="1"/>
  <c r="U1209" i="3" s="1"/>
  <c r="X1209" i="3" s="1"/>
  <c r="Z1209" i="3" s="1"/>
  <c r="AB1209" i="3" s="1"/>
  <c r="L1214" i="3"/>
  <c r="N1214" i="3" s="1"/>
  <c r="Q1214" i="3" s="1"/>
  <c r="S1214" i="3" s="1"/>
  <c r="U1214" i="3" s="1"/>
  <c r="X1214" i="3" s="1"/>
  <c r="Z1214" i="3" s="1"/>
  <c r="L1210" i="3"/>
  <c r="N1210" i="3" s="1"/>
  <c r="Q1210" i="3" s="1"/>
  <c r="S1210" i="3" s="1"/>
  <c r="U1210" i="3" s="1"/>
  <c r="X1210" i="3" s="1"/>
  <c r="Z1210" i="3" s="1"/>
  <c r="AB1210" i="3" s="1"/>
  <c r="L1211" i="3"/>
  <c r="N1211" i="3" s="1"/>
  <c r="Q1211" i="3" s="1"/>
  <c r="S1211" i="3" s="1"/>
  <c r="U1211" i="3" s="1"/>
  <c r="X1211" i="3" s="1"/>
  <c r="Z1211" i="3" s="1"/>
  <c r="AB1211" i="3" s="1"/>
  <c r="L1212" i="3"/>
  <c r="N1212" i="3" s="1"/>
  <c r="Q1212" i="3" s="1"/>
  <c r="S1212" i="3" s="1"/>
  <c r="U1212" i="3" s="1"/>
  <c r="X1212" i="3" s="1"/>
  <c r="Z1212" i="3" s="1"/>
  <c r="AB1212" i="3" s="1"/>
  <c r="H1215" i="3"/>
  <c r="P225" i="3"/>
  <c r="P224" i="3"/>
  <c r="AB1214" i="3" l="1"/>
  <c r="AF1214" i="3" s="1"/>
  <c r="Z1428" i="3"/>
  <c r="AB1425" i="3"/>
  <c r="AB1428" i="3" s="1"/>
  <c r="AF1210" i="3"/>
  <c r="AF1209" i="3"/>
  <c r="AF1212" i="3"/>
  <c r="AF1211" i="3"/>
  <c r="L1205" i="3"/>
  <c r="N1205" i="3" s="1"/>
  <c r="Q1205" i="3" s="1"/>
  <c r="S1205" i="3" s="1"/>
  <c r="U1205" i="3" s="1"/>
  <c r="X1205" i="3" s="1"/>
  <c r="Z1205" i="3" s="1"/>
  <c r="AB1205" i="3" s="1"/>
  <c r="P1168" i="3"/>
  <c r="AF1425" i="3" l="1"/>
  <c r="AF1428" i="3" s="1"/>
  <c r="AF1205" i="3"/>
  <c r="H513" i="3" l="1"/>
  <c r="J513" i="3" l="1"/>
  <c r="L513" i="3" s="1"/>
  <c r="N513" i="3" s="1"/>
  <c r="H354" i="3"/>
  <c r="J354" i="3" s="1"/>
  <c r="L354" i="3" s="1"/>
  <c r="N354" i="3" s="1"/>
  <c r="Q354" i="3" s="1"/>
  <c r="H345" i="3"/>
  <c r="J345" i="3" s="1"/>
  <c r="L345" i="3" s="1"/>
  <c r="N345" i="3" s="1"/>
  <c r="Q345" i="3" s="1"/>
  <c r="S345" i="3" s="1"/>
  <c r="U345" i="3" s="1"/>
  <c r="X345" i="3" s="1"/>
  <c r="Z345" i="3" s="1"/>
  <c r="AB345" i="3" l="1"/>
  <c r="P355" i="3"/>
  <c r="S354" i="3"/>
  <c r="U354" i="3" s="1"/>
  <c r="Q355" i="3"/>
  <c r="H355" i="3"/>
  <c r="J355" i="3" s="1"/>
  <c r="L355" i="3" s="1"/>
  <c r="N355" i="3" s="1"/>
  <c r="K241" i="6"/>
  <c r="K50" i="8" s="1"/>
  <c r="E241" i="6"/>
  <c r="E50" i="8" s="1"/>
  <c r="AF345" i="3" l="1"/>
  <c r="P23" i="3"/>
  <c r="K30" i="6"/>
  <c r="K31" i="6" s="1"/>
  <c r="K19" i="6"/>
  <c r="G241" i="6"/>
  <c r="G50" i="8" s="1"/>
  <c r="E30" i="6"/>
  <c r="E19" i="6"/>
  <c r="S355" i="3"/>
  <c r="P35" i="3" l="1"/>
  <c r="H35" i="3"/>
  <c r="J35" i="3" s="1"/>
  <c r="E31" i="6"/>
  <c r="G30" i="6"/>
  <c r="G31" i="6" s="1"/>
  <c r="G19" i="6"/>
  <c r="I18" i="6"/>
  <c r="U355" i="3"/>
  <c r="X354" i="3"/>
  <c r="H156" i="3"/>
  <c r="J156" i="3" s="1"/>
  <c r="L156" i="3" s="1"/>
  <c r="N156" i="3" s="1"/>
  <c r="Q156" i="3" s="1"/>
  <c r="H155" i="3"/>
  <c r="J155" i="3" s="1"/>
  <c r="L155" i="3" s="1"/>
  <c r="N155" i="3" s="1"/>
  <c r="Q155" i="3" s="1"/>
  <c r="P154" i="3"/>
  <c r="H43" i="3"/>
  <c r="J43" i="3" s="1"/>
  <c r="L43" i="3" s="1"/>
  <c r="N43" i="3" s="1"/>
  <c r="Q43" i="3" s="1"/>
  <c r="H42" i="3"/>
  <c r="J42" i="3" s="1"/>
  <c r="L42" i="3" s="1"/>
  <c r="N42" i="3" s="1"/>
  <c r="H122" i="3"/>
  <c r="J122" i="3" s="1"/>
  <c r="L122" i="3" s="1"/>
  <c r="N122" i="3" s="1"/>
  <c r="Q122" i="3" s="1"/>
  <c r="H123" i="3"/>
  <c r="J123" i="3" s="1"/>
  <c r="L123" i="3" s="1"/>
  <c r="N123" i="3" s="1"/>
  <c r="Q123" i="3" s="1"/>
  <c r="H124" i="3"/>
  <c r="J124" i="3" s="1"/>
  <c r="L124" i="3" s="1"/>
  <c r="N124" i="3" s="1"/>
  <c r="Q124" i="3" s="1"/>
  <c r="I173" i="6" l="1"/>
  <c r="I174" i="6"/>
  <c r="I175" i="6"/>
  <c r="I171" i="6"/>
  <c r="I170" i="6"/>
  <c r="I241" i="6" s="1"/>
  <c r="I172" i="6"/>
  <c r="E12" i="15"/>
  <c r="E13" i="15" s="1"/>
  <c r="H1460" i="3"/>
  <c r="H36" i="3"/>
  <c r="I19" i="6"/>
  <c r="M18" i="6"/>
  <c r="I30" i="6"/>
  <c r="J36" i="3"/>
  <c r="L35" i="3"/>
  <c r="X355" i="3"/>
  <c r="Z354" i="3"/>
  <c r="S43" i="3"/>
  <c r="U43" i="3" s="1"/>
  <c r="X43" i="3" s="1"/>
  <c r="Z43" i="3" s="1"/>
  <c r="S123" i="3"/>
  <c r="U123" i="3" s="1"/>
  <c r="S155" i="3"/>
  <c r="U155" i="3" s="1"/>
  <c r="X155" i="3" s="1"/>
  <c r="S124" i="3"/>
  <c r="U124" i="3" s="1"/>
  <c r="S122" i="3"/>
  <c r="U122" i="3" s="1"/>
  <c r="X122" i="3" s="1"/>
  <c r="Z122" i="3" s="1"/>
  <c r="S156" i="3"/>
  <c r="U156" i="3" s="1"/>
  <c r="X156" i="3" s="1"/>
  <c r="Z156" i="3" s="1"/>
  <c r="H154" i="3"/>
  <c r="J154" i="3" s="1"/>
  <c r="L154" i="3" s="1"/>
  <c r="N154" i="3" s="1"/>
  <c r="Q18" i="6" l="1"/>
  <c r="U18" i="6" s="1"/>
  <c r="AA18" i="6" s="1"/>
  <c r="M171" i="6"/>
  <c r="M175" i="6"/>
  <c r="M172" i="6"/>
  <c r="M174" i="6"/>
  <c r="M170" i="6"/>
  <c r="M173" i="6"/>
  <c r="AB43" i="3"/>
  <c r="AF43" i="3" s="1"/>
  <c r="AB122" i="3"/>
  <c r="AF122" i="3" s="1"/>
  <c r="AB354" i="3"/>
  <c r="AB355" i="3" s="1"/>
  <c r="AB156" i="3"/>
  <c r="AF156" i="3" s="1"/>
  <c r="H1461" i="3"/>
  <c r="H1462" i="3" s="1"/>
  <c r="J1460" i="3"/>
  <c r="X123" i="3"/>
  <c r="Z123" i="3" s="1"/>
  <c r="AB123" i="3" s="1"/>
  <c r="X124" i="3"/>
  <c r="Z124" i="3" s="1"/>
  <c r="AB124" i="3" s="1"/>
  <c r="M19" i="6"/>
  <c r="I31" i="6"/>
  <c r="M30" i="6"/>
  <c r="Q30" i="6" s="1"/>
  <c r="N35" i="3"/>
  <c r="L36" i="3"/>
  <c r="Z355" i="3"/>
  <c r="X154" i="3"/>
  <c r="Z155" i="3"/>
  <c r="AB155" i="3" s="1"/>
  <c r="Q173" i="6" l="1"/>
  <c r="U173" i="6" s="1"/>
  <c r="AA173" i="6" s="1"/>
  <c r="Q170" i="6"/>
  <c r="U170" i="6" s="1"/>
  <c r="U19" i="6"/>
  <c r="Q175" i="6"/>
  <c r="U175" i="6" s="1"/>
  <c r="AA175" i="6" s="1"/>
  <c r="AA19" i="6"/>
  <c r="AE18" i="6"/>
  <c r="AI18" i="6" s="1"/>
  <c r="AO18" i="6" s="1"/>
  <c r="AS18" i="6" s="1"/>
  <c r="AW18" i="6" s="1"/>
  <c r="BE18" i="6" s="1"/>
  <c r="Q171" i="6"/>
  <c r="U171" i="6" s="1"/>
  <c r="AA171" i="6" s="1"/>
  <c r="Q174" i="6"/>
  <c r="U174" i="6" s="1"/>
  <c r="AA174" i="6" s="1"/>
  <c r="Q19" i="6"/>
  <c r="Q172" i="6"/>
  <c r="U172" i="6" s="1"/>
  <c r="AA172" i="6" s="1"/>
  <c r="AE172" i="6" s="1"/>
  <c r="M241" i="6"/>
  <c r="Q31" i="6"/>
  <c r="U30" i="6"/>
  <c r="Q241" i="6"/>
  <c r="Q50" i="8" s="1"/>
  <c r="AB154" i="3"/>
  <c r="AF354" i="3"/>
  <c r="AF355" i="3" s="1"/>
  <c r="I12" i="15"/>
  <c r="I13" i="15" s="1"/>
  <c r="L1460" i="3"/>
  <c r="N1460" i="3" s="1"/>
  <c r="N1461" i="3" s="1"/>
  <c r="N1462" i="3" s="1"/>
  <c r="J1461" i="3"/>
  <c r="J1462" i="3" s="1"/>
  <c r="AF124" i="3"/>
  <c r="AF123" i="3"/>
  <c r="M31" i="6"/>
  <c r="Q35" i="3"/>
  <c r="N36" i="3"/>
  <c r="Z154" i="3"/>
  <c r="BE19" i="6" l="1"/>
  <c r="AW19" i="6"/>
  <c r="AS19" i="6"/>
  <c r="AI172" i="6"/>
  <c r="AO172" i="6" s="1"/>
  <c r="AS172" i="6" s="1"/>
  <c r="AW172" i="6" s="1"/>
  <c r="BE172" i="6" s="1"/>
  <c r="AE174" i="6"/>
  <c r="AI174" i="6" s="1"/>
  <c r="AO174" i="6" s="1"/>
  <c r="AS174" i="6" s="1"/>
  <c r="AW174" i="6" s="1"/>
  <c r="BE174" i="6" s="1"/>
  <c r="AO19" i="6"/>
  <c r="AI19" i="6"/>
  <c r="AE19" i="6"/>
  <c r="AE175" i="6"/>
  <c r="AI175" i="6" s="1"/>
  <c r="AO175" i="6" s="1"/>
  <c r="AS175" i="6" s="1"/>
  <c r="AW175" i="6" s="1"/>
  <c r="BE175" i="6" s="1"/>
  <c r="AE171" i="6"/>
  <c r="AI171" i="6" s="1"/>
  <c r="AO171" i="6" s="1"/>
  <c r="AS171" i="6" s="1"/>
  <c r="AW171" i="6" s="1"/>
  <c r="BE171" i="6" s="1"/>
  <c r="AE173" i="6"/>
  <c r="AI173" i="6" s="1"/>
  <c r="AO173" i="6" s="1"/>
  <c r="AS173" i="6" s="1"/>
  <c r="AW173" i="6" s="1"/>
  <c r="BE173" i="6" s="1"/>
  <c r="U31" i="6"/>
  <c r="AA30" i="6"/>
  <c r="U241" i="6"/>
  <c r="U50" i="8" s="1"/>
  <c r="AA170" i="6"/>
  <c r="L1461" i="3"/>
  <c r="L1462" i="3" s="1"/>
  <c r="AF155" i="3"/>
  <c r="AF154" i="3" s="1"/>
  <c r="S35" i="3"/>
  <c r="P36" i="3"/>
  <c r="Q36" i="3"/>
  <c r="AA31" i="6" l="1"/>
  <c r="AE30" i="6"/>
  <c r="AA241" i="6"/>
  <c r="AA50" i="8" s="1"/>
  <c r="AE170" i="6"/>
  <c r="Q1460" i="3"/>
  <c r="U35" i="3"/>
  <c r="S36" i="3"/>
  <c r="AE31" i="6" l="1"/>
  <c r="AI30" i="6"/>
  <c r="AE241" i="6"/>
  <c r="AE50" i="8" s="1"/>
  <c r="AI170" i="6"/>
  <c r="S1460" i="3"/>
  <c r="Q1461" i="3"/>
  <c r="Q1462" i="3" s="1"/>
  <c r="X35" i="3"/>
  <c r="U36" i="3"/>
  <c r="AI241" i="6" l="1"/>
  <c r="AI50" i="8" s="1"/>
  <c r="AO170" i="6"/>
  <c r="AI31" i="6"/>
  <c r="AO30" i="6"/>
  <c r="S1461" i="3"/>
  <c r="S1462" i="3" s="1"/>
  <c r="U1460" i="3"/>
  <c r="Z35" i="3"/>
  <c r="X36" i="3"/>
  <c r="Z36" i="3" s="1"/>
  <c r="AB36" i="3" s="1"/>
  <c r="AO31" i="6" l="1"/>
  <c r="AS30" i="6"/>
  <c r="AO241" i="6"/>
  <c r="AO50" i="8" s="1"/>
  <c r="AS170" i="6"/>
  <c r="AB35" i="3"/>
  <c r="AF35" i="3" s="1"/>
  <c r="AF36" i="3" s="1"/>
  <c r="U1461" i="3"/>
  <c r="U1462" i="3" s="1"/>
  <c r="X1460" i="3"/>
  <c r="H1345" i="3"/>
  <c r="AS241" i="6" l="1"/>
  <c r="AS50" i="8" s="1"/>
  <c r="AW170" i="6"/>
  <c r="AS31" i="6"/>
  <c r="AW30" i="6"/>
  <c r="Z1460" i="3"/>
  <c r="AB1460" i="3" s="1"/>
  <c r="AB1461" i="3" s="1"/>
  <c r="AB1462" i="3" s="1"/>
  <c r="X1461" i="3"/>
  <c r="X1462" i="3" s="1"/>
  <c r="J1345" i="3"/>
  <c r="AW31" i="6" l="1"/>
  <c r="BE30" i="6"/>
  <c r="BE31" i="6" s="1"/>
  <c r="AW241" i="6"/>
  <c r="AW50" i="8" s="1"/>
  <c r="BE170" i="6"/>
  <c r="BE241" i="6" s="1"/>
  <c r="Z1461" i="3"/>
  <c r="Z1462" i="3" s="1"/>
  <c r="L1345" i="3"/>
  <c r="Q1345" i="3"/>
  <c r="S1345" i="3" s="1"/>
  <c r="U1345" i="3" s="1"/>
  <c r="AF1460" i="3" l="1"/>
  <c r="N1345" i="3"/>
  <c r="X1345" i="3"/>
  <c r="H1269" i="3"/>
  <c r="J1269" i="3" s="1"/>
  <c r="AF1461" i="3" l="1"/>
  <c r="Z1345" i="3"/>
  <c r="AB1345" i="3" s="1"/>
  <c r="L1269" i="3"/>
  <c r="Q1269" i="3"/>
  <c r="P915" i="3"/>
  <c r="P914" i="3"/>
  <c r="AF1345" i="3" l="1"/>
  <c r="S1269" i="3"/>
  <c r="N1360" i="3"/>
  <c r="Q1360" i="3" s="1"/>
  <c r="N1269" i="3"/>
  <c r="P295" i="3"/>
  <c r="P1134" i="3"/>
  <c r="P1133" i="3"/>
  <c r="S1360" i="3" l="1"/>
  <c r="U1360" i="3" s="1"/>
  <c r="U1269" i="3"/>
  <c r="X1269" i="3" s="1"/>
  <c r="Z1269" i="3" s="1"/>
  <c r="AB1269" i="3" s="1"/>
  <c r="H339" i="3"/>
  <c r="H341" i="3"/>
  <c r="X1360" i="3" l="1"/>
  <c r="Z1360" i="3" s="1"/>
  <c r="AB1360" i="3" s="1"/>
  <c r="J341" i="3"/>
  <c r="L341" i="3" s="1"/>
  <c r="J339" i="3"/>
  <c r="L339" i="3" s="1"/>
  <c r="P273" i="3"/>
  <c r="P151" i="3"/>
  <c r="AF1269" i="3" l="1"/>
  <c r="AF1360" i="3"/>
  <c r="Q18" i="21"/>
  <c r="U18" i="21" s="1"/>
  <c r="AA18" i="21" s="1"/>
  <c r="AE18" i="21" s="1"/>
  <c r="AI18" i="21" s="1"/>
  <c r="AO18" i="21" s="1"/>
  <c r="AS18" i="21" s="1"/>
  <c r="AW18" i="21" s="1"/>
  <c r="BE18" i="21" s="1"/>
  <c r="N339" i="3"/>
  <c r="Q339" i="3" s="1"/>
  <c r="N341" i="3"/>
  <c r="Q341" i="3" s="1"/>
  <c r="H270" i="3"/>
  <c r="J270" i="3" s="1"/>
  <c r="L270" i="3" s="1"/>
  <c r="N270" i="3" s="1"/>
  <c r="Q270" i="3" s="1"/>
  <c r="H271" i="3"/>
  <c r="J271" i="3" s="1"/>
  <c r="L271" i="3" s="1"/>
  <c r="N271" i="3" s="1"/>
  <c r="Q271" i="3" s="1"/>
  <c r="C271" i="3"/>
  <c r="Q15" i="21" l="1"/>
  <c r="U15" i="21" s="1"/>
  <c r="AA15" i="21" s="1"/>
  <c r="AE15" i="21" s="1"/>
  <c r="AI15" i="21" s="1"/>
  <c r="AO15" i="21" s="1"/>
  <c r="AS15" i="21" s="1"/>
  <c r="AW15" i="21" s="1"/>
  <c r="BE15" i="21" s="1"/>
  <c r="S341" i="3"/>
  <c r="U341" i="3" s="1"/>
  <c r="X341" i="3" s="1"/>
  <c r="Z341" i="3" s="1"/>
  <c r="AB341" i="3" s="1"/>
  <c r="S339" i="3"/>
  <c r="N1003" i="3"/>
  <c r="Q1003" i="3" s="1"/>
  <c r="S1003" i="3" s="1"/>
  <c r="U1003" i="3" s="1"/>
  <c r="X1003" i="3" s="1"/>
  <c r="Z1003" i="3" s="1"/>
  <c r="AB1003" i="3" s="1"/>
  <c r="AF1003" i="3" s="1"/>
  <c r="H273" i="3"/>
  <c r="J273" i="3" s="1"/>
  <c r="L273" i="3" s="1"/>
  <c r="N273" i="3" s="1"/>
  <c r="Q273" i="3" s="1"/>
  <c r="S273" i="3" s="1"/>
  <c r="U273" i="3" s="1"/>
  <c r="X273" i="3" s="1"/>
  <c r="Z273" i="3" s="1"/>
  <c r="S271" i="3"/>
  <c r="U271" i="3" s="1"/>
  <c r="X271" i="3" s="1"/>
  <c r="Z271" i="3" s="1"/>
  <c r="S270" i="3"/>
  <c r="U270" i="3" s="1"/>
  <c r="X270" i="3" s="1"/>
  <c r="Z270" i="3" s="1"/>
  <c r="AB271" i="3" l="1"/>
  <c r="AF271" i="3" s="1"/>
  <c r="AB273" i="3"/>
  <c r="AF273" i="3" s="1"/>
  <c r="AB270" i="3"/>
  <c r="AF270" i="3" s="1"/>
  <c r="AF341" i="3"/>
  <c r="U339" i="3"/>
  <c r="N956" i="3" l="1"/>
  <c r="N957" i="3"/>
  <c r="X339" i="3"/>
  <c r="Q956" i="3" l="1"/>
  <c r="Q957" i="3"/>
  <c r="Z339" i="3"/>
  <c r="AB339" i="3" s="1"/>
  <c r="S957" i="3" l="1"/>
  <c r="S956" i="3"/>
  <c r="U956" i="3" s="1"/>
  <c r="AF339" i="3"/>
  <c r="H1134" i="3"/>
  <c r="H1132" i="3"/>
  <c r="H1120" i="3"/>
  <c r="J1120" i="3" s="1"/>
  <c r="L1120" i="3" s="1"/>
  <c r="N1120" i="3" s="1"/>
  <c r="Q1120" i="3" s="1"/>
  <c r="Q1073" i="3"/>
  <c r="S1073" i="3" s="1"/>
  <c r="U1073" i="3" s="1"/>
  <c r="X1073" i="3" s="1"/>
  <c r="H1022" i="3"/>
  <c r="H1019" i="3"/>
  <c r="J1019" i="3" s="1"/>
  <c r="L1019" i="3" s="1"/>
  <c r="N1019" i="3" s="1"/>
  <c r="Q1019" i="3" s="1"/>
  <c r="S1019" i="3" s="1"/>
  <c r="U1019" i="3" s="1"/>
  <c r="X1019" i="3" s="1"/>
  <c r="Z1019" i="3" s="1"/>
  <c r="AB1019" i="3" l="1"/>
  <c r="AF1019" i="3" s="1"/>
  <c r="Z1073" i="3"/>
  <c r="X956" i="3"/>
  <c r="Z956" i="3" s="1"/>
  <c r="AB956" i="3" s="1"/>
  <c r="AF956" i="3" s="1"/>
  <c r="U957" i="3"/>
  <c r="N1117" i="3"/>
  <c r="Q1117" i="3"/>
  <c r="N1063" i="3"/>
  <c r="Q1063" i="3"/>
  <c r="S1063" i="3" s="1"/>
  <c r="U1063" i="3" s="1"/>
  <c r="X1063" i="3" s="1"/>
  <c r="N1109" i="3"/>
  <c r="S1120" i="3"/>
  <c r="U1120" i="3" s="1"/>
  <c r="X1120" i="3" s="1"/>
  <c r="Z1120" i="3" s="1"/>
  <c r="N1073" i="3"/>
  <c r="Q1069" i="3"/>
  <c r="S1069" i="3" s="1"/>
  <c r="U1069" i="3" s="1"/>
  <c r="X1069" i="3" s="1"/>
  <c r="J1022" i="3"/>
  <c r="Q1084" i="3"/>
  <c r="S1084" i="3" s="1"/>
  <c r="U1084" i="3" s="1"/>
  <c r="X1084" i="3" s="1"/>
  <c r="J1132" i="3"/>
  <c r="J1134" i="3"/>
  <c r="H1133" i="3"/>
  <c r="H1130" i="3"/>
  <c r="H1131" i="3"/>
  <c r="J1131" i="3" s="1"/>
  <c r="AB1073" i="3" l="1"/>
  <c r="AF1073" i="3" s="1"/>
  <c r="AB1120" i="3"/>
  <c r="AF1120" i="3" s="1"/>
  <c r="Z1069" i="3"/>
  <c r="Z1084" i="3"/>
  <c r="Z1063" i="3"/>
  <c r="X957" i="3"/>
  <c r="Z957" i="3" s="1"/>
  <c r="AB957" i="3" s="1"/>
  <c r="AF957" i="3" s="1"/>
  <c r="S1117" i="3"/>
  <c r="L1134" i="3"/>
  <c r="L1132" i="3"/>
  <c r="J1119" i="3"/>
  <c r="N1069" i="3"/>
  <c r="J1126" i="3"/>
  <c r="Q1119" i="3"/>
  <c r="Q1022" i="3"/>
  <c r="S1022" i="3" s="1"/>
  <c r="L1022" i="3"/>
  <c r="N1022" i="3" s="1"/>
  <c r="J1133" i="3"/>
  <c r="H1075" i="3"/>
  <c r="H1076" i="3"/>
  <c r="H255" i="3" s="1"/>
  <c r="H1126" i="3"/>
  <c r="J1130" i="3"/>
  <c r="AB1063" i="3" l="1"/>
  <c r="AF1063" i="3" s="1"/>
  <c r="AB1084" i="3"/>
  <c r="AF1084" i="3" s="1"/>
  <c r="AB1069" i="3"/>
  <c r="AF1069" i="3" s="1"/>
  <c r="N1132" i="3"/>
  <c r="N1134" i="3"/>
  <c r="U1117" i="3"/>
  <c r="U1109" i="3"/>
  <c r="X1109" i="3" s="1"/>
  <c r="S1119" i="3"/>
  <c r="L1133" i="3"/>
  <c r="L1119" i="3"/>
  <c r="N1084" i="3"/>
  <c r="N1119" i="3" s="1"/>
  <c r="J1075" i="3"/>
  <c r="J1076" i="3"/>
  <c r="J255" i="3" s="1"/>
  <c r="Q1074" i="3"/>
  <c r="L1074" i="3"/>
  <c r="AE255" i="3" s="1"/>
  <c r="N1074" i="3"/>
  <c r="S1074" i="3"/>
  <c r="U1022" i="3"/>
  <c r="X1022" i="3" s="1"/>
  <c r="J91" i="3"/>
  <c r="L91" i="3" s="1"/>
  <c r="N91" i="3" s="1"/>
  <c r="H84" i="3"/>
  <c r="J84" i="3" s="1"/>
  <c r="L84" i="3" s="1"/>
  <c r="N84" i="3" s="1"/>
  <c r="Q84" i="3" s="1"/>
  <c r="S84" i="3" s="1"/>
  <c r="U84" i="3" s="1"/>
  <c r="X84" i="3" s="1"/>
  <c r="Z1109" i="3" l="1"/>
  <c r="Q1132" i="3"/>
  <c r="Q1134" i="3"/>
  <c r="X1117" i="3"/>
  <c r="Z1117" i="3" s="1"/>
  <c r="AB1117" i="3" s="1"/>
  <c r="AF1117" i="3" s="1"/>
  <c r="N1133" i="3"/>
  <c r="U1119" i="3"/>
  <c r="P96" i="3"/>
  <c r="Q91" i="3"/>
  <c r="S1076" i="3"/>
  <c r="S255" i="3" s="1"/>
  <c r="S1126" i="3"/>
  <c r="Q1126" i="3"/>
  <c r="Q1076" i="3"/>
  <c r="U1074" i="3"/>
  <c r="L1126" i="3"/>
  <c r="L1075" i="3"/>
  <c r="AD255" i="3"/>
  <c r="L1076" i="3"/>
  <c r="N1126" i="3"/>
  <c r="N1076" i="3"/>
  <c r="X1074" i="3"/>
  <c r="Z1022" i="3"/>
  <c r="AB1022" i="3" s="1"/>
  <c r="AB1074" i="3" s="1"/>
  <c r="AB1076" i="3" s="1"/>
  <c r="AB255" i="3" s="1"/>
  <c r="Z84" i="3"/>
  <c r="AB84" i="3" s="1"/>
  <c r="P266" i="3"/>
  <c r="P250" i="3"/>
  <c r="AB1109" i="3" l="1"/>
  <c r="AF1109" i="3" s="1"/>
  <c r="S1132" i="3"/>
  <c r="S1134" i="3"/>
  <c r="U1134" i="3" s="1"/>
  <c r="Q1133" i="3"/>
  <c r="AF84" i="3"/>
  <c r="X1119" i="3"/>
  <c r="Q255" i="3"/>
  <c r="N255" i="3"/>
  <c r="L255" i="3"/>
  <c r="S91" i="3"/>
  <c r="I10" i="21"/>
  <c r="M10" i="21" s="1"/>
  <c r="Q10" i="21" s="1"/>
  <c r="U10" i="21" s="1"/>
  <c r="AA10" i="21" s="1"/>
  <c r="AE10" i="21" s="1"/>
  <c r="AI10" i="21" s="1"/>
  <c r="AO10" i="21" s="1"/>
  <c r="AS10" i="21" s="1"/>
  <c r="AW10" i="21" s="1"/>
  <c r="BE10" i="21" s="1"/>
  <c r="X1076" i="3"/>
  <c r="X255" i="3" s="1"/>
  <c r="X1126" i="3"/>
  <c r="U1076" i="3"/>
  <c r="U1126" i="3"/>
  <c r="Z1074" i="3"/>
  <c r="U1132" i="3" l="1"/>
  <c r="X1132" i="3" s="1"/>
  <c r="S1133" i="3"/>
  <c r="Z1119" i="3"/>
  <c r="AB1119" i="3" s="1"/>
  <c r="U91" i="3"/>
  <c r="X91" i="3" s="1"/>
  <c r="U255" i="3"/>
  <c r="X1134" i="3"/>
  <c r="P95" i="3"/>
  <c r="P94" i="3"/>
  <c r="O28" i="21"/>
  <c r="Z1126" i="3"/>
  <c r="AB1126" i="3" s="1"/>
  <c r="Z1076" i="3"/>
  <c r="Z255" i="3" s="1"/>
  <c r="AF1022" i="3"/>
  <c r="P147" i="3"/>
  <c r="U1133" i="3" l="1"/>
  <c r="AF1119" i="3"/>
  <c r="AF1074" i="3"/>
  <c r="AF1126" i="3" s="1"/>
  <c r="Z91" i="3"/>
  <c r="AB91" i="3" s="1"/>
  <c r="Z1132" i="3"/>
  <c r="Z1134" i="3"/>
  <c r="AB1134" i="3" s="1"/>
  <c r="O12" i="21"/>
  <c r="O19" i="21" s="1"/>
  <c r="O23" i="21"/>
  <c r="O24" i="21" s="1"/>
  <c r="AB1132" i="3" l="1"/>
  <c r="X1133" i="3"/>
  <c r="AF1076" i="3"/>
  <c r="AF255" i="3" s="1"/>
  <c r="AF91" i="3"/>
  <c r="H153" i="3"/>
  <c r="J153" i="3" s="1"/>
  <c r="L153" i="3" s="1"/>
  <c r="N153" i="3" s="1"/>
  <c r="Q153" i="3" s="1"/>
  <c r="H152" i="3"/>
  <c r="J152" i="3" s="1"/>
  <c r="L152" i="3" s="1"/>
  <c r="N152" i="3" s="1"/>
  <c r="H141" i="3"/>
  <c r="J141" i="3" s="1"/>
  <c r="L141" i="3" s="1"/>
  <c r="N141" i="3" s="1"/>
  <c r="Q141" i="3" s="1"/>
  <c r="H145" i="3"/>
  <c r="J145" i="3" s="1"/>
  <c r="L145" i="3" s="1"/>
  <c r="N145" i="3" s="1"/>
  <c r="Q145" i="3" s="1"/>
  <c r="H144" i="3"/>
  <c r="J144" i="3" s="1"/>
  <c r="L144" i="3" s="1"/>
  <c r="N144" i="3" s="1"/>
  <c r="Q144" i="3" s="1"/>
  <c r="S144" i="3" s="1"/>
  <c r="U144" i="3" s="1"/>
  <c r="X144" i="3" s="1"/>
  <c r="H135" i="3"/>
  <c r="J135" i="3" s="1"/>
  <c r="L135" i="3" s="1"/>
  <c r="N135" i="3" s="1"/>
  <c r="Q135" i="3" s="1"/>
  <c r="H134" i="3"/>
  <c r="J134" i="3" s="1"/>
  <c r="L134" i="3" s="1"/>
  <c r="N134" i="3" s="1"/>
  <c r="Q134" i="3" s="1"/>
  <c r="S134" i="3" s="1"/>
  <c r="U134" i="3" s="1"/>
  <c r="X134" i="3" s="1"/>
  <c r="K28" i="21"/>
  <c r="H131" i="3"/>
  <c r="J131" i="3" s="1"/>
  <c r="H129" i="3"/>
  <c r="J129" i="3" s="1"/>
  <c r="L129" i="3" s="1"/>
  <c r="N129" i="3" s="1"/>
  <c r="Q129" i="3" s="1"/>
  <c r="S129" i="3" s="1"/>
  <c r="U129" i="3" s="1"/>
  <c r="X129" i="3" s="1"/>
  <c r="Z129" i="3" s="1"/>
  <c r="H139" i="3"/>
  <c r="J139" i="3" s="1"/>
  <c r="L139" i="3" s="1"/>
  <c r="N139" i="3" s="1"/>
  <c r="Q139" i="3" s="1"/>
  <c r="H138" i="3"/>
  <c r="J138" i="3" s="1"/>
  <c r="L138" i="3" s="1"/>
  <c r="N138" i="3" s="1"/>
  <c r="Q138" i="3" s="1"/>
  <c r="S138" i="3" s="1"/>
  <c r="U138" i="3" s="1"/>
  <c r="X138" i="3" s="1"/>
  <c r="H114" i="3"/>
  <c r="J114" i="3" s="1"/>
  <c r="L114" i="3" s="1"/>
  <c r="N114" i="3" s="1"/>
  <c r="Q114" i="3" s="1"/>
  <c r="H110" i="3"/>
  <c r="J110" i="3" s="1"/>
  <c r="L110" i="3" s="1"/>
  <c r="N110" i="3" s="1"/>
  <c r="Q110" i="3" s="1"/>
  <c r="H109" i="3"/>
  <c r="J109" i="3" s="1"/>
  <c r="L109" i="3" s="1"/>
  <c r="N109" i="3" s="1"/>
  <c r="Q109" i="3" s="1"/>
  <c r="S109" i="3" s="1"/>
  <c r="U109" i="3" s="1"/>
  <c r="X109" i="3" s="1"/>
  <c r="H106" i="3"/>
  <c r="J106" i="3" s="1"/>
  <c r="L106" i="3" s="1"/>
  <c r="N106" i="3" s="1"/>
  <c r="Q106" i="3" s="1"/>
  <c r="H105" i="3"/>
  <c r="H102" i="3"/>
  <c r="J102" i="3" s="1"/>
  <c r="L102" i="3" s="1"/>
  <c r="N102" i="3" s="1"/>
  <c r="Q102" i="3" s="1"/>
  <c r="H101" i="3"/>
  <c r="H80" i="3"/>
  <c r="H77" i="3"/>
  <c r="J77" i="3" s="1"/>
  <c r="L77" i="3" s="1"/>
  <c r="N77" i="3" s="1"/>
  <c r="Q77" i="3" s="1"/>
  <c r="H74" i="3"/>
  <c r="H71" i="3"/>
  <c r="J71" i="3" s="1"/>
  <c r="L71" i="3" s="1"/>
  <c r="N71" i="3" s="1"/>
  <c r="Q71" i="3" s="1"/>
  <c r="H68" i="3"/>
  <c r="J68" i="3" s="1"/>
  <c r="L68" i="3" s="1"/>
  <c r="N68" i="3" s="1"/>
  <c r="Q68" i="3" s="1"/>
  <c r="S68" i="3" s="1"/>
  <c r="H62" i="3"/>
  <c r="J62" i="3" s="1"/>
  <c r="L62" i="3" s="1"/>
  <c r="N62" i="3" s="1"/>
  <c r="Q62" i="3" s="1"/>
  <c r="S62" i="3" s="1"/>
  <c r="H65" i="3"/>
  <c r="J65" i="3" s="1"/>
  <c r="L65" i="3" s="1"/>
  <c r="N65" i="3" s="1"/>
  <c r="H96" i="3"/>
  <c r="J96" i="3" s="1"/>
  <c r="L96" i="3" s="1"/>
  <c r="N96" i="3" s="1"/>
  <c r="Q96" i="3" s="1"/>
  <c r="AB129" i="3" l="1"/>
  <c r="Z144" i="3"/>
  <c r="Z138" i="3"/>
  <c r="Z134" i="3"/>
  <c r="Z109" i="3"/>
  <c r="AB109" i="3" s="1"/>
  <c r="Z1133" i="3"/>
  <c r="AF1132" i="3"/>
  <c r="AF1134" i="3"/>
  <c r="E28" i="21"/>
  <c r="I25" i="21"/>
  <c r="S77" i="3"/>
  <c r="U77" i="3" s="1"/>
  <c r="X77" i="3" s="1"/>
  <c r="Z77" i="3" s="1"/>
  <c r="AB77" i="3" s="1"/>
  <c r="U62" i="3"/>
  <c r="U68" i="3"/>
  <c r="S71" i="3"/>
  <c r="S153" i="3"/>
  <c r="U153" i="3" s="1"/>
  <c r="X153" i="3" s="1"/>
  <c r="Z153" i="3" s="1"/>
  <c r="S110" i="3"/>
  <c r="U110" i="3" s="1"/>
  <c r="S114" i="3"/>
  <c r="U114" i="3" s="1"/>
  <c r="X114" i="3" s="1"/>
  <c r="S135" i="3"/>
  <c r="U135" i="3" s="1"/>
  <c r="S102" i="3"/>
  <c r="U102" i="3" s="1"/>
  <c r="X102" i="3" s="1"/>
  <c r="S139" i="3"/>
  <c r="S145" i="3"/>
  <c r="S141" i="3"/>
  <c r="U141" i="3" s="1"/>
  <c r="X141" i="3" s="1"/>
  <c r="Z141" i="3" s="1"/>
  <c r="S96" i="3"/>
  <c r="U96" i="3" s="1"/>
  <c r="X96" i="3" s="1"/>
  <c r="Z96" i="3" s="1"/>
  <c r="S106" i="3"/>
  <c r="U106" i="3" s="1"/>
  <c r="X106" i="3" s="1"/>
  <c r="Q72" i="3"/>
  <c r="Q136" i="3"/>
  <c r="Q140" i="3"/>
  <c r="Q146" i="3"/>
  <c r="N66" i="3"/>
  <c r="Q65" i="3"/>
  <c r="Q111" i="3"/>
  <c r="Q154" i="3"/>
  <c r="Q152" i="3"/>
  <c r="N72" i="3"/>
  <c r="N136" i="3"/>
  <c r="N146" i="3"/>
  <c r="N140" i="3"/>
  <c r="N111" i="3"/>
  <c r="H118" i="3"/>
  <c r="J118" i="3" s="1"/>
  <c r="L118" i="3" s="1"/>
  <c r="N118" i="3" s="1"/>
  <c r="Q118" i="3" s="1"/>
  <c r="H151" i="3"/>
  <c r="J151" i="3" s="1"/>
  <c r="L151" i="3" s="1"/>
  <c r="N151" i="3" s="1"/>
  <c r="L72" i="3"/>
  <c r="J132" i="3"/>
  <c r="L131" i="3"/>
  <c r="J74" i="3"/>
  <c r="H78" i="3"/>
  <c r="L111" i="3"/>
  <c r="L136" i="3"/>
  <c r="L66" i="3"/>
  <c r="J80" i="3"/>
  <c r="L140" i="3"/>
  <c r="L146" i="3"/>
  <c r="K23" i="21"/>
  <c r="K24" i="21" s="1"/>
  <c r="J72" i="3"/>
  <c r="J111" i="3"/>
  <c r="H82" i="3"/>
  <c r="J146" i="3"/>
  <c r="J140" i="3"/>
  <c r="H140" i="3"/>
  <c r="H132" i="3"/>
  <c r="H146" i="3"/>
  <c r="J136" i="3"/>
  <c r="H136" i="3"/>
  <c r="H107" i="3"/>
  <c r="H103" i="3"/>
  <c r="J101" i="3"/>
  <c r="H111" i="3"/>
  <c r="J105" i="3"/>
  <c r="J66" i="3"/>
  <c r="H66" i="3"/>
  <c r="H72" i="3"/>
  <c r="AB1133" i="3" l="1"/>
  <c r="AB141" i="3"/>
  <c r="AF141" i="3" s="1"/>
  <c r="AB138" i="3"/>
  <c r="AB144" i="3"/>
  <c r="AF144" i="3" s="1"/>
  <c r="AB96" i="3"/>
  <c r="AF96" i="3" s="1"/>
  <c r="AB153" i="3"/>
  <c r="AF153" i="3" s="1"/>
  <c r="AB134" i="3"/>
  <c r="AF129" i="3"/>
  <c r="M22" i="21"/>
  <c r="Z106" i="3"/>
  <c r="AB106" i="3" s="1"/>
  <c r="Z102" i="3"/>
  <c r="AF109" i="3"/>
  <c r="Z114" i="3"/>
  <c r="I328" i="28"/>
  <c r="E329" i="28"/>
  <c r="AF77" i="3"/>
  <c r="U71" i="3"/>
  <c r="X71" i="3" s="1"/>
  <c r="Z71" i="3" s="1"/>
  <c r="AB71" i="3" s="1"/>
  <c r="K12" i="21"/>
  <c r="K19" i="21" s="1"/>
  <c r="H95" i="3"/>
  <c r="J95" i="3" s="1"/>
  <c r="L95" i="3" s="1"/>
  <c r="N95" i="3" s="1"/>
  <c r="Q95" i="3" s="1"/>
  <c r="J82" i="3"/>
  <c r="L82" i="3" s="1"/>
  <c r="N82" i="3" s="1"/>
  <c r="Q82" i="3" s="1"/>
  <c r="S82" i="3" s="1"/>
  <c r="U82" i="3" s="1"/>
  <c r="X82" i="3" s="1"/>
  <c r="I9" i="21"/>
  <c r="M9" i="21" s="1"/>
  <c r="Q9" i="21" s="1"/>
  <c r="U9" i="21" s="1"/>
  <c r="AA9" i="21" s="1"/>
  <c r="AE9" i="21" s="1"/>
  <c r="AI9" i="21" s="1"/>
  <c r="AO9" i="21" s="1"/>
  <c r="AS9" i="21" s="1"/>
  <c r="AW9" i="21" s="1"/>
  <c r="BE9" i="21" s="1"/>
  <c r="E12" i="21"/>
  <c r="E19" i="21" s="1"/>
  <c r="M25" i="21"/>
  <c r="I28" i="21"/>
  <c r="I16" i="21"/>
  <c r="M16" i="21" s="1"/>
  <c r="Q16" i="21" s="1"/>
  <c r="U16" i="21" s="1"/>
  <c r="AA16" i="21" s="1"/>
  <c r="AE16" i="21" s="1"/>
  <c r="AI16" i="21" s="1"/>
  <c r="AO16" i="21" s="1"/>
  <c r="AS16" i="21" s="1"/>
  <c r="AW16" i="21" s="1"/>
  <c r="BE16" i="21" s="1"/>
  <c r="P72" i="3"/>
  <c r="H94" i="3"/>
  <c r="J94" i="3" s="1"/>
  <c r="L94" i="3" s="1"/>
  <c r="E23" i="21"/>
  <c r="E24" i="21" s="1"/>
  <c r="P111" i="3"/>
  <c r="S72" i="3"/>
  <c r="P66" i="3"/>
  <c r="S65" i="3"/>
  <c r="Q66" i="3"/>
  <c r="X62" i="3"/>
  <c r="Z62" i="3" s="1"/>
  <c r="X68" i="3"/>
  <c r="U136" i="3"/>
  <c r="X135" i="3"/>
  <c r="Z135" i="3" s="1"/>
  <c r="AB135" i="3" s="1"/>
  <c r="U111" i="3"/>
  <c r="X110" i="3"/>
  <c r="Z110" i="3" s="1"/>
  <c r="P140" i="3"/>
  <c r="S111" i="3"/>
  <c r="P146" i="3"/>
  <c r="P136" i="3"/>
  <c r="S140" i="3"/>
  <c r="U139" i="3"/>
  <c r="S136" i="3"/>
  <c r="S146" i="3"/>
  <c r="U145" i="3"/>
  <c r="S118" i="3"/>
  <c r="U118" i="3" s="1"/>
  <c r="X118" i="3" s="1"/>
  <c r="Z118" i="3" s="1"/>
  <c r="S152" i="3"/>
  <c r="U152" i="3" s="1"/>
  <c r="X152" i="3" s="1"/>
  <c r="S154" i="3"/>
  <c r="U154" i="3" s="1"/>
  <c r="L132" i="3"/>
  <c r="N131" i="3"/>
  <c r="J78" i="3"/>
  <c r="L74" i="3"/>
  <c r="J103" i="3"/>
  <c r="L101" i="3"/>
  <c r="H85" i="3"/>
  <c r="L80" i="3"/>
  <c r="J107" i="3"/>
  <c r="L105" i="3"/>
  <c r="I329" i="28" l="1"/>
  <c r="M328" i="28"/>
  <c r="AB62" i="3"/>
  <c r="AB118" i="3"/>
  <c r="AB114" i="3"/>
  <c r="AF138" i="3"/>
  <c r="AB102" i="3"/>
  <c r="AF102" i="3" s="1"/>
  <c r="AB136" i="3"/>
  <c r="Z111" i="3"/>
  <c r="AB110" i="3"/>
  <c r="AB111" i="3" s="1"/>
  <c r="AF134" i="3"/>
  <c r="Q22" i="21"/>
  <c r="U22" i="21" s="1"/>
  <c r="AA22" i="21" s="1"/>
  <c r="AF106" i="3"/>
  <c r="AF1133" i="3"/>
  <c r="U72" i="3"/>
  <c r="AF71" i="3"/>
  <c r="J85" i="3"/>
  <c r="N80" i="3"/>
  <c r="Q80" i="3" s="1"/>
  <c r="S95" i="3"/>
  <c r="U95" i="3" s="1"/>
  <c r="X95" i="3" s="1"/>
  <c r="Z95" i="3" s="1"/>
  <c r="Z82" i="3"/>
  <c r="AB82" i="3" s="1"/>
  <c r="Q25" i="21"/>
  <c r="U25" i="21" s="1"/>
  <c r="M28" i="21"/>
  <c r="I11" i="21"/>
  <c r="M11" i="21" s="1"/>
  <c r="Q11" i="21" s="1"/>
  <c r="U11" i="21" s="1"/>
  <c r="AA11" i="21" s="1"/>
  <c r="AE11" i="21" s="1"/>
  <c r="AI11" i="21" s="1"/>
  <c r="AO11" i="21" s="1"/>
  <c r="AS11" i="21" s="1"/>
  <c r="AW11" i="21" s="1"/>
  <c r="BE11" i="21" s="1"/>
  <c r="I8" i="21"/>
  <c r="H97" i="3"/>
  <c r="H113" i="3"/>
  <c r="X111" i="3"/>
  <c r="X72" i="3"/>
  <c r="Z68" i="3"/>
  <c r="AB68" i="3" s="1"/>
  <c r="AB72" i="3" s="1"/>
  <c r="X136" i="3"/>
  <c r="Z152" i="3"/>
  <c r="AB152" i="3" s="1"/>
  <c r="AB151" i="3" s="1"/>
  <c r="X151" i="3"/>
  <c r="U65" i="3"/>
  <c r="S66" i="3"/>
  <c r="U140" i="3"/>
  <c r="X139" i="3"/>
  <c r="U146" i="3"/>
  <c r="X145" i="3"/>
  <c r="N132" i="3"/>
  <c r="Q131" i="3"/>
  <c r="S131" i="3" s="1"/>
  <c r="U131" i="3" s="1"/>
  <c r="X131" i="3" s="1"/>
  <c r="L78" i="3"/>
  <c r="N74" i="3"/>
  <c r="L85" i="3"/>
  <c r="L107" i="3"/>
  <c r="N105" i="3"/>
  <c r="L103" i="3"/>
  <c r="N101" i="3"/>
  <c r="N94" i="3"/>
  <c r="AE22" i="21" l="1"/>
  <c r="U28" i="21"/>
  <c r="AA25" i="21"/>
  <c r="M329" i="28"/>
  <c r="Q328" i="28"/>
  <c r="AF62" i="3"/>
  <c r="AF114" i="3"/>
  <c r="AB95" i="3"/>
  <c r="AF95" i="3" s="1"/>
  <c r="AF118" i="3"/>
  <c r="AF82" i="3"/>
  <c r="I12" i="21"/>
  <c r="I19" i="21" s="1"/>
  <c r="Q28" i="21"/>
  <c r="M8" i="21"/>
  <c r="M12" i="21" s="1"/>
  <c r="M19" i="21" s="1"/>
  <c r="I21" i="21"/>
  <c r="H115" i="3"/>
  <c r="J113" i="3"/>
  <c r="H117" i="3"/>
  <c r="J97" i="3"/>
  <c r="H98" i="3"/>
  <c r="Z72" i="3"/>
  <c r="Z151" i="3"/>
  <c r="Z136" i="3"/>
  <c r="X140" i="3"/>
  <c r="Z139" i="3"/>
  <c r="AB139" i="3" s="1"/>
  <c r="AB140" i="3" s="1"/>
  <c r="X146" i="3"/>
  <c r="Z145" i="3"/>
  <c r="AB145" i="3" s="1"/>
  <c r="AB146" i="3" s="1"/>
  <c r="X65" i="3"/>
  <c r="U66" i="3"/>
  <c r="S132" i="3"/>
  <c r="N107" i="3"/>
  <c r="Q105" i="3"/>
  <c r="S105" i="3" s="1"/>
  <c r="N78" i="3"/>
  <c r="Q74" i="3"/>
  <c r="S74" i="3" s="1"/>
  <c r="N103" i="3"/>
  <c r="Q101" i="3"/>
  <c r="S101" i="3" s="1"/>
  <c r="N85" i="3"/>
  <c r="P132" i="3"/>
  <c r="Q132" i="3"/>
  <c r="Q94" i="3"/>
  <c r="S94" i="3" s="1"/>
  <c r="H1238" i="3"/>
  <c r="J1238" i="3" s="1"/>
  <c r="H1237" i="3"/>
  <c r="J1237" i="3" s="1"/>
  <c r="H1236" i="3"/>
  <c r="J1236" i="3" s="1"/>
  <c r="H323" i="3"/>
  <c r="J323" i="3" s="1"/>
  <c r="L323" i="3" s="1"/>
  <c r="AI22" i="21" l="1"/>
  <c r="AO22" i="21" s="1"/>
  <c r="AE25" i="21"/>
  <c r="AA28" i="21"/>
  <c r="Q329" i="28"/>
  <c r="U328" i="28"/>
  <c r="P85" i="3"/>
  <c r="AF152" i="3"/>
  <c r="AF151" i="3" s="1"/>
  <c r="N323" i="3"/>
  <c r="Q323" i="3" s="1"/>
  <c r="Q8" i="21"/>
  <c r="U8" i="21" s="1"/>
  <c r="I23" i="21"/>
  <c r="I24" i="21" s="1"/>
  <c r="M21" i="21"/>
  <c r="H119" i="3"/>
  <c r="H120" i="3" s="1"/>
  <c r="J117" i="3"/>
  <c r="L113" i="3"/>
  <c r="J115" i="3"/>
  <c r="L97" i="3"/>
  <c r="J98" i="3"/>
  <c r="AF110" i="3"/>
  <c r="AF111" i="3" s="1"/>
  <c r="AF135" i="3"/>
  <c r="AF136" i="3" s="1"/>
  <c r="AF68" i="3"/>
  <c r="AF72" i="3" s="1"/>
  <c r="Z146" i="3"/>
  <c r="Z140" i="3"/>
  <c r="X66" i="3"/>
  <c r="Z65" i="3"/>
  <c r="AB65" i="3" s="1"/>
  <c r="AB66" i="3" s="1"/>
  <c r="U74" i="3"/>
  <c r="S78" i="3"/>
  <c r="U132" i="3"/>
  <c r="S103" i="3"/>
  <c r="U101" i="3"/>
  <c r="S107" i="3"/>
  <c r="U105" i="3"/>
  <c r="U94" i="3"/>
  <c r="P78" i="3"/>
  <c r="Q78" i="3"/>
  <c r="P103" i="3"/>
  <c r="Q103" i="3"/>
  <c r="Q107" i="3"/>
  <c r="P107" i="3"/>
  <c r="J1239" i="3"/>
  <c r="AS22" i="21" l="1"/>
  <c r="AW22" i="21" s="1"/>
  <c r="AI25" i="21"/>
  <c r="AE28" i="21"/>
  <c r="U329" i="28"/>
  <c r="AA328" i="28"/>
  <c r="U12" i="21"/>
  <c r="U19" i="21" s="1"/>
  <c r="AA8" i="21"/>
  <c r="Q12" i="21"/>
  <c r="Q19" i="21" s="1"/>
  <c r="P97" i="3"/>
  <c r="J1240" i="3"/>
  <c r="S323" i="3"/>
  <c r="U323" i="3" s="1"/>
  <c r="X323" i="3" s="1"/>
  <c r="Z323" i="3" s="1"/>
  <c r="AB323" i="3" s="1"/>
  <c r="M23" i="21"/>
  <c r="M24" i="21" s="1"/>
  <c r="Q21" i="21"/>
  <c r="U21" i="21" s="1"/>
  <c r="L115" i="3"/>
  <c r="N113" i="3"/>
  <c r="L117" i="3"/>
  <c r="J119" i="3"/>
  <c r="J120" i="3" s="1"/>
  <c r="N97" i="3"/>
  <c r="L98" i="3"/>
  <c r="AF139" i="3"/>
  <c r="AF140" i="3" s="1"/>
  <c r="AF145" i="3"/>
  <c r="AF146" i="3" s="1"/>
  <c r="Z66" i="3"/>
  <c r="X132" i="3"/>
  <c r="Z131" i="3"/>
  <c r="AB131" i="3" s="1"/>
  <c r="AB132" i="3" s="1"/>
  <c r="X74" i="3"/>
  <c r="U78" i="3"/>
  <c r="X94" i="3"/>
  <c r="U103" i="3"/>
  <c r="X101" i="3"/>
  <c r="Z101" i="3" s="1"/>
  <c r="U107" i="3"/>
  <c r="X105" i="3"/>
  <c r="Z105" i="3" s="1"/>
  <c r="C509" i="3"/>
  <c r="AI28" i="21" l="1"/>
  <c r="AO25" i="21"/>
  <c r="U23" i="21"/>
  <c r="U24" i="21" s="1"/>
  <c r="AA21" i="21"/>
  <c r="AA12" i="21"/>
  <c r="AA19" i="21" s="1"/>
  <c r="AE8" i="21"/>
  <c r="AE328" i="28"/>
  <c r="AA329" i="28"/>
  <c r="Z107" i="3"/>
  <c r="AB105" i="3"/>
  <c r="AB107" i="3" s="1"/>
  <c r="Z103" i="3"/>
  <c r="AB101" i="3"/>
  <c r="AB103" i="3" s="1"/>
  <c r="AF323" i="3"/>
  <c r="Q85" i="3"/>
  <c r="S80" i="3"/>
  <c r="Q23" i="21"/>
  <c r="Q24" i="21" s="1"/>
  <c r="N117" i="3"/>
  <c r="L119" i="3"/>
  <c r="L120" i="3" s="1"/>
  <c r="Q97" i="3"/>
  <c r="N98" i="3"/>
  <c r="N115" i="3"/>
  <c r="Q113" i="3"/>
  <c r="AF65" i="3"/>
  <c r="AF66" i="3" s="1"/>
  <c r="Z132" i="3"/>
  <c r="X78" i="3"/>
  <c r="Z74" i="3"/>
  <c r="AB74" i="3" s="1"/>
  <c r="AB78" i="3" s="1"/>
  <c r="X107" i="3"/>
  <c r="X103" i="3"/>
  <c r="Z94" i="3"/>
  <c r="AB94" i="3" s="1"/>
  <c r="H1290" i="3"/>
  <c r="AO28" i="21" l="1"/>
  <c r="AS25" i="21"/>
  <c r="AE329" i="28"/>
  <c r="AI328" i="28"/>
  <c r="AE12" i="21"/>
  <c r="AE19" i="21" s="1"/>
  <c r="AI8" i="21"/>
  <c r="AE21" i="21"/>
  <c r="AA23" i="21"/>
  <c r="AA24" i="21" s="1"/>
  <c r="S85" i="3"/>
  <c r="P98" i="3"/>
  <c r="Q98" i="3"/>
  <c r="S113" i="3"/>
  <c r="Q115" i="3"/>
  <c r="P115" i="3"/>
  <c r="Q117" i="3"/>
  <c r="N119" i="3"/>
  <c r="N120" i="3" s="1"/>
  <c r="AF131" i="3"/>
  <c r="AF132" i="3" s="1"/>
  <c r="Z78" i="3"/>
  <c r="J1290" i="3"/>
  <c r="AS28" i="21" l="1"/>
  <c r="AW25" i="21"/>
  <c r="AI12" i="21"/>
  <c r="AI19" i="21" s="1"/>
  <c r="AO8" i="21"/>
  <c r="AO328" i="28"/>
  <c r="AI329" i="28"/>
  <c r="AI21" i="21"/>
  <c r="AE23" i="21"/>
  <c r="AE24" i="21" s="1"/>
  <c r="S97" i="3"/>
  <c r="S98" i="3" s="1"/>
  <c r="U80" i="3"/>
  <c r="X80" i="3" s="1"/>
  <c r="L1290" i="3"/>
  <c r="N1290" i="3" s="1"/>
  <c r="S115" i="3"/>
  <c r="U113" i="3"/>
  <c r="S117" i="3"/>
  <c r="Q119" i="3"/>
  <c r="Q120" i="3" s="1"/>
  <c r="P119" i="3"/>
  <c r="P120" i="3" s="1"/>
  <c r="AF105" i="3"/>
  <c r="AF107" i="3" s="1"/>
  <c r="AF101" i="3"/>
  <c r="AF103" i="3" s="1"/>
  <c r="AF74" i="3"/>
  <c r="AF78" i="3" s="1"/>
  <c r="AF94" i="3"/>
  <c r="AW28" i="21" l="1"/>
  <c r="BE25" i="21"/>
  <c r="BE28" i="21" s="1"/>
  <c r="AO329" i="28"/>
  <c r="AS328" i="28"/>
  <c r="AO12" i="21"/>
  <c r="AO19" i="21" s="1"/>
  <c r="AS8" i="21"/>
  <c r="AI23" i="21"/>
  <c r="AI24" i="21" s="1"/>
  <c r="AO21" i="21"/>
  <c r="U97" i="3"/>
  <c r="U98" i="3" s="1"/>
  <c r="U85" i="3"/>
  <c r="Q1290" i="3"/>
  <c r="S119" i="3"/>
  <c r="S120" i="3" s="1"/>
  <c r="U117" i="3"/>
  <c r="U115" i="3"/>
  <c r="X113" i="3"/>
  <c r="Z113" i="3" s="1"/>
  <c r="AS329" i="28" l="1"/>
  <c r="AW328" i="28"/>
  <c r="AS12" i="21"/>
  <c r="AS19" i="21" s="1"/>
  <c r="AW8" i="21"/>
  <c r="AO23" i="21"/>
  <c r="AO24" i="21" s="1"/>
  <c r="AS21" i="21"/>
  <c r="Z115" i="3"/>
  <c r="AB113" i="3"/>
  <c r="AB115" i="3" s="1"/>
  <c r="W85" i="3"/>
  <c r="S1290" i="3"/>
  <c r="U1290" i="3" s="1"/>
  <c r="X1290" i="3" s="1"/>
  <c r="Z1290" i="3" s="1"/>
  <c r="X115" i="3"/>
  <c r="U119" i="3"/>
  <c r="U120" i="3" s="1"/>
  <c r="X117" i="3"/>
  <c r="X119" i="3" s="1"/>
  <c r="BE328" i="28" l="1"/>
  <c r="BE329" i="28" s="1"/>
  <c r="AW329" i="28"/>
  <c r="AW12" i="21"/>
  <c r="AW19" i="21" s="1"/>
  <c r="BE8" i="21"/>
  <c r="BE12" i="21" s="1"/>
  <c r="BE19" i="21" s="1"/>
  <c r="AS23" i="21"/>
  <c r="AS24" i="21" s="1"/>
  <c r="AW21" i="21"/>
  <c r="AW23" i="21" s="1"/>
  <c r="AW24" i="21" s="1"/>
  <c r="AB1290" i="3"/>
  <c r="X85" i="3"/>
  <c r="W97" i="3"/>
  <c r="X97" i="3"/>
  <c r="Z117" i="3"/>
  <c r="AB117" i="3" s="1"/>
  <c r="AB119" i="3" s="1"/>
  <c r="AB120" i="3" s="1"/>
  <c r="X120" i="3"/>
  <c r="AF1290" i="3" l="1"/>
  <c r="X98" i="3"/>
  <c r="W98" i="3"/>
  <c r="Z80" i="3"/>
  <c r="AB80" i="3" s="1"/>
  <c r="AB85" i="3" s="1"/>
  <c r="N769" i="3"/>
  <c r="Q769" i="3" s="1"/>
  <c r="S769" i="3" s="1"/>
  <c r="Z119" i="3"/>
  <c r="Z120" i="3" s="1"/>
  <c r="AF113" i="3"/>
  <c r="AF115" i="3" s="1"/>
  <c r="N963" i="3" l="1"/>
  <c r="AF80" i="3"/>
  <c r="Z85" i="3"/>
  <c r="N938" i="3"/>
  <c r="AF117" i="3"/>
  <c r="AF119" i="3" s="1"/>
  <c r="AF120" i="3" s="1"/>
  <c r="Z97" i="3" l="1"/>
  <c r="AB97" i="3" s="1"/>
  <c r="AB98" i="3" s="1"/>
  <c r="Q963" i="3"/>
  <c r="S963" i="3" s="1"/>
  <c r="U963" i="3" s="1"/>
  <c r="Q938" i="3"/>
  <c r="N948" i="3"/>
  <c r="U769" i="3"/>
  <c r="X769" i="3" s="1"/>
  <c r="Z769" i="3" s="1"/>
  <c r="AB769" i="3" s="1"/>
  <c r="AF769" i="3" s="1"/>
  <c r="Z98" i="3" l="1"/>
  <c r="X963" i="3"/>
  <c r="Z963" i="3" s="1"/>
  <c r="AB963" i="3" s="1"/>
  <c r="AF963" i="3" s="1"/>
  <c r="S938" i="3"/>
  <c r="Q948" i="3"/>
  <c r="N955" i="3"/>
  <c r="N954" i="3"/>
  <c r="N952" i="3"/>
  <c r="AD85" i="3"/>
  <c r="AD97" i="3" l="1"/>
  <c r="U938" i="3"/>
  <c r="S948" i="3"/>
  <c r="Q952" i="3"/>
  <c r="Q955" i="3"/>
  <c r="Q954" i="3"/>
  <c r="S954" i="3" s="1"/>
  <c r="U954" i="3" s="1"/>
  <c r="H1221" i="3"/>
  <c r="H1220" i="3"/>
  <c r="J1220" i="3" s="1"/>
  <c r="L1220" i="3" s="1"/>
  <c r="N1220" i="3" s="1"/>
  <c r="Q1220" i="3" s="1"/>
  <c r="H1219" i="3"/>
  <c r="AF97" i="3" l="1"/>
  <c r="AF98" i="3" s="1"/>
  <c r="X954" i="3"/>
  <c r="Z954" i="3" s="1"/>
  <c r="AB954" i="3" s="1"/>
  <c r="AF954" i="3" s="1"/>
  <c r="X938" i="3"/>
  <c r="Z938" i="3" s="1"/>
  <c r="AB938" i="3" s="1"/>
  <c r="AF938" i="3" s="1"/>
  <c r="U948" i="3"/>
  <c r="S955" i="3"/>
  <c r="U955" i="3" s="1"/>
  <c r="S952" i="3"/>
  <c r="U952" i="3" s="1"/>
  <c r="AF85" i="3"/>
  <c r="AE85" i="3"/>
  <c r="AD98" i="3"/>
  <c r="AE97" i="3"/>
  <c r="AE98" i="3" s="1"/>
  <c r="H1222" i="3"/>
  <c r="J1221" i="3"/>
  <c r="L1221" i="3" s="1"/>
  <c r="N1221" i="3" s="1"/>
  <c r="Q1221" i="3" s="1"/>
  <c r="J1219" i="3"/>
  <c r="L1219" i="3" s="1"/>
  <c r="N1219" i="3" s="1"/>
  <c r="Q1219" i="3" s="1"/>
  <c r="X952" i="3" l="1"/>
  <c r="Z952" i="3" s="1"/>
  <c r="AB952" i="3" s="1"/>
  <c r="AF952" i="3" s="1"/>
  <c r="X955" i="3"/>
  <c r="Z955" i="3" s="1"/>
  <c r="AB955" i="3" s="1"/>
  <c r="AF955" i="3" s="1"/>
  <c r="X948" i="3"/>
  <c r="Z948" i="3" s="1"/>
  <c r="AB948" i="3" s="1"/>
  <c r="AF948" i="3" s="1"/>
  <c r="H1239" i="3"/>
  <c r="H249" i="3"/>
  <c r="J249" i="3" s="1"/>
  <c r="L249" i="3" s="1"/>
  <c r="N249" i="3" s="1"/>
  <c r="Q249" i="3" s="1"/>
  <c r="H248" i="3"/>
  <c r="J248" i="3" s="1"/>
  <c r="H1240" i="3" l="1"/>
  <c r="S249" i="3"/>
  <c r="U249" i="3" s="1"/>
  <c r="X249" i="3" s="1"/>
  <c r="Z249" i="3" s="1"/>
  <c r="J250" i="3"/>
  <c r="L248" i="3"/>
  <c r="AB249" i="3" l="1"/>
  <c r="AF249" i="3" s="1"/>
  <c r="Q452" i="3"/>
  <c r="L250" i="3"/>
  <c r="N248" i="3"/>
  <c r="S452" i="3" l="1"/>
  <c r="N250" i="3"/>
  <c r="Q250" i="3" s="1"/>
  <c r="Q248" i="3"/>
  <c r="H250" i="3"/>
  <c r="H223" i="3"/>
  <c r="J223" i="3" s="1"/>
  <c r="L223" i="3" s="1"/>
  <c r="N223" i="3" s="1"/>
  <c r="Q223" i="3" s="1"/>
  <c r="S223" i="3" s="1"/>
  <c r="H190" i="3"/>
  <c r="J190" i="3" s="1"/>
  <c r="L190" i="3" s="1"/>
  <c r="N190" i="3" s="1"/>
  <c r="Q190" i="3" s="1"/>
  <c r="H189" i="3"/>
  <c r="J189" i="3" s="1"/>
  <c r="L189" i="3" s="1"/>
  <c r="N189" i="3" s="1"/>
  <c r="Q189" i="3" s="1"/>
  <c r="U452" i="3" l="1"/>
  <c r="U223" i="3"/>
  <c r="X223" i="3" s="1"/>
  <c r="Z223" i="3" s="1"/>
  <c r="S248" i="3"/>
  <c r="S190" i="3"/>
  <c r="U190" i="3" s="1"/>
  <c r="X190" i="3" s="1"/>
  <c r="S189" i="3"/>
  <c r="U189" i="3" s="1"/>
  <c r="X189" i="3" s="1"/>
  <c r="H225" i="3"/>
  <c r="H224" i="3"/>
  <c r="AB223" i="3" l="1"/>
  <c r="Z189" i="3"/>
  <c r="Z190" i="3"/>
  <c r="S250" i="3"/>
  <c r="U248" i="3"/>
  <c r="J225" i="3"/>
  <c r="L225" i="3" s="1"/>
  <c r="N225" i="3" s="1"/>
  <c r="Q225" i="3" s="1"/>
  <c r="S225" i="3" s="1"/>
  <c r="U225" i="3" s="1"/>
  <c r="X225" i="3" s="1"/>
  <c r="Z225" i="3" s="1"/>
  <c r="J224" i="3"/>
  <c r="L224" i="3" s="1"/>
  <c r="N224" i="3" s="1"/>
  <c r="Q224" i="3" s="1"/>
  <c r="S224" i="3" s="1"/>
  <c r="U224" i="3" s="1"/>
  <c r="X224" i="3" s="1"/>
  <c r="Z224" i="3" s="1"/>
  <c r="H1347" i="3"/>
  <c r="H1366" i="3" s="1"/>
  <c r="H1344" i="3"/>
  <c r="H1365" i="3" s="1"/>
  <c r="H1343" i="3"/>
  <c r="H1353" i="3"/>
  <c r="H1350" i="3" s="1"/>
  <c r="AB224" i="3" l="1"/>
  <c r="AB190" i="3"/>
  <c r="AF190" i="3" s="1"/>
  <c r="AB225" i="3"/>
  <c r="AB189" i="3"/>
  <c r="AF189" i="3" s="1"/>
  <c r="AF223" i="3"/>
  <c r="H1364" i="3"/>
  <c r="H1363" i="3"/>
  <c r="J1343" i="3"/>
  <c r="J1347" i="3"/>
  <c r="J1366" i="3" s="1"/>
  <c r="J1353" i="3"/>
  <c r="J1350" i="3" s="1"/>
  <c r="U250" i="3"/>
  <c r="X248" i="3"/>
  <c r="J1344" i="3"/>
  <c r="J1365" i="3" s="1"/>
  <c r="H1322" i="3"/>
  <c r="J1322" i="3" s="1"/>
  <c r="AF224" i="3" l="1"/>
  <c r="AF225" i="3"/>
  <c r="J1364" i="3"/>
  <c r="J1363" i="3"/>
  <c r="L1347" i="3"/>
  <c r="L1366" i="3" s="1"/>
  <c r="L1343" i="3"/>
  <c r="Q1343" i="3"/>
  <c r="Q1347" i="3"/>
  <c r="Q1366" i="3" s="1"/>
  <c r="L1353" i="3"/>
  <c r="L1350" i="3" s="1"/>
  <c r="X250" i="3"/>
  <c r="Z248" i="3"/>
  <c r="AB248" i="3" s="1"/>
  <c r="AB250" i="3" s="1"/>
  <c r="L1322" i="3"/>
  <c r="N1322" i="3" s="1"/>
  <c r="Q1322" i="3"/>
  <c r="S1322" i="3" s="1"/>
  <c r="U1322" i="3" s="1"/>
  <c r="X1322" i="3" s="1"/>
  <c r="Z1322" i="3" s="1"/>
  <c r="Q1344" i="3"/>
  <c r="L1344" i="3"/>
  <c r="L1352" i="3"/>
  <c r="AB1322" i="3" l="1"/>
  <c r="AF1322" i="3" s="1"/>
  <c r="S1344" i="3"/>
  <c r="S1365" i="3" s="1"/>
  <c r="Q1365" i="3"/>
  <c r="Q1364" i="3"/>
  <c r="Q1363" i="3"/>
  <c r="S1343" i="3"/>
  <c r="L1363" i="3"/>
  <c r="L1364" i="3"/>
  <c r="L1365" i="3"/>
  <c r="N1359" i="3"/>
  <c r="N1347" i="3"/>
  <c r="N1366" i="3" s="1"/>
  <c r="N1343" i="3"/>
  <c r="S1347" i="3"/>
  <c r="S1366" i="3" s="1"/>
  <c r="N1353" i="3"/>
  <c r="N1344" i="3"/>
  <c r="N1365" i="3" s="1"/>
  <c r="Z250" i="3"/>
  <c r="N1361" i="3"/>
  <c r="Q1361" i="3" s="1"/>
  <c r="S1361" i="3" s="1"/>
  <c r="H1178" i="3"/>
  <c r="J1178" i="3" s="1"/>
  <c r="H1191" i="3"/>
  <c r="J1191" i="3" s="1"/>
  <c r="H1190" i="3"/>
  <c r="J1190" i="3" s="1"/>
  <c r="H1189" i="3"/>
  <c r="J1189" i="3" s="1"/>
  <c r="H1188" i="3"/>
  <c r="J1188" i="3" s="1"/>
  <c r="H1187" i="3"/>
  <c r="J1187" i="3" s="1"/>
  <c r="H1186" i="3"/>
  <c r="J1186" i="3" s="1"/>
  <c r="H1184" i="3"/>
  <c r="J1184" i="3" s="1"/>
  <c r="H1183" i="3"/>
  <c r="J1183" i="3" s="1"/>
  <c r="H1174" i="3"/>
  <c r="J1174" i="3" s="1"/>
  <c r="H1173" i="3"/>
  <c r="J1173" i="3" s="1"/>
  <c r="Q1173" i="3" s="1"/>
  <c r="S1173" i="3" s="1"/>
  <c r="H1167" i="3"/>
  <c r="J1167" i="3" s="1"/>
  <c r="H1166" i="3"/>
  <c r="J1166" i="3" s="1"/>
  <c r="H1165" i="3"/>
  <c r="J1165" i="3" s="1"/>
  <c r="H1164" i="3"/>
  <c r="J1164" i="3" s="1"/>
  <c r="H1163" i="3"/>
  <c r="J1163" i="3" s="1"/>
  <c r="H1162" i="3"/>
  <c r="J1162" i="3" s="1"/>
  <c r="H1161" i="3"/>
  <c r="J1161" i="3" s="1"/>
  <c r="H1160" i="3"/>
  <c r="J1160" i="3" s="1"/>
  <c r="H1159" i="3"/>
  <c r="J1159" i="3" s="1"/>
  <c r="H1158" i="3"/>
  <c r="J1158" i="3" s="1"/>
  <c r="H1157" i="3"/>
  <c r="J1157" i="3" s="1"/>
  <c r="H1156" i="3"/>
  <c r="J1156" i="3" s="1"/>
  <c r="H1154" i="3"/>
  <c r="J1154" i="3" s="1"/>
  <c r="H1153" i="3"/>
  <c r="J1153" i="3" s="1"/>
  <c r="H1152" i="3"/>
  <c r="J1152" i="3" s="1"/>
  <c r="H1151" i="3"/>
  <c r="J1151" i="3" s="1"/>
  <c r="H1150" i="3"/>
  <c r="J1150" i="3" s="1"/>
  <c r="H1149" i="3"/>
  <c r="J1149" i="3" s="1"/>
  <c r="H1143" i="3"/>
  <c r="J1143" i="3" s="1"/>
  <c r="H1139" i="3"/>
  <c r="J1139" i="3" s="1"/>
  <c r="H1138" i="3"/>
  <c r="J1138" i="3" s="1"/>
  <c r="H1137" i="3"/>
  <c r="S1363" i="3" l="1"/>
  <c r="S1364" i="3"/>
  <c r="U1347" i="3"/>
  <c r="U1366" i="3" s="1"/>
  <c r="U1343" i="3"/>
  <c r="N1350" i="3"/>
  <c r="Q1353" i="3"/>
  <c r="S1353" i="3" s="1"/>
  <c r="N1351" i="3"/>
  <c r="Q1359" i="3"/>
  <c r="S1359" i="3" s="1"/>
  <c r="P1352" i="3"/>
  <c r="N1364" i="3"/>
  <c r="N1363" i="3"/>
  <c r="N1352" i="3"/>
  <c r="AF250" i="3"/>
  <c r="AF248" i="3"/>
  <c r="U1344" i="3"/>
  <c r="U1365" i="3" s="1"/>
  <c r="U1173" i="3"/>
  <c r="X1173" i="3" s="1"/>
  <c r="Z1173" i="3" s="1"/>
  <c r="L1139" i="3"/>
  <c r="N1139" i="3" s="1"/>
  <c r="Q1139" i="3"/>
  <c r="S1139" i="3" s="1"/>
  <c r="U1139" i="3" s="1"/>
  <c r="X1139" i="3" s="1"/>
  <c r="Z1139" i="3" s="1"/>
  <c r="L1149" i="3"/>
  <c r="N1149" i="3" s="1"/>
  <c r="Q1149" i="3"/>
  <c r="S1149" i="3" s="1"/>
  <c r="U1149" i="3" s="1"/>
  <c r="X1149" i="3" s="1"/>
  <c r="Z1149" i="3" s="1"/>
  <c r="L1153" i="3"/>
  <c r="N1153" i="3" s="1"/>
  <c r="Q1153" i="3"/>
  <c r="S1153" i="3" s="1"/>
  <c r="U1153" i="3" s="1"/>
  <c r="X1153" i="3" s="1"/>
  <c r="Z1153" i="3" s="1"/>
  <c r="L1158" i="3"/>
  <c r="N1158" i="3" s="1"/>
  <c r="Q1158" i="3"/>
  <c r="S1158" i="3" s="1"/>
  <c r="U1158" i="3" s="1"/>
  <c r="X1158" i="3" s="1"/>
  <c r="Z1158" i="3" s="1"/>
  <c r="L1162" i="3"/>
  <c r="N1162" i="3" s="1"/>
  <c r="Q1162" i="3"/>
  <c r="S1162" i="3" s="1"/>
  <c r="U1162" i="3" s="1"/>
  <c r="X1162" i="3" s="1"/>
  <c r="Z1162" i="3" s="1"/>
  <c r="L1166" i="3"/>
  <c r="N1166" i="3" s="1"/>
  <c r="Q1166" i="3"/>
  <c r="S1166" i="3" s="1"/>
  <c r="U1166" i="3" s="1"/>
  <c r="X1166" i="3" s="1"/>
  <c r="Z1166" i="3" s="1"/>
  <c r="L1187" i="3"/>
  <c r="N1187" i="3" s="1"/>
  <c r="Q1187" i="3"/>
  <c r="S1187" i="3" s="1"/>
  <c r="U1187" i="3" s="1"/>
  <c r="X1187" i="3" s="1"/>
  <c r="L1191" i="3"/>
  <c r="N1191" i="3" s="1"/>
  <c r="Q1191" i="3"/>
  <c r="S1191" i="3" s="1"/>
  <c r="U1191" i="3" s="1"/>
  <c r="X1191" i="3" s="1"/>
  <c r="L1150" i="3"/>
  <c r="N1150" i="3" s="1"/>
  <c r="Q1150" i="3"/>
  <c r="S1150" i="3" s="1"/>
  <c r="U1150" i="3" s="1"/>
  <c r="X1150" i="3" s="1"/>
  <c r="Z1150" i="3" s="1"/>
  <c r="L1154" i="3"/>
  <c r="N1154" i="3" s="1"/>
  <c r="Q1154" i="3"/>
  <c r="S1154" i="3" s="1"/>
  <c r="U1154" i="3" s="1"/>
  <c r="X1154" i="3" s="1"/>
  <c r="Z1154" i="3" s="1"/>
  <c r="L1159" i="3"/>
  <c r="N1159" i="3" s="1"/>
  <c r="Q1159" i="3"/>
  <c r="S1159" i="3" s="1"/>
  <c r="U1159" i="3" s="1"/>
  <c r="X1159" i="3" s="1"/>
  <c r="Z1159" i="3" s="1"/>
  <c r="L1163" i="3"/>
  <c r="N1163" i="3" s="1"/>
  <c r="Q1163" i="3"/>
  <c r="S1163" i="3" s="1"/>
  <c r="U1163" i="3" s="1"/>
  <c r="X1163" i="3" s="1"/>
  <c r="Z1163" i="3" s="1"/>
  <c r="L1167" i="3"/>
  <c r="N1167" i="3" s="1"/>
  <c r="Q1167" i="3"/>
  <c r="S1167" i="3" s="1"/>
  <c r="U1167" i="3" s="1"/>
  <c r="X1167" i="3" s="1"/>
  <c r="Z1167" i="3" s="1"/>
  <c r="L1183" i="3"/>
  <c r="N1183" i="3" s="1"/>
  <c r="Q1183" i="3"/>
  <c r="S1183" i="3" s="1"/>
  <c r="L1188" i="3"/>
  <c r="N1188" i="3" s="1"/>
  <c r="Q1188" i="3"/>
  <c r="S1188" i="3" s="1"/>
  <c r="U1188" i="3" s="1"/>
  <c r="X1188" i="3" s="1"/>
  <c r="L1151" i="3"/>
  <c r="N1151" i="3" s="1"/>
  <c r="Q1151" i="3"/>
  <c r="S1151" i="3" s="1"/>
  <c r="U1151" i="3" s="1"/>
  <c r="X1151" i="3" s="1"/>
  <c r="Z1151" i="3" s="1"/>
  <c r="L1156" i="3"/>
  <c r="N1156" i="3" s="1"/>
  <c r="Q1156" i="3"/>
  <c r="S1156" i="3" s="1"/>
  <c r="U1156" i="3" s="1"/>
  <c r="X1156" i="3" s="1"/>
  <c r="Z1156" i="3" s="1"/>
  <c r="L1160" i="3"/>
  <c r="N1160" i="3" s="1"/>
  <c r="Q1160" i="3"/>
  <c r="S1160" i="3" s="1"/>
  <c r="U1160" i="3" s="1"/>
  <c r="X1160" i="3" s="1"/>
  <c r="Z1160" i="3" s="1"/>
  <c r="L1164" i="3"/>
  <c r="N1164" i="3" s="1"/>
  <c r="Q1164" i="3"/>
  <c r="S1164" i="3" s="1"/>
  <c r="U1164" i="3" s="1"/>
  <c r="X1164" i="3" s="1"/>
  <c r="Z1164" i="3" s="1"/>
  <c r="L1184" i="3"/>
  <c r="N1184" i="3" s="1"/>
  <c r="Q1184" i="3"/>
  <c r="S1184" i="3" s="1"/>
  <c r="U1184" i="3" s="1"/>
  <c r="X1184" i="3" s="1"/>
  <c r="L1178" i="3"/>
  <c r="N1178" i="3" s="1"/>
  <c r="Q1178" i="3"/>
  <c r="S1178" i="3" s="1"/>
  <c r="U1178" i="3" s="1"/>
  <c r="X1178" i="3" s="1"/>
  <c r="Z1178" i="3" s="1"/>
  <c r="L1143" i="3"/>
  <c r="N1143" i="3" s="1"/>
  <c r="Q1143" i="3"/>
  <c r="S1143" i="3" s="1"/>
  <c r="U1143" i="3" s="1"/>
  <c r="X1143" i="3" s="1"/>
  <c r="Z1143" i="3" s="1"/>
  <c r="L1138" i="3"/>
  <c r="N1138" i="3" s="1"/>
  <c r="Q1138" i="3"/>
  <c r="S1138" i="3" s="1"/>
  <c r="U1138" i="3" s="1"/>
  <c r="X1138" i="3" s="1"/>
  <c r="Z1138" i="3" s="1"/>
  <c r="L1152" i="3"/>
  <c r="N1152" i="3" s="1"/>
  <c r="Q1152" i="3"/>
  <c r="S1152" i="3" s="1"/>
  <c r="U1152" i="3" s="1"/>
  <c r="X1152" i="3" s="1"/>
  <c r="Z1152" i="3" s="1"/>
  <c r="L1157" i="3"/>
  <c r="N1157" i="3" s="1"/>
  <c r="Q1157" i="3"/>
  <c r="S1157" i="3" s="1"/>
  <c r="U1157" i="3" s="1"/>
  <c r="X1157" i="3" s="1"/>
  <c r="Z1157" i="3" s="1"/>
  <c r="L1161" i="3"/>
  <c r="N1161" i="3" s="1"/>
  <c r="Q1161" i="3"/>
  <c r="S1161" i="3" s="1"/>
  <c r="U1161" i="3" s="1"/>
  <c r="X1161" i="3" s="1"/>
  <c r="Z1161" i="3" s="1"/>
  <c r="L1165" i="3"/>
  <c r="N1165" i="3" s="1"/>
  <c r="Q1165" i="3"/>
  <c r="S1165" i="3" s="1"/>
  <c r="U1165" i="3" s="1"/>
  <c r="X1165" i="3" s="1"/>
  <c r="Z1165" i="3" s="1"/>
  <c r="L1174" i="3"/>
  <c r="N1174" i="3" s="1"/>
  <c r="Q1174" i="3"/>
  <c r="L1186" i="3"/>
  <c r="N1186" i="3" s="1"/>
  <c r="Q1186" i="3"/>
  <c r="S1186" i="3" s="1"/>
  <c r="U1186" i="3" s="1"/>
  <c r="X1186" i="3" s="1"/>
  <c r="L1190" i="3"/>
  <c r="N1190" i="3" s="1"/>
  <c r="Q1190" i="3"/>
  <c r="S1190" i="3" s="1"/>
  <c r="U1190" i="3" s="1"/>
  <c r="X1190" i="3" s="1"/>
  <c r="J1175" i="3"/>
  <c r="J1181" i="3" s="1"/>
  <c r="L1173" i="3"/>
  <c r="H1140" i="3"/>
  <c r="H1145" i="3" s="1"/>
  <c r="J1137" i="3"/>
  <c r="Q1137" i="3" s="1"/>
  <c r="H1175" i="3"/>
  <c r="H1180" i="3" s="1"/>
  <c r="AB1162" i="3" l="1"/>
  <c r="AF1162" i="3" s="1"/>
  <c r="AB1157" i="3"/>
  <c r="AF1157" i="3" s="1"/>
  <c r="AB1178" i="3"/>
  <c r="AB1156" i="3"/>
  <c r="AF1156" i="3" s="1"/>
  <c r="AB1159" i="3"/>
  <c r="AF1159" i="3" s="1"/>
  <c r="AB1139" i="3"/>
  <c r="AF1139" i="3" s="1"/>
  <c r="AB1165" i="3"/>
  <c r="AF1165" i="3" s="1"/>
  <c r="AB1138" i="3"/>
  <c r="AF1138" i="3" s="1"/>
  <c r="AB1164" i="3"/>
  <c r="AF1164" i="3" s="1"/>
  <c r="AB1167" i="3"/>
  <c r="AF1167" i="3" s="1"/>
  <c r="AB1150" i="3"/>
  <c r="AF1150" i="3" s="1"/>
  <c r="AB1153" i="3"/>
  <c r="AF1153" i="3" s="1"/>
  <c r="AB1161" i="3"/>
  <c r="AF1161" i="3" s="1"/>
  <c r="AB1152" i="3"/>
  <c r="AF1152" i="3" s="1"/>
  <c r="AB1143" i="3"/>
  <c r="AB1160" i="3"/>
  <c r="AF1160" i="3" s="1"/>
  <c r="AB1151" i="3"/>
  <c r="AF1151" i="3" s="1"/>
  <c r="AB1163" i="3"/>
  <c r="AF1163" i="3" s="1"/>
  <c r="AB1154" i="3"/>
  <c r="AF1154" i="3" s="1"/>
  <c r="AB1166" i="3"/>
  <c r="AF1166" i="3" s="1"/>
  <c r="AB1158" i="3"/>
  <c r="AF1158" i="3" s="1"/>
  <c r="AB1149" i="3"/>
  <c r="AB1173" i="3"/>
  <c r="U1363" i="3"/>
  <c r="U1364" i="3"/>
  <c r="X1343" i="3"/>
  <c r="X1347" i="3"/>
  <c r="X1366" i="3" s="1"/>
  <c r="U1359" i="3"/>
  <c r="Q1351" i="3"/>
  <c r="Q1350" i="3"/>
  <c r="Q1352" i="3"/>
  <c r="Z1186" i="3"/>
  <c r="Z1187" i="3"/>
  <c r="Z1190" i="3"/>
  <c r="Z1188" i="3"/>
  <c r="Z1184" i="3"/>
  <c r="Z1191" i="3"/>
  <c r="J1180" i="3"/>
  <c r="X1344" i="3"/>
  <c r="X1365" i="3" s="1"/>
  <c r="Q1175" i="3"/>
  <c r="Q1181" i="3" s="1"/>
  <c r="S1174" i="3"/>
  <c r="Q1140" i="3"/>
  <c r="Q1145" i="3" s="1"/>
  <c r="S1137" i="3"/>
  <c r="U1183" i="3"/>
  <c r="X1183" i="3" s="1"/>
  <c r="Z1183" i="3" s="1"/>
  <c r="L1175" i="3"/>
  <c r="L1181" i="3" s="1"/>
  <c r="N1173" i="3"/>
  <c r="N1175" i="3" s="1"/>
  <c r="J1140" i="3"/>
  <c r="J1145" i="3" s="1"/>
  <c r="L1137" i="3"/>
  <c r="L1140" i="3" s="1"/>
  <c r="H1181" i="3"/>
  <c r="AF1143" i="3" l="1"/>
  <c r="AB1190" i="3"/>
  <c r="AF1190" i="3" s="1"/>
  <c r="AB1191" i="3"/>
  <c r="AF1191" i="3" s="1"/>
  <c r="AB1187" i="3"/>
  <c r="AF1187" i="3" s="1"/>
  <c r="AF1149" i="3"/>
  <c r="AB1183" i="3"/>
  <c r="AB1184" i="3"/>
  <c r="AF1184" i="3" s="1"/>
  <c r="AB1186" i="3"/>
  <c r="AF1186" i="3" s="1"/>
  <c r="AB1188" i="3"/>
  <c r="AF1188" i="3" s="1"/>
  <c r="AF1173" i="3"/>
  <c r="AF1178" i="3"/>
  <c r="Z1343" i="3"/>
  <c r="AB1343" i="3" s="1"/>
  <c r="X1364" i="3"/>
  <c r="X1363" i="3"/>
  <c r="Z1347" i="3"/>
  <c r="X1359" i="3"/>
  <c r="S1350" i="3"/>
  <c r="S1351" i="3"/>
  <c r="U1353" i="3"/>
  <c r="S1352" i="3"/>
  <c r="L1180" i="3"/>
  <c r="Z1344" i="3"/>
  <c r="Q1180" i="3"/>
  <c r="U1137" i="3"/>
  <c r="S1140" i="3"/>
  <c r="U1174" i="3"/>
  <c r="S1175" i="3"/>
  <c r="N1137" i="3"/>
  <c r="N1181" i="3"/>
  <c r="N1180" i="3"/>
  <c r="L1145" i="3"/>
  <c r="Z1366" i="3" l="1"/>
  <c r="AB1347" i="3"/>
  <c r="Z1365" i="3"/>
  <c r="AB1344" i="3"/>
  <c r="AB1365" i="3" s="1"/>
  <c r="AB1363" i="3"/>
  <c r="AB1364" i="3"/>
  <c r="AF1183" i="3"/>
  <c r="Z1364" i="3"/>
  <c r="Z1363" i="3"/>
  <c r="Z1359" i="3"/>
  <c r="AB1359" i="3" s="1"/>
  <c r="U1350" i="3"/>
  <c r="U1351" i="3"/>
  <c r="X1353" i="3"/>
  <c r="U1175" i="3"/>
  <c r="U1181" i="3" s="1"/>
  <c r="X1174" i="3"/>
  <c r="U1140" i="3"/>
  <c r="U1145" i="3" s="1"/>
  <c r="X1137" i="3"/>
  <c r="S1181" i="3"/>
  <c r="S1180" i="3"/>
  <c r="S1145" i="3"/>
  <c r="N1140" i="3"/>
  <c r="N1145" i="3" s="1"/>
  <c r="AB1366" i="3" l="1"/>
  <c r="X1350" i="3"/>
  <c r="AF1343" i="3"/>
  <c r="AF1347" i="3"/>
  <c r="AF1366" i="3" s="1"/>
  <c r="X1351" i="3"/>
  <c r="Z1353" i="3"/>
  <c r="AB1353" i="3" s="1"/>
  <c r="U1361" i="3"/>
  <c r="AF1344" i="3"/>
  <c r="U1180" i="3"/>
  <c r="X1175" i="3"/>
  <c r="X1181" i="3" s="1"/>
  <c r="Z1174" i="3"/>
  <c r="AB1174" i="3" s="1"/>
  <c r="AB1175" i="3" s="1"/>
  <c r="X1140" i="3"/>
  <c r="X1145" i="3" s="1"/>
  <c r="Z1137" i="3"/>
  <c r="AB1137" i="3" s="1"/>
  <c r="AB1181" i="3" l="1"/>
  <c r="AB1180" i="3"/>
  <c r="Z1350" i="3"/>
  <c r="AF1365" i="3"/>
  <c r="AF1364" i="3"/>
  <c r="AF1363" i="3"/>
  <c r="AF1359" i="3"/>
  <c r="Z1351" i="3"/>
  <c r="U1352" i="3"/>
  <c r="X1361" i="3"/>
  <c r="X1180" i="3"/>
  <c r="Z1140" i="3"/>
  <c r="Z1175" i="3"/>
  <c r="Z1181" i="3" s="1"/>
  <c r="Z1145" i="3" l="1"/>
  <c r="AB1140" i="3"/>
  <c r="AB1351" i="3"/>
  <c r="AB1350" i="3"/>
  <c r="AF1353" i="3"/>
  <c r="AF1137" i="3"/>
  <c r="AF1140" i="3" s="1"/>
  <c r="AF1174" i="3"/>
  <c r="AF1175" i="3" s="1"/>
  <c r="AF1181" i="3" s="1"/>
  <c r="Z1180" i="3"/>
  <c r="AB1145" i="3" l="1"/>
  <c r="AF1351" i="3"/>
  <c r="AF1350" i="3"/>
  <c r="X1352" i="3"/>
  <c r="AF1180" i="3"/>
  <c r="AF1145" i="3"/>
  <c r="H46" i="3"/>
  <c r="J46" i="3" s="1"/>
  <c r="L46" i="3" s="1"/>
  <c r="N46" i="3" s="1"/>
  <c r="Q46" i="3" s="1"/>
  <c r="Z1361" i="3" l="1"/>
  <c r="S46" i="3"/>
  <c r="U46" i="3" s="1"/>
  <c r="X46" i="3" s="1"/>
  <c r="Z46" i="3" s="1"/>
  <c r="H1193" i="3"/>
  <c r="Z1352" i="3" l="1"/>
  <c r="AB1361" i="3"/>
  <c r="AB46" i="3"/>
  <c r="AF46" i="3" s="1"/>
  <c r="H1194" i="3"/>
  <c r="J1193" i="3"/>
  <c r="Q1193" i="3" s="1"/>
  <c r="AB1352" i="3" l="1"/>
  <c r="AF1361" i="3"/>
  <c r="S1193" i="3"/>
  <c r="J1194" i="3"/>
  <c r="L1193" i="3"/>
  <c r="U1193" i="3" l="1"/>
  <c r="N1193" i="3"/>
  <c r="H1168" i="3"/>
  <c r="J1168" i="3" s="1"/>
  <c r="AD1352" i="3" l="1"/>
  <c r="X1193" i="3"/>
  <c r="Z1193" i="3" s="1"/>
  <c r="AB1193" i="3" s="1"/>
  <c r="L1168" i="3"/>
  <c r="N1168" i="3" s="1"/>
  <c r="Q1168" i="3"/>
  <c r="S1168" i="3" s="1"/>
  <c r="U1168" i="3" s="1"/>
  <c r="X1168" i="3" s="1"/>
  <c r="Z1168" i="3" s="1"/>
  <c r="AB1168" i="3" l="1"/>
  <c r="AB1169" i="3" s="1"/>
  <c r="AF1352" i="3"/>
  <c r="AE1352" i="3"/>
  <c r="AF1168" i="3" l="1"/>
  <c r="AF1193" i="3" l="1"/>
  <c r="I13" i="9" l="1"/>
  <c r="M13" i="9" s="1"/>
  <c r="Q13" i="9" s="1"/>
  <c r="U13" i="9" s="1"/>
  <c r="AA13" i="9" s="1"/>
  <c r="AE13" i="9" s="1"/>
  <c r="AI13" i="9" s="1"/>
  <c r="AO13" i="9" s="1"/>
  <c r="AS13" i="9" s="1"/>
  <c r="AW13" i="9" s="1"/>
  <c r="BE13" i="9" s="1"/>
  <c r="H1225" i="3"/>
  <c r="W1407" i="3"/>
  <c r="AE1407" i="3" s="1"/>
  <c r="P1407" i="3"/>
  <c r="H1407" i="3"/>
  <c r="J1407" i="3" s="1"/>
  <c r="AD1398" i="3"/>
  <c r="W1398" i="3"/>
  <c r="P1398" i="3"/>
  <c r="H1398" i="3"/>
  <c r="J1398" i="3" s="1"/>
  <c r="AD1397" i="3"/>
  <c r="W1397" i="3"/>
  <c r="P1397" i="3"/>
  <c r="H1397" i="3"/>
  <c r="J1397" i="3" s="1"/>
  <c r="AD1396" i="3"/>
  <c r="W1396" i="3"/>
  <c r="P1396" i="3"/>
  <c r="H1396" i="3"/>
  <c r="J1396" i="3" s="1"/>
  <c r="AD1395" i="3"/>
  <c r="W1395" i="3"/>
  <c r="P1395" i="3"/>
  <c r="H1395" i="3"/>
  <c r="J1395" i="3" s="1"/>
  <c r="L1395" i="3" s="1"/>
  <c r="N1395" i="3" s="1"/>
  <c r="AD1394" i="3"/>
  <c r="W1394" i="3"/>
  <c r="P1394" i="3"/>
  <c r="H1394" i="3"/>
  <c r="J1394" i="3" s="1"/>
  <c r="AD1393" i="3"/>
  <c r="W1393" i="3"/>
  <c r="P1393" i="3"/>
  <c r="H1393" i="3"/>
  <c r="J1393" i="3" s="1"/>
  <c r="AD1392" i="3"/>
  <c r="W1392" i="3"/>
  <c r="P1392" i="3"/>
  <c r="H1392" i="3"/>
  <c r="J1392" i="3" s="1"/>
  <c r="AD1391" i="3"/>
  <c r="W1391" i="3"/>
  <c r="P1391" i="3"/>
  <c r="H1391" i="3"/>
  <c r="J1391" i="3" s="1"/>
  <c r="AD1390" i="3"/>
  <c r="W1390" i="3"/>
  <c r="P1390" i="3"/>
  <c r="H1390" i="3"/>
  <c r="J1390" i="3" s="1"/>
  <c r="AD1389" i="3"/>
  <c r="W1389" i="3"/>
  <c r="J1389" i="3"/>
  <c r="H629" i="3"/>
  <c r="J629" i="3" s="1"/>
  <c r="H628" i="3"/>
  <c r="J628" i="3" s="1"/>
  <c r="H627" i="3"/>
  <c r="J627" i="3" s="1"/>
  <c r="AD614" i="3"/>
  <c r="W614" i="3"/>
  <c r="P614" i="3"/>
  <c r="H614" i="3"/>
  <c r="J614" i="3" s="1"/>
  <c r="AD613" i="3"/>
  <c r="W613" i="3"/>
  <c r="P613" i="3"/>
  <c r="H613" i="3"/>
  <c r="J613" i="3" s="1"/>
  <c r="L613" i="3" s="1"/>
  <c r="N613" i="3" s="1"/>
  <c r="AD612" i="3"/>
  <c r="W612" i="3"/>
  <c r="P612" i="3"/>
  <c r="H612" i="3"/>
  <c r="J612" i="3" s="1"/>
  <c r="AD611" i="3"/>
  <c r="W611" i="3"/>
  <c r="P611" i="3"/>
  <c r="H611" i="3"/>
  <c r="J611" i="3" s="1"/>
  <c r="L611" i="3" s="1"/>
  <c r="N611" i="3" s="1"/>
  <c r="AD610" i="3"/>
  <c r="W610" i="3"/>
  <c r="P610" i="3"/>
  <c r="H610" i="3"/>
  <c r="J610" i="3" s="1"/>
  <c r="I14" i="9" l="1"/>
  <c r="M14" i="9" s="1"/>
  <c r="Q14" i="9" s="1"/>
  <c r="U14" i="9" s="1"/>
  <c r="AA14" i="9" s="1"/>
  <c r="AE14" i="9" s="1"/>
  <c r="AI14" i="9" s="1"/>
  <c r="AO14" i="9" s="1"/>
  <c r="AS14" i="9" s="1"/>
  <c r="AW14" i="9" s="1"/>
  <c r="BE14" i="9" s="1"/>
  <c r="AE1398" i="3"/>
  <c r="AE1397" i="3"/>
  <c r="AE1396" i="3"/>
  <c r="L627" i="3"/>
  <c r="N627" i="3" s="1"/>
  <c r="Q627" i="3"/>
  <c r="L628" i="3"/>
  <c r="N628" i="3" s="1"/>
  <c r="Q628" i="3"/>
  <c r="AF628" i="3" s="1"/>
  <c r="L629" i="3"/>
  <c r="N629" i="3" s="1"/>
  <c r="Q629" i="3"/>
  <c r="AF629" i="3" s="1"/>
  <c r="Q1396" i="3"/>
  <c r="S1396" i="3" s="1"/>
  <c r="U1396" i="3" s="1"/>
  <c r="X1396" i="3" s="1"/>
  <c r="Z1396" i="3" s="1"/>
  <c r="Q1392" i="3"/>
  <c r="S1392" i="3" s="1"/>
  <c r="U1392" i="3" s="1"/>
  <c r="X1392" i="3" s="1"/>
  <c r="Z1392" i="3" s="1"/>
  <c r="AE610" i="3"/>
  <c r="AE611" i="3"/>
  <c r="H630" i="3"/>
  <c r="AE613" i="3"/>
  <c r="AE614" i="3"/>
  <c r="AE1395" i="3"/>
  <c r="AE1391" i="3"/>
  <c r="AE1392" i="3"/>
  <c r="AE1393" i="3"/>
  <c r="AE1394" i="3"/>
  <c r="L1391" i="3"/>
  <c r="N1391" i="3" s="1"/>
  <c r="Q1391" i="3"/>
  <c r="S1391" i="3" s="1"/>
  <c r="U1391" i="3" s="1"/>
  <c r="X1391" i="3" s="1"/>
  <c r="Z1391" i="3" s="1"/>
  <c r="L1407" i="3"/>
  <c r="N1407" i="3" s="1"/>
  <c r="Q1407" i="3" s="1"/>
  <c r="S1407" i="3" s="1"/>
  <c r="U1407" i="3" s="1"/>
  <c r="X1407" i="3" s="1"/>
  <c r="Z1407" i="3" s="1"/>
  <c r="L1394" i="3"/>
  <c r="N1394" i="3" s="1"/>
  <c r="Q1394" i="3"/>
  <c r="L1397" i="3"/>
  <c r="N1397" i="3" s="1"/>
  <c r="Q1397" i="3"/>
  <c r="S1397" i="3" s="1"/>
  <c r="U1397" i="3" s="1"/>
  <c r="X1397" i="3" s="1"/>
  <c r="Z1397" i="3" s="1"/>
  <c r="L1390" i="3"/>
  <c r="N1390" i="3" s="1"/>
  <c r="Q1390" i="3"/>
  <c r="L1393" i="3"/>
  <c r="N1393" i="3" s="1"/>
  <c r="Q1393" i="3"/>
  <c r="S1393" i="3" s="1"/>
  <c r="U1393" i="3" s="1"/>
  <c r="X1393" i="3" s="1"/>
  <c r="Z1393" i="3" s="1"/>
  <c r="L1396" i="3"/>
  <c r="N1396" i="3" s="1"/>
  <c r="L1389" i="3"/>
  <c r="N1389" i="3" s="1"/>
  <c r="Q1389" i="3"/>
  <c r="S1389" i="3" s="1"/>
  <c r="U1389" i="3" s="1"/>
  <c r="X1389" i="3" s="1"/>
  <c r="Z1389" i="3" s="1"/>
  <c r="AE1389" i="3"/>
  <c r="L1392" i="3"/>
  <c r="N1392" i="3" s="1"/>
  <c r="AE1390" i="3"/>
  <c r="Q1395" i="3"/>
  <c r="S1395" i="3" s="1"/>
  <c r="U1395" i="3" s="1"/>
  <c r="X1395" i="3" s="1"/>
  <c r="Z1395" i="3" s="1"/>
  <c r="L1398" i="3"/>
  <c r="N1398" i="3" s="1"/>
  <c r="Q1398" i="3"/>
  <c r="AE612" i="3"/>
  <c r="L612" i="3"/>
  <c r="N612" i="3" s="1"/>
  <c r="Q612" i="3"/>
  <c r="Q610" i="3"/>
  <c r="L610" i="3"/>
  <c r="N610" i="3" s="1"/>
  <c r="Q614" i="3"/>
  <c r="L614" i="3"/>
  <c r="N614" i="3" s="1"/>
  <c r="Q613" i="3"/>
  <c r="Q611" i="3"/>
  <c r="AB1396" i="3" l="1"/>
  <c r="AF1396" i="3" s="1"/>
  <c r="AB1407" i="3"/>
  <c r="AF1407" i="3" s="1"/>
  <c r="AB1393" i="3"/>
  <c r="AF1393" i="3" s="1"/>
  <c r="AB1397" i="3"/>
  <c r="AF1397" i="3" s="1"/>
  <c r="AB1395" i="3"/>
  <c r="AF1395" i="3" s="1"/>
  <c r="AB1389" i="3"/>
  <c r="AF1389" i="3" s="1"/>
  <c r="AB1391" i="3"/>
  <c r="AF1391" i="3" s="1"/>
  <c r="AB1392" i="3"/>
  <c r="AF1392" i="3" s="1"/>
  <c r="S1390" i="3"/>
  <c r="U1390" i="3" s="1"/>
  <c r="X1390" i="3" s="1"/>
  <c r="Z1390" i="3" s="1"/>
  <c r="S1394" i="3"/>
  <c r="U1394" i="3" s="1"/>
  <c r="X1394" i="3" s="1"/>
  <c r="Z1394" i="3" s="1"/>
  <c r="S1398" i="3"/>
  <c r="U1398" i="3" s="1"/>
  <c r="X1398" i="3" s="1"/>
  <c r="Z1398" i="3" s="1"/>
  <c r="J1225" i="3"/>
  <c r="S628" i="3"/>
  <c r="U628" i="3" s="1"/>
  <c r="X628" i="3" s="1"/>
  <c r="Z628" i="3" s="1"/>
  <c r="AB628" i="3" s="1"/>
  <c r="S629" i="3"/>
  <c r="U629" i="3" s="1"/>
  <c r="X629" i="3" s="1"/>
  <c r="Z629" i="3" s="1"/>
  <c r="AB629" i="3" s="1"/>
  <c r="S627" i="3"/>
  <c r="U627" i="3" s="1"/>
  <c r="X627" i="3" s="1"/>
  <c r="Z627" i="3" s="1"/>
  <c r="AB627" i="3" s="1"/>
  <c r="AF627" i="3"/>
  <c r="S614" i="3"/>
  <c r="U614" i="3" s="1"/>
  <c r="X614" i="3" s="1"/>
  <c r="Z614" i="3" s="1"/>
  <c r="S611" i="3"/>
  <c r="U611" i="3" s="1"/>
  <c r="X611" i="3" s="1"/>
  <c r="Z611" i="3" s="1"/>
  <c r="S613" i="3"/>
  <c r="U613" i="3" s="1"/>
  <c r="X613" i="3" s="1"/>
  <c r="Z613" i="3" s="1"/>
  <c r="S610" i="3"/>
  <c r="U610" i="3" s="1"/>
  <c r="X610" i="3" s="1"/>
  <c r="Z610" i="3" s="1"/>
  <c r="S612" i="3"/>
  <c r="U612" i="3" s="1"/>
  <c r="X612" i="3" s="1"/>
  <c r="Z612" i="3" s="1"/>
  <c r="AB1398" i="3" l="1"/>
  <c r="AF1398" i="3" s="1"/>
  <c r="AB1394" i="3"/>
  <c r="AF1394" i="3" s="1"/>
  <c r="AB1390" i="3"/>
  <c r="AF1390" i="3" s="1"/>
  <c r="AB610" i="3"/>
  <c r="AF610" i="3" s="1"/>
  <c r="AB613" i="3"/>
  <c r="AF613" i="3" s="1"/>
  <c r="AB611" i="3"/>
  <c r="AF611" i="3" s="1"/>
  <c r="AB612" i="3"/>
  <c r="AF612" i="3" s="1"/>
  <c r="AB614" i="3"/>
  <c r="AF614" i="3" s="1"/>
  <c r="H1319" i="3"/>
  <c r="J1319" i="3" s="1"/>
  <c r="L1319" i="3" l="1"/>
  <c r="N1319" i="3" s="1"/>
  <c r="Q1319" i="3"/>
  <c r="AD1293" i="3"/>
  <c r="W1293" i="3"/>
  <c r="P1293" i="3"/>
  <c r="H1293" i="3"/>
  <c r="J1293" i="3" s="1"/>
  <c r="J1250" i="3"/>
  <c r="AD1238" i="3"/>
  <c r="W1238" i="3"/>
  <c r="P1238" i="3"/>
  <c r="AD1219" i="3"/>
  <c r="W1219" i="3"/>
  <c r="P1219" i="3"/>
  <c r="S1219" i="3" s="1"/>
  <c r="U1219" i="3" s="1"/>
  <c r="X1219" i="3" s="1"/>
  <c r="Z1219" i="3" s="1"/>
  <c r="W1018" i="3"/>
  <c r="P1018" i="3"/>
  <c r="H1018" i="3"/>
  <c r="J1018" i="3" s="1"/>
  <c r="W1017" i="3"/>
  <c r="P1017" i="3"/>
  <c r="H1017" i="3"/>
  <c r="J1017" i="3" s="1"/>
  <c r="W1016" i="3"/>
  <c r="P1016" i="3"/>
  <c r="H1016" i="3"/>
  <c r="J1016" i="3" s="1"/>
  <c r="AD1013" i="3"/>
  <c r="W1013" i="3"/>
  <c r="P1013" i="3"/>
  <c r="H1013" i="3"/>
  <c r="J1013" i="3" s="1"/>
  <c r="AD911" i="3"/>
  <c r="W911" i="3"/>
  <c r="P911" i="3"/>
  <c r="H911" i="3"/>
  <c r="AB1219" i="3" l="1"/>
  <c r="AF1219" i="3" s="1"/>
  <c r="AE1016" i="3"/>
  <c r="AE1018" i="3"/>
  <c r="AE1017" i="3"/>
  <c r="J911" i="3"/>
  <c r="L1016" i="3"/>
  <c r="L1017" i="3"/>
  <c r="L1018" i="3"/>
  <c r="J1251" i="3"/>
  <c r="AE1013" i="3"/>
  <c r="H1295" i="3"/>
  <c r="AE1251" i="3"/>
  <c r="AE1255" i="3" s="1"/>
  <c r="AE1293" i="3"/>
  <c r="AE911" i="3"/>
  <c r="AD1295" i="3"/>
  <c r="AE1219" i="3"/>
  <c r="L1293" i="3"/>
  <c r="N1293" i="3" s="1"/>
  <c r="Q1293" i="3"/>
  <c r="Q1250" i="3"/>
  <c r="AE1238" i="3"/>
  <c r="L1238" i="3"/>
  <c r="N1238" i="3" s="1"/>
  <c r="Q1238" i="3" s="1"/>
  <c r="S1238" i="3" s="1"/>
  <c r="U1238" i="3" s="1"/>
  <c r="X1238" i="3" s="1"/>
  <c r="Z1238" i="3" s="1"/>
  <c r="L1013" i="3"/>
  <c r="N1013" i="3" s="1"/>
  <c r="Q1013" i="3"/>
  <c r="AB1238" i="3" l="1"/>
  <c r="AF1238" i="3" s="1"/>
  <c r="Q911" i="3"/>
  <c r="L911" i="3"/>
  <c r="L1251" i="3"/>
  <c r="Q1251" i="3"/>
  <c r="N1016" i="3"/>
  <c r="N1017" i="3"/>
  <c r="N1018" i="3"/>
  <c r="G86" i="9"/>
  <c r="E86" i="9"/>
  <c r="AF1250" i="3"/>
  <c r="W1295" i="3"/>
  <c r="AE1295" i="3" s="1"/>
  <c r="P1295" i="3"/>
  <c r="J1295" i="3"/>
  <c r="N1295" i="3" s="1"/>
  <c r="L1295" i="3"/>
  <c r="S1013" i="3"/>
  <c r="S1293" i="3"/>
  <c r="U1293" i="3" s="1"/>
  <c r="S911" i="3" l="1"/>
  <c r="N911" i="3"/>
  <c r="L1225" i="3"/>
  <c r="S1251" i="3"/>
  <c r="U1251" i="3" s="1"/>
  <c r="X1251" i="3" s="1"/>
  <c r="Z1251" i="3" s="1"/>
  <c r="AB1251" i="3" s="1"/>
  <c r="N1251" i="3"/>
  <c r="Q1017" i="3"/>
  <c r="Q1018" i="3"/>
  <c r="Q1016" i="3"/>
  <c r="X1293" i="3"/>
  <c r="Z1293" i="3" s="1"/>
  <c r="AB1293" i="3" s="1"/>
  <c r="Q1295" i="3"/>
  <c r="S1295" i="3" s="1"/>
  <c r="U1013" i="3"/>
  <c r="AD732" i="3"/>
  <c r="W732" i="3"/>
  <c r="P732" i="3"/>
  <c r="H732" i="3"/>
  <c r="J732" i="3" s="1"/>
  <c r="L732" i="3" s="1"/>
  <c r="W666" i="3"/>
  <c r="P666" i="3"/>
  <c r="H666" i="3"/>
  <c r="J666" i="3" l="1"/>
  <c r="U911" i="3"/>
  <c r="AF1251" i="3"/>
  <c r="S1016" i="3"/>
  <c r="S1018" i="3"/>
  <c r="S1017" i="3"/>
  <c r="N732" i="3"/>
  <c r="AF1293" i="3"/>
  <c r="X1013" i="3"/>
  <c r="U1295" i="3"/>
  <c r="AE732" i="3"/>
  <c r="L666" i="3" l="1"/>
  <c r="N666" i="3" s="1"/>
  <c r="Q666" i="3" s="1"/>
  <c r="S666" i="3" s="1"/>
  <c r="U666" i="3" s="1"/>
  <c r="X666" i="3" s="1"/>
  <c r="X911" i="3"/>
  <c r="N1225" i="3"/>
  <c r="U1018" i="3"/>
  <c r="U1016" i="3"/>
  <c r="U1017" i="3"/>
  <c r="Q732" i="3"/>
  <c r="S732" i="3" s="1"/>
  <c r="U732" i="3" s="1"/>
  <c r="X732" i="3" s="1"/>
  <c r="Z732" i="3" s="1"/>
  <c r="G113" i="17"/>
  <c r="G115" i="17" s="1"/>
  <c r="E113" i="17"/>
  <c r="E115" i="17" s="1"/>
  <c r="X1295" i="3"/>
  <c r="Z1013" i="3"/>
  <c r="AB1013" i="3" s="1"/>
  <c r="AB732" i="3" l="1"/>
  <c r="AF732" i="3" s="1"/>
  <c r="Z666" i="3"/>
  <c r="AB666" i="3" s="1"/>
  <c r="Z911" i="3"/>
  <c r="Q1225" i="3"/>
  <c r="X1016" i="3"/>
  <c r="X1017" i="3"/>
  <c r="X1018" i="3"/>
  <c r="Z1295" i="3"/>
  <c r="AB1295" i="3" s="1"/>
  <c r="AF1013" i="3"/>
  <c r="AD1304" i="3"/>
  <c r="AD1382" i="3" s="1"/>
  <c r="W1304" i="3"/>
  <c r="P1304" i="3"/>
  <c r="H1304" i="3"/>
  <c r="AD917" i="3"/>
  <c r="W917" i="3"/>
  <c r="P917" i="3"/>
  <c r="H917" i="3"/>
  <c r="J917" i="3" s="1"/>
  <c r="AB911" i="3" l="1"/>
  <c r="P1225" i="3"/>
  <c r="AD1383" i="3"/>
  <c r="Z1017" i="3"/>
  <c r="AB1017" i="3" s="1"/>
  <c r="Z1018" i="3"/>
  <c r="AB1018" i="3" s="1"/>
  <c r="Z1016" i="3"/>
  <c r="AB1016" i="3" s="1"/>
  <c r="W1382" i="3"/>
  <c r="W1383" i="3"/>
  <c r="P1375" i="3"/>
  <c r="P1374" i="3"/>
  <c r="P1382" i="3"/>
  <c r="P1383" i="3"/>
  <c r="AE917" i="3"/>
  <c r="H1383" i="3"/>
  <c r="H1382" i="3"/>
  <c r="AE1304" i="3"/>
  <c r="J1304" i="3"/>
  <c r="Q1304" i="3" s="1"/>
  <c r="S1304" i="3" s="1"/>
  <c r="U1304" i="3" s="1"/>
  <c r="X1304" i="3" s="1"/>
  <c r="Z1304" i="3" s="1"/>
  <c r="H1375" i="3"/>
  <c r="H1374" i="3"/>
  <c r="L917" i="3"/>
  <c r="N917" i="3" s="1"/>
  <c r="Q917" i="3"/>
  <c r="S917" i="3" s="1"/>
  <c r="U917" i="3" s="1"/>
  <c r="X917" i="3" s="1"/>
  <c r="Z917" i="3" s="1"/>
  <c r="AB1304" i="3" l="1"/>
  <c r="AF1304" i="3" s="1"/>
  <c r="AB917" i="3"/>
  <c r="AF917" i="3" s="1"/>
  <c r="AF911" i="3"/>
  <c r="S1225" i="3"/>
  <c r="L1304" i="3"/>
  <c r="N1304" i="3" s="1"/>
  <c r="AF1016" i="3"/>
  <c r="AF1017" i="3"/>
  <c r="AE1383" i="3"/>
  <c r="AE1382" i="3"/>
  <c r="AF1018" i="3"/>
  <c r="J1375" i="3"/>
  <c r="J1374" i="3"/>
  <c r="J1382" i="3"/>
  <c r="J1383" i="3"/>
  <c r="AF1295" i="3"/>
  <c r="U1225" i="3" l="1"/>
  <c r="L1383" i="3"/>
  <c r="L1382" i="3"/>
  <c r="L1375" i="3"/>
  <c r="L1374" i="3"/>
  <c r="N1382" i="3" l="1"/>
  <c r="N1383" i="3"/>
  <c r="N1375" i="3"/>
  <c r="N1374" i="3"/>
  <c r="AD709" i="3"/>
  <c r="P709" i="3"/>
  <c r="H709" i="3"/>
  <c r="J709" i="3" s="1"/>
  <c r="Q1383" i="3" l="1"/>
  <c r="Q1382" i="3"/>
  <c r="Q1375" i="3"/>
  <c r="Q1374" i="3"/>
  <c r="AE709" i="3"/>
  <c r="L709" i="3"/>
  <c r="N709" i="3" s="1"/>
  <c r="Q709" i="3"/>
  <c r="X1225" i="3" l="1"/>
  <c r="W1225" i="3"/>
  <c r="S1374" i="3"/>
  <c r="U1374" i="3" s="1"/>
  <c r="S1382" i="3"/>
  <c r="U1382" i="3" s="1"/>
  <c r="S1375" i="3"/>
  <c r="S1383" i="3"/>
  <c r="U1383" i="3" s="1"/>
  <c r="S709" i="3"/>
  <c r="U1375" i="3" l="1"/>
  <c r="X1382" i="3"/>
  <c r="X1383" i="3"/>
  <c r="U709" i="3"/>
  <c r="W1233" i="3"/>
  <c r="AD1233" i="3"/>
  <c r="P1233" i="3"/>
  <c r="AD1237" i="3"/>
  <c r="AD1236" i="3"/>
  <c r="W1237" i="3"/>
  <c r="W1236" i="3"/>
  <c r="P1237" i="3"/>
  <c r="AD1224" i="3"/>
  <c r="AD1223" i="3"/>
  <c r="W1226" i="3"/>
  <c r="W1224" i="3"/>
  <c r="W1223" i="3"/>
  <c r="P1226" i="3"/>
  <c r="P1224" i="3"/>
  <c r="P1223" i="3"/>
  <c r="AD1221" i="3"/>
  <c r="AD1220" i="3"/>
  <c r="W1221" i="3"/>
  <c r="W1220" i="3"/>
  <c r="P1221" i="3"/>
  <c r="S1221" i="3" s="1"/>
  <c r="U1221" i="3" s="1"/>
  <c r="X1221" i="3" s="1"/>
  <c r="Z1221" i="3" s="1"/>
  <c r="P1220" i="3"/>
  <c r="S1220" i="3" s="1"/>
  <c r="U1220" i="3" s="1"/>
  <c r="X1220" i="3" s="1"/>
  <c r="Z1220" i="3" s="1"/>
  <c r="AB1221" i="3" l="1"/>
  <c r="AF1221" i="3" s="1"/>
  <c r="AB1220" i="3"/>
  <c r="AF1220" i="3" s="1"/>
  <c r="Z1225" i="3"/>
  <c r="AB1225" i="3" s="1"/>
  <c r="X709" i="3"/>
  <c r="Z1383" i="3"/>
  <c r="AB1383" i="3" s="1"/>
  <c r="Z1382" i="3"/>
  <c r="AB1382" i="3" s="1"/>
  <c r="AF1382" i="3" s="1"/>
  <c r="J1233" i="3"/>
  <c r="L1233" i="3" s="1"/>
  <c r="AD1239" i="3"/>
  <c r="AE1220" i="3"/>
  <c r="AE1221" i="3"/>
  <c r="AE1236" i="3"/>
  <c r="AE1237" i="3"/>
  <c r="AE1233" i="3"/>
  <c r="AE1224" i="3"/>
  <c r="AE1223" i="3"/>
  <c r="L1237" i="3"/>
  <c r="N1237" i="3" s="1"/>
  <c r="Q1237" i="3" s="1"/>
  <c r="H1235" i="3"/>
  <c r="H1226" i="3"/>
  <c r="J1226" i="3" s="1"/>
  <c r="H1224" i="3"/>
  <c r="J1224" i="3" s="1"/>
  <c r="J1223" i="3"/>
  <c r="L1223" i="3" s="1"/>
  <c r="N1223" i="3" s="1"/>
  <c r="Q1223" i="3" s="1"/>
  <c r="H1006" i="3"/>
  <c r="J1006" i="3" s="1"/>
  <c r="L1006" i="3" s="1"/>
  <c r="N1006" i="3" s="1"/>
  <c r="Q1006" i="3" s="1"/>
  <c r="S1006" i="3" s="1"/>
  <c r="U1006" i="3" s="1"/>
  <c r="X1006" i="3" s="1"/>
  <c r="Z1006" i="3" s="1"/>
  <c r="H1005" i="3"/>
  <c r="AD964" i="3"/>
  <c r="AD1012" i="3" s="1"/>
  <c r="AD918" i="3"/>
  <c r="W918" i="3"/>
  <c r="P918" i="3"/>
  <c r="H918" i="3"/>
  <c r="AB1006" i="3" l="1"/>
  <c r="AF1006" i="3" s="1"/>
  <c r="AD1240" i="3"/>
  <c r="Z709" i="3"/>
  <c r="AB709" i="3" s="1"/>
  <c r="H1015" i="3"/>
  <c r="J1012" i="3"/>
  <c r="H1291" i="3"/>
  <c r="H1300" i="3"/>
  <c r="W964" i="3"/>
  <c r="AE964" i="3"/>
  <c r="AE1012" i="3" s="1"/>
  <c r="AD1014" i="3"/>
  <c r="AD1015" i="3"/>
  <c r="AD965" i="3"/>
  <c r="AD254" i="3" s="1"/>
  <c r="W1014" i="3"/>
  <c r="W1015" i="3"/>
  <c r="P1014" i="3"/>
  <c r="P1015" i="3"/>
  <c r="J1005" i="3"/>
  <c r="J1235" i="3"/>
  <c r="J1291" i="3" s="1"/>
  <c r="P965" i="3"/>
  <c r="P254" i="3" s="1"/>
  <c r="J918" i="3"/>
  <c r="H1014" i="3"/>
  <c r="N1233" i="3"/>
  <c r="Q1233" i="3" s="1"/>
  <c r="S1233" i="3" s="1"/>
  <c r="AE918" i="3"/>
  <c r="AE1014" i="3" s="1"/>
  <c r="S1237" i="3"/>
  <c r="U1237" i="3" s="1"/>
  <c r="X1237" i="3" s="1"/>
  <c r="Z1237" i="3" s="1"/>
  <c r="L1236" i="3"/>
  <c r="N1236" i="3" s="1"/>
  <c r="Q1236" i="3" s="1"/>
  <c r="S1236" i="3" s="1"/>
  <c r="U1236" i="3" s="1"/>
  <c r="X1236" i="3" s="1"/>
  <c r="Z1236" i="3" s="1"/>
  <c r="L1226" i="3"/>
  <c r="N1226" i="3" s="1"/>
  <c r="Q1226" i="3" s="1"/>
  <c r="L1224" i="3"/>
  <c r="N1224" i="3" s="1"/>
  <c r="Q1224" i="3" s="1"/>
  <c r="S1223" i="3"/>
  <c r="U1223" i="3" s="1"/>
  <c r="X1223" i="3" s="1"/>
  <c r="Z1223" i="3" s="1"/>
  <c r="H1012" i="3"/>
  <c r="AB1236" i="3" l="1"/>
  <c r="AF1236" i="3" s="1"/>
  <c r="AB1223" i="3"/>
  <c r="AF1223" i="3" s="1"/>
  <c r="AB1237" i="3"/>
  <c r="AF1237" i="3" s="1"/>
  <c r="AF709" i="3"/>
  <c r="N932" i="3"/>
  <c r="J1015" i="3"/>
  <c r="AF1383" i="3"/>
  <c r="W965" i="3"/>
  <c r="W254" i="3" s="1"/>
  <c r="W1012" i="3"/>
  <c r="J1014" i="3"/>
  <c r="L1235" i="3"/>
  <c r="J1300" i="3"/>
  <c r="AE965" i="3"/>
  <c r="AE254" i="3" s="1"/>
  <c r="AE1015" i="3"/>
  <c r="S1226" i="3"/>
  <c r="U1226" i="3" s="1"/>
  <c r="X1226" i="3" s="1"/>
  <c r="Z1226" i="3" s="1"/>
  <c r="AB1226" i="3" s="1"/>
  <c r="S1224" i="3"/>
  <c r="U1224" i="3" s="1"/>
  <c r="X1224" i="3" s="1"/>
  <c r="Z1224" i="3" s="1"/>
  <c r="L918" i="3"/>
  <c r="H965" i="3"/>
  <c r="H254" i="3" s="1"/>
  <c r="Q918" i="3"/>
  <c r="U1233" i="3"/>
  <c r="AD373" i="3"/>
  <c r="W373" i="3"/>
  <c r="H373" i="3"/>
  <c r="J373" i="3" s="1"/>
  <c r="L373" i="3" s="1"/>
  <c r="N373" i="3" s="1"/>
  <c r="Q373" i="3" s="1"/>
  <c r="AB1224" i="3" l="1"/>
  <c r="AF1224" i="3" s="1"/>
  <c r="AF1225" i="3"/>
  <c r="AD1225" i="3"/>
  <c r="AE1225" i="3" s="1"/>
  <c r="Q932" i="3"/>
  <c r="L1005" i="3"/>
  <c r="N974" i="3"/>
  <c r="L1014" i="3"/>
  <c r="L1015" i="3"/>
  <c r="L1300" i="3"/>
  <c r="N1235" i="3"/>
  <c r="L1291" i="3"/>
  <c r="J965" i="3"/>
  <c r="J254" i="3" s="1"/>
  <c r="L964" i="3"/>
  <c r="Q1014" i="3"/>
  <c r="N918" i="3"/>
  <c r="N1014" i="3" s="1"/>
  <c r="S918" i="3"/>
  <c r="S1014" i="3" s="1"/>
  <c r="X1233" i="3"/>
  <c r="AE373" i="3"/>
  <c r="S373" i="3"/>
  <c r="U373" i="3" s="1"/>
  <c r="X373" i="3" s="1"/>
  <c r="Z373" i="3" s="1"/>
  <c r="P373" i="3"/>
  <c r="AB373" i="3" l="1"/>
  <c r="AF373" i="3" s="1"/>
  <c r="AF1226" i="3"/>
  <c r="AD1226" i="3"/>
  <c r="AE1226" i="3" s="1"/>
  <c r="Q964" i="3"/>
  <c r="S932" i="3"/>
  <c r="U932" i="3" s="1"/>
  <c r="N1291" i="3"/>
  <c r="Q1235" i="3"/>
  <c r="N1005" i="3"/>
  <c r="Q974" i="3"/>
  <c r="N1015" i="3"/>
  <c r="N1300" i="3"/>
  <c r="N964" i="3"/>
  <c r="N965" i="3" s="1"/>
  <c r="L1012" i="3"/>
  <c r="L965" i="3"/>
  <c r="U918" i="3"/>
  <c r="Z1233" i="3"/>
  <c r="AB1233" i="3" s="1"/>
  <c r="S964" i="3" l="1"/>
  <c r="S1012" i="3" s="1"/>
  <c r="X932" i="3"/>
  <c r="Z932" i="3" s="1"/>
  <c r="AB932" i="3" s="1"/>
  <c r="Q1005" i="3"/>
  <c r="S974" i="3"/>
  <c r="N254" i="3"/>
  <c r="L254" i="3"/>
  <c r="Q1015" i="3"/>
  <c r="N1012" i="3"/>
  <c r="X918" i="3"/>
  <c r="Z918" i="3" s="1"/>
  <c r="AB918" i="3" s="1"/>
  <c r="U1014" i="3"/>
  <c r="AB964" i="3" l="1"/>
  <c r="AB965" i="3" s="1"/>
  <c r="AB254" i="3" s="1"/>
  <c r="AF932" i="3"/>
  <c r="AB1014" i="3"/>
  <c r="S965" i="3"/>
  <c r="S254" i="3" s="1"/>
  <c r="S1005" i="3"/>
  <c r="U974" i="3"/>
  <c r="S1015" i="3"/>
  <c r="U1015" i="3" s="1"/>
  <c r="Q965" i="3"/>
  <c r="Q1012" i="3"/>
  <c r="X1014" i="3"/>
  <c r="U964" i="3"/>
  <c r="Z1014" i="3"/>
  <c r="AF918" i="3"/>
  <c r="AF1233" i="3"/>
  <c r="AB1012" i="3" l="1"/>
  <c r="AF964" i="3"/>
  <c r="AF1012" i="3" s="1"/>
  <c r="U1005" i="3"/>
  <c r="X974" i="3"/>
  <c r="Z974" i="3" s="1"/>
  <c r="AB974" i="3" s="1"/>
  <c r="Q254" i="3"/>
  <c r="AF1014" i="3"/>
  <c r="X1015" i="3"/>
  <c r="U965" i="3"/>
  <c r="U1012" i="3"/>
  <c r="X964" i="3"/>
  <c r="X1012" i="3" s="1"/>
  <c r="AB1005" i="3" l="1"/>
  <c r="AF974" i="3"/>
  <c r="AF965" i="3"/>
  <c r="AF254" i="3" s="1"/>
  <c r="X1005" i="3"/>
  <c r="U254" i="3"/>
  <c r="Z1015" i="3"/>
  <c r="AB1015" i="3" s="1"/>
  <c r="Z964" i="3"/>
  <c r="X965" i="3"/>
  <c r="X254" i="3" s="1"/>
  <c r="Z1005" i="3" l="1"/>
  <c r="Z965" i="3"/>
  <c r="Z254" i="3" s="1"/>
  <c r="Z1012" i="3"/>
  <c r="AF1005" i="3" l="1"/>
  <c r="AF1015" i="3"/>
  <c r="AD588" i="3"/>
  <c r="W588" i="3"/>
  <c r="P588" i="3"/>
  <c r="H588" i="3"/>
  <c r="J588" i="3" l="1"/>
  <c r="AE588" i="3"/>
  <c r="L588" i="3" l="1"/>
  <c r="Q588" i="3"/>
  <c r="S588" i="3" l="1"/>
  <c r="N588" i="3"/>
  <c r="U588" i="3" l="1"/>
  <c r="X588" i="3" s="1"/>
  <c r="AD905" i="3"/>
  <c r="W905" i="3"/>
  <c r="P905" i="3"/>
  <c r="H905" i="3"/>
  <c r="Z588" i="3" l="1"/>
  <c r="AB588" i="3" s="1"/>
  <c r="J905" i="3"/>
  <c r="AE905" i="3"/>
  <c r="Q905" i="3" l="1"/>
  <c r="L905" i="3"/>
  <c r="AF588" i="3" l="1"/>
  <c r="N905" i="3"/>
  <c r="S905" i="3"/>
  <c r="AD907" i="3"/>
  <c r="W907" i="3"/>
  <c r="P907" i="3"/>
  <c r="W906" i="3" l="1"/>
  <c r="P906" i="3"/>
  <c r="AD906" i="3"/>
  <c r="U905" i="3"/>
  <c r="AE907" i="3"/>
  <c r="AE906" i="3" l="1"/>
  <c r="X905" i="3"/>
  <c r="H907" i="3"/>
  <c r="Z905" i="3" l="1"/>
  <c r="AB905" i="3" s="1"/>
  <c r="J907" i="3"/>
  <c r="H906" i="3"/>
  <c r="J906" i="3" l="1"/>
  <c r="Q907" i="3"/>
  <c r="L907" i="3"/>
  <c r="AF905" i="3" l="1"/>
  <c r="Q906" i="3"/>
  <c r="N907" i="3"/>
  <c r="S907" i="3"/>
  <c r="L906" i="3"/>
  <c r="S906" i="3" l="1"/>
  <c r="N906" i="3"/>
  <c r="U907" i="3"/>
  <c r="X907" i="3" l="1"/>
  <c r="Z907" i="3" s="1"/>
  <c r="U906" i="3"/>
  <c r="AB907" i="3" l="1"/>
  <c r="AB906" i="3" s="1"/>
  <c r="N832" i="3"/>
  <c r="X906" i="3"/>
  <c r="Z906" i="3"/>
  <c r="Q832" i="3" l="1"/>
  <c r="S832" i="3" s="1"/>
  <c r="AF907" i="3"/>
  <c r="AF906" i="3" l="1"/>
  <c r="U832" i="3" l="1"/>
  <c r="X832" i="3" l="1"/>
  <c r="Z832" i="3" s="1"/>
  <c r="AB832" i="3" s="1"/>
  <c r="AF832" i="3" s="1"/>
  <c r="P1370" i="3" l="1"/>
  <c r="H1370" i="3"/>
  <c r="J1370" i="3" s="1"/>
  <c r="L1370" i="3" s="1"/>
  <c r="N1370" i="3" s="1"/>
  <c r="W1370" i="3"/>
  <c r="AD1385" i="3"/>
  <c r="AD1373" i="3"/>
  <c r="AD1371" i="3"/>
  <c r="AD1370" i="3"/>
  <c r="AD1369" i="3"/>
  <c r="AD1324" i="3"/>
  <c r="AD1321" i="3"/>
  <c r="AD1318" i="3"/>
  <c r="AD1317" i="3"/>
  <c r="AD1316" i="3"/>
  <c r="AD1311" i="3"/>
  <c r="AD1310" i="3"/>
  <c r="AD1309" i="3"/>
  <c r="AD1307" i="3"/>
  <c r="AD1326" i="3" l="1"/>
  <c r="AD1327" i="3"/>
  <c r="AD1384" i="3"/>
  <c r="AD1333" i="3"/>
  <c r="AD1332" i="3"/>
  <c r="AD1378" i="3"/>
  <c r="AD1331" i="3"/>
  <c r="AD1334" i="3"/>
  <c r="AD1377" i="3"/>
  <c r="AD1325" i="3"/>
  <c r="AE1370" i="3"/>
  <c r="Q1370" i="3"/>
  <c r="S1370" i="3" s="1"/>
  <c r="U1370" i="3" s="1"/>
  <c r="AD1386" i="3"/>
  <c r="AD1376" i="3"/>
  <c r="AD1372" i="3"/>
  <c r="AD1171" i="3"/>
  <c r="AD236" i="3" l="1"/>
  <c r="AD1338" i="3"/>
  <c r="AI51" i="8" s="1"/>
  <c r="AD1342" i="3"/>
  <c r="AI55" i="8" s="1"/>
  <c r="AD1340" i="3"/>
  <c r="AI53" i="8" s="1"/>
  <c r="AD1341" i="3"/>
  <c r="AI54" i="8" s="1"/>
  <c r="AD1339" i="3"/>
  <c r="AI52" i="8" s="1"/>
  <c r="AD1337" i="3"/>
  <c r="AD1328" i="3"/>
  <c r="AD1375" i="3"/>
  <c r="AD1374" i="3"/>
  <c r="AD1335" i="3"/>
  <c r="AD848" i="3" l="1"/>
  <c r="AD718" i="3" l="1"/>
  <c r="AD690" i="3"/>
  <c r="AD734" i="3" s="1"/>
  <c r="AD638" i="3"/>
  <c r="AD720" i="3" l="1"/>
  <c r="AD580" i="3"/>
  <c r="AD577" i="3"/>
  <c r="AD574" i="3"/>
  <c r="AD565" i="3"/>
  <c r="AD526" i="3"/>
  <c r="AD525" i="3"/>
  <c r="AD520" i="3"/>
  <c r="AD527" i="3" l="1"/>
  <c r="AD375" i="3"/>
  <c r="AD358" i="3"/>
  <c r="AD357" i="3"/>
  <c r="H342" i="3"/>
  <c r="AD333" i="3"/>
  <c r="W333" i="3"/>
  <c r="H333" i="3"/>
  <c r="J333" i="3" s="1"/>
  <c r="L333" i="3" s="1"/>
  <c r="N333" i="3" s="1"/>
  <c r="Q333" i="3" s="1"/>
  <c r="AD294" i="3"/>
  <c r="AD292" i="3"/>
  <c r="W292" i="3"/>
  <c r="H292" i="3"/>
  <c r="J292" i="3" s="1"/>
  <c r="L292" i="3" s="1"/>
  <c r="N292" i="3" s="1"/>
  <c r="Q292" i="3" s="1"/>
  <c r="P343" i="3" l="1"/>
  <c r="J342" i="3"/>
  <c r="L342" i="3" s="1"/>
  <c r="AD343" i="3"/>
  <c r="H343" i="3"/>
  <c r="J343" i="3" s="1"/>
  <c r="L343" i="3" s="1"/>
  <c r="N343" i="3" s="1"/>
  <c r="AE333" i="3"/>
  <c r="AD359" i="3"/>
  <c r="S333" i="3"/>
  <c r="U333" i="3" s="1"/>
  <c r="X333" i="3" s="1"/>
  <c r="W343" i="3"/>
  <c r="AE292" i="3"/>
  <c r="S292" i="3"/>
  <c r="U292" i="3" s="1"/>
  <c r="X292" i="3" s="1"/>
  <c r="Z292" i="3" s="1"/>
  <c r="AD245" i="3"/>
  <c r="AD244" i="3"/>
  <c r="AD87" i="3"/>
  <c r="AD51" i="3"/>
  <c r="AD48" i="3"/>
  <c r="AD42" i="3"/>
  <c r="AD39" i="3"/>
  <c r="AB292" i="3" l="1"/>
  <c r="AF292" i="3" s="1"/>
  <c r="N342" i="3"/>
  <c r="Q342" i="3" s="1"/>
  <c r="AE343" i="3"/>
  <c r="Z333" i="3"/>
  <c r="AB333" i="3" s="1"/>
  <c r="S342" i="3" l="1"/>
  <c r="U342" i="3" s="1"/>
  <c r="X342" i="3" s="1"/>
  <c r="X343" i="3" s="1"/>
  <c r="Q343" i="3"/>
  <c r="S343" i="3" s="1"/>
  <c r="U343" i="3" s="1"/>
  <c r="AF333" i="3"/>
  <c r="Z342" i="3" l="1"/>
  <c r="AB342" i="3" s="1"/>
  <c r="AB343" i="3" s="1"/>
  <c r="Z343" i="3" l="1"/>
  <c r="AF342" i="3" l="1"/>
  <c r="AF343" i="3" s="1"/>
  <c r="H1242" i="3" l="1"/>
  <c r="J1242" i="3" s="1"/>
  <c r="L1242" i="3" s="1"/>
  <c r="N1242" i="3" s="1"/>
  <c r="W1239" i="3" l="1"/>
  <c r="P1239" i="3"/>
  <c r="W1240" i="3" l="1"/>
  <c r="P1240" i="3"/>
  <c r="AE1239" i="3"/>
  <c r="L1239" i="3"/>
  <c r="P1242" i="3"/>
  <c r="Q1242" i="3" s="1"/>
  <c r="S1242" i="3" s="1"/>
  <c r="AE1240" i="3" l="1"/>
  <c r="L1240" i="3"/>
  <c r="N1239" i="3"/>
  <c r="Q1239" i="3" s="1"/>
  <c r="S1239" i="3" s="1"/>
  <c r="W1242" i="3"/>
  <c r="U1242" i="3"/>
  <c r="X1242" i="3" s="1"/>
  <c r="S1240" i="3" l="1"/>
  <c r="Q1240" i="3"/>
  <c r="N1240" i="3"/>
  <c r="U1239" i="3"/>
  <c r="U1240" i="3" s="1"/>
  <c r="W1385" i="3"/>
  <c r="AE1385" i="3" s="1"/>
  <c r="X1239" i="3" l="1"/>
  <c r="X1240" i="3" s="1"/>
  <c r="Z1239" i="3" l="1"/>
  <c r="AB1239" i="3" s="1"/>
  <c r="AB1240" i="3" s="1"/>
  <c r="AD1379" i="3"/>
  <c r="W1374" i="3"/>
  <c r="W1375" i="3"/>
  <c r="W1381" i="3"/>
  <c r="X1374" i="3"/>
  <c r="S1319" i="3"/>
  <c r="U1319" i="3" s="1"/>
  <c r="AD1285" i="3"/>
  <c r="W1171" i="3"/>
  <c r="AE1171" i="3" s="1"/>
  <c r="P1171" i="3"/>
  <c r="H1171" i="3"/>
  <c r="J1171" i="3" s="1"/>
  <c r="Z1240" i="3" l="1"/>
  <c r="Z1374" i="3"/>
  <c r="AB1374" i="3" s="1"/>
  <c r="AE1375" i="3"/>
  <c r="AD1260" i="3"/>
  <c r="AE1374" i="3"/>
  <c r="AD1319" i="3"/>
  <c r="AE1379" i="3"/>
  <c r="AD1380" i="3"/>
  <c r="AD1381" i="3"/>
  <c r="Q1171" i="3"/>
  <c r="S1171" i="3" s="1"/>
  <c r="U1171" i="3" s="1"/>
  <c r="X1171" i="3" s="1"/>
  <c r="Z1171" i="3" s="1"/>
  <c r="L1171" i="3"/>
  <c r="N1171" i="3" s="1"/>
  <c r="W915" i="3"/>
  <c r="AE915" i="3" s="1"/>
  <c r="W914" i="3"/>
  <c r="AE914" i="3" s="1"/>
  <c r="W913" i="3"/>
  <c r="AE913" i="3" s="1"/>
  <c r="H915" i="3"/>
  <c r="H914" i="3"/>
  <c r="AB1171" i="3" l="1"/>
  <c r="AF1171" i="3" s="1"/>
  <c r="AF1239" i="3"/>
  <c r="J914" i="3"/>
  <c r="J915" i="3"/>
  <c r="AE1381" i="3"/>
  <c r="AD1320" i="3"/>
  <c r="AF1240" i="3" l="1"/>
  <c r="AF1374" i="3"/>
  <c r="L915" i="3"/>
  <c r="L914" i="3"/>
  <c r="N914" i="3" l="1"/>
  <c r="N915" i="3"/>
  <c r="W718" i="3"/>
  <c r="AE718" i="3" s="1"/>
  <c r="P718" i="3"/>
  <c r="H718" i="3"/>
  <c r="J718" i="3" s="1"/>
  <c r="Q915" i="3" l="1"/>
  <c r="Q914" i="3"/>
  <c r="H720" i="3"/>
  <c r="L718" i="3"/>
  <c r="N718" i="3" s="1"/>
  <c r="Q718" i="3"/>
  <c r="S718" i="3" s="1"/>
  <c r="W48" i="3"/>
  <c r="AE48" i="3" s="1"/>
  <c r="H48" i="3"/>
  <c r="J48" i="3" s="1"/>
  <c r="L48" i="3" s="1"/>
  <c r="N48" i="3" s="1"/>
  <c r="Q48" i="3" s="1"/>
  <c r="W638" i="3"/>
  <c r="AE638" i="3" s="1"/>
  <c r="H638" i="3"/>
  <c r="J638" i="3" s="1"/>
  <c r="L638" i="3" s="1"/>
  <c r="N638" i="3" s="1"/>
  <c r="Q638" i="3" s="1"/>
  <c r="S914" i="3" l="1"/>
  <c r="S915" i="3"/>
  <c r="U718" i="3"/>
  <c r="X718" i="3" s="1"/>
  <c r="Z718" i="3" s="1"/>
  <c r="S48" i="3"/>
  <c r="U48" i="3" s="1"/>
  <c r="X48" i="3" s="1"/>
  <c r="Z48" i="3" s="1"/>
  <c r="S638" i="3"/>
  <c r="U638" i="3" s="1"/>
  <c r="X638" i="3" s="1"/>
  <c r="Z638" i="3" s="1"/>
  <c r="P638" i="3"/>
  <c r="AB638" i="3" l="1"/>
  <c r="AF638" i="3" s="1"/>
  <c r="AB718" i="3"/>
  <c r="AF718" i="3" s="1"/>
  <c r="AB48" i="3"/>
  <c r="AF48" i="3" s="1"/>
  <c r="U915" i="3"/>
  <c r="U914" i="3"/>
  <c r="X914" i="3" l="1"/>
  <c r="X915" i="3"/>
  <c r="Z915" i="3" l="1"/>
  <c r="AB915" i="3" s="1"/>
  <c r="Z914" i="3"/>
  <c r="AB914" i="3" s="1"/>
  <c r="P520" i="3"/>
  <c r="H520" i="3"/>
  <c r="J520" i="3" s="1"/>
  <c r="L520" i="3" s="1"/>
  <c r="N520" i="3" s="1"/>
  <c r="W520" i="3"/>
  <c r="AE520" i="3" s="1"/>
  <c r="AD511" i="3"/>
  <c r="W511" i="3"/>
  <c r="H511" i="3"/>
  <c r="J511" i="3" s="1"/>
  <c r="AF915" i="3" l="1"/>
  <c r="AF914" i="3"/>
  <c r="AE511" i="3"/>
  <c r="Q520" i="3"/>
  <c r="L511" i="3"/>
  <c r="S520" i="3" l="1"/>
  <c r="U520" i="3" s="1"/>
  <c r="X520" i="3" s="1"/>
  <c r="Z520" i="3" s="1"/>
  <c r="N511" i="3"/>
  <c r="AB520" i="3" l="1"/>
  <c r="AF520" i="3" s="1"/>
  <c r="Q511" i="3"/>
  <c r="S511" i="3" l="1"/>
  <c r="U511" i="3" s="1"/>
  <c r="X511" i="3" s="1"/>
  <c r="Z511" i="3" s="1"/>
  <c r="P511" i="3"/>
  <c r="AB511" i="3" l="1"/>
  <c r="AF511" i="3" s="1"/>
  <c r="AD44" i="3"/>
  <c r="AD246" i="3" l="1"/>
  <c r="W51" i="3"/>
  <c r="AE51" i="3" s="1"/>
  <c r="H44" i="3" l="1"/>
  <c r="J44" i="3" s="1"/>
  <c r="L44" i="3" s="1"/>
  <c r="N44" i="3" s="1"/>
  <c r="Q44" i="3" s="1"/>
  <c r="S44" i="3" l="1"/>
  <c r="U44" i="3" s="1"/>
  <c r="X44" i="3" l="1"/>
  <c r="W44" i="3"/>
  <c r="AE44" i="3" s="1"/>
  <c r="Z44" i="3" l="1"/>
  <c r="X1370" i="3"/>
  <c r="Z1370" i="3" s="1"/>
  <c r="W1373" i="3"/>
  <c r="AE1373" i="3" s="1"/>
  <c r="W1371" i="3"/>
  <c r="AE1371" i="3" s="1"/>
  <c r="W1369" i="3"/>
  <c r="AE1369" i="3" s="1"/>
  <c r="W1324" i="3"/>
  <c r="AE1324" i="3" s="1"/>
  <c r="W1321" i="3"/>
  <c r="AE1321" i="3" s="1"/>
  <c r="W1318" i="3"/>
  <c r="AE1318" i="3" s="1"/>
  <c r="W1317" i="3"/>
  <c r="AE1317" i="3" s="1"/>
  <c r="W1316" i="3"/>
  <c r="AE1316" i="3" s="1"/>
  <c r="AG12" i="8" s="1"/>
  <c r="AG16" i="8" s="1"/>
  <c r="W1311" i="3"/>
  <c r="AE1311" i="3" s="1"/>
  <c r="W1310" i="3"/>
  <c r="AE1310" i="3" s="1"/>
  <c r="W1309" i="3"/>
  <c r="AE1309" i="3" s="1"/>
  <c r="W1307" i="3"/>
  <c r="AB1370" i="3" l="1"/>
  <c r="AF1370" i="3" s="1"/>
  <c r="AB44" i="3"/>
  <c r="AF44" i="3" s="1"/>
  <c r="W1334" i="3"/>
  <c r="W1332" i="3"/>
  <c r="W1333" i="3"/>
  <c r="W1331" i="3"/>
  <c r="W1378" i="3"/>
  <c r="W237" i="3"/>
  <c r="W1377" i="3"/>
  <c r="W1384" i="3"/>
  <c r="W1327" i="3"/>
  <c r="W1326" i="3"/>
  <c r="W1325" i="3"/>
  <c r="AE1372" i="3"/>
  <c r="AD1243" i="3"/>
  <c r="W1386" i="3"/>
  <c r="AE1307" i="3"/>
  <c r="W1376" i="3"/>
  <c r="W1380" i="3"/>
  <c r="AD360" i="3" l="1"/>
  <c r="AD1241" i="3"/>
  <c r="AD1281" i="3"/>
  <c r="AD1277" i="3"/>
  <c r="AD1287" i="3"/>
  <c r="AD1280" i="3"/>
  <c r="AD1283" i="3"/>
  <c r="AD1282" i="3"/>
  <c r="AD1276" i="3"/>
  <c r="AD1279" i="3"/>
  <c r="AD1278" i="3"/>
  <c r="AD1288" i="3"/>
  <c r="AE85" i="9" s="1"/>
  <c r="AE86" i="9" s="1"/>
  <c r="AD1275" i="3"/>
  <c r="AD1274" i="3"/>
  <c r="AD1284" i="3"/>
  <c r="AD1456" i="3"/>
  <c r="AD1454" i="3"/>
  <c r="AD1455" i="3"/>
  <c r="AD1301" i="3"/>
  <c r="AD1292" i="3"/>
  <c r="AD1273" i="3"/>
  <c r="W1342" i="3"/>
  <c r="W1341" i="3"/>
  <c r="AD1294" i="3"/>
  <c r="AD1244" i="3"/>
  <c r="AE1378" i="3"/>
  <c r="AE1334" i="3"/>
  <c r="AE1384" i="3"/>
  <c r="AE1333" i="3"/>
  <c r="AE1377" i="3"/>
  <c r="AE1332" i="3"/>
  <c r="AE1331" i="3"/>
  <c r="AE1325" i="3"/>
  <c r="AE1327" i="3"/>
  <c r="AE1326" i="3"/>
  <c r="W1340" i="3"/>
  <c r="W1339" i="3"/>
  <c r="W1338" i="3"/>
  <c r="W1337" i="3"/>
  <c r="W1328" i="3"/>
  <c r="W236" i="3"/>
  <c r="W1335" i="3"/>
  <c r="AE1376" i="3"/>
  <c r="Z1242" i="3"/>
  <c r="AD1242" i="3"/>
  <c r="AE1242" i="3" s="1"/>
  <c r="AE1386" i="3"/>
  <c r="AE1380" i="3"/>
  <c r="W245" i="3"/>
  <c r="AE245" i="3" s="1"/>
  <c r="W244" i="3"/>
  <c r="AE244" i="3" s="1"/>
  <c r="AB1242" i="3" l="1"/>
  <c r="AF1242" i="3" s="1"/>
  <c r="AE1341" i="3"/>
  <c r="AG54" i="8" s="1"/>
  <c r="AE1342" i="3"/>
  <c r="AG55" i="8" s="1"/>
  <c r="AE236" i="3"/>
  <c r="AE1337" i="3"/>
  <c r="AE1339" i="3"/>
  <c r="AG52" i="8" s="1"/>
  <c r="AE1340" i="3"/>
  <c r="AG53" i="8" s="1"/>
  <c r="AE1338" i="3"/>
  <c r="AG51" i="8" s="1"/>
  <c r="AE1328" i="3"/>
  <c r="AE1335" i="3"/>
  <c r="W246" i="3"/>
  <c r="AE246" i="3" s="1"/>
  <c r="P1371" i="3"/>
  <c r="H1371" i="3"/>
  <c r="J1371" i="3" s="1"/>
  <c r="P1369" i="3"/>
  <c r="H1369" i="3"/>
  <c r="J1369" i="3" s="1"/>
  <c r="L1369" i="3" s="1"/>
  <c r="N1369" i="3" s="1"/>
  <c r="P1385" i="3"/>
  <c r="H1385" i="3"/>
  <c r="P1379" i="3"/>
  <c r="H1379" i="3"/>
  <c r="W1319" i="3"/>
  <c r="AE1319" i="3" s="1"/>
  <c r="AE1320" i="3" s="1"/>
  <c r="P1373" i="3"/>
  <c r="H1373" i="3"/>
  <c r="J1373" i="3" s="1"/>
  <c r="L1373" i="3" s="1"/>
  <c r="N1373" i="3" s="1"/>
  <c r="P1324" i="3"/>
  <c r="H1324" i="3"/>
  <c r="J1324" i="3" s="1"/>
  <c r="L1324" i="3" s="1"/>
  <c r="N1324" i="3" s="1"/>
  <c r="P1321" i="3"/>
  <c r="H1321" i="3"/>
  <c r="P1320" i="3"/>
  <c r="H1320" i="3"/>
  <c r="J1320" i="3" s="1"/>
  <c r="P1318" i="3"/>
  <c r="H1318" i="3"/>
  <c r="J1318" i="3" s="1"/>
  <c r="L1318" i="3" s="1"/>
  <c r="N1318" i="3" s="1"/>
  <c r="P1317" i="3"/>
  <c r="H1317" i="3"/>
  <c r="J1317" i="3" s="1"/>
  <c r="L1317" i="3" s="1"/>
  <c r="N1317" i="3" s="1"/>
  <c r="P1316" i="3"/>
  <c r="H1316" i="3"/>
  <c r="J1316" i="3" s="1"/>
  <c r="L1316" i="3" s="1"/>
  <c r="N1316" i="3" s="1"/>
  <c r="P1311" i="3"/>
  <c r="H1311" i="3"/>
  <c r="J1311" i="3" s="1"/>
  <c r="L1311" i="3" s="1"/>
  <c r="N1311" i="3" s="1"/>
  <c r="P1310" i="3"/>
  <c r="H1310" i="3"/>
  <c r="J1310" i="3" s="1"/>
  <c r="L1310" i="3" s="1"/>
  <c r="N1310" i="3" s="1"/>
  <c r="P1309" i="3"/>
  <c r="H1309" i="3"/>
  <c r="J1309" i="3" s="1"/>
  <c r="L1309" i="3" s="1"/>
  <c r="N1309" i="3" s="1"/>
  <c r="P1307" i="3"/>
  <c r="H1307" i="3"/>
  <c r="P1333" i="3" l="1"/>
  <c r="P1332" i="3"/>
  <c r="P1331" i="3"/>
  <c r="P1334" i="3"/>
  <c r="H1332" i="3"/>
  <c r="H1327" i="3"/>
  <c r="H1333" i="3"/>
  <c r="H1326" i="3"/>
  <c r="H1325" i="3"/>
  <c r="H1331" i="3"/>
  <c r="H1334" i="3"/>
  <c r="P1380" i="3"/>
  <c r="P1381" i="3"/>
  <c r="P237" i="3"/>
  <c r="P1384" i="3"/>
  <c r="P1378" i="3"/>
  <c r="P1377" i="3"/>
  <c r="P1326" i="3"/>
  <c r="P1327" i="3"/>
  <c r="P1325" i="3"/>
  <c r="P1386" i="3"/>
  <c r="P1376" i="3"/>
  <c r="H1378" i="3"/>
  <c r="H1377" i="3"/>
  <c r="J1379" i="3"/>
  <c r="L1379" i="3" s="1"/>
  <c r="H1380" i="3"/>
  <c r="H1381" i="3"/>
  <c r="J1385" i="3"/>
  <c r="H1386" i="3"/>
  <c r="J1307" i="3"/>
  <c r="H1384" i="3"/>
  <c r="J1321" i="3"/>
  <c r="H1376" i="3"/>
  <c r="P1372" i="3"/>
  <c r="W1320" i="3"/>
  <c r="H1372" i="3"/>
  <c r="J1372" i="3" s="1"/>
  <c r="L1372" i="3" s="1"/>
  <c r="W1372" i="3"/>
  <c r="Q1371" i="3"/>
  <c r="S1371" i="3" s="1"/>
  <c r="U1371" i="3" s="1"/>
  <c r="X1371" i="3" s="1"/>
  <c r="Z1371" i="3" s="1"/>
  <c r="L1371" i="3"/>
  <c r="N1371" i="3" s="1"/>
  <c r="Q1369" i="3"/>
  <c r="S1369" i="3" s="1"/>
  <c r="U1369" i="3" s="1"/>
  <c r="X1369" i="3" s="1"/>
  <c r="Z1369" i="3" s="1"/>
  <c r="X1375" i="3"/>
  <c r="Q1324" i="3"/>
  <c r="S1324" i="3" s="1"/>
  <c r="U1324" i="3" s="1"/>
  <c r="X1324" i="3" s="1"/>
  <c r="Z1324" i="3" s="1"/>
  <c r="AB1324" i="3" s="1"/>
  <c r="Q1373" i="3"/>
  <c r="S1373" i="3" s="1"/>
  <c r="U1373" i="3" s="1"/>
  <c r="L1320" i="3"/>
  <c r="N1320" i="3" s="1"/>
  <c r="Q1320" i="3"/>
  <c r="Q1316" i="3"/>
  <c r="Q1317" i="3"/>
  <c r="S1317" i="3" s="1"/>
  <c r="U1317" i="3" s="1"/>
  <c r="X1317" i="3" s="1"/>
  <c r="Z1317" i="3" s="1"/>
  <c r="Q1318" i="3"/>
  <c r="S1318" i="3" s="1"/>
  <c r="U1318" i="3" s="1"/>
  <c r="X1318" i="3" s="1"/>
  <c r="Z1318" i="3" s="1"/>
  <c r="Q1309" i="3"/>
  <c r="S1309" i="3" s="1"/>
  <c r="Q1310" i="3"/>
  <c r="S1310" i="3" s="1"/>
  <c r="U1310" i="3" s="1"/>
  <c r="X1310" i="3" s="1"/>
  <c r="Z1310" i="3" s="1"/>
  <c r="AB1310" i="3" s="1"/>
  <c r="Q1311" i="3"/>
  <c r="S1311" i="3" s="1"/>
  <c r="U1311" i="3" s="1"/>
  <c r="X1311" i="3" s="1"/>
  <c r="Z1311" i="3" s="1"/>
  <c r="AB1311" i="3" s="1"/>
  <c r="S1316" i="3" l="1"/>
  <c r="U1316" i="3" s="1"/>
  <c r="W12" i="8" s="1"/>
  <c r="W16" i="8" s="1"/>
  <c r="S12" i="8"/>
  <c r="AB1369" i="3"/>
  <c r="AF1369" i="3" s="1"/>
  <c r="AB1371" i="3"/>
  <c r="AB1318" i="3"/>
  <c r="AF1318" i="3" s="1"/>
  <c r="AB1317" i="3"/>
  <c r="H1337" i="3"/>
  <c r="P1335" i="3"/>
  <c r="J1327" i="3"/>
  <c r="J1333" i="3"/>
  <c r="J1332" i="3"/>
  <c r="J1326" i="3"/>
  <c r="J1334" i="3"/>
  <c r="J1331" i="3"/>
  <c r="J1325" i="3"/>
  <c r="H1335" i="3"/>
  <c r="Z1375" i="3"/>
  <c r="AB1375" i="3" s="1"/>
  <c r="H1341" i="3"/>
  <c r="I54" i="8" s="1"/>
  <c r="H1342" i="3"/>
  <c r="I55" i="8" s="1"/>
  <c r="AF1311" i="3"/>
  <c r="AF1310" i="3"/>
  <c r="AF1324" i="3"/>
  <c r="N1372" i="3"/>
  <c r="S1320" i="3"/>
  <c r="U1320" i="3" s="1"/>
  <c r="U1309" i="3"/>
  <c r="X1309" i="3" s="1"/>
  <c r="Z1309" i="3" s="1"/>
  <c r="AB1309" i="3" s="1"/>
  <c r="P1328" i="3"/>
  <c r="P1338" i="3"/>
  <c r="U51" i="8" s="1"/>
  <c r="P1339" i="3"/>
  <c r="U52" i="8" s="1"/>
  <c r="P1337" i="3"/>
  <c r="P1340" i="3"/>
  <c r="U53" i="8" s="1"/>
  <c r="P236" i="3"/>
  <c r="L1307" i="3"/>
  <c r="N1379" i="3"/>
  <c r="H1340" i="3"/>
  <c r="I53" i="8" s="1"/>
  <c r="H1339" i="3"/>
  <c r="I52" i="8" s="1"/>
  <c r="H1338" i="3"/>
  <c r="I51" i="8" s="1"/>
  <c r="L1321" i="3"/>
  <c r="J1376" i="3"/>
  <c r="J1386" i="3"/>
  <c r="J1377" i="3"/>
  <c r="Q1379" i="3"/>
  <c r="J1384" i="3"/>
  <c r="J1378" i="3"/>
  <c r="J1381" i="3"/>
  <c r="J1380" i="3"/>
  <c r="Q1385" i="3"/>
  <c r="L1385" i="3"/>
  <c r="Q1321" i="3"/>
  <c r="Q1307" i="3"/>
  <c r="H1328" i="3"/>
  <c r="H236" i="3"/>
  <c r="X1373" i="3"/>
  <c r="Z1373" i="3" s="1"/>
  <c r="Q1372" i="3"/>
  <c r="S1372" i="3" s="1"/>
  <c r="U1372" i="3" s="1"/>
  <c r="X1319" i="3"/>
  <c r="Z1319" i="3" s="1"/>
  <c r="X1316" i="3"/>
  <c r="X1372" i="3"/>
  <c r="Z1372" i="3"/>
  <c r="S16" i="8" l="1"/>
  <c r="U12" i="8"/>
  <c r="AB1372" i="3"/>
  <c r="AF1371" i="3"/>
  <c r="AB1373" i="3"/>
  <c r="AF1373" i="3" s="1"/>
  <c r="AB1319" i="3"/>
  <c r="AF1319" i="3" s="1"/>
  <c r="AF1317" i="3"/>
  <c r="B1308" i="3"/>
  <c r="Q1332" i="3"/>
  <c r="Q1333" i="3"/>
  <c r="Q1331" i="3"/>
  <c r="Q1334" i="3"/>
  <c r="L1380" i="3"/>
  <c r="L1332" i="3"/>
  <c r="L1327" i="3"/>
  <c r="L1333" i="3"/>
  <c r="L1326" i="3"/>
  <c r="L1331" i="3"/>
  <c r="L1334" i="3"/>
  <c r="L1325" i="3"/>
  <c r="L1384" i="3"/>
  <c r="J1335" i="3"/>
  <c r="L1381" i="3"/>
  <c r="M55" i="8"/>
  <c r="J1338" i="3"/>
  <c r="M54" i="8"/>
  <c r="J1337" i="3"/>
  <c r="J1340" i="3"/>
  <c r="J1339" i="3"/>
  <c r="L1378" i="3"/>
  <c r="L1377" i="3"/>
  <c r="AF1309" i="3"/>
  <c r="S1379" i="3"/>
  <c r="Q1380" i="3"/>
  <c r="S1321" i="3"/>
  <c r="U1321" i="3" s="1"/>
  <c r="X1321" i="3" s="1"/>
  <c r="Z1321" i="3" s="1"/>
  <c r="Q1376" i="3"/>
  <c r="S1385" i="3"/>
  <c r="U1385" i="3" s="1"/>
  <c r="X1385" i="3" s="1"/>
  <c r="Z1385" i="3" s="1"/>
  <c r="Q1386" i="3"/>
  <c r="S1307" i="3"/>
  <c r="N1307" i="3"/>
  <c r="N1385" i="3"/>
  <c r="L1386" i="3"/>
  <c r="N1321" i="3"/>
  <c r="L1376" i="3"/>
  <c r="J236" i="3"/>
  <c r="J1328" i="3"/>
  <c r="X1320" i="3"/>
  <c r="Z1320" i="3" s="1"/>
  <c r="Z1316" i="3"/>
  <c r="AB1316" i="3" s="1"/>
  <c r="W1298" i="3"/>
  <c r="Y12" i="8" l="1"/>
  <c r="Y16" i="8" s="1"/>
  <c r="AA12" i="8"/>
  <c r="U16" i="8"/>
  <c r="AB1321" i="3"/>
  <c r="AB1385" i="3"/>
  <c r="AB1320" i="3"/>
  <c r="S1332" i="3"/>
  <c r="S1333" i="3"/>
  <c r="S1331" i="3"/>
  <c r="S1334" i="3"/>
  <c r="Q1335" i="3"/>
  <c r="N1332" i="3"/>
  <c r="N1333" i="3"/>
  <c r="N1334" i="3"/>
  <c r="N1331" i="3"/>
  <c r="L1337" i="3"/>
  <c r="M52" i="8"/>
  <c r="L1339" i="3"/>
  <c r="Q52" i="8" s="1"/>
  <c r="M53" i="8"/>
  <c r="L1340" i="3"/>
  <c r="Q53" i="8" s="1"/>
  <c r="M51" i="8"/>
  <c r="L1338" i="3"/>
  <c r="Q51" i="8" s="1"/>
  <c r="Q54" i="8"/>
  <c r="L1335" i="3"/>
  <c r="AF1375" i="3"/>
  <c r="N1381" i="3"/>
  <c r="Q55" i="8"/>
  <c r="N1325" i="3"/>
  <c r="N1386" i="3"/>
  <c r="L1328" i="3"/>
  <c r="N1376" i="3"/>
  <c r="N1384" i="3"/>
  <c r="Q1384" i="3" s="1"/>
  <c r="S1384" i="3" s="1"/>
  <c r="U1379" i="3"/>
  <c r="S1386" i="3"/>
  <c r="S1376" i="3"/>
  <c r="S1380" i="3"/>
  <c r="U1307" i="3"/>
  <c r="N1378" i="3"/>
  <c r="N1377" i="3"/>
  <c r="N1380" i="3"/>
  <c r="N1327" i="3"/>
  <c r="N1326" i="3"/>
  <c r="L236" i="3"/>
  <c r="AF1372" i="3"/>
  <c r="W1260" i="3"/>
  <c r="W1243" i="3"/>
  <c r="W1235" i="3"/>
  <c r="W1222" i="3"/>
  <c r="AE1222" i="3" s="1"/>
  <c r="AE12" i="8" l="1"/>
  <c r="AA16" i="8"/>
  <c r="AF1385" i="3"/>
  <c r="AF1321" i="3"/>
  <c r="U1332" i="3"/>
  <c r="U1333" i="3"/>
  <c r="U1331" i="3"/>
  <c r="U1334" i="3"/>
  <c r="S1335" i="3"/>
  <c r="N1335" i="3"/>
  <c r="N236" i="3"/>
  <c r="W1241" i="3"/>
  <c r="W1280" i="3"/>
  <c r="AE1235" i="3"/>
  <c r="AE1291" i="3" s="1"/>
  <c r="W1300" i="3"/>
  <c r="W1291" i="3"/>
  <c r="W1292" i="3"/>
  <c r="W1288" i="3"/>
  <c r="W85" i="9" s="1"/>
  <c r="W86" i="9" s="1"/>
  <c r="W1275" i="3"/>
  <c r="W1279" i="3"/>
  <c r="W1284" i="3"/>
  <c r="W1278" i="3"/>
  <c r="W1276" i="3"/>
  <c r="W1281" i="3"/>
  <c r="W1274" i="3"/>
  <c r="W1277" i="3"/>
  <c r="W1282" i="3"/>
  <c r="W1287" i="3"/>
  <c r="W1283" i="3"/>
  <c r="W1454" i="3"/>
  <c r="W1456" i="3"/>
  <c r="W1455" i="3"/>
  <c r="Q1381" i="3"/>
  <c r="Q1377" i="3"/>
  <c r="Q1378" i="3"/>
  <c r="N1340" i="3"/>
  <c r="Q1327" i="3"/>
  <c r="Q1325" i="3"/>
  <c r="Q1341" i="3" s="1"/>
  <c r="S54" i="8" s="1"/>
  <c r="N1339" i="3"/>
  <c r="N1338" i="3"/>
  <c r="N1337" i="3"/>
  <c r="X1379" i="3"/>
  <c r="Z1379" i="3" s="1"/>
  <c r="AB1379" i="3" s="1"/>
  <c r="W1244" i="3"/>
  <c r="W1273" i="3"/>
  <c r="W1294" i="3"/>
  <c r="W1301" i="3"/>
  <c r="X1307" i="3"/>
  <c r="U1380" i="3"/>
  <c r="U1384" i="3"/>
  <c r="U1376" i="3"/>
  <c r="U1386" i="3"/>
  <c r="N1328" i="3"/>
  <c r="Q1326" i="3"/>
  <c r="B1334" i="3"/>
  <c r="AE1260" i="3"/>
  <c r="AF1316" i="3"/>
  <c r="AF1320" i="3" s="1"/>
  <c r="W1299" i="3"/>
  <c r="AE1243" i="3"/>
  <c r="AI12" i="8" l="1"/>
  <c r="AE16" i="8"/>
  <c r="Q1342" i="3"/>
  <c r="S55" i="8" s="1"/>
  <c r="X1376" i="3"/>
  <c r="X1332" i="3"/>
  <c r="X1333" i="3"/>
  <c r="X1334" i="3"/>
  <c r="X1331" i="3"/>
  <c r="AE1456" i="3"/>
  <c r="AE1300" i="3"/>
  <c r="AE1454" i="3"/>
  <c r="AE1241" i="3"/>
  <c r="AE1280" i="3"/>
  <c r="AE1288" i="3"/>
  <c r="AE1287" i="3"/>
  <c r="AE1292" i="3"/>
  <c r="AE1455" i="3"/>
  <c r="S1378" i="3"/>
  <c r="S1377" i="3"/>
  <c r="S1381" i="3"/>
  <c r="S1327" i="3"/>
  <c r="S1325" i="3"/>
  <c r="U1325" i="3" s="1"/>
  <c r="Q236" i="3"/>
  <c r="Q1340" i="3"/>
  <c r="S53" i="8" s="1"/>
  <c r="Q1337" i="3"/>
  <c r="Q1338" i="3"/>
  <c r="S51" i="8" s="1"/>
  <c r="Q1339" i="3"/>
  <c r="S52" i="8" s="1"/>
  <c r="AE1273" i="3"/>
  <c r="AE1294" i="3"/>
  <c r="AE1244" i="3"/>
  <c r="AE1276" i="3"/>
  <c r="AE1278" i="3"/>
  <c r="AE1279" i="3"/>
  <c r="AE1281" i="3"/>
  <c r="AE1282" i="3"/>
  <c r="AE1277" i="3"/>
  <c r="AE1284" i="3"/>
  <c r="AE1274" i="3"/>
  <c r="AE1275" i="3"/>
  <c r="AE1283" i="3"/>
  <c r="AE1301" i="3"/>
  <c r="AF1379" i="3"/>
  <c r="X1386" i="3"/>
  <c r="Z1307" i="3"/>
  <c r="AB1307" i="3" s="1"/>
  <c r="X1384" i="3"/>
  <c r="X1380" i="3"/>
  <c r="U1335" i="3"/>
  <c r="Q1328" i="3"/>
  <c r="S1326" i="3"/>
  <c r="B1335" i="3"/>
  <c r="B1337" i="3"/>
  <c r="AO12" i="8" l="1"/>
  <c r="AM12" i="8"/>
  <c r="AM16" i="8" s="1"/>
  <c r="AI16" i="8"/>
  <c r="AB1332" i="3"/>
  <c r="AB1333" i="3"/>
  <c r="AB1334" i="3"/>
  <c r="AB1331" i="3"/>
  <c r="AB1386" i="3"/>
  <c r="AB1376" i="3"/>
  <c r="AB1380" i="3"/>
  <c r="Z1332" i="3"/>
  <c r="Z1333" i="3"/>
  <c r="Z1334" i="3"/>
  <c r="Z1331" i="3"/>
  <c r="U1378" i="3"/>
  <c r="U1381" i="3"/>
  <c r="X1381" i="3" s="1"/>
  <c r="U1377" i="3"/>
  <c r="U1326" i="3"/>
  <c r="U1327" i="3"/>
  <c r="S236" i="3"/>
  <c r="S1342" i="3"/>
  <c r="S1341" i="3"/>
  <c r="S1339" i="3"/>
  <c r="S1340" i="3"/>
  <c r="S1337" i="3"/>
  <c r="S1338" i="3"/>
  <c r="Z1386" i="3"/>
  <c r="Z1384" i="3"/>
  <c r="AB1384" i="3" s="1"/>
  <c r="Z1376" i="3"/>
  <c r="Z1380" i="3"/>
  <c r="X1335" i="3"/>
  <c r="S1328" i="3"/>
  <c r="AS12" i="8" l="1"/>
  <c r="AO16" i="8"/>
  <c r="AB1335" i="3"/>
  <c r="X1378" i="3"/>
  <c r="Z1381" i="3"/>
  <c r="AB1381" i="3" s="1"/>
  <c r="X1326" i="3"/>
  <c r="U236" i="3"/>
  <c r="U1341" i="3"/>
  <c r="W54" i="8" s="1"/>
  <c r="U1342" i="3"/>
  <c r="W55" i="8" s="1"/>
  <c r="X1327" i="3"/>
  <c r="X1377" i="3"/>
  <c r="U1328" i="3"/>
  <c r="U1338" i="3"/>
  <c r="W51" i="8" s="1"/>
  <c r="U1340" i="3"/>
  <c r="W53" i="8" s="1"/>
  <c r="X1325" i="3"/>
  <c r="U1337" i="3"/>
  <c r="U1339" i="3"/>
  <c r="W52" i="8" s="1"/>
  <c r="Z1335" i="3"/>
  <c r="AF1307" i="3"/>
  <c r="W596" i="3"/>
  <c r="AW12" i="8" l="1"/>
  <c r="AS16" i="8"/>
  <c r="Z1378" i="3"/>
  <c r="AB1378" i="3" s="1"/>
  <c r="Z1327" i="3"/>
  <c r="AB1327" i="3" s="1"/>
  <c r="Z1377" i="3"/>
  <c r="AB1377" i="3" s="1"/>
  <c r="Z1326" i="3"/>
  <c r="AB1326" i="3" s="1"/>
  <c r="X1341" i="3"/>
  <c r="X1342" i="3"/>
  <c r="X1339" i="3"/>
  <c r="X1337" i="3"/>
  <c r="X1328" i="3"/>
  <c r="X236" i="3"/>
  <c r="Z1325" i="3"/>
  <c r="AB1325" i="3" s="1"/>
  <c r="X1338" i="3"/>
  <c r="X1340" i="3"/>
  <c r="AF1384" i="3"/>
  <c r="AF1334" i="3"/>
  <c r="AF1332" i="3"/>
  <c r="AF1333" i="3"/>
  <c r="AF1331" i="3"/>
  <c r="AF1376" i="3"/>
  <c r="AF1386" i="3"/>
  <c r="AF1380" i="3"/>
  <c r="AW16" i="8" l="1"/>
  <c r="BE12" i="8"/>
  <c r="BE16" i="8" s="1"/>
  <c r="BA12" i="8"/>
  <c r="AB1328" i="3"/>
  <c r="AB236" i="3"/>
  <c r="Z1342" i="3"/>
  <c r="AE55" i="8" s="1"/>
  <c r="Z1341" i="3"/>
  <c r="AE54" i="8" s="1"/>
  <c r="AF1381" i="3"/>
  <c r="Z236" i="3"/>
  <c r="Z1338" i="3"/>
  <c r="AE51" i="8" s="1"/>
  <c r="Z1340" i="3"/>
  <c r="AE53" i="8" s="1"/>
  <c r="Z1339" i="3"/>
  <c r="AE52" i="8" s="1"/>
  <c r="Z1328" i="3"/>
  <c r="Z1337" i="3"/>
  <c r="AB1337" i="3" s="1"/>
  <c r="AF1335" i="3"/>
  <c r="W580" i="3"/>
  <c r="AE580" i="3" s="1"/>
  <c r="W577" i="3"/>
  <c r="AE577" i="3" s="1"/>
  <c r="W574" i="3"/>
  <c r="AE574" i="3" s="1"/>
  <c r="BA16" i="8" l="1"/>
  <c r="BC12" i="8"/>
  <c r="BC16" i="8" s="1"/>
  <c r="AB1338" i="3"/>
  <c r="AB1342" i="3"/>
  <c r="AB1339" i="3"/>
  <c r="AB1340" i="3"/>
  <c r="AB1341" i="3"/>
  <c r="AF1378" i="3"/>
  <c r="AF1377" i="3"/>
  <c r="AF1326" i="3"/>
  <c r="AF1327" i="3"/>
  <c r="AF1325" i="3"/>
  <c r="W565" i="3"/>
  <c r="AE565" i="3" s="1"/>
  <c r="AF1341" i="3" l="1"/>
  <c r="AF1342" i="3"/>
  <c r="AF236" i="3"/>
  <c r="AF1340" i="3"/>
  <c r="AF1338" i="3"/>
  <c r="AF1328" i="3"/>
  <c r="AF1337" i="3"/>
  <c r="AF1339" i="3"/>
  <c r="W848" i="3"/>
  <c r="AE848" i="3" s="1"/>
  <c r="W690" i="3"/>
  <c r="AE690" i="3" s="1"/>
  <c r="AE720" i="3" s="1"/>
  <c r="W720" i="3" l="1"/>
  <c r="W734" i="3"/>
  <c r="AE734" i="3" s="1"/>
  <c r="W375" i="3" l="1"/>
  <c r="AE375" i="3" s="1"/>
  <c r="W87" i="3" l="1"/>
  <c r="AE87" i="3" s="1"/>
  <c r="W358" i="3"/>
  <c r="AE358" i="3" s="1"/>
  <c r="W526" i="3" l="1"/>
  <c r="AE526" i="3" s="1"/>
  <c r="W525" i="3"/>
  <c r="AE525" i="3" s="1"/>
  <c r="W537" i="3"/>
  <c r="AE527" i="3" l="1"/>
  <c r="W527" i="3"/>
  <c r="W294" i="3" l="1"/>
  <c r="AE294" i="3" s="1"/>
  <c r="W42" i="3" l="1"/>
  <c r="AE42" i="3" s="1"/>
  <c r="W39" i="3"/>
  <c r="AE39" i="3" s="1"/>
  <c r="J1253" i="3" l="1"/>
  <c r="Q1253" i="3" l="1"/>
  <c r="Q1255" i="3" s="1"/>
  <c r="J1255" i="3"/>
  <c r="L1253" i="3"/>
  <c r="L1255" i="3" s="1"/>
  <c r="W357" i="3"/>
  <c r="S1253" i="3" l="1"/>
  <c r="S1255" i="3" s="1"/>
  <c r="N1253" i="3"/>
  <c r="N1255" i="3" s="1"/>
  <c r="W359" i="3"/>
  <c r="AE357" i="3"/>
  <c r="Q42" i="3"/>
  <c r="H39" i="3"/>
  <c r="J39" i="3" s="1"/>
  <c r="L39" i="3" s="1"/>
  <c r="N39" i="3" s="1"/>
  <c r="Q39" i="3" s="1"/>
  <c r="U1253" i="3" l="1"/>
  <c r="X1253" i="3" s="1"/>
  <c r="Z1253" i="3" s="1"/>
  <c r="AB1253" i="3" s="1"/>
  <c r="AB1255" i="3" s="1"/>
  <c r="AE359" i="3"/>
  <c r="S39" i="3"/>
  <c r="U39" i="3" s="1"/>
  <c r="X39" i="3" s="1"/>
  <c r="Z39" i="3" s="1"/>
  <c r="S42" i="3"/>
  <c r="U42" i="3" s="1"/>
  <c r="X42" i="3" s="1"/>
  <c r="Z42" i="3" s="1"/>
  <c r="AB42" i="3" l="1"/>
  <c r="AB45" i="3" s="1"/>
  <c r="AB39" i="3"/>
  <c r="AB40" i="3" s="1"/>
  <c r="U1255" i="3"/>
  <c r="X1255" i="3"/>
  <c r="Z1255" i="3"/>
  <c r="AF39" i="3" l="1"/>
  <c r="AF42" i="3"/>
  <c r="P274" i="3"/>
  <c r="AF1255" i="3"/>
  <c r="AF1253" i="3"/>
  <c r="P1298" i="3" l="1"/>
  <c r="H1298" i="3"/>
  <c r="J1298" i="3" s="1"/>
  <c r="Q1298" i="3" l="1"/>
  <c r="L1298" i="3"/>
  <c r="N1298" i="3" s="1"/>
  <c r="S1298" i="3" l="1"/>
  <c r="U1298" i="3" s="1"/>
  <c r="X1298" i="3" s="1"/>
  <c r="Z1298" i="3" s="1"/>
  <c r="AB1298" i="3" s="1"/>
  <c r="P1265" i="3" l="1"/>
  <c r="P1260" i="3"/>
  <c r="P1243" i="3"/>
  <c r="P1301" i="3" s="1"/>
  <c r="P1235" i="3"/>
  <c r="P1300" i="3" s="1"/>
  <c r="P1230" i="3"/>
  <c r="P1222" i="3"/>
  <c r="H1285" i="3"/>
  <c r="J1285" i="3" s="1"/>
  <c r="H1271" i="3"/>
  <c r="H1265" i="3"/>
  <c r="H1264" i="3"/>
  <c r="H1262" i="3"/>
  <c r="H1261" i="3"/>
  <c r="H1260" i="3"/>
  <c r="H1243" i="3"/>
  <c r="H1230" i="3"/>
  <c r="J1222" i="3"/>
  <c r="L1222" i="3" s="1"/>
  <c r="N1222" i="3" s="1"/>
  <c r="P1285" i="3"/>
  <c r="W1285" i="3"/>
  <c r="AE1285" i="3" s="1"/>
  <c r="P1280" i="3" l="1"/>
  <c r="P1276" i="3"/>
  <c r="P1283" i="3"/>
  <c r="P1279" i="3"/>
  <c r="P1282" i="3"/>
  <c r="P1278" i="3"/>
  <c r="P1281" i="3"/>
  <c r="P1273" i="3"/>
  <c r="P1234" i="3"/>
  <c r="H1274" i="3"/>
  <c r="H1286" i="3"/>
  <c r="H1284" i="3"/>
  <c r="H1275" i="3"/>
  <c r="H1273" i="3"/>
  <c r="H1278" i="3"/>
  <c r="H1283" i="3"/>
  <c r="H1288" i="3"/>
  <c r="H1282" i="3"/>
  <c r="H1287" i="3"/>
  <c r="H1276" i="3"/>
  <c r="H1280" i="3"/>
  <c r="H1279" i="3"/>
  <c r="H1281" i="3"/>
  <c r="H1277" i="3"/>
  <c r="H1241" i="3"/>
  <c r="P1241" i="3"/>
  <c r="P1291" i="3"/>
  <c r="P1288" i="3"/>
  <c r="Q85" i="9" s="1"/>
  <c r="Q86" i="9" s="1"/>
  <c r="P1287" i="3"/>
  <c r="P1454" i="3"/>
  <c r="P1456" i="3"/>
  <c r="P1455" i="3"/>
  <c r="H1454" i="3"/>
  <c r="H1456" i="3"/>
  <c r="H1455" i="3"/>
  <c r="P1294" i="3"/>
  <c r="P1292" i="3"/>
  <c r="P1244" i="3"/>
  <c r="H1292" i="3"/>
  <c r="H1294" i="3"/>
  <c r="H1234" i="3"/>
  <c r="H1244" i="3"/>
  <c r="H1301" i="3"/>
  <c r="J1262" i="3"/>
  <c r="J1261" i="3"/>
  <c r="J1271" i="3"/>
  <c r="J1230" i="3"/>
  <c r="J1243" i="3"/>
  <c r="H1299" i="3"/>
  <c r="J1264" i="3"/>
  <c r="J1260" i="3"/>
  <c r="J1265" i="3"/>
  <c r="P1286" i="3"/>
  <c r="P1264" i="3"/>
  <c r="P1277" i="3" s="1"/>
  <c r="P1271" i="3"/>
  <c r="P1284" i="3" s="1"/>
  <c r="P1261" i="3"/>
  <c r="P1274" i="3" s="1"/>
  <c r="P1262" i="3"/>
  <c r="P1275" i="3" s="1"/>
  <c r="Q1222" i="3"/>
  <c r="S1222" i="3" s="1"/>
  <c r="U1222" i="3" s="1"/>
  <c r="X1222" i="3" s="1"/>
  <c r="Z1222" i="3" s="1"/>
  <c r="Q1285" i="3"/>
  <c r="L1285" i="3"/>
  <c r="N1285" i="3" s="1"/>
  <c r="P1299" i="3"/>
  <c r="AB1222" i="3" l="1"/>
  <c r="AF1222" i="3" s="1"/>
  <c r="J1301" i="3"/>
  <c r="J1278" i="3"/>
  <c r="J1277" i="3"/>
  <c r="J1273" i="3"/>
  <c r="J1284" i="3"/>
  <c r="L1261" i="3"/>
  <c r="N1261" i="3" s="1"/>
  <c r="J1274" i="3"/>
  <c r="J1280" i="3"/>
  <c r="J1276" i="3"/>
  <c r="J1283" i="3"/>
  <c r="J1281" i="3"/>
  <c r="J1279" i="3"/>
  <c r="J1282" i="3"/>
  <c r="J1292" i="3"/>
  <c r="J1275" i="3"/>
  <c r="J1241" i="3"/>
  <c r="Q1291" i="3"/>
  <c r="Q1300" i="3"/>
  <c r="J1455" i="3"/>
  <c r="J1456" i="3"/>
  <c r="J1454" i="3"/>
  <c r="J1287" i="3"/>
  <c r="J1288" i="3"/>
  <c r="I85" i="9"/>
  <c r="S1285" i="3"/>
  <c r="U1285" i="3" s="1"/>
  <c r="X1285" i="3" s="1"/>
  <c r="Z1285" i="3" s="1"/>
  <c r="S1235" i="3"/>
  <c r="P1289" i="3"/>
  <c r="P256" i="3" s="1"/>
  <c r="J1294" i="3"/>
  <c r="J1234" i="3"/>
  <c r="J1244" i="3"/>
  <c r="L1265" i="3"/>
  <c r="L1271" i="3"/>
  <c r="L1264" i="3"/>
  <c r="L1262" i="3"/>
  <c r="Q1260" i="3"/>
  <c r="H1289" i="3"/>
  <c r="H256" i="3" s="1"/>
  <c r="Q1265" i="3"/>
  <c r="L1260" i="3"/>
  <c r="L1230" i="3"/>
  <c r="J1286" i="3"/>
  <c r="L1243" i="3"/>
  <c r="J1299" i="3"/>
  <c r="Q1261" i="3"/>
  <c r="Q1264" i="3"/>
  <c r="Q1262" i="3"/>
  <c r="Q1271" i="3"/>
  <c r="K86" i="9" l="1"/>
  <c r="AB1285" i="3"/>
  <c r="AF1285" i="3" s="1"/>
  <c r="L1277" i="3"/>
  <c r="L1273" i="3"/>
  <c r="L1284" i="3"/>
  <c r="L1278" i="3"/>
  <c r="L1280" i="3"/>
  <c r="L1276" i="3"/>
  <c r="L1283" i="3"/>
  <c r="L1281" i="3"/>
  <c r="L1279" i="3"/>
  <c r="L1282" i="3"/>
  <c r="L1275" i="3"/>
  <c r="L1274" i="3"/>
  <c r="L1241" i="3"/>
  <c r="S1291" i="3"/>
  <c r="S1300" i="3"/>
  <c r="S1271" i="3"/>
  <c r="S1261" i="3"/>
  <c r="S1262" i="3"/>
  <c r="S1264" i="3"/>
  <c r="S1265" i="3"/>
  <c r="U1265" i="3" s="1"/>
  <c r="X1265" i="3" s="1"/>
  <c r="Z1265" i="3" s="1"/>
  <c r="AB1265" i="3" s="1"/>
  <c r="S1260" i="3"/>
  <c r="U1260" i="3" s="1"/>
  <c r="L1455" i="3"/>
  <c r="L1456" i="3"/>
  <c r="L1454" i="3"/>
  <c r="L1286" i="3"/>
  <c r="L1301" i="3"/>
  <c r="N1262" i="3"/>
  <c r="N1271" i="3"/>
  <c r="L1287" i="3"/>
  <c r="L1288" i="3"/>
  <c r="M85" i="9" s="1"/>
  <c r="M86" i="9" s="1"/>
  <c r="L1292" i="3"/>
  <c r="L1294" i="3"/>
  <c r="L1299" i="3"/>
  <c r="N1260" i="3"/>
  <c r="N1265" i="3"/>
  <c r="N1264" i="3"/>
  <c r="I86" i="9"/>
  <c r="U1235" i="3"/>
  <c r="U1291" i="3" s="1"/>
  <c r="L1234" i="3"/>
  <c r="L1244" i="3"/>
  <c r="J1289" i="3"/>
  <c r="J256" i="3" s="1"/>
  <c r="N1230" i="3"/>
  <c r="Q1230" i="3" s="1"/>
  <c r="S1230" i="3" s="1"/>
  <c r="U1230" i="3" s="1"/>
  <c r="X1230" i="3" s="1"/>
  <c r="Z1230" i="3" s="1"/>
  <c r="N1243" i="3"/>
  <c r="Q1243" i="3" s="1"/>
  <c r="AB1230" i="3" l="1"/>
  <c r="AF1230" i="3" s="1"/>
  <c r="Q1275" i="3"/>
  <c r="AF1265" i="3"/>
  <c r="S1243" i="3"/>
  <c r="S1280" i="3" s="1"/>
  <c r="Q1292" i="3"/>
  <c r="Q1288" i="3"/>
  <c r="Q1241" i="3"/>
  <c r="Q1278" i="3"/>
  <c r="Q1284" i="3"/>
  <c r="Q1280" i="3"/>
  <c r="Q1276" i="3"/>
  <c r="Q1283" i="3"/>
  <c r="Q1281" i="3"/>
  <c r="Q1279" i="3"/>
  <c r="Q1282" i="3"/>
  <c r="Q1286" i="3"/>
  <c r="Q1299" i="3"/>
  <c r="Q1244" i="3"/>
  <c r="Q1294" i="3"/>
  <c r="Q1287" i="3"/>
  <c r="Q1273" i="3"/>
  <c r="Q1277" i="3"/>
  <c r="Q1274" i="3"/>
  <c r="N1281" i="3"/>
  <c r="N1277" i="3"/>
  <c r="N1273" i="3"/>
  <c r="N1284" i="3"/>
  <c r="N1280" i="3"/>
  <c r="N1276" i="3"/>
  <c r="N1283" i="3"/>
  <c r="N1279" i="3"/>
  <c r="N1275" i="3"/>
  <c r="N1282" i="3"/>
  <c r="N1278" i="3"/>
  <c r="N1274" i="3"/>
  <c r="N1241" i="3"/>
  <c r="U1300" i="3"/>
  <c r="N1454" i="3"/>
  <c r="Q1454" i="3" s="1"/>
  <c r="N1299" i="3"/>
  <c r="N1294" i="3"/>
  <c r="N1292" i="3"/>
  <c r="N1287" i="3"/>
  <c r="N1288" i="3"/>
  <c r="N1456" i="3"/>
  <c r="Q1456" i="3" s="1"/>
  <c r="N1286" i="3"/>
  <c r="N1301" i="3"/>
  <c r="Q1301" i="3" s="1"/>
  <c r="N1455" i="3"/>
  <c r="Q1455" i="3" s="1"/>
  <c r="X1235" i="3"/>
  <c r="N1234" i="3"/>
  <c r="N1244" i="3"/>
  <c r="U1264" i="3"/>
  <c r="X1264" i="3" s="1"/>
  <c r="Z1264" i="3" s="1"/>
  <c r="AB1264" i="3" s="1"/>
  <c r="U1261" i="3"/>
  <c r="X1261" i="3" s="1"/>
  <c r="Z1261" i="3" s="1"/>
  <c r="AB1261" i="3" s="1"/>
  <c r="L1289" i="3"/>
  <c r="L256" i="3" s="1"/>
  <c r="U1271" i="3"/>
  <c r="X1271" i="3" s="1"/>
  <c r="Z1271" i="3" s="1"/>
  <c r="AB1271" i="3" s="1"/>
  <c r="U1262" i="3"/>
  <c r="X1262" i="3" s="1"/>
  <c r="Z1262" i="3" s="1"/>
  <c r="AB1262" i="3" s="1"/>
  <c r="X1260" i="3"/>
  <c r="Z1260" i="3" s="1"/>
  <c r="AB1260" i="3" s="1"/>
  <c r="S1294" i="3" l="1"/>
  <c r="S1241" i="3"/>
  <c r="U1243" i="3"/>
  <c r="U1280" i="3" s="1"/>
  <c r="S1282" i="3"/>
  <c r="S1275" i="3"/>
  <c r="S1455" i="3"/>
  <c r="S1454" i="3"/>
  <c r="S1288" i="3"/>
  <c r="S85" i="9" s="1"/>
  <c r="S86" i="9" s="1"/>
  <c r="S1278" i="3"/>
  <c r="S1279" i="3"/>
  <c r="S1286" i="3"/>
  <c r="S1276" i="3"/>
  <c r="S1292" i="3"/>
  <c r="S1299" i="3"/>
  <c r="S1277" i="3"/>
  <c r="S1273" i="3"/>
  <c r="S1283" i="3"/>
  <c r="S1274" i="3"/>
  <c r="S1284" i="3"/>
  <c r="S1281" i="3"/>
  <c r="S1244" i="3"/>
  <c r="S1456" i="3"/>
  <c r="S1287" i="3"/>
  <c r="AF1262" i="3"/>
  <c r="AF1264" i="3"/>
  <c r="AF1271" i="3"/>
  <c r="AF1261" i="3"/>
  <c r="Q1289" i="3"/>
  <c r="Q256" i="3" s="1"/>
  <c r="X1300" i="3"/>
  <c r="X1291" i="3"/>
  <c r="S1301" i="3"/>
  <c r="Q1234" i="3"/>
  <c r="Z1235" i="3"/>
  <c r="AB1235" i="3" s="1"/>
  <c r="N1289" i="3"/>
  <c r="N256" i="3" s="1"/>
  <c r="AB1291" i="3" l="1"/>
  <c r="U1454" i="3"/>
  <c r="U1456" i="3"/>
  <c r="U1276" i="3"/>
  <c r="U1288" i="3"/>
  <c r="U1274" i="3"/>
  <c r="U1275" i="3"/>
  <c r="U1279" i="3"/>
  <c r="S1289" i="3"/>
  <c r="S256" i="3" s="1"/>
  <c r="U1299" i="3"/>
  <c r="U1273" i="3"/>
  <c r="U1283" i="3"/>
  <c r="U1284" i="3"/>
  <c r="U1278" i="3"/>
  <c r="U1287" i="3"/>
  <c r="U1241" i="3"/>
  <c r="U1286" i="3"/>
  <c r="U1455" i="3"/>
  <c r="X1243" i="3"/>
  <c r="X1273" i="3" s="1"/>
  <c r="U1282" i="3"/>
  <c r="U1244" i="3"/>
  <c r="U1277" i="3"/>
  <c r="U1281" i="3"/>
  <c r="U1292" i="3"/>
  <c r="U1294" i="3"/>
  <c r="W1286" i="3"/>
  <c r="W1234" i="3"/>
  <c r="Z1291" i="3"/>
  <c r="Z1300" i="3"/>
  <c r="S1234" i="3"/>
  <c r="U1234" i="3" s="1"/>
  <c r="U1301" i="3"/>
  <c r="AB1300" i="3" l="1"/>
  <c r="X1286" i="3"/>
  <c r="X1294" i="3"/>
  <c r="U1289" i="3"/>
  <c r="U256" i="3" s="1"/>
  <c r="X1244" i="3"/>
  <c r="X1287" i="3"/>
  <c r="X1299" i="3"/>
  <c r="X1292" i="3"/>
  <c r="X1288" i="3"/>
  <c r="X1279" i="3"/>
  <c r="X1456" i="3"/>
  <c r="X1276" i="3"/>
  <c r="X1277" i="3"/>
  <c r="X1282" i="3"/>
  <c r="X1275" i="3"/>
  <c r="X1454" i="3"/>
  <c r="Z1243" i="3"/>
  <c r="X1241" i="3"/>
  <c r="X1284" i="3"/>
  <c r="X1281" i="3"/>
  <c r="X1280" i="3"/>
  <c r="X1278" i="3"/>
  <c r="X1274" i="3"/>
  <c r="X1283" i="3"/>
  <c r="X1455" i="3"/>
  <c r="W1289" i="3"/>
  <c r="W256" i="3" s="1"/>
  <c r="AF1235" i="3"/>
  <c r="AF1291" i="3" s="1"/>
  <c r="X1234" i="3"/>
  <c r="X1301" i="3"/>
  <c r="AF1260" i="3"/>
  <c r="AA85" i="9" l="1"/>
  <c r="AA86" i="9" s="1"/>
  <c r="Y85" i="9"/>
  <c r="Y86" i="9" s="1"/>
  <c r="AB1243" i="3"/>
  <c r="AB1280" i="3"/>
  <c r="AB1276" i="3"/>
  <c r="AB1283" i="3"/>
  <c r="AB1281" i="3"/>
  <c r="AB1279" i="3"/>
  <c r="AB1282" i="3"/>
  <c r="AB1278" i="3"/>
  <c r="AB1284" i="3"/>
  <c r="AB1277" i="3"/>
  <c r="Z1301" i="3"/>
  <c r="Z1276" i="3"/>
  <c r="Z1241" i="3"/>
  <c r="Z1299" i="3"/>
  <c r="X1289" i="3"/>
  <c r="X256" i="3" s="1"/>
  <c r="Z1287" i="3"/>
  <c r="Z1288" i="3"/>
  <c r="Z1274" i="3"/>
  <c r="Z1278" i="3"/>
  <c r="Z1280" i="3"/>
  <c r="Z1282" i="3"/>
  <c r="Z1456" i="3"/>
  <c r="Z1292" i="3"/>
  <c r="Z1244" i="3"/>
  <c r="Z1275" i="3"/>
  <c r="Z1279" i="3"/>
  <c r="Z1455" i="3"/>
  <c r="Z1454" i="3"/>
  <c r="Z1277" i="3"/>
  <c r="Z1283" i="3"/>
  <c r="Z1284" i="3"/>
  <c r="Z1273" i="3"/>
  <c r="Z1281" i="3"/>
  <c r="Z1294" i="3"/>
  <c r="Z1286" i="3"/>
  <c r="AF1300" i="3"/>
  <c r="Z1234" i="3"/>
  <c r="AB1234" i="3" s="1"/>
  <c r="W360" i="3"/>
  <c r="AB1455" i="3" l="1"/>
  <c r="AB1454" i="3"/>
  <c r="AB1456" i="3"/>
  <c r="AB1301" i="3"/>
  <c r="AB1241" i="3"/>
  <c r="AB1244" i="3"/>
  <c r="AB1287" i="3"/>
  <c r="AB1288" i="3"/>
  <c r="AB1292" i="3"/>
  <c r="AB1294" i="3"/>
  <c r="AB1299" i="3"/>
  <c r="AB1273" i="3"/>
  <c r="AB1286" i="3"/>
  <c r="AB1274" i="3"/>
  <c r="AB1275" i="3"/>
  <c r="AF1243" i="3"/>
  <c r="AF1287" i="3" s="1"/>
  <c r="Z1289" i="3"/>
  <c r="Z256" i="3" s="1"/>
  <c r="AE1286" i="3"/>
  <c r="AB1289" i="3" l="1"/>
  <c r="AB256" i="3" s="1"/>
  <c r="AF1283" i="3"/>
  <c r="AF1273" i="3"/>
  <c r="AF1294" i="3"/>
  <c r="AF1288" i="3"/>
  <c r="AF1244" i="3"/>
  <c r="AF1280" i="3"/>
  <c r="AF1292" i="3"/>
  <c r="AF1301" i="3"/>
  <c r="AF1241" i="3"/>
  <c r="A1236" i="3"/>
  <c r="AF1275" i="3"/>
  <c r="AF1277" i="3"/>
  <c r="AF1284" i="3"/>
  <c r="AF1278" i="3"/>
  <c r="AF1274" i="3"/>
  <c r="AF1282" i="3"/>
  <c r="AF1279" i="3"/>
  <c r="AF1276" i="3"/>
  <c r="AF1281" i="3"/>
  <c r="AF1455" i="3"/>
  <c r="AF1454" i="3"/>
  <c r="AF1456" i="3"/>
  <c r="AD1234" i="3"/>
  <c r="AD1286" i="3"/>
  <c r="AE1289" i="3"/>
  <c r="AE256" i="3" s="1"/>
  <c r="AF1234" i="3"/>
  <c r="P1135" i="3"/>
  <c r="P1297" i="3" s="1"/>
  <c r="P913" i="3"/>
  <c r="P847" i="3"/>
  <c r="AE1234" i="3" l="1"/>
  <c r="AF1286" i="3"/>
  <c r="AD1289" i="3"/>
  <c r="AD256" i="3" s="1"/>
  <c r="P1142" i="3"/>
  <c r="P1144" i="3"/>
  <c r="P1146" i="3" s="1"/>
  <c r="P1296" i="3"/>
  <c r="P1179" i="3"/>
  <c r="P1177" i="3"/>
  <c r="P1176" i="3"/>
  <c r="P848" i="3"/>
  <c r="P849" i="3" s="1"/>
  <c r="P1141" i="3"/>
  <c r="AF1289" i="3" l="1"/>
  <c r="AF256" i="3" s="1"/>
  <c r="P1172" i="3"/>
  <c r="P1136" i="3"/>
  <c r="P1169" i="3"/>
  <c r="P723" i="3"/>
  <c r="P690" i="3"/>
  <c r="H690" i="3"/>
  <c r="J690" i="3" l="1"/>
  <c r="Q690" i="3" s="1"/>
  <c r="P734" i="3"/>
  <c r="P720" i="3"/>
  <c r="H734" i="3"/>
  <c r="P680" i="3"/>
  <c r="P681" i="3" s="1"/>
  <c r="P677" i="3"/>
  <c r="P671" i="3"/>
  <c r="P678" i="3" l="1"/>
  <c r="P682" i="3" s="1"/>
  <c r="P687" i="3" s="1"/>
  <c r="J734" i="3"/>
  <c r="Q734" i="3" s="1"/>
  <c r="S690" i="3"/>
  <c r="Q720" i="3"/>
  <c r="L690" i="3"/>
  <c r="J720" i="3"/>
  <c r="P532" i="3"/>
  <c r="P531" i="3"/>
  <c r="P526" i="3"/>
  <c r="P525" i="3"/>
  <c r="P519" i="3"/>
  <c r="P518" i="3"/>
  <c r="P517" i="3"/>
  <c r="P499" i="3"/>
  <c r="P494" i="3"/>
  <c r="P489" i="3"/>
  <c r="P484" i="3"/>
  <c r="P485" i="3"/>
  <c r="P647" i="3" l="1"/>
  <c r="P646" i="3"/>
  <c r="P648" i="3"/>
  <c r="P643" i="3"/>
  <c r="P644" i="3"/>
  <c r="P645" i="3"/>
  <c r="P504" i="3"/>
  <c r="S734" i="3"/>
  <c r="N690" i="3"/>
  <c r="N720" i="3" s="1"/>
  <c r="L720" i="3"/>
  <c r="L734" i="3"/>
  <c r="P521" i="3"/>
  <c r="U690" i="3"/>
  <c r="S720" i="3"/>
  <c r="P527" i="3"/>
  <c r="P486" i="3"/>
  <c r="P487" i="3" s="1"/>
  <c r="P491" i="3"/>
  <c r="P501" i="3"/>
  <c r="P496" i="3"/>
  <c r="P642" i="3" l="1"/>
  <c r="N734" i="3"/>
  <c r="U734" i="3"/>
  <c r="X690" i="3"/>
  <c r="U720" i="3"/>
  <c r="P453" i="3"/>
  <c r="P454" i="3" s="1"/>
  <c r="P455" i="3" l="1"/>
  <c r="Z690" i="3"/>
  <c r="AB690" i="3" s="1"/>
  <c r="AB720" i="3" s="1"/>
  <c r="X720" i="3"/>
  <c r="X734" i="3"/>
  <c r="Z734" i="3" l="1"/>
  <c r="AB734" i="3" s="1"/>
  <c r="Z720" i="3"/>
  <c r="AF690" i="3" l="1"/>
  <c r="AF720" i="3" s="1"/>
  <c r="AF734" i="3" l="1"/>
  <c r="P580" i="3"/>
  <c r="H580" i="3"/>
  <c r="P565" i="3"/>
  <c r="H565" i="3"/>
  <c r="P577" i="3"/>
  <c r="P574" i="3"/>
  <c r="J580" i="3" l="1"/>
  <c r="Q580" i="3" s="1"/>
  <c r="J565" i="3"/>
  <c r="Q565" i="3" s="1"/>
  <c r="L580" i="3" l="1"/>
  <c r="N580" i="3" s="1"/>
  <c r="L565" i="3"/>
  <c r="N565" i="3" s="1"/>
  <c r="S565" i="3"/>
  <c r="U565" i="3" s="1"/>
  <c r="X565" i="3" s="1"/>
  <c r="Z565" i="3" s="1"/>
  <c r="S580" i="3"/>
  <c r="U580" i="3" s="1"/>
  <c r="AB565" i="3" l="1"/>
  <c r="X580" i="3"/>
  <c r="Z580" i="3" s="1"/>
  <c r="AB580" i="3" l="1"/>
  <c r="AF565" i="3"/>
  <c r="H358" i="3"/>
  <c r="J358" i="3" s="1"/>
  <c r="L358" i="3" s="1"/>
  <c r="N358" i="3" s="1"/>
  <c r="Q358" i="3" s="1"/>
  <c r="H357" i="3"/>
  <c r="AF580" i="3" l="1"/>
  <c r="S358" i="3"/>
  <c r="U358" i="3" s="1"/>
  <c r="X358" i="3" s="1"/>
  <c r="Z358" i="3" s="1"/>
  <c r="H359" i="3"/>
  <c r="J357" i="3"/>
  <c r="AB358" i="3" l="1"/>
  <c r="AF358" i="3" s="1"/>
  <c r="J359" i="3"/>
  <c r="L357" i="3"/>
  <c r="L359" i="3" l="1"/>
  <c r="N357" i="3"/>
  <c r="N359" i="3" l="1"/>
  <c r="Q357" i="3"/>
  <c r="Q359" i="3" l="1"/>
  <c r="P359" i="3"/>
  <c r="S357" i="3"/>
  <c r="S359" i="3" l="1"/>
  <c r="U357" i="3"/>
  <c r="U359" i="3" l="1"/>
  <c r="X357" i="3"/>
  <c r="X359" i="3" l="1"/>
  <c r="Z357" i="3"/>
  <c r="AB357" i="3" s="1"/>
  <c r="AB359" i="3" s="1"/>
  <c r="Z359" i="3" l="1"/>
  <c r="AF357" i="3" l="1"/>
  <c r="AF359" i="3" s="1"/>
  <c r="H904" i="3" l="1"/>
  <c r="J904" i="3" s="1"/>
  <c r="L904" i="3" s="1"/>
  <c r="N904" i="3" s="1"/>
  <c r="Q904" i="3" l="1"/>
  <c r="P246" i="3"/>
  <c r="S904" i="3" l="1"/>
  <c r="U904" i="3" l="1"/>
  <c r="O113" i="17"/>
  <c r="O115" i="17" s="1"/>
  <c r="X904" i="3" l="1"/>
  <c r="Z904" i="3" l="1"/>
  <c r="AB904" i="3" s="1"/>
  <c r="H375" i="3"/>
  <c r="J375" i="3" s="1"/>
  <c r="L375" i="3" s="1"/>
  <c r="N375" i="3" s="1"/>
  <c r="Q375" i="3" s="1"/>
  <c r="P331" i="3" l="1"/>
  <c r="AF904" i="3"/>
  <c r="P375" i="3"/>
  <c r="S375" i="3"/>
  <c r="U375" i="3" s="1"/>
  <c r="X375" i="3" s="1"/>
  <c r="Z375" i="3" s="1"/>
  <c r="AB375" i="3" l="1"/>
  <c r="AF375" i="3" s="1"/>
  <c r="H294" i="3"/>
  <c r="J294" i="3" s="1"/>
  <c r="L294" i="3" s="1"/>
  <c r="N294" i="3" s="1"/>
  <c r="Q294" i="3" s="1"/>
  <c r="S294" i="3" l="1"/>
  <c r="U294" i="3" s="1"/>
  <c r="X294" i="3" s="1"/>
  <c r="Z294" i="3" s="1"/>
  <c r="H296" i="3"/>
  <c r="J296" i="3" s="1"/>
  <c r="L296" i="3" s="1"/>
  <c r="AB294" i="3" l="1"/>
  <c r="AF294" i="3" s="1"/>
  <c r="H848" i="3"/>
  <c r="J848" i="3" s="1"/>
  <c r="H849" i="3" l="1"/>
  <c r="J849" i="3" s="1"/>
  <c r="L848" i="3"/>
  <c r="N848" i="3" s="1"/>
  <c r="Q848" i="3" s="1"/>
  <c r="S848" i="3" l="1"/>
  <c r="U848" i="3" s="1"/>
  <c r="X848" i="3" s="1"/>
  <c r="Z848" i="3" s="1"/>
  <c r="AB848" i="3" s="1"/>
  <c r="AF848" i="3"/>
  <c r="H577" i="3" l="1"/>
  <c r="H574" i="3"/>
  <c r="J574" i="3" l="1"/>
  <c r="Q574" i="3" s="1"/>
  <c r="J577" i="3"/>
  <c r="L577" i="3" s="1"/>
  <c r="N577" i="3" s="1"/>
  <c r="K113" i="17" l="1"/>
  <c r="K115" i="17" s="1"/>
  <c r="L574" i="3"/>
  <c r="N574" i="3" s="1"/>
  <c r="Q577" i="3"/>
  <c r="S574" i="3"/>
  <c r="U574" i="3" s="1"/>
  <c r="X574" i="3" s="1"/>
  <c r="Z574" i="3" s="1"/>
  <c r="AB574" i="3" l="1"/>
  <c r="S577" i="3"/>
  <c r="U577" i="3" s="1"/>
  <c r="X577" i="3" s="1"/>
  <c r="Z577" i="3" s="1"/>
  <c r="AB577" i="3" l="1"/>
  <c r="AF574" i="3"/>
  <c r="J89" i="3"/>
  <c r="H87" i="3"/>
  <c r="J87" i="3" s="1"/>
  <c r="L87" i="3" s="1"/>
  <c r="N87" i="3" s="1"/>
  <c r="AF577" i="3" l="1"/>
  <c r="L89" i="3"/>
  <c r="Q87" i="3"/>
  <c r="N843" i="3"/>
  <c r="Q843" i="3" l="1"/>
  <c r="S843" i="3" s="1"/>
  <c r="S87" i="3"/>
  <c r="N89" i="3"/>
  <c r="Q89" i="3" s="1"/>
  <c r="U87" i="3" l="1"/>
  <c r="X87" i="3" s="1"/>
  <c r="U843" i="3"/>
  <c r="S89" i="3"/>
  <c r="N828" i="3"/>
  <c r="N827" i="3"/>
  <c r="H723" i="3"/>
  <c r="H721" i="3"/>
  <c r="X843" i="3" l="1"/>
  <c r="Z843" i="3" s="1"/>
  <c r="AB843" i="3" s="1"/>
  <c r="AF843" i="3" s="1"/>
  <c r="U89" i="3"/>
  <c r="Q827" i="3"/>
  <c r="S827" i="3" s="1"/>
  <c r="Q828" i="3"/>
  <c r="S828" i="3" s="1"/>
  <c r="Z87" i="3"/>
  <c r="AB87" i="3" s="1"/>
  <c r="J723" i="3"/>
  <c r="H724" i="3"/>
  <c r="J721" i="3"/>
  <c r="J722" i="3" s="1"/>
  <c r="H722" i="3"/>
  <c r="H245" i="3"/>
  <c r="J245" i="3" s="1"/>
  <c r="L245" i="3" s="1"/>
  <c r="N245" i="3" s="1"/>
  <c r="Q245" i="3" s="1"/>
  <c r="H244" i="3"/>
  <c r="J244" i="3" s="1"/>
  <c r="L244" i="3" s="1"/>
  <c r="N244" i="3" s="1"/>
  <c r="Q244" i="3" s="1"/>
  <c r="X89" i="3" l="1"/>
  <c r="Z89" i="3" s="1"/>
  <c r="AB89" i="3" s="1"/>
  <c r="AF87" i="3"/>
  <c r="Q723" i="3"/>
  <c r="J724" i="3"/>
  <c r="S245" i="3"/>
  <c r="U245" i="3" s="1"/>
  <c r="X245" i="3" s="1"/>
  <c r="Z245" i="3" s="1"/>
  <c r="S244" i="3"/>
  <c r="U244" i="3" s="1"/>
  <c r="X244" i="3" s="1"/>
  <c r="H246" i="3"/>
  <c r="J246" i="3" s="1"/>
  <c r="L246" i="3" s="1"/>
  <c r="N246" i="3" s="1"/>
  <c r="Q246" i="3" s="1"/>
  <c r="AB245" i="3" l="1"/>
  <c r="AF245" i="3" s="1"/>
  <c r="AF89" i="3"/>
  <c r="U827" i="3"/>
  <c r="U828" i="3"/>
  <c r="X246" i="3"/>
  <c r="Z244" i="3"/>
  <c r="AB244" i="3" s="1"/>
  <c r="U246" i="3"/>
  <c r="S246" i="3"/>
  <c r="AB246" i="3" l="1"/>
  <c r="X828" i="3"/>
  <c r="Z828" i="3" s="1"/>
  <c r="AB828" i="3" s="1"/>
  <c r="AF828" i="3" s="1"/>
  <c r="X827" i="3"/>
  <c r="Z827" i="3" s="1"/>
  <c r="AB827" i="3" s="1"/>
  <c r="AF827" i="3" s="1"/>
  <c r="Z246" i="3"/>
  <c r="H526" i="3"/>
  <c r="J526" i="3" s="1"/>
  <c r="L526" i="3" s="1"/>
  <c r="N526" i="3" s="1"/>
  <c r="Q526" i="3" s="1"/>
  <c r="H525" i="3"/>
  <c r="J525" i="3" s="1"/>
  <c r="L525" i="3" s="1"/>
  <c r="AF246" i="3" l="1"/>
  <c r="AF244" i="3"/>
  <c r="S526" i="3"/>
  <c r="U526" i="3" s="1"/>
  <c r="X526" i="3" s="1"/>
  <c r="Z526" i="3" s="1"/>
  <c r="N525" i="3"/>
  <c r="L527" i="3"/>
  <c r="AB526" i="3" l="1"/>
  <c r="AF526" i="3" s="1"/>
  <c r="N527" i="3"/>
  <c r="Q525" i="3"/>
  <c r="S525" i="3" l="1"/>
  <c r="Q527" i="3"/>
  <c r="S527" i="3" l="1"/>
  <c r="U525" i="3"/>
  <c r="U527" i="3" l="1"/>
  <c r="X525" i="3"/>
  <c r="Z525" i="3" s="1"/>
  <c r="AB525" i="3" s="1"/>
  <c r="AB527" i="3" s="1"/>
  <c r="Z527" i="3" l="1"/>
  <c r="X527" i="3"/>
  <c r="AF525" i="3" l="1"/>
  <c r="AF527" i="3" s="1"/>
  <c r="H311" i="3" l="1"/>
  <c r="H51" i="3"/>
  <c r="J51" i="3" l="1"/>
  <c r="L51" i="3" s="1"/>
  <c r="N51" i="3" s="1"/>
  <c r="Q51" i="3" s="1"/>
  <c r="H527" i="3"/>
  <c r="J527" i="3" s="1"/>
  <c r="S51" i="3" l="1"/>
  <c r="U51" i="3" s="1"/>
  <c r="X51" i="3" s="1"/>
  <c r="Z51" i="3" l="1"/>
  <c r="AB51" i="3" s="1"/>
  <c r="AF51" i="3" l="1"/>
  <c r="W320" i="3" l="1"/>
  <c r="H320" i="3"/>
  <c r="J320" i="3" l="1"/>
  <c r="L320" i="3" l="1"/>
  <c r="N320" i="3" s="1"/>
  <c r="Q320" i="3" s="1"/>
  <c r="S320" i="3" s="1"/>
  <c r="U320" i="3" s="1"/>
  <c r="X320" i="3" s="1"/>
  <c r="Z320" i="3" l="1"/>
  <c r="AB320" i="3" l="1"/>
  <c r="AD661" i="3"/>
  <c r="AD639" i="3"/>
  <c r="AD637" i="3"/>
  <c r="AD634" i="3"/>
  <c r="AD633" i="3"/>
  <c r="AD632" i="3"/>
  <c r="AD631" i="3"/>
  <c r="AD535" i="3"/>
  <c r="AD569" i="3" s="1"/>
  <c r="AD624" i="3"/>
  <c r="AD626" i="3"/>
  <c r="AF320" i="3" l="1"/>
  <c r="AD640" i="3"/>
  <c r="AD235" i="3" s="1"/>
  <c r="AD662" i="3"/>
  <c r="AD630" i="3"/>
  <c r="AD656" i="3"/>
  <c r="AD655" i="3"/>
  <c r="AD654" i="3"/>
  <c r="AD657" i="3"/>
  <c r="AD544" i="3"/>
  <c r="AD540" i="3"/>
  <c r="AD542" i="3"/>
  <c r="AD546" i="3"/>
  <c r="AD548" i="3"/>
  <c r="AD575" i="3"/>
  <c r="AD581" i="3"/>
  <c r="AD566" i="3"/>
  <c r="AD578" i="3"/>
  <c r="AD625" i="3"/>
  <c r="AD663" i="3"/>
  <c r="AD234" i="3" l="1"/>
  <c r="AD636" i="3"/>
  <c r="AD320" i="3" l="1"/>
  <c r="AE320" i="3" s="1"/>
  <c r="AD909" i="3" l="1"/>
  <c r="AD752" i="3"/>
  <c r="AD1135" i="3"/>
  <c r="AD723" i="3"/>
  <c r="AD721" i="3"/>
  <c r="AD722" i="3" s="1"/>
  <c r="AD716" i="3"/>
  <c r="AD712" i="3"/>
  <c r="AD710" i="3"/>
  <c r="AD708" i="3"/>
  <c r="AD707" i="3"/>
  <c r="AD705" i="3"/>
  <c r="AD701" i="3"/>
  <c r="AD699" i="3"/>
  <c r="AD698" i="3"/>
  <c r="AD696" i="3"/>
  <c r="AD695" i="3"/>
  <c r="AD694" i="3"/>
  <c r="AD693" i="3"/>
  <c r="AD692" i="3"/>
  <c r="AD619" i="3"/>
  <c r="AD618" i="3"/>
  <c r="AD609" i="3"/>
  <c r="AD608" i="3"/>
  <c r="AD607" i="3"/>
  <c r="AD606" i="3"/>
  <c r="AD605" i="3"/>
  <c r="AD604" i="3"/>
  <c r="AD603" i="3"/>
  <c r="AD602" i="3"/>
  <c r="AD601" i="3"/>
  <c r="AD600" i="3"/>
  <c r="AD599" i="3"/>
  <c r="AD596" i="3"/>
  <c r="AD586" i="3"/>
  <c r="AD583" i="3"/>
  <c r="AD571" i="3"/>
  <c r="AD562" i="3"/>
  <c r="AD559" i="3"/>
  <c r="AD555" i="3"/>
  <c r="AD553" i="3"/>
  <c r="AD552" i="3"/>
  <c r="AD537" i="3"/>
  <c r="AD369" i="3"/>
  <c r="AD368" i="3"/>
  <c r="AD367" i="3"/>
  <c r="AD366" i="3"/>
  <c r="AD365" i="3"/>
  <c r="AD302" i="3"/>
  <c r="AD299" i="3"/>
  <c r="AD314" i="3"/>
  <c r="AD313" i="3"/>
  <c r="AD170" i="3"/>
  <c r="AD169" i="3"/>
  <c r="AD23" i="3"/>
  <c r="AE844" i="3" l="1"/>
  <c r="AD844" i="3"/>
  <c r="AD845" i="3" s="1"/>
  <c r="AD1297" i="3"/>
  <c r="AD1176" i="3"/>
  <c r="AD908" i="3"/>
  <c r="AD1144" i="3"/>
  <c r="AD1146" i="3" s="1"/>
  <c r="AD912" i="3"/>
  <c r="AD724" i="3"/>
  <c r="AD1296" i="3"/>
  <c r="AD1179" i="3"/>
  <c r="AD1177" i="3"/>
  <c r="AD1142" i="3"/>
  <c r="AD910" i="3"/>
  <c r="AD1141" i="3"/>
  <c r="AD370" i="3"/>
  <c r="AD560" i="3"/>
  <c r="AD563" i="3"/>
  <c r="AD572" i="3"/>
  <c r="AD538" i="3"/>
  <c r="AD227" i="3" s="1"/>
  <c r="AD230" i="3" s="1"/>
  <c r="AD584" i="3"/>
  <c r="AD554" i="3"/>
  <c r="AD331" i="3"/>
  <c r="AD127" i="3"/>
  <c r="AE537" i="3"/>
  <c r="P537" i="3"/>
  <c r="H537" i="3"/>
  <c r="AD549" i="3"/>
  <c r="AD620" i="3"/>
  <c r="W639" i="3"/>
  <c r="AE639" i="3" s="1"/>
  <c r="P639" i="3"/>
  <c r="H639" i="3"/>
  <c r="J639" i="3" s="1"/>
  <c r="L639" i="3" s="1"/>
  <c r="N639" i="3" s="1"/>
  <c r="W321" i="3"/>
  <c r="AE321" i="3" s="1"/>
  <c r="H321" i="3"/>
  <c r="W909" i="3"/>
  <c r="W1135" i="3"/>
  <c r="W1297" i="3" s="1"/>
  <c r="W752" i="3"/>
  <c r="W723" i="3"/>
  <c r="W721" i="3"/>
  <c r="W716" i="3"/>
  <c r="AE716" i="3" s="1"/>
  <c r="W715" i="3"/>
  <c r="AE715" i="3" s="1"/>
  <c r="AE712" i="3"/>
  <c r="AE708" i="3"/>
  <c r="W705" i="3"/>
  <c r="AE705" i="3" s="1"/>
  <c r="W695" i="3"/>
  <c r="W694" i="3"/>
  <c r="W692" i="3"/>
  <c r="W661" i="3"/>
  <c r="W637" i="3"/>
  <c r="AE637" i="3" s="1"/>
  <c r="W636" i="3"/>
  <c r="AE636" i="3" s="1"/>
  <c r="AE634" i="3"/>
  <c r="AE633" i="3"/>
  <c r="AE632" i="3"/>
  <c r="AE631" i="3"/>
  <c r="W626" i="3"/>
  <c r="W655" i="3" s="1"/>
  <c r="W624" i="3"/>
  <c r="W619" i="3"/>
  <c r="AE619" i="3" s="1"/>
  <c r="W618" i="3"/>
  <c r="W609" i="3"/>
  <c r="AE609" i="3" s="1"/>
  <c r="W608" i="3"/>
  <c r="AE608" i="3" s="1"/>
  <c r="W607" i="3"/>
  <c r="AE607" i="3" s="1"/>
  <c r="W606" i="3"/>
  <c r="AE606" i="3" s="1"/>
  <c r="W605" i="3"/>
  <c r="AE605" i="3" s="1"/>
  <c r="W604" i="3"/>
  <c r="AE604" i="3" s="1"/>
  <c r="W603" i="3"/>
  <c r="AE603" i="3" s="1"/>
  <c r="W602" i="3"/>
  <c r="AE602" i="3" s="1"/>
  <c r="W601" i="3"/>
  <c r="AE601" i="3" s="1"/>
  <c r="W600" i="3"/>
  <c r="AE600" i="3" s="1"/>
  <c r="W599" i="3"/>
  <c r="AE599" i="3" s="1"/>
  <c r="P609" i="3"/>
  <c r="H609" i="3"/>
  <c r="J609" i="3" s="1"/>
  <c r="H608" i="3"/>
  <c r="J608" i="3" s="1"/>
  <c r="L608" i="3" s="1"/>
  <c r="N608" i="3" s="1"/>
  <c r="P607" i="3"/>
  <c r="H607" i="3"/>
  <c r="J607" i="3" s="1"/>
  <c r="AE596" i="3"/>
  <c r="W586" i="3"/>
  <c r="W535" i="3"/>
  <c r="W569" i="3" s="1"/>
  <c r="W583" i="3"/>
  <c r="W571" i="3"/>
  <c r="W562" i="3"/>
  <c r="W559" i="3"/>
  <c r="W555" i="3"/>
  <c r="AE555" i="3" s="1"/>
  <c r="W553" i="3"/>
  <c r="AE553" i="3" s="1"/>
  <c r="W552" i="3"/>
  <c r="AE552" i="3" s="1"/>
  <c r="W314" i="3"/>
  <c r="AE314" i="3" s="1"/>
  <c r="W313" i="3"/>
  <c r="AE313" i="3" s="1"/>
  <c r="W302" i="3"/>
  <c r="AE302" i="3" s="1"/>
  <c r="W299" i="3"/>
  <c r="AE299" i="3" s="1"/>
  <c r="W453" i="3"/>
  <c r="W37" i="3"/>
  <c r="AE37" i="3" s="1"/>
  <c r="W23" i="3"/>
  <c r="AE23" i="3" s="1"/>
  <c r="W369" i="3"/>
  <c r="AE369" i="3" s="1"/>
  <c r="W368" i="3"/>
  <c r="AE368" i="3" s="1"/>
  <c r="W367" i="3"/>
  <c r="AE367" i="3" s="1"/>
  <c r="W366" i="3"/>
  <c r="AE366" i="3" s="1"/>
  <c r="W365" i="3"/>
  <c r="W170" i="3"/>
  <c r="AE170" i="3" s="1"/>
  <c r="W169" i="3"/>
  <c r="AE169" i="3" s="1"/>
  <c r="W330" i="3"/>
  <c r="AE330" i="3" s="1"/>
  <c r="W329" i="3"/>
  <c r="AE329" i="3" s="1"/>
  <c r="W325" i="3"/>
  <c r="AE325" i="3" s="1"/>
  <c r="W324" i="3"/>
  <c r="AE324" i="3" s="1"/>
  <c r="H329" i="3"/>
  <c r="J329" i="3" s="1"/>
  <c r="L329" i="3" s="1"/>
  <c r="C734" i="3"/>
  <c r="W593" i="3"/>
  <c r="H330" i="3"/>
  <c r="J330" i="3" s="1"/>
  <c r="L330" i="3" s="1"/>
  <c r="P586" i="3"/>
  <c r="H586" i="3"/>
  <c r="P619" i="3"/>
  <c r="H619" i="3"/>
  <c r="J619" i="3" s="1"/>
  <c r="L619" i="3" s="1"/>
  <c r="N619" i="3" s="1"/>
  <c r="P618" i="3"/>
  <c r="H618" i="3"/>
  <c r="P712" i="3"/>
  <c r="H712" i="3"/>
  <c r="J712" i="3" s="1"/>
  <c r="L712" i="3" s="1"/>
  <c r="N712" i="3" s="1"/>
  <c r="S723" i="3"/>
  <c r="L723" i="3"/>
  <c r="N723" i="3" s="1"/>
  <c r="P721" i="3"/>
  <c r="P724" i="3" s="1"/>
  <c r="L721" i="3"/>
  <c r="N721" i="3" s="1"/>
  <c r="N722" i="3" s="1"/>
  <c r="P606" i="3"/>
  <c r="H606" i="3"/>
  <c r="J606" i="3" s="1"/>
  <c r="L606" i="3" s="1"/>
  <c r="N606" i="3" s="1"/>
  <c r="P605" i="3"/>
  <c r="H605" i="3"/>
  <c r="J605" i="3" s="1"/>
  <c r="L605" i="3" s="1"/>
  <c r="N605" i="3" s="1"/>
  <c r="P604" i="3"/>
  <c r="H604" i="3"/>
  <c r="J604" i="3" s="1"/>
  <c r="P603" i="3"/>
  <c r="H603" i="3"/>
  <c r="J603" i="3" s="1"/>
  <c r="P602" i="3"/>
  <c r="H602" i="3"/>
  <c r="J602" i="3" s="1"/>
  <c r="L602" i="3" s="1"/>
  <c r="N602" i="3" s="1"/>
  <c r="P601" i="3"/>
  <c r="H601" i="3"/>
  <c r="J601" i="3" s="1"/>
  <c r="L601" i="3" s="1"/>
  <c r="N601" i="3" s="1"/>
  <c r="P600" i="3"/>
  <c r="H600" i="3"/>
  <c r="J600" i="3" s="1"/>
  <c r="P599" i="3"/>
  <c r="H599" i="3"/>
  <c r="J599" i="3" s="1"/>
  <c r="L599" i="3" s="1"/>
  <c r="N599" i="3" s="1"/>
  <c r="P596" i="3"/>
  <c r="H596" i="3"/>
  <c r="P593" i="3"/>
  <c r="H593" i="3"/>
  <c r="H592" i="3" s="1"/>
  <c r="P583" i="3"/>
  <c r="P571" i="3"/>
  <c r="P562" i="3"/>
  <c r="P559" i="3"/>
  <c r="H583" i="3"/>
  <c r="H571" i="3"/>
  <c r="H562" i="3"/>
  <c r="H559" i="3"/>
  <c r="P555" i="3"/>
  <c r="P553" i="3"/>
  <c r="H555" i="3"/>
  <c r="J555" i="3" s="1"/>
  <c r="L555" i="3" s="1"/>
  <c r="N555" i="3" s="1"/>
  <c r="Q555" i="3" s="1"/>
  <c r="H553" i="3"/>
  <c r="J553" i="3" s="1"/>
  <c r="P552" i="3"/>
  <c r="H552" i="3"/>
  <c r="J552" i="3" s="1"/>
  <c r="L552" i="3" s="1"/>
  <c r="N552" i="3" s="1"/>
  <c r="Q552" i="3" s="1"/>
  <c r="H1135" i="3"/>
  <c r="H1141" i="3" s="1"/>
  <c r="H1136" i="3" s="1"/>
  <c r="P636" i="3"/>
  <c r="H636" i="3"/>
  <c r="J636" i="3" s="1"/>
  <c r="L636" i="3" s="1"/>
  <c r="N636" i="3" s="1"/>
  <c r="P637" i="3"/>
  <c r="H637" i="3"/>
  <c r="J637" i="3" s="1"/>
  <c r="L637" i="3" s="1"/>
  <c r="N637" i="3" s="1"/>
  <c r="H913" i="3"/>
  <c r="P710" i="3"/>
  <c r="P708" i="3"/>
  <c r="P705" i="3"/>
  <c r="H710" i="3"/>
  <c r="H708" i="3"/>
  <c r="J708" i="3" s="1"/>
  <c r="L708" i="3" s="1"/>
  <c r="N708" i="3" s="1"/>
  <c r="H707" i="3"/>
  <c r="H705" i="3"/>
  <c r="J705" i="3" s="1"/>
  <c r="L705" i="3" s="1"/>
  <c r="N705" i="3" s="1"/>
  <c r="P701" i="3"/>
  <c r="P699" i="3"/>
  <c r="P698" i="3"/>
  <c r="P696" i="3"/>
  <c r="P695" i="3"/>
  <c r="P694" i="3"/>
  <c r="P692" i="3"/>
  <c r="H701" i="3"/>
  <c r="H699" i="3"/>
  <c r="H698" i="3"/>
  <c r="H696" i="3"/>
  <c r="H695" i="3"/>
  <c r="H694" i="3"/>
  <c r="H693" i="3"/>
  <c r="H692" i="3"/>
  <c r="P716" i="3"/>
  <c r="H716" i="3"/>
  <c r="P715" i="3"/>
  <c r="H715" i="3"/>
  <c r="J715" i="3" s="1"/>
  <c r="P752" i="3"/>
  <c r="H752" i="3"/>
  <c r="AD847" i="3"/>
  <c r="AD849" i="3" s="1"/>
  <c r="W847" i="3"/>
  <c r="W849" i="3" s="1"/>
  <c r="H847" i="3"/>
  <c r="J847" i="3" s="1"/>
  <c r="N775" i="3"/>
  <c r="P634" i="3"/>
  <c r="H634" i="3"/>
  <c r="J634" i="3" s="1"/>
  <c r="L634" i="3" s="1"/>
  <c r="N634" i="3" s="1"/>
  <c r="P633" i="3"/>
  <c r="H633" i="3"/>
  <c r="J633" i="3" s="1"/>
  <c r="L633" i="3" s="1"/>
  <c r="N633" i="3" s="1"/>
  <c r="P632" i="3"/>
  <c r="H632" i="3"/>
  <c r="J632" i="3" s="1"/>
  <c r="L632" i="3" s="1"/>
  <c r="N632" i="3" s="1"/>
  <c r="P631" i="3"/>
  <c r="H631" i="3"/>
  <c r="J631" i="3" s="1"/>
  <c r="L631" i="3" s="1"/>
  <c r="N631" i="3" s="1"/>
  <c r="P626" i="3"/>
  <c r="H626" i="3"/>
  <c r="P535" i="3"/>
  <c r="P569" i="3" s="1"/>
  <c r="H535" i="3"/>
  <c r="H569" i="3" s="1"/>
  <c r="P624" i="3"/>
  <c r="H624" i="3"/>
  <c r="B641" i="3"/>
  <c r="B632" i="3"/>
  <c r="H909" i="3"/>
  <c r="P661" i="3"/>
  <c r="P663" i="3" s="1"/>
  <c r="H661" i="3"/>
  <c r="H663" i="3" s="1"/>
  <c r="H680" i="3"/>
  <c r="H681" i="3" s="1"/>
  <c r="H683" i="3"/>
  <c r="J683" i="3" s="1"/>
  <c r="H677" i="3"/>
  <c r="H671" i="3"/>
  <c r="AD684" i="3"/>
  <c r="W684" i="3"/>
  <c r="H684" i="3"/>
  <c r="AD683" i="3"/>
  <c r="W683" i="3"/>
  <c r="AD680" i="3"/>
  <c r="AD681" i="3" s="1"/>
  <c r="W680" i="3"/>
  <c r="W681" i="3" s="1"/>
  <c r="AD677" i="3"/>
  <c r="AD671" i="3"/>
  <c r="W671" i="3"/>
  <c r="H299" i="3"/>
  <c r="J299" i="3" s="1"/>
  <c r="L299" i="3" s="1"/>
  <c r="N299" i="3" s="1"/>
  <c r="Q299" i="3" s="1"/>
  <c r="H302" i="3"/>
  <c r="J302" i="3" s="1"/>
  <c r="L302" i="3" s="1"/>
  <c r="N302" i="3" s="1"/>
  <c r="Q302" i="3" s="1"/>
  <c r="H6" i="3"/>
  <c r="H14" i="3" s="1"/>
  <c r="P6" i="3"/>
  <c r="P11" i="3" s="1"/>
  <c r="W6" i="3"/>
  <c r="AD6" i="3"/>
  <c r="H8" i="3"/>
  <c r="W8" i="3"/>
  <c r="AD8" i="3"/>
  <c r="H22" i="3"/>
  <c r="H451" i="3" s="1"/>
  <c r="J451" i="3" s="1"/>
  <c r="W22" i="3"/>
  <c r="AD22" i="3"/>
  <c r="H23" i="3"/>
  <c r="J23" i="3" s="1"/>
  <c r="L23" i="3" s="1"/>
  <c r="N23" i="3" s="1"/>
  <c r="Q23" i="3" s="1"/>
  <c r="S23" i="3" s="1"/>
  <c r="W40" i="3"/>
  <c r="AD40" i="3"/>
  <c r="H45" i="3"/>
  <c r="W45" i="3"/>
  <c r="AD45" i="3"/>
  <c r="H47" i="3"/>
  <c r="J47" i="3" s="1"/>
  <c r="L47" i="3" s="1"/>
  <c r="N47" i="3" s="1"/>
  <c r="Q47" i="3" s="1"/>
  <c r="W47" i="3"/>
  <c r="AD47" i="3"/>
  <c r="H49" i="3"/>
  <c r="W49" i="3"/>
  <c r="W242" i="3" s="1"/>
  <c r="AD49" i="3"/>
  <c r="AD242" i="3" s="1"/>
  <c r="H52" i="3"/>
  <c r="W52" i="3"/>
  <c r="AD52" i="3"/>
  <c r="H53" i="3"/>
  <c r="J53" i="3" s="1"/>
  <c r="L53" i="3" s="1"/>
  <c r="N53" i="3" s="1"/>
  <c r="Q53" i="3" s="1"/>
  <c r="W53" i="3"/>
  <c r="AD53" i="3"/>
  <c r="H54" i="3"/>
  <c r="J54" i="3" s="1"/>
  <c r="L54" i="3" s="1"/>
  <c r="N54" i="3" s="1"/>
  <c r="Q54" i="3" s="1"/>
  <c r="W54" i="3"/>
  <c r="AD54" i="3"/>
  <c r="H55" i="3"/>
  <c r="J55" i="3" s="1"/>
  <c r="L55" i="3" s="1"/>
  <c r="N55" i="3" s="1"/>
  <c r="W55" i="3"/>
  <c r="AD55" i="3"/>
  <c r="H126" i="3"/>
  <c r="J126" i="3" s="1"/>
  <c r="H147" i="3"/>
  <c r="J147" i="3" s="1"/>
  <c r="AD147" i="3"/>
  <c r="H149" i="3"/>
  <c r="J149" i="3" s="1"/>
  <c r="L149" i="3" s="1"/>
  <c r="N149" i="3" s="1"/>
  <c r="W149" i="3"/>
  <c r="AD149" i="3"/>
  <c r="H150" i="3"/>
  <c r="J150" i="3" s="1"/>
  <c r="L150" i="3" s="1"/>
  <c r="N150" i="3" s="1"/>
  <c r="Q150" i="3" s="1"/>
  <c r="S150" i="3" s="1"/>
  <c r="U150" i="3" s="1"/>
  <c r="X150" i="3" s="1"/>
  <c r="W150" i="3"/>
  <c r="AD150" i="3"/>
  <c r="H157" i="3"/>
  <c r="J157" i="3" s="1"/>
  <c r="L157" i="3" s="1"/>
  <c r="N157" i="3" s="1"/>
  <c r="Q157" i="3" s="1"/>
  <c r="W157" i="3"/>
  <c r="AD157" i="3"/>
  <c r="H158" i="3"/>
  <c r="J158" i="3" s="1"/>
  <c r="L158" i="3" s="1"/>
  <c r="N158" i="3" s="1"/>
  <c r="Q158" i="3" s="1"/>
  <c r="W158" i="3"/>
  <c r="AE158" i="3" s="1"/>
  <c r="H160" i="3"/>
  <c r="J160" i="3" s="1"/>
  <c r="L160" i="3" s="1"/>
  <c r="N160" i="3" s="1"/>
  <c r="Q160" i="3" s="1"/>
  <c r="W160" i="3"/>
  <c r="AE160" i="3" s="1"/>
  <c r="H163" i="3"/>
  <c r="J163" i="3" s="1"/>
  <c r="L163" i="3" s="1"/>
  <c r="N163" i="3" s="1"/>
  <c r="Q163" i="3" s="1"/>
  <c r="S163" i="3" s="1"/>
  <c r="U163" i="3" s="1"/>
  <c r="X163" i="3" s="1"/>
  <c r="W163" i="3"/>
  <c r="AD163" i="3"/>
  <c r="H164" i="3"/>
  <c r="J164" i="3" s="1"/>
  <c r="L164" i="3" s="1"/>
  <c r="N164" i="3" s="1"/>
  <c r="Q164" i="3" s="1"/>
  <c r="S164" i="3" s="1"/>
  <c r="U164" i="3" s="1"/>
  <c r="X164" i="3" s="1"/>
  <c r="W164" i="3"/>
  <c r="AD164" i="3"/>
  <c r="H165" i="3"/>
  <c r="J165" i="3" s="1"/>
  <c r="L165" i="3" s="1"/>
  <c r="N165" i="3" s="1"/>
  <c r="Q165" i="3" s="1"/>
  <c r="W165" i="3"/>
  <c r="AD165" i="3"/>
  <c r="H166" i="3"/>
  <c r="J166" i="3" s="1"/>
  <c r="L166" i="3" s="1"/>
  <c r="N166" i="3" s="1"/>
  <c r="Q166" i="3" s="1"/>
  <c r="W166" i="3"/>
  <c r="AD166" i="3"/>
  <c r="H167" i="3"/>
  <c r="J167" i="3" s="1"/>
  <c r="L167" i="3" s="1"/>
  <c r="N167" i="3" s="1"/>
  <c r="Q167" i="3" s="1"/>
  <c r="W167" i="3"/>
  <c r="AD167" i="3"/>
  <c r="H168" i="3"/>
  <c r="J168" i="3" s="1"/>
  <c r="L168" i="3" s="1"/>
  <c r="N168" i="3" s="1"/>
  <c r="Q168" i="3" s="1"/>
  <c r="W168" i="3"/>
  <c r="AD168" i="3"/>
  <c r="H169" i="3"/>
  <c r="J169" i="3" s="1"/>
  <c r="L169" i="3" s="1"/>
  <c r="N169" i="3" s="1"/>
  <c r="Q169" i="3" s="1"/>
  <c r="H170" i="3"/>
  <c r="J170" i="3" s="1"/>
  <c r="L170" i="3" s="1"/>
  <c r="N170" i="3" s="1"/>
  <c r="Q170" i="3" s="1"/>
  <c r="H171" i="3"/>
  <c r="J171" i="3" s="1"/>
  <c r="L171" i="3" s="1"/>
  <c r="N171" i="3" s="1"/>
  <c r="Q171" i="3" s="1"/>
  <c r="W171" i="3"/>
  <c r="AD171" i="3"/>
  <c r="C224" i="3"/>
  <c r="C225" i="3"/>
  <c r="H261" i="3"/>
  <c r="J261" i="3" s="1"/>
  <c r="L261" i="3" s="1"/>
  <c r="N261" i="3" s="1"/>
  <c r="Q261" i="3" s="1"/>
  <c r="S261" i="3" s="1"/>
  <c r="U261" i="3" s="1"/>
  <c r="X261" i="3" s="1"/>
  <c r="Z261" i="3" s="1"/>
  <c r="AB261" i="3" s="1"/>
  <c r="P261" i="3"/>
  <c r="W261" i="3"/>
  <c r="AD261" i="3"/>
  <c r="H266" i="3"/>
  <c r="J266" i="3" s="1"/>
  <c r="L266" i="3" s="1"/>
  <c r="N266" i="3" s="1"/>
  <c r="Q266" i="3" s="1"/>
  <c r="S266" i="3" s="1"/>
  <c r="U266" i="3" s="1"/>
  <c r="X266" i="3" s="1"/>
  <c r="Z266" i="3" s="1"/>
  <c r="W266" i="3"/>
  <c r="AD266" i="3"/>
  <c r="H269" i="3"/>
  <c r="J269" i="3" s="1"/>
  <c r="L269" i="3" s="1"/>
  <c r="N269" i="3" s="1"/>
  <c r="Q269" i="3" s="1"/>
  <c r="W269" i="3"/>
  <c r="AE269" i="3" s="1"/>
  <c r="H274" i="3"/>
  <c r="J274" i="3" s="1"/>
  <c r="L274" i="3" s="1"/>
  <c r="N274" i="3" s="1"/>
  <c r="Q274" i="3" s="1"/>
  <c r="W274" i="3"/>
  <c r="AD274" i="3"/>
  <c r="H277" i="3"/>
  <c r="J277" i="3" s="1"/>
  <c r="L277" i="3" s="1"/>
  <c r="N277" i="3" s="1"/>
  <c r="Q277" i="3" s="1"/>
  <c r="W277" i="3"/>
  <c r="H278" i="3"/>
  <c r="J278" i="3" s="1"/>
  <c r="L278" i="3" s="1"/>
  <c r="N278" i="3" s="1"/>
  <c r="W278" i="3"/>
  <c r="H280" i="3"/>
  <c r="J280" i="3" s="1"/>
  <c r="L280" i="3" s="1"/>
  <c r="N280" i="3" s="1"/>
  <c r="Q280" i="3" s="1"/>
  <c r="W280" i="3"/>
  <c r="AD280" i="3"/>
  <c r="H281" i="3"/>
  <c r="J281" i="3" s="1"/>
  <c r="L281" i="3" s="1"/>
  <c r="N281" i="3" s="1"/>
  <c r="Q281" i="3" s="1"/>
  <c r="W281" i="3"/>
  <c r="H291" i="3"/>
  <c r="J291" i="3" s="1"/>
  <c r="L291" i="3" s="1"/>
  <c r="N291" i="3" s="1"/>
  <c r="Q291" i="3" s="1"/>
  <c r="W291" i="3"/>
  <c r="AD291" i="3"/>
  <c r="H293" i="3"/>
  <c r="J293" i="3" s="1"/>
  <c r="L293" i="3" s="1"/>
  <c r="N293" i="3" s="1"/>
  <c r="Q293" i="3" s="1"/>
  <c r="W293" i="3"/>
  <c r="AD293" i="3"/>
  <c r="AD296" i="3"/>
  <c r="H298" i="3"/>
  <c r="J298" i="3" s="1"/>
  <c r="L298" i="3" s="1"/>
  <c r="N298" i="3" s="1"/>
  <c r="Q298" i="3" s="1"/>
  <c r="W298" i="3"/>
  <c r="AD298" i="3"/>
  <c r="H301" i="3"/>
  <c r="J301" i="3" s="1"/>
  <c r="L301" i="3" s="1"/>
  <c r="N301" i="3" s="1"/>
  <c r="Q301" i="3" s="1"/>
  <c r="W301" i="3"/>
  <c r="AD301" i="3"/>
  <c r="H304" i="3"/>
  <c r="J304" i="3" s="1"/>
  <c r="L304" i="3" s="1"/>
  <c r="N304" i="3" s="1"/>
  <c r="Q304" i="3" s="1"/>
  <c r="W304" i="3"/>
  <c r="AD304" i="3"/>
  <c r="H306" i="3"/>
  <c r="J306" i="3" s="1"/>
  <c r="W306" i="3"/>
  <c r="AD306" i="3"/>
  <c r="H307" i="3"/>
  <c r="J307" i="3" s="1"/>
  <c r="L307" i="3" s="1"/>
  <c r="N307" i="3" s="1"/>
  <c r="Q307" i="3" s="1"/>
  <c r="W307" i="3"/>
  <c r="AD307" i="3"/>
  <c r="H308" i="3"/>
  <c r="J308" i="3" s="1"/>
  <c r="L308" i="3" s="1"/>
  <c r="N308" i="3" s="1"/>
  <c r="Q308" i="3" s="1"/>
  <c r="W308" i="3"/>
  <c r="AD308" i="3"/>
  <c r="H309" i="3"/>
  <c r="J309" i="3" s="1"/>
  <c r="L309" i="3" s="1"/>
  <c r="N309" i="3" s="1"/>
  <c r="Q309" i="3" s="1"/>
  <c r="S309" i="3" s="1"/>
  <c r="U309" i="3" s="1"/>
  <c r="X309" i="3" s="1"/>
  <c r="Z309" i="3" s="1"/>
  <c r="W309" i="3"/>
  <c r="AD309" i="3"/>
  <c r="H310" i="3"/>
  <c r="J310" i="3" s="1"/>
  <c r="L310" i="3" s="1"/>
  <c r="N310" i="3" s="1"/>
  <c r="Q310" i="3" s="1"/>
  <c r="W310" i="3"/>
  <c r="AD310" i="3"/>
  <c r="H312" i="3"/>
  <c r="J312" i="3" s="1"/>
  <c r="L312" i="3" s="1"/>
  <c r="N312" i="3" s="1"/>
  <c r="Q312" i="3" s="1"/>
  <c r="W312" i="3"/>
  <c r="AD312" i="3"/>
  <c r="H313" i="3"/>
  <c r="J313" i="3" s="1"/>
  <c r="L313" i="3" s="1"/>
  <c r="N313" i="3" s="1"/>
  <c r="Q313" i="3" s="1"/>
  <c r="S313" i="3" s="1"/>
  <c r="H314" i="3"/>
  <c r="H324" i="3"/>
  <c r="H325" i="3"/>
  <c r="J325" i="3" s="1"/>
  <c r="L325" i="3" s="1"/>
  <c r="H365" i="3"/>
  <c r="H366" i="3"/>
  <c r="J366" i="3" s="1"/>
  <c r="L366" i="3" s="1"/>
  <c r="N366" i="3" s="1"/>
  <c r="H367" i="3"/>
  <c r="J367" i="3" s="1"/>
  <c r="L367" i="3" s="1"/>
  <c r="N367" i="3" s="1"/>
  <c r="Q367" i="3" s="1"/>
  <c r="S367" i="3" s="1"/>
  <c r="U367" i="3" s="1"/>
  <c r="X367" i="3" s="1"/>
  <c r="Z367" i="3" s="1"/>
  <c r="H368" i="3"/>
  <c r="J368" i="3" s="1"/>
  <c r="L368" i="3" s="1"/>
  <c r="N368" i="3" s="1"/>
  <c r="Q368" i="3" s="1"/>
  <c r="H369" i="3"/>
  <c r="J369" i="3" s="1"/>
  <c r="L369" i="3" s="1"/>
  <c r="N369" i="3" s="1"/>
  <c r="Q369" i="3" s="1"/>
  <c r="S369" i="3" s="1"/>
  <c r="U369" i="3" s="1"/>
  <c r="X369" i="3" s="1"/>
  <c r="Z369" i="3" s="1"/>
  <c r="AB369" i="3" s="1"/>
  <c r="H372" i="3"/>
  <c r="W372" i="3"/>
  <c r="AD372" i="3"/>
  <c r="H374" i="3"/>
  <c r="J374" i="3" s="1"/>
  <c r="L374" i="3" s="1"/>
  <c r="N374" i="3" s="1"/>
  <c r="Q374" i="3" s="1"/>
  <c r="W374" i="3"/>
  <c r="AD374" i="3"/>
  <c r="C382" i="3"/>
  <c r="C383" i="3" s="1"/>
  <c r="H453" i="3"/>
  <c r="H454" i="3" s="1"/>
  <c r="H464" i="3"/>
  <c r="W464" i="3"/>
  <c r="AD464" i="3"/>
  <c r="H467" i="3"/>
  <c r="H473" i="3"/>
  <c r="W473" i="3"/>
  <c r="W476" i="3" s="1"/>
  <c r="AD473" i="3"/>
  <c r="AD476" i="3" s="1"/>
  <c r="H478" i="3"/>
  <c r="W478" i="3"/>
  <c r="W480" i="3" s="1"/>
  <c r="AD478" i="3"/>
  <c r="AD480" i="3" s="1"/>
  <c r="H484" i="3"/>
  <c r="W484" i="3"/>
  <c r="W486" i="3" s="1"/>
  <c r="AD484" i="3"/>
  <c r="H485" i="3"/>
  <c r="H504" i="3" s="1"/>
  <c r="W485" i="3"/>
  <c r="AD485" i="3"/>
  <c r="H489" i="3"/>
  <c r="W489" i="3"/>
  <c r="W491" i="3" s="1"/>
  <c r="AD489" i="3"/>
  <c r="W490" i="3"/>
  <c r="H494" i="3"/>
  <c r="W494" i="3"/>
  <c r="W496" i="3" s="1"/>
  <c r="AD494" i="3"/>
  <c r="AD496" i="3" s="1"/>
  <c r="W495" i="3"/>
  <c r="H499" i="3"/>
  <c r="W499" i="3"/>
  <c r="W501" i="3" s="1"/>
  <c r="AD499" i="3"/>
  <c r="W500" i="3"/>
  <c r="H508" i="3"/>
  <c r="W508" i="3"/>
  <c r="AD508" i="3"/>
  <c r="H509" i="3"/>
  <c r="J509" i="3" s="1"/>
  <c r="L509" i="3" s="1"/>
  <c r="N509" i="3" s="1"/>
  <c r="Q509" i="3" s="1"/>
  <c r="W509" i="3"/>
  <c r="AD509" i="3"/>
  <c r="H510" i="3"/>
  <c r="J510" i="3" s="1"/>
  <c r="L510" i="3" s="1"/>
  <c r="N510" i="3" s="1"/>
  <c r="Q510" i="3" s="1"/>
  <c r="W510" i="3"/>
  <c r="AD510" i="3"/>
  <c r="H517" i="3"/>
  <c r="W517" i="3"/>
  <c r="AD517" i="3"/>
  <c r="H518" i="3"/>
  <c r="J518" i="3" s="1"/>
  <c r="W518" i="3"/>
  <c r="AD518" i="3"/>
  <c r="H519" i="3"/>
  <c r="J519" i="3" s="1"/>
  <c r="L519" i="3" s="1"/>
  <c r="N519" i="3" s="1"/>
  <c r="Q519" i="3" s="1"/>
  <c r="W519" i="3"/>
  <c r="AD519" i="3"/>
  <c r="H531" i="3"/>
  <c r="J531" i="3" s="1"/>
  <c r="L531" i="3" s="1"/>
  <c r="N531" i="3" s="1"/>
  <c r="Q531" i="3" s="1"/>
  <c r="W531" i="3"/>
  <c r="AD531" i="3"/>
  <c r="H532" i="3"/>
  <c r="J532" i="3" s="1"/>
  <c r="L532" i="3" s="1"/>
  <c r="N532" i="3" s="1"/>
  <c r="Q532" i="3" s="1"/>
  <c r="W532" i="3"/>
  <c r="AD532" i="3"/>
  <c r="H10" i="3"/>
  <c r="W10" i="3"/>
  <c r="A383" i="3"/>
  <c r="AD10" i="3"/>
  <c r="N296" i="3"/>
  <c r="Q296" i="3" s="1"/>
  <c r="H549" i="3"/>
  <c r="P549" i="3"/>
  <c r="AD277" i="3"/>
  <c r="H242" i="3" l="1"/>
  <c r="AD458" i="3"/>
  <c r="AD454" i="3"/>
  <c r="AB266" i="3"/>
  <c r="AB267" i="3" s="1"/>
  <c r="H685" i="3"/>
  <c r="AB309" i="3"/>
  <c r="AF309" i="3" s="1"/>
  <c r="AB367" i="3"/>
  <c r="AF367" i="3" s="1"/>
  <c r="W640" i="3"/>
  <c r="W662" i="3"/>
  <c r="W668" i="3"/>
  <c r="W667" i="3"/>
  <c r="W454" i="3"/>
  <c r="W458" i="3"/>
  <c r="AD685" i="3"/>
  <c r="AD678" i="3"/>
  <c r="AD682" i="3" s="1"/>
  <c r="W685" i="3"/>
  <c r="W678" i="3"/>
  <c r="W682" i="3" s="1"/>
  <c r="P662" i="3"/>
  <c r="P667" i="3"/>
  <c r="P668" i="3"/>
  <c r="P640" i="3"/>
  <c r="H678" i="3"/>
  <c r="H682" i="3" s="1"/>
  <c r="K11" i="6"/>
  <c r="H662" i="3"/>
  <c r="H640" i="3"/>
  <c r="H235" i="3" s="1"/>
  <c r="H668" i="3"/>
  <c r="H667" i="3"/>
  <c r="AD504" i="3"/>
  <c r="J8" i="3"/>
  <c r="J262" i="3" s="1"/>
  <c r="H458" i="3"/>
  <c r="H620" i="3"/>
  <c r="K14" i="6"/>
  <c r="AD450" i="3"/>
  <c r="AD448" i="3"/>
  <c r="AD446" i="3"/>
  <c r="AD451" i="3"/>
  <c r="AD449" i="3"/>
  <c r="AD447" i="3"/>
  <c r="AE365" i="3"/>
  <c r="W370" i="3"/>
  <c r="AE370" i="3" s="1"/>
  <c r="P659" i="3"/>
  <c r="P658" i="3"/>
  <c r="Q775" i="3"/>
  <c r="P162" i="3"/>
  <c r="P620" i="3"/>
  <c r="AD556" i="3"/>
  <c r="W303" i="3"/>
  <c r="J52" i="3"/>
  <c r="L52" i="3" s="1"/>
  <c r="N52" i="3" s="1"/>
  <c r="Q52" i="3" s="1"/>
  <c r="S52" i="3" s="1"/>
  <c r="U52" i="3" s="1"/>
  <c r="J752" i="3"/>
  <c r="H910" i="3"/>
  <c r="J365" i="3"/>
  <c r="L365" i="3" s="1"/>
  <c r="N365" i="3" s="1"/>
  <c r="H370" i="3"/>
  <c r="J370" i="3" s="1"/>
  <c r="L370" i="3" s="1"/>
  <c r="J692" i="3"/>
  <c r="L692" i="3" s="1"/>
  <c r="J693" i="3"/>
  <c r="Q693" i="3" s="1"/>
  <c r="S693" i="3" s="1"/>
  <c r="U693" i="3" s="1"/>
  <c r="J710" i="3"/>
  <c r="L710" i="3" s="1"/>
  <c r="J694" i="3"/>
  <c r="L694" i="3" s="1"/>
  <c r="J695" i="3"/>
  <c r="Q695" i="3" s="1"/>
  <c r="S695" i="3" s="1"/>
  <c r="J372" i="3"/>
  <c r="L372" i="3" s="1"/>
  <c r="N372" i="3" s="1"/>
  <c r="Q372" i="3" s="1"/>
  <c r="P372" i="3" s="1"/>
  <c r="H376" i="3"/>
  <c r="J376" i="3" s="1"/>
  <c r="L376" i="3" s="1"/>
  <c r="N376" i="3" s="1"/>
  <c r="Q376" i="3" s="1"/>
  <c r="S376" i="3" s="1"/>
  <c r="U376" i="3" s="1"/>
  <c r="Q721" i="3"/>
  <c r="S721" i="3" s="1"/>
  <c r="S724" i="3" s="1"/>
  <c r="J464" i="3"/>
  <c r="L464" i="3" s="1"/>
  <c r="H472" i="3"/>
  <c r="W472" i="3"/>
  <c r="AD15" i="3"/>
  <c r="AD14" i="3"/>
  <c r="AD472" i="3"/>
  <c r="J696" i="3"/>
  <c r="H902" i="3"/>
  <c r="J467" i="3"/>
  <c r="L467" i="3" s="1"/>
  <c r="H625" i="3"/>
  <c r="Q633" i="3"/>
  <c r="S633" i="3" s="1"/>
  <c r="U633" i="3" s="1"/>
  <c r="X633" i="3" s="1"/>
  <c r="Z633" i="3" s="1"/>
  <c r="W504" i="3"/>
  <c r="W592" i="3"/>
  <c r="AE586" i="3"/>
  <c r="W15" i="3"/>
  <c r="W18" i="3" s="1"/>
  <c r="W14" i="3"/>
  <c r="W17" i="3" s="1"/>
  <c r="W908" i="3"/>
  <c r="AE698" i="3"/>
  <c r="W658" i="3"/>
  <c r="W659" i="3"/>
  <c r="W450" i="3"/>
  <c r="W451" i="3"/>
  <c r="B642" i="3"/>
  <c r="J535" i="3"/>
  <c r="J569" i="3" s="1"/>
  <c r="P592" i="3"/>
  <c r="P550" i="3"/>
  <c r="S291" i="3"/>
  <c r="U291" i="3" s="1"/>
  <c r="X291" i="3" s="1"/>
  <c r="P15" i="3"/>
  <c r="P14" i="3"/>
  <c r="J701" i="3"/>
  <c r="O39" i="7"/>
  <c r="N724" i="3"/>
  <c r="N330" i="3"/>
  <c r="Q330" i="3" s="1"/>
  <c r="N325" i="3"/>
  <c r="Q325" i="3" s="1"/>
  <c r="N329" i="3"/>
  <c r="Q329" i="3" s="1"/>
  <c r="H659" i="3"/>
  <c r="J659" i="3" s="1"/>
  <c r="H658" i="3"/>
  <c r="J658" i="3" s="1"/>
  <c r="J698" i="3"/>
  <c r="L698" i="3" s="1"/>
  <c r="N698" i="3" s="1"/>
  <c r="H476" i="3"/>
  <c r="J473" i="3"/>
  <c r="J476" i="3" s="1"/>
  <c r="H480" i="3"/>
  <c r="J478" i="3"/>
  <c r="J480" i="3" s="1"/>
  <c r="H550" i="3"/>
  <c r="J913" i="3"/>
  <c r="Q619" i="3"/>
  <c r="S619" i="3" s="1"/>
  <c r="U619" i="3" s="1"/>
  <c r="X619" i="3" s="1"/>
  <c r="Z619" i="3" s="1"/>
  <c r="H908" i="3"/>
  <c r="J596" i="3"/>
  <c r="Q596" i="3" s="1"/>
  <c r="H15" i="3"/>
  <c r="H18" i="3" s="1"/>
  <c r="H17" i="3"/>
  <c r="E14" i="6"/>
  <c r="H11" i="3"/>
  <c r="J1135" i="3"/>
  <c r="J1142" i="3" s="1"/>
  <c r="H1297" i="3"/>
  <c r="H450" i="3"/>
  <c r="J450" i="3" s="1"/>
  <c r="J671" i="3"/>
  <c r="J677" i="3"/>
  <c r="AD490" i="3"/>
  <c r="AD501" i="3"/>
  <c r="AD486" i="3"/>
  <c r="AD487" i="3" s="1"/>
  <c r="Z163" i="3"/>
  <c r="AD1449" i="3"/>
  <c r="AD1447" i="3"/>
  <c r="AD1442" i="3"/>
  <c r="AD1439" i="3"/>
  <c r="AD1445" i="3"/>
  <c r="AD1440" i="3"/>
  <c r="AD1450" i="3"/>
  <c r="AD1448" i="3"/>
  <c r="AD1446" i="3"/>
  <c r="AD1443" i="3"/>
  <c r="AD1444" i="3"/>
  <c r="AD1441" i="3"/>
  <c r="AD258" i="3"/>
  <c r="AD252" i="3"/>
  <c r="AD257" i="3"/>
  <c r="W1449" i="3"/>
  <c r="W1445" i="3"/>
  <c r="W1441" i="3"/>
  <c r="W1448" i="3"/>
  <c r="W1440" i="3"/>
  <c r="W1447" i="3"/>
  <c r="W1443" i="3"/>
  <c r="W1439" i="3"/>
  <c r="W1450" i="3"/>
  <c r="W1446" i="3"/>
  <c r="W1442" i="3"/>
  <c r="W1444" i="3"/>
  <c r="AD162" i="3"/>
  <c r="AD597" i="3"/>
  <c r="W162" i="3"/>
  <c r="AD24" i="3"/>
  <c r="AE684" i="3"/>
  <c r="Q636" i="3"/>
  <c r="S636" i="3" s="1"/>
  <c r="U636" i="3" s="1"/>
  <c r="X636" i="3" s="1"/>
  <c r="Z636" i="3" s="1"/>
  <c r="Q608" i="3"/>
  <c r="S608" i="3" s="1"/>
  <c r="U608" i="3" s="1"/>
  <c r="X608" i="3" s="1"/>
  <c r="Z608" i="3" s="1"/>
  <c r="AD267" i="3"/>
  <c r="J661" i="3"/>
  <c r="Q639" i="3"/>
  <c r="S639" i="3" s="1"/>
  <c r="U639" i="3" s="1"/>
  <c r="X639" i="3" s="1"/>
  <c r="Z639" i="3" s="1"/>
  <c r="Q631" i="3"/>
  <c r="S631" i="3" s="1"/>
  <c r="U631" i="3" s="1"/>
  <c r="X631" i="3" s="1"/>
  <c r="Z631" i="3" s="1"/>
  <c r="S555" i="3"/>
  <c r="U555" i="3" s="1"/>
  <c r="X555" i="3" s="1"/>
  <c r="Z555" i="3" s="1"/>
  <c r="H554" i="3"/>
  <c r="P625" i="3"/>
  <c r="W625" i="3"/>
  <c r="H262" i="3"/>
  <c r="J618" i="3"/>
  <c r="J620" i="3" s="1"/>
  <c r="W262" i="3"/>
  <c r="P554" i="3"/>
  <c r="P597" i="3" s="1"/>
  <c r="H9" i="3"/>
  <c r="H546" i="3"/>
  <c r="H540" i="3"/>
  <c r="H542" i="3"/>
  <c r="H544" i="3"/>
  <c r="H548" i="3"/>
  <c r="P548" i="3"/>
  <c r="P546" i="3"/>
  <c r="P544" i="3"/>
  <c r="P540" i="3"/>
  <c r="P542" i="3"/>
  <c r="W542" i="3"/>
  <c r="W540" i="3"/>
  <c r="W546" i="3"/>
  <c r="W544" i="3"/>
  <c r="W548" i="3"/>
  <c r="W295" i="3"/>
  <c r="J707" i="3"/>
  <c r="Q707" i="3" s="1"/>
  <c r="AE453" i="3"/>
  <c r="W455" i="3"/>
  <c r="AE707" i="3"/>
  <c r="AE680" i="3"/>
  <c r="AE681" i="3" s="1"/>
  <c r="W657" i="3"/>
  <c r="W656" i="3"/>
  <c r="W449" i="3"/>
  <c r="W448" i="3"/>
  <c r="W447" i="3"/>
  <c r="W446" i="3"/>
  <c r="W916" i="3"/>
  <c r="W258" i="3"/>
  <c r="W252" i="3"/>
  <c r="W257" i="3"/>
  <c r="W554" i="3"/>
  <c r="W597" i="3" s="1"/>
  <c r="P630" i="3"/>
  <c r="P556" i="3"/>
  <c r="Q637" i="3"/>
  <c r="S637" i="3" s="1"/>
  <c r="U637" i="3" s="1"/>
  <c r="X637" i="3" s="1"/>
  <c r="Z637" i="3" s="1"/>
  <c r="P490" i="3"/>
  <c r="Q55" i="3"/>
  <c r="Q278" i="3"/>
  <c r="Q149" i="3"/>
  <c r="S149" i="3" s="1"/>
  <c r="U149" i="3" s="1"/>
  <c r="X149" i="3" s="1"/>
  <c r="Z149" i="3" s="1"/>
  <c r="Q151" i="3"/>
  <c r="AE291" i="3"/>
  <c r="AE499" i="3"/>
  <c r="AE298" i="3"/>
  <c r="W9" i="3"/>
  <c r="S281" i="3"/>
  <c r="L126" i="3"/>
  <c r="N126" i="3" s="1"/>
  <c r="Q126" i="3" s="1"/>
  <c r="S126" i="3" s="1"/>
  <c r="U126" i="3" s="1"/>
  <c r="L147" i="3"/>
  <c r="N147" i="3" s="1"/>
  <c r="Q147" i="3" s="1"/>
  <c r="J716" i="3"/>
  <c r="L716" i="3" s="1"/>
  <c r="N716" i="3" s="1"/>
  <c r="L683" i="3"/>
  <c r="H486" i="3"/>
  <c r="H487" i="3" s="1"/>
  <c r="J453" i="3"/>
  <c r="J454" i="3" s="1"/>
  <c r="H455" i="3"/>
  <c r="J485" i="3"/>
  <c r="J22" i="3"/>
  <c r="H446" i="3"/>
  <c r="H449" i="3"/>
  <c r="H448" i="3"/>
  <c r="H447" i="3"/>
  <c r="H258" i="3"/>
  <c r="J258" i="3" s="1"/>
  <c r="H257" i="3"/>
  <c r="H252" i="3"/>
  <c r="J49" i="3"/>
  <c r="J242" i="3" s="1"/>
  <c r="H556" i="3"/>
  <c r="J556" i="3" s="1"/>
  <c r="L556" i="3" s="1"/>
  <c r="N556" i="3" s="1"/>
  <c r="W1296" i="3"/>
  <c r="W1144" i="3"/>
  <c r="W1146" i="3" s="1"/>
  <c r="H1142" i="3"/>
  <c r="H1144" i="3"/>
  <c r="H912" i="3"/>
  <c r="W910" i="3"/>
  <c r="W912" i="3"/>
  <c r="P910" i="3"/>
  <c r="P912" i="3"/>
  <c r="P235" i="3"/>
  <c r="H581" i="3"/>
  <c r="H566" i="3"/>
  <c r="AE626" i="3"/>
  <c r="AE630" i="3" s="1"/>
  <c r="AE696" i="3"/>
  <c r="AE699" i="3"/>
  <c r="AE308" i="3"/>
  <c r="I221" i="6"/>
  <c r="I220" i="6"/>
  <c r="I219" i="6"/>
  <c r="I274" i="6" s="1"/>
  <c r="AD1172" i="3"/>
  <c r="AD521" i="3"/>
  <c r="AE909" i="3"/>
  <c r="AD491" i="3"/>
  <c r="J909" i="3"/>
  <c r="AD512" i="3"/>
  <c r="AD376" i="3"/>
  <c r="AD311" i="3"/>
  <c r="AE701" i="3"/>
  <c r="AD295" i="3"/>
  <c r="AD702" i="3"/>
  <c r="AE150" i="3"/>
  <c r="AE583" i="3"/>
  <c r="W584" i="3"/>
  <c r="AE293" i="3"/>
  <c r="H521" i="3"/>
  <c r="W512" i="3"/>
  <c r="W724" i="3"/>
  <c r="W521" i="3"/>
  <c r="AD717" i="3"/>
  <c r="AE752" i="3"/>
  <c r="J508" i="3"/>
  <c r="H512" i="3"/>
  <c r="L724" i="3"/>
  <c r="H1176" i="3"/>
  <c r="H1179" i="3"/>
  <c r="W1177" i="3"/>
  <c r="W1179" i="3"/>
  <c r="W1176" i="3"/>
  <c r="AE723" i="3"/>
  <c r="P722" i="3"/>
  <c r="AE710" i="3"/>
  <c r="AE721" i="3"/>
  <c r="AE722" i="3" s="1"/>
  <c r="W722" i="3"/>
  <c r="L722" i="3"/>
  <c r="AE484" i="3"/>
  <c r="AE485" i="3"/>
  <c r="AE464" i="3"/>
  <c r="AE518" i="3"/>
  <c r="AE509" i="3"/>
  <c r="H533" i="3"/>
  <c r="J533" i="3" s="1"/>
  <c r="L533" i="3" s="1"/>
  <c r="N533" i="3" s="1"/>
  <c r="Q533" i="3" s="1"/>
  <c r="W497" i="3"/>
  <c r="W148" i="3"/>
  <c r="B383" i="3"/>
  <c r="AE307" i="3"/>
  <c r="AE301" i="3"/>
  <c r="W300" i="3"/>
  <c r="W1142" i="3"/>
  <c r="W1141" i="3"/>
  <c r="W147" i="3"/>
  <c r="AE147" i="3" s="1"/>
  <c r="AE562" i="3"/>
  <c r="W563" i="3"/>
  <c r="AE693" i="3"/>
  <c r="W376" i="3"/>
  <c r="AE571" i="3"/>
  <c r="W572" i="3"/>
  <c r="AE694" i="3"/>
  <c r="AE695" i="3"/>
  <c r="AE331" i="3"/>
  <c r="AE360" i="3" s="1"/>
  <c r="W331" i="3"/>
  <c r="H56" i="3"/>
  <c r="H241" i="3" s="1"/>
  <c r="AD9" i="3"/>
  <c r="AE559" i="3"/>
  <c r="W560" i="3"/>
  <c r="W581" i="3"/>
  <c r="W575" i="3"/>
  <c r="W578" i="3"/>
  <c r="W566" i="3"/>
  <c r="AE661" i="3"/>
  <c r="AE662" i="3"/>
  <c r="AE304" i="3"/>
  <c r="W311" i="3"/>
  <c r="H162" i="3"/>
  <c r="J162" i="3" s="1"/>
  <c r="L162" i="3" s="1"/>
  <c r="N162" i="3" s="1"/>
  <c r="Q162" i="3" s="1"/>
  <c r="H300" i="3"/>
  <c r="J300" i="3" s="1"/>
  <c r="L300" i="3" s="1"/>
  <c r="N300" i="3" s="1"/>
  <c r="Q300" i="3" s="1"/>
  <c r="Q632" i="3"/>
  <c r="S632" i="3" s="1"/>
  <c r="U632" i="3" s="1"/>
  <c r="Q634" i="3"/>
  <c r="S634" i="3" s="1"/>
  <c r="U634" i="3" s="1"/>
  <c r="AE847" i="3"/>
  <c r="AE849" i="3" s="1"/>
  <c r="AE535" i="3"/>
  <c r="AE569" i="3" s="1"/>
  <c r="W538" i="3"/>
  <c r="W227" i="3" s="1"/>
  <c r="W230" i="3" s="1"/>
  <c r="AE532" i="3"/>
  <c r="W533" i="3"/>
  <c r="J45" i="3"/>
  <c r="H40" i="3"/>
  <c r="AE372" i="3"/>
  <c r="AE683" i="3"/>
  <c r="W492" i="3"/>
  <c r="AE310" i="3"/>
  <c r="AE306" i="3"/>
  <c r="P500" i="3"/>
  <c r="W502" i="3"/>
  <c r="AE171" i="3"/>
  <c r="AE149" i="3"/>
  <c r="J10" i="3"/>
  <c r="J263" i="3" s="1"/>
  <c r="H263" i="3"/>
  <c r="AE478" i="3"/>
  <c r="AE467" i="3"/>
  <c r="AE374" i="3"/>
  <c r="AD281" i="3"/>
  <c r="AE281" i="3" s="1"/>
  <c r="W296" i="3"/>
  <c r="AE296" i="3" s="1"/>
  <c r="J267" i="3"/>
  <c r="H267" i="3"/>
  <c r="AD262" i="3"/>
  <c r="J517" i="3"/>
  <c r="S293" i="3"/>
  <c r="AE6" i="3"/>
  <c r="AE671" i="3"/>
  <c r="AE677" i="3"/>
  <c r="H717" i="3"/>
  <c r="H747" i="3" s="1"/>
  <c r="J699" i="3"/>
  <c r="L699" i="3" s="1"/>
  <c r="N699" i="3" s="1"/>
  <c r="L607" i="3"/>
  <c r="N607" i="3" s="1"/>
  <c r="Q607" i="3"/>
  <c r="S607" i="3" s="1"/>
  <c r="U607" i="3" s="1"/>
  <c r="X607" i="3" s="1"/>
  <c r="Z607" i="3" s="1"/>
  <c r="L609" i="3"/>
  <c r="N609" i="3" s="1"/>
  <c r="Q609" i="3"/>
  <c r="S609" i="3" s="1"/>
  <c r="U609" i="3" s="1"/>
  <c r="X609" i="3" s="1"/>
  <c r="Z609" i="3" s="1"/>
  <c r="W549" i="3"/>
  <c r="AE261" i="3"/>
  <c r="AE8" i="3"/>
  <c r="AE458" i="3" s="1"/>
  <c r="W11" i="3"/>
  <c r="H127" i="3"/>
  <c r="AD263" i="3"/>
  <c r="H1296" i="3"/>
  <c r="Q601" i="3"/>
  <c r="S601" i="3" s="1"/>
  <c r="U601" i="3" s="1"/>
  <c r="X601" i="3" s="1"/>
  <c r="Z601" i="3" s="1"/>
  <c r="S157" i="3"/>
  <c r="U157" i="3" s="1"/>
  <c r="X157" i="3" s="1"/>
  <c r="Z157" i="3" s="1"/>
  <c r="W263" i="3"/>
  <c r="AD303" i="3"/>
  <c r="P575" i="3"/>
  <c r="P581" i="3"/>
  <c r="P578" i="3"/>
  <c r="P566" i="3"/>
  <c r="P572" i="3"/>
  <c r="P538" i="3"/>
  <c r="P584" i="3"/>
  <c r="AE309" i="3"/>
  <c r="P560" i="3"/>
  <c r="J593" i="3"/>
  <c r="J592" i="3" s="1"/>
  <c r="P495" i="3"/>
  <c r="P563" i="3"/>
  <c r="U723" i="3"/>
  <c r="S299" i="3"/>
  <c r="U299" i="3" s="1"/>
  <c r="X299" i="3" s="1"/>
  <c r="Z299" i="3" s="1"/>
  <c r="AE167" i="3"/>
  <c r="AE163" i="3"/>
  <c r="P657" i="3"/>
  <c r="P654" i="3"/>
  <c r="P655" i="3"/>
  <c r="P656" i="3"/>
  <c r="S301" i="3"/>
  <c r="U301" i="3" s="1"/>
  <c r="X301" i="3" s="1"/>
  <c r="Z301" i="3" s="1"/>
  <c r="S269" i="3"/>
  <c r="U269" i="3" s="1"/>
  <c r="X269" i="3" s="1"/>
  <c r="Z269" i="3" s="1"/>
  <c r="Q599" i="3"/>
  <c r="S599" i="3" s="1"/>
  <c r="U599" i="3" s="1"/>
  <c r="X599" i="3" s="1"/>
  <c r="Z599" i="3" s="1"/>
  <c r="Q605" i="3"/>
  <c r="S605" i="3" s="1"/>
  <c r="U605" i="3" s="1"/>
  <c r="X605" i="3" s="1"/>
  <c r="Z605" i="3" s="1"/>
  <c r="S169" i="3"/>
  <c r="U169" i="3" s="1"/>
  <c r="X169" i="3" s="1"/>
  <c r="Z169" i="3" s="1"/>
  <c r="S165" i="3"/>
  <c r="U165" i="3" s="1"/>
  <c r="X165" i="3" s="1"/>
  <c r="Z165" i="3" s="1"/>
  <c r="S307" i="3"/>
  <c r="U307" i="3" s="1"/>
  <c r="X307" i="3" s="1"/>
  <c r="Z307" i="3" s="1"/>
  <c r="AE166" i="3"/>
  <c r="J562" i="3"/>
  <c r="L562" i="3" s="1"/>
  <c r="H563" i="3"/>
  <c r="Q708" i="3"/>
  <c r="S708" i="3" s="1"/>
  <c r="U708" i="3" s="1"/>
  <c r="J571" i="3"/>
  <c r="H572" i="3"/>
  <c r="H578" i="3"/>
  <c r="H575" i="3"/>
  <c r="L847" i="3"/>
  <c r="J583" i="3"/>
  <c r="Q583" i="3" s="1"/>
  <c r="H584" i="3"/>
  <c r="J559" i="3"/>
  <c r="H560" i="3"/>
  <c r="Q603" i="3"/>
  <c r="S603" i="3" s="1"/>
  <c r="U603" i="3" s="1"/>
  <c r="X603" i="3" s="1"/>
  <c r="Z603" i="3" s="1"/>
  <c r="P369" i="3"/>
  <c r="AE47" i="3"/>
  <c r="S310" i="3"/>
  <c r="U310" i="3" s="1"/>
  <c r="X310" i="3" s="1"/>
  <c r="S54" i="3"/>
  <c r="U54" i="3" s="1"/>
  <c r="S274" i="3"/>
  <c r="U274" i="3" s="1"/>
  <c r="X274" i="3" s="1"/>
  <c r="Z274" i="3" s="1"/>
  <c r="W24" i="3"/>
  <c r="S280" i="3"/>
  <c r="L603" i="3"/>
  <c r="N603" i="3" s="1"/>
  <c r="S277" i="3"/>
  <c r="S170" i="3"/>
  <c r="U170" i="3" s="1"/>
  <c r="X170" i="3" s="1"/>
  <c r="Z170" i="3" s="1"/>
  <c r="I189" i="6"/>
  <c r="I188" i="6"/>
  <c r="I187" i="6"/>
  <c r="I270" i="6" s="1"/>
  <c r="J314" i="3"/>
  <c r="L314" i="3" s="1"/>
  <c r="N314" i="3" s="1"/>
  <c r="Q314" i="3" s="1"/>
  <c r="L306" i="3"/>
  <c r="J311" i="3"/>
  <c r="S552" i="3"/>
  <c r="U552" i="3" s="1"/>
  <c r="X552" i="3" s="1"/>
  <c r="Z552" i="3" s="1"/>
  <c r="H295" i="3"/>
  <c r="J295" i="3" s="1"/>
  <c r="L295" i="3" s="1"/>
  <c r="N295" i="3" s="1"/>
  <c r="Q295" i="3" s="1"/>
  <c r="S295" i="3" s="1"/>
  <c r="U295" i="3" s="1"/>
  <c r="I233" i="6"/>
  <c r="I232" i="6"/>
  <c r="I231" i="6"/>
  <c r="I282" i="6" s="1"/>
  <c r="I285" i="6" s="1"/>
  <c r="I193" i="6"/>
  <c r="I192" i="6"/>
  <c r="I191" i="6"/>
  <c r="I271" i="6" s="1"/>
  <c r="Q600" i="3"/>
  <c r="S600" i="3" s="1"/>
  <c r="U600" i="3" s="1"/>
  <c r="X600" i="3" s="1"/>
  <c r="Z600" i="3" s="1"/>
  <c r="Q602" i="3"/>
  <c r="S602" i="3" s="1"/>
  <c r="U602" i="3" s="1"/>
  <c r="X602" i="3" s="1"/>
  <c r="Z602" i="3" s="1"/>
  <c r="Q604" i="3"/>
  <c r="S604" i="3" s="1"/>
  <c r="U604" i="3" s="1"/>
  <c r="X604" i="3" s="1"/>
  <c r="Z604" i="3" s="1"/>
  <c r="I224" i="6"/>
  <c r="I223" i="6"/>
  <c r="I278" i="6" s="1"/>
  <c r="I280" i="6" s="1"/>
  <c r="I225" i="6"/>
  <c r="J6" i="3"/>
  <c r="AE494" i="3"/>
  <c r="AE496" i="3" s="1"/>
  <c r="AE54" i="3"/>
  <c r="Q712" i="3"/>
  <c r="S712" i="3" s="1"/>
  <c r="J321" i="3"/>
  <c r="H331" i="3"/>
  <c r="H360" i="3" s="1"/>
  <c r="J499" i="3"/>
  <c r="H501" i="3"/>
  <c r="J489" i="3"/>
  <c r="H491" i="3"/>
  <c r="J494" i="3"/>
  <c r="H496" i="3"/>
  <c r="J624" i="3"/>
  <c r="J667" i="3" s="1"/>
  <c r="J586" i="3"/>
  <c r="J537" i="3"/>
  <c r="H538" i="3"/>
  <c r="AE280" i="3"/>
  <c r="AE168" i="3"/>
  <c r="P702" i="3"/>
  <c r="W282" i="3"/>
  <c r="AE157" i="3"/>
  <c r="J626" i="3"/>
  <c r="H657" i="3"/>
  <c r="H656" i="3"/>
  <c r="H655" i="3"/>
  <c r="H654" i="3"/>
  <c r="AD56" i="3"/>
  <c r="AD241" i="3" s="1"/>
  <c r="AE165" i="3"/>
  <c r="AE45" i="3"/>
  <c r="Q606" i="3"/>
  <c r="S606" i="3" s="1"/>
  <c r="U606" i="3" s="1"/>
  <c r="X606" i="3" s="1"/>
  <c r="Z606" i="3" s="1"/>
  <c r="H702" i="3"/>
  <c r="S158" i="3"/>
  <c r="U158" i="3" s="1"/>
  <c r="X158" i="3" s="1"/>
  <c r="Z158" i="3" s="1"/>
  <c r="S304" i="3"/>
  <c r="U304" i="3" s="1"/>
  <c r="X304" i="3" s="1"/>
  <c r="Z304" i="3" s="1"/>
  <c r="L600" i="3"/>
  <c r="N600" i="3" s="1"/>
  <c r="L604" i="3"/>
  <c r="N604" i="3" s="1"/>
  <c r="Q705" i="3"/>
  <c r="S705" i="3" s="1"/>
  <c r="P367" i="3"/>
  <c r="H24" i="3"/>
  <c r="J680" i="3"/>
  <c r="J681" i="3" s="1"/>
  <c r="J684" i="3"/>
  <c r="J685" i="3" s="1"/>
  <c r="AE40" i="3"/>
  <c r="AE49" i="3"/>
  <c r="AE242" i="3" s="1"/>
  <c r="AE52" i="3"/>
  <c r="AE55" i="3"/>
  <c r="AE53" i="3"/>
  <c r="P717" i="3"/>
  <c r="P744" i="3" s="1"/>
  <c r="C736" i="3"/>
  <c r="W56" i="3"/>
  <c r="W241" i="3" s="1"/>
  <c r="AE22" i="3"/>
  <c r="AD1169" i="3"/>
  <c r="AE1135" i="3"/>
  <c r="AE1297" i="3" s="1"/>
  <c r="H490" i="3"/>
  <c r="AD1136" i="3"/>
  <c r="S312" i="3"/>
  <c r="U312" i="3" s="1"/>
  <c r="X312" i="3" s="1"/>
  <c r="Z312" i="3" s="1"/>
  <c r="AD533" i="3"/>
  <c r="AE531" i="3"/>
  <c r="AE164" i="3"/>
  <c r="S298" i="3"/>
  <c r="U298" i="3" s="1"/>
  <c r="X298" i="3" s="1"/>
  <c r="Z298" i="3" s="1"/>
  <c r="L553" i="3"/>
  <c r="N553" i="3" s="1"/>
  <c r="Q553" i="3" s="1"/>
  <c r="S553" i="3" s="1"/>
  <c r="U553" i="3" s="1"/>
  <c r="X553" i="3" s="1"/>
  <c r="AE274" i="3"/>
  <c r="AD300" i="3"/>
  <c r="W127" i="3"/>
  <c r="S302" i="3"/>
  <c r="U302" i="3" s="1"/>
  <c r="X302" i="3" s="1"/>
  <c r="Z302" i="3" s="1"/>
  <c r="L518" i="3"/>
  <c r="S519" i="3"/>
  <c r="U519" i="3" s="1"/>
  <c r="X519" i="3" s="1"/>
  <c r="Z519" i="3" s="1"/>
  <c r="H12" i="3"/>
  <c r="H13" i="3" s="1"/>
  <c r="W487" i="3"/>
  <c r="H500" i="3"/>
  <c r="P510" i="3"/>
  <c r="S510" i="3"/>
  <c r="U510" i="3" s="1"/>
  <c r="X510" i="3" s="1"/>
  <c r="Z510" i="3" s="1"/>
  <c r="S532" i="3"/>
  <c r="U532" i="3" s="1"/>
  <c r="X532" i="3" s="1"/>
  <c r="Z532" i="3" s="1"/>
  <c r="AE508" i="3"/>
  <c r="AE489" i="3"/>
  <c r="J484" i="3"/>
  <c r="AE510" i="3"/>
  <c r="W12" i="3"/>
  <c r="W13" i="3" s="1"/>
  <c r="AD12" i="3"/>
  <c r="AD13" i="3" s="1"/>
  <c r="AE473" i="3"/>
  <c r="AE465" i="3"/>
  <c r="J324" i="3"/>
  <c r="AF369" i="3"/>
  <c r="H282" i="3"/>
  <c r="J282" i="3" s="1"/>
  <c r="L282" i="3" s="1"/>
  <c r="N282" i="3" s="1"/>
  <c r="Q282" i="3" s="1"/>
  <c r="AD148" i="3"/>
  <c r="AE554" i="3"/>
  <c r="AE556" i="3" s="1"/>
  <c r="AE519" i="3"/>
  <c r="AE312" i="3"/>
  <c r="W620" i="3"/>
  <c r="AE620" i="3" s="1"/>
  <c r="W654" i="3"/>
  <c r="W663" i="3"/>
  <c r="AD593" i="3"/>
  <c r="AE618" i="3"/>
  <c r="AE266" i="3"/>
  <c r="H148" i="3"/>
  <c r="J148" i="3" s="1"/>
  <c r="H303" i="3"/>
  <c r="J303" i="3" s="1"/>
  <c r="L303" i="3" s="1"/>
  <c r="N303" i="3" s="1"/>
  <c r="Q303" i="3" s="1"/>
  <c r="AE624" i="3"/>
  <c r="W702" i="3"/>
  <c r="AE692" i="3"/>
  <c r="W717" i="3"/>
  <c r="W743" i="3" s="1"/>
  <c r="AD550" i="3"/>
  <c r="S168" i="3"/>
  <c r="U168" i="3" s="1"/>
  <c r="X168" i="3" s="1"/>
  <c r="Z168" i="3" s="1"/>
  <c r="S160" i="3"/>
  <c r="U160" i="3" s="1"/>
  <c r="X160" i="3" s="1"/>
  <c r="Z160" i="3" s="1"/>
  <c r="S166" i="3"/>
  <c r="U166" i="3" s="1"/>
  <c r="X166" i="3" s="1"/>
  <c r="Z166" i="3" s="1"/>
  <c r="S167" i="3"/>
  <c r="U167" i="3" s="1"/>
  <c r="X167" i="3" s="1"/>
  <c r="Z167" i="3" s="1"/>
  <c r="Z164" i="3"/>
  <c r="AB164" i="3" s="1"/>
  <c r="Z150" i="3"/>
  <c r="U313" i="3"/>
  <c r="X313" i="3" s="1"/>
  <c r="Z313" i="3" s="1"/>
  <c r="S53" i="3"/>
  <c r="U53" i="3" s="1"/>
  <c r="S308" i="3"/>
  <c r="U308" i="3" s="1"/>
  <c r="X308" i="3" s="1"/>
  <c r="Z308" i="3" s="1"/>
  <c r="S171" i="3"/>
  <c r="U171" i="3" s="1"/>
  <c r="X171" i="3" s="1"/>
  <c r="S47" i="3"/>
  <c r="U47" i="3" s="1"/>
  <c r="X47" i="3" s="1"/>
  <c r="Z47" i="3" s="1"/>
  <c r="U23" i="3"/>
  <c r="X23" i="3" s="1"/>
  <c r="Z23" i="3" s="1"/>
  <c r="AE277" i="3"/>
  <c r="S296" i="3"/>
  <c r="U296" i="3" s="1"/>
  <c r="X296" i="3" s="1"/>
  <c r="Z296" i="3" s="1"/>
  <c r="S531" i="3"/>
  <c r="U531" i="3" s="1"/>
  <c r="X531" i="3" s="1"/>
  <c r="AE517" i="3"/>
  <c r="S509" i="3"/>
  <c r="U509" i="3" s="1"/>
  <c r="X509" i="3" s="1"/>
  <c r="Z509" i="3" s="1"/>
  <c r="P509" i="3"/>
  <c r="S374" i="3"/>
  <c r="P374" i="3"/>
  <c r="S368" i="3"/>
  <c r="U368" i="3" s="1"/>
  <c r="X368" i="3" s="1"/>
  <c r="Z368" i="3" s="1"/>
  <c r="P368" i="3"/>
  <c r="J549" i="3"/>
  <c r="Q366" i="3"/>
  <c r="AE10" i="3"/>
  <c r="AD11" i="3"/>
  <c r="J554" i="3" l="1"/>
  <c r="L554" i="3" s="1"/>
  <c r="N554" i="3" s="1"/>
  <c r="Q554" i="3" s="1"/>
  <c r="H597" i="3"/>
  <c r="K336" i="6"/>
  <c r="K314" i="6"/>
  <c r="K322" i="6"/>
  <c r="E322" i="6"/>
  <c r="E314" i="6"/>
  <c r="E336" i="6"/>
  <c r="J1448" i="3"/>
  <c r="J1449" i="3"/>
  <c r="J1450" i="3"/>
  <c r="J1444" i="3"/>
  <c r="J1441" i="3"/>
  <c r="J1446" i="3"/>
  <c r="J912" i="3"/>
  <c r="J845" i="3"/>
  <c r="J1440" i="3"/>
  <c r="J1439" i="3"/>
  <c r="J1442" i="3"/>
  <c r="J257" i="3"/>
  <c r="J1445" i="3"/>
  <c r="J1447" i="3"/>
  <c r="J1443" i="3"/>
  <c r="K178" i="6"/>
  <c r="K183" i="6"/>
  <c r="AE685" i="3"/>
  <c r="H916" i="3"/>
  <c r="H687" i="3"/>
  <c r="H648" i="3" s="1"/>
  <c r="AD264" i="3"/>
  <c r="AE454" i="3"/>
  <c r="AB552" i="3"/>
  <c r="AF552" i="3" s="1"/>
  <c r="AB637" i="3"/>
  <c r="AF637" i="3" s="1"/>
  <c r="AB519" i="3"/>
  <c r="AF519" i="3" s="1"/>
  <c r="AB555" i="3"/>
  <c r="AF555" i="3" s="1"/>
  <c r="AB510" i="3"/>
  <c r="AF510" i="3" s="1"/>
  <c r="AB509" i="3"/>
  <c r="AF509" i="3" s="1"/>
  <c r="AB639" i="3"/>
  <c r="AF639" i="3" s="1"/>
  <c r="AB636" i="3"/>
  <c r="AF636" i="3" s="1"/>
  <c r="AF266" i="3"/>
  <c r="AB166" i="3"/>
  <c r="AF166" i="3" s="1"/>
  <c r="AB23" i="3"/>
  <c r="AF23" i="3" s="1"/>
  <c r="AB167" i="3"/>
  <c r="AF167" i="3" s="1"/>
  <c r="AB532" i="3"/>
  <c r="AF532" i="3" s="1"/>
  <c r="AB302" i="3"/>
  <c r="AF302" i="3" s="1"/>
  <c r="AB602" i="3"/>
  <c r="AF602" i="3" s="1"/>
  <c r="AB170" i="3"/>
  <c r="AF170" i="3" s="1"/>
  <c r="AB605" i="3"/>
  <c r="AF605" i="3" s="1"/>
  <c r="AB157" i="3"/>
  <c r="AF157" i="3" s="1"/>
  <c r="AB163" i="3"/>
  <c r="AB313" i="3"/>
  <c r="AF313" i="3" s="1"/>
  <c r="AB298" i="3"/>
  <c r="AB600" i="3"/>
  <c r="AF600" i="3" s="1"/>
  <c r="AB274" i="3"/>
  <c r="AB275" i="3" s="1"/>
  <c r="AB307" i="3"/>
  <c r="AF307" i="3" s="1"/>
  <c r="AB599" i="3"/>
  <c r="AF599" i="3" s="1"/>
  <c r="AB601" i="3"/>
  <c r="AF601" i="3" s="1"/>
  <c r="AB609" i="3"/>
  <c r="AF609" i="3" s="1"/>
  <c r="AB149" i="3"/>
  <c r="AB47" i="3"/>
  <c r="AF47" i="3" s="1"/>
  <c r="AB312" i="3"/>
  <c r="AF312" i="3" s="1"/>
  <c r="AB296" i="3"/>
  <c r="AF296" i="3" s="1"/>
  <c r="AB150" i="3"/>
  <c r="AF150" i="3" s="1"/>
  <c r="AB160" i="3"/>
  <c r="AF160" i="3" s="1"/>
  <c r="AB304" i="3"/>
  <c r="AF304" i="3" s="1"/>
  <c r="AB603" i="3"/>
  <c r="AF603" i="3" s="1"/>
  <c r="AB165" i="3"/>
  <c r="AF165" i="3" s="1"/>
  <c r="AB269" i="3"/>
  <c r="AF269" i="3" s="1"/>
  <c r="AB299" i="3"/>
  <c r="AF299" i="3" s="1"/>
  <c r="AB619" i="3"/>
  <c r="AF619" i="3" s="1"/>
  <c r="AB633" i="3"/>
  <c r="AF633" i="3" s="1"/>
  <c r="AB606" i="3"/>
  <c r="AF606" i="3" s="1"/>
  <c r="AB368" i="3"/>
  <c r="AF368" i="3" s="1"/>
  <c r="AB308" i="3"/>
  <c r="AF308" i="3" s="1"/>
  <c r="AB168" i="3"/>
  <c r="AF168" i="3" s="1"/>
  <c r="AB158" i="3"/>
  <c r="AF158" i="3" s="1"/>
  <c r="AB604" i="3"/>
  <c r="AF604" i="3" s="1"/>
  <c r="AB169" i="3"/>
  <c r="AF169" i="3" s="1"/>
  <c r="AB301" i="3"/>
  <c r="AB607" i="3"/>
  <c r="AF607" i="3" s="1"/>
  <c r="AB631" i="3"/>
  <c r="AF631" i="3" s="1"/>
  <c r="AB608" i="3"/>
  <c r="AF608" i="3" s="1"/>
  <c r="W264" i="3"/>
  <c r="AD687" i="3"/>
  <c r="AD648" i="3" s="1"/>
  <c r="L6" i="3"/>
  <c r="Q6" i="3"/>
  <c r="S775" i="3"/>
  <c r="U775" i="3" s="1"/>
  <c r="X775" i="3" s="1"/>
  <c r="W687" i="3"/>
  <c r="W643" i="3" s="1"/>
  <c r="H644" i="3"/>
  <c r="AE678" i="3"/>
  <c r="AE682" i="3" s="1"/>
  <c r="AE687" i="3" s="1"/>
  <c r="J678" i="3"/>
  <c r="J682" i="3" s="1"/>
  <c r="J687" i="3" s="1"/>
  <c r="J640" i="3"/>
  <c r="H264" i="3"/>
  <c r="Q661" i="3"/>
  <c r="J662" i="3"/>
  <c r="J264" i="3"/>
  <c r="J668" i="3"/>
  <c r="K13" i="6"/>
  <c r="K7" i="6"/>
  <c r="U280" i="3"/>
  <c r="X280" i="3" s="1"/>
  <c r="Z280" i="3" s="1"/>
  <c r="U281" i="3"/>
  <c r="X281" i="3" s="1"/>
  <c r="Z281" i="3" s="1"/>
  <c r="U277" i="3"/>
  <c r="X277" i="3" s="1"/>
  <c r="Z277" i="3" s="1"/>
  <c r="AB277" i="3" s="1"/>
  <c r="AF277" i="3" s="1"/>
  <c r="G11" i="6"/>
  <c r="G13" i="6"/>
  <c r="G14" i="6"/>
  <c r="G7" i="6"/>
  <c r="E7" i="6"/>
  <c r="E13" i="6"/>
  <c r="J490" i="3"/>
  <c r="L8" i="3"/>
  <c r="J458" i="3"/>
  <c r="W235" i="3"/>
  <c r="W234" i="3" s="1"/>
  <c r="AE640" i="3"/>
  <c r="AE235" i="3" s="1"/>
  <c r="H743" i="3"/>
  <c r="G12" i="6"/>
  <c r="P743" i="3"/>
  <c r="L696" i="3"/>
  <c r="N696" i="3" s="1"/>
  <c r="K12" i="6"/>
  <c r="H37" i="3"/>
  <c r="J37" i="3" s="1"/>
  <c r="L37" i="3" s="1"/>
  <c r="N37" i="3" s="1"/>
  <c r="Q37" i="3" s="1"/>
  <c r="S37" i="3" s="1"/>
  <c r="U37" i="3" s="1"/>
  <c r="X37" i="3" s="1"/>
  <c r="Z37" i="3" s="1"/>
  <c r="AB37" i="3" s="1"/>
  <c r="Q694" i="3"/>
  <c r="S694" i="3" s="1"/>
  <c r="U694" i="3" s="1"/>
  <c r="I92" i="26"/>
  <c r="J663" i="3"/>
  <c r="L661" i="3"/>
  <c r="N661" i="3" s="1"/>
  <c r="L752" i="3"/>
  <c r="Q1135" i="3"/>
  <c r="AF1135" i="3" s="1"/>
  <c r="Q752" i="3"/>
  <c r="S752" i="3" s="1"/>
  <c r="S912" i="3" s="1"/>
  <c r="L693" i="3"/>
  <c r="N693" i="3" s="1"/>
  <c r="AD747" i="3"/>
  <c r="AD741" i="3"/>
  <c r="AD743" i="3"/>
  <c r="AD742" i="3"/>
  <c r="AD748" i="3"/>
  <c r="AE480" i="3"/>
  <c r="AE476" i="3"/>
  <c r="AE24" i="3"/>
  <c r="W747" i="3"/>
  <c r="W746" i="3"/>
  <c r="W748" i="3"/>
  <c r="W744" i="3"/>
  <c r="W741" i="3"/>
  <c r="W742" i="3"/>
  <c r="W740" i="3"/>
  <c r="W738" i="3"/>
  <c r="W745" i="3"/>
  <c r="W739" i="3"/>
  <c r="W737" i="3"/>
  <c r="X126" i="3"/>
  <c r="Z126" i="3" s="1"/>
  <c r="AB126" i="3" s="1"/>
  <c r="Q535" i="3"/>
  <c r="Q569" i="3" s="1"/>
  <c r="Q710" i="3"/>
  <c r="S710" i="3" s="1"/>
  <c r="Q722" i="3"/>
  <c r="AE538" i="3"/>
  <c r="AE227" i="3" s="1"/>
  <c r="AE230" i="3" s="1"/>
  <c r="L485" i="3"/>
  <c r="L677" i="3"/>
  <c r="N677" i="3" s="1"/>
  <c r="L671" i="3"/>
  <c r="J1141" i="3"/>
  <c r="J1136" i="3" s="1"/>
  <c r="Q692" i="3"/>
  <c r="S692" i="3" s="1"/>
  <c r="U692" i="3" s="1"/>
  <c r="Q556" i="3"/>
  <c r="S556" i="3" s="1"/>
  <c r="U556" i="3" s="1"/>
  <c r="X556" i="3" s="1"/>
  <c r="Z556" i="3" s="1"/>
  <c r="I277" i="6"/>
  <c r="I281" i="6" s="1"/>
  <c r="I286" i="6" s="1"/>
  <c r="Q698" i="3"/>
  <c r="S698" i="3" s="1"/>
  <c r="U698" i="3" s="1"/>
  <c r="X698" i="3" s="1"/>
  <c r="Z698" i="3" s="1"/>
  <c r="AB698" i="3" s="1"/>
  <c r="P748" i="3"/>
  <c r="P738" i="3"/>
  <c r="P739" i="3"/>
  <c r="P731" i="3"/>
  <c r="P746" i="3"/>
  <c r="P747" i="3"/>
  <c r="P741" i="3"/>
  <c r="P742" i="3"/>
  <c r="Q699" i="3"/>
  <c r="S699" i="3" s="1"/>
  <c r="P745" i="3"/>
  <c r="P737" i="3"/>
  <c r="P740" i="3"/>
  <c r="Q724" i="3"/>
  <c r="N798" i="3"/>
  <c r="N821" i="3"/>
  <c r="Q365" i="3"/>
  <c r="Q370" i="3" s="1"/>
  <c r="N370" i="3"/>
  <c r="N824" i="3"/>
  <c r="L22" i="3"/>
  <c r="L450" i="3" s="1"/>
  <c r="J910" i="3"/>
  <c r="S372" i="3"/>
  <c r="U372" i="3" s="1"/>
  <c r="X372" i="3" s="1"/>
  <c r="Z372" i="3" s="1"/>
  <c r="AE501" i="3"/>
  <c r="AE303" i="3"/>
  <c r="L701" i="3"/>
  <c r="N701" i="3" s="1"/>
  <c r="L695" i="3"/>
  <c r="N695" i="3" s="1"/>
  <c r="H746" i="3"/>
  <c r="H741" i="3"/>
  <c r="H748" i="3"/>
  <c r="H728" i="3"/>
  <c r="H739" i="3"/>
  <c r="H738" i="3"/>
  <c r="H744" i="3"/>
  <c r="H742" i="3"/>
  <c r="H740" i="3"/>
  <c r="H745" i="3"/>
  <c r="H727" i="3"/>
  <c r="H737" i="3"/>
  <c r="AE593" i="3"/>
  <c r="AD17" i="3"/>
  <c r="AD228" i="3"/>
  <c r="AD231" i="3" s="1"/>
  <c r="AE908" i="3"/>
  <c r="AD18" i="3"/>
  <c r="AE657" i="3"/>
  <c r="AE658" i="3"/>
  <c r="AE14" i="3"/>
  <c r="W477" i="3"/>
  <c r="W482" i="3" s="1"/>
  <c r="AE56" i="3"/>
  <c r="AE241" i="3" s="1"/>
  <c r="L472" i="3"/>
  <c r="AE451" i="3"/>
  <c r="AE504" i="3"/>
  <c r="H477" i="3"/>
  <c r="AE263" i="3"/>
  <c r="AE262" i="3"/>
  <c r="AD731" i="3"/>
  <c r="AD745" i="3"/>
  <c r="AD738" i="3"/>
  <c r="AD728" i="3"/>
  <c r="AD746" i="3"/>
  <c r="AD727" i="3"/>
  <c r="AE456" i="3"/>
  <c r="AE450" i="3"/>
  <c r="AE15" i="3"/>
  <c r="J472" i="3"/>
  <c r="AE654" i="3"/>
  <c r="AE1176" i="3"/>
  <c r="AE656" i="3"/>
  <c r="AE659" i="3"/>
  <c r="AE655" i="3"/>
  <c r="AE472" i="3"/>
  <c r="AD477" i="3"/>
  <c r="Q696" i="3"/>
  <c r="J902" i="3"/>
  <c r="Q618" i="3"/>
  <c r="S618" i="3" s="1"/>
  <c r="U618" i="3" s="1"/>
  <c r="J538" i="3"/>
  <c r="J227" i="3" s="1"/>
  <c r="J230" i="3" s="1"/>
  <c r="Z171" i="3"/>
  <c r="W728" i="3"/>
  <c r="W550" i="3"/>
  <c r="Q701" i="3"/>
  <c r="J540" i="3"/>
  <c r="J575" i="3"/>
  <c r="J548" i="3"/>
  <c r="L127" i="3"/>
  <c r="J578" i="3"/>
  <c r="J544" i="3"/>
  <c r="P228" i="3"/>
  <c r="P231" i="3" s="1"/>
  <c r="J566" i="3"/>
  <c r="J546" i="3"/>
  <c r="L535" i="3"/>
  <c r="L569" i="3" s="1"/>
  <c r="W704" i="3"/>
  <c r="J581" i="3"/>
  <c r="S596" i="3"/>
  <c r="U596" i="3" s="1"/>
  <c r="J542" i="3"/>
  <c r="J916" i="3"/>
  <c r="P234" i="3"/>
  <c r="P227" i="3"/>
  <c r="P230" i="3" s="1"/>
  <c r="P728" i="3"/>
  <c r="S55" i="3"/>
  <c r="U55" i="3" s="1"/>
  <c r="X55" i="3" s="1"/>
  <c r="Z55" i="3" s="1"/>
  <c r="AB55" i="3" s="1"/>
  <c r="S300" i="3"/>
  <c r="U300" i="3" s="1"/>
  <c r="J106" i="10"/>
  <c r="K55" i="6"/>
  <c r="O50" i="7"/>
  <c r="J504" i="3"/>
  <c r="S329" i="3"/>
  <c r="U329" i="3" s="1"/>
  <c r="X329" i="3" s="1"/>
  <c r="Z329" i="3" s="1"/>
  <c r="AB329" i="3" s="1"/>
  <c r="S325" i="3"/>
  <c r="U325" i="3" s="1"/>
  <c r="X325" i="3" s="1"/>
  <c r="Z325" i="3" s="1"/>
  <c r="AB325" i="3" s="1"/>
  <c r="S330" i="3"/>
  <c r="U330" i="3" s="1"/>
  <c r="X330" i="3" s="1"/>
  <c r="Z330" i="3" s="1"/>
  <c r="AB330" i="3" s="1"/>
  <c r="N692" i="3"/>
  <c r="H227" i="3"/>
  <c r="H230" i="3" s="1"/>
  <c r="N694" i="3"/>
  <c r="N683" i="3"/>
  <c r="J252" i="3"/>
  <c r="L913" i="3"/>
  <c r="L596" i="3"/>
  <c r="J550" i="3"/>
  <c r="K41" i="7"/>
  <c r="K64" i="7" s="1"/>
  <c r="J908" i="3"/>
  <c r="J449" i="3"/>
  <c r="J448" i="3"/>
  <c r="J1297" i="3"/>
  <c r="J447" i="3"/>
  <c r="L49" i="3"/>
  <c r="L242" i="3" s="1"/>
  <c r="J702" i="3"/>
  <c r="H234" i="3"/>
  <c r="L902" i="3"/>
  <c r="J14" i="3"/>
  <c r="L10" i="3"/>
  <c r="L11" i="3" s="1"/>
  <c r="J15" i="3"/>
  <c r="G41" i="7"/>
  <c r="G64" i="7" s="1"/>
  <c r="I112" i="17"/>
  <c r="I114" i="17" s="1"/>
  <c r="H228" i="3"/>
  <c r="H231" i="3" s="1"/>
  <c r="I113" i="17"/>
  <c r="J1296" i="3"/>
  <c r="W556" i="3"/>
  <c r="E41" i="7"/>
  <c r="E64" i="7" s="1"/>
  <c r="J654" i="3"/>
  <c r="I50" i="8"/>
  <c r="J1179" i="3"/>
  <c r="AE663" i="3"/>
  <c r="L1135" i="3"/>
  <c r="L1142" i="3" s="1"/>
  <c r="AD492" i="3"/>
  <c r="E11" i="6"/>
  <c r="E12" i="6"/>
  <c r="H704" i="3"/>
  <c r="AE455" i="3"/>
  <c r="AE542" i="3"/>
  <c r="AE546" i="3"/>
  <c r="AE548" i="3"/>
  <c r="AE544" i="3"/>
  <c r="AE540" i="3"/>
  <c r="AE486" i="3"/>
  <c r="AE487" i="3" s="1"/>
  <c r="AE490" i="3"/>
  <c r="AE597" i="3"/>
  <c r="AE1439" i="3"/>
  <c r="W1451" i="3"/>
  <c r="W238" i="3" s="1"/>
  <c r="AE252" i="3"/>
  <c r="AE1440" i="3"/>
  <c r="AE1447" i="3"/>
  <c r="AE1443" i="3"/>
  <c r="AE258" i="3"/>
  <c r="AE1446" i="3"/>
  <c r="AE1449" i="3"/>
  <c r="AE1441" i="3"/>
  <c r="AE1448" i="3"/>
  <c r="AD1451" i="3"/>
  <c r="AD238" i="3" s="1"/>
  <c r="X162" i="3"/>
  <c r="AE162" i="3"/>
  <c r="AD744" i="3"/>
  <c r="AE1445" i="3"/>
  <c r="AE257" i="3"/>
  <c r="AE1444" i="3"/>
  <c r="AE1450" i="3"/>
  <c r="AE1442" i="3"/>
  <c r="Z162" i="3"/>
  <c r="AE448" i="3"/>
  <c r="AE449" i="3"/>
  <c r="AE446" i="3"/>
  <c r="AE447" i="3"/>
  <c r="H1451" i="3"/>
  <c r="H238" i="3" s="1"/>
  <c r="L618" i="3"/>
  <c r="N618" i="3" s="1"/>
  <c r="N620" i="3" s="1"/>
  <c r="Q453" i="3"/>
  <c r="S661" i="3"/>
  <c r="U661" i="3" s="1"/>
  <c r="L453" i="3"/>
  <c r="P704" i="3"/>
  <c r="P492" i="3"/>
  <c r="Q490" i="3"/>
  <c r="AD500" i="3"/>
  <c r="Z291" i="3"/>
  <c r="AB291" i="3" s="1"/>
  <c r="W845" i="3"/>
  <c r="W253" i="3" s="1"/>
  <c r="B473" i="3"/>
  <c r="B465" i="3"/>
  <c r="W733" i="3"/>
  <c r="W731" i="3"/>
  <c r="W735" i="3"/>
  <c r="X634" i="3"/>
  <c r="Z634" i="3" s="1"/>
  <c r="J717" i="3"/>
  <c r="J733" i="3" s="1"/>
  <c r="H731" i="3"/>
  <c r="X632" i="3"/>
  <c r="Z632" i="3" s="1"/>
  <c r="L707" i="3"/>
  <c r="N707" i="3" s="1"/>
  <c r="X148" i="3"/>
  <c r="AE127" i="3"/>
  <c r="S278" i="3"/>
  <c r="U705" i="3"/>
  <c r="X705" i="3" s="1"/>
  <c r="Z705" i="3" s="1"/>
  <c r="AB705" i="3" s="1"/>
  <c r="X708" i="3"/>
  <c r="Z708" i="3" s="1"/>
  <c r="AB708" i="3" s="1"/>
  <c r="U712" i="3"/>
  <c r="S151" i="3"/>
  <c r="U151" i="3" s="1"/>
  <c r="P502" i="3"/>
  <c r="P127" i="3"/>
  <c r="Q127" i="3"/>
  <c r="AE563" i="3"/>
  <c r="J630" i="3"/>
  <c r="AF261" i="3"/>
  <c r="Q716" i="3"/>
  <c r="J655" i="3"/>
  <c r="J491" i="3"/>
  <c r="J492" i="3" s="1"/>
  <c r="J455" i="3"/>
  <c r="S147" i="3"/>
  <c r="U147" i="3" s="1"/>
  <c r="X147" i="3" s="1"/>
  <c r="Z147" i="3" s="1"/>
  <c r="L148" i="3"/>
  <c r="N148" i="3" s="1"/>
  <c r="Q148" i="3" s="1"/>
  <c r="J24" i="3"/>
  <c r="Q485" i="3"/>
  <c r="J446" i="3"/>
  <c r="J656" i="3"/>
  <c r="J657" i="3"/>
  <c r="L680" i="3"/>
  <c r="L681" i="3" s="1"/>
  <c r="L684" i="3"/>
  <c r="H845" i="3"/>
  <c r="J56" i="3"/>
  <c r="J241" i="3" s="1"/>
  <c r="J1144" i="3"/>
  <c r="H1146" i="3"/>
  <c r="AE1144" i="3"/>
  <c r="AE1146" i="3" s="1"/>
  <c r="L626" i="3"/>
  <c r="L659" i="3" s="1"/>
  <c r="AE912" i="3"/>
  <c r="P727" i="3"/>
  <c r="P733" i="3"/>
  <c r="H733" i="3"/>
  <c r="Q499" i="3"/>
  <c r="J501" i="3"/>
  <c r="Q489" i="3"/>
  <c r="Q484" i="3"/>
  <c r="J486" i="3"/>
  <c r="J487" i="3" s="1"/>
  <c r="J500" i="3"/>
  <c r="AD733" i="3"/>
  <c r="AD740" i="3"/>
  <c r="AD739" i="3"/>
  <c r="AD737" i="3"/>
  <c r="W727" i="3"/>
  <c r="AE549" i="3"/>
  <c r="AE311" i="3"/>
  <c r="AE560" i="3"/>
  <c r="AE572" i="3"/>
  <c r="P300" i="3"/>
  <c r="P725" i="3"/>
  <c r="AE584" i="3"/>
  <c r="AE521" i="3"/>
  <c r="AE702" i="3"/>
  <c r="AE148" i="3"/>
  <c r="AE300" i="3"/>
  <c r="AE724" i="3"/>
  <c r="J11" i="3"/>
  <c r="AE1179" i="3"/>
  <c r="AE1177" i="3"/>
  <c r="M219" i="6"/>
  <c r="M274" i="6" s="1"/>
  <c r="M220" i="6"/>
  <c r="M221" i="6"/>
  <c r="AE1142" i="3"/>
  <c r="AE575" i="3"/>
  <c r="AE581" i="3"/>
  <c r="AE578" i="3"/>
  <c r="AE566" i="3"/>
  <c r="L909" i="3"/>
  <c r="AE491" i="3"/>
  <c r="AE1296" i="3"/>
  <c r="AD735" i="3"/>
  <c r="AD725" i="3"/>
  <c r="AE910" i="3"/>
  <c r="AE512" i="3"/>
  <c r="AE376" i="3"/>
  <c r="AD704" i="3"/>
  <c r="AD726" i="3" s="1"/>
  <c r="AE295" i="3"/>
  <c r="L517" i="3"/>
  <c r="J521" i="3"/>
  <c r="H1172" i="3"/>
  <c r="J1176" i="3"/>
  <c r="W725" i="3"/>
  <c r="W1172" i="3"/>
  <c r="H735" i="3"/>
  <c r="H725" i="3"/>
  <c r="J512" i="3"/>
  <c r="L508" i="3"/>
  <c r="X723" i="3"/>
  <c r="N710" i="3"/>
  <c r="U721" i="3"/>
  <c r="S722" i="3"/>
  <c r="AE533" i="3"/>
  <c r="AE12" i="3"/>
  <c r="AE13" i="3" s="1"/>
  <c r="P533" i="3"/>
  <c r="S533" i="3"/>
  <c r="U533" i="3" s="1"/>
  <c r="Q626" i="3"/>
  <c r="W1169" i="3"/>
  <c r="W1136" i="3"/>
  <c r="X52" i="3"/>
  <c r="X54" i="3"/>
  <c r="Z54" i="3" s="1"/>
  <c r="AB54" i="3" s="1"/>
  <c r="X53" i="3"/>
  <c r="Z53" i="3" s="1"/>
  <c r="AB53" i="3" s="1"/>
  <c r="Z310" i="3"/>
  <c r="J40" i="3"/>
  <c r="L45" i="3"/>
  <c r="U374" i="3"/>
  <c r="X374" i="3" s="1"/>
  <c r="Z374" i="3" s="1"/>
  <c r="U293" i="3"/>
  <c r="X293" i="3" s="1"/>
  <c r="Z293" i="3" s="1"/>
  <c r="AE9" i="3"/>
  <c r="H1169" i="3"/>
  <c r="W275" i="3"/>
  <c r="H502" i="3"/>
  <c r="J331" i="3"/>
  <c r="L715" i="3"/>
  <c r="Q715" i="3"/>
  <c r="AD275" i="3"/>
  <c r="L490" i="3"/>
  <c r="L484" i="3"/>
  <c r="L494" i="3"/>
  <c r="Q494" i="3"/>
  <c r="P735" i="3"/>
  <c r="P497" i="3"/>
  <c r="L593" i="3"/>
  <c r="Q593" i="3"/>
  <c r="J496" i="3"/>
  <c r="L478" i="3"/>
  <c r="L480" i="3" s="1"/>
  <c r="L473" i="3"/>
  <c r="L476" i="3" s="1"/>
  <c r="M231" i="6"/>
  <c r="M282" i="6" s="1"/>
  <c r="M285" i="6" s="1"/>
  <c r="S314" i="3"/>
  <c r="U314" i="3" s="1"/>
  <c r="X314" i="3" s="1"/>
  <c r="Z314" i="3" s="1"/>
  <c r="X303" i="3"/>
  <c r="M233" i="6"/>
  <c r="S583" i="3"/>
  <c r="H495" i="3"/>
  <c r="J1169" i="3"/>
  <c r="L499" i="3"/>
  <c r="N562" i="3"/>
  <c r="J560" i="3"/>
  <c r="Q559" i="3"/>
  <c r="L559" i="3"/>
  <c r="N8" i="3"/>
  <c r="AF662" i="3"/>
  <c r="L489" i="3"/>
  <c r="N847" i="3"/>
  <c r="L849" i="3"/>
  <c r="J572" i="3"/>
  <c r="Q571" i="3"/>
  <c r="L571" i="3"/>
  <c r="J584" i="3"/>
  <c r="L583" i="3"/>
  <c r="Q562" i="3"/>
  <c r="J563" i="3"/>
  <c r="N306" i="3"/>
  <c r="Q306" i="3" s="1"/>
  <c r="L311" i="3"/>
  <c r="N311" i="3" s="1"/>
  <c r="S162" i="3"/>
  <c r="U162" i="3" s="1"/>
  <c r="N467" i="3"/>
  <c r="N464" i="3"/>
  <c r="Z303" i="3"/>
  <c r="J9" i="3"/>
  <c r="M232" i="6"/>
  <c r="M225" i="6"/>
  <c r="M223" i="6"/>
  <c r="M278" i="6" s="1"/>
  <c r="M280" i="6" s="1"/>
  <c r="M224" i="6"/>
  <c r="X300" i="3"/>
  <c r="P376" i="3"/>
  <c r="L321" i="3"/>
  <c r="N321" i="3" s="1"/>
  <c r="Q321" i="3" s="1"/>
  <c r="L537" i="3"/>
  <c r="L624" i="3"/>
  <c r="Q624" i="3"/>
  <c r="J625" i="3"/>
  <c r="Q586" i="3"/>
  <c r="L586" i="3"/>
  <c r="J12" i="3"/>
  <c r="AE1141" i="3"/>
  <c r="H492" i="3"/>
  <c r="Z148" i="3"/>
  <c r="J127" i="3"/>
  <c r="Z553" i="3"/>
  <c r="AB553" i="3" s="1"/>
  <c r="X554" i="3"/>
  <c r="AE267" i="3"/>
  <c r="W267" i="3"/>
  <c r="N518" i="3"/>
  <c r="S282" i="3"/>
  <c r="U282" i="3" s="1"/>
  <c r="P282" i="3"/>
  <c r="L324" i="3"/>
  <c r="N324" i="3" s="1"/>
  <c r="Q324" i="3" s="1"/>
  <c r="AD592" i="3"/>
  <c r="AE625" i="3"/>
  <c r="AD495" i="3"/>
  <c r="AE717" i="3"/>
  <c r="P303" i="3"/>
  <c r="S303" i="3"/>
  <c r="U303" i="3" s="1"/>
  <c r="Z300" i="3"/>
  <c r="P366" i="3"/>
  <c r="S366" i="3"/>
  <c r="U366" i="3" s="1"/>
  <c r="X366" i="3" s="1"/>
  <c r="AE11" i="3"/>
  <c r="H275" i="3"/>
  <c r="L549" i="3"/>
  <c r="X533" i="3"/>
  <c r="Z531" i="3"/>
  <c r="AB531" i="3" s="1"/>
  <c r="K313" i="6" l="1"/>
  <c r="K330" i="6"/>
  <c r="K316" i="6"/>
  <c r="E323" i="6"/>
  <c r="G322" i="6"/>
  <c r="G314" i="6"/>
  <c r="G336" i="6"/>
  <c r="E324" i="6"/>
  <c r="E325" i="6" s="1"/>
  <c r="K324" i="6"/>
  <c r="K325" i="6" s="1"/>
  <c r="K323" i="6"/>
  <c r="E313" i="6"/>
  <c r="E330" i="6"/>
  <c r="G316" i="6"/>
  <c r="G330" i="6"/>
  <c r="G313" i="6"/>
  <c r="E337" i="6"/>
  <c r="E338" i="6"/>
  <c r="E339" i="6" s="1"/>
  <c r="K337" i="6"/>
  <c r="K338" i="6"/>
  <c r="K339" i="6" s="1"/>
  <c r="E326" i="6"/>
  <c r="G178" i="6"/>
  <c r="E152" i="6"/>
  <c r="E316" i="6"/>
  <c r="G65" i="6"/>
  <c r="G61" i="6"/>
  <c r="G64" i="6"/>
  <c r="G60" i="6"/>
  <c r="G63" i="6"/>
  <c r="G62" i="6"/>
  <c r="E64" i="6"/>
  <c r="E65" i="6"/>
  <c r="E62" i="6"/>
  <c r="E61" i="6"/>
  <c r="E63" i="6"/>
  <c r="K63" i="6"/>
  <c r="K62" i="6"/>
  <c r="K65" i="6"/>
  <c r="K61" i="6"/>
  <c r="K64" i="6"/>
  <c r="K60" i="6"/>
  <c r="AF412" i="3"/>
  <c r="AF411" i="3"/>
  <c r="AF410" i="3"/>
  <c r="J1451" i="3"/>
  <c r="J238" i="3" s="1"/>
  <c r="K54" i="6"/>
  <c r="K152" i="6"/>
  <c r="K156" i="6"/>
  <c r="E15" i="6"/>
  <c r="E59" i="6" s="1"/>
  <c r="G152" i="6"/>
  <c r="H253" i="3"/>
  <c r="H647" i="3"/>
  <c r="H646" i="3"/>
  <c r="H645" i="3"/>
  <c r="H643" i="3"/>
  <c r="AE264" i="3"/>
  <c r="AB303" i="3"/>
  <c r="AF303" i="3" s="1"/>
  <c r="AB556" i="3"/>
  <c r="AF556" i="3" s="1"/>
  <c r="AB554" i="3"/>
  <c r="AB533" i="3"/>
  <c r="AB300" i="3"/>
  <c r="AF300" i="3" s="1"/>
  <c r="AB162" i="3"/>
  <c r="AB293" i="3"/>
  <c r="AF293" i="3" s="1"/>
  <c r="AB310" i="3"/>
  <c r="AF310" i="3" s="1"/>
  <c r="AB171" i="3"/>
  <c r="AF171" i="3" s="1"/>
  <c r="AB281" i="3"/>
  <c r="AF281" i="3" s="1"/>
  <c r="AF274" i="3"/>
  <c r="AF298" i="3"/>
  <c r="AF163" i="3"/>
  <c r="AB314" i="3"/>
  <c r="AF314" i="3" s="1"/>
  <c r="AB374" i="3"/>
  <c r="AF374" i="3" s="1"/>
  <c r="AB147" i="3"/>
  <c r="AF147" i="3" s="1"/>
  <c r="AB634" i="3"/>
  <c r="AF634" i="3" s="1"/>
  <c r="AB280" i="3"/>
  <c r="AF280" i="3" s="1"/>
  <c r="AB148" i="3"/>
  <c r="AB632" i="3"/>
  <c r="AF632" i="3" s="1"/>
  <c r="AB372" i="3"/>
  <c r="AF301" i="3"/>
  <c r="AF149" i="3"/>
  <c r="AF148" i="3" s="1"/>
  <c r="E60" i="6"/>
  <c r="Z775" i="3"/>
  <c r="AB775" i="3" s="1"/>
  <c r="AF775" i="3" s="1"/>
  <c r="AD643" i="3"/>
  <c r="AD644" i="3"/>
  <c r="AD646" i="3"/>
  <c r="W647" i="3"/>
  <c r="AD647" i="3"/>
  <c r="AD645" i="3"/>
  <c r="W644" i="3"/>
  <c r="W648" i="3"/>
  <c r="W645" i="3"/>
  <c r="W646" i="3"/>
  <c r="Q662" i="3"/>
  <c r="Q667" i="3"/>
  <c r="Q630" i="3"/>
  <c r="S630" i="3" s="1"/>
  <c r="U630" i="3" s="1"/>
  <c r="X630" i="3" s="1"/>
  <c r="Z630" i="3" s="1"/>
  <c r="AB630" i="3" s="1"/>
  <c r="Q640" i="3"/>
  <c r="G183" i="6"/>
  <c r="G55" i="6"/>
  <c r="L912" i="3"/>
  <c r="L910" i="3"/>
  <c r="J648" i="3"/>
  <c r="J647" i="3"/>
  <c r="J646" i="3"/>
  <c r="J645" i="3"/>
  <c r="J643" i="3"/>
  <c r="J644" i="3"/>
  <c r="L640" i="3"/>
  <c r="L667" i="3"/>
  <c r="L662" i="3"/>
  <c r="L668" i="3"/>
  <c r="AE646" i="3"/>
  <c r="AE648" i="3"/>
  <c r="AE647" i="3"/>
  <c r="AE643" i="3"/>
  <c r="AE644" i="3"/>
  <c r="AE645" i="3"/>
  <c r="N684" i="3"/>
  <c r="L685" i="3"/>
  <c r="N671" i="3"/>
  <c r="Q671" i="3" s="1"/>
  <c r="L678" i="3"/>
  <c r="L682" i="3" s="1"/>
  <c r="U278" i="3"/>
  <c r="X278" i="3" s="1"/>
  <c r="X282" i="3" s="1"/>
  <c r="I7" i="6"/>
  <c r="H497" i="3"/>
  <c r="N453" i="3"/>
  <c r="N454" i="3" s="1"/>
  <c r="L454" i="3"/>
  <c r="N262" i="3"/>
  <c r="N458" i="3"/>
  <c r="L458" i="3"/>
  <c r="L262" i="3"/>
  <c r="L9" i="3"/>
  <c r="Q663" i="3"/>
  <c r="J235" i="3"/>
  <c r="AF640" i="3"/>
  <c r="N752" i="3"/>
  <c r="N912" i="3" s="1"/>
  <c r="W384" i="3"/>
  <c r="W387" i="3"/>
  <c r="Q575" i="3"/>
  <c r="K15" i="6"/>
  <c r="K36" i="6" s="1"/>
  <c r="S535" i="3"/>
  <c r="S569" i="3" s="1"/>
  <c r="Q584" i="3"/>
  <c r="Q540" i="3"/>
  <c r="Q581" i="3"/>
  <c r="Q542" i="3"/>
  <c r="Q566" i="3"/>
  <c r="Q544" i="3"/>
  <c r="Q546" i="3"/>
  <c r="Q563" i="3"/>
  <c r="Q572" i="3"/>
  <c r="Q560" i="3"/>
  <c r="Q578" i="3"/>
  <c r="AF535" i="3"/>
  <c r="AF569" i="3" s="1"/>
  <c r="Q548" i="3"/>
  <c r="J597" i="3"/>
  <c r="AE477" i="3"/>
  <c r="AE482" i="3" s="1"/>
  <c r="AE387" i="3" s="1"/>
  <c r="J743" i="3"/>
  <c r="S696" i="3"/>
  <c r="U699" i="3"/>
  <c r="X699" i="3" s="1"/>
  <c r="Z699" i="3" s="1"/>
  <c r="AB699" i="3" s="1"/>
  <c r="M92" i="26"/>
  <c r="J13" i="3"/>
  <c r="L12" i="3"/>
  <c r="S1135" i="3"/>
  <c r="U1135" i="3" s="1"/>
  <c r="L663" i="3"/>
  <c r="Q912" i="3"/>
  <c r="N485" i="3"/>
  <c r="AD650" i="3"/>
  <c r="AD652" i="3"/>
  <c r="AD651" i="3"/>
  <c r="AE746" i="3"/>
  <c r="AE747" i="3"/>
  <c r="AE741" i="3"/>
  <c r="AE748" i="3"/>
  <c r="AE744" i="3"/>
  <c r="AE740" i="3"/>
  <c r="AE739" i="3"/>
  <c r="AE742" i="3"/>
  <c r="AE745" i="3"/>
  <c r="AE743" i="3"/>
  <c r="AE738" i="3"/>
  <c r="AE737" i="3"/>
  <c r="AF443" i="3"/>
  <c r="AD443" i="3"/>
  <c r="AI236" i="6" s="1"/>
  <c r="AF436" i="3"/>
  <c r="AD436" i="3"/>
  <c r="AI221" i="6" s="1"/>
  <c r="AF330" i="3"/>
  <c r="AF126" i="3"/>
  <c r="AF127" i="3" s="1"/>
  <c r="AF325" i="3"/>
  <c r="AF705" i="3"/>
  <c r="AF329" i="3"/>
  <c r="X712" i="3"/>
  <c r="W713" i="3"/>
  <c r="W726" i="3"/>
  <c r="W651" i="3"/>
  <c r="N680" i="3"/>
  <c r="N681" i="3" s="1"/>
  <c r="W652" i="3"/>
  <c r="W650" i="3"/>
  <c r="L24" i="3"/>
  <c r="U752" i="3"/>
  <c r="U912" i="3" s="1"/>
  <c r="N22" i="3"/>
  <c r="Q824" i="3"/>
  <c r="S824" i="3" s="1"/>
  <c r="Q798" i="3"/>
  <c r="S798" i="3" s="1"/>
  <c r="Q821" i="3"/>
  <c r="S821" i="3" s="1"/>
  <c r="S701" i="3"/>
  <c r="U701" i="3" s="1"/>
  <c r="X701" i="3" s="1"/>
  <c r="P713" i="3"/>
  <c r="P726" i="3"/>
  <c r="S620" i="3"/>
  <c r="S365" i="3"/>
  <c r="U365" i="3" s="1"/>
  <c r="X365" i="3" s="1"/>
  <c r="P365" i="3"/>
  <c r="P370" i="3" s="1"/>
  <c r="L451" i="3"/>
  <c r="N49" i="3"/>
  <c r="N242" i="3" s="1"/>
  <c r="L658" i="3"/>
  <c r="N10" i="3"/>
  <c r="N263" i="3" s="1"/>
  <c r="L263" i="3"/>
  <c r="N490" i="3"/>
  <c r="J737" i="3"/>
  <c r="J747" i="3"/>
  <c r="J742" i="3"/>
  <c r="J746" i="3"/>
  <c r="J741" i="3"/>
  <c r="J745" i="3"/>
  <c r="J738" i="3"/>
  <c r="J739" i="3"/>
  <c r="J748" i="3"/>
  <c r="J740" i="3"/>
  <c r="J744" i="3"/>
  <c r="L504" i="3"/>
  <c r="B720" i="3"/>
  <c r="B717" i="3"/>
  <c r="J704" i="3"/>
  <c r="J713" i="3" s="1"/>
  <c r="H726" i="3"/>
  <c r="AE17" i="3"/>
  <c r="AD713" i="3"/>
  <c r="AE234" i="3"/>
  <c r="AE550" i="3"/>
  <c r="AE18" i="3"/>
  <c r="AE592" i="3"/>
  <c r="AD482" i="3"/>
  <c r="L477" i="3"/>
  <c r="AF164" i="3"/>
  <c r="N472" i="3"/>
  <c r="J477" i="3"/>
  <c r="AD749" i="3"/>
  <c r="AE728" i="3"/>
  <c r="AE727" i="3"/>
  <c r="L581" i="3"/>
  <c r="L578" i="3"/>
  <c r="L544" i="3"/>
  <c r="Q620" i="3"/>
  <c r="L447" i="3"/>
  <c r="W749" i="3"/>
  <c r="W228" i="3"/>
  <c r="W231" i="3" s="1"/>
  <c r="W386" i="3"/>
  <c r="W385" i="3"/>
  <c r="X596" i="3"/>
  <c r="X694" i="3"/>
  <c r="X692" i="3"/>
  <c r="X693" i="3"/>
  <c r="B719" i="3"/>
  <c r="AE704" i="3"/>
  <c r="AE726" i="3" s="1"/>
  <c r="M111" i="17"/>
  <c r="I12" i="6"/>
  <c r="L575" i="3"/>
  <c r="L563" i="3"/>
  <c r="AE492" i="3"/>
  <c r="H713" i="3"/>
  <c r="N1135" i="3"/>
  <c r="N1142" i="3" s="1"/>
  <c r="Q1142" i="3" s="1"/>
  <c r="N535" i="3"/>
  <c r="N569" i="3" s="1"/>
  <c r="L546" i="3"/>
  <c r="L845" i="3"/>
  <c r="N770" i="3"/>
  <c r="Q770" i="3" s="1"/>
  <c r="S770" i="3" s="1"/>
  <c r="L620" i="3"/>
  <c r="S593" i="3"/>
  <c r="U593" i="3" s="1"/>
  <c r="L1141" i="3"/>
  <c r="L1136" i="3" s="1"/>
  <c r="L548" i="3"/>
  <c r="L542" i="3"/>
  <c r="L566" i="3"/>
  <c r="L540" i="3"/>
  <c r="L1296" i="3"/>
  <c r="S707" i="3"/>
  <c r="Q702" i="3"/>
  <c r="S702" i="3" s="1"/>
  <c r="U702" i="3" s="1"/>
  <c r="P749" i="3"/>
  <c r="Q500" i="3"/>
  <c r="L448" i="3"/>
  <c r="J728" i="3"/>
  <c r="E55" i="6"/>
  <c r="G54" i="6"/>
  <c r="E54" i="6"/>
  <c r="N586" i="3"/>
  <c r="N913" i="3"/>
  <c r="N593" i="3"/>
  <c r="L908" i="3"/>
  <c r="N909" i="3"/>
  <c r="L449" i="3"/>
  <c r="H482" i="3"/>
  <c r="H389" i="3" s="1"/>
  <c r="L550" i="3"/>
  <c r="Q112" i="17"/>
  <c r="Q114" i="17" s="1"/>
  <c r="Q683" i="3"/>
  <c r="N596" i="3"/>
  <c r="Q677" i="3"/>
  <c r="L15" i="3"/>
  <c r="L14" i="3"/>
  <c r="L1297" i="3"/>
  <c r="L702" i="3"/>
  <c r="L252" i="3"/>
  <c r="M112" i="17"/>
  <c r="M114" i="17" s="1"/>
  <c r="J228" i="3"/>
  <c r="J231" i="3" s="1"/>
  <c r="M113" i="17"/>
  <c r="K39" i="7"/>
  <c r="J234" i="3"/>
  <c r="M189" i="6"/>
  <c r="M188" i="6"/>
  <c r="Q270" i="6"/>
  <c r="M187" i="6"/>
  <c r="M270" i="6" s="1"/>
  <c r="M193" i="6"/>
  <c r="L446" i="3"/>
  <c r="M50" i="8"/>
  <c r="M192" i="6"/>
  <c r="M191" i="6"/>
  <c r="M271" i="6" s="1"/>
  <c r="J18" i="3"/>
  <c r="J17" i="3"/>
  <c r="L258" i="3"/>
  <c r="L257" i="3"/>
  <c r="I11" i="6"/>
  <c r="B721" i="3"/>
  <c r="G156" i="6"/>
  <c r="G15" i="6"/>
  <c r="G59" i="6" s="1"/>
  <c r="G39" i="7"/>
  <c r="L1179" i="3"/>
  <c r="I111" i="17"/>
  <c r="I115" i="17" s="1"/>
  <c r="S485" i="3"/>
  <c r="L267" i="3"/>
  <c r="H749" i="3"/>
  <c r="E39" i="7"/>
  <c r="I30" i="7"/>
  <c r="I14" i="6"/>
  <c r="E178" i="6"/>
  <c r="E183" i="6"/>
  <c r="E156" i="6"/>
  <c r="I13" i="6"/>
  <c r="L655" i="3"/>
  <c r="AE733" i="3"/>
  <c r="AE731" i="3"/>
  <c r="AE1451" i="3"/>
  <c r="AE238" i="3" s="1"/>
  <c r="L455" i="3"/>
  <c r="S453" i="3"/>
  <c r="AD502" i="3"/>
  <c r="AE500" i="3"/>
  <c r="AF37" i="3"/>
  <c r="AF54" i="3"/>
  <c r="AF55" i="3"/>
  <c r="AF53" i="3"/>
  <c r="Z52" i="3"/>
  <c r="X295" i="3"/>
  <c r="AF291" i="3"/>
  <c r="Z295" i="3"/>
  <c r="N473" i="3"/>
  <c r="N476" i="3" s="1"/>
  <c r="L657" i="3"/>
  <c r="W390" i="3"/>
  <c r="W389" i="3"/>
  <c r="W391" i="3"/>
  <c r="AF708" i="3"/>
  <c r="B718" i="3"/>
  <c r="J731" i="3"/>
  <c r="S554" i="3"/>
  <c r="L56" i="3"/>
  <c r="L241" i="3" s="1"/>
  <c r="L331" i="3"/>
  <c r="J360" i="3"/>
  <c r="S716" i="3"/>
  <c r="U716" i="3" s="1"/>
  <c r="X716" i="3" s="1"/>
  <c r="Z716" i="3" s="1"/>
  <c r="AB716" i="3" s="1"/>
  <c r="L654" i="3"/>
  <c r="L630" i="3"/>
  <c r="J253" i="3"/>
  <c r="N494" i="3"/>
  <c r="L486" i="3"/>
  <c r="L487" i="3" s="1"/>
  <c r="N489" i="3"/>
  <c r="S148" i="3"/>
  <c r="U148" i="3" s="1"/>
  <c r="P148" i="3"/>
  <c r="L656" i="3"/>
  <c r="L501" i="3"/>
  <c r="L1144" i="3"/>
  <c r="L1146" i="3" s="1"/>
  <c r="J1146" i="3"/>
  <c r="J495" i="3"/>
  <c r="Q235" i="3"/>
  <c r="N626" i="3"/>
  <c r="J502" i="3"/>
  <c r="L500" i="3"/>
  <c r="S626" i="3"/>
  <c r="J727" i="3"/>
  <c r="AE1172" i="3"/>
  <c r="Q274" i="6"/>
  <c r="AE725" i="3"/>
  <c r="AE735" i="3"/>
  <c r="X275" i="3"/>
  <c r="X56" i="3"/>
  <c r="X241" i="3" s="1"/>
  <c r="N517" i="3"/>
  <c r="L521" i="3"/>
  <c r="J725" i="3"/>
  <c r="N508" i="3"/>
  <c r="L512" i="3"/>
  <c r="U724" i="3"/>
  <c r="J1172" i="3"/>
  <c r="L1176" i="3"/>
  <c r="Z723" i="3"/>
  <c r="U710" i="3"/>
  <c r="X710" i="3" s="1"/>
  <c r="Z710" i="3" s="1"/>
  <c r="AB710" i="3" s="1"/>
  <c r="X721" i="3"/>
  <c r="U722" i="3"/>
  <c r="L496" i="3"/>
  <c r="Q278" i="6"/>
  <c r="Q280" i="6" s="1"/>
  <c r="X376" i="3"/>
  <c r="L1169" i="3"/>
  <c r="L40" i="3"/>
  <c r="N45" i="3"/>
  <c r="N484" i="3"/>
  <c r="AE275" i="3"/>
  <c r="J735" i="3"/>
  <c r="S715" i="3"/>
  <c r="U715" i="3" s="1"/>
  <c r="X715" i="3" s="1"/>
  <c r="Q717" i="3"/>
  <c r="Q742" i="3" s="1"/>
  <c r="N715" i="3"/>
  <c r="N717" i="3" s="1"/>
  <c r="N743" i="3" s="1"/>
  <c r="L717" i="3"/>
  <c r="L740" i="3" s="1"/>
  <c r="Q282" i="6"/>
  <c r="Q285" i="6" s="1"/>
  <c r="H651" i="3"/>
  <c r="L592" i="3"/>
  <c r="H652" i="3"/>
  <c r="N478" i="3"/>
  <c r="U583" i="3"/>
  <c r="Q311" i="3"/>
  <c r="S494" i="3"/>
  <c r="P311" i="3"/>
  <c r="Q625" i="3"/>
  <c r="S559" i="3"/>
  <c r="U559" i="3" s="1"/>
  <c r="L491" i="3"/>
  <c r="N499" i="3"/>
  <c r="S562" i="3"/>
  <c r="N583" i="3"/>
  <c r="L584" i="3"/>
  <c r="N571" i="3"/>
  <c r="L572" i="3"/>
  <c r="Q847" i="3"/>
  <c r="Q849" i="3" s="1"/>
  <c r="N849" i="3"/>
  <c r="S571" i="3"/>
  <c r="Q8" i="3"/>
  <c r="N559" i="3"/>
  <c r="L560" i="3"/>
  <c r="S306" i="3"/>
  <c r="S489" i="3"/>
  <c r="Q467" i="3"/>
  <c r="Q464" i="3"/>
  <c r="N537" i="3"/>
  <c r="Q537" i="3" s="1"/>
  <c r="Q538" i="3" s="1"/>
  <c r="Q227" i="3" s="1"/>
  <c r="Q230" i="3" s="1"/>
  <c r="L538" i="3"/>
  <c r="H650" i="3"/>
  <c r="AE1169" i="3"/>
  <c r="N6" i="3"/>
  <c r="S6" i="3"/>
  <c r="AF6" i="3"/>
  <c r="S586" i="3"/>
  <c r="S624" i="3"/>
  <c r="L625" i="3"/>
  <c r="N624" i="3"/>
  <c r="Z275" i="3"/>
  <c r="AE1136" i="3"/>
  <c r="Z554" i="3"/>
  <c r="Q518" i="3"/>
  <c r="N331" i="3"/>
  <c r="N360" i="3" s="1"/>
  <c r="S370" i="3"/>
  <c r="U370" i="3" s="1"/>
  <c r="AE495" i="3"/>
  <c r="AD497" i="3"/>
  <c r="X618" i="3"/>
  <c r="U620" i="3"/>
  <c r="Z533" i="3"/>
  <c r="N267" i="3"/>
  <c r="Q267" i="3" s="1"/>
  <c r="Z366" i="3"/>
  <c r="AB366" i="3" s="1"/>
  <c r="X661" i="3"/>
  <c r="N549" i="3"/>
  <c r="Q549" i="3" s="1"/>
  <c r="U695" i="3"/>
  <c r="J275" i="3"/>
  <c r="E340" i="6" l="1"/>
  <c r="K340" i="6"/>
  <c r="K326" i="6"/>
  <c r="E317" i="6"/>
  <c r="E331" i="6"/>
  <c r="E332" i="6"/>
  <c r="E333" i="6" s="1"/>
  <c r="G338" i="6"/>
  <c r="G339" i="6" s="1"/>
  <c r="G337" i="6"/>
  <c r="K318" i="6"/>
  <c r="K319" i="6" s="1"/>
  <c r="K317" i="6"/>
  <c r="I330" i="6"/>
  <c r="I316" i="6"/>
  <c r="I313" i="6"/>
  <c r="I322" i="6"/>
  <c r="I336" i="6"/>
  <c r="I314" i="6"/>
  <c r="G331" i="6"/>
  <c r="G332" i="6"/>
  <c r="G333" i="6" s="1"/>
  <c r="K331" i="6"/>
  <c r="K332" i="6"/>
  <c r="K333" i="6" s="1"/>
  <c r="G318" i="6"/>
  <c r="G319" i="6" s="1"/>
  <c r="G317" i="6"/>
  <c r="G323" i="6"/>
  <c r="G324" i="6"/>
  <c r="G325" i="6" s="1"/>
  <c r="I157" i="6"/>
  <c r="I184" i="6"/>
  <c r="E318" i="6"/>
  <c r="E319" i="6" s="1"/>
  <c r="I62" i="6"/>
  <c r="I64" i="6"/>
  <c r="I65" i="6"/>
  <c r="I61" i="6"/>
  <c r="I63" i="6"/>
  <c r="N663" i="3"/>
  <c r="AD410" i="3"/>
  <c r="AE410" i="3" s="1"/>
  <c r="AD412" i="3"/>
  <c r="AE412" i="3" s="1"/>
  <c r="AD411" i="3"/>
  <c r="AE411" i="3" s="1"/>
  <c r="M30" i="7"/>
  <c r="M41" i="7" s="1"/>
  <c r="M64" i="7" s="1"/>
  <c r="I41" i="7"/>
  <c r="I64" i="7" s="1"/>
  <c r="K59" i="6"/>
  <c r="AF542" i="3"/>
  <c r="H642" i="3"/>
  <c r="AB723" i="3"/>
  <c r="AF723" i="3" s="1"/>
  <c r="AB376" i="3"/>
  <c r="AB295" i="3"/>
  <c r="AF162" i="3"/>
  <c r="AF372" i="3"/>
  <c r="AF376" i="3" s="1"/>
  <c r="AF295" i="3"/>
  <c r="Z56" i="3"/>
  <c r="Z241" i="3" s="1"/>
  <c r="AB52" i="3"/>
  <c r="AB56" i="3" s="1"/>
  <c r="AB241" i="3" s="1"/>
  <c r="AD642" i="3"/>
  <c r="W642" i="3"/>
  <c r="N640" i="3"/>
  <c r="S667" i="3"/>
  <c r="S640" i="3"/>
  <c r="S235" i="3" s="1"/>
  <c r="S662" i="3"/>
  <c r="Q458" i="3"/>
  <c r="Q454" i="3"/>
  <c r="N658" i="3"/>
  <c r="N659" i="3"/>
  <c r="N667" i="3"/>
  <c r="N662" i="3"/>
  <c r="N668" i="3"/>
  <c r="Q668" i="3" s="1"/>
  <c r="S668" i="3" s="1"/>
  <c r="N264" i="3"/>
  <c r="Q22" i="3"/>
  <c r="S22" i="3" s="1"/>
  <c r="N450" i="3"/>
  <c r="N451" i="3"/>
  <c r="M7" i="6"/>
  <c r="L264" i="3"/>
  <c r="AE642" i="3"/>
  <c r="J642" i="3"/>
  <c r="L687" i="3"/>
  <c r="Q684" i="3"/>
  <c r="N685" i="3"/>
  <c r="S671" i="3"/>
  <c r="U671" i="3" s="1"/>
  <c r="N678" i="3"/>
  <c r="N682" i="3" s="1"/>
  <c r="S566" i="3"/>
  <c r="S584" i="3"/>
  <c r="AF581" i="3"/>
  <c r="S544" i="3"/>
  <c r="S663" i="3"/>
  <c r="N910" i="3"/>
  <c r="Q910" i="3" s="1"/>
  <c r="S910" i="3" s="1"/>
  <c r="Q10" i="3"/>
  <c r="S10" i="3" s="1"/>
  <c r="S263" i="3" s="1"/>
  <c r="S542" i="3"/>
  <c r="L597" i="3"/>
  <c r="N597" i="3" s="1"/>
  <c r="K34" i="6"/>
  <c r="K35" i="6"/>
  <c r="K56" i="6"/>
  <c r="K33" i="6"/>
  <c r="AD387" i="3"/>
  <c r="H387" i="3"/>
  <c r="K66" i="6"/>
  <c r="K67" i="6" s="1"/>
  <c r="S548" i="3"/>
  <c r="AF546" i="3"/>
  <c r="S1142" i="3"/>
  <c r="U1142" i="3" s="1"/>
  <c r="S575" i="3"/>
  <c r="AF578" i="3"/>
  <c r="S540" i="3"/>
  <c r="AF548" i="3"/>
  <c r="S581" i="3"/>
  <c r="AF566" i="3"/>
  <c r="AF540" i="3"/>
  <c r="U535" i="3"/>
  <c r="U581" i="3" s="1"/>
  <c r="S578" i="3"/>
  <c r="AF575" i="3"/>
  <c r="S546" i="3"/>
  <c r="AF544" i="3"/>
  <c r="N1179" i="3"/>
  <c r="Q1179" i="3" s="1"/>
  <c r="S1179" i="3" s="1"/>
  <c r="U1179" i="3" s="1"/>
  <c r="L743" i="3"/>
  <c r="Q743" i="3"/>
  <c r="U696" i="3"/>
  <c r="AE713" i="3"/>
  <c r="AE650" i="3"/>
  <c r="AE651" i="3"/>
  <c r="N1296" i="3"/>
  <c r="Q92" i="26"/>
  <c r="AD444" i="3"/>
  <c r="AI237" i="6" s="1"/>
  <c r="AD442" i="3"/>
  <c r="AI235" i="6" s="1"/>
  <c r="AD435" i="3"/>
  <c r="AI220" i="6" s="1"/>
  <c r="AD434" i="3"/>
  <c r="AI219" i="6" s="1"/>
  <c r="AF716" i="3"/>
  <c r="AF396" i="3"/>
  <c r="AF395" i="3"/>
  <c r="AF435" i="3"/>
  <c r="AF444" i="3"/>
  <c r="AD396" i="3"/>
  <c r="AI189" i="6" s="1"/>
  <c r="AE400" i="3"/>
  <c r="AG229" i="6" s="1"/>
  <c r="AF394" i="3"/>
  <c r="AF442" i="3"/>
  <c r="AE749" i="3"/>
  <c r="AD395" i="3"/>
  <c r="AI188" i="6" s="1"/>
  <c r="AF434" i="3"/>
  <c r="AD430" i="3"/>
  <c r="AI223" i="6" s="1"/>
  <c r="AD385" i="3"/>
  <c r="AD386" i="3"/>
  <c r="AD389" i="3"/>
  <c r="AD390" i="3"/>
  <c r="AD391" i="3"/>
  <c r="AD384" i="3"/>
  <c r="AE398" i="3"/>
  <c r="AG227" i="6" s="1"/>
  <c r="AD394" i="3"/>
  <c r="AI187" i="6" s="1"/>
  <c r="Q1177" i="3"/>
  <c r="S1177" i="3" s="1"/>
  <c r="U1177" i="3" s="1"/>
  <c r="N1176" i="3"/>
  <c r="Q1176" i="3" s="1"/>
  <c r="S1176" i="3" s="1"/>
  <c r="N504" i="3"/>
  <c r="Z712" i="3"/>
  <c r="AB712" i="3" s="1"/>
  <c r="N24" i="3"/>
  <c r="Z692" i="3"/>
  <c r="AB692" i="3" s="1"/>
  <c r="Z365" i="3"/>
  <c r="X370" i="3"/>
  <c r="Q680" i="3"/>
  <c r="Q681" i="3" s="1"/>
  <c r="P467" i="3"/>
  <c r="S467" i="3"/>
  <c r="U467" i="3" s="1"/>
  <c r="X467" i="3" s="1"/>
  <c r="Z467" i="3" s="1"/>
  <c r="AB467" i="3" s="1"/>
  <c r="U798" i="3"/>
  <c r="AE652" i="3"/>
  <c r="U485" i="3"/>
  <c r="Q550" i="3"/>
  <c r="Q228" i="3" s="1"/>
  <c r="Q231" i="3" s="1"/>
  <c r="X752" i="3"/>
  <c r="X912" i="3" s="1"/>
  <c r="Q49" i="3"/>
  <c r="Q242" i="3" s="1"/>
  <c r="N902" i="3"/>
  <c r="S549" i="3"/>
  <c r="S550" i="3" s="1"/>
  <c r="S537" i="3"/>
  <c r="S538" i="3" s="1"/>
  <c r="Q740" i="3"/>
  <c r="Q748" i="3"/>
  <c r="Q747" i="3"/>
  <c r="Q746" i="3"/>
  <c r="Q741" i="3"/>
  <c r="Q739" i="3"/>
  <c r="Q737" i="3"/>
  <c r="Q738" i="3"/>
  <c r="Q745" i="3"/>
  <c r="Q744" i="3"/>
  <c r="M277" i="6"/>
  <c r="M281" i="6" s="1"/>
  <c r="M286" i="6" s="1"/>
  <c r="J482" i="3"/>
  <c r="J385" i="3" s="1"/>
  <c r="N747" i="3"/>
  <c r="N741" i="3"/>
  <c r="N746" i="3"/>
  <c r="N748" i="3"/>
  <c r="N742" i="3"/>
  <c r="N744" i="3"/>
  <c r="N740" i="3"/>
  <c r="N737" i="3"/>
  <c r="N745" i="3"/>
  <c r="N739" i="3"/>
  <c r="N738" i="3"/>
  <c r="L253" i="3"/>
  <c r="L745" i="3"/>
  <c r="L747" i="3"/>
  <c r="L741" i="3"/>
  <c r="L746" i="3"/>
  <c r="L738" i="3"/>
  <c r="L748" i="3"/>
  <c r="L739" i="3"/>
  <c r="L737" i="3"/>
  <c r="L742" i="3"/>
  <c r="N56" i="3"/>
  <c r="L744" i="3"/>
  <c r="N500" i="3"/>
  <c r="B722" i="3"/>
  <c r="Q704" i="3"/>
  <c r="L704" i="3"/>
  <c r="L713" i="3" s="1"/>
  <c r="J726" i="3"/>
  <c r="N1141" i="3"/>
  <c r="Q1141" i="3" s="1"/>
  <c r="S1141" i="3" s="1"/>
  <c r="U1141" i="3" s="1"/>
  <c r="Q472" i="3"/>
  <c r="S500" i="3"/>
  <c r="N496" i="3"/>
  <c r="Q496" i="3" s="1"/>
  <c r="S496" i="3" s="1"/>
  <c r="AE228" i="3"/>
  <c r="AE231" i="3" s="1"/>
  <c r="N575" i="3"/>
  <c r="N477" i="3"/>
  <c r="AF553" i="3"/>
  <c r="AF554" i="3" s="1"/>
  <c r="AF531" i="3"/>
  <c r="AF533" i="3" s="1"/>
  <c r="H386" i="3"/>
  <c r="H384" i="3"/>
  <c r="AE386" i="3"/>
  <c r="AE385" i="3"/>
  <c r="AE384" i="3"/>
  <c r="W383" i="3"/>
  <c r="N447" i="3"/>
  <c r="N449" i="3"/>
  <c r="N578" i="3"/>
  <c r="N544" i="3"/>
  <c r="N572" i="3"/>
  <c r="N581" i="3"/>
  <c r="N540" i="3"/>
  <c r="N538" i="3"/>
  <c r="N227" i="3" s="1"/>
  <c r="N230" i="3" s="1"/>
  <c r="N560" i="3"/>
  <c r="N566" i="3"/>
  <c r="N563" i="3"/>
  <c r="N542" i="3"/>
  <c r="N584" i="3"/>
  <c r="N548" i="3"/>
  <c r="N546" i="3"/>
  <c r="N448" i="3"/>
  <c r="J497" i="3"/>
  <c r="Z694" i="3"/>
  <c r="AB694" i="3" s="1"/>
  <c r="Z693" i="3"/>
  <c r="AB693" i="3" s="1"/>
  <c r="Z596" i="3"/>
  <c r="AB596" i="3" s="1"/>
  <c r="H390" i="3"/>
  <c r="H391" i="3"/>
  <c r="X593" i="3"/>
  <c r="Q111" i="17"/>
  <c r="L495" i="3"/>
  <c r="N844" i="3"/>
  <c r="H385" i="3"/>
  <c r="U586" i="3"/>
  <c r="U707" i="3"/>
  <c r="X707" i="3" s="1"/>
  <c r="Z707" i="3" s="1"/>
  <c r="AB707" i="3" s="1"/>
  <c r="U453" i="3"/>
  <c r="X453" i="3" s="1"/>
  <c r="Z453" i="3" s="1"/>
  <c r="AB453" i="3" s="1"/>
  <c r="Q234" i="3"/>
  <c r="N252" i="3"/>
  <c r="N258" i="3"/>
  <c r="Q728" i="3"/>
  <c r="P18" i="3"/>
  <c r="G56" i="6"/>
  <c r="L728" i="3"/>
  <c r="Q913" i="3"/>
  <c r="N728" i="3"/>
  <c r="N908" i="3"/>
  <c r="N550" i="3"/>
  <c r="G66" i="6"/>
  <c r="G67" i="6" s="1"/>
  <c r="M14" i="6"/>
  <c r="I55" i="6"/>
  <c r="M13" i="6"/>
  <c r="I60" i="6"/>
  <c r="I54" i="6"/>
  <c r="E66" i="6"/>
  <c r="E67" i="6" s="1"/>
  <c r="E56" i="6"/>
  <c r="N592" i="3"/>
  <c r="N455" i="3"/>
  <c r="N731" i="3"/>
  <c r="N733" i="3"/>
  <c r="N725" i="3"/>
  <c r="N1297" i="3"/>
  <c r="N727" i="3"/>
  <c r="L228" i="3"/>
  <c r="L231" i="3" s="1"/>
  <c r="Q113" i="17"/>
  <c r="N235" i="3"/>
  <c r="L18" i="3"/>
  <c r="N15" i="3"/>
  <c r="Q15" i="3" s="1"/>
  <c r="S15" i="3" s="1"/>
  <c r="N702" i="3"/>
  <c r="S683" i="3"/>
  <c r="Q478" i="3"/>
  <c r="P478" i="3" s="1"/>
  <c r="P480" i="3" s="1"/>
  <c r="N480" i="3"/>
  <c r="L17" i="3"/>
  <c r="N14" i="3"/>
  <c r="Q14" i="3" s="1"/>
  <c r="S14" i="3" s="1"/>
  <c r="Q271" i="6"/>
  <c r="Q277" i="6" s="1"/>
  <c r="Q281" i="6" s="1"/>
  <c r="Q286" i="6" s="1"/>
  <c r="N446" i="3"/>
  <c r="S677" i="3"/>
  <c r="L227" i="3"/>
  <c r="L230" i="3" s="1"/>
  <c r="M12" i="6"/>
  <c r="J749" i="3"/>
  <c r="N257" i="3"/>
  <c r="M115" i="17"/>
  <c r="K50" i="7"/>
  <c r="M11" i="6"/>
  <c r="J650" i="3"/>
  <c r="J652" i="3"/>
  <c r="J651" i="3"/>
  <c r="G34" i="6"/>
  <c r="G35" i="6"/>
  <c r="G36" i="6"/>
  <c r="G33" i="6"/>
  <c r="G50" i="7"/>
  <c r="E50" i="7"/>
  <c r="I39" i="7"/>
  <c r="I183" i="6"/>
  <c r="I178" i="6"/>
  <c r="I15" i="6"/>
  <c r="I35" i="6" s="1"/>
  <c r="I152" i="6"/>
  <c r="I156" i="6"/>
  <c r="E33" i="6"/>
  <c r="E35" i="6"/>
  <c r="E36" i="6"/>
  <c r="E34" i="6"/>
  <c r="AE502" i="3"/>
  <c r="AE497" i="3"/>
  <c r="L1451" i="3"/>
  <c r="L502" i="3"/>
  <c r="L482" i="3"/>
  <c r="L387" i="3" s="1"/>
  <c r="Q473" i="3"/>
  <c r="Q476" i="3" s="1"/>
  <c r="Q731" i="3"/>
  <c r="L733" i="3"/>
  <c r="L731" i="3"/>
  <c r="Q678" i="3"/>
  <c r="U554" i="3"/>
  <c r="Q9" i="3"/>
  <c r="N657" i="3"/>
  <c r="N630" i="3"/>
  <c r="N1144" i="3"/>
  <c r="N486" i="3"/>
  <c r="Q486" i="3" s="1"/>
  <c r="Q487" i="3" s="1"/>
  <c r="L360" i="3"/>
  <c r="Q331" i="3"/>
  <c r="L235" i="3"/>
  <c r="L916" i="3"/>
  <c r="Q495" i="3"/>
  <c r="N654" i="3"/>
  <c r="N656" i="3"/>
  <c r="N655" i="3"/>
  <c r="Q727" i="3"/>
  <c r="Q733" i="3"/>
  <c r="Q735" i="3"/>
  <c r="U626" i="3"/>
  <c r="L727" i="3"/>
  <c r="N1169" i="3"/>
  <c r="N12" i="3"/>
  <c r="N13" i="3" s="1"/>
  <c r="Q909" i="3"/>
  <c r="S625" i="3"/>
  <c r="L725" i="3"/>
  <c r="Q517" i="3"/>
  <c r="N521" i="3"/>
  <c r="Q508" i="3"/>
  <c r="N512" i="3"/>
  <c r="Q725" i="3"/>
  <c r="L1172" i="3"/>
  <c r="X724" i="3"/>
  <c r="Z721" i="3"/>
  <c r="AB721" i="3" s="1"/>
  <c r="AB722" i="3" s="1"/>
  <c r="X722" i="3"/>
  <c r="AF275" i="3"/>
  <c r="L13" i="3"/>
  <c r="Z376" i="3"/>
  <c r="Q1169" i="3"/>
  <c r="Z661" i="3"/>
  <c r="N40" i="3"/>
  <c r="X583" i="3"/>
  <c r="X717" i="3"/>
  <c r="Z715" i="3"/>
  <c r="AB715" i="3" s="1"/>
  <c r="AB717" i="3" s="1"/>
  <c r="L735" i="3"/>
  <c r="N735" i="3" s="1"/>
  <c r="S717" i="3"/>
  <c r="S743" i="3" s="1"/>
  <c r="S1169" i="3"/>
  <c r="U571" i="3"/>
  <c r="S572" i="3"/>
  <c r="U562" i="3"/>
  <c r="S563" i="3"/>
  <c r="S560" i="3"/>
  <c r="U494" i="3"/>
  <c r="U489" i="3"/>
  <c r="U306" i="3"/>
  <c r="S311" i="3"/>
  <c r="P464" i="3"/>
  <c r="Q262" i="3"/>
  <c r="S8" i="3"/>
  <c r="AF847" i="3"/>
  <c r="AF849" i="3" s="1"/>
  <c r="S847" i="3"/>
  <c r="U847" i="3" s="1"/>
  <c r="U849" i="3" s="1"/>
  <c r="N491" i="3"/>
  <c r="L492" i="3"/>
  <c r="N501" i="3"/>
  <c r="S321" i="3"/>
  <c r="S464" i="3"/>
  <c r="N11" i="3"/>
  <c r="N9" i="3"/>
  <c r="U6" i="3"/>
  <c r="N625" i="3"/>
  <c r="U624" i="3"/>
  <c r="X1135" i="3"/>
  <c r="Z1135" i="3" s="1"/>
  <c r="AB1135" i="3" s="1"/>
  <c r="N127" i="3"/>
  <c r="S518" i="3"/>
  <c r="L275" i="3"/>
  <c r="S484" i="3"/>
  <c r="P267" i="3"/>
  <c r="AF267" i="3"/>
  <c r="S490" i="3"/>
  <c r="X695" i="3"/>
  <c r="X620" i="3"/>
  <c r="Z618" i="3"/>
  <c r="AB618" i="3" s="1"/>
  <c r="G334" i="6" l="1"/>
  <c r="G326" i="6"/>
  <c r="K334" i="6"/>
  <c r="K341" i="6" s="1"/>
  <c r="K7" i="48" s="1"/>
  <c r="G320" i="6"/>
  <c r="K320" i="6"/>
  <c r="K327" i="6" s="1"/>
  <c r="K6" i="48" s="1"/>
  <c r="G340" i="6"/>
  <c r="M322" i="6"/>
  <c r="M336" i="6"/>
  <c r="M314" i="6"/>
  <c r="I317" i="6"/>
  <c r="I318" i="6"/>
  <c r="I319" i="6" s="1"/>
  <c r="E334" i="6"/>
  <c r="E341" i="6" s="1"/>
  <c r="E7" i="48" s="1"/>
  <c r="M330" i="6"/>
  <c r="M316" i="6"/>
  <c r="M313" i="6"/>
  <c r="I338" i="6"/>
  <c r="I339" i="6" s="1"/>
  <c r="I337" i="6"/>
  <c r="I331" i="6"/>
  <c r="I332" i="6"/>
  <c r="I333" i="6" s="1"/>
  <c r="I324" i="6"/>
  <c r="I325" i="6" s="1"/>
  <c r="I323" i="6"/>
  <c r="M39" i="7"/>
  <c r="E320" i="6"/>
  <c r="E327" i="6" s="1"/>
  <c r="M184" i="6"/>
  <c r="M157" i="6"/>
  <c r="Q13" i="6"/>
  <c r="M63" i="6"/>
  <c r="M62" i="6"/>
  <c r="M65" i="6"/>
  <c r="M61" i="6"/>
  <c r="M64" i="6"/>
  <c r="M60" i="6"/>
  <c r="M178" i="6"/>
  <c r="Q14" i="6"/>
  <c r="Q30" i="7"/>
  <c r="Q41" i="7" s="1"/>
  <c r="Q64" i="7" s="1"/>
  <c r="Q11" i="3"/>
  <c r="U10" i="3"/>
  <c r="X10" i="3" s="1"/>
  <c r="X263" i="3" s="1"/>
  <c r="AB725" i="3"/>
  <c r="AB731" i="3"/>
  <c r="AB747" i="3"/>
  <c r="AB746" i="3"/>
  <c r="AB741" i="3"/>
  <c r="AB733" i="3"/>
  <c r="AB742" i="3"/>
  <c r="AB737" i="3"/>
  <c r="AB727" i="3"/>
  <c r="AB661" i="3"/>
  <c r="AB744" i="3"/>
  <c r="AB748" i="3"/>
  <c r="AB739" i="3"/>
  <c r="AB724" i="3"/>
  <c r="Q24" i="3"/>
  <c r="AB365" i="3"/>
  <c r="AB370" i="3" s="1"/>
  <c r="AB738" i="3"/>
  <c r="Q450" i="3"/>
  <c r="S450" i="3" s="1"/>
  <c r="U667" i="3"/>
  <c r="U662" i="3"/>
  <c r="U640" i="3"/>
  <c r="U235" i="3" s="1"/>
  <c r="U668" i="3"/>
  <c r="S458" i="3"/>
  <c r="S454" i="3"/>
  <c r="N916" i="3"/>
  <c r="Q844" i="3"/>
  <c r="Q916" i="3" s="1"/>
  <c r="L647" i="3"/>
  <c r="L645" i="3"/>
  <c r="L648" i="3"/>
  <c r="L646" i="3"/>
  <c r="L644" i="3"/>
  <c r="L643" i="3"/>
  <c r="N687" i="3"/>
  <c r="N645" i="3" s="1"/>
  <c r="Q685" i="3"/>
  <c r="S684" i="3"/>
  <c r="Q682" i="3"/>
  <c r="X671" i="3"/>
  <c r="Z671" i="3" s="1"/>
  <c r="AB671" i="3" s="1"/>
  <c r="Q504" i="3"/>
  <c r="U663" i="3"/>
  <c r="S11" i="3"/>
  <c r="Q263" i="3"/>
  <c r="Q264" i="3" s="1"/>
  <c r="U569" i="3"/>
  <c r="U542" i="3"/>
  <c r="U566" i="3"/>
  <c r="U584" i="3"/>
  <c r="X485" i="3"/>
  <c r="U544" i="3"/>
  <c r="U546" i="3"/>
  <c r="X535" i="3"/>
  <c r="X569" i="3" s="1"/>
  <c r="U575" i="3"/>
  <c r="U548" i="3"/>
  <c r="U578" i="3"/>
  <c r="U540" i="3"/>
  <c r="K37" i="6"/>
  <c r="J387" i="3"/>
  <c r="Q1296" i="3"/>
  <c r="Z752" i="3"/>
  <c r="AE434" i="3"/>
  <c r="AG219" i="6" s="1"/>
  <c r="AE390" i="3"/>
  <c r="X696" i="3"/>
  <c r="Z696" i="3" s="1"/>
  <c r="AB696" i="3" s="1"/>
  <c r="AB743" i="3" s="1"/>
  <c r="U910" i="3"/>
  <c r="U537" i="3"/>
  <c r="X537" i="3" s="1"/>
  <c r="Q592" i="3"/>
  <c r="N1136" i="3"/>
  <c r="AD432" i="3"/>
  <c r="AI225" i="6" s="1"/>
  <c r="AD431" i="3"/>
  <c r="AI224" i="6" s="1"/>
  <c r="AF431" i="3"/>
  <c r="AE436" i="3"/>
  <c r="AG221" i="6" s="1"/>
  <c r="AF430" i="3"/>
  <c r="AE442" i="3"/>
  <c r="AG235" i="6" s="1"/>
  <c r="AE435" i="3"/>
  <c r="AG220" i="6" s="1"/>
  <c r="AF432" i="3"/>
  <c r="AE443" i="3"/>
  <c r="AG236" i="6" s="1"/>
  <c r="AE444" i="3"/>
  <c r="AG237" i="6" s="1"/>
  <c r="AE394" i="3"/>
  <c r="AG187" i="6" s="1"/>
  <c r="AE399" i="3"/>
  <c r="AG228" i="6" s="1"/>
  <c r="AE395" i="3"/>
  <c r="AG188" i="6" s="1"/>
  <c r="AE396" i="3"/>
  <c r="AG189" i="6" s="1"/>
  <c r="AF692" i="3"/>
  <c r="AF712" i="3"/>
  <c r="X745" i="3"/>
  <c r="S49" i="3"/>
  <c r="S242" i="3" s="1"/>
  <c r="Q902" i="3"/>
  <c r="AF453" i="3"/>
  <c r="Z370" i="3"/>
  <c r="P472" i="3"/>
  <c r="X738" i="3"/>
  <c r="N704" i="3"/>
  <c r="N726" i="3" s="1"/>
  <c r="X744" i="3"/>
  <c r="X731" i="3"/>
  <c r="X747" i="3"/>
  <c r="X741" i="3"/>
  <c r="X746" i="3"/>
  <c r="X748" i="3"/>
  <c r="X742" i="3"/>
  <c r="X740" i="3"/>
  <c r="X737" i="3"/>
  <c r="X739" i="3"/>
  <c r="X798" i="3"/>
  <c r="Z798" i="3" s="1"/>
  <c r="AB798" i="3" s="1"/>
  <c r="AF798" i="3" s="1"/>
  <c r="S680" i="3"/>
  <c r="S681" i="3" s="1"/>
  <c r="U677" i="3"/>
  <c r="X677" i="3" s="1"/>
  <c r="Z677" i="3" s="1"/>
  <c r="AB677" i="3" s="1"/>
  <c r="S678" i="3"/>
  <c r="U824" i="3"/>
  <c r="U821" i="3"/>
  <c r="S745" i="3"/>
  <c r="S740" i="3"/>
  <c r="S728" i="3"/>
  <c r="S748" i="3"/>
  <c r="S744" i="3"/>
  <c r="S739" i="3"/>
  <c r="S727" i="3"/>
  <c r="S747" i="3"/>
  <c r="S742" i="3"/>
  <c r="S738" i="3"/>
  <c r="S746" i="3"/>
  <c r="S741" i="3"/>
  <c r="S737" i="3"/>
  <c r="U500" i="3"/>
  <c r="U549" i="3"/>
  <c r="X549" i="3" s="1"/>
  <c r="S704" i="3"/>
  <c r="U704" i="3" s="1"/>
  <c r="X704" i="3" s="1"/>
  <c r="Q726" i="3"/>
  <c r="Q477" i="3"/>
  <c r="J384" i="3"/>
  <c r="J383" i="3" s="1"/>
  <c r="J386" i="3"/>
  <c r="Q115" i="17"/>
  <c r="N234" i="3"/>
  <c r="Q451" i="3"/>
  <c r="S451" i="3" s="1"/>
  <c r="Q56" i="3"/>
  <c r="Q241" i="3" s="1"/>
  <c r="N241" i="3"/>
  <c r="L726" i="3"/>
  <c r="N238" i="3"/>
  <c r="L238" i="3"/>
  <c r="L385" i="3"/>
  <c r="L386" i="3"/>
  <c r="L384" i="3"/>
  <c r="Q713" i="3"/>
  <c r="S713" i="3" s="1"/>
  <c r="U713" i="3" s="1"/>
  <c r="AE389" i="3"/>
  <c r="Q449" i="3"/>
  <c r="AD383" i="3"/>
  <c r="AE391" i="3"/>
  <c r="S472" i="3"/>
  <c r="AE383" i="3"/>
  <c r="U263" i="3"/>
  <c r="Z10" i="3"/>
  <c r="AF52" i="3"/>
  <c r="AF56" i="3" s="1"/>
  <c r="AF241" i="3" s="1"/>
  <c r="AF366" i="3"/>
  <c r="AF715" i="3"/>
  <c r="AF717" i="3" s="1"/>
  <c r="H383" i="3"/>
  <c r="Q447" i="3"/>
  <c r="P263" i="3"/>
  <c r="L497" i="3"/>
  <c r="N495" i="3"/>
  <c r="Q448" i="3"/>
  <c r="J389" i="3"/>
  <c r="J390" i="3"/>
  <c r="Z593" i="3"/>
  <c r="AB593" i="3" s="1"/>
  <c r="S902" i="3"/>
  <c r="X728" i="3"/>
  <c r="M156" i="6"/>
  <c r="J391" i="3"/>
  <c r="M183" i="6"/>
  <c r="X586" i="3"/>
  <c r="U14" i="3"/>
  <c r="U15" i="3"/>
  <c r="Q446" i="3"/>
  <c r="Q908" i="3"/>
  <c r="S913" i="3"/>
  <c r="Q252" i="3"/>
  <c r="M152" i="6"/>
  <c r="Q258" i="3"/>
  <c r="S228" i="3"/>
  <c r="S231" i="3" s="1"/>
  <c r="S18" i="3"/>
  <c r="U683" i="3"/>
  <c r="S17" i="3"/>
  <c r="S234" i="3"/>
  <c r="Q17" i="3"/>
  <c r="Q18" i="3"/>
  <c r="Q1297" i="3"/>
  <c r="Q659" i="3"/>
  <c r="Q658" i="3"/>
  <c r="S478" i="3"/>
  <c r="S480" i="3" s="1"/>
  <c r="Q480" i="3"/>
  <c r="Q749" i="3"/>
  <c r="P17" i="3"/>
  <c r="Q45" i="3"/>
  <c r="N482" i="3"/>
  <c r="Q455" i="3"/>
  <c r="N18" i="3"/>
  <c r="N17" i="3"/>
  <c r="Q597" i="3"/>
  <c r="N228" i="3"/>
  <c r="N231" i="3" s="1"/>
  <c r="Q656" i="3"/>
  <c r="Q657" i="3"/>
  <c r="Q654" i="3"/>
  <c r="Q655" i="3"/>
  <c r="I66" i="6"/>
  <c r="I67" i="6" s="1"/>
  <c r="I56" i="6"/>
  <c r="M55" i="6"/>
  <c r="M54" i="6"/>
  <c r="M15" i="6"/>
  <c r="M35" i="6" s="1"/>
  <c r="I59" i="6"/>
  <c r="N749" i="3"/>
  <c r="N1172" i="3"/>
  <c r="Q257" i="3"/>
  <c r="L749" i="3"/>
  <c r="L234" i="3"/>
  <c r="M50" i="7"/>
  <c r="G37" i="6"/>
  <c r="P473" i="3"/>
  <c r="P476" i="3" s="1"/>
  <c r="I50" i="7"/>
  <c r="I36" i="6"/>
  <c r="I33" i="6"/>
  <c r="I34" i="6"/>
  <c r="E37" i="6"/>
  <c r="S473" i="3"/>
  <c r="S476" i="3" s="1"/>
  <c r="AD916" i="3"/>
  <c r="S731" i="3"/>
  <c r="P252" i="3"/>
  <c r="P257" i="3"/>
  <c r="S486" i="3"/>
  <c r="S487" i="3" s="1"/>
  <c r="S227" i="3"/>
  <c r="S230" i="3" s="1"/>
  <c r="S9" i="3"/>
  <c r="N845" i="3"/>
  <c r="Q497" i="3"/>
  <c r="P360" i="3"/>
  <c r="Q360" i="3"/>
  <c r="P258" i="3"/>
  <c r="P24" i="3"/>
  <c r="P449" i="3"/>
  <c r="P448" i="3"/>
  <c r="P446" i="3"/>
  <c r="P447" i="3"/>
  <c r="Q12" i="3"/>
  <c r="P13" i="3" s="1"/>
  <c r="Q1144" i="3"/>
  <c r="Q1146" i="3" s="1"/>
  <c r="N1146" i="3"/>
  <c r="N487" i="3"/>
  <c r="L651" i="3"/>
  <c r="L652" i="3"/>
  <c r="L650" i="3"/>
  <c r="Q240" i="6" s="1"/>
  <c r="S733" i="3"/>
  <c r="X733" i="3"/>
  <c r="X626" i="3"/>
  <c r="X727" i="3"/>
  <c r="S909" i="3"/>
  <c r="Z701" i="3"/>
  <c r="AB701" i="3" s="1"/>
  <c r="Z583" i="3"/>
  <c r="AB583" i="3" s="1"/>
  <c r="X725" i="3"/>
  <c r="Z724" i="3"/>
  <c r="S725" i="3"/>
  <c r="U1176" i="3"/>
  <c r="Q521" i="3"/>
  <c r="S517" i="3"/>
  <c r="P508" i="3"/>
  <c r="Q512" i="3"/>
  <c r="S508" i="3"/>
  <c r="X1179" i="3"/>
  <c r="Z1179" i="3" s="1"/>
  <c r="AB1179" i="3" s="1"/>
  <c r="X1177" i="3"/>
  <c r="Z1177" i="3" s="1"/>
  <c r="AB1177" i="3" s="1"/>
  <c r="AF721" i="3"/>
  <c r="Z722" i="3"/>
  <c r="X1142" i="3"/>
  <c r="Z1142" i="3" s="1"/>
  <c r="AB1142" i="3" s="1"/>
  <c r="X1141" i="3"/>
  <c r="Z1141" i="3" s="1"/>
  <c r="AB1141" i="3" s="1"/>
  <c r="X494" i="3"/>
  <c r="U496" i="3"/>
  <c r="X489" i="3"/>
  <c r="P45" i="3"/>
  <c r="S45" i="3"/>
  <c r="U1169" i="3"/>
  <c r="Q40" i="3"/>
  <c r="P40" i="3"/>
  <c r="AF40" i="3"/>
  <c r="X571" i="3"/>
  <c r="U572" i="3"/>
  <c r="X559" i="3"/>
  <c r="U560" i="3"/>
  <c r="X562" i="3"/>
  <c r="U563" i="3"/>
  <c r="X306" i="3"/>
  <c r="U311" i="3"/>
  <c r="U717" i="3"/>
  <c r="U743" i="3" s="1"/>
  <c r="S735" i="3"/>
  <c r="Z717" i="3"/>
  <c r="Z739" i="3" s="1"/>
  <c r="N492" i="3"/>
  <c r="Q491" i="3"/>
  <c r="N502" i="3"/>
  <c r="Q501" i="3"/>
  <c r="Q502" i="3" s="1"/>
  <c r="U321" i="3"/>
  <c r="X847" i="3"/>
  <c r="S849" i="3"/>
  <c r="U464" i="3"/>
  <c r="S262" i="3"/>
  <c r="S264" i="3" s="1"/>
  <c r="U8" i="3"/>
  <c r="P9" i="3"/>
  <c r="P262" i="3"/>
  <c r="S499" i="3"/>
  <c r="U625" i="3"/>
  <c r="X6" i="3"/>
  <c r="U11" i="3"/>
  <c r="X624" i="3"/>
  <c r="P845" i="3"/>
  <c r="U518" i="3"/>
  <c r="S324" i="3"/>
  <c r="S331" i="3" s="1"/>
  <c r="S360" i="3" s="1"/>
  <c r="U22" i="3"/>
  <c r="S24" i="3"/>
  <c r="Z695" i="3"/>
  <c r="AB695" i="3" s="1"/>
  <c r="AB745" i="3" s="1"/>
  <c r="U490" i="3"/>
  <c r="U484" i="3"/>
  <c r="S267" i="3"/>
  <c r="AF618" i="3"/>
  <c r="Z620" i="3"/>
  <c r="N275" i="3"/>
  <c r="G341" i="6" l="1"/>
  <c r="G7" i="48" s="1"/>
  <c r="G327" i="6"/>
  <c r="I326" i="6"/>
  <c r="K343" i="6"/>
  <c r="I334" i="6"/>
  <c r="I320" i="6"/>
  <c r="K8" i="48"/>
  <c r="Q336" i="6"/>
  <c r="Q322" i="6"/>
  <c r="Q314" i="6"/>
  <c r="Q54" i="6"/>
  <c r="Q316" i="6"/>
  <c r="Q330" i="6"/>
  <c r="Q313" i="6"/>
  <c r="M324" i="6"/>
  <c r="M325" i="6" s="1"/>
  <c r="M323" i="6"/>
  <c r="I340" i="6"/>
  <c r="M318" i="6"/>
  <c r="M319" i="6" s="1"/>
  <c r="M317" i="6"/>
  <c r="M331" i="6"/>
  <c r="M332" i="6"/>
  <c r="M333" i="6" s="1"/>
  <c r="M337" i="6"/>
  <c r="M338" i="6"/>
  <c r="M339" i="6" s="1"/>
  <c r="E6" i="48"/>
  <c r="E8" i="48" s="1"/>
  <c r="E343" i="6"/>
  <c r="Q152" i="6"/>
  <c r="U30" i="7"/>
  <c r="Q15" i="6"/>
  <c r="Q59" i="6" s="1"/>
  <c r="U14" i="6"/>
  <c r="Q157" i="6"/>
  <c r="U13" i="6"/>
  <c r="Q156" i="6"/>
  <c r="Q184" i="6"/>
  <c r="U184" i="6" s="1"/>
  <c r="Q60" i="6"/>
  <c r="Q65" i="6"/>
  <c r="Q64" i="6"/>
  <c r="Q62" i="6"/>
  <c r="Q63" i="6"/>
  <c r="Q61" i="6"/>
  <c r="Q178" i="6"/>
  <c r="Q183" i="6"/>
  <c r="Q55" i="6"/>
  <c r="Q39" i="7"/>
  <c r="Z263" i="3"/>
  <c r="AB10" i="3"/>
  <c r="AF661" i="3"/>
  <c r="AB752" i="3"/>
  <c r="AB702" i="3"/>
  <c r="AB620" i="3"/>
  <c r="AF620" i="3" s="1"/>
  <c r="AB740" i="3"/>
  <c r="AB749" i="3" s="1"/>
  <c r="AB728" i="3"/>
  <c r="AF365" i="3"/>
  <c r="AF370" i="3" s="1"/>
  <c r="X640" i="3"/>
  <c r="Z640" i="3" s="1"/>
  <c r="AB640" i="3" s="1"/>
  <c r="AB235" i="3" s="1"/>
  <c r="AB234" i="3" s="1"/>
  <c r="X662" i="3"/>
  <c r="X668" i="3"/>
  <c r="X667" i="3"/>
  <c r="U454" i="3"/>
  <c r="U458" i="3"/>
  <c r="P264" i="3"/>
  <c r="N648" i="3"/>
  <c r="N647" i="3"/>
  <c r="N644" i="3"/>
  <c r="N646" i="3"/>
  <c r="L642" i="3"/>
  <c r="N643" i="3"/>
  <c r="Q687" i="3"/>
  <c r="Q647" i="3" s="1"/>
  <c r="U684" i="3"/>
  <c r="S685" i="3"/>
  <c r="S682" i="3"/>
  <c r="AF671" i="3"/>
  <c r="S504" i="3"/>
  <c r="U504" i="3" s="1"/>
  <c r="Z485" i="3"/>
  <c r="X500" i="3"/>
  <c r="X663" i="3"/>
  <c r="X575" i="3"/>
  <c r="S1296" i="3"/>
  <c r="Z535" i="3"/>
  <c r="X578" i="3"/>
  <c r="X548" i="3"/>
  <c r="X581" i="3"/>
  <c r="X584" i="3"/>
  <c r="X544" i="3"/>
  <c r="X546" i="3"/>
  <c r="X566" i="3"/>
  <c r="X540" i="3"/>
  <c r="X542" i="3"/>
  <c r="X538" i="3"/>
  <c r="X227" i="3" s="1"/>
  <c r="X230" i="3" s="1"/>
  <c r="N387" i="3"/>
  <c r="Z912" i="3"/>
  <c r="X743" i="3"/>
  <c r="Z537" i="3"/>
  <c r="X910" i="3"/>
  <c r="U538" i="3"/>
  <c r="U227" i="3" s="1"/>
  <c r="U230" i="3" s="1"/>
  <c r="AE431" i="3"/>
  <c r="AG224" i="6" s="1"/>
  <c r="Q1136" i="3"/>
  <c r="AE430" i="3"/>
  <c r="AG223" i="6" s="1"/>
  <c r="AF731" i="3"/>
  <c r="AF747" i="3"/>
  <c r="AF741" i="3"/>
  <c r="AE432" i="3"/>
  <c r="AG225" i="6" s="1"/>
  <c r="S477" i="3"/>
  <c r="S482" i="3" s="1"/>
  <c r="A51" i="3"/>
  <c r="Z745" i="3"/>
  <c r="P477" i="3"/>
  <c r="P482" i="3" s="1"/>
  <c r="P389" i="3" s="1"/>
  <c r="N713" i="3"/>
  <c r="U49" i="3"/>
  <c r="U242" i="3" s="1"/>
  <c r="Z747" i="3"/>
  <c r="Z741" i="3"/>
  <c r="Z746" i="3"/>
  <c r="Z748" i="3"/>
  <c r="Z743" i="3"/>
  <c r="Z742" i="3"/>
  <c r="Z727" i="3"/>
  <c r="Z740" i="3"/>
  <c r="Z737" i="3"/>
  <c r="Z744" i="3"/>
  <c r="Z738" i="3"/>
  <c r="X824" i="3"/>
  <c r="Z824" i="3" s="1"/>
  <c r="AB824" i="3" s="1"/>
  <c r="AF824" i="3" s="1"/>
  <c r="Z704" i="3"/>
  <c r="X726" i="3"/>
  <c r="X821" i="3"/>
  <c r="Z821" i="3" s="1"/>
  <c r="AB821" i="3" s="1"/>
  <c r="AF821" i="3" s="1"/>
  <c r="U747" i="3"/>
  <c r="U741" i="3"/>
  <c r="U746" i="3"/>
  <c r="U739" i="3"/>
  <c r="U748" i="3"/>
  <c r="U738" i="3"/>
  <c r="U737" i="3"/>
  <c r="U742" i="3"/>
  <c r="U740" i="3"/>
  <c r="U745" i="3"/>
  <c r="U744" i="3"/>
  <c r="U680" i="3"/>
  <c r="U726" i="3"/>
  <c r="S844" i="3"/>
  <c r="U770" i="3"/>
  <c r="X770" i="3" s="1"/>
  <c r="Z770" i="3" s="1"/>
  <c r="U550" i="3"/>
  <c r="U228" i="3" s="1"/>
  <c r="U231" i="3" s="1"/>
  <c r="S726" i="3"/>
  <c r="AF725" i="3"/>
  <c r="AF733" i="3"/>
  <c r="X713" i="3"/>
  <c r="Z713" i="3" s="1"/>
  <c r="P253" i="3"/>
  <c r="L383" i="3"/>
  <c r="P56" i="3"/>
  <c r="S56" i="3"/>
  <c r="N253" i="3"/>
  <c r="AF737" i="3"/>
  <c r="S448" i="3"/>
  <c r="S449" i="3"/>
  <c r="N497" i="3"/>
  <c r="N386" i="3"/>
  <c r="N384" i="3"/>
  <c r="U472" i="3"/>
  <c r="AF693" i="3"/>
  <c r="AF722" i="3"/>
  <c r="AF724" i="3"/>
  <c r="AF694" i="3"/>
  <c r="AF739" i="3" s="1"/>
  <c r="AF596" i="3"/>
  <c r="S447" i="3"/>
  <c r="U913" i="3"/>
  <c r="L389" i="3"/>
  <c r="S258" i="3"/>
  <c r="S446" i="3"/>
  <c r="Z728" i="3"/>
  <c r="L391" i="3"/>
  <c r="X15" i="3"/>
  <c r="X18" i="3" s="1"/>
  <c r="Z586" i="3"/>
  <c r="AB586" i="3" s="1"/>
  <c r="U902" i="3"/>
  <c r="X14" i="3"/>
  <c r="X702" i="3"/>
  <c r="Z702" i="3" s="1"/>
  <c r="S252" i="3"/>
  <c r="U728" i="3"/>
  <c r="U234" i="3"/>
  <c r="U18" i="3"/>
  <c r="U17" i="3"/>
  <c r="X683" i="3"/>
  <c r="U450" i="3"/>
  <c r="U451" i="3"/>
  <c r="U478" i="3"/>
  <c r="U480" i="3" s="1"/>
  <c r="S597" i="3"/>
  <c r="U597" i="3" s="1"/>
  <c r="P908" i="3"/>
  <c r="S592" i="3"/>
  <c r="S749" i="3"/>
  <c r="S1297" i="3"/>
  <c r="Q482" i="3"/>
  <c r="S908" i="3"/>
  <c r="S659" i="3"/>
  <c r="S658" i="3"/>
  <c r="S455" i="3"/>
  <c r="S257" i="3"/>
  <c r="S655" i="3"/>
  <c r="S657" i="3"/>
  <c r="S654" i="3"/>
  <c r="S656" i="3"/>
  <c r="M36" i="6"/>
  <c r="Q1172" i="3"/>
  <c r="M66" i="6"/>
  <c r="M67" i="6" s="1"/>
  <c r="M33" i="6"/>
  <c r="M56" i="6"/>
  <c r="M34" i="6"/>
  <c r="M59" i="6"/>
  <c r="N385" i="3"/>
  <c r="L390" i="3"/>
  <c r="I37" i="6"/>
  <c r="U473" i="3"/>
  <c r="P1451" i="3"/>
  <c r="P238" i="3" s="1"/>
  <c r="Q13" i="3"/>
  <c r="Z731" i="3"/>
  <c r="AD253" i="3"/>
  <c r="AE916" i="3"/>
  <c r="AD278" i="3"/>
  <c r="Z278" i="3"/>
  <c r="AB278" i="3" s="1"/>
  <c r="AB282" i="3" s="1"/>
  <c r="S12" i="3"/>
  <c r="S13" i="3" s="1"/>
  <c r="Z494" i="3"/>
  <c r="U731" i="3"/>
  <c r="Z489" i="3"/>
  <c r="AB489" i="3" s="1"/>
  <c r="U486" i="3"/>
  <c r="N652" i="3"/>
  <c r="Q845" i="3"/>
  <c r="P916" i="3"/>
  <c r="S1144" i="3"/>
  <c r="S1146" i="3" s="1"/>
  <c r="N651" i="3"/>
  <c r="N650" i="3"/>
  <c r="Z626" i="3"/>
  <c r="AB626" i="3" s="1"/>
  <c r="Z733" i="3"/>
  <c r="U727" i="3"/>
  <c r="U733" i="3"/>
  <c r="AF1179" i="3"/>
  <c r="AF1177" i="3"/>
  <c r="U909" i="3"/>
  <c r="AF701" i="3"/>
  <c r="AF583" i="3"/>
  <c r="AF584" i="3" s="1"/>
  <c r="U735" i="3"/>
  <c r="X735" i="3" s="1"/>
  <c r="Z735" i="3" s="1"/>
  <c r="AB735" i="3" s="1"/>
  <c r="U508" i="3"/>
  <c r="S512" i="3"/>
  <c r="Z725" i="3"/>
  <c r="U517" i="3"/>
  <c r="S521" i="3"/>
  <c r="X1176" i="3"/>
  <c r="P512" i="3"/>
  <c r="U725" i="3"/>
  <c r="Z1169" i="3"/>
  <c r="X496" i="3"/>
  <c r="AF1142" i="3"/>
  <c r="X1169" i="3"/>
  <c r="Z571" i="3"/>
  <c r="AB571" i="3" s="1"/>
  <c r="X572" i="3"/>
  <c r="Z847" i="3"/>
  <c r="AB847" i="3" s="1"/>
  <c r="AB849" i="3" s="1"/>
  <c r="X849" i="3"/>
  <c r="Z562" i="3"/>
  <c r="AB562" i="3" s="1"/>
  <c r="X563" i="3"/>
  <c r="Z559" i="3"/>
  <c r="AB559" i="3" s="1"/>
  <c r="X560" i="3"/>
  <c r="U9" i="3"/>
  <c r="Z306" i="3"/>
  <c r="AB306" i="3" s="1"/>
  <c r="AB311" i="3" s="1"/>
  <c r="X311" i="3"/>
  <c r="S40" i="3"/>
  <c r="X321" i="3"/>
  <c r="X464" i="3"/>
  <c r="AF465" i="3"/>
  <c r="AF467" i="3"/>
  <c r="S501" i="3"/>
  <c r="S502" i="3" s="1"/>
  <c r="Q492" i="3"/>
  <c r="S491" i="3"/>
  <c r="U499" i="3"/>
  <c r="X8" i="3"/>
  <c r="U262" i="3"/>
  <c r="U264" i="3" s="1"/>
  <c r="Z6" i="3"/>
  <c r="AB6" i="3" s="1"/>
  <c r="X11" i="3"/>
  <c r="Z624" i="3"/>
  <c r="AB624" i="3" s="1"/>
  <c r="X625" i="3"/>
  <c r="S127" i="3"/>
  <c r="X518" i="3"/>
  <c r="U324" i="3"/>
  <c r="U331" i="3" s="1"/>
  <c r="U360" i="3" s="1"/>
  <c r="X22" i="3"/>
  <c r="U24" i="3"/>
  <c r="Z500" i="3"/>
  <c r="U267" i="3"/>
  <c r="X484" i="3"/>
  <c r="Z549" i="3"/>
  <c r="X550" i="3"/>
  <c r="X490" i="3"/>
  <c r="P275" i="3"/>
  <c r="Q275" i="3"/>
  <c r="S495" i="3"/>
  <c r="G343" i="6" l="1"/>
  <c r="G6" i="48"/>
  <c r="G8" i="48" s="1"/>
  <c r="M320" i="6"/>
  <c r="I327" i="6"/>
  <c r="I6" i="48" s="1"/>
  <c r="I341" i="6"/>
  <c r="I7" i="48" s="1"/>
  <c r="M326" i="6"/>
  <c r="M334" i="6"/>
  <c r="M340" i="6"/>
  <c r="U330" i="6"/>
  <c r="U316" i="6"/>
  <c r="U313" i="6"/>
  <c r="Q331" i="6"/>
  <c r="Q332" i="6"/>
  <c r="Q333" i="6" s="1"/>
  <c r="Q323" i="6"/>
  <c r="Q324" i="6"/>
  <c r="Q325" i="6" s="1"/>
  <c r="Q318" i="6"/>
  <c r="Q319" i="6" s="1"/>
  <c r="Q317" i="6"/>
  <c r="Q338" i="6"/>
  <c r="Q339" i="6" s="1"/>
  <c r="Q337" i="6"/>
  <c r="U336" i="6"/>
  <c r="U322" i="6"/>
  <c r="U314" i="6"/>
  <c r="Q35" i="6"/>
  <c r="AA14" i="6"/>
  <c r="AA13" i="6"/>
  <c r="AA30" i="7"/>
  <c r="U41" i="7"/>
  <c r="U64" i="7" s="1"/>
  <c r="Q33" i="6"/>
  <c r="Q56" i="6"/>
  <c r="Q34" i="6"/>
  <c r="Q36" i="6"/>
  <c r="U39" i="7"/>
  <c r="U157" i="6"/>
  <c r="U63" i="6"/>
  <c r="U152" i="6"/>
  <c r="U62" i="6"/>
  <c r="U54" i="6"/>
  <c r="U64" i="6"/>
  <c r="U61" i="6"/>
  <c r="U60" i="6"/>
  <c r="U156" i="6"/>
  <c r="U65" i="6"/>
  <c r="U15" i="6"/>
  <c r="U59" i="6" s="1"/>
  <c r="U183" i="6"/>
  <c r="U178" i="6"/>
  <c r="U55" i="6"/>
  <c r="Q66" i="6"/>
  <c r="Q67" i="6" s="1"/>
  <c r="Q50" i="7"/>
  <c r="U1296" i="3"/>
  <c r="AB667" i="3"/>
  <c r="AB494" i="3"/>
  <c r="AF494" i="3" s="1"/>
  <c r="AB11" i="3"/>
  <c r="AB263" i="3"/>
  <c r="AB500" i="3"/>
  <c r="AB485" i="3"/>
  <c r="AB549" i="3"/>
  <c r="Z569" i="3"/>
  <c r="AB535" i="3"/>
  <c r="AB563" i="3" s="1"/>
  <c r="AB662" i="3"/>
  <c r="AB537" i="3"/>
  <c r="AF537" i="3" s="1"/>
  <c r="AF538" i="3" s="1"/>
  <c r="AF227" i="3" s="1"/>
  <c r="AF230" i="3" s="1"/>
  <c r="AB770" i="3"/>
  <c r="AB912" i="3"/>
  <c r="AF752" i="3"/>
  <c r="AF912" i="3" s="1"/>
  <c r="AB704" i="3"/>
  <c r="Z662" i="3"/>
  <c r="Z668" i="3"/>
  <c r="AB668" i="3" s="1"/>
  <c r="Z667" i="3"/>
  <c r="X454" i="3"/>
  <c r="X458" i="3"/>
  <c r="Q387" i="3"/>
  <c r="N389" i="3"/>
  <c r="Q389" i="3" s="1"/>
  <c r="N642" i="3"/>
  <c r="Q643" i="3"/>
  <c r="Q644" i="3"/>
  <c r="Q646" i="3"/>
  <c r="Q648" i="3"/>
  <c r="Q645" i="3"/>
  <c r="U678" i="3"/>
  <c r="S687" i="3"/>
  <c r="S645" i="3" s="1"/>
  <c r="X684" i="3"/>
  <c r="U685" i="3"/>
  <c r="X680" i="3"/>
  <c r="U681" i="3"/>
  <c r="X504" i="3"/>
  <c r="Z663" i="3"/>
  <c r="Z540" i="3"/>
  <c r="Z575" i="3"/>
  <c r="Z581" i="3"/>
  <c r="Z548" i="3"/>
  <c r="Z578" i="3"/>
  <c r="Z542" i="3"/>
  <c r="Z566" i="3"/>
  <c r="Z584" i="3"/>
  <c r="Z544" i="3"/>
  <c r="Z546" i="3"/>
  <c r="S384" i="3"/>
  <c r="S387" i="3"/>
  <c r="P384" i="3"/>
  <c r="P387" i="3"/>
  <c r="X235" i="3"/>
  <c r="Z538" i="3"/>
  <c r="Z227" i="3" s="1"/>
  <c r="Z230" i="3" s="1"/>
  <c r="Z910" i="3"/>
  <c r="U448" i="3"/>
  <c r="X49" i="3"/>
  <c r="X242" i="3" s="1"/>
  <c r="S1136" i="3"/>
  <c r="U592" i="3"/>
  <c r="U447" i="3"/>
  <c r="Z726" i="3"/>
  <c r="X17" i="3"/>
  <c r="X913" i="3"/>
  <c r="Z913" i="3" s="1"/>
  <c r="AB913" i="3" s="1"/>
  <c r="U56" i="3"/>
  <c r="U241" i="3" s="1"/>
  <c r="S241" i="3"/>
  <c r="P241" i="3"/>
  <c r="AF10" i="3"/>
  <c r="AF11" i="3" s="1"/>
  <c r="Q253" i="3"/>
  <c r="U449" i="3"/>
  <c r="X472" i="3"/>
  <c r="AF740" i="3"/>
  <c r="AF593" i="3"/>
  <c r="AF710" i="3"/>
  <c r="AF727" i="3" s="1"/>
  <c r="AF485" i="3"/>
  <c r="AF695" i="3"/>
  <c r="AF745" i="3" s="1"/>
  <c r="AF698" i="3"/>
  <c r="AF742" i="3" s="1"/>
  <c r="Q384" i="3"/>
  <c r="AF738" i="3"/>
  <c r="N383" i="3"/>
  <c r="U258" i="3"/>
  <c r="Z496" i="3"/>
  <c r="AB496" i="3" s="1"/>
  <c r="U446" i="3"/>
  <c r="Z14" i="3"/>
  <c r="AB14" i="3" s="1"/>
  <c r="Z15" i="3"/>
  <c r="AB15" i="3" s="1"/>
  <c r="AB18" i="3" s="1"/>
  <c r="X478" i="3"/>
  <c r="X480" i="3" s="1"/>
  <c r="N391" i="3"/>
  <c r="AF707" i="3"/>
  <c r="AF677" i="3"/>
  <c r="U252" i="3"/>
  <c r="X749" i="3"/>
  <c r="U487" i="3"/>
  <c r="X486" i="3"/>
  <c r="X487" i="3" s="1"/>
  <c r="U844" i="3"/>
  <c r="U916" i="3" s="1"/>
  <c r="X844" i="3"/>
  <c r="X902" i="3"/>
  <c r="Z683" i="3"/>
  <c r="AB683" i="3" s="1"/>
  <c r="X450" i="3"/>
  <c r="X451" i="3"/>
  <c r="X228" i="3"/>
  <c r="X231" i="3" s="1"/>
  <c r="U908" i="3"/>
  <c r="X597" i="3"/>
  <c r="X1296" i="3"/>
  <c r="U1297" i="3"/>
  <c r="U658" i="3"/>
  <c r="X658" i="3" s="1"/>
  <c r="U659" i="3"/>
  <c r="X659" i="3" s="1"/>
  <c r="U749" i="3"/>
  <c r="S1172" i="3"/>
  <c r="U455" i="3"/>
  <c r="Q385" i="3"/>
  <c r="Q386" i="3"/>
  <c r="U257" i="3"/>
  <c r="U656" i="3"/>
  <c r="U657" i="3"/>
  <c r="U654" i="3"/>
  <c r="U655" i="3"/>
  <c r="S386" i="3"/>
  <c r="S385" i="3"/>
  <c r="M37" i="6"/>
  <c r="P386" i="3"/>
  <c r="P385" i="3"/>
  <c r="N390" i="3"/>
  <c r="U476" i="3"/>
  <c r="U477" i="3" s="1"/>
  <c r="X473" i="3"/>
  <c r="Q1451" i="3"/>
  <c r="Q238" i="3" s="1"/>
  <c r="AF735" i="3"/>
  <c r="Z550" i="3"/>
  <c r="AF489" i="3"/>
  <c r="AF626" i="3"/>
  <c r="Z282" i="3"/>
  <c r="AE845" i="3"/>
  <c r="AE253" i="3" s="1"/>
  <c r="AE278" i="3"/>
  <c r="AD282" i="3"/>
  <c r="Z464" i="3"/>
  <c r="U12" i="3"/>
  <c r="U13" i="3" s="1"/>
  <c r="X9" i="3"/>
  <c r="S845" i="3"/>
  <c r="S253" i="3" s="1"/>
  <c r="S916" i="3"/>
  <c r="Q651" i="3"/>
  <c r="Q652" i="3"/>
  <c r="Q650" i="3"/>
  <c r="U1144" i="3"/>
  <c r="U1146" i="3" s="1"/>
  <c r="U501" i="3"/>
  <c r="U502" i="3" s="1"/>
  <c r="X909" i="3"/>
  <c r="Z849" i="3"/>
  <c r="Z1176" i="3"/>
  <c r="AB1176" i="3" s="1"/>
  <c r="Z235" i="3"/>
  <c r="X517" i="3"/>
  <c r="U521" i="3"/>
  <c r="X508" i="3"/>
  <c r="Z508" i="3" s="1"/>
  <c r="U512" i="3"/>
  <c r="U45" i="3"/>
  <c r="Z311" i="3"/>
  <c r="Z572" i="3"/>
  <c r="Z563" i="3"/>
  <c r="Z560" i="3"/>
  <c r="Z321" i="3"/>
  <c r="AB321" i="3" s="1"/>
  <c r="S492" i="3"/>
  <c r="U491" i="3"/>
  <c r="U40" i="3"/>
  <c r="X45" i="3"/>
  <c r="AF1141" i="3"/>
  <c r="X499" i="3"/>
  <c r="X262" i="3"/>
  <c r="X264" i="3" s="1"/>
  <c r="Z8" i="3"/>
  <c r="AB8" i="3" s="1"/>
  <c r="Z11" i="3"/>
  <c r="AF624" i="3"/>
  <c r="Z625" i="3"/>
  <c r="AF1169" i="3"/>
  <c r="U127" i="3"/>
  <c r="X127" i="3" s="1"/>
  <c r="Z127" i="3" s="1"/>
  <c r="AB127" i="3" s="1"/>
  <c r="Z518" i="3"/>
  <c r="AB518" i="3" s="1"/>
  <c r="X324" i="3"/>
  <c r="X331" i="3" s="1"/>
  <c r="X360" i="3" s="1"/>
  <c r="X24" i="3"/>
  <c r="Z24" i="3" s="1"/>
  <c r="AB24" i="3" s="1"/>
  <c r="Z22" i="3"/>
  <c r="AB22" i="3" s="1"/>
  <c r="Z490" i="3"/>
  <c r="U495" i="3"/>
  <c r="S497" i="3"/>
  <c r="Z484" i="3"/>
  <c r="AB484" i="3" s="1"/>
  <c r="X267" i="3"/>
  <c r="S275" i="3"/>
  <c r="U275" i="3"/>
  <c r="M327" i="6" l="1"/>
  <c r="M6" i="48" s="1"/>
  <c r="M341" i="6"/>
  <c r="M7" i="48" s="1"/>
  <c r="I343" i="6"/>
  <c r="I8" i="48"/>
  <c r="Q340" i="6"/>
  <c r="Q334" i="6"/>
  <c r="AA178" i="6"/>
  <c r="AA336" i="6"/>
  <c r="AA322" i="6"/>
  <c r="AA314" i="6"/>
  <c r="U323" i="6"/>
  <c r="U324" i="6"/>
  <c r="U325" i="6" s="1"/>
  <c r="U338" i="6"/>
  <c r="U339" i="6" s="1"/>
  <c r="U337" i="6"/>
  <c r="Q320" i="6"/>
  <c r="U318" i="6"/>
  <c r="U319" i="6" s="1"/>
  <c r="U317" i="6"/>
  <c r="AA313" i="6"/>
  <c r="AA330" i="6"/>
  <c r="AA316" i="6"/>
  <c r="Q326" i="6"/>
  <c r="U331" i="6"/>
  <c r="U332" i="6"/>
  <c r="U333" i="6" s="1"/>
  <c r="U50" i="7"/>
  <c r="AA58" i="6"/>
  <c r="AA183" i="6"/>
  <c r="AA55" i="6"/>
  <c r="AA184" i="6"/>
  <c r="AA157" i="6"/>
  <c r="AA65" i="6"/>
  <c r="AE13" i="6"/>
  <c r="AE14" i="6"/>
  <c r="AA41" i="7"/>
  <c r="AA64" i="7" s="1"/>
  <c r="AE30" i="7"/>
  <c r="AI30" i="7" s="1"/>
  <c r="AA60" i="6"/>
  <c r="AA57" i="6"/>
  <c r="AA63" i="6"/>
  <c r="AA62" i="6"/>
  <c r="AA61" i="6"/>
  <c r="AA156" i="6"/>
  <c r="AA54" i="6"/>
  <c r="AA64" i="6"/>
  <c r="AA152" i="6"/>
  <c r="AA15" i="6"/>
  <c r="AA33" i="6" s="1"/>
  <c r="AA39" i="7"/>
  <c r="Q37" i="6"/>
  <c r="U56" i="6"/>
  <c r="U33" i="6"/>
  <c r="U36" i="6"/>
  <c r="U35" i="6"/>
  <c r="U34" i="6"/>
  <c r="U66" i="6"/>
  <c r="U67" i="6" s="1"/>
  <c r="AB844" i="3"/>
  <c r="AB845" i="3" s="1"/>
  <c r="AB253" i="3" s="1"/>
  <c r="AF770" i="3"/>
  <c r="AB490" i="3"/>
  <c r="AB572" i="3"/>
  <c r="AB508" i="3"/>
  <c r="AB512" i="3" s="1"/>
  <c r="AB663" i="3"/>
  <c r="AB560" i="3"/>
  <c r="AB569" i="3"/>
  <c r="AB544" i="3"/>
  <c r="AB548" i="3"/>
  <c r="AB540" i="3"/>
  <c r="AB546" i="3"/>
  <c r="AB542" i="3"/>
  <c r="AB566" i="3"/>
  <c r="AB581" i="3"/>
  <c r="AB575" i="3"/>
  <c r="AB578" i="3"/>
  <c r="AB584" i="3"/>
  <c r="AB550" i="3"/>
  <c r="AB228" i="3" s="1"/>
  <c r="AB231" i="3" s="1"/>
  <c r="AB262" i="3"/>
  <c r="AB9" i="3"/>
  <c r="AB458" i="3"/>
  <c r="AB454" i="3"/>
  <c r="AB17" i="3"/>
  <c r="AB538" i="3"/>
  <c r="AB227" i="3" s="1"/>
  <c r="AB230" i="3" s="1"/>
  <c r="AB625" i="3"/>
  <c r="AB910" i="3"/>
  <c r="AB726" i="3"/>
  <c r="AB713" i="3"/>
  <c r="AF704" i="3"/>
  <c r="AF726" i="3" s="1"/>
  <c r="Z472" i="3"/>
  <c r="AB464" i="3"/>
  <c r="AB472" i="3" s="1"/>
  <c r="Z454" i="3"/>
  <c r="Z458" i="3"/>
  <c r="Q642" i="3"/>
  <c r="S644" i="3"/>
  <c r="S648" i="3"/>
  <c r="S647" i="3"/>
  <c r="X678" i="3"/>
  <c r="S643" i="3"/>
  <c r="S646" i="3"/>
  <c r="Z684" i="3"/>
  <c r="AB684" i="3" s="1"/>
  <c r="AB685" i="3" s="1"/>
  <c r="X685" i="3"/>
  <c r="U682" i="3"/>
  <c r="U687" i="3" s="1"/>
  <c r="U646" i="3" s="1"/>
  <c r="Z680" i="3"/>
  <c r="AB680" i="3" s="1"/>
  <c r="AB681" i="3" s="1"/>
  <c r="X681" i="3"/>
  <c r="Z504" i="3"/>
  <c r="AB504" i="3" s="1"/>
  <c r="X234" i="3"/>
  <c r="Z49" i="3"/>
  <c r="X447" i="3"/>
  <c r="Z447" i="3" s="1"/>
  <c r="AD668" i="3"/>
  <c r="X448" i="3"/>
  <c r="U1136" i="3"/>
  <c r="X592" i="3"/>
  <c r="U1172" i="3"/>
  <c r="AF263" i="3"/>
  <c r="AF500" i="3"/>
  <c r="Z451" i="3"/>
  <c r="Z450" i="3"/>
  <c r="Z478" i="3"/>
  <c r="Z658" i="3"/>
  <c r="AB658" i="3" s="1"/>
  <c r="Z659" i="3"/>
  <c r="AB659" i="3" s="1"/>
  <c r="X449" i="3"/>
  <c r="Q391" i="3"/>
  <c r="X258" i="3"/>
  <c r="X446" i="3"/>
  <c r="AF559" i="3"/>
  <c r="AF560" i="3" s="1"/>
  <c r="AF571" i="3"/>
  <c r="AF572" i="3" s="1"/>
  <c r="AF278" i="3"/>
  <c r="AF282" i="3" s="1"/>
  <c r="AF913" i="3"/>
  <c r="AF490" i="3"/>
  <c r="AF625" i="3"/>
  <c r="AF496" i="3"/>
  <c r="AF630" i="3"/>
  <c r="AF549" i="3"/>
  <c r="AF22" i="3"/>
  <c r="AF24" i="3" s="1"/>
  <c r="AF562" i="3"/>
  <c r="AF563" i="3" s="1"/>
  <c r="AF311" i="3"/>
  <c r="AF306" i="3"/>
  <c r="AF744" i="3"/>
  <c r="AF696" i="3"/>
  <c r="AF743" i="3" s="1"/>
  <c r="AF699" i="3"/>
  <c r="AF748" i="3" s="1"/>
  <c r="AF586" i="3"/>
  <c r="AF728" i="3"/>
  <c r="S383" i="3"/>
  <c r="P383" i="3"/>
  <c r="U482" i="3"/>
  <c r="Q383" i="3"/>
  <c r="AF14" i="3"/>
  <c r="Z18" i="3"/>
  <c r="Z228" i="3"/>
  <c r="Z231" i="3" s="1"/>
  <c r="U845" i="3"/>
  <c r="Z234" i="3"/>
  <c r="X252" i="3"/>
  <c r="Z17" i="3"/>
  <c r="Z749" i="3"/>
  <c r="X1297" i="3"/>
  <c r="Z1296" i="3"/>
  <c r="AB1296" i="3" s="1"/>
  <c r="X908" i="3"/>
  <c r="Z597" i="3"/>
  <c r="AB597" i="3" s="1"/>
  <c r="X257" i="3"/>
  <c r="X455" i="3"/>
  <c r="X655" i="3"/>
  <c r="X657" i="3"/>
  <c r="X654" i="3"/>
  <c r="X656" i="3"/>
  <c r="Q390" i="3"/>
  <c r="S651" i="3"/>
  <c r="X12" i="3"/>
  <c r="X13" i="3" s="1"/>
  <c r="X476" i="3"/>
  <c r="X477" i="3" s="1"/>
  <c r="Z473" i="3"/>
  <c r="AB473" i="3" s="1"/>
  <c r="AB476" i="3" s="1"/>
  <c r="S1451" i="3"/>
  <c r="S238" i="3" s="1"/>
  <c r="AF1176" i="3"/>
  <c r="Z9" i="3"/>
  <c r="AE282" i="3"/>
  <c r="X916" i="3"/>
  <c r="P652" i="3"/>
  <c r="P650" i="3"/>
  <c r="P651" i="3"/>
  <c r="Z486" i="3"/>
  <c r="S652" i="3"/>
  <c r="S650" i="3"/>
  <c r="B467" i="3"/>
  <c r="B477" i="3"/>
  <c r="P391" i="3"/>
  <c r="P390" i="3"/>
  <c r="X1144" i="3"/>
  <c r="X1146" i="3" s="1"/>
  <c r="X512" i="3"/>
  <c r="X501" i="3"/>
  <c r="X502" i="3" s="1"/>
  <c r="Z909" i="3"/>
  <c r="AB909" i="3" s="1"/>
  <c r="AB908" i="3" s="1"/>
  <c r="X521" i="3"/>
  <c r="Z517" i="3"/>
  <c r="AB517" i="3" s="1"/>
  <c r="AB521" i="3" s="1"/>
  <c r="AF321" i="3"/>
  <c r="U492" i="3"/>
  <c r="X491" i="3"/>
  <c r="X40" i="3"/>
  <c r="Z262" i="3"/>
  <c r="Z264" i="3" s="1"/>
  <c r="Z499" i="3"/>
  <c r="AB499" i="3" s="1"/>
  <c r="X845" i="3"/>
  <c r="X253" i="3" s="1"/>
  <c r="AF518" i="3"/>
  <c r="Z324" i="3"/>
  <c r="AB324" i="3" s="1"/>
  <c r="AB331" i="3" s="1"/>
  <c r="AB360" i="3" s="1"/>
  <c r="Z267" i="3"/>
  <c r="Z512" i="3"/>
  <c r="U497" i="3"/>
  <c r="X495" i="3"/>
  <c r="M343" i="6" l="1"/>
  <c r="M8" i="48"/>
  <c r="U326" i="6"/>
  <c r="Q341" i="6"/>
  <c r="Q7" i="48" s="1"/>
  <c r="U334" i="6"/>
  <c r="AE314" i="6"/>
  <c r="AE336" i="6"/>
  <c r="AE322" i="6"/>
  <c r="AE324" i="6" s="1"/>
  <c r="U320" i="6"/>
  <c r="AA337" i="6"/>
  <c r="AA338" i="6"/>
  <c r="AA339" i="6" s="1"/>
  <c r="AE330" i="6"/>
  <c r="AE316" i="6"/>
  <c r="AE313" i="6"/>
  <c r="AA318" i="6"/>
  <c r="AA319" i="6" s="1"/>
  <c r="AA317" i="6"/>
  <c r="AA332" i="6"/>
  <c r="AA333" i="6" s="1"/>
  <c r="AA331" i="6"/>
  <c r="Q327" i="6"/>
  <c r="U340" i="6"/>
  <c r="AA323" i="6"/>
  <c r="AA324" i="6"/>
  <c r="AA325" i="6" s="1"/>
  <c r="AO30" i="7"/>
  <c r="AS30" i="7" s="1"/>
  <c r="AI39" i="7"/>
  <c r="AI41" i="7"/>
  <c r="AI13" i="6"/>
  <c r="AI61" i="6" s="1"/>
  <c r="AI14" i="6"/>
  <c r="AE58" i="6"/>
  <c r="AE57" i="6"/>
  <c r="AA56" i="6"/>
  <c r="AE156" i="6"/>
  <c r="AE65" i="6"/>
  <c r="AE54" i="6"/>
  <c r="AE62" i="6"/>
  <c r="AE64" i="6"/>
  <c r="AE152" i="6"/>
  <c r="AE60" i="6"/>
  <c r="AE61" i="6"/>
  <c r="AE63" i="6"/>
  <c r="AE15" i="6"/>
  <c r="AE55" i="6"/>
  <c r="AE178" i="6"/>
  <c r="AE183" i="6"/>
  <c r="AA35" i="6"/>
  <c r="AE184" i="6"/>
  <c r="AE157" i="6"/>
  <c r="AA50" i="7"/>
  <c r="AE39" i="7"/>
  <c r="AE41" i="7"/>
  <c r="AA36" i="6"/>
  <c r="AA66" i="6"/>
  <c r="AA67" i="6" s="1"/>
  <c r="AA59" i="6"/>
  <c r="AA34" i="6"/>
  <c r="U37" i="6"/>
  <c r="AF713" i="3"/>
  <c r="AF663" i="3"/>
  <c r="Z487" i="3"/>
  <c r="AB486" i="3"/>
  <c r="AB487" i="3" s="1"/>
  <c r="AB916" i="3"/>
  <c r="AB264" i="3"/>
  <c r="AF508" i="3"/>
  <c r="AF512" i="3" s="1"/>
  <c r="AB450" i="3"/>
  <c r="AB678" i="3"/>
  <c r="AB682" i="3" s="1"/>
  <c r="AB687" i="3" s="1"/>
  <c r="AB644" i="3" s="1"/>
  <c r="AB451" i="3"/>
  <c r="AB447" i="3"/>
  <c r="Z242" i="3"/>
  <c r="AB49" i="3"/>
  <c r="AF49" i="3" s="1"/>
  <c r="AF242" i="3" s="1"/>
  <c r="AB477" i="3"/>
  <c r="Z480" i="3"/>
  <c r="AB478" i="3"/>
  <c r="AB480" i="3" s="1"/>
  <c r="Z678" i="3"/>
  <c r="S642" i="3"/>
  <c r="Z685" i="3"/>
  <c r="X682" i="3"/>
  <c r="X687" i="3" s="1"/>
  <c r="X646" i="3" s="1"/>
  <c r="U644" i="3"/>
  <c r="U643" i="3"/>
  <c r="U647" i="3"/>
  <c r="U648" i="3"/>
  <c r="U645" i="3"/>
  <c r="Z681" i="3"/>
  <c r="AE668" i="3"/>
  <c r="AF668" i="3"/>
  <c r="U384" i="3"/>
  <c r="U387" i="3"/>
  <c r="AF910" i="3"/>
  <c r="X1136" i="3"/>
  <c r="Z592" i="3"/>
  <c r="Z448" i="3"/>
  <c r="X1172" i="3"/>
  <c r="AF749" i="3"/>
  <c r="AF8" i="3"/>
  <c r="Z331" i="3"/>
  <c r="Z360" i="3" s="1"/>
  <c r="U253" i="3"/>
  <c r="S391" i="3"/>
  <c r="Z449" i="3"/>
  <c r="Z258" i="3"/>
  <c r="Z446" i="3"/>
  <c r="AF550" i="3"/>
  <c r="AF484" i="3"/>
  <c r="AF844" i="3"/>
  <c r="AF683" i="3"/>
  <c r="AF746" i="3"/>
  <c r="AF702" i="3"/>
  <c r="AF235" i="3"/>
  <c r="AF464" i="3"/>
  <c r="AF472" i="3" s="1"/>
  <c r="AF15" i="3"/>
  <c r="S389" i="3"/>
  <c r="Z902" i="3"/>
  <c r="U385" i="3"/>
  <c r="U386" i="3"/>
  <c r="X482" i="3"/>
  <c r="Z252" i="3"/>
  <c r="Z257" i="3"/>
  <c r="Z908" i="3"/>
  <c r="Z1297" i="3"/>
  <c r="AB1297" i="3" s="1"/>
  <c r="Z844" i="3"/>
  <c r="Z455" i="3"/>
  <c r="AB455" i="3" s="1"/>
  <c r="Z656" i="3"/>
  <c r="AB656" i="3" s="1"/>
  <c r="Z657" i="3"/>
  <c r="AB657" i="3" s="1"/>
  <c r="Z655" i="3"/>
  <c r="AB655" i="3" s="1"/>
  <c r="Z654" i="3"/>
  <c r="AB654" i="3" s="1"/>
  <c r="S390" i="3"/>
  <c r="Z12" i="3"/>
  <c r="Z476" i="3"/>
  <c r="U1451" i="3"/>
  <c r="U238" i="3" s="1"/>
  <c r="U651" i="3"/>
  <c r="U650" i="3"/>
  <c r="U652" i="3"/>
  <c r="AF678" i="3"/>
  <c r="Z1144" i="3"/>
  <c r="Z501" i="3"/>
  <c r="Z502" i="3" s="1"/>
  <c r="Z521" i="3"/>
  <c r="Z40" i="3"/>
  <c r="Z45" i="3"/>
  <c r="Z491" i="3"/>
  <c r="AB491" i="3" s="1"/>
  <c r="AB492" i="3" s="1"/>
  <c r="X492" i="3"/>
  <c r="Z495" i="3"/>
  <c r="X497" i="3"/>
  <c r="AI60" i="6" l="1"/>
  <c r="U327" i="6"/>
  <c r="U6" i="48" s="1"/>
  <c r="AW30" i="7"/>
  <c r="BE30" i="7" s="1"/>
  <c r="AS39" i="7"/>
  <c r="AS41" i="7"/>
  <c r="AA340" i="6"/>
  <c r="AI157" i="6"/>
  <c r="U341" i="6"/>
  <c r="U7" i="48" s="1"/>
  <c r="AI152" i="6"/>
  <c r="AI63" i="6"/>
  <c r="AI62" i="6"/>
  <c r="AE325" i="6"/>
  <c r="AA334" i="6"/>
  <c r="AI54" i="6"/>
  <c r="AI64" i="6"/>
  <c r="AI65" i="6"/>
  <c r="AI156" i="6"/>
  <c r="AO13" i="6"/>
  <c r="AO60" i="6" s="1"/>
  <c r="AA326" i="6"/>
  <c r="AE338" i="6"/>
  <c r="AE339" i="6" s="1"/>
  <c r="AE337" i="6"/>
  <c r="AI336" i="6"/>
  <c r="AI322" i="6"/>
  <c r="AI314" i="6"/>
  <c r="Q6" i="48"/>
  <c r="Q8" i="48" s="1"/>
  <c r="Q343" i="6"/>
  <c r="AA320" i="6"/>
  <c r="AE317" i="6"/>
  <c r="AE318" i="6"/>
  <c r="AE319" i="6" s="1"/>
  <c r="AE323" i="6"/>
  <c r="AI330" i="6"/>
  <c r="AI316" i="6"/>
  <c r="AI313" i="6"/>
  <c r="AE332" i="6"/>
  <c r="AE333" i="6" s="1"/>
  <c r="AE331" i="6"/>
  <c r="AI50" i="7"/>
  <c r="AI64" i="7"/>
  <c r="AO39" i="7"/>
  <c r="AO41" i="7"/>
  <c r="AI183" i="6"/>
  <c r="AI15" i="6"/>
  <c r="AI36" i="6" s="1"/>
  <c r="AI178" i="6"/>
  <c r="AO14" i="6"/>
  <c r="AO57" i="6"/>
  <c r="AI184" i="6"/>
  <c r="AI55" i="6"/>
  <c r="AO64" i="6"/>
  <c r="AA37" i="6"/>
  <c r="AE56" i="6"/>
  <c r="AE36" i="6"/>
  <c r="AE34" i="6"/>
  <c r="AE35" i="6"/>
  <c r="AE33" i="6"/>
  <c r="AE66" i="6"/>
  <c r="AE67" i="6" s="1"/>
  <c r="AE59" i="6"/>
  <c r="AE64" i="7"/>
  <c r="AE50" i="7"/>
  <c r="AF17" i="3"/>
  <c r="AF458" i="3"/>
  <c r="AF454" i="3"/>
  <c r="AF450" i="3"/>
  <c r="AF451" i="3"/>
  <c r="AB501" i="3"/>
  <c r="AB502" i="3" s="1"/>
  <c r="Z1146" i="3"/>
  <c r="AB1144" i="3"/>
  <c r="AB1146" i="3" s="1"/>
  <c r="AB495" i="3"/>
  <c r="AB497" i="3" s="1"/>
  <c r="Z13" i="3"/>
  <c r="AB12" i="3"/>
  <c r="AB13" i="3" s="1"/>
  <c r="AB592" i="3"/>
  <c r="AB258" i="3"/>
  <c r="AB257" i="3"/>
  <c r="AF257" i="3" s="1"/>
  <c r="AB449" i="3"/>
  <c r="AB482" i="3"/>
  <c r="AB242" i="3"/>
  <c r="AB252" i="3"/>
  <c r="AF252" i="3" s="1"/>
  <c r="AB448" i="3"/>
  <c r="AB446" i="3"/>
  <c r="AB646" i="3"/>
  <c r="AB648" i="3"/>
  <c r="AB645" i="3"/>
  <c r="AB643" i="3"/>
  <c r="AB647" i="3"/>
  <c r="U642" i="3"/>
  <c r="AF684" i="3"/>
  <c r="AF685" i="3" s="1"/>
  <c r="Z682" i="3"/>
  <c r="Z687" i="3" s="1"/>
  <c r="AF680" i="3"/>
  <c r="AF681" i="3" s="1"/>
  <c r="X643" i="3"/>
  <c r="X648" i="3"/>
  <c r="X645" i="3"/>
  <c r="X644" i="3"/>
  <c r="X647" i="3"/>
  <c r="AF504" i="3"/>
  <c r="X384" i="3"/>
  <c r="X387" i="3"/>
  <c r="AF478" i="3"/>
  <c r="AF480" i="3" s="1"/>
  <c r="Z1136" i="3"/>
  <c r="AB1136" i="3" s="1"/>
  <c r="Z1172" i="3"/>
  <c r="AF262" i="3"/>
  <c r="AF264" i="3" s="1"/>
  <c r="AF9" i="3"/>
  <c r="Z477" i="3"/>
  <c r="Z482" i="3" s="1"/>
  <c r="U391" i="3"/>
  <c r="U389" i="3"/>
  <c r="AF228" i="3"/>
  <c r="AF231" i="3" s="1"/>
  <c r="AF18" i="3"/>
  <c r="AF234" i="3"/>
  <c r="AF845" i="3"/>
  <c r="AF253" i="3" s="1"/>
  <c r="AF45" i="3"/>
  <c r="AF517" i="3"/>
  <c r="AF521" i="3" s="1"/>
  <c r="AF909" i="3"/>
  <c r="AF659" i="3"/>
  <c r="AF1296" i="3"/>
  <c r="AF499" i="3"/>
  <c r="AF473" i="3"/>
  <c r="AF476" i="3" s="1"/>
  <c r="AF477" i="3" s="1"/>
  <c r="AF658" i="3"/>
  <c r="AF597" i="3"/>
  <c r="AF902" i="3"/>
  <c r="AF447" i="3"/>
  <c r="U383" i="3"/>
  <c r="X386" i="3"/>
  <c r="X385" i="3"/>
  <c r="AF656" i="3"/>
  <c r="AF657" i="3"/>
  <c r="AF655" i="3"/>
  <c r="AF654" i="3"/>
  <c r="X651" i="3"/>
  <c r="X650" i="3"/>
  <c r="X652" i="3"/>
  <c r="U390" i="3"/>
  <c r="AF324" i="3"/>
  <c r="AF331" i="3" s="1"/>
  <c r="AF360" i="3" s="1"/>
  <c r="X1451" i="3"/>
  <c r="X238" i="3" s="1"/>
  <c r="Z916" i="3"/>
  <c r="Z845" i="3"/>
  <c r="Z253" i="3" s="1"/>
  <c r="AF486" i="3"/>
  <c r="AF487" i="3" s="1"/>
  <c r="Z492" i="3"/>
  <c r="Z497" i="3"/>
  <c r="BE41" i="7" l="1"/>
  <c r="BE39" i="7"/>
  <c r="AA327" i="6"/>
  <c r="U343" i="6"/>
  <c r="AO156" i="6"/>
  <c r="AS64" i="7"/>
  <c r="AS50" i="7"/>
  <c r="AW41" i="7"/>
  <c r="AW39" i="7"/>
  <c r="AI33" i="6"/>
  <c r="AS14" i="6"/>
  <c r="AS183" i="6" s="1"/>
  <c r="AI34" i="6"/>
  <c r="AO152" i="6"/>
  <c r="AI66" i="6"/>
  <c r="AI67" i="6" s="1"/>
  <c r="AO157" i="6"/>
  <c r="AA341" i="6"/>
  <c r="AA7" i="48" s="1"/>
  <c r="AO65" i="6"/>
  <c r="AO54" i="6"/>
  <c r="AO62" i="6"/>
  <c r="AO61" i="6"/>
  <c r="AO63" i="6"/>
  <c r="AO316" i="6"/>
  <c r="AO318" i="6" s="1"/>
  <c r="AS13" i="6"/>
  <c r="AE326" i="6"/>
  <c r="U8" i="48"/>
  <c r="AO313" i="6"/>
  <c r="AO330" i="6"/>
  <c r="AO332" i="6" s="1"/>
  <c r="AI35" i="6"/>
  <c r="AI59" i="6"/>
  <c r="AE320" i="6"/>
  <c r="AE340" i="6"/>
  <c r="AE334" i="6"/>
  <c r="AI323" i="6"/>
  <c r="AO336" i="6"/>
  <c r="AO322" i="6"/>
  <c r="AO314" i="6"/>
  <c r="AI338" i="6"/>
  <c r="AI339" i="6" s="1"/>
  <c r="AI337" i="6"/>
  <c r="AI56" i="6"/>
  <c r="AI318" i="6"/>
  <c r="AI319" i="6" s="1"/>
  <c r="AI317" i="6"/>
  <c r="AO15" i="6"/>
  <c r="AO34" i="6" s="1"/>
  <c r="AI332" i="6"/>
  <c r="AI333" i="6" s="1"/>
  <c r="AI331" i="6"/>
  <c r="AA6" i="48"/>
  <c r="AI324" i="6"/>
  <c r="AI325" i="6" s="1"/>
  <c r="AO50" i="7"/>
  <c r="AO64" i="7"/>
  <c r="AO58" i="6"/>
  <c r="AS58" i="6" s="1"/>
  <c r="AO184" i="6"/>
  <c r="AS184" i="6" s="1"/>
  <c r="AO183" i="6"/>
  <c r="AO178" i="6"/>
  <c r="AO55" i="6"/>
  <c r="AE37" i="6"/>
  <c r="AB1172" i="3"/>
  <c r="AB387" i="3"/>
  <c r="AB385" i="3"/>
  <c r="AB384" i="3"/>
  <c r="AB386" i="3"/>
  <c r="AB642" i="3"/>
  <c r="AB1451" i="3"/>
  <c r="AB238" i="3" s="1"/>
  <c r="Z387" i="3"/>
  <c r="AF682" i="3"/>
  <c r="AF687" i="3" s="1"/>
  <c r="Z648" i="3"/>
  <c r="Z647" i="3"/>
  <c r="Z644" i="3"/>
  <c r="Z645" i="3"/>
  <c r="Z643" i="3"/>
  <c r="X642" i="3"/>
  <c r="Z646" i="3"/>
  <c r="AF592" i="3"/>
  <c r="AF448" i="3"/>
  <c r="AF258" i="3"/>
  <c r="Z384" i="3"/>
  <c r="Z386" i="3"/>
  <c r="Z385" i="3"/>
  <c r="X391" i="3"/>
  <c r="Z391" i="3" s="1"/>
  <c r="AB391" i="3" s="1"/>
  <c r="AF449" i="3"/>
  <c r="AF446" i="3"/>
  <c r="X389" i="3"/>
  <c r="Z389" i="3" s="1"/>
  <c r="AB389" i="3" s="1"/>
  <c r="AF1297" i="3"/>
  <c r="AF482" i="3"/>
  <c r="AF908" i="3"/>
  <c r="AF12" i="3"/>
  <c r="AF13" i="3" s="1"/>
  <c r="AF916" i="3"/>
  <c r="AF495" i="3"/>
  <c r="AF456" i="3"/>
  <c r="AF455" i="3"/>
  <c r="X383" i="3"/>
  <c r="Z650" i="3"/>
  <c r="AB650" i="3" s="1"/>
  <c r="Z651" i="3"/>
  <c r="AB651" i="3" s="1"/>
  <c r="Z652" i="3"/>
  <c r="AB652" i="3" s="1"/>
  <c r="X390" i="3"/>
  <c r="Z1451" i="3"/>
  <c r="Z238" i="3" s="1"/>
  <c r="AF1144" i="3"/>
  <c r="AF1146" i="3" s="1"/>
  <c r="AF501" i="3"/>
  <c r="AF502" i="3" s="1"/>
  <c r="AF491" i="3"/>
  <c r="AF492" i="3" s="1"/>
  <c r="BE64" i="7" l="1"/>
  <c r="BE50" i="7"/>
  <c r="AO66" i="6"/>
  <c r="AO67" i="6" s="1"/>
  <c r="AI37" i="6"/>
  <c r="AS57" i="6"/>
  <c r="AW13" i="6"/>
  <c r="BE13" i="6" s="1"/>
  <c r="AS178" i="6"/>
  <c r="AW14" i="6"/>
  <c r="AW64" i="7"/>
  <c r="AW50" i="7"/>
  <c r="AA343" i="6"/>
  <c r="AS157" i="6"/>
  <c r="AS322" i="6"/>
  <c r="AS314" i="6"/>
  <c r="AS336" i="6"/>
  <c r="AS338" i="6" s="1"/>
  <c r="AS55" i="6"/>
  <c r="AO317" i="6"/>
  <c r="AA8" i="48"/>
  <c r="AO319" i="6"/>
  <c r="AO35" i="6"/>
  <c r="AO59" i="6"/>
  <c r="AO36" i="6"/>
  <c r="AO56" i="6"/>
  <c r="AO333" i="6"/>
  <c r="AO33" i="6"/>
  <c r="AO331" i="6"/>
  <c r="AS65" i="6"/>
  <c r="AS152" i="6"/>
  <c r="AS61" i="6"/>
  <c r="AS313" i="6"/>
  <c r="AS15" i="6"/>
  <c r="AS60" i="6"/>
  <c r="AS54" i="6"/>
  <c r="AS64" i="6"/>
  <c r="AS63" i="6"/>
  <c r="AS62" i="6"/>
  <c r="AS316" i="6"/>
  <c r="AS330" i="6"/>
  <c r="AS156" i="6"/>
  <c r="AE341" i="6"/>
  <c r="AE7" i="48" s="1"/>
  <c r="AE327" i="6"/>
  <c r="AE6" i="48" s="1"/>
  <c r="AI334" i="6"/>
  <c r="AI340" i="6"/>
  <c r="AI326" i="6"/>
  <c r="AI320" i="6"/>
  <c r="AO324" i="6"/>
  <c r="AO325" i="6" s="1"/>
  <c r="AO323" i="6"/>
  <c r="AO338" i="6"/>
  <c r="AO339" i="6" s="1"/>
  <c r="AO337" i="6"/>
  <c r="AB383" i="3"/>
  <c r="AF647" i="3"/>
  <c r="AF648" i="3"/>
  <c r="AF645" i="3"/>
  <c r="AF643" i="3"/>
  <c r="AF644" i="3"/>
  <c r="Z642" i="3"/>
  <c r="AF646" i="3"/>
  <c r="AF1136" i="3"/>
  <c r="AF386" i="3"/>
  <c r="AF387" i="3"/>
  <c r="AF1172" i="3"/>
  <c r="AF1442" i="3"/>
  <c r="AF1448" i="3"/>
  <c r="AF1449" i="3"/>
  <c r="AF1443" i="3"/>
  <c r="AF1450" i="3"/>
  <c r="AF1447" i="3"/>
  <c r="AF1440" i="3"/>
  <c r="AF1445" i="3"/>
  <c r="AF1444" i="3"/>
  <c r="AF1446" i="3"/>
  <c r="AF1441" i="3"/>
  <c r="AF1439" i="3"/>
  <c r="Z383" i="3"/>
  <c r="AF384" i="3"/>
  <c r="AF385" i="3"/>
  <c r="AF497" i="3"/>
  <c r="Z390" i="3"/>
  <c r="AB390" i="3" s="1"/>
  <c r="H86" i="3"/>
  <c r="H92" i="3" s="1"/>
  <c r="BE65" i="6" l="1"/>
  <c r="BE63" i="6"/>
  <c r="BE61" i="6"/>
  <c r="BE64" i="6"/>
  <c r="BE330" i="6"/>
  <c r="BE60" i="6"/>
  <c r="BE54" i="6"/>
  <c r="BE62" i="6"/>
  <c r="BE152" i="6"/>
  <c r="BE316" i="6"/>
  <c r="BE313" i="6"/>
  <c r="BE156" i="6"/>
  <c r="AW58" i="6"/>
  <c r="BC59" i="6" s="1"/>
  <c r="BE14" i="6"/>
  <c r="BE15" i="6" s="1"/>
  <c r="AW57" i="6"/>
  <c r="BE57" i="6" s="1"/>
  <c r="AO37" i="6"/>
  <c r="AO334" i="6"/>
  <c r="AE8" i="48"/>
  <c r="AW157" i="6"/>
  <c r="BE157" i="6" s="1"/>
  <c r="AW15" i="6"/>
  <c r="AW313" i="6"/>
  <c r="AW64" i="6"/>
  <c r="AW63" i="6"/>
  <c r="AW61" i="6"/>
  <c r="AW60" i="6"/>
  <c r="AW65" i="6"/>
  <c r="AW62" i="6"/>
  <c r="AW316" i="6"/>
  <c r="AW330" i="6"/>
  <c r="AW54" i="6"/>
  <c r="AW156" i="6"/>
  <c r="AW152" i="6"/>
  <c r="AS339" i="6"/>
  <c r="AW184" i="6"/>
  <c r="AW314" i="6"/>
  <c r="AW183" i="6"/>
  <c r="AW55" i="6"/>
  <c r="AW336" i="6"/>
  <c r="AW322" i="6"/>
  <c r="AW178" i="6"/>
  <c r="AS337" i="6"/>
  <c r="AS340" i="6" s="1"/>
  <c r="AS323" i="6"/>
  <c r="AS324" i="6"/>
  <c r="AS325" i="6" s="1"/>
  <c r="AO320" i="6"/>
  <c r="AE343" i="6"/>
  <c r="AS59" i="6"/>
  <c r="AS34" i="6"/>
  <c r="AS35" i="6"/>
  <c r="AS36" i="6"/>
  <c r="AS33" i="6"/>
  <c r="AS331" i="6"/>
  <c r="AS332" i="6"/>
  <c r="AS333" i="6" s="1"/>
  <c r="AI341" i="6"/>
  <c r="AI7" i="48" s="1"/>
  <c r="AS318" i="6"/>
  <c r="AS319" i="6" s="1"/>
  <c r="AS317" i="6"/>
  <c r="AS56" i="6"/>
  <c r="AS66" i="6"/>
  <c r="AS67" i="6" s="1"/>
  <c r="AO340" i="6"/>
  <c r="AI327" i="6"/>
  <c r="AO326" i="6"/>
  <c r="AF642" i="3"/>
  <c r="AF1451" i="3"/>
  <c r="AF238" i="3" s="1"/>
  <c r="AF383" i="3"/>
  <c r="AF389" i="3"/>
  <c r="AF651" i="3"/>
  <c r="AF652" i="3"/>
  <c r="AF391" i="3"/>
  <c r="AF650" i="3"/>
  <c r="J86" i="3"/>
  <c r="J92" i="3" s="1"/>
  <c r="BE184" i="6" l="1"/>
  <c r="BE34" i="6"/>
  <c r="BE35" i="6"/>
  <c r="BE36" i="6"/>
  <c r="BE33" i="6"/>
  <c r="BE317" i="6"/>
  <c r="BE318" i="6"/>
  <c r="BE319" i="6" s="1"/>
  <c r="BE59" i="6"/>
  <c r="BE55" i="6"/>
  <c r="BE56" i="6" s="1"/>
  <c r="BE178" i="6"/>
  <c r="BE336" i="6"/>
  <c r="BE322" i="6"/>
  <c r="BE314" i="6"/>
  <c r="BE183" i="6"/>
  <c r="BE66" i="6"/>
  <c r="BE67" i="6" s="1"/>
  <c r="BE332" i="6"/>
  <c r="BE333" i="6" s="1"/>
  <c r="BE331" i="6"/>
  <c r="AO341" i="6"/>
  <c r="AO7" i="48" s="1"/>
  <c r="AW323" i="6"/>
  <c r="AW324" i="6"/>
  <c r="AW325" i="6" s="1"/>
  <c r="AW331" i="6"/>
  <c r="AW332" i="6"/>
  <c r="AW333" i="6" s="1"/>
  <c r="AW337" i="6"/>
  <c r="AW338" i="6"/>
  <c r="AW339" i="6" s="1"/>
  <c r="AW318" i="6"/>
  <c r="AW319" i="6" s="1"/>
  <c r="AW317" i="6"/>
  <c r="AW66" i="6"/>
  <c r="AW67" i="6" s="1"/>
  <c r="AW56" i="6"/>
  <c r="AW35" i="6"/>
  <c r="AW34" i="6"/>
  <c r="AW36" i="6"/>
  <c r="AW33" i="6"/>
  <c r="AW59" i="6"/>
  <c r="AS326" i="6"/>
  <c r="AO327" i="6"/>
  <c r="AO6" i="48" s="1"/>
  <c r="AS334" i="6"/>
  <c r="AS341" i="6" s="1"/>
  <c r="AS7" i="48" s="1"/>
  <c r="AS37" i="6"/>
  <c r="AS320" i="6"/>
  <c r="AS327" i="6" s="1"/>
  <c r="AI343" i="6"/>
  <c r="AI6" i="48"/>
  <c r="AI8" i="48" s="1"/>
  <c r="AF390" i="3"/>
  <c r="L86" i="3"/>
  <c r="BE320" i="6" l="1"/>
  <c r="BE334" i="6"/>
  <c r="BE324" i="6"/>
  <c r="BE325" i="6" s="1"/>
  <c r="BE323" i="6"/>
  <c r="BE326" i="6" s="1"/>
  <c r="BE327" i="6" s="1"/>
  <c r="BE37" i="6"/>
  <c r="BE337" i="6"/>
  <c r="BE338" i="6"/>
  <c r="BE339" i="6" s="1"/>
  <c r="AO343" i="6"/>
  <c r="AO8" i="48"/>
  <c r="AW334" i="6"/>
  <c r="AW320" i="6"/>
  <c r="AW340" i="6"/>
  <c r="AW326" i="6"/>
  <c r="AW37" i="6"/>
  <c r="AS343" i="6"/>
  <c r="AS6" i="48"/>
  <c r="AS8" i="48" s="1"/>
  <c r="L92" i="3"/>
  <c r="N86" i="3"/>
  <c r="N92" i="3" s="1"/>
  <c r="BE340" i="6" l="1"/>
  <c r="BE341" i="6" s="1"/>
  <c r="BE343" i="6" s="1"/>
  <c r="AW327" i="6"/>
  <c r="AW341" i="6"/>
  <c r="Q86" i="3"/>
  <c r="Q92" i="3" s="1"/>
  <c r="AW343" i="6" l="1"/>
  <c r="S86" i="3"/>
  <c r="S92" i="3" s="1"/>
  <c r="U86" i="3" l="1"/>
  <c r="U92" i="3" s="1"/>
  <c r="W86" i="3" l="1"/>
  <c r="W92" i="3" s="1"/>
  <c r="X86" i="3" l="1"/>
  <c r="X92" i="3" s="1"/>
  <c r="Z86" i="3" l="1"/>
  <c r="Z92" i="3" l="1"/>
  <c r="AB86" i="3"/>
  <c r="AB92" i="3" s="1"/>
  <c r="AD86" i="3"/>
  <c r="AD92" i="3" s="1"/>
  <c r="AF86" i="3" l="1"/>
  <c r="AF92" i="3" s="1"/>
  <c r="AE86" i="3"/>
  <c r="AE92" i="3" s="1"/>
  <c r="H38" i="7" l="1"/>
  <c r="D28" i="7"/>
  <c r="D41" i="7" s="1"/>
  <c r="D64" i="7" s="1"/>
  <c r="D85" i="7"/>
  <c r="D16" i="7"/>
  <c r="H10" i="7"/>
  <c r="L38" i="7" l="1"/>
  <c r="L49" i="7" s="1"/>
  <c r="H49" i="7"/>
  <c r="D30" i="7"/>
  <c r="P38" i="7"/>
  <c r="P49" i="7" s="1"/>
  <c r="H16" i="7"/>
  <c r="H22" i="7"/>
  <c r="D50" i="7"/>
  <c r="T38" i="7" l="1"/>
  <c r="T49" i="7" s="1"/>
  <c r="H28" i="7"/>
  <c r="H81" i="7"/>
  <c r="H85" i="7" s="1"/>
  <c r="D39" i="7"/>
  <c r="H30" i="7"/>
  <c r="Z38" i="7" l="1"/>
  <c r="AD38" i="7" s="1"/>
  <c r="H41" i="7"/>
  <c r="H39" i="7"/>
  <c r="H50" i="7" l="1"/>
  <c r="H64" i="7"/>
  <c r="AH38" i="7"/>
  <c r="AD49" i="7"/>
  <c r="Z49" i="7"/>
  <c r="H1329" i="3"/>
  <c r="J1330" i="3"/>
  <c r="AN38" i="7" l="1"/>
  <c r="AH49" i="7"/>
  <c r="L1330" i="3"/>
  <c r="N1330" i="3" s="1"/>
  <c r="Q1330" i="3" s="1"/>
  <c r="S1330" i="3" s="1"/>
  <c r="U1330" i="3" s="1"/>
  <c r="X1330" i="3" s="1"/>
  <c r="Z1330" i="3" s="1"/>
  <c r="J1329" i="3"/>
  <c r="H237" i="3"/>
  <c r="AN49" i="7" l="1"/>
  <c r="AR38" i="7"/>
  <c r="AB1330" i="3"/>
  <c r="L1329" i="3"/>
  <c r="J237" i="3"/>
  <c r="AR49" i="7" l="1"/>
  <c r="AV38" i="7"/>
  <c r="AF1330" i="3"/>
  <c r="L237" i="3"/>
  <c r="N1329" i="3"/>
  <c r="AV49" i="7" l="1"/>
  <c r="BD38" i="7"/>
  <c r="BD49" i="7" s="1"/>
  <c r="N237" i="3"/>
  <c r="Q1329" i="3"/>
  <c r="S1329" i="3" s="1"/>
  <c r="Q237" i="3" l="1"/>
  <c r="S237" i="3"/>
  <c r="U1329" i="3"/>
  <c r="U237" i="3" l="1"/>
  <c r="X1329" i="3"/>
  <c r="X237" i="3" l="1"/>
  <c r="Z1329" i="3"/>
  <c r="AB1329" i="3" s="1"/>
  <c r="AB237" i="3" s="1"/>
  <c r="Z237" i="3" l="1"/>
  <c r="AF1329" i="3" l="1"/>
  <c r="AF237" i="3" l="1"/>
  <c r="J85" i="7" l="1"/>
  <c r="L10" i="7"/>
  <c r="L22" i="7" s="1"/>
  <c r="L81" i="7" s="1"/>
  <c r="L85" i="7" s="1"/>
  <c r="J28" i="7"/>
  <c r="J41" i="7" s="1"/>
  <c r="J64" i="7" s="1"/>
  <c r="J30" i="7" l="1"/>
  <c r="L28" i="7"/>
  <c r="L41" i="7" s="1"/>
  <c r="L64" i="7" s="1"/>
  <c r="J50" i="7"/>
  <c r="L16" i="7"/>
  <c r="J16" i="7"/>
  <c r="L50" i="7" l="1"/>
  <c r="J39" i="7"/>
  <c r="L30" i="7"/>
  <c r="L39" i="7" l="1"/>
  <c r="N16" i="7"/>
  <c r="P10" i="7"/>
  <c r="N81" i="7"/>
  <c r="T10" i="7" l="1"/>
  <c r="P22" i="7"/>
  <c r="P81" i="7" s="1"/>
  <c r="N85" i="7"/>
  <c r="P16" i="7"/>
  <c r="N28" i="7"/>
  <c r="N41" i="7" s="1"/>
  <c r="N64" i="7" s="1"/>
  <c r="Z10" i="7" l="1"/>
  <c r="T22" i="7"/>
  <c r="T16" i="7"/>
  <c r="N50" i="7"/>
  <c r="N30" i="7"/>
  <c r="P85" i="7"/>
  <c r="P28" i="7"/>
  <c r="P41" i="7" s="1"/>
  <c r="P64" i="7" s="1"/>
  <c r="T81" i="7" l="1"/>
  <c r="T85" i="7" s="1"/>
  <c r="T28" i="7"/>
  <c r="T41" i="7" s="1"/>
  <c r="AD10" i="7"/>
  <c r="Z22" i="7"/>
  <c r="Z16" i="7"/>
  <c r="X30" i="7"/>
  <c r="N39" i="7"/>
  <c r="P30" i="7"/>
  <c r="P50" i="7"/>
  <c r="Z81" i="7" l="1"/>
  <c r="Z85" i="7" s="1"/>
  <c r="Z28" i="7"/>
  <c r="Z41" i="7" s="1"/>
  <c r="AD22" i="7"/>
  <c r="AH10" i="7"/>
  <c r="AD16" i="7"/>
  <c r="T64" i="7"/>
  <c r="T50" i="7"/>
  <c r="X39" i="7"/>
  <c r="T30" i="7"/>
  <c r="P39" i="7"/>
  <c r="AH22" i="7" l="1"/>
  <c r="AN10" i="7"/>
  <c r="AR10" i="7" s="1"/>
  <c r="AH16" i="7"/>
  <c r="AD81" i="7"/>
  <c r="AD85" i="7" s="1"/>
  <c r="AD28" i="7"/>
  <c r="AD41" i="7" s="1"/>
  <c r="Z64" i="7"/>
  <c r="Z50" i="7"/>
  <c r="Z30" i="7"/>
  <c r="AD30" i="7" s="1"/>
  <c r="T39" i="7"/>
  <c r="H69" i="7"/>
  <c r="H70" i="7" s="1"/>
  <c r="AR22" i="7" l="1"/>
  <c r="AV10" i="7"/>
  <c r="BD10" i="7" s="1"/>
  <c r="AR16" i="7"/>
  <c r="AH30" i="7"/>
  <c r="AD39" i="7"/>
  <c r="AN22" i="7"/>
  <c r="AN16" i="7"/>
  <c r="AD64" i="7"/>
  <c r="AD50" i="7"/>
  <c r="AH81" i="7"/>
  <c r="AH85" i="7" s="1"/>
  <c r="AH28" i="7"/>
  <c r="AH41" i="7" s="1"/>
  <c r="Z39" i="7"/>
  <c r="L69" i="7"/>
  <c r="BD22" i="7" l="1"/>
  <c r="BD16" i="7"/>
  <c r="AV22" i="7"/>
  <c r="AV16" i="7"/>
  <c r="AR81" i="7"/>
  <c r="AR85" i="7" s="1"/>
  <c r="AR28" i="7"/>
  <c r="AR41" i="7" s="1"/>
  <c r="AH64" i="7"/>
  <c r="AH50" i="7"/>
  <c r="AN81" i="7"/>
  <c r="AN85" i="7" s="1"/>
  <c r="AN28" i="7"/>
  <c r="AN41" i="7" s="1"/>
  <c r="AH39" i="7"/>
  <c r="AN30" i="7"/>
  <c r="L70" i="7"/>
  <c r="P69" i="7"/>
  <c r="T69" i="7" s="1"/>
  <c r="BD81" i="7" l="1"/>
  <c r="BD85" i="7" s="1"/>
  <c r="BD28" i="7"/>
  <c r="BD41" i="7" s="1"/>
  <c r="AR64" i="7"/>
  <c r="AR50" i="7"/>
  <c r="AN39" i="7"/>
  <c r="AR30" i="7"/>
  <c r="AV81" i="7"/>
  <c r="AV85" i="7" s="1"/>
  <c r="AV28" i="7"/>
  <c r="AV41" i="7" s="1"/>
  <c r="AN64" i="7"/>
  <c r="AN50" i="7"/>
  <c r="T70" i="7"/>
  <c r="Z69" i="7"/>
  <c r="P70" i="7"/>
  <c r="BD64" i="7" l="1"/>
  <c r="BD50" i="7"/>
  <c r="AR39" i="7"/>
  <c r="AV30" i="7"/>
  <c r="AV64" i="7"/>
  <c r="AV50" i="7"/>
  <c r="Z70" i="7"/>
  <c r="AD69" i="7"/>
  <c r="L1189" i="3"/>
  <c r="N1189" i="3" s="1"/>
  <c r="N1194" i="3" s="1"/>
  <c r="P1189" i="3"/>
  <c r="P1194" i="3" s="1"/>
  <c r="AV39" i="7" l="1"/>
  <c r="BD30" i="7"/>
  <c r="BD39" i="7" s="1"/>
  <c r="AH69" i="7"/>
  <c r="AD70" i="7"/>
  <c r="L1194" i="3"/>
  <c r="O55" i="26"/>
  <c r="Q51" i="26"/>
  <c r="U51" i="26" s="1"/>
  <c r="Q1189" i="3"/>
  <c r="AH70" i="7" l="1"/>
  <c r="AN69" i="7"/>
  <c r="AA51" i="26"/>
  <c r="U55" i="26"/>
  <c r="Q1194" i="3"/>
  <c r="S1189" i="3"/>
  <c r="Q55" i="26"/>
  <c r="AN70" i="7" l="1"/>
  <c r="AR69" i="7"/>
  <c r="AA55" i="26"/>
  <c r="AE51" i="26"/>
  <c r="S1194" i="3"/>
  <c r="U1189" i="3"/>
  <c r="AI51" i="26" l="1"/>
  <c r="AE55" i="26"/>
  <c r="AV69" i="7"/>
  <c r="AR70" i="7"/>
  <c r="U1194" i="3"/>
  <c r="X1189" i="3"/>
  <c r="AV70" i="7" l="1"/>
  <c r="BD69" i="7"/>
  <c r="BD70" i="7" s="1"/>
  <c r="AO51" i="26"/>
  <c r="AI55" i="26"/>
  <c r="X1194" i="3"/>
  <c r="Z1189" i="3"/>
  <c r="AB1189" i="3" s="1"/>
  <c r="AB1194" i="3" s="1"/>
  <c r="AS51" i="26" l="1"/>
  <c r="AO55" i="26"/>
  <c r="Z1194" i="3"/>
  <c r="AW51" i="26" l="1"/>
  <c r="AS55" i="26"/>
  <c r="AF1189" i="3"/>
  <c r="AF1194" i="3" s="1"/>
  <c r="AW55" i="26" l="1"/>
  <c r="BE51" i="26"/>
  <c r="BE55" i="26" s="1"/>
  <c r="AD666" i="3"/>
  <c r="AD667" i="3" s="1"/>
  <c r="AF667" i="3" l="1"/>
  <c r="AE667" i="3"/>
  <c r="AF666" i="3"/>
  <c r="AE666" i="3"/>
  <c r="AD1503" i="3"/>
  <c r="AF1503" i="3" l="1"/>
  <c r="AE1503" i="3"/>
  <c r="AD1298" i="3" l="1"/>
  <c r="AD1299" i="3" s="1"/>
  <c r="AF1298" i="3" l="1"/>
  <c r="AF1299" i="3" s="1"/>
  <c r="AE1298" i="3"/>
  <c r="AE1299" i="3" s="1"/>
  <c r="AF1507" i="3"/>
  <c r="AD1507" i="3"/>
  <c r="AE1507" i="3" l="1"/>
  <c r="K78" i="26" l="1"/>
  <c r="AI1210" i="3"/>
  <c r="J1206" i="3"/>
  <c r="L1206" i="3" s="1"/>
  <c r="N1206" i="3" l="1"/>
  <c r="L1215" i="3"/>
  <c r="J1215" i="3"/>
  <c r="M69" i="26"/>
  <c r="Q69" i="26" l="1"/>
  <c r="U69" i="26" s="1"/>
  <c r="M78" i="26"/>
  <c r="M67" i="26" s="1"/>
  <c r="N1215" i="3"/>
  <c r="Q1206" i="3"/>
  <c r="AA69" i="26" l="1"/>
  <c r="U78" i="26"/>
  <c r="S1206" i="3"/>
  <c r="Q1215" i="3"/>
  <c r="Q78" i="26"/>
  <c r="Q67" i="26" s="1"/>
  <c r="U67" i="26" l="1"/>
  <c r="AE69" i="26"/>
  <c r="AA78" i="26"/>
  <c r="S1215" i="3"/>
  <c r="U1206" i="3"/>
  <c r="AI69" i="26" l="1"/>
  <c r="AE78" i="26"/>
  <c r="AA67" i="26"/>
  <c r="U1215" i="3"/>
  <c r="X1206" i="3"/>
  <c r="AE67" i="26" l="1"/>
  <c r="AO69" i="26"/>
  <c r="AI78" i="26"/>
  <c r="AI67" i="26" s="1"/>
  <c r="Z1206" i="3"/>
  <c r="AB1206" i="3" s="1"/>
  <c r="AB1215" i="3" s="1"/>
  <c r="X1215" i="3"/>
  <c r="AO78" i="26" l="1"/>
  <c r="AO67" i="26" s="1"/>
  <c r="AS69" i="26"/>
  <c r="Z1215" i="3"/>
  <c r="AW69" i="26" l="1"/>
  <c r="AS78" i="26"/>
  <c r="AS67" i="26" s="1"/>
  <c r="AF1206" i="3"/>
  <c r="AF1215" i="3" s="1"/>
  <c r="AW78" i="26" l="1"/>
  <c r="BE69" i="26"/>
  <c r="BE78" i="26" s="1"/>
  <c r="AW67" i="26"/>
  <c r="AQ61" i="32"/>
  <c r="BE67" i="26" l="1"/>
  <c r="N86" i="9"/>
  <c r="N21" i="9"/>
  <c r="P21" i="9" l="1"/>
  <c r="T21" i="9" s="1"/>
  <c r="X21" i="9"/>
  <c r="H27" i="6"/>
  <c r="L27" i="6" s="1"/>
  <c r="P27" i="6" s="1"/>
  <c r="T27" i="6" s="1"/>
  <c r="F37" i="6"/>
  <c r="H21" i="6"/>
  <c r="L21" i="6" s="1"/>
  <c r="P21" i="6" s="1"/>
  <c r="T21" i="6" s="1"/>
  <c r="H24" i="6"/>
  <c r="L24" i="6" s="1"/>
  <c r="P24" i="6" s="1"/>
  <c r="T24" i="6" s="1"/>
  <c r="H20" i="6"/>
  <c r="H18" i="6"/>
  <c r="L18" i="6" s="1"/>
  <c r="P18" i="6" s="1"/>
  <c r="T18" i="6" s="1"/>
  <c r="H23" i="6"/>
  <c r="X84" i="9" l="1"/>
  <c r="X86" i="9" s="1"/>
  <c r="P84" i="9"/>
  <c r="P86" i="9" s="1"/>
  <c r="T84" i="9"/>
  <c r="T86" i="9" s="1"/>
  <c r="Z21" i="9"/>
  <c r="Z18" i="6"/>
  <c r="AD18" i="6" s="1"/>
  <c r="AH18" i="6" s="1"/>
  <c r="AN18" i="6" s="1"/>
  <c r="AR18" i="6" s="1"/>
  <c r="AV18" i="6" s="1"/>
  <c r="BD18" i="6" s="1"/>
  <c r="Z27" i="6"/>
  <c r="AD27" i="6" s="1"/>
  <c r="AH27" i="6" s="1"/>
  <c r="AN27" i="6" s="1"/>
  <c r="AR27" i="6" s="1"/>
  <c r="AV27" i="6" s="1"/>
  <c r="BD27" i="6" s="1"/>
  <c r="Z24" i="6"/>
  <c r="AD24" i="6" s="1"/>
  <c r="AH24" i="6" s="1"/>
  <c r="AN24" i="6" s="1"/>
  <c r="AR24" i="6" s="1"/>
  <c r="AV24" i="6" s="1"/>
  <c r="BD24" i="6" s="1"/>
  <c r="Z21" i="6"/>
  <c r="AD21" i="6" s="1"/>
  <c r="AH21" i="6" s="1"/>
  <c r="AN21" i="6" s="1"/>
  <c r="AR21" i="6" s="1"/>
  <c r="AV21" i="6" s="1"/>
  <c r="BD21" i="6" s="1"/>
  <c r="H172" i="6"/>
  <c r="L172" i="6" s="1"/>
  <c r="P172" i="6" s="1"/>
  <c r="T172" i="6" s="1"/>
  <c r="H22" i="6"/>
  <c r="H34" i="6" s="1"/>
  <c r="L20" i="6"/>
  <c r="H25" i="6"/>
  <c r="H35" i="6" s="1"/>
  <c r="L23" i="6"/>
  <c r="H26" i="6"/>
  <c r="H170" i="6"/>
  <c r="L170" i="6" s="1"/>
  <c r="P170" i="6" s="1"/>
  <c r="T170" i="6" s="1"/>
  <c r="H173" i="6"/>
  <c r="L173" i="6" s="1"/>
  <c r="P173" i="6" s="1"/>
  <c r="T173" i="6" s="1"/>
  <c r="H175" i="6"/>
  <c r="L175" i="6" s="1"/>
  <c r="P175" i="6" s="1"/>
  <c r="T175" i="6" s="1"/>
  <c r="H17" i="6"/>
  <c r="H144" i="6" s="1"/>
  <c r="H174" i="6"/>
  <c r="L174" i="6" s="1"/>
  <c r="P174" i="6" s="1"/>
  <c r="T174" i="6" s="1"/>
  <c r="H30" i="6"/>
  <c r="L30" i="6" s="1"/>
  <c r="P30" i="6" s="1"/>
  <c r="T30" i="6" s="1"/>
  <c r="H241" i="6" l="1"/>
  <c r="Z84" i="9"/>
  <c r="Z86" i="9" s="1"/>
  <c r="AD21" i="9"/>
  <c r="Z174" i="6"/>
  <c r="AD174" i="6" s="1"/>
  <c r="AH174" i="6" s="1"/>
  <c r="AN174" i="6" s="1"/>
  <c r="AR174" i="6" s="1"/>
  <c r="AV174" i="6" s="1"/>
  <c r="BD174" i="6" s="1"/>
  <c r="Z173" i="6"/>
  <c r="AD173" i="6" s="1"/>
  <c r="AH173" i="6" s="1"/>
  <c r="AN173" i="6" s="1"/>
  <c r="AR173" i="6" s="1"/>
  <c r="AV173" i="6" s="1"/>
  <c r="BD173" i="6" s="1"/>
  <c r="Z30" i="6"/>
  <c r="AD30" i="6" s="1"/>
  <c r="AH30" i="6" s="1"/>
  <c r="AN30" i="6" s="1"/>
  <c r="AR30" i="6" s="1"/>
  <c r="AV30" i="6" s="1"/>
  <c r="BD30" i="6" s="1"/>
  <c r="Z170" i="6"/>
  <c r="AD170" i="6" s="1"/>
  <c r="AH170" i="6" s="1"/>
  <c r="AN170" i="6" s="1"/>
  <c r="AR170" i="6" s="1"/>
  <c r="AV170" i="6" s="1"/>
  <c r="BD170" i="6" s="1"/>
  <c r="Z175" i="6"/>
  <c r="AD175" i="6" s="1"/>
  <c r="AH175" i="6" s="1"/>
  <c r="AN175" i="6" s="1"/>
  <c r="AR175" i="6" s="1"/>
  <c r="AV175" i="6" s="1"/>
  <c r="BD175" i="6" s="1"/>
  <c r="Z172" i="6"/>
  <c r="AD172" i="6" s="1"/>
  <c r="AH172" i="6" s="1"/>
  <c r="AN172" i="6" s="1"/>
  <c r="AR172" i="6" s="1"/>
  <c r="AV172" i="6" s="1"/>
  <c r="BD172" i="6" s="1"/>
  <c r="H147" i="6"/>
  <c r="H149" i="6"/>
  <c r="H148" i="6"/>
  <c r="H50" i="8"/>
  <c r="H146" i="6"/>
  <c r="L25" i="6"/>
  <c r="L35" i="6" s="1"/>
  <c r="P23" i="6"/>
  <c r="L22" i="6"/>
  <c r="L34" i="6" s="1"/>
  <c r="P20" i="6"/>
  <c r="H19" i="6"/>
  <c r="H33" i="6" s="1"/>
  <c r="L17" i="6"/>
  <c r="H145" i="6"/>
  <c r="H29" i="6"/>
  <c r="L26" i="6"/>
  <c r="H28" i="6"/>
  <c r="H36" i="6" s="1"/>
  <c r="AD84" i="9" l="1"/>
  <c r="AD86" i="9" s="1"/>
  <c r="AH21" i="9"/>
  <c r="L149" i="6"/>
  <c r="H37" i="6"/>
  <c r="P25" i="6"/>
  <c r="P35" i="6" s="1"/>
  <c r="T23" i="6"/>
  <c r="X25" i="6" s="1"/>
  <c r="X35" i="6" s="1"/>
  <c r="P26" i="6"/>
  <c r="L28" i="6"/>
  <c r="L36" i="6" s="1"/>
  <c r="P17" i="6"/>
  <c r="L19" i="6"/>
  <c r="L33" i="6" s="1"/>
  <c r="P22" i="6"/>
  <c r="P34" i="6" s="1"/>
  <c r="T20" i="6"/>
  <c r="X22" i="6" s="1"/>
  <c r="X34" i="6" s="1"/>
  <c r="L147" i="6"/>
  <c r="P147" i="6" s="1"/>
  <c r="H31" i="6"/>
  <c r="L29" i="6"/>
  <c r="L146" i="6"/>
  <c r="L145" i="6"/>
  <c r="P145" i="6" s="1"/>
  <c r="L148" i="6"/>
  <c r="L144" i="6"/>
  <c r="L241" i="6" s="1"/>
  <c r="L50" i="8" s="1"/>
  <c r="AH84" i="9" l="1"/>
  <c r="AH86" i="9" s="1"/>
  <c r="AN21" i="9"/>
  <c r="T25" i="6"/>
  <c r="T35" i="6" s="1"/>
  <c r="Z23" i="6"/>
  <c r="T22" i="6"/>
  <c r="T34" i="6" s="1"/>
  <c r="Z20" i="6"/>
  <c r="P144" i="6"/>
  <c r="P241" i="6" s="1"/>
  <c r="P50" i="8" s="1"/>
  <c r="P148" i="6"/>
  <c r="L37" i="6"/>
  <c r="P146" i="6"/>
  <c r="T17" i="6"/>
  <c r="X19" i="6" s="1"/>
  <c r="X33" i="6" s="1"/>
  <c r="P19" i="6"/>
  <c r="P33" i="6" s="1"/>
  <c r="L31" i="6"/>
  <c r="P29" i="6"/>
  <c r="T26" i="6"/>
  <c r="X28" i="6" s="1"/>
  <c r="X36" i="6" s="1"/>
  <c r="P28" i="6"/>
  <c r="P36" i="6" s="1"/>
  <c r="P149" i="6"/>
  <c r="AN84" i="9" l="1"/>
  <c r="AN86" i="9" s="1"/>
  <c r="AR21" i="9"/>
  <c r="Z22" i="6"/>
  <c r="Z34" i="6" s="1"/>
  <c r="AD20" i="6"/>
  <c r="Z25" i="6"/>
  <c r="Z35" i="6" s="1"/>
  <c r="AD23" i="6"/>
  <c r="X37" i="6"/>
  <c r="T28" i="6"/>
  <c r="T36" i="6" s="1"/>
  <c r="Z26" i="6"/>
  <c r="T19" i="6"/>
  <c r="T33" i="6" s="1"/>
  <c r="Z17" i="6"/>
  <c r="T146" i="6"/>
  <c r="T147" i="6"/>
  <c r="T144" i="6"/>
  <c r="T145" i="6"/>
  <c r="T149" i="6"/>
  <c r="P31" i="6"/>
  <c r="T29" i="6"/>
  <c r="X31" i="6" s="1"/>
  <c r="P37" i="6"/>
  <c r="T148" i="6"/>
  <c r="F25" i="8"/>
  <c r="N24" i="8"/>
  <c r="R25" i="8"/>
  <c r="N25" i="8"/>
  <c r="J25" i="8"/>
  <c r="R24" i="8"/>
  <c r="F24" i="8"/>
  <c r="J24" i="8"/>
  <c r="J23" i="8"/>
  <c r="AR84" i="9" l="1"/>
  <c r="AR86" i="9" s="1"/>
  <c r="AV21" i="9"/>
  <c r="AD25" i="6"/>
  <c r="AD35" i="6" s="1"/>
  <c r="AH23" i="6"/>
  <c r="AD22" i="6"/>
  <c r="AD34" i="6" s="1"/>
  <c r="AH20" i="6"/>
  <c r="Z28" i="6"/>
  <c r="Z36" i="6" s="1"/>
  <c r="AD26" i="6"/>
  <c r="Z19" i="6"/>
  <c r="Z33" i="6" s="1"/>
  <c r="AD17" i="6"/>
  <c r="X24" i="8"/>
  <c r="X25" i="8"/>
  <c r="T37" i="6"/>
  <c r="Z147" i="6"/>
  <c r="AD147" i="6" s="1"/>
  <c r="Z145" i="6"/>
  <c r="Z148" i="6"/>
  <c r="Z149" i="6"/>
  <c r="T31" i="6"/>
  <c r="Z29" i="6"/>
  <c r="T241" i="6"/>
  <c r="T50" i="8" s="1"/>
  <c r="Z144" i="6"/>
  <c r="Z146" i="6"/>
  <c r="AD146" i="6" s="1"/>
  <c r="N23" i="8"/>
  <c r="N26" i="8" s="1"/>
  <c r="F23" i="8"/>
  <c r="F26" i="8" s="1"/>
  <c r="J26" i="8"/>
  <c r="J66" i="8"/>
  <c r="J33" i="8" s="1"/>
  <c r="R23" i="8"/>
  <c r="AV84" i="9" l="1"/>
  <c r="AV86" i="9" s="1"/>
  <c r="BD21" i="9"/>
  <c r="BD84" i="9" s="1"/>
  <c r="BD86" i="9" s="1"/>
  <c r="Z37" i="6"/>
  <c r="AH22" i="6"/>
  <c r="AH34" i="6" s="1"/>
  <c r="AN20" i="6"/>
  <c r="AH25" i="6"/>
  <c r="AH35" i="6" s="1"/>
  <c r="AN23" i="6"/>
  <c r="AD19" i="6"/>
  <c r="AD33" i="6" s="1"/>
  <c r="AH17" i="6"/>
  <c r="AD28" i="6"/>
  <c r="AD36" i="6" s="1"/>
  <c r="AH26" i="6"/>
  <c r="AD149" i="6"/>
  <c r="AD148" i="6"/>
  <c r="AD145" i="6"/>
  <c r="Z31" i="6"/>
  <c r="AD29" i="6"/>
  <c r="Z241" i="6"/>
  <c r="Z50" i="8" s="1"/>
  <c r="AD144" i="6"/>
  <c r="X39" i="8"/>
  <c r="X12" i="36"/>
  <c r="X38" i="8"/>
  <c r="X11" i="36"/>
  <c r="N66" i="8"/>
  <c r="X23" i="8"/>
  <c r="X10" i="36" s="1"/>
  <c r="F66" i="8"/>
  <c r="F33" i="8" s="1"/>
  <c r="R66" i="8"/>
  <c r="R33" i="8" s="1"/>
  <c r="R26" i="8"/>
  <c r="D13" i="36"/>
  <c r="D38" i="8"/>
  <c r="D24" i="8" s="1"/>
  <c r="H24" i="8" s="1"/>
  <c r="H11" i="36" s="1"/>
  <c r="D37" i="8"/>
  <c r="D23" i="8" s="1"/>
  <c r="D39" i="8"/>
  <c r="D25" i="8" s="1"/>
  <c r="H25" i="8" s="1"/>
  <c r="H12" i="36" s="1"/>
  <c r="AN22" i="6" l="1"/>
  <c r="AN34" i="6" s="1"/>
  <c r="AR20" i="6"/>
  <c r="AN25" i="6"/>
  <c r="AN35" i="6" s="1"/>
  <c r="AR23" i="6"/>
  <c r="AH146" i="6"/>
  <c r="AN17" i="6"/>
  <c r="AR17" i="6" s="1"/>
  <c r="AV17" i="6" s="1"/>
  <c r="BD17" i="6" s="1"/>
  <c r="BD19" i="6" s="1"/>
  <c r="BD33" i="6" s="1"/>
  <c r="AH28" i="6"/>
  <c r="AH36" i="6" s="1"/>
  <c r="AN26" i="6"/>
  <c r="AH145" i="6"/>
  <c r="AH148" i="6"/>
  <c r="AN148" i="6" s="1"/>
  <c r="AD31" i="6"/>
  <c r="AH29" i="6"/>
  <c r="AH149" i="6"/>
  <c r="AH19" i="6"/>
  <c r="AH33" i="6" s="1"/>
  <c r="AD37" i="6"/>
  <c r="AD241" i="6"/>
  <c r="AD50" i="8" s="1"/>
  <c r="AH144" i="6"/>
  <c r="AH147" i="6"/>
  <c r="AN147" i="6" s="1"/>
  <c r="AR147" i="6" s="1"/>
  <c r="AV147" i="6" s="1"/>
  <c r="BD147" i="6" s="1"/>
  <c r="X37" i="8"/>
  <c r="X40" i="8" s="1"/>
  <c r="X26" i="8"/>
  <c r="N33" i="8"/>
  <c r="X33" i="8" s="1"/>
  <c r="X66" i="8"/>
  <c r="X71" i="8" s="1"/>
  <c r="D40" i="8"/>
  <c r="L24" i="8"/>
  <c r="H38" i="8"/>
  <c r="D66" i="8"/>
  <c r="H66" i="8" s="1"/>
  <c r="L25" i="8"/>
  <c r="H39" i="8"/>
  <c r="D26" i="8"/>
  <c r="H23" i="8"/>
  <c r="H10" i="36" s="1"/>
  <c r="H13" i="36" s="1"/>
  <c r="AR25" i="6" l="1"/>
  <c r="AR35" i="6" s="1"/>
  <c r="AV23" i="6"/>
  <c r="AV19" i="6"/>
  <c r="AV33" i="6" s="1"/>
  <c r="AR22" i="6"/>
  <c r="AR34" i="6" s="1"/>
  <c r="AV20" i="6"/>
  <c r="AN28" i="6"/>
  <c r="AN36" i="6" s="1"/>
  <c r="AR26" i="6"/>
  <c r="AR148" i="6"/>
  <c r="AV148" i="6" s="1"/>
  <c r="BD148" i="6" s="1"/>
  <c r="AR19" i="6"/>
  <c r="AR33" i="6" s="1"/>
  <c r="AN149" i="6"/>
  <c r="AR149" i="6" s="1"/>
  <c r="AV149" i="6" s="1"/>
  <c r="BD149" i="6" s="1"/>
  <c r="AH37" i="6"/>
  <c r="AN145" i="6"/>
  <c r="AR145" i="6" s="1"/>
  <c r="AV145" i="6" s="1"/>
  <c r="BD145" i="6" s="1"/>
  <c r="AN19" i="6"/>
  <c r="AN33" i="6" s="1"/>
  <c r="AH31" i="6"/>
  <c r="AN29" i="6"/>
  <c r="AH241" i="6"/>
  <c r="AH50" i="8" s="1"/>
  <c r="AN144" i="6"/>
  <c r="AN146" i="6"/>
  <c r="AR146" i="6" s="1"/>
  <c r="AV146" i="6" s="1"/>
  <c r="BD146" i="6" s="1"/>
  <c r="L11" i="36"/>
  <c r="L38" i="8"/>
  <c r="L12" i="36"/>
  <c r="L39" i="8"/>
  <c r="D33" i="8"/>
  <c r="H33" i="8" s="1"/>
  <c r="L33" i="8" s="1"/>
  <c r="P33" i="8" s="1"/>
  <c r="T33" i="8" s="1"/>
  <c r="Z33" i="8" s="1"/>
  <c r="AD33" i="8" s="1"/>
  <c r="AH33" i="8" s="1"/>
  <c r="AN33" i="8" s="1"/>
  <c r="AR33" i="8" s="1"/>
  <c r="AV33" i="8" s="1"/>
  <c r="BD33" i="8" s="1"/>
  <c r="P25" i="8"/>
  <c r="L23" i="8"/>
  <c r="H26" i="8"/>
  <c r="H37" i="8"/>
  <c r="H40" i="8" s="1"/>
  <c r="H71" i="8"/>
  <c r="L66" i="8"/>
  <c r="P24" i="8"/>
  <c r="AV25" i="6" l="1"/>
  <c r="AV35" i="6" s="1"/>
  <c r="BD23" i="6"/>
  <c r="BD25" i="6" s="1"/>
  <c r="BD35" i="6" s="1"/>
  <c r="AV22" i="6"/>
  <c r="AV34" i="6" s="1"/>
  <c r="BD20" i="6"/>
  <c r="BD22" i="6" s="1"/>
  <c r="BD34" i="6" s="1"/>
  <c r="AR28" i="6"/>
  <c r="AR36" i="6" s="1"/>
  <c r="AR37" i="6" s="1"/>
  <c r="AV26" i="6"/>
  <c r="AN37" i="6"/>
  <c r="AN241" i="6"/>
  <c r="AN50" i="8" s="1"/>
  <c r="AR144" i="6"/>
  <c r="AN31" i="6"/>
  <c r="AR29" i="6"/>
  <c r="L10" i="36"/>
  <c r="L13" i="36" s="1"/>
  <c r="L37" i="8"/>
  <c r="L40" i="8" s="1"/>
  <c r="P12" i="36"/>
  <c r="P39" i="8"/>
  <c r="P11" i="36"/>
  <c r="P38" i="8"/>
  <c r="T24" i="8"/>
  <c r="T38" i="8" s="1"/>
  <c r="P66" i="8"/>
  <c r="L71" i="8"/>
  <c r="L26" i="8"/>
  <c r="P23" i="8"/>
  <c r="T25" i="8"/>
  <c r="T39" i="8" s="1"/>
  <c r="AV28" i="6" l="1"/>
  <c r="AV36" i="6" s="1"/>
  <c r="AV37" i="6" s="1"/>
  <c r="BD26" i="6"/>
  <c r="BD28" i="6" s="1"/>
  <c r="BD36" i="6" s="1"/>
  <c r="BD37" i="6" s="1"/>
  <c r="AR241" i="6"/>
  <c r="AR50" i="8" s="1"/>
  <c r="AV144" i="6"/>
  <c r="AR31" i="6"/>
  <c r="AV29" i="6"/>
  <c r="P10" i="36"/>
  <c r="P13" i="36" s="1"/>
  <c r="P37" i="8"/>
  <c r="P40" i="8" s="1"/>
  <c r="Z25" i="8"/>
  <c r="AD25" i="8" s="1"/>
  <c r="AH25" i="8" s="1"/>
  <c r="AN25" i="8" s="1"/>
  <c r="AR25" i="8" s="1"/>
  <c r="AV25" i="8" s="1"/>
  <c r="BD25" i="8" s="1"/>
  <c r="BD12" i="36" s="1"/>
  <c r="T12" i="36"/>
  <c r="Z24" i="8"/>
  <c r="AD24" i="8" s="1"/>
  <c r="AH24" i="8" s="1"/>
  <c r="AN24" i="8" s="1"/>
  <c r="AR24" i="8" s="1"/>
  <c r="AV24" i="8" s="1"/>
  <c r="BD24" i="8" s="1"/>
  <c r="BD11" i="36" s="1"/>
  <c r="T11" i="36"/>
  <c r="T23" i="8"/>
  <c r="T37" i="8" s="1"/>
  <c r="T40" i="8" s="1"/>
  <c r="P26" i="8"/>
  <c r="P71" i="8"/>
  <c r="T66" i="8"/>
  <c r="BD38" i="8" l="1"/>
  <c r="BD39" i="8"/>
  <c r="AV31" i="6"/>
  <c r="BD29" i="6"/>
  <c r="BD31" i="6" s="1"/>
  <c r="AV241" i="6"/>
  <c r="AV50" i="8" s="1"/>
  <c r="BD144" i="6"/>
  <c r="BD241" i="6" s="1"/>
  <c r="AV39" i="8"/>
  <c r="AV12" i="36"/>
  <c r="AV38" i="8"/>
  <c r="AV11" i="36"/>
  <c r="AR39" i="8"/>
  <c r="AR12" i="36"/>
  <c r="AR11" i="36"/>
  <c r="AR38" i="8"/>
  <c r="AN12" i="36"/>
  <c r="AN39" i="8"/>
  <c r="AN11" i="36"/>
  <c r="AN38" i="8"/>
  <c r="AH39" i="8"/>
  <c r="AH12" i="36"/>
  <c r="AH11" i="36"/>
  <c r="AH38" i="8"/>
  <c r="AD39" i="8"/>
  <c r="AD12" i="36"/>
  <c r="AD38" i="8"/>
  <c r="AD11" i="36"/>
  <c r="Z39" i="8"/>
  <c r="Z12" i="36"/>
  <c r="Z38" i="8"/>
  <c r="Z11" i="36"/>
  <c r="Z23" i="8"/>
  <c r="AD23" i="8" s="1"/>
  <c r="AH23" i="8" s="1"/>
  <c r="AN23" i="8" s="1"/>
  <c r="AR23" i="8" s="1"/>
  <c r="AV23" i="8" s="1"/>
  <c r="BD23" i="8" s="1"/>
  <c r="BD10" i="36" s="1"/>
  <c r="T10" i="36"/>
  <c r="T13" i="36" s="1"/>
  <c r="T71" i="8"/>
  <c r="Z66" i="8"/>
  <c r="AD66" i="8" s="1"/>
  <c r="T26" i="8"/>
  <c r="BD37" i="8" l="1"/>
  <c r="BD40" i="8" s="1"/>
  <c r="BD13" i="36"/>
  <c r="BD26" i="8"/>
  <c r="AV26" i="8"/>
  <c r="AV37" i="8"/>
  <c r="AV40" i="8" s="1"/>
  <c r="AV10" i="36"/>
  <c r="AV13" i="36" s="1"/>
  <c r="AR37" i="8"/>
  <c r="AR40" i="8" s="1"/>
  <c r="AR26" i="8"/>
  <c r="AR10" i="36"/>
  <c r="AR13" i="36" s="1"/>
  <c r="AN10" i="36"/>
  <c r="AN13" i="36" s="1"/>
  <c r="AN26" i="8"/>
  <c r="AN37" i="8"/>
  <c r="AN40" i="8" s="1"/>
  <c r="AD71" i="8"/>
  <c r="AH66" i="8"/>
  <c r="AH10" i="36"/>
  <c r="AH13" i="36" s="1"/>
  <c r="AH26" i="8"/>
  <c r="AH37" i="8"/>
  <c r="AH40" i="8" s="1"/>
  <c r="AD37" i="8"/>
  <c r="AD40" i="8" s="1"/>
  <c r="AD10" i="36"/>
  <c r="AD13" i="36" s="1"/>
  <c r="AD26" i="8"/>
  <c r="Z37" i="8"/>
  <c r="Z40" i="8" s="1"/>
  <c r="Z10" i="36"/>
  <c r="Z13" i="36" s="1"/>
  <c r="Z71" i="8"/>
  <c r="Z26" i="8"/>
  <c r="X13" i="36"/>
  <c r="AH71" i="8" l="1"/>
  <c r="AN66" i="8"/>
  <c r="AN71" i="8" l="1"/>
  <c r="AR66" i="8"/>
  <c r="AR71" i="8" l="1"/>
  <c r="AV66" i="8"/>
  <c r="BB66" i="8" s="1"/>
  <c r="BB71" i="8" s="1"/>
  <c r="AV71" i="8" l="1"/>
  <c r="BD66" i="8"/>
  <c r="BD71" i="8" s="1"/>
  <c r="BE21" i="21"/>
  <c r="BA21" i="21"/>
  <c r="BC21" i="21" s="1"/>
  <c r="AY22" i="21"/>
  <c r="BE22" i="21" s="1"/>
  <c r="BC22" i="21" l="1"/>
  <c r="BE23" i="21"/>
  <c r="BE24" i="21" s="1"/>
  <c r="AY23" i="21"/>
  <c r="AY24" i="21" s="1"/>
  <c r="BA22" i="21"/>
  <c r="BA23" i="21" l="1"/>
  <c r="BA24" i="21" s="1"/>
  <c r="BC23" i="21"/>
  <c r="BC24" i="21" s="1"/>
</calcChain>
</file>

<file path=xl/sharedStrings.xml><?xml version="1.0" encoding="utf-8"?>
<sst xmlns="http://schemas.openxmlformats.org/spreadsheetml/2006/main" count="10108" uniqueCount="2627">
  <si>
    <t xml:space="preserve"> </t>
  </si>
  <si>
    <t>I T E M S</t>
  </si>
  <si>
    <t>PRODUCTION</t>
  </si>
  <si>
    <t>Hot Metal</t>
  </si>
  <si>
    <t>5.</t>
  </si>
  <si>
    <t>6.</t>
  </si>
  <si>
    <t>7.</t>
  </si>
  <si>
    <t>8.</t>
  </si>
  <si>
    <t>9.</t>
  </si>
  <si>
    <t>Apr</t>
  </si>
  <si>
    <t>SL. NO.</t>
  </si>
  <si>
    <t>b) Power Import</t>
  </si>
  <si>
    <t>Days</t>
  </si>
  <si>
    <t>Nut Coke</t>
  </si>
  <si>
    <t>c)                                                    Crude Benzol</t>
  </si>
  <si>
    <t>TOTAL</t>
  </si>
  <si>
    <t>SAL STEEL PRODN (CATEGORY WISE)</t>
  </si>
  <si>
    <t>COKE OVENS</t>
  </si>
  <si>
    <t>Ash in blend coal (%)</t>
  </si>
  <si>
    <t>VM in Blend coal (%)</t>
  </si>
  <si>
    <t>Moisture in Blend coal (%)</t>
  </si>
  <si>
    <t xml:space="preserve">Coke Quality </t>
  </si>
  <si>
    <t>Ash (Max) %</t>
  </si>
  <si>
    <t>Skip coke moisture (%)</t>
  </si>
  <si>
    <t>C.O. Gas</t>
  </si>
  <si>
    <t>C.V. of BF Gas (K.Cal/M³)</t>
  </si>
  <si>
    <t>Total BF Gas Make (10⁶ M³)</t>
  </si>
  <si>
    <t>Furnace Availability (%)</t>
  </si>
  <si>
    <t>Quartzite</t>
  </si>
  <si>
    <t>C.O.Gas Make (10⁶ M³)</t>
  </si>
  <si>
    <t xml:space="preserve">C.O.Gas Yield (M³/tcc - Dry)         </t>
  </si>
  <si>
    <t>C.V. of C.O.Gas (K.Cal/M³)</t>
  </si>
  <si>
    <t xml:space="preserve">B.F. Gas yield (M³/T of HM) </t>
  </si>
  <si>
    <t>MACHINE SHOP</t>
  </si>
  <si>
    <t>FORGE SHOP</t>
  </si>
  <si>
    <t>POWER PLANT</t>
  </si>
  <si>
    <t>ICC (AH)</t>
  </si>
  <si>
    <t>ICC (USH)</t>
  </si>
  <si>
    <t>GRAND TOTAL COKING COAL</t>
  </si>
  <si>
    <t>TOTAL ICC</t>
  </si>
  <si>
    <t>Total ICC (Hard)</t>
  </si>
  <si>
    <t xml:space="preserve">RAW MATERIALS CONSUMPTION </t>
  </si>
  <si>
    <t>Slag Rate (Kg/T)</t>
  </si>
  <si>
    <t xml:space="preserve">      •                                                Motor Spirit</t>
  </si>
  <si>
    <t xml:space="preserve">      •                                                       Benzene</t>
  </si>
  <si>
    <t xml:space="preserve">      •                                                       Toluene</t>
  </si>
  <si>
    <t xml:space="preserve">      •                                                   LS Naptha</t>
  </si>
  <si>
    <t>Rolling Rate on yield Wt (T/Hr)</t>
  </si>
  <si>
    <t>Mill Utilisation (hrs)</t>
  </si>
  <si>
    <t>/TSS</t>
  </si>
  <si>
    <t>/TCS</t>
  </si>
  <si>
    <t>May</t>
  </si>
  <si>
    <t>2M</t>
  </si>
  <si>
    <t>BF</t>
  </si>
  <si>
    <t>ICC (S) - %</t>
  </si>
  <si>
    <t>ICC (H) - %</t>
  </si>
  <si>
    <t>WR Mill</t>
  </si>
  <si>
    <t>b)                                                        # 5 BF</t>
  </si>
  <si>
    <t>b)                                   H.M sent to B.O.F</t>
  </si>
  <si>
    <t>June</t>
  </si>
  <si>
    <t>Q-I</t>
  </si>
  <si>
    <t>July</t>
  </si>
  <si>
    <t>4M</t>
  </si>
  <si>
    <t>Aug</t>
  </si>
  <si>
    <t>5M</t>
  </si>
  <si>
    <t>Sep</t>
  </si>
  <si>
    <t>Q-II</t>
  </si>
  <si>
    <t>PRODUCTION (BREAK UP)</t>
  </si>
  <si>
    <t>Sinter</t>
  </si>
  <si>
    <t>d)                                                             WRM</t>
  </si>
  <si>
    <t>PRIME - %</t>
  </si>
  <si>
    <t>MEDIUM - %</t>
  </si>
  <si>
    <t>No.of Ovens Pushed (COB#10)</t>
  </si>
  <si>
    <t>No.of Ovens Pushed/ Day (COB#10)</t>
  </si>
  <si>
    <t>11.</t>
  </si>
  <si>
    <t>13.</t>
  </si>
  <si>
    <t>16.</t>
  </si>
  <si>
    <t>17.</t>
  </si>
  <si>
    <t>19.</t>
  </si>
  <si>
    <t>DESPATCH (As per CENVAT report from Finance)</t>
  </si>
  <si>
    <t>Sp Power Cons (KwH/ ton of dry coal charge)</t>
  </si>
  <si>
    <t>Sp Power Cons (KwH/ ton)</t>
  </si>
  <si>
    <t>H-I</t>
  </si>
  <si>
    <t>- Benzol</t>
  </si>
  <si>
    <t>- Benzene</t>
  </si>
  <si>
    <t>- Toluene</t>
  </si>
  <si>
    <t>- L.S. Naptha</t>
  </si>
  <si>
    <t>- S.B. Oil</t>
  </si>
  <si>
    <t>COKE OVENS PUSHING/ DAY (Nos.)</t>
  </si>
  <si>
    <t>HOT METAL PRODUCTION (Mt)</t>
  </si>
  <si>
    <t>H.M DISTRIBUTION (Mt)</t>
  </si>
  <si>
    <t>HV (K. Cal/t of St. Gen)</t>
  </si>
  <si>
    <t>OTHER TECHNO-ECONOMY PARAMETERS</t>
  </si>
  <si>
    <t>ISP</t>
  </si>
  <si>
    <t>MOG</t>
  </si>
  <si>
    <t>PPI</t>
  </si>
  <si>
    <t>(Mt)</t>
  </si>
  <si>
    <t>Total</t>
  </si>
  <si>
    <t>RAIL</t>
  </si>
  <si>
    <t>ROAD</t>
  </si>
  <si>
    <t>Oct</t>
  </si>
  <si>
    <t>7M</t>
  </si>
  <si>
    <t>BF Coke</t>
  </si>
  <si>
    <t>Coke Breeze</t>
  </si>
  <si>
    <t>Nov</t>
  </si>
  <si>
    <t>8M</t>
  </si>
  <si>
    <t>Dec</t>
  </si>
  <si>
    <t>Q-III</t>
  </si>
  <si>
    <t>9M</t>
  </si>
  <si>
    <t>Jan</t>
  </si>
  <si>
    <t>10M</t>
  </si>
  <si>
    <t>M³/TCS</t>
  </si>
  <si>
    <t>Feb</t>
  </si>
  <si>
    <t>11M</t>
  </si>
  <si>
    <t>Mar</t>
  </si>
  <si>
    <t>Q-IV</t>
  </si>
  <si>
    <t>H-II</t>
  </si>
  <si>
    <t>12M</t>
  </si>
  <si>
    <t>CV (000KCal/m³)</t>
  </si>
  <si>
    <t>st gen (t)</t>
  </si>
  <si>
    <t>CV (000KCal/Kl)</t>
  </si>
  <si>
    <t>Fce oil cons (Kl)</t>
  </si>
  <si>
    <t>CV (000KCal/t)</t>
  </si>
  <si>
    <t>21.</t>
  </si>
  <si>
    <t>Saleable Steel Production (Mill Wise)</t>
  </si>
  <si>
    <t>c)                                                   # 10 COB</t>
  </si>
  <si>
    <t>e)                                                      TOTAL</t>
  </si>
  <si>
    <t>-</t>
  </si>
  <si>
    <t>WR MILL TOTAL</t>
  </si>
  <si>
    <t xml:space="preserve">WR Mill </t>
  </si>
  <si>
    <t xml:space="preserve">WR MILL </t>
  </si>
  <si>
    <t>SALEABLE STEEL GRAND TOTAL (PLANT SALES)</t>
  </si>
  <si>
    <t xml:space="preserve">b) Scrap </t>
  </si>
  <si>
    <t xml:space="preserve">Total Scrap </t>
  </si>
  <si>
    <t>20 mm RB</t>
  </si>
  <si>
    <t>BF Gas cons (000 m³)</t>
  </si>
  <si>
    <t>a) B.F.Coke Yield-EXISTING PLANT (%)</t>
  </si>
  <si>
    <t>Total Coal Tar</t>
  </si>
  <si>
    <t>Total NH4SO4</t>
  </si>
  <si>
    <t>COKE OVEN BY-PRODUCTS (T)</t>
  </si>
  <si>
    <t>a.1)                                                            Coal Tar (Existing Plant)</t>
  </si>
  <si>
    <t>a.2)                                                            Coal Tar (New Plant)</t>
  </si>
  <si>
    <t>b.1)                                                           NH4SO4 (Existing Plant)</t>
  </si>
  <si>
    <t>b.2)                                                           NH4SO4 (New Plant)</t>
  </si>
  <si>
    <t>POWER : M.W (EXISTING PLANT)</t>
  </si>
  <si>
    <t>COKE OVENS (COB #11)</t>
  </si>
  <si>
    <t>Imported coal in Blend  (%)</t>
  </si>
  <si>
    <t xml:space="preserve">COKING COAL CONSUMPTION 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</si>
  <si>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</si>
  <si>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</si>
  <si>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</si>
  <si>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</si>
  <si>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</si>
  <si>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</si>
  <si>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SINTER PLANT INPUT (Mt)</t>
  </si>
  <si>
    <t>Blended Base Mix</t>
  </si>
  <si>
    <t xml:space="preserve">Calcined Lime </t>
  </si>
  <si>
    <t>M/C #1</t>
  </si>
  <si>
    <t>OPERATING PARAMETERS</t>
  </si>
  <si>
    <t>% Availability (%)</t>
  </si>
  <si>
    <t>% Utilisation (%)</t>
  </si>
  <si>
    <t>Yield Of Sinter (%)</t>
  </si>
  <si>
    <t>OTHER TECHNO PARAMETERS</t>
  </si>
  <si>
    <t>Sp Power Cons (KwH/T of Gross Sinter)</t>
  </si>
  <si>
    <t>SPECIFIC CONSUMPTION RATE (KG/T)</t>
  </si>
  <si>
    <t>Iron ore fines</t>
  </si>
  <si>
    <t>Limestone fines</t>
  </si>
  <si>
    <t>Dolomite fines</t>
  </si>
  <si>
    <t>Coke breeze</t>
  </si>
  <si>
    <t>%</t>
  </si>
  <si>
    <t>Mt</t>
  </si>
  <si>
    <t>ICC (USH) - %</t>
  </si>
  <si>
    <t>COB#11 Pushing (Nos.)</t>
  </si>
  <si>
    <t>COB#11 Pushing (Nos/ day)</t>
  </si>
  <si>
    <t>Coal Tar production (Mt)</t>
  </si>
  <si>
    <t>Amm. Sulphate production (Mt)</t>
  </si>
  <si>
    <t>Cryatalline Napthalene production (Mt)</t>
  </si>
  <si>
    <t>Sulphur production (Mt)</t>
  </si>
  <si>
    <t>WR MILL YIELD %</t>
  </si>
  <si>
    <t>IPT BILLET RECEIVED</t>
  </si>
  <si>
    <t>Coke Ovens - COB #11 (Tonnes on wet basis)</t>
  </si>
  <si>
    <t>WIRE &amp; ROD MILL</t>
  </si>
  <si>
    <t>10 mm Plain Coil</t>
  </si>
  <si>
    <t>8 mm Plain Coil</t>
  </si>
  <si>
    <t>WR MILL YIELD WEIGHT-Mt</t>
  </si>
  <si>
    <t>Techno Parameters</t>
  </si>
  <si>
    <t>Coal Tar (CENVAT)</t>
  </si>
  <si>
    <t>CV (Kcal/m3)</t>
  </si>
  <si>
    <t>Auxilliaries</t>
  </si>
  <si>
    <t>NET AVAILABLE for Dist.</t>
  </si>
  <si>
    <t>CDCP</t>
  </si>
  <si>
    <t>BPP</t>
  </si>
  <si>
    <t>BOF</t>
  </si>
  <si>
    <t>CCP</t>
  </si>
  <si>
    <t>WRM</t>
  </si>
  <si>
    <t>OHP</t>
  </si>
  <si>
    <t>SINTER</t>
  </si>
  <si>
    <t>TOTAL DISTRIBUTION :-</t>
  </si>
  <si>
    <t>CV (Kcal/SM³)</t>
  </si>
  <si>
    <t>LDO USED IN P&amp;BS-II</t>
  </si>
  <si>
    <t>CV (Kcal/Litre)</t>
  </si>
  <si>
    <t>HCl (Mt)</t>
  </si>
  <si>
    <t>Caustic (Mt)</t>
  </si>
  <si>
    <t>Hydrazine (Kg)</t>
  </si>
  <si>
    <t>Ammonia (Kg)</t>
  </si>
  <si>
    <t>TSP (Kg)</t>
  </si>
  <si>
    <t>Ferric Chloride (Kg)</t>
  </si>
  <si>
    <t>Sodium Hypochloride (Kg)</t>
  </si>
  <si>
    <t>Hydrated Lime (Kg)</t>
  </si>
  <si>
    <t>OTHER INPUT CHEMICALS CONSUMED IN P&amp;BS-II</t>
  </si>
  <si>
    <t>P&amp;BS-II</t>
  </si>
  <si>
    <t>LOSSES</t>
  </si>
  <si>
    <t>NET AVAILABLE FOR DISTRIBUTION</t>
  </si>
  <si>
    <t>STEAM DISTRIBUTION</t>
  </si>
  <si>
    <t>STEAM GENERATION (Tonnes)</t>
  </si>
  <si>
    <t>Tonnes</t>
  </si>
  <si>
    <t>Tonnes/ Hr</t>
  </si>
  <si>
    <t>Gross Heat Consumption (10³ K.Cal/t)</t>
  </si>
  <si>
    <t xml:space="preserve">Consumed (Kilo Litres) </t>
  </si>
  <si>
    <t xml:space="preserve">GENERATION (TH CuM/Hr) </t>
  </si>
  <si>
    <t>Hearth Layer</t>
  </si>
  <si>
    <t>Water</t>
  </si>
  <si>
    <t>MACHINE WISE SINTER PRODUCTION (Mt)</t>
  </si>
  <si>
    <t>Potable Water</t>
  </si>
  <si>
    <t>CO GAS CONSUMPTION</t>
  </si>
  <si>
    <t>Limestone (Trimming)</t>
  </si>
  <si>
    <t>Coke Breeze (Trimming)</t>
  </si>
  <si>
    <t>5.5 mm Plain Coil</t>
  </si>
  <si>
    <t>Capacity utilisation of total capacity (%)</t>
  </si>
  <si>
    <t>Loss (%)</t>
  </si>
  <si>
    <t>Antiscalant (Kg)</t>
  </si>
  <si>
    <t>SMBS (Kg)</t>
  </si>
  <si>
    <t>Poly-electrolyte (Kg)</t>
  </si>
  <si>
    <t>6 mm Plain Coil</t>
  </si>
  <si>
    <t>8 mm TMT Coil</t>
  </si>
  <si>
    <t>Sulfate of Ammonia (CENVAT)</t>
  </si>
  <si>
    <t>a) Total Power Generation (MWH)</t>
  </si>
  <si>
    <t xml:space="preserve">     Avg. Power Generation (MW)</t>
  </si>
  <si>
    <t xml:space="preserve">     Avg. Power Import (MW)</t>
  </si>
  <si>
    <r>
      <t>(Th M</t>
    </r>
    <r>
      <rPr>
        <b/>
        <sz val="22"/>
        <rFont val="Calibri"/>
        <family val="2"/>
      </rPr>
      <t>³</t>
    </r>
    <r>
      <rPr>
        <b/>
        <sz val="22"/>
        <rFont val="Times New Roman"/>
        <family val="1"/>
      </rPr>
      <t>)</t>
    </r>
  </si>
  <si>
    <r>
      <t>Sp Fuel Cons (COG) (NM</t>
    </r>
    <r>
      <rPr>
        <b/>
        <sz val="22"/>
        <color indexed="8"/>
        <rFont val="Calibri"/>
        <family val="2"/>
      </rPr>
      <t>³</t>
    </r>
    <r>
      <rPr>
        <b/>
        <sz val="22"/>
        <color indexed="8"/>
        <rFont val="Times New Roman"/>
        <family val="1"/>
      </rPr>
      <t>/Hr)</t>
    </r>
  </si>
  <si>
    <r>
      <t>CO Gas consumption ('Th M</t>
    </r>
    <r>
      <rPr>
        <b/>
        <sz val="22"/>
        <color indexed="8"/>
        <rFont val="Times New Roman"/>
        <family val="1"/>
      </rPr>
      <t>³/ Hr)</t>
    </r>
  </si>
  <si>
    <t>Ash (Avg) %</t>
  </si>
  <si>
    <t>10 mm TMT Coil</t>
  </si>
  <si>
    <t>CMO DIR</t>
  </si>
  <si>
    <t>CMO SYD</t>
  </si>
  <si>
    <t>CMO</t>
  </si>
  <si>
    <t>e)                                                             W. Naptha</t>
  </si>
  <si>
    <t>f)                                             Crystalline Naptha (New Plant)</t>
  </si>
  <si>
    <t>g)                                                      Sulphur (New Plant)</t>
  </si>
  <si>
    <t>IPT</t>
  </si>
  <si>
    <t>Moisture (%)</t>
  </si>
  <si>
    <t>Ash (%)</t>
  </si>
  <si>
    <t>VM (%)</t>
  </si>
  <si>
    <t>(AH)</t>
  </si>
  <si>
    <t>(USH)</t>
  </si>
  <si>
    <t>(Chasnalla)</t>
  </si>
  <si>
    <t>Blending bunker Blend Coal Quality (COB#11)</t>
  </si>
  <si>
    <t>M10 (%)</t>
  </si>
  <si>
    <t>M40 (%)</t>
  </si>
  <si>
    <t xml:space="preserve">CSR (%) </t>
  </si>
  <si>
    <t>CRI (%)</t>
  </si>
  <si>
    <t>as per EMD</t>
  </si>
  <si>
    <t>Makeup Water +Boiler</t>
  </si>
  <si>
    <t>8 mm TMT Coil (Fe-415)</t>
  </si>
  <si>
    <t>10 mm TMT Coil (Fe-415)</t>
  </si>
  <si>
    <t>Ht Value at Boiler House - PBS-I (K. Cal/t of St. Gen)</t>
  </si>
  <si>
    <t>AVG INCOMING COAL QUALITY (OVERALL)</t>
  </si>
  <si>
    <t>Coke Quality (Old Batt)</t>
  </si>
  <si>
    <t>CDCP-PDT</t>
  </si>
  <si>
    <t>CDCP DEA</t>
  </si>
  <si>
    <t>POWER HOUSE (STG)</t>
  </si>
  <si>
    <t>ESP BOILER HOUSE</t>
  </si>
  <si>
    <t xml:space="preserve">Total B.F.Coke </t>
  </si>
  <si>
    <t xml:space="preserve"> BILLETS RECEIVED </t>
  </si>
  <si>
    <t>Utilisation (Hrs)</t>
  </si>
  <si>
    <t>Availability (Hrs)</t>
  </si>
  <si>
    <t>125x125mm²x12mts (Ex DSP RR Act Wt)</t>
  </si>
  <si>
    <t>150x150mm²x12mts (Ex NINL Invoice Act Wt)</t>
  </si>
  <si>
    <t>Total No.of Equiv. Ovens Pushed</t>
  </si>
  <si>
    <t>Overall Equiv. Ovens Pushed/ Day</t>
  </si>
  <si>
    <t xml:space="preserve">Sinter </t>
  </si>
  <si>
    <t>BF #5</t>
  </si>
  <si>
    <t>STB</t>
  </si>
  <si>
    <t>Surplus from Old Plant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</si>
  <si>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</si>
  <si>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</si>
  <si>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</si>
  <si>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</si>
  <si>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</si>
  <si>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</si>
  <si>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</si>
  <si>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Al</t>
  </si>
  <si>
    <t>Raw Materials Consumption (T)</t>
  </si>
  <si>
    <t>Metallipop Sampler (Nos.)</t>
  </si>
  <si>
    <t>Calender Hrs</t>
  </si>
  <si>
    <t>Crude Steel - Mt</t>
  </si>
  <si>
    <t>BF #5 (SUMMERY)</t>
  </si>
  <si>
    <t>HM Production</t>
  </si>
  <si>
    <t>b)                                   H.M sent to P.C.M</t>
  </si>
  <si>
    <t xml:space="preserve">d)                                   H.M as Skull &amp; Boulder </t>
  </si>
  <si>
    <r>
      <t>Productivity - T/M</t>
    </r>
    <r>
      <rPr>
        <b/>
        <sz val="20"/>
        <color indexed="8"/>
        <rFont val="Calibri"/>
        <family val="2"/>
      </rPr>
      <t>³</t>
    </r>
    <r>
      <rPr>
        <b/>
        <sz val="20"/>
        <color indexed="8"/>
        <rFont val="Times New Roman"/>
        <family val="1"/>
      </rPr>
      <t>/ DAY</t>
    </r>
  </si>
  <si>
    <t>Coke Rate - Kg/THM</t>
  </si>
  <si>
    <t>IOL Rate - Kg/THM</t>
  </si>
  <si>
    <t>LD Slag rate - Kg/THM</t>
  </si>
  <si>
    <t>Quartzite rate - Kg/THM</t>
  </si>
  <si>
    <t>Sinter rate - Kg/THM</t>
  </si>
  <si>
    <t>GRANULATED SLAG DESPATCH (Mt)</t>
  </si>
  <si>
    <t>Sinter % in Fe bearing Load</t>
  </si>
  <si>
    <t>PIG (OLD &amp; NEW)</t>
  </si>
  <si>
    <t>Crude Steel (CCP)</t>
  </si>
  <si>
    <t>SPILL/ UPIS</t>
  </si>
  <si>
    <t>Elemental Sulphur (Precipitated)</t>
  </si>
  <si>
    <t>Calender hours</t>
  </si>
  <si>
    <t>Sinter output loss</t>
  </si>
  <si>
    <r>
      <t>BF Gas consumption ('Th M</t>
    </r>
    <r>
      <rPr>
        <b/>
        <sz val="22"/>
        <color indexed="8"/>
        <rFont val="Times New Roman"/>
        <family val="1"/>
      </rPr>
      <t>³/ Hr)</t>
    </r>
  </si>
  <si>
    <r>
      <t>CBM consumption ('Th SM</t>
    </r>
    <r>
      <rPr>
        <b/>
        <sz val="22"/>
        <color indexed="8"/>
        <rFont val="Times New Roman"/>
        <family val="1"/>
      </rPr>
      <t>³/ Hr)</t>
    </r>
  </si>
  <si>
    <t>Boiler Plant (P&amp;B Stn.) -II</t>
  </si>
  <si>
    <t>Bar Mill</t>
  </si>
  <si>
    <t>Nut Coke Rate - Kg/THM</t>
  </si>
  <si>
    <t>Power Cons (KwH)</t>
  </si>
  <si>
    <t>PIG IRON DESPATCH (Mt)-As per CENVAT</t>
  </si>
  <si>
    <t>DESPATCH - As per CENVAT</t>
  </si>
  <si>
    <t>Losses (Mt)</t>
  </si>
  <si>
    <t>CRUDE STEEL PRODUCTION (CCP)</t>
  </si>
  <si>
    <t>TOTAL STEEL PRODUCTION (THF+CCP)</t>
  </si>
  <si>
    <t>ICC (Mozambique Hard)</t>
  </si>
  <si>
    <t>ICC (Mozambique Hard) - %</t>
  </si>
  <si>
    <t>Return Sinter</t>
  </si>
  <si>
    <t>10 mm TMT Bar</t>
  </si>
  <si>
    <t>BAR MILL TOTAL</t>
  </si>
  <si>
    <r>
      <t>COG Consumption (BOF-CCP/LF)-Th NM</t>
    </r>
    <r>
      <rPr>
        <sz val="22"/>
        <color indexed="8"/>
        <rFont val="Calibri"/>
        <family val="2"/>
      </rPr>
      <t>³/ Hr</t>
    </r>
  </si>
  <si>
    <t>Power Consumption (BOF-CCP/LF) - KwH</t>
  </si>
  <si>
    <t>Sp Power Consumption (BOF-CCP/LF) - KwH/TCS</t>
  </si>
  <si>
    <t>Mill Availability (Hrs)</t>
  </si>
  <si>
    <t>Schedule Hrs</t>
  </si>
  <si>
    <t>e)                                                             BAR MILL</t>
  </si>
  <si>
    <t>M/C #2</t>
  </si>
  <si>
    <t>BF GAS CONSUMPTION</t>
  </si>
  <si>
    <t>WR MILL CHARGE WEIGHT -Mt</t>
  </si>
  <si>
    <t>20 mm TMT Bar</t>
  </si>
  <si>
    <t>BAR MILL</t>
  </si>
  <si>
    <t>BAR MILL CHARGE WEIGHT -Mt</t>
  </si>
  <si>
    <t>BAR MILL YIELD WEIGHT-Mt</t>
  </si>
  <si>
    <t>20 mm TMT (Fe-415)</t>
  </si>
  <si>
    <t>BAR MILL YIELD %</t>
  </si>
  <si>
    <t>Liquid Steel input in Turret - Mt</t>
  </si>
  <si>
    <t>Heats Made (BOF#2)</t>
  </si>
  <si>
    <t>Total heats (Nos.)</t>
  </si>
  <si>
    <t>Heats Made (BOF#3)</t>
  </si>
  <si>
    <t>Partial returned heats</t>
  </si>
  <si>
    <t>Total Heats Casts (Nos.)</t>
  </si>
  <si>
    <t>Raw Materials Consumption Rate (Kg/TCS)</t>
  </si>
  <si>
    <t>Total Scrap Charged - Mt</t>
  </si>
  <si>
    <t>BOF Yield - %</t>
  </si>
  <si>
    <r>
      <t>Oxygen Consumption (Nm</t>
    </r>
    <r>
      <rPr>
        <sz val="22"/>
        <color indexed="8"/>
        <rFont val="Calibri"/>
        <family val="2"/>
      </rPr>
      <t>³</t>
    </r>
    <r>
      <rPr>
        <sz val="22"/>
        <color indexed="8"/>
        <rFont val="Times New Roman"/>
        <family val="1"/>
      </rPr>
      <t>)</t>
    </r>
  </si>
  <si>
    <t>BOF-CCP (SUMMERY)</t>
  </si>
  <si>
    <t xml:space="preserve">Process Return Sinter Fines </t>
  </si>
  <si>
    <t>BF Return Sinter</t>
  </si>
  <si>
    <t>Power Consumption (Kwh)</t>
  </si>
  <si>
    <t>Sp Power Consumption (Kwh/T of ch Wt)</t>
  </si>
  <si>
    <t>Heats Made (BOF#1)</t>
  </si>
  <si>
    <t>Oxygen Consumption (Kg)</t>
  </si>
  <si>
    <t>Poly Dispersant (Kg)</t>
  </si>
  <si>
    <t>Corrosion Inhibitor (Kg)</t>
  </si>
  <si>
    <t>Biocide(Quat) (Kg)</t>
  </si>
  <si>
    <t>Biocide(Carbamate) (Kg)</t>
  </si>
  <si>
    <t>Bio-Dispersant (Kg)</t>
  </si>
  <si>
    <t>BF Coke production (Mt)</t>
  </si>
  <si>
    <t>Nut Coke production (Mt)</t>
  </si>
  <si>
    <t>Breeze Coke production (Mt)</t>
  </si>
  <si>
    <t>Coke Dust production (Mt)</t>
  </si>
  <si>
    <t>Gross Coke production (Mt)</t>
  </si>
  <si>
    <t>BF Coke Yield (%)</t>
  </si>
  <si>
    <t>OXYGEN PLANT</t>
  </si>
  <si>
    <r>
      <t>Liq Oxygen ('000 NM</t>
    </r>
    <r>
      <rPr>
        <sz val="20"/>
        <color indexed="8"/>
        <rFont val="Calibri"/>
        <family val="2"/>
      </rPr>
      <t>³)</t>
    </r>
  </si>
  <si>
    <t>Liq Nitrogen ('000 NM³)</t>
  </si>
  <si>
    <t>Gaseous Nitrogen ('000 NM³)</t>
  </si>
  <si>
    <t>Liquid Argon ('000 NM³)</t>
  </si>
  <si>
    <t>Gaseous Oxygen ('000 NM³)</t>
  </si>
  <si>
    <t>Gaseous Oxygen (Mt)</t>
  </si>
  <si>
    <t>Liq Nitrogen (Mt)</t>
  </si>
  <si>
    <t>Gaseous Nitrogen (Mt)</t>
  </si>
  <si>
    <t>Oxygen</t>
  </si>
  <si>
    <t>Sales</t>
  </si>
  <si>
    <t>Nitrogen</t>
  </si>
  <si>
    <t>Argon</t>
  </si>
  <si>
    <t>CCP Yield - %</t>
  </si>
  <si>
    <t>CDI Rate - Kg/THM</t>
  </si>
  <si>
    <t>Total Fuel Rate - Kg/THM</t>
  </si>
  <si>
    <t>NET GRANULATED SLAG PRODUCTION</t>
  </si>
  <si>
    <t>CBM GAS CONSUMPTION</t>
  </si>
  <si>
    <r>
      <t>Generation (COB#10)-'000nm</t>
    </r>
    <r>
      <rPr>
        <sz val="22"/>
        <rFont val="Calibri"/>
        <family val="2"/>
      </rPr>
      <t>³</t>
    </r>
  </si>
  <si>
    <t>Generation (COB#11)-'000nm³</t>
  </si>
  <si>
    <t>Total Generation-'000nm³</t>
  </si>
  <si>
    <t>Auxiliaries</t>
  </si>
  <si>
    <t>COB#8 under firing</t>
  </si>
  <si>
    <t>COB#10 under firing</t>
  </si>
  <si>
    <t>COB#11 under firing</t>
  </si>
  <si>
    <t>Blast Furnace #2 (Ladle house)</t>
  </si>
  <si>
    <t>Boiler Plant (P&amp;B Stn-I)</t>
  </si>
  <si>
    <t>US Mill</t>
  </si>
  <si>
    <r>
      <t>Generation (COB#8)-'000nm</t>
    </r>
    <r>
      <rPr>
        <sz val="22"/>
        <rFont val="Calibri"/>
        <family val="2"/>
      </rPr>
      <t>³</t>
    </r>
  </si>
  <si>
    <t xml:space="preserve">DISTRIBUTION  (TH CuM) </t>
  </si>
  <si>
    <t xml:space="preserve">DISTRIBUTION  (TH NCuM) </t>
  </si>
  <si>
    <r>
      <t>Generation (BF#2)-'000nm</t>
    </r>
    <r>
      <rPr>
        <sz val="22"/>
        <rFont val="Calibri"/>
        <family val="2"/>
      </rPr>
      <t>³</t>
    </r>
  </si>
  <si>
    <t>Generation (BF#5)-'000nm³</t>
  </si>
  <si>
    <t>Leakage &amp; Bleeder Loss-'000nm³</t>
  </si>
  <si>
    <t>Boiler Plant (P&amp;B Stn.) -I</t>
  </si>
  <si>
    <t>b) Total Power Import from DVC (MWH)</t>
  </si>
  <si>
    <r>
      <t>Blast Temperature (</t>
    </r>
    <r>
      <rPr>
        <b/>
        <sz val="20"/>
        <color indexed="8"/>
        <rFont val="Calibri"/>
        <family val="2"/>
      </rPr>
      <t>⁰</t>
    </r>
    <r>
      <rPr>
        <b/>
        <sz val="20"/>
        <color indexed="8"/>
        <rFont val="Times New Roman"/>
        <family val="1"/>
      </rPr>
      <t>C)</t>
    </r>
  </si>
  <si>
    <t xml:space="preserve">MAJOR TECHNO-ECONOMIC PARAMETERS </t>
  </si>
  <si>
    <t>POWER : M.W (NEW PLANT)</t>
  </si>
  <si>
    <t>POWER : M.W (TOTAL)</t>
  </si>
  <si>
    <t>d) B.F.Coke Yield-NEW PLANT (%)</t>
  </si>
  <si>
    <t>e) Coke Rate BF#5 (kg/t)</t>
  </si>
  <si>
    <t>f) BF PRODUCTIVITY BF#5</t>
  </si>
  <si>
    <t>i) Overall Specific Power Consumption(Kwh)</t>
  </si>
  <si>
    <t>j) Works  Water Consumption (Existing Plant)</t>
  </si>
  <si>
    <t>k) Works  Water Consumption (New Plant)</t>
  </si>
  <si>
    <t>l) Overall Sp Water Consumption</t>
  </si>
  <si>
    <t>Net Granulated Slag Production - Mt</t>
  </si>
  <si>
    <t>LEAKAGE &amp; BLEEDER LOSS-'000nm³</t>
  </si>
  <si>
    <t>BF SLAG GENERATION (Mt)</t>
  </si>
  <si>
    <t>Granulated Slag (New Plant site)</t>
  </si>
  <si>
    <t>Granulated Slag (Old Plant site)</t>
  </si>
  <si>
    <t xml:space="preserve">COKE OVEN </t>
  </si>
  <si>
    <t xml:space="preserve">BLAST FURNACE </t>
  </si>
  <si>
    <t>SINTER PLANT</t>
  </si>
  <si>
    <t>U S MILL</t>
  </si>
  <si>
    <t>W &amp; R MILL</t>
  </si>
  <si>
    <t>BOILER HOUSE</t>
  </si>
  <si>
    <t>As per Kum Kum Kumari</t>
  </si>
  <si>
    <t>Heats Casts (Caster#1)-Nos,</t>
  </si>
  <si>
    <t>Heats Casts (Caster#2)-Nos,</t>
  </si>
  <si>
    <t>Heats Casts (Caster#3)-Nos,</t>
  </si>
  <si>
    <t>Avg. Cast Weight (Mt/ Cast)</t>
  </si>
  <si>
    <t>UPIS</t>
  </si>
  <si>
    <t>COKE OVENS (COB# 8/10)</t>
  </si>
  <si>
    <t>12 mm TMT (Fe-415)</t>
  </si>
  <si>
    <t>10 mm TMT (Fe-415)</t>
  </si>
  <si>
    <t>12 mm Plain Coil</t>
  </si>
  <si>
    <r>
      <t>COG Consumption -Th NM</t>
    </r>
    <r>
      <rPr>
        <sz val="22"/>
        <color indexed="8"/>
        <rFont val="Calibri"/>
        <family val="2"/>
      </rPr>
      <t>³/ Hr</t>
    </r>
  </si>
  <si>
    <t>BOF Slag Rate (Kg/TCS)</t>
  </si>
  <si>
    <t>ISP/ MOG</t>
  </si>
  <si>
    <t>12 mm TMT Bar</t>
  </si>
  <si>
    <t>WR MILL</t>
  </si>
  <si>
    <t>US MILL</t>
  </si>
  <si>
    <t>a-ii) Saleable Steel (mill-wise)</t>
  </si>
  <si>
    <t>Saleable Steel (Total Shipping Mode-wise)</t>
  </si>
  <si>
    <t>a-i) Saleable Steel (Mill-wise sale type-wise)</t>
  </si>
  <si>
    <t>Saleable Steel (Total sale type-wise)</t>
  </si>
  <si>
    <t>c-ii) Pig Iron (Shipping Mode-wise)</t>
  </si>
  <si>
    <t>c-i) Pig Iron (Unit Wise)</t>
  </si>
  <si>
    <t>c-iii) Pig Iron (Quality-wise)</t>
  </si>
  <si>
    <t>c-iv) UPIS-Plant Sales</t>
  </si>
  <si>
    <t>d-i) Total Gran Slag for disposal (Site-wise)</t>
  </si>
  <si>
    <t>d-ii) Total Gran  Slag for disposal (Shipping mode-wise)</t>
  </si>
  <si>
    <t>LST</t>
  </si>
  <si>
    <t>DOLO</t>
  </si>
  <si>
    <t>CB</t>
  </si>
  <si>
    <t>IOF</t>
  </si>
  <si>
    <t>RF</t>
  </si>
  <si>
    <t>BM</t>
  </si>
  <si>
    <t>Converter Life (#1)-Nos.</t>
  </si>
  <si>
    <t>Converter Life (#2)-Nos.</t>
  </si>
  <si>
    <t>Converter Life (#3)-Nos.</t>
  </si>
  <si>
    <t>EXPORT DIR</t>
  </si>
  <si>
    <t>Coal Blend (COB#11)&amp; coal blend quality</t>
  </si>
  <si>
    <t>US MILL CHARGE WEIGHT -Mt</t>
  </si>
  <si>
    <t>US MILL YIELD WEIGHT-Mt</t>
  </si>
  <si>
    <t>US MILL YIELD %</t>
  </si>
  <si>
    <r>
      <t>Liq Oxygen (Mt</t>
    </r>
    <r>
      <rPr>
        <b/>
        <sz val="26"/>
        <color indexed="8"/>
        <rFont val="Calibri"/>
        <family val="2"/>
      </rPr>
      <t>)</t>
    </r>
  </si>
  <si>
    <t>b) Billet Caster (Transfer) 150x150 mm Bloom</t>
  </si>
  <si>
    <t>e) WR Mill</t>
  </si>
  <si>
    <t>8 mm TMT (Fe-415)</t>
  </si>
  <si>
    <t>H.M DISTRIBUTION - (Mt)</t>
  </si>
  <si>
    <t>Calcined Lime</t>
  </si>
  <si>
    <t>Hot Metal Consumption - Kg/ TCS</t>
  </si>
  <si>
    <t>TMI (Kg/TCS)</t>
  </si>
  <si>
    <t>8 mm TMT (Fe-500/ 500D)</t>
  </si>
  <si>
    <t>10 mm TMT (Fe-500/ 500D)</t>
  </si>
  <si>
    <t>8 mm TMT Bar</t>
  </si>
  <si>
    <t>BASE MIX SENT TO SINTER PLANT (INPUT MATL) (Mt)</t>
  </si>
  <si>
    <t>Heats carried over to next month</t>
  </si>
  <si>
    <t>Mixed Coke Quality</t>
  </si>
  <si>
    <t>CSR (%)</t>
  </si>
  <si>
    <t>Net BF Coke Cons (Dry) (Mt)</t>
  </si>
  <si>
    <t>Coke return fines (Dry) to BMP from BF#5 (Mt)</t>
  </si>
  <si>
    <t>Si</t>
  </si>
  <si>
    <t>S</t>
  </si>
  <si>
    <t>Wtd. Avg. Si in HM (%)</t>
  </si>
  <si>
    <t>Wtd. Avg. S in HM (%)</t>
  </si>
  <si>
    <t>Nos.of Ovens Pushed (COB#11)</t>
  </si>
  <si>
    <t>Net Nut Coke Cons (Dry) (Mt)</t>
  </si>
  <si>
    <t>RAIL CO-EFFICIENT (%)</t>
  </si>
  <si>
    <t>IPE-300 (IS 2062 E250 BR) NPB</t>
  </si>
  <si>
    <t>Unprocessed Pig Iron Scrap</t>
  </si>
  <si>
    <t>Other Iron Scraps</t>
  </si>
  <si>
    <t>Cold Pig &amp; Pig Equivalent</t>
  </si>
  <si>
    <t>Total Cold Pig &amp; Pig Equiv.  i/c Sand Cast (processed CI Scrap) &amp; Unprocessed PI Scrap</t>
  </si>
  <si>
    <t>d-iii) Total Gran  Slag for disposal (Sale Type-wise)</t>
  </si>
  <si>
    <t>DOMESTIC</t>
  </si>
  <si>
    <t>EXPORT</t>
  </si>
  <si>
    <t>IPE-300 (NPB)</t>
  </si>
  <si>
    <t>US MILL TOTAL</t>
  </si>
  <si>
    <t>Total Pig &amp; Equiv of Pig</t>
  </si>
  <si>
    <t>Processed CI Scrap (Sand Cast) produced from HM sent to Sand Pit</t>
  </si>
  <si>
    <t>BF #5 (Equiv. of Pig Iron @ 80% from HM sent to Sand Pit. (Ref to Fax Msg from ED (O), vide SAIL/OPRNS/ PPMS/33 dt. 05.02.15)</t>
  </si>
  <si>
    <t>PBS-2</t>
  </si>
  <si>
    <t>Concast Plant</t>
  </si>
  <si>
    <t>Auxiliary (New Plant)</t>
  </si>
  <si>
    <r>
      <t>NET AVAILABLE for Dist. (Th SM</t>
    </r>
    <r>
      <rPr>
        <b/>
        <sz val="24"/>
        <color indexed="8"/>
        <rFont val="Calibri"/>
        <family val="2"/>
      </rPr>
      <t>³</t>
    </r>
    <r>
      <rPr>
        <b/>
        <sz val="24"/>
        <color indexed="8"/>
        <rFont val="Times New Roman"/>
        <family val="1"/>
      </rPr>
      <t>)</t>
    </r>
  </si>
  <si>
    <t>Nos.of Ovens Pushed/ Day (COB#11)</t>
  </si>
  <si>
    <t>TOTAL PIG &amp; PIG EQ DESPATCH</t>
  </si>
  <si>
    <t>o) Sp. CO2 emission ( T/Tcs)</t>
  </si>
  <si>
    <t>p) Sp. PM emissions ( kg/Tcs)</t>
  </si>
  <si>
    <t>n) TMI (Kg/TCS)</t>
  </si>
  <si>
    <t>USM</t>
  </si>
  <si>
    <t>CDI</t>
  </si>
  <si>
    <t>Own Generation at PBS-II</t>
  </si>
  <si>
    <t>Import from Break Gen OP</t>
  </si>
  <si>
    <t>Purchase from DVC (Import)</t>
  </si>
  <si>
    <t>POWER AVAILABILITY (KwH)</t>
  </si>
  <si>
    <t>NEW PLANT AREA</t>
  </si>
  <si>
    <t>OLD PLANT AREA</t>
  </si>
  <si>
    <t>NET AVAILABILITY FOR DISTRIBUTION</t>
  </si>
  <si>
    <t>Own Generation at PBS-I</t>
  </si>
  <si>
    <t>f)                                                              USM</t>
  </si>
  <si>
    <t xml:space="preserve">TOTAL </t>
  </si>
  <si>
    <t>Cold Pig &amp; Pig Equivalent (Mt)</t>
  </si>
  <si>
    <t>(Equiv. Pig Iron @ 80% from HM sent to Sand Pit. (Ref to Fax Msg from ED (O), vide SAIL/OPRNS/ PPMS/33 dt. 05.02.15)</t>
  </si>
  <si>
    <r>
      <t>Makeup Water+Boiler (M</t>
    </r>
    <r>
      <rPr>
        <sz val="26"/>
        <rFont val="Calibri"/>
        <family val="2"/>
      </rPr>
      <t>³)</t>
    </r>
  </si>
  <si>
    <r>
      <t>Potable (M</t>
    </r>
    <r>
      <rPr>
        <sz val="26"/>
        <rFont val="Calibri"/>
        <family val="2"/>
      </rPr>
      <t>³)</t>
    </r>
  </si>
  <si>
    <r>
      <t>Total Water Consumption (M</t>
    </r>
    <r>
      <rPr>
        <b/>
        <sz val="26"/>
        <rFont val="Calibri"/>
        <family val="2"/>
      </rPr>
      <t>³</t>
    </r>
    <r>
      <rPr>
        <b/>
        <sz val="26"/>
        <rFont val="Times New Roman"/>
        <family val="1"/>
      </rPr>
      <t>)</t>
    </r>
  </si>
  <si>
    <t>Liquid Argon (Mt)</t>
  </si>
  <si>
    <t>CO GAS BALANCE (Overall)-EMD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</si>
  <si>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</si>
  <si>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</si>
  <si>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</si>
  <si>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</si>
  <si>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</si>
  <si>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r>
      <t xml:space="preserve">d) </t>
    </r>
    <r>
      <rPr>
        <b/>
        <u/>
        <sz val="22"/>
        <color indexed="8"/>
        <rFont val="Times New Roman"/>
        <family val="1"/>
      </rPr>
      <t>Refined Benzol products</t>
    </r>
  </si>
  <si>
    <r>
      <t xml:space="preserve">      </t>
    </r>
    <r>
      <rPr>
        <b/>
        <sz val="22"/>
        <color indexed="8"/>
        <rFont val="Calibri"/>
        <family val="2"/>
      </rPr>
      <t>•</t>
    </r>
    <r>
      <rPr>
        <b/>
        <sz val="22"/>
        <color indexed="8"/>
        <rFont val="Times New Roman"/>
        <family val="1"/>
      </rPr>
      <t xml:space="preserve">                                                       S.B Oil</t>
    </r>
  </si>
  <si>
    <r>
      <t>CO Gas cons (000 m</t>
    </r>
    <r>
      <rPr>
        <b/>
        <sz val="26"/>
        <color indexed="8"/>
        <rFont val="Calibri"/>
        <family val="2"/>
      </rPr>
      <t>³</t>
    </r>
    <r>
      <rPr>
        <b/>
        <sz val="26"/>
        <color indexed="8"/>
        <rFont val="Times New Roman"/>
        <family val="1"/>
      </rPr>
      <t>)</t>
    </r>
  </si>
  <si>
    <r>
      <t>CV (000KCal/m</t>
    </r>
    <r>
      <rPr>
        <sz val="26"/>
        <color indexed="8"/>
        <rFont val="Calibri"/>
        <family val="2"/>
      </rPr>
      <t>³</t>
    </r>
    <r>
      <rPr>
        <sz val="26"/>
        <color indexed="8"/>
        <rFont val="Times New Roman"/>
        <family val="1"/>
      </rPr>
      <t>)</t>
    </r>
  </si>
  <si>
    <r>
      <t>Specific Productivity (T/M</t>
    </r>
    <r>
      <rPr>
        <b/>
        <sz val="22"/>
        <color indexed="8"/>
        <rFont val="Calibri"/>
        <family val="2"/>
      </rPr>
      <t>²</t>
    </r>
    <r>
      <rPr>
        <b/>
        <sz val="22"/>
        <color indexed="8"/>
        <rFont val="Times New Roman"/>
        <family val="1"/>
      </rPr>
      <t>/Utlz Hr)</t>
    </r>
  </si>
  <si>
    <t>Production per Utilization Hours (Hrs)</t>
  </si>
  <si>
    <t>a) Power Generation (PBS-1)</t>
  </si>
  <si>
    <t>b) Power Import from DVC</t>
  </si>
  <si>
    <t>Fe-Va</t>
  </si>
  <si>
    <t xml:space="preserve">e)                                   H.M (BF#5)  as CI Skull </t>
  </si>
  <si>
    <t>a) Bloom Caster (Transfer) 200x280 mm</t>
  </si>
  <si>
    <t>150 x 150 mm (CASTER 1/2 BLOOMS)</t>
  </si>
  <si>
    <t>i) SEMIS</t>
  </si>
  <si>
    <t>TOTAL SEMIS</t>
  </si>
  <si>
    <t>SPECIAL/ VALUE ADDED STEEL DESPATCH</t>
  </si>
  <si>
    <t>Oxygen Consumption (Nm³/T)</t>
  </si>
  <si>
    <t>ICC (MOZ)</t>
  </si>
  <si>
    <t>Angle 150 / 150 / 12 (IS 2062 E250 BR)</t>
  </si>
  <si>
    <t>a) Power Generation (PBS-2)+TRTG</t>
  </si>
  <si>
    <t>STG-1 (MWH)</t>
  </si>
  <si>
    <t>STG-1 (MW)</t>
  </si>
  <si>
    <t>STG-2 (MWH)</t>
  </si>
  <si>
    <t>STG-2 (MW)</t>
  </si>
  <si>
    <t>STG-3 (MWH)</t>
  </si>
  <si>
    <t>STG-3 (MW)</t>
  </si>
  <si>
    <t>BPTG (MWH)</t>
  </si>
  <si>
    <t>BPTG (MW)</t>
  </si>
  <si>
    <t>TRTG (MWH)</t>
  </si>
  <si>
    <t>TRTG (MW)</t>
  </si>
  <si>
    <t>Sp Power Cons-CO&amp;BPP (KwH/ ton of dry coal charge)</t>
  </si>
  <si>
    <t>Power Cons-CO&amp;BPP (KwH)</t>
  </si>
  <si>
    <t xml:space="preserve">d)                                                   # 11 COB </t>
  </si>
  <si>
    <t>e)                                                      TOTAL (Equiv)</t>
  </si>
  <si>
    <t>b)                                   H.M (BF#5) sent to B.O.F</t>
  </si>
  <si>
    <t xml:space="preserve">d)                                   H.M (BF#5) sent to P.C.M (New) </t>
  </si>
  <si>
    <t>d)                                   H.M (BF#5) sent to Sand Pit</t>
  </si>
  <si>
    <t>OVEN AVAILABILITY (COB #10)</t>
  </si>
  <si>
    <t>OVEN AVAILABILITY (COB #11)</t>
  </si>
  <si>
    <t>ICC (A-Soft)</t>
  </si>
  <si>
    <t>ICC (Wombo-Soft)</t>
  </si>
  <si>
    <t>TOTAL ICC (Soft)</t>
  </si>
  <si>
    <t>TOTAL PLANT (SUMMARY)</t>
  </si>
  <si>
    <t>20 mm RB Fe 600</t>
  </si>
  <si>
    <t>HE 300 B (WPB 300)</t>
  </si>
  <si>
    <t>Coke return fines (wet) to BMP from BF#5 (Mt)-RMHP</t>
  </si>
  <si>
    <t>Foundry (Iron Section)</t>
  </si>
  <si>
    <t>22 Rock Bolt Fe 600</t>
  </si>
  <si>
    <t>22 mm RB Fe 600</t>
  </si>
  <si>
    <t>32 mm TMT Bar</t>
  </si>
  <si>
    <t>SHOP/UNIT</t>
  </si>
  <si>
    <t>BOF - CCP</t>
  </si>
  <si>
    <t>AUXILIARY</t>
  </si>
  <si>
    <t>TOTAL  :</t>
  </si>
  <si>
    <t>Shop-wise Sp Energy Consumpt.(G.cal/TCS)</t>
  </si>
  <si>
    <t>BALANCED</t>
  </si>
  <si>
    <r>
      <t xml:space="preserve"> </t>
    </r>
    <r>
      <rPr>
        <b/>
        <u/>
        <sz val="22"/>
        <rFont val="Times New Roman"/>
        <family val="1"/>
      </rPr>
      <t>GCAL/TCS</t>
    </r>
  </si>
  <si>
    <t>Direct Purchase from DVC (Import)</t>
  </si>
  <si>
    <t>CMO EXP</t>
  </si>
  <si>
    <t>Pig Iron &amp; Equiv Desp (Unit-wise)</t>
  </si>
  <si>
    <t>Pig Iron &amp; Equiv Desp (Shipping mode-wise)</t>
  </si>
  <si>
    <t>Net Pig Iron Prodn &amp; Equiv (Quality wise)</t>
  </si>
  <si>
    <t>Pig Iron &amp; Equiv Desp (Quality wise)</t>
  </si>
  <si>
    <t>a) Power Generation (PBS-1+2)</t>
  </si>
  <si>
    <t>QRT-1</t>
  </si>
  <si>
    <t>QRT-2</t>
  </si>
  <si>
    <t>QRT-3</t>
  </si>
  <si>
    <t>QRT-4</t>
  </si>
  <si>
    <t>Saleable Steel (mill-wise)</t>
  </si>
  <si>
    <t>PCIS (Sand Casts)-Plant Sales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</si>
  <si>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</si>
  <si>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</si>
  <si>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</si>
  <si>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</si>
  <si>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</si>
  <si>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</si>
  <si>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</si>
  <si>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</si>
  <si>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</si>
  <si>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</si>
  <si>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 xml:space="preserve">c) US Mill </t>
  </si>
  <si>
    <t xml:space="preserve">d) Bar Mill </t>
  </si>
  <si>
    <t>Previous month Carried over Heats considered in current month</t>
  </si>
  <si>
    <r>
      <t>BOF Slag Generation - Mt</t>
    </r>
    <r>
      <rPr>
        <b/>
        <sz val="22"/>
        <color indexed="8"/>
        <rFont val="Times New Roman"/>
        <family val="1"/>
      </rPr>
      <t xml:space="preserve"> (As per BOF data)</t>
    </r>
  </si>
  <si>
    <t>BOF Slag Rate (Kg/TLS)</t>
  </si>
  <si>
    <t>32 mm TMT (Fe-550D)</t>
  </si>
  <si>
    <t>20 mm TMT (Fe-500D)</t>
  </si>
  <si>
    <t>32 mm TMT (Fe 500D)</t>
  </si>
  <si>
    <r>
      <t>CBM Consumption (CCP)-Th SM</t>
    </r>
    <r>
      <rPr>
        <sz val="22"/>
        <color indexed="8"/>
        <rFont val="Calibri"/>
        <family val="2"/>
      </rPr>
      <t>³/ Hr</t>
    </r>
  </si>
  <si>
    <t>HE-300 (WPB)</t>
  </si>
  <si>
    <t>ANGLE (150 / 150)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</si>
  <si>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</si>
  <si>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</si>
  <si>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</si>
  <si>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</si>
  <si>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</si>
  <si>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</si>
  <si>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</si>
  <si>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</si>
  <si>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g) Overall Sp Energy Consumpt.(G.cal/TCS)</t>
  </si>
  <si>
    <t>Caster #1 (Prime Length)</t>
  </si>
  <si>
    <t>Caster #1 (Short Length)</t>
  </si>
  <si>
    <t>Caster #1 (Total)</t>
  </si>
  <si>
    <t>Caster #2 (Prime Length)</t>
  </si>
  <si>
    <t>Caster #2 (Short Length)</t>
  </si>
  <si>
    <t>Caster #2 (Total)</t>
  </si>
  <si>
    <t>Caster #3 (Total)</t>
  </si>
  <si>
    <t>Total Caster (Prime Length)</t>
  </si>
  <si>
    <t>Total Caster (Short Length)</t>
  </si>
  <si>
    <t>Grand Total Casters (Total)</t>
  </si>
  <si>
    <t>Operating days - No. of Days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</si>
  <si>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</si>
  <si>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</si>
  <si>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</si>
  <si>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</si>
  <si>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</si>
  <si>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</si>
  <si>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</si>
  <si>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</si>
  <si>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</si>
  <si>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</si>
  <si>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</si>
  <si>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</si>
  <si>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</si>
  <si>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</si>
  <si>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</si>
  <si>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</si>
  <si>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</si>
  <si>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</si>
  <si>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</si>
  <si>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Motor Spirit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</si>
  <si>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</si>
  <si>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</si>
  <si>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</si>
  <si>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</si>
  <si>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</si>
  <si>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</si>
  <si>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</si>
  <si>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Crude Benzol (Exixting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</si>
  <si>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</si>
  <si>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</si>
  <si>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</si>
  <si>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</si>
  <si>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</si>
  <si>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</si>
  <si>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</si>
  <si>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</si>
  <si>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</si>
  <si>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</si>
  <si>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</si>
  <si>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</si>
  <si>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</si>
  <si>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</si>
  <si>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</si>
  <si>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</si>
  <si>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</si>
  <si>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 xml:space="preserve">Total Oven Pushed </t>
  </si>
  <si>
    <t>Moisture</t>
  </si>
  <si>
    <t xml:space="preserve">VM 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</si>
  <si>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</si>
  <si>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</si>
  <si>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</si>
  <si>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</si>
  <si>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</si>
  <si>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</si>
  <si>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</si>
  <si>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</si>
  <si>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</si>
  <si>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</si>
  <si>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</si>
  <si>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</si>
  <si>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</si>
  <si>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</si>
  <si>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</si>
  <si>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</si>
  <si>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</si>
  <si>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</si>
  <si>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</si>
  <si>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</si>
  <si>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</si>
  <si>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</si>
  <si>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</si>
  <si>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</si>
  <si>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</si>
  <si>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>H.M as CI Skull</t>
  </si>
  <si>
    <t>(Equiv. Pig Iron @ 80% of HM sent to Sand Pit. (Ref to Fax Msg from ED (O), vide SAIL/OPRNS/ PPMS/33 dt. 05.02.15)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</si>
  <si>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</si>
  <si>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</si>
  <si>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</si>
  <si>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</si>
  <si>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</si>
  <si>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</si>
  <si>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</si>
  <si>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</si>
  <si>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</si>
  <si>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</si>
  <si>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</si>
  <si>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 xml:space="preserve">Moisture </t>
  </si>
  <si>
    <t xml:space="preserve">M40 </t>
  </si>
  <si>
    <t xml:space="preserve">M10 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</si>
  <si>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</si>
  <si>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</si>
  <si>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</si>
  <si>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</si>
  <si>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</si>
  <si>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</si>
  <si>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</si>
  <si>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</si>
  <si>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</si>
  <si>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</si>
  <si>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</si>
  <si>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</si>
  <si>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</si>
  <si>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</si>
  <si>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</si>
  <si>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</si>
  <si>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</si>
  <si>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</si>
  <si>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</si>
  <si>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</si>
  <si>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</si>
  <si>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</si>
  <si>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</si>
  <si>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</si>
  <si>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</si>
  <si>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</si>
  <si>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</si>
  <si>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</si>
  <si>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</si>
  <si>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</si>
  <si>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</si>
  <si>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</si>
  <si>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</si>
  <si>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</si>
  <si>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</si>
  <si>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</si>
  <si>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</si>
  <si>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</si>
  <si>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</si>
  <si>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</si>
  <si>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</si>
  <si>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</si>
  <si>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</si>
  <si>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</si>
  <si>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</si>
  <si>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</si>
  <si>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</si>
  <si>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</si>
  <si>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</si>
  <si>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</si>
  <si>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</si>
  <si>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</si>
  <si>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</si>
  <si>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</si>
  <si>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</si>
  <si>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Kwh/T of ch Wt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</si>
  <si>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</si>
  <si>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</si>
  <si>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</si>
  <si>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</si>
  <si>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</si>
  <si>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</si>
  <si>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</si>
  <si>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</si>
  <si>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</si>
  <si>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</si>
  <si>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</si>
  <si>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</si>
  <si>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</si>
  <si>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</si>
  <si>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</si>
  <si>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</si>
  <si>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</si>
  <si>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</si>
  <si>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</si>
  <si>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</si>
  <si>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</si>
  <si>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UPIS-Plant Sales</t>
  </si>
  <si>
    <t>PIG IRON &amp; EQUIVALENT</t>
  </si>
  <si>
    <t>Pig-Unit Wise</t>
  </si>
  <si>
    <t>Pig-Shipping Mode-wise</t>
  </si>
  <si>
    <t>Pig-Quality-wise</t>
  </si>
  <si>
    <t xml:space="preserve">Coal Tar      </t>
  </si>
  <si>
    <t>Crystalline Naptha</t>
  </si>
  <si>
    <t>Ammonium Sulphate</t>
  </si>
  <si>
    <t>Elemental Sulphur (precipitated)</t>
  </si>
  <si>
    <t>Liquid Oxygen</t>
  </si>
  <si>
    <t>Liquid Argon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</si>
  <si>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</si>
  <si>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</si>
  <si>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</si>
  <si>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</si>
  <si>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</si>
  <si>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</si>
  <si>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</si>
  <si>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</si>
  <si>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</si>
  <si>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</si>
  <si>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</si>
  <si>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</si>
  <si>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</si>
  <si>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</si>
  <si>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</si>
  <si>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</si>
  <si>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</si>
  <si>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</si>
  <si>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</si>
  <si>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</si>
  <si>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</si>
  <si>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</si>
  <si>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</si>
  <si>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</si>
  <si>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</si>
  <si>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</si>
  <si>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</si>
  <si>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</si>
  <si>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</si>
  <si>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</si>
  <si>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</si>
  <si>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Gran  Slag (Shipping mode-wise)</t>
  </si>
  <si>
    <t>Gran  Slag (Sale Type-wise)</t>
  </si>
  <si>
    <t>Nos/ day</t>
  </si>
  <si>
    <t>MT</t>
  </si>
  <si>
    <t>BF Coke Rate</t>
  </si>
  <si>
    <t>Nut Coke rate</t>
  </si>
  <si>
    <t>CDI rate</t>
  </si>
  <si>
    <t>Semis (Blooms &amp; Billets)</t>
  </si>
  <si>
    <t>Wire Plain Coils</t>
  </si>
  <si>
    <t>Overall ICC in Blend</t>
  </si>
  <si>
    <t>ICC in Coal Blend</t>
  </si>
  <si>
    <t>(COB#11)</t>
  </si>
  <si>
    <t>B.F.Coke Yield</t>
  </si>
  <si>
    <t xml:space="preserve">BF PRODUCTIVITY </t>
  </si>
  <si>
    <t>Gross Coal to Hot Metal Ratio</t>
  </si>
  <si>
    <t>Overall Specific Power Consumption(Kwh)</t>
  </si>
  <si>
    <t>Overall Sp Water Consumption</t>
  </si>
  <si>
    <t>Kg/ THM</t>
  </si>
  <si>
    <t xml:space="preserve">Hot Metal to Crude Steel </t>
  </si>
  <si>
    <t xml:space="preserve">Scrap consumption at SMS </t>
  </si>
  <si>
    <t>Overall Sp Energy Consumpt</t>
  </si>
  <si>
    <t xml:space="preserve">Mill yield </t>
  </si>
  <si>
    <t>KwH/TSS</t>
  </si>
  <si>
    <t>kg/Tcs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</si>
  <si>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</si>
  <si>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</si>
  <si>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</si>
  <si>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</si>
  <si>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</si>
  <si>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</si>
  <si>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</si>
  <si>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</si>
  <si>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</si>
  <si>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</si>
  <si>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</si>
  <si>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</si>
  <si>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</si>
  <si>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</si>
  <si>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</si>
  <si>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</si>
  <si>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</si>
  <si>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</si>
  <si>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</si>
  <si>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</si>
  <si>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</si>
  <si>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</si>
  <si>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</si>
  <si>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</si>
  <si>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</si>
  <si>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</si>
  <si>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</si>
  <si>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</si>
  <si>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</si>
  <si>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</si>
  <si>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</si>
  <si>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</si>
  <si>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</si>
  <si>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</si>
  <si>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</si>
  <si>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</si>
  <si>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</si>
  <si>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</si>
  <si>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</si>
  <si>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</si>
  <si>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</si>
  <si>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</si>
  <si>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</si>
  <si>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</si>
  <si>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</si>
  <si>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 xml:space="preserve">Caustic </t>
  </si>
  <si>
    <t xml:space="preserve">Hydrazine </t>
  </si>
  <si>
    <t xml:space="preserve">Ammonia </t>
  </si>
  <si>
    <t xml:space="preserve">TSP </t>
  </si>
  <si>
    <t xml:space="preserve">Ferric Chloride </t>
  </si>
  <si>
    <t xml:space="preserve">Sodium Hypochloride </t>
  </si>
  <si>
    <t xml:space="preserve">Hydrated Lime </t>
  </si>
  <si>
    <t xml:space="preserve">SMBS </t>
  </si>
  <si>
    <t xml:space="preserve">Antiscalant </t>
  </si>
  <si>
    <t xml:space="preserve">Poly-electrolyte </t>
  </si>
  <si>
    <t xml:space="preserve">Poly Dispersant </t>
  </si>
  <si>
    <t xml:space="preserve">Corrosion Inhibitor </t>
  </si>
  <si>
    <t xml:space="preserve">Biocide(Quat) </t>
  </si>
  <si>
    <t xml:space="preserve">Biocide(Carbamate) </t>
  </si>
  <si>
    <t xml:space="preserve">Bio-Dispersant 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</si>
  <si>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</si>
  <si>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</si>
  <si>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</si>
  <si>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</si>
  <si>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</si>
  <si>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</si>
  <si>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</si>
  <si>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</si>
  <si>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>m3/Tcs</t>
  </si>
  <si>
    <t xml:space="preserve">Sp. Water consumption </t>
  </si>
  <si>
    <t>T/Tcs</t>
  </si>
  <si>
    <t xml:space="preserve">Sp. PM emissions </t>
  </si>
  <si>
    <t xml:space="preserve">BOF Slag utilisation </t>
  </si>
  <si>
    <t xml:space="preserve"> T/TCS</t>
  </si>
  <si>
    <t>kg/TCS</t>
  </si>
  <si>
    <t>HE-300 (IS 2062 E250 BR) WPB-300/300</t>
  </si>
  <si>
    <t>% DIRECT I/C EXPORT OF TOTAL DESPATCH</t>
  </si>
  <si>
    <t>OVERALL COKE &amp; COKE FRACTION YIELD</t>
  </si>
  <si>
    <t>Imported Coal in Blend (Wet)</t>
  </si>
  <si>
    <t>Note : ICC Norm is variable depending on the source of Mines &amp; Agreement which changes from time to time</t>
  </si>
  <si>
    <t>24-25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</si>
  <si>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</si>
  <si>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</si>
  <si>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</si>
  <si>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</si>
  <si>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</si>
  <si>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</si>
  <si>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</si>
  <si>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</si>
  <si>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</si>
  <si>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</si>
  <si>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>Process Return Fines (%)</t>
  </si>
  <si>
    <t xml:space="preserve">Capacity utilisation of rated capacity </t>
  </si>
  <si>
    <t>H.M to B.O.F</t>
  </si>
  <si>
    <t>H.M to P.C.M</t>
  </si>
  <si>
    <t>H.M to Sand Pit</t>
  </si>
  <si>
    <t>Net CDI Cons (Dry) (Mt)</t>
  </si>
  <si>
    <t>Net LD Slag Cons (Mt)</t>
  </si>
  <si>
    <t>Net Quartzite Cons (Mt)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</si>
  <si>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</si>
  <si>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</si>
  <si>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</si>
  <si>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</si>
  <si>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</si>
  <si>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</si>
  <si>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r>
      <t>BFG Consumption -Th NM</t>
    </r>
    <r>
      <rPr>
        <sz val="22"/>
        <color indexed="8"/>
        <rFont val="Calibri"/>
        <family val="2"/>
      </rPr>
      <t>³/ Hr</t>
    </r>
  </si>
  <si>
    <t xml:space="preserve">Caster Losses </t>
  </si>
  <si>
    <t>Caster #1+#2 (Total)</t>
  </si>
  <si>
    <t>Caster #1+#2 (Prime Length)</t>
  </si>
  <si>
    <t>Caster #1+#2 (Short Length)</t>
  </si>
  <si>
    <t>Iron Scrap Consumption rate</t>
  </si>
  <si>
    <t>Iron Scrap Consumption - Kg/ TCS</t>
  </si>
  <si>
    <t>Steel Scrap Consumption - Kg/ TCS</t>
  </si>
  <si>
    <t>Th Nm³</t>
  </si>
  <si>
    <t>BOF Slag Generation</t>
  </si>
  <si>
    <t>Z-Section</t>
  </si>
  <si>
    <t>FUEL CONSUMPTION</t>
  </si>
  <si>
    <r>
      <t>Th NM</t>
    </r>
    <r>
      <rPr>
        <sz val="11"/>
        <color theme="1"/>
        <rFont val="Calibri"/>
        <family val="2"/>
      </rPr>
      <t>³</t>
    </r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</si>
  <si>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</si>
  <si>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</si>
  <si>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</si>
  <si>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</si>
  <si>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</si>
  <si>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</si>
  <si>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</si>
  <si>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</si>
  <si>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</si>
  <si>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</si>
  <si>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</si>
  <si>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</si>
  <si>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</si>
  <si>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</si>
  <si>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</si>
  <si>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Sp. Water consumption - m3/Tcs</t>
  </si>
  <si>
    <t>Sp. CO2 emission - T/Tcs</t>
  </si>
  <si>
    <t>Sp. PM emissions - kg/Tcs</t>
  </si>
  <si>
    <t>BOF Slag utilisation - Tonnes</t>
  </si>
  <si>
    <t>BOF Slag utilisation - %</t>
  </si>
  <si>
    <t>BF Slag Generation - Tonnes</t>
  </si>
  <si>
    <t>Nos. / day</t>
  </si>
  <si>
    <t>*</t>
  </si>
  <si>
    <t xml:space="preserve">                </t>
  </si>
  <si>
    <t xml:space="preserve">              </t>
  </si>
  <si>
    <t xml:space="preserve">PBS </t>
  </si>
  <si>
    <t xml:space="preserve">BF </t>
  </si>
  <si>
    <t xml:space="preserve">BOF </t>
  </si>
  <si>
    <t>Blower-Stm</t>
  </si>
  <si>
    <t>CDCP (AUX)</t>
  </si>
  <si>
    <t>Loss</t>
  </si>
  <si>
    <t>BPTG Stm.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</si>
  <si>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</si>
  <si>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</si>
  <si>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</si>
  <si>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</si>
  <si>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</si>
  <si>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</si>
  <si>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</si>
  <si>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PBS-II STEAM BALANCE (TPH)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</si>
  <si>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</si>
  <si>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</si>
  <si>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</si>
  <si>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</si>
  <si>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</si>
  <si>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</si>
  <si>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</si>
  <si>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</si>
  <si>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</si>
  <si>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</si>
  <si>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</si>
  <si>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</si>
  <si>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</si>
  <si>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 xml:space="preserve">TOTAL AVAILABILITY </t>
  </si>
  <si>
    <t>TOTAL PLANT - POWER DISTRIBUTION</t>
  </si>
  <si>
    <t>Chasnalla</t>
  </si>
  <si>
    <t>Moonodih</t>
  </si>
  <si>
    <t>Moonidih</t>
  </si>
  <si>
    <t>TOTAL PRIME</t>
  </si>
  <si>
    <t>(Moonidih)</t>
  </si>
  <si>
    <t>16 mm TMT Bar</t>
  </si>
  <si>
    <t>Sales (Mt)</t>
  </si>
  <si>
    <t>Overall Blend Coal Moisture</t>
  </si>
  <si>
    <t>Average Handling Loss</t>
  </si>
  <si>
    <t>HM PRODUCTION (Mt)</t>
  </si>
  <si>
    <t>HM SENT TO BOF (Mt)</t>
  </si>
  <si>
    <t>HM LOSS (Mt)</t>
  </si>
  <si>
    <t>% HM LOSS WRT HM PRODUCTION (%)</t>
  </si>
  <si>
    <t>HM RECD BY BOF (Mt)</t>
  </si>
  <si>
    <t>% HM LOSS WRT HM SENT TO BOF (%)</t>
  </si>
  <si>
    <t>HOT METAL BALANCE WRT BOF</t>
  </si>
  <si>
    <t>Jun</t>
  </si>
  <si>
    <t>Qrt-1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</si>
  <si>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</si>
  <si>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</si>
  <si>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</si>
  <si>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</si>
  <si>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</si>
  <si>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</si>
  <si>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MILL PRODUCTION (Arisings &amp; Prime)</t>
  </si>
  <si>
    <t>TOTAL MILL</t>
  </si>
  <si>
    <t>% Arisings of Total Mill Production</t>
  </si>
  <si>
    <t>% Arisings of Total Sal Steel Production</t>
  </si>
  <si>
    <t>Gross Granulated Slag Generation (Incl recovery through segregation) - Mt</t>
  </si>
  <si>
    <t>IPE-500 (IS 2062 E250 BR) NPB</t>
  </si>
  <si>
    <t>IPE-500A (IS 2062 E250 BR) NPB</t>
  </si>
  <si>
    <t>Import from MRS+PBS-II</t>
  </si>
  <si>
    <t>IPE-500 (NPB)</t>
  </si>
  <si>
    <t>COKE &amp; COKE FRACTION PRODUCTION (DRY BASIS)</t>
  </si>
  <si>
    <r>
      <t>Generation (Th SM</t>
    </r>
    <r>
      <rPr>
        <b/>
        <sz val="24"/>
        <color indexed="8"/>
        <rFont val="Calibri"/>
        <family val="2"/>
      </rPr>
      <t>³</t>
    </r>
    <r>
      <rPr>
        <b/>
        <sz val="24"/>
        <color indexed="8"/>
        <rFont val="Times New Roman"/>
        <family val="1"/>
      </rPr>
      <t>)</t>
    </r>
  </si>
  <si>
    <t>LEAKAGE/ BLEEDER LOSS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</si>
  <si>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 xml:space="preserve"> K.Cal/tcw</t>
    </r>
  </si>
  <si>
    <r>
      <t>Gross Heat Consumption (10</t>
    </r>
    <r>
      <rPr>
        <b/>
        <sz val="22"/>
        <color indexed="8"/>
        <rFont val="Calibri"/>
        <family val="2"/>
      </rPr>
      <t>⁶</t>
    </r>
    <r>
      <rPr>
        <b/>
        <sz val="22"/>
        <color indexed="8"/>
        <rFont val="Times New Roman"/>
        <family val="1"/>
      </rPr>
      <t xml:space="preserve"> K.Cal/t)</t>
    </r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</si>
  <si>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 xml:space="preserve"> k.cal/t</t>
    </r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</si>
  <si>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</si>
  <si>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IPE-400 (IS 2062 E250 BR) NPB</t>
  </si>
  <si>
    <t>IPE-400A (IS 2062 E250 BR) NPB</t>
  </si>
  <si>
    <t>IPE-450 (IS 2062 E250 BR) NPB</t>
  </si>
  <si>
    <t>SPECIAL/ VALUE ADDED  SALEABLE STEEL PRODN</t>
  </si>
  <si>
    <t>Power Generation PBS-2 (STG+BPTG)+TRTG</t>
  </si>
  <si>
    <t>Mill Availability wrt Calender Hrs (%)</t>
  </si>
  <si>
    <t>Mill Utilisation wrt Avl Hrs (%)</t>
  </si>
  <si>
    <t>IPE-400 (NPB)</t>
  </si>
  <si>
    <t>IPE-450 (NPB)</t>
  </si>
  <si>
    <t>Defective/ Off Grade (5.5 mm)</t>
  </si>
  <si>
    <t>Defective/ Off Grade (6.0 mm)</t>
  </si>
  <si>
    <t>Defective/ Off Grade (8.0 mm)</t>
  </si>
  <si>
    <r>
      <t>Sp Heat Cons (10</t>
    </r>
    <r>
      <rPr>
        <b/>
        <sz val="26"/>
        <color indexed="8"/>
        <rFont val="Calibri"/>
        <family val="2"/>
      </rPr>
      <t>⁶</t>
    </r>
    <r>
      <rPr>
        <b/>
        <sz val="26"/>
        <color indexed="8"/>
        <rFont val="Times New Roman"/>
        <family val="1"/>
      </rPr>
      <t xml:space="preserve"> k.cal/t)</t>
    </r>
  </si>
  <si>
    <r>
      <t>Sp Heat Cons (10</t>
    </r>
    <r>
      <rPr>
        <b/>
        <sz val="22"/>
        <rFont val="Calibri"/>
        <family val="2"/>
      </rPr>
      <t>⁶</t>
    </r>
    <r>
      <rPr>
        <b/>
        <sz val="22"/>
        <rFont val="Times New Roman"/>
        <family val="1"/>
      </rPr>
      <t xml:space="preserve"> K.Cal/ ts)</t>
    </r>
  </si>
  <si>
    <r>
      <t>Sp Heat Cons (10</t>
    </r>
    <r>
      <rPr>
        <b/>
        <sz val="22"/>
        <color indexed="8"/>
        <rFont val="Calibri"/>
        <family val="2"/>
      </rPr>
      <t>⁶</t>
    </r>
    <r>
      <rPr>
        <b/>
        <sz val="22"/>
        <color indexed="8"/>
        <rFont val="Times New Roman"/>
        <family val="1"/>
      </rPr>
      <t xml:space="preserve"> k.cal/t)</t>
    </r>
  </si>
  <si>
    <r>
      <t>Sp Heat Cons (10</t>
    </r>
    <r>
      <rPr>
        <b/>
        <sz val="22"/>
        <color indexed="8"/>
        <rFont val="Calibri"/>
        <family val="2"/>
      </rPr>
      <t>⁶</t>
    </r>
    <r>
      <rPr>
        <b/>
        <sz val="22"/>
        <color indexed="8"/>
        <rFont val="Times New Roman"/>
        <family val="1"/>
      </rPr>
      <t>.K.Cal/T of Gross Sinter)</t>
    </r>
  </si>
  <si>
    <r>
      <t>Sp Heat Cons (BOF) (10</t>
    </r>
    <r>
      <rPr>
        <sz val="22"/>
        <color indexed="8"/>
        <rFont val="Calibri"/>
        <family val="2"/>
      </rPr>
      <t>⁶</t>
    </r>
    <r>
      <rPr>
        <sz val="22"/>
        <color indexed="8"/>
        <rFont val="Times New Roman"/>
        <family val="1"/>
      </rPr>
      <t xml:space="preserve"> k.cal/tls)</t>
    </r>
  </si>
  <si>
    <r>
      <t>Sp Heat Cons (CCP) (10</t>
    </r>
    <r>
      <rPr>
        <sz val="24"/>
        <color indexed="8"/>
        <rFont val="Calibri"/>
        <family val="2"/>
      </rPr>
      <t>⁶</t>
    </r>
    <r>
      <rPr>
        <sz val="24"/>
        <color indexed="8"/>
        <rFont val="Times New Roman"/>
        <family val="1"/>
      </rPr>
      <t xml:space="preserve"> k.cal/tcs)</t>
    </r>
  </si>
  <si>
    <r>
      <t>Heat Cons in stoves (10</t>
    </r>
    <r>
      <rPr>
        <b/>
        <sz val="20"/>
        <color indexed="8"/>
        <rFont val="Calibri"/>
        <family val="2"/>
      </rPr>
      <t>⁶</t>
    </r>
    <r>
      <rPr>
        <b/>
        <sz val="20"/>
        <color indexed="8"/>
        <rFont val="Times New Roman"/>
        <family val="1"/>
      </rPr>
      <t xml:space="preserve"> k.cal/t)</t>
    </r>
  </si>
  <si>
    <t>10⁶.Cal/ ts</t>
  </si>
  <si>
    <t xml:space="preserve">Crude Benzol </t>
  </si>
  <si>
    <t>Kg/Tdcc</t>
  </si>
  <si>
    <t>Yield of Coal Chemicals</t>
  </si>
  <si>
    <r>
      <t>(NH4)</t>
    </r>
    <r>
      <rPr>
        <sz val="12"/>
        <color theme="1"/>
        <rFont val="Calibri"/>
        <family val="2"/>
      </rPr>
      <t>₂</t>
    </r>
    <r>
      <rPr>
        <sz val="12"/>
        <color theme="1"/>
        <rFont val="Times New Roman"/>
        <family val="1"/>
      </rPr>
      <t>SO4 (Existing Plant)</t>
    </r>
  </si>
  <si>
    <t>(NH4)₂SO4  (New Plant)</t>
  </si>
  <si>
    <r>
      <t>Total (NH4)</t>
    </r>
    <r>
      <rPr>
        <b/>
        <sz val="12"/>
        <color theme="1"/>
        <rFont val="Calibri"/>
        <family val="2"/>
      </rPr>
      <t>₂</t>
    </r>
    <r>
      <rPr>
        <b/>
        <sz val="12"/>
        <color theme="1"/>
        <rFont val="Times New Roman"/>
        <family val="1"/>
      </rPr>
      <t>SO4</t>
    </r>
  </si>
  <si>
    <t>%Yield of Refined Benzol Products</t>
  </si>
  <si>
    <t>TOTAL REFINED PRODUCTS</t>
  </si>
  <si>
    <t>Hrs/ day</t>
  </si>
  <si>
    <t>Rolling Hours/ day wrt Mill Avl days</t>
  </si>
  <si>
    <t>Total Return Fines (BF+Process return sinter) (%)</t>
  </si>
  <si>
    <t>Defective/ Off Grade (12.0 mm)</t>
  </si>
  <si>
    <t>12 mm TMT (Fe-500S)</t>
  </si>
  <si>
    <t>BOF Slag Generation (BOF Data) - Tonnes</t>
  </si>
  <si>
    <t>H-1</t>
  </si>
  <si>
    <t>Defective</t>
  </si>
  <si>
    <t>US MILL (ARISING BREAK-UP)</t>
  </si>
  <si>
    <t>Total Prime Indigenous</t>
  </si>
  <si>
    <t>SEMIS</t>
  </si>
  <si>
    <t>Defective/ Off Grade (10.0 mm)</t>
  </si>
  <si>
    <t>Chasnalla (PCC Ind)</t>
  </si>
  <si>
    <t>Moonidih (PCC Ind)</t>
  </si>
  <si>
    <t>MEDIUM</t>
  </si>
  <si>
    <t>Defective/ Off Grade (16 mm)</t>
  </si>
  <si>
    <t>16 mm TMT (Fe-415)</t>
  </si>
  <si>
    <t>Defective/ Off Grade (12 mm)</t>
  </si>
  <si>
    <t>IPE-400V (IS 2062 E250 BR) NPB</t>
  </si>
  <si>
    <t>IPE-300A (IS 2062 E250 BR) NPB</t>
  </si>
  <si>
    <t>R O Organic (Kg)</t>
  </si>
  <si>
    <t>R O Inorganic (Kg)</t>
  </si>
  <si>
    <t>BF#5</t>
  </si>
  <si>
    <t xml:space="preserve">Consumption (ThSM³) </t>
  </si>
  <si>
    <t>Caster #3 Bloom (Prime Length)</t>
  </si>
  <si>
    <t>Caster #3 Beam Blank (Prime Length)</t>
  </si>
  <si>
    <t>Caster #3 Bloom (Short Length)</t>
  </si>
  <si>
    <t>Caster #3 Beam Blank (Short Length)</t>
  </si>
  <si>
    <t>Operation Power</t>
  </si>
  <si>
    <t>Avg Heats Cast per Day</t>
  </si>
  <si>
    <t>CBM Consumption (BOF-CCP)</t>
  </si>
  <si>
    <t>25 mm TMT Bar</t>
  </si>
  <si>
    <t>10 mm TMT Coil (Def)</t>
  </si>
  <si>
    <t>% DIRECT OF TOTAL DESPATCH (INCL EXPORT)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</si>
  <si>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</si>
  <si>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</si>
  <si>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</si>
  <si>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</si>
  <si>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</si>
  <si>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</si>
  <si>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</si>
  <si>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</si>
  <si>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</si>
  <si>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</si>
  <si>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</si>
  <si>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</si>
  <si>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</si>
  <si>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</si>
  <si>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</si>
  <si>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</si>
  <si>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</si>
  <si>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</si>
  <si>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</si>
  <si>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</si>
  <si>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</si>
  <si>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150 X 150 BLOOMS</t>
  </si>
  <si>
    <t>C-20 (TLT)</t>
  </si>
  <si>
    <t>SAIL TOWER</t>
  </si>
  <si>
    <t>200 X 280 BLOOMS</t>
  </si>
  <si>
    <t>TOTAL 150 X 150 BLOOMS</t>
  </si>
  <si>
    <t>TOTAL 200 X 280 BLOOMS</t>
  </si>
  <si>
    <t>GRAND TOTAL SEMIS</t>
  </si>
  <si>
    <t>20 mm TMT HCR/M Fe 500/500D</t>
  </si>
  <si>
    <t>Angle 200 / 200 / 20 (IS 2062 E350 BR)</t>
  </si>
  <si>
    <t>ANGLE (200 / 200)</t>
  </si>
  <si>
    <t>d)                                                              WR MILL</t>
  </si>
  <si>
    <t>f)                                                              US MILL</t>
  </si>
  <si>
    <t>e)                                                              BAR MILL</t>
  </si>
  <si>
    <t>ICC (Peak Down)</t>
  </si>
  <si>
    <t>12 mm TMT (EQR 500D)</t>
  </si>
  <si>
    <t>Angle 200 / 200 / 12 (IS 2062 E250 BR)</t>
  </si>
  <si>
    <t>UPN 300</t>
  </si>
  <si>
    <t>Bauxite</t>
  </si>
  <si>
    <t>Angle 200 / 200 / 16 (IS 2062 E250 BR)</t>
  </si>
  <si>
    <t>Gross Coal to HM Ratio (Kg/ THM)</t>
  </si>
  <si>
    <t>CMO+EXP</t>
  </si>
  <si>
    <t>8 mm TMT Coil (Def)</t>
  </si>
  <si>
    <t>Short lengths (&lt; 6.0 Mts)</t>
  </si>
  <si>
    <t>Shortlength Arisings below 6.0 mts</t>
  </si>
  <si>
    <t>BREAK UP Shortlength Arisings below 6.0 mts</t>
  </si>
  <si>
    <t>USM Odd lengths</t>
  </si>
  <si>
    <t>MILL ARISINGS (SHORT LENGTHS below &lt; 6 mts +DEFECTIVES)</t>
  </si>
  <si>
    <t>Sp Ref Consumption</t>
  </si>
  <si>
    <t>Labour Productivity</t>
  </si>
  <si>
    <t>TCS/Man/Year</t>
  </si>
  <si>
    <t>ICC (LVHR-AUS)</t>
  </si>
  <si>
    <t>ICC (CANADA-H)</t>
  </si>
  <si>
    <t>IPE-600 (NPB)</t>
  </si>
  <si>
    <t>Calcined Dolo</t>
  </si>
  <si>
    <t>Canada-H)</t>
  </si>
  <si>
    <t>SWR 14</t>
  </si>
  <si>
    <t>32 mm TMT (Fe-500D)/ EQR</t>
  </si>
  <si>
    <t>IPE-600 (IS 2062 E250 BR) NPB</t>
  </si>
  <si>
    <r>
      <t>000Sm</t>
    </r>
    <r>
      <rPr>
        <sz val="11"/>
        <color theme="1"/>
        <rFont val="Calibri"/>
        <family val="2"/>
      </rPr>
      <t>³</t>
    </r>
  </si>
  <si>
    <t>H-2</t>
  </si>
  <si>
    <t>T/Utlzn Hr</t>
  </si>
  <si>
    <t>TOTAL HV ( Th K. Cal/t of St. Gen)</t>
  </si>
  <si>
    <t>Th K. Cal/t of St. Gen</t>
  </si>
  <si>
    <t>IPE-300 (IS 2062 E350 BR) NPB</t>
  </si>
  <si>
    <t>IPE-600 (IS 2062 E350 BR) NPB</t>
  </si>
  <si>
    <t>a-iii) Saleable Steel (CMO + Mktg - Mill-wise shipping mode-wise)</t>
  </si>
  <si>
    <t>ASSORTED BLOOMS</t>
  </si>
  <si>
    <t>Defective (Mktg)</t>
  </si>
  <si>
    <t>Average Manpower (Works)</t>
  </si>
  <si>
    <t>Blr coal cons - Wet Basis (t)</t>
  </si>
  <si>
    <t>Boiler coal cons. (Wet Basis)</t>
  </si>
  <si>
    <t>FOR THE YEAR 2017-18</t>
  </si>
  <si>
    <t>UPN 400</t>
  </si>
  <si>
    <t xml:space="preserve">Flue Dust </t>
  </si>
  <si>
    <t>&lt;0.8</t>
  </si>
  <si>
    <t>&lt;0.05</t>
  </si>
  <si>
    <t>Avg Casts/ day</t>
  </si>
  <si>
    <t>Metallipop Sampler (Al/ Zr)</t>
  </si>
  <si>
    <t>BF (from BPTG)</t>
  </si>
  <si>
    <t>BOF (from BPTG)</t>
  </si>
  <si>
    <t>Auxiliary &amp; Repair Shop</t>
  </si>
  <si>
    <t>(1) Train# 2 will be under maintenance for 10 days in the month Aug 2017</t>
  </si>
  <si>
    <t>(2) Train# 1 will be under maintenance for 10 days in the month Dec 2017</t>
  </si>
  <si>
    <t>000 NM³/ Hr</t>
  </si>
  <si>
    <t>Auxilliries *</t>
  </si>
  <si>
    <t>CCP, GPO ('000 NM³/ Hr)</t>
  </si>
  <si>
    <t>BF ('000 NM³/ Hr)</t>
  </si>
  <si>
    <t>BOF ('000 NM³/ Hr)</t>
  </si>
  <si>
    <t>Auxilliries * ('000 NM³/ Hr)</t>
  </si>
  <si>
    <t>Sales ('000 NM³/ Hr)</t>
  </si>
  <si>
    <t>BURNT DOLO PRODUCTION</t>
  </si>
  <si>
    <t>GROSS GRANULATED SLAG PRODUCTION Excluding SEGGR</t>
  </si>
  <si>
    <t>GRANULATED SLAG SEGERGATED FROM EARLIER LOSS</t>
  </si>
  <si>
    <t>GROSS GRANULATED SLAG PRODUCTION (Excl Seggr)</t>
  </si>
  <si>
    <t>NET &amp; FRESH GRANULATED SLAG PRODUCTION</t>
  </si>
  <si>
    <t xml:space="preserve">          CONV#2 UTILISATION</t>
  </si>
  <si>
    <t xml:space="preserve">          CONV#1 UTILISATION</t>
  </si>
  <si>
    <t xml:space="preserve">          CONV#3 UTILISATION</t>
  </si>
  <si>
    <t>Defective/ Off Grade (32 mm)</t>
  </si>
  <si>
    <t>Net Sinter Cons (Dry)  (Mt)</t>
  </si>
  <si>
    <t>Net IOL Cons (Dry) (Mt)</t>
  </si>
  <si>
    <t>Gross Sinter Loss (Return+Diverter)(Wet) (Mt)</t>
  </si>
  <si>
    <t>Gross Sinter Loss (Return+Diverter)(Dry) (Mt)</t>
  </si>
  <si>
    <t>BF Sinter return fines (Dry)(Mt)</t>
  </si>
  <si>
    <r>
      <t xml:space="preserve">BF Diverter Sinter (Wet)- </t>
    </r>
    <r>
      <rPr>
        <b/>
        <sz val="11"/>
        <color indexed="8"/>
        <rFont val="Times New Roman"/>
        <family val="1"/>
      </rPr>
      <t>As per Sinter Plant</t>
    </r>
  </si>
  <si>
    <t>MKTG DIR (DEF)</t>
  </si>
  <si>
    <t>CMO-WR MILL</t>
  </si>
  <si>
    <t>CMO-BAR MILL</t>
  </si>
  <si>
    <t>CMO-US MILL</t>
  </si>
  <si>
    <t>Processed CI Scrap (Sand Pit)</t>
  </si>
  <si>
    <t>c-v) PCIS (Sand Pit)-Plant Sales</t>
  </si>
  <si>
    <t>TOTAL (000 NM³/ Hr)</t>
  </si>
  <si>
    <t>Defective+S/L &lt; 6.0 mts (IPE-600/  NPB)</t>
  </si>
  <si>
    <t>Defective+S/L &lt; 6.0 mts (IPE-500/  NPB)</t>
  </si>
  <si>
    <t>Defective+S/L &lt; 6.0 mts (IPE-300/  NPB)</t>
  </si>
  <si>
    <t>Defective+S/L &lt; 6.0 mts (IPE-400/  NPB)</t>
  </si>
  <si>
    <t>CaSi</t>
  </si>
  <si>
    <t>FeB</t>
  </si>
  <si>
    <t>FeCr</t>
  </si>
  <si>
    <t>Ni</t>
  </si>
  <si>
    <t>FeMo</t>
  </si>
  <si>
    <t>FeVa</t>
  </si>
  <si>
    <t>Cu</t>
  </si>
  <si>
    <r>
      <t>COG Cons (Th M</t>
    </r>
    <r>
      <rPr>
        <b/>
        <sz val="26"/>
        <color indexed="8"/>
        <rFont val="Calibri"/>
        <family val="2"/>
      </rPr>
      <t>³</t>
    </r>
    <r>
      <rPr>
        <b/>
        <sz val="26"/>
        <color indexed="8"/>
        <rFont val="Times New Roman"/>
        <family val="1"/>
      </rPr>
      <t>/ Hr)</t>
    </r>
  </si>
  <si>
    <t xml:space="preserve">COG Cons </t>
  </si>
  <si>
    <t xml:space="preserve">BFG Cons </t>
  </si>
  <si>
    <r>
      <t>COG Cons (Th M</t>
    </r>
    <r>
      <rPr>
        <b/>
        <sz val="22"/>
        <color indexed="8"/>
        <rFont val="Calibri"/>
        <family val="2"/>
      </rPr>
      <t>³</t>
    </r>
    <r>
      <rPr>
        <b/>
        <sz val="22"/>
        <color indexed="8"/>
        <rFont val="Times New Roman"/>
        <family val="1"/>
      </rPr>
      <t>/ Hr)</t>
    </r>
  </si>
  <si>
    <t>BFG Cons (Th M³/ Hr)</t>
  </si>
  <si>
    <r>
      <t>BF Sinter return fines (wet) to BMP-</t>
    </r>
    <r>
      <rPr>
        <b/>
        <sz val="11"/>
        <color indexed="8"/>
        <rFont val="Times New Roman"/>
        <family val="1"/>
      </rPr>
      <t>As per RMHP</t>
    </r>
  </si>
  <si>
    <t>Gross Sinter (i/c Return fines+Diverter Loss)-Dry</t>
  </si>
  <si>
    <t>BF Sinter return fines (Dry)</t>
  </si>
  <si>
    <t>Gross Sinter Loss (Return+Diverter)(Wet)</t>
  </si>
  <si>
    <t xml:space="preserve">Gross Sinter Loss (Return+Diverter)(Dry) 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</si>
  <si>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</si>
  <si>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</si>
  <si>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</si>
  <si>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</si>
  <si>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</si>
  <si>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>Calender Day</t>
  </si>
  <si>
    <t>Return Coke fines (dry) to BMP (%)</t>
  </si>
  <si>
    <t>Return Iron Ore  fines to BMP (%)</t>
  </si>
  <si>
    <t xml:space="preserve">Return Coke fines (dry) to BMP </t>
  </si>
  <si>
    <t>BF Diverter Sinter (Dry)</t>
  </si>
  <si>
    <r>
      <t>BF Diverter Sinter (Wet)- Mt-</t>
    </r>
    <r>
      <rPr>
        <b/>
        <sz val="24"/>
        <color indexed="8"/>
        <rFont val="Times New Roman"/>
        <family val="1"/>
      </rPr>
      <t>As per Sinter Plant</t>
    </r>
  </si>
  <si>
    <t>BF Diverter Sinter (Dry)-Mt</t>
  </si>
  <si>
    <t>Diverter Sinter Loss at BF (Dry) wrt Gross Supply (skip BF+SMS+Return Fines+Diverter loss) (%)</t>
  </si>
  <si>
    <t>Return Sinter fines (dry) to BMP wrt Gross Supply (Skip BF+SMS Cons+Return fines+Diverter loss) (%)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</si>
  <si>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</si>
  <si>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</si>
  <si>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</si>
  <si>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ICC (Indonesia-H)</t>
  </si>
  <si>
    <t>2646 Heats-1st (28.04.17-05.05.17)</t>
  </si>
  <si>
    <t>CaC2</t>
  </si>
  <si>
    <t>Mg</t>
  </si>
  <si>
    <t>Rajrappa+Kedla (MCC Ind)</t>
  </si>
  <si>
    <t>Av. Lime</t>
  </si>
  <si>
    <t>IPE-300-O (IS 2062 E250 BR) NPB</t>
  </si>
  <si>
    <t>Crude Steel</t>
  </si>
  <si>
    <t>50% of Pig Eq</t>
  </si>
  <si>
    <t>CS+50%Pig Eq</t>
  </si>
  <si>
    <t>Pig+Eq</t>
  </si>
  <si>
    <t>20 mm TMT (Fe-415-S)</t>
  </si>
  <si>
    <t>MILL WISE DESPATCH (DEFECTIVE SRTUCTURALS AS SCRAPS) THROUGH PLANT SALES</t>
  </si>
  <si>
    <t>Rajrappa + Kedla (MCC)</t>
  </si>
  <si>
    <t>MOG (HOME+EXP+IPT)</t>
  </si>
  <si>
    <t>MKTG (PLANT DESP+IPT)</t>
  </si>
  <si>
    <t>Sections</t>
  </si>
  <si>
    <t>STRUCTURAL SHOP</t>
  </si>
  <si>
    <t>Accumulated Steel Scrap</t>
  </si>
  <si>
    <t>Mills Def as Steel scrap</t>
  </si>
  <si>
    <t>Moisture in BF Return Sinter Fines</t>
  </si>
  <si>
    <t>Moisture in BF Return Coke Fines</t>
  </si>
  <si>
    <t>Moisture in BF Return Iron Ore Fines</t>
  </si>
  <si>
    <r>
      <t>BF Sinter return fines (wet) to BMP (Mt)-</t>
    </r>
    <r>
      <rPr>
        <b/>
        <sz val="24"/>
        <color rgb="FFC00000"/>
        <rFont val="Times New Roman"/>
        <family val="1"/>
      </rPr>
      <t>As per RMHP</t>
    </r>
  </si>
  <si>
    <t>Iron ore return fines (wet) to BMP from BF#5 (Mt)-RMHP</t>
  </si>
  <si>
    <t>Iron ore return fines (Dry) to BMP from BF#5 (Mt)-RMHP</t>
  </si>
  <si>
    <t xml:space="preserve">Return Iron Ore  fines (dry) to BMP </t>
  </si>
  <si>
    <t>3526 Heats-3rd (30.05.17-18.06.17)-Relining + Hood changing</t>
  </si>
  <si>
    <t>Defective/ Off Grade (22 mm)</t>
  </si>
  <si>
    <t>IPE-600O (IS 2062 E250 BR) NPB</t>
  </si>
  <si>
    <t>BOF Sludge</t>
  </si>
  <si>
    <t>Angle 200 / 200 / 16 (IS 2062 E350 BR)</t>
  </si>
  <si>
    <t>*AUXILLIARIES INCLUDES CONSUMPTION IN AUXILLIARIES UNITS,OLD PLANT, PROCESS REQUIREMENT,LOSS, VENT AND SELLING</t>
  </si>
  <si>
    <t>Defective+S/L &lt; 6.0 mts (EA200/20)</t>
  </si>
  <si>
    <t>CMO (HOME SALES)</t>
  </si>
  <si>
    <t>BF Slag Generation</t>
  </si>
  <si>
    <t>BF Slag Utilisation</t>
  </si>
  <si>
    <t>Net Gran Slag Production</t>
  </si>
  <si>
    <t>BOF Slag Utilisation</t>
  </si>
  <si>
    <t>BF Slag Boulder despatch -Tonnes</t>
  </si>
  <si>
    <t>BF Slag Total Despatch - Tonnes</t>
  </si>
  <si>
    <t xml:space="preserve">Net Gran Slag Production </t>
  </si>
  <si>
    <t>BF Slag Utilisation (wrt Gross despatch) - %</t>
  </si>
  <si>
    <t xml:space="preserve">Total BF Slag Despatch </t>
  </si>
  <si>
    <t>BF Slag Boulder despatch as per CENVAT</t>
  </si>
  <si>
    <t>BF Gran Slag Despatch as per CENVAT (i/c matl from previous stock)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</si>
  <si>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-MILL DEFECTIVES (ARISINGS)</t>
    </r>
  </si>
  <si>
    <t>g) BLOOM (SAIL TOWER+CUSTOMIZED TLT+OTHERS)</t>
  </si>
  <si>
    <t>h) Gross Coal (Wet) to Hot Metal Ratio</t>
  </si>
  <si>
    <t>Defective+S/L &lt; 6.0 mts (IPE-450/  NPB)</t>
  </si>
  <si>
    <t>TOTAL Indigenous</t>
  </si>
  <si>
    <t>AVG INCOMING COAL MOISTURE AS PER CONS BLEND - (COB #8+10+11)</t>
  </si>
  <si>
    <t>Power Req for Old Plant from PBS-2/ MRS</t>
  </si>
  <si>
    <t>Avg Power Req for Old Plant from PBS-2/ MRS</t>
  </si>
  <si>
    <t>IPE-600V (IS 2062 E250 BR) NPB</t>
  </si>
  <si>
    <t>IPE-450 (IS 2062 E350) NPB</t>
  </si>
  <si>
    <t>Gross Iron Ore Lump (i/c Return fines)-Dry</t>
  </si>
  <si>
    <t>AUSH(Peak Down)</t>
  </si>
  <si>
    <t>AUS (LVHR)</t>
  </si>
  <si>
    <t>AUSH(Trial)</t>
  </si>
  <si>
    <t>AUS(LVHR)</t>
  </si>
  <si>
    <t>ICC (Trial)</t>
  </si>
  <si>
    <t>ICC (LVHR)</t>
  </si>
  <si>
    <t>NeZ (H)</t>
  </si>
  <si>
    <t>3008 Heats- 4th (19.09.17- 29.09.17:11 AM)</t>
  </si>
  <si>
    <t>PCIS (Processed Sand Cast-Eq Pig)</t>
  </si>
  <si>
    <t>Total Ferro Alloys (FeMn+FeSi+SiMn)</t>
  </si>
  <si>
    <t>10 mm TMT (Fe-500D/EQR)</t>
  </si>
  <si>
    <t>200 x 280 mm (CASTER 3 BLOOMS)</t>
  </si>
  <si>
    <t xml:space="preserve">(PRIME THROUGH HOME SALES+EXPORT+IPT) MILL WISE/ SECTION WISE SALEABLE STEEL DESPATCH </t>
  </si>
  <si>
    <r>
      <t>GROSS WATER CONSUMPTION - NEW PL (M</t>
    </r>
    <r>
      <rPr>
        <b/>
        <u/>
        <sz val="22"/>
        <rFont val="Calibri"/>
        <family val="2"/>
      </rPr>
      <t>³</t>
    </r>
    <r>
      <rPr>
        <b/>
        <u/>
        <sz val="22"/>
        <rFont val="Times New Roman"/>
        <family val="1"/>
      </rPr>
      <t>)</t>
    </r>
  </si>
  <si>
    <t>SINTER PLANT/ ORE HANDLING PLANT</t>
  </si>
  <si>
    <t>Heats Re-cycled+Dumped heat</t>
  </si>
  <si>
    <t>16 mm TMT (BS4449 B500B CRS)</t>
  </si>
  <si>
    <t>EXP.DEA&amp; TUR AUX</t>
  </si>
  <si>
    <t xml:space="preserve">BF Gran Slag despatch i/c previous stock  &amp; OTHERS- Tonnes </t>
  </si>
  <si>
    <t>IPE-750 (IS 2062 E250 BR) NPB</t>
  </si>
  <si>
    <t>IPE-400 (IS 2062 E350 BR) NPB</t>
  </si>
  <si>
    <t>CDCP Fines</t>
  </si>
  <si>
    <t>12 mm TMT (Fe-500/HSRM/BS4449 B500B CRS)</t>
  </si>
  <si>
    <t>Electrode</t>
  </si>
  <si>
    <t>CDCP Dust</t>
  </si>
  <si>
    <t>Defective/ Off Grade (16.0 mm)</t>
  </si>
  <si>
    <t>16 mm Plain Coil</t>
  </si>
  <si>
    <t>Burnt Fines Generation</t>
  </si>
  <si>
    <t>Burnt Fines %</t>
  </si>
  <si>
    <t>Power Cons-CO&amp;BPP&amp; CDCP (KwH)</t>
  </si>
  <si>
    <t>FeTi</t>
  </si>
  <si>
    <t>ICC LVHR</t>
  </si>
  <si>
    <t>IPE-500 (IS 2062 E350 BR) NPB</t>
  </si>
  <si>
    <t>32 mm TMT HCR/M Fe 500/500D</t>
  </si>
  <si>
    <t>Angle 200 / 200 / 16 (EN 10025-2 S275JR)</t>
  </si>
  <si>
    <t>Angle 200 / 200 / 20 ((EN 10025-2 S275JR)</t>
  </si>
  <si>
    <t>(AUS + Kestral+Others+Soft)</t>
  </si>
  <si>
    <t>(Mozambique/ Benga- H)</t>
  </si>
  <si>
    <t>Power Import from DVC (Old Plant)-33 KVA Line</t>
  </si>
  <si>
    <t>Power Import from DVC (New Plant)-220 KVA Line</t>
  </si>
  <si>
    <t>1.9-2.0</t>
  </si>
  <si>
    <t>RI</t>
  </si>
  <si>
    <t>RDI</t>
  </si>
  <si>
    <t>&gt;65</t>
  </si>
  <si>
    <t>(Mozambique/Benga H)</t>
  </si>
  <si>
    <t>WAMBO SOFT</t>
  </si>
  <si>
    <t>BPTG Stm</t>
  </si>
  <si>
    <t>EXP.DEA.TUR.AUX /ESP Boiler</t>
  </si>
  <si>
    <t>20 mm TMT (Fe-550D)</t>
  </si>
  <si>
    <t>12 mm TMT HCR</t>
  </si>
  <si>
    <t xml:space="preserve">JISG3101SS540RC-2ALK </t>
  </si>
  <si>
    <t>SUP 11 A</t>
  </si>
  <si>
    <t>`</t>
  </si>
  <si>
    <t>16 mm TMT (Fe-550D)</t>
  </si>
  <si>
    <t>IPE-450A (IS 2062 E350 BR) NPB</t>
  </si>
  <si>
    <t>IS2830C20MMNACU</t>
  </si>
  <si>
    <t>WPB 240</t>
  </si>
  <si>
    <t>ICC (MOZ-H)</t>
  </si>
  <si>
    <t>BF #5 (Pig ) Net</t>
  </si>
  <si>
    <t>BF #5 (UPIS) Net</t>
  </si>
  <si>
    <t>32 mm TMT (B500B)</t>
  </si>
  <si>
    <t xml:space="preserve">BURNT LIME REACTIVITY </t>
  </si>
  <si>
    <t>Aus Soft</t>
  </si>
  <si>
    <t>Kestrel Soft</t>
  </si>
  <si>
    <t>ICC Mixed Coal</t>
  </si>
  <si>
    <t xml:space="preserve">BURNT DOLO REACTIVITY </t>
  </si>
  <si>
    <t>CBM consumption</t>
  </si>
  <si>
    <t>IPE-750 (IS 2062 E350 BR) NPB</t>
  </si>
  <si>
    <t>IPE-450A (IS 2062 E250 BR) NPB</t>
  </si>
  <si>
    <t>Defective+S/L &lt; 6.0 mts (IPE-750)</t>
  </si>
  <si>
    <t>IPE-750 (NPB)</t>
  </si>
  <si>
    <t>M³/Hr</t>
  </si>
  <si>
    <t>Th SM³/ Hr</t>
  </si>
  <si>
    <t>Th.M3/hr</t>
  </si>
  <si>
    <t>IPE-330 (IS 2062 E250/E350 BR) NPB</t>
  </si>
  <si>
    <t>ICC Benga</t>
  </si>
  <si>
    <t>36 mm TMT Bar</t>
  </si>
  <si>
    <t>HE-240 (WPB)</t>
  </si>
  <si>
    <t>IPE-300A (IS 2062 E350 BR) NPB</t>
  </si>
  <si>
    <t>IPE-400A (IS 2062 E350 BR) NPB</t>
  </si>
  <si>
    <t>36 mm TMT (Fe-500D)</t>
  </si>
  <si>
    <t>Defective+S/L &lt; 6.0 mts (EA150)</t>
  </si>
  <si>
    <t>BPP COB#11 (from BPTG)</t>
  </si>
  <si>
    <t>BPP COB#8&amp;10 (from BPTG)</t>
  </si>
  <si>
    <t>WPB 340</t>
  </si>
  <si>
    <t>IS 2830:12 C20MMnC</t>
  </si>
  <si>
    <t xml:space="preserve">CRI (%) </t>
  </si>
  <si>
    <t>Prime &amp; Saleable Length</t>
  </si>
  <si>
    <t>7 mm Plain Coil</t>
  </si>
  <si>
    <t>ICC AH LVHR PD</t>
  </si>
  <si>
    <t>US Soft</t>
  </si>
  <si>
    <t>Aus Soft/Imp Soft</t>
  </si>
  <si>
    <t>Kestral soft</t>
  </si>
  <si>
    <t>Total ICC (Soft)</t>
  </si>
  <si>
    <t>8 mm Plain Coil (SAE 1018 Al Killed)</t>
  </si>
  <si>
    <t>8 mm Plain Coil (SAE 1018 Si Killed)</t>
  </si>
  <si>
    <t>Structurals</t>
  </si>
  <si>
    <t>(AUS Soft)</t>
  </si>
  <si>
    <t>kestral SOFT</t>
  </si>
  <si>
    <t>5.5 mm Plain Coil (HC52B)</t>
  </si>
  <si>
    <t>IPE-750 (IS 2062 E350 BR) /14.4</t>
  </si>
  <si>
    <r>
      <t>10</t>
    </r>
    <r>
      <rPr>
        <sz val="14"/>
        <color theme="1"/>
        <rFont val="Calibri"/>
        <family val="2"/>
      </rPr>
      <t>⁶</t>
    </r>
    <r>
      <rPr>
        <sz val="14"/>
        <color theme="1"/>
        <rFont val="Times New Roman"/>
        <family val="1"/>
      </rPr>
      <t xml:space="preserve"> k.cal/tls</t>
    </r>
  </si>
  <si>
    <r>
      <t>10</t>
    </r>
    <r>
      <rPr>
        <sz val="14"/>
        <color theme="1"/>
        <rFont val="Calibri"/>
        <family val="2"/>
      </rPr>
      <t>⁶</t>
    </r>
    <r>
      <rPr>
        <sz val="14"/>
        <color theme="1"/>
        <rFont val="Times New Roman"/>
        <family val="1"/>
      </rPr>
      <t xml:space="preserve"> k.cal/tcs</t>
    </r>
  </si>
  <si>
    <t>2018-19</t>
  </si>
  <si>
    <t>ICC (MOZ-H+Benga)</t>
  </si>
  <si>
    <t>FOR THE YEAR 2019-20</t>
  </si>
  <si>
    <t>NEW PLANT (2019-20)</t>
  </si>
  <si>
    <t>TMT Bars</t>
  </si>
  <si>
    <t>TMT Coils</t>
  </si>
  <si>
    <t>ICC Soft</t>
  </si>
  <si>
    <t>4.1-4.4</t>
  </si>
  <si>
    <t>&lt;28</t>
  </si>
  <si>
    <t>#</t>
  </si>
  <si>
    <t>POWEQ &amp; BLOWING STATION</t>
  </si>
  <si>
    <t>EXPORT WRM</t>
  </si>
  <si>
    <t>EXPORT BAR MILL</t>
  </si>
  <si>
    <t>5.5 mm Plain Coil (SAE1008 Si killed)</t>
  </si>
  <si>
    <t>5.5 mm Plain Coil HC62B</t>
  </si>
  <si>
    <t>5.5 mm Plain Coil HC72B</t>
  </si>
  <si>
    <t>5.5 mm Plain Coil HC82B</t>
  </si>
  <si>
    <t>10 mm Plain Coil (SAE1018 SiK)</t>
  </si>
  <si>
    <t>10 mm Plain Coil (SAE1018 AlK)</t>
  </si>
  <si>
    <t>12 mm Plain Coil (SAE1018 SiK)</t>
  </si>
  <si>
    <t>12 mm Plain Coil (SAE1018 AlK)</t>
  </si>
  <si>
    <t>16 mm TMT (Fe-500D EQR)</t>
  </si>
  <si>
    <t>16 mm TMT (Fe-500D SEQR)</t>
  </si>
  <si>
    <t>36 mm TMT (EQR/Fe-500D)</t>
  </si>
  <si>
    <t>36 mm TMT (B500B)</t>
  </si>
  <si>
    <t xml:space="preserve">36 mm TMT HCR Fe 500 </t>
  </si>
  <si>
    <t>Angle 150 / 150 / 12 (IS 2062 E350 BR)</t>
  </si>
  <si>
    <t xml:space="preserve">RMHS </t>
  </si>
  <si>
    <t xml:space="preserve"> MOG</t>
  </si>
  <si>
    <t>10 mm Plain Coil (IS7887GR7M/SAE1018) Home sales</t>
  </si>
  <si>
    <t>10 mm Plain Coil (SAE 1018) Export</t>
  </si>
  <si>
    <t>12 mm Plain Coil (IS7887GR7M/SAE1018) Home sales</t>
  </si>
  <si>
    <t>12 mm Plain Coil (SAE 1018) Export</t>
  </si>
  <si>
    <t>16 mm Plain Coil (IS7887GR7M/SAE1018) Home sales</t>
  </si>
  <si>
    <t>5.5 mm Plain Coil HC52B</t>
  </si>
  <si>
    <t>5.5 mm Plain Coil SAE 1008 Export</t>
  </si>
  <si>
    <t>5.5 mm Plain Coil IS 7887GR3(SWR10)/SAE 1008 Home sales</t>
  </si>
  <si>
    <t>6 mm Plain Coil IS 7887GR3(SWR10)/SAE 1008 Home sales</t>
  </si>
  <si>
    <t>7 mm Plain Coil IS 7887GR3(SWR10)/SAE 1008 Home sales</t>
  </si>
  <si>
    <t>8 mm Plain Coil (IS7887GR7M/SAE1018) Home sales</t>
  </si>
  <si>
    <t>8 mm Plain Coil (SAE 1008) Export</t>
  </si>
  <si>
    <t>36 mm TMT (BS4449 B500B CRS)</t>
  </si>
  <si>
    <t>IS 2830 C20 MMNA</t>
  </si>
  <si>
    <t>IS2830C15MMNA</t>
  </si>
  <si>
    <t>IS2830C25HMNA</t>
  </si>
  <si>
    <t>IS 2830 C20 MMNA(Customised TLT)</t>
  </si>
  <si>
    <t>5.5 WRC SAE 1008</t>
  </si>
  <si>
    <t>32 mm TMT (BS4449 B500B CRS)</t>
  </si>
  <si>
    <t>Coke Dust fines</t>
  </si>
  <si>
    <t xml:space="preserve"> LOSS </t>
  </si>
  <si>
    <t>EA150X12_E350</t>
  </si>
  <si>
    <t>IPE300_E250</t>
  </si>
  <si>
    <t>IPE300_E350</t>
  </si>
  <si>
    <t>IPE300O_E250</t>
  </si>
  <si>
    <t>IPE400_E250</t>
  </si>
  <si>
    <t>IPE400_E350</t>
  </si>
  <si>
    <t>IPE600 O_E250</t>
  </si>
  <si>
    <t>IPE600_E250</t>
  </si>
  <si>
    <t>IPE600_E350</t>
  </si>
  <si>
    <t>ISP SALES:</t>
  </si>
  <si>
    <t>BTP PRODUCT</t>
  </si>
  <si>
    <t>1. Total Benzol Product (Excl Wz Naphtha)</t>
  </si>
  <si>
    <t>2. Wz. Naptha</t>
  </si>
  <si>
    <t>COKE BREEZE</t>
  </si>
  <si>
    <t>Coke Breeze non IPT</t>
  </si>
  <si>
    <t>Pig Iron</t>
  </si>
  <si>
    <t>BLOOM CASTER BLOOM 200x280</t>
  </si>
  <si>
    <t>END CUT PIECES AND MILL ARISINGS OF WRM AND BM</t>
  </si>
  <si>
    <t>Internal consumption</t>
  </si>
  <si>
    <t>REJECTED TMT BARS SCRAP</t>
  </si>
  <si>
    <t>22 mm RB</t>
  </si>
  <si>
    <t>ASSORTED BILLETS</t>
  </si>
  <si>
    <t>CMO HOME SALES</t>
  </si>
  <si>
    <t>8 mm TMT Coil (Fe500 D SeQR)</t>
  </si>
  <si>
    <t>8 mm Plain Coil (SAE 1010 Al Killed)</t>
  </si>
  <si>
    <t>8 mm Plain Coil (SAE 1008 Al-Si killed)</t>
  </si>
  <si>
    <t>10 mm TMT Coil (Fe-500D)</t>
  </si>
  <si>
    <t>8 mm TMT Coil (Fe-500D)</t>
  </si>
  <si>
    <t>10 mm TMT Coil (Fe500 D SeQR)</t>
  </si>
  <si>
    <t>6 mm Plain Coil (SAE 1008 Al Si Killed)</t>
  </si>
  <si>
    <t>20 mm TMT (Fe 500 D EQR)</t>
  </si>
  <si>
    <t>20 mm TMT (Fe-500D SEQR)</t>
  </si>
  <si>
    <t>12 mm TMT (SEQR 500D)</t>
  </si>
  <si>
    <t>22 mm TMT Fe415</t>
  </si>
  <si>
    <t>10 mm TMT Coil (Fe-500D SEQR)</t>
  </si>
  <si>
    <t>8 mm TMT Coil (Fe-500D SEQR)</t>
  </si>
  <si>
    <t>8 mm Plain Coil (SAE 1018) Export</t>
  </si>
  <si>
    <t>12 mm TMT (Fe500D)</t>
  </si>
  <si>
    <t>16 mm TMT (Fe-500D)</t>
  </si>
  <si>
    <t>16 mm TMT (Fe-500 D SEQR)</t>
  </si>
  <si>
    <t>20 mm TMT (Fe-500 D SEQR)</t>
  </si>
  <si>
    <t>36 mm TMT (HCR Fe500D)</t>
  </si>
  <si>
    <t>IPE-450 O (IS 2062 E250 O) NPB</t>
  </si>
  <si>
    <t>IPE-450 O (IS 2062 E350 O) NPB</t>
  </si>
  <si>
    <t>IPE500_E350</t>
  </si>
  <si>
    <t>IPE450_E350</t>
  </si>
  <si>
    <t>IPE450 A_E350</t>
  </si>
  <si>
    <t>IPE400 A_E350</t>
  </si>
  <si>
    <t>QTR-1</t>
  </si>
  <si>
    <t>10 mm TMT (Fe-500D SEQR)</t>
  </si>
  <si>
    <t>32 mm TMT ( HCR)</t>
  </si>
  <si>
    <t>IPE-500A (IS 2062 E350 BR) NPB</t>
  </si>
  <si>
    <t>Angle 200 / 200 / 18 (IS 2062 E350 BR)</t>
  </si>
  <si>
    <r>
      <t>Old Plant('000 NM</t>
    </r>
    <r>
      <rPr>
        <sz val="20"/>
        <color indexed="8"/>
        <rFont val="Calibri"/>
        <family val="2"/>
      </rPr>
      <t>³</t>
    </r>
    <r>
      <rPr>
        <sz val="20"/>
        <color indexed="8"/>
        <rFont val="Times New Roman"/>
        <family val="1"/>
      </rPr>
      <t>/ Hr)</t>
    </r>
  </si>
  <si>
    <t>NARROW PARALLEL BEAM SCRAP</t>
  </si>
  <si>
    <t>Defective/ Off Grade (10 mm)</t>
  </si>
  <si>
    <t>6 mm Plain Coil (SAE 1008) Export</t>
  </si>
  <si>
    <t>8 mm Plain Coil (IS7887GR3/SAE1008) Home Sales</t>
  </si>
  <si>
    <t>10 mm TMT (Fe-500 D SEQR)</t>
  </si>
  <si>
    <t>12 mm TMT (Fe-500 D SEQR)</t>
  </si>
  <si>
    <t>SAILTOWER-GR6-V (A)</t>
  </si>
  <si>
    <t>IPE500_E250</t>
  </si>
  <si>
    <t>IPE500 A_E350</t>
  </si>
  <si>
    <t>EA200X20_E350</t>
  </si>
  <si>
    <t>EA200X18_E350</t>
  </si>
  <si>
    <t>IPE450_E250</t>
  </si>
  <si>
    <t>Avg Power Import from DVC (33 KV)</t>
  </si>
  <si>
    <t>CASTER 1</t>
  </si>
  <si>
    <t>CASTER 2</t>
  </si>
  <si>
    <t>CASTER 3</t>
  </si>
  <si>
    <t>JUN'19</t>
  </si>
  <si>
    <t>Q1</t>
  </si>
  <si>
    <t>IS: 1786/2008, Fe500D</t>
  </si>
  <si>
    <t>IS: 1786/2008, Fe600</t>
  </si>
  <si>
    <t>IS: 2830/2012, C20MMn A</t>
  </si>
  <si>
    <t>IS: 2830/2012, C20MMn C</t>
  </si>
  <si>
    <t>IS: 2830/2012, C15MMn A</t>
  </si>
  <si>
    <t>IS: 2830/2012, C15MMn C</t>
  </si>
  <si>
    <t>IS: 2830/2012, C25HMn</t>
  </si>
  <si>
    <t>SAE 1010- Alk</t>
  </si>
  <si>
    <t>SAE 1015-Sik</t>
  </si>
  <si>
    <t>SAE1008-EXPT(Al-SiK)</t>
  </si>
  <si>
    <t>SAE1008-EXPT(SiK)</t>
  </si>
  <si>
    <t>SAE1018-SiK</t>
  </si>
  <si>
    <t>BS 4449/2016 GRADE B500B (Cu &amp; Cr)</t>
  </si>
  <si>
    <t>SAIL TOWER GRADE-VI (SiK)</t>
  </si>
  <si>
    <t>SAIL TOWER GRADE-VI (AlK)</t>
  </si>
  <si>
    <t>IS: 7887/1992, 4//SWR-14</t>
  </si>
  <si>
    <t>IS: 2062/2011, E350C</t>
  </si>
  <si>
    <t>IS:2062/2011,E350B(V)</t>
  </si>
  <si>
    <t>IS: 2062/2011, E250B</t>
  </si>
  <si>
    <t>IS: 2062/2011, E350C (V)</t>
  </si>
  <si>
    <t>IS: 2062/2011, E250C</t>
  </si>
  <si>
    <t>Remelting</t>
  </si>
  <si>
    <t>200X280 BLOOM</t>
  </si>
  <si>
    <t>BB2</t>
  </si>
  <si>
    <t>BB3</t>
  </si>
  <si>
    <t>SALEABLE SEMIS GRADES</t>
  </si>
  <si>
    <t>150X150 BILLETS</t>
  </si>
  <si>
    <t>COB #10 (Tonnes on wet basis)</t>
  </si>
  <si>
    <t>TOTAL COB #10+11 (Tonnes on wet basis)</t>
  </si>
  <si>
    <t>COKE OVENS (COB# 10)</t>
  </si>
  <si>
    <t>OVERALL COAL BLEND - (COB #10+11) (% on wet basis)</t>
  </si>
  <si>
    <t>200X280 BLOOMS</t>
  </si>
  <si>
    <t xml:space="preserve">IS: 2062/2011, E350C </t>
  </si>
  <si>
    <t>TOTAL 150X150</t>
  </si>
  <si>
    <t>TOTAL 200X280</t>
  </si>
  <si>
    <t>ICC (AH+CANADA+LVHR+MIXED COAL) - %</t>
  </si>
  <si>
    <t>ICC (MOZ/BENGA) - %</t>
  </si>
  <si>
    <t>Mar'20</t>
  </si>
  <si>
    <t xml:space="preserve">2019-20 </t>
  </si>
  <si>
    <t>4 M</t>
  </si>
  <si>
    <t>22 mm Plain Coil</t>
  </si>
  <si>
    <t>20 mm Plain Coil</t>
  </si>
  <si>
    <t>6 mm Plain Coil (SAE 1006) Export</t>
  </si>
  <si>
    <t>22 mm Plain Coil (IS7887GR7M/SAE1018) Home sales</t>
  </si>
  <si>
    <t>20 mm Plain Coil (IS7887GR7M/SAE1018) Home sales</t>
  </si>
  <si>
    <t>12 mm TMT (Fe550D)</t>
  </si>
  <si>
    <t>20 mm TMT (Fe550D)</t>
  </si>
  <si>
    <t>HIGH QUALITY CALCINED QUICK LIME,60MM</t>
  </si>
  <si>
    <t>OLD, USED &amp; REJECTED REFRACTORY BRICKS</t>
  </si>
  <si>
    <t>PIPE MSBLACK FORLANCINGSIZE:15MM.</t>
  </si>
  <si>
    <t>REJECTED TMT COIL SCRAP</t>
  </si>
  <si>
    <t>6 WRC SAE 1006</t>
  </si>
  <si>
    <t>5.5 mm Plain Coil (SAE1006 Al-Si killed)</t>
  </si>
  <si>
    <t>5.5 mm Plain Coil (SAE1008 Al-Si killed)</t>
  </si>
  <si>
    <t>6 mm Plain Coil (SAE 1006 Al Si Killed)</t>
  </si>
  <si>
    <t>22 mm Plain Coil (SAE1018 AlK)</t>
  </si>
  <si>
    <t>20 mm Plain Coil (SAE1018 AlK)</t>
  </si>
  <si>
    <t>12 mm TMT (Fe 550D)</t>
  </si>
  <si>
    <t>IPE-500 O (IS 2062 E350 BR) NPB</t>
  </si>
  <si>
    <t>IPE-600 (IS 2062 E410 BR) NPB</t>
  </si>
  <si>
    <t>IPE-600O (IS 2062 E350 BR) NPB</t>
  </si>
  <si>
    <t>UPN 300 E250</t>
  </si>
  <si>
    <t>IPE300O_E350</t>
  </si>
  <si>
    <t>IPE500 O_E350</t>
  </si>
  <si>
    <t>IPE600_E410</t>
  </si>
  <si>
    <t>IPE600O_E350</t>
  </si>
  <si>
    <t>Defective/ Off Grade (20 mm)</t>
  </si>
  <si>
    <t>Defective+S/L &lt; 6.0 mts (UPN 300)</t>
  </si>
  <si>
    <t>JUL'19</t>
  </si>
  <si>
    <t>IS:2830/2012,C20MMnC(Al-SiK)</t>
  </si>
  <si>
    <t>SAE1006 Al-SiK</t>
  </si>
  <si>
    <t>SAE1018-AlK</t>
  </si>
  <si>
    <t>ISPEXPT03</t>
  </si>
  <si>
    <t>IS: 2062/2011, E410C</t>
  </si>
  <si>
    <t>Total 200x280 Bloom</t>
  </si>
  <si>
    <t>Total BB2</t>
  </si>
  <si>
    <t>Total BB3</t>
  </si>
  <si>
    <t>ROAD CO-EFFICIENT (%)</t>
  </si>
  <si>
    <t>AUG'19</t>
  </si>
  <si>
    <t>CALCINED PETROLEUM COKE,IS:8502,1977</t>
  </si>
  <si>
    <t>FERRO NIOBIUM,IS:3014-1965</t>
  </si>
  <si>
    <t>HIGH CARBON FERRO MANGANESE,25-50MM</t>
  </si>
  <si>
    <t>OLD USED &amp; REJECTED STEEL SLAG POT</t>
  </si>
  <si>
    <t>MOULD TUBE,1001,SIEMENS VAI</t>
  </si>
  <si>
    <t>7 mm Plain Coil (SAE 1008 Al Si Killed)</t>
  </si>
  <si>
    <t>7 mm Plain Coil (SAE 1010 Al Killed)</t>
  </si>
  <si>
    <t>16 mm Plain Coil (SAE1018 AlK)</t>
  </si>
  <si>
    <t>22 mm Plain Coil (SAE1010 AlK)</t>
  </si>
  <si>
    <t>8 mm TMT Coil (Fe-550D)</t>
  </si>
  <si>
    <t>Angle 150 / 150 / 10 (IS 2062 E350 BR)</t>
  </si>
  <si>
    <t>22 mm Plain Coil (IS7887GR4/SAE1010) Home sales</t>
  </si>
  <si>
    <t>7 mm Plain Coil IS SAE 1010 Export</t>
  </si>
  <si>
    <t>7 WRC SAE 1010</t>
  </si>
  <si>
    <t>Defective/ Off Grade (7.0 mm)</t>
  </si>
  <si>
    <t>32 mm TMT (Fe-415)</t>
  </si>
  <si>
    <t>36 mm TMT (Fe-415)</t>
  </si>
  <si>
    <t>Defective/ Off Grade (36 mm)</t>
  </si>
  <si>
    <t>SAE 1010- Sik</t>
  </si>
  <si>
    <t>SAE1006 SiK</t>
  </si>
  <si>
    <t>IS: 2830/2012, C25 HMn</t>
  </si>
  <si>
    <t>EA150X10_E350</t>
  </si>
  <si>
    <t>EA200X16_E350</t>
  </si>
  <si>
    <t>IPE400 A_E250</t>
  </si>
  <si>
    <t>SEP'19</t>
  </si>
  <si>
    <t>Q2</t>
  </si>
  <si>
    <t>H1</t>
  </si>
  <si>
    <t>2 M</t>
  </si>
  <si>
    <t>5.5 mm Plain Coil SAE 1008 Export BORON</t>
  </si>
  <si>
    <t>5.5 mm Plain Coil SAE 1006 Export</t>
  </si>
  <si>
    <t>6 mm Plain Coil IS 7887 GR 7M</t>
  </si>
  <si>
    <t>6 mm Plain Coil (IS7887GR4/SWR 14/SAE1018) Home sales</t>
  </si>
  <si>
    <t>6 mm Plain Coil (SAE 1018  Si Killed)</t>
  </si>
  <si>
    <t>6 mm Plain Coil (SAE 1010 Al  Killed)</t>
  </si>
  <si>
    <t>ALUMINIUM INGOT</t>
  </si>
  <si>
    <t>ISPEXPT05</t>
  </si>
  <si>
    <t>ISPEXPT06</t>
  </si>
  <si>
    <t>ISPEXPT-1</t>
  </si>
  <si>
    <t>IPE-600 (IS 2062 E355K2)</t>
  </si>
  <si>
    <t>6 mm Plain Coil (SAE 1006 EXPT)</t>
  </si>
  <si>
    <t>6 mm Plain Coil (SAE 1008  Si Killed)</t>
  </si>
  <si>
    <t>5.5 mm Plain Coil (SAE1008 BORON)</t>
  </si>
  <si>
    <t>5.5 mm Plain Coil (SAE1006 EXPT)</t>
  </si>
  <si>
    <t>SAE 1006- Alk</t>
  </si>
  <si>
    <t>SAE1008-Boron</t>
  </si>
  <si>
    <t>IS: 2830/2012, C20MMn C (Dispatch)</t>
  </si>
  <si>
    <t>QTR-2</t>
  </si>
  <si>
    <t>7 M</t>
  </si>
  <si>
    <t>OCT'19</t>
  </si>
  <si>
    <t>8 mm Plain Coil (SAE 1008 Si killed)</t>
  </si>
  <si>
    <t>20 mm TMT HCR</t>
  </si>
  <si>
    <t>32 mm TMT (Fe-550)</t>
  </si>
  <si>
    <t>Angle 200 / 200 / 25 (IS 2062 E350 BR)</t>
  </si>
  <si>
    <t>IPE-300 O (IS 2062 E350 BR) NPB</t>
  </si>
  <si>
    <t>BELT,CONVY,HRT3,8/3MM,1200X630/3,1200MM</t>
  </si>
  <si>
    <t>FERRO SILICON,25-50MM</t>
  </si>
  <si>
    <t>SILICO MANGANESE,25-50MM</t>
  </si>
  <si>
    <t>16 mm Plain Coil (SAE 1018) Export</t>
  </si>
  <si>
    <t>10 mm TMT (Fe550D)</t>
  </si>
  <si>
    <t>ISPEXPT07</t>
  </si>
  <si>
    <t>IPE450 O_E350</t>
  </si>
  <si>
    <t>EA200X25_E350</t>
  </si>
  <si>
    <t>IS: 1786/2008, Fe500HCR</t>
  </si>
  <si>
    <t>ISPEXPT01 (RC1)</t>
  </si>
  <si>
    <t>NOV'19</t>
  </si>
  <si>
    <t>MKTG DIR (ASSORTED-DEF)+ Non rollable BB Scrap</t>
  </si>
  <si>
    <t>8 mm TMT Coil (HCR)</t>
  </si>
  <si>
    <t>16 mm TMT HCR</t>
  </si>
  <si>
    <t>CMO-SEMIS</t>
  </si>
  <si>
    <t>MARKETING (TOTAL ASSORTED BILLETS/BLOOMS/BEAM BLANKS)</t>
  </si>
  <si>
    <t>12 mm Plain Coil (SAE1010)</t>
  </si>
  <si>
    <t>16 mm TMT (Fe600 HCR)</t>
  </si>
  <si>
    <t>7 mm Plain Coil (SAE 1010 SiK)</t>
  </si>
  <si>
    <t>7 mm Plain Coil (SAE 1008 SiK/SWR 10)</t>
  </si>
  <si>
    <t>7 mm Plain Coil (PC115)</t>
  </si>
  <si>
    <t>8 mm Plain Coil (SAE 1008 EXPT)</t>
  </si>
  <si>
    <t>8 mm Plain Coil (SAE 1010)</t>
  </si>
  <si>
    <t>CMO EXPORT</t>
  </si>
  <si>
    <t>5.5 mm Plain Coil SAE 1006 Export BORON</t>
  </si>
  <si>
    <t>DEC'19</t>
  </si>
  <si>
    <t>Q3</t>
  </si>
  <si>
    <t>HC62B</t>
  </si>
  <si>
    <t>HC72B</t>
  </si>
  <si>
    <t>SAE1006(B)-AlsiK</t>
  </si>
  <si>
    <t>SAE1006(B)-Sik</t>
  </si>
  <si>
    <t>QTR-3</t>
  </si>
  <si>
    <t>QTR-4</t>
  </si>
  <si>
    <t xml:space="preserve">POWER : </t>
  </si>
  <si>
    <t>12 mm Plain Coil (SAE1010/GR4//SWR14)</t>
  </si>
  <si>
    <t>6 mm Plain Coil (SAE 1006/GR 2)</t>
  </si>
  <si>
    <t>7 mm Plain Coil HC78 B</t>
  </si>
  <si>
    <t>8 mm Plain Coil (SAE 1008 Boron) Export</t>
  </si>
  <si>
    <t>JAN'20</t>
  </si>
  <si>
    <t>Imported Coal in Blend -COB# 10 (%)</t>
  </si>
  <si>
    <t>Blending bunker Blend Coal Quality (COB#10)</t>
  </si>
  <si>
    <t>Coke Ovens - COB #10 (Tonnes on wet basis)</t>
  </si>
  <si>
    <t>STB-Stm</t>
  </si>
  <si>
    <t>NOTCHING TOOL HOLDER,ATOMAT,739759.06</t>
  </si>
  <si>
    <t>PCD NOTCHING TOOL,ATOMAT,739756.06</t>
  </si>
  <si>
    <t>GRINDING WHEELS</t>
  </si>
  <si>
    <t>ROLLER,4.069297.B/001</t>
  </si>
  <si>
    <t>SHEAR BLADES,KNIVES</t>
  </si>
  <si>
    <t>ASSORTED NON-ROLLABLE BEAM BLANK SCRAP</t>
  </si>
  <si>
    <t>Amm.Sulphate</t>
  </si>
  <si>
    <t>IDLE ASSET</t>
  </si>
  <si>
    <t>OLD, U/R WASTE OIL FILLED IN DRUMS</t>
  </si>
  <si>
    <t>OLD,USED &amp; REJ BATTERIES -STORE/PLANT</t>
  </si>
  <si>
    <t>OLD,USED &amp; REJECTED EMPTY OIL DRUMS</t>
  </si>
  <si>
    <t>USED &amp; REJECTED WOODEN PALLETS/  SLEEPER</t>
  </si>
  <si>
    <t>WET BOILER ASH</t>
  </si>
  <si>
    <t>DIVERTED SINTER FINES</t>
  </si>
  <si>
    <t>EMPTY BAGS</t>
  </si>
  <si>
    <t>END CUT PIECES &amp; ARISINGS OF WRM &amp; BM</t>
  </si>
  <si>
    <t>EN8D-Alk</t>
  </si>
  <si>
    <t>5.5 mm Plain Coil HC62A</t>
  </si>
  <si>
    <t>8 mm Plain Coil (HC78B/PC115)</t>
  </si>
  <si>
    <t>8 mm Plain Coil (EN8D)</t>
  </si>
  <si>
    <t>8 mm Plain Coil (SAE10B21)</t>
  </si>
  <si>
    <t>16 mm Plain Coil (SAE15B25 Al Ki/CHQ)</t>
  </si>
  <si>
    <t xml:space="preserve">MECHANICAL ENGG SHOPS </t>
  </si>
  <si>
    <t>11 M</t>
  </si>
  <si>
    <t>FEB'20</t>
  </si>
  <si>
    <t>EN8D-Sik</t>
  </si>
  <si>
    <t>HC62A</t>
  </si>
  <si>
    <t>HC82B</t>
  </si>
  <si>
    <t>SAE10B21- Alk</t>
  </si>
  <si>
    <t>SAE15B25-Alk</t>
  </si>
  <si>
    <t>OLD, USED &amp; REJECTED RAILS</t>
  </si>
  <si>
    <t>BURNT DOLOMITE DUST</t>
  </si>
  <si>
    <t>DISCHARGE ROLLER ASSY,MOD-0868</t>
  </si>
  <si>
    <t>QUARTZITE,10-40MM</t>
  </si>
  <si>
    <t>LOW SILICA LIME STONE</t>
  </si>
  <si>
    <t>USED &amp; REJECTED CONVEYOR BELT (NYLON)</t>
  </si>
  <si>
    <t>USED STATIONERY BOTTOM PLATE</t>
  </si>
  <si>
    <t>USED STATIONERY TOP PLATE</t>
  </si>
  <si>
    <t>SALEABLE STEEL GRAND TOTAL PRIME  (HOME SALES)</t>
  </si>
  <si>
    <t>8 mm Plain Coil EN8D</t>
  </si>
  <si>
    <t>8 mm Plain Coil HC78B</t>
  </si>
  <si>
    <t>8 WRC 10 B 21</t>
  </si>
  <si>
    <t>8 mm Plain Coil (IS7887GR4/SAE1010/SWR14)</t>
  </si>
  <si>
    <t>IPE-300 (IS 2062 E350 BR) NPB-300/150/7.1/42.24</t>
  </si>
  <si>
    <t>IPE-300 O (IS 2062 E350 BR) NPB-300/150/8/49.32</t>
  </si>
  <si>
    <t>IPE-300 O (IS 2062 E250 BR) NPB-300/150/8/49.32</t>
  </si>
  <si>
    <t>IPE-300 (IS 2062 E250 BR) NPB-300/150/7.1/42.24</t>
  </si>
  <si>
    <t>IPE-300 A (IS 2062 E250 BR) NPB-300/150/6.1/36.52</t>
  </si>
  <si>
    <t>IPE-300 A (IS 2062 E350 BR) NPB-300/150/6.1/36.52</t>
  </si>
  <si>
    <t>IPE-400 A (IS 2062 E350 BR) NPB-400/180/7/57.38</t>
  </si>
  <si>
    <t>IPE-400 (IS 2062 E350 BR) NPB-400/180/8.6/66.3</t>
  </si>
  <si>
    <t>IPE-400 (IS 2062 E250 BR) NPB-400/180/8.6/66.3</t>
  </si>
  <si>
    <t>IPE-400 A (IS 2062 E250 BR) NPB-400/180/7/57.38</t>
  </si>
  <si>
    <t>IPE-450 (IS 2062 E350 BR) NPB-450/190/ 9.4/77.57</t>
  </si>
  <si>
    <t>IPE-450 (IS 2062 E250 BR) NPB-450/190/ 9.4/77.57</t>
  </si>
  <si>
    <t>IPE-450 A (IS 2062 E250 BR) NPB-450/190 7.6/67.15</t>
  </si>
  <si>
    <t>IPE-450 A (IS 2062 E350 BR) NPB-450/190 7.6/67.15</t>
  </si>
  <si>
    <t>IPE-450 (IS 2062 E350 BR) NPB-450/190/11/92.4</t>
  </si>
  <si>
    <t>IPE-500 (IS 2062 E350 BR) NPB-500/200/10.2/90.68</t>
  </si>
  <si>
    <t>IPE-500 (IS 2062 E250 BR) NPB-500/200/10.2/90.68</t>
  </si>
  <si>
    <t>IPE-500 O (IS 2062 E350 BR) NPB-500/200/12/107.31</t>
  </si>
  <si>
    <t>IPE-500 A 8.4mtr (IS 2062 E350 BR) /79.36</t>
  </si>
  <si>
    <t>IPE-600 (IS 2062 E350 BR) NPB-600/220/12/122.45</t>
  </si>
  <si>
    <t>IPE-600 (IS 2062 E250 BR) NPB-600/220/12/122.45</t>
  </si>
  <si>
    <t>IPE-600 (IS 2062 E410 BR) NPB-600/220/12/122.45</t>
  </si>
  <si>
    <t>IPE-600 O (IS 2062 E250 BR) NPB-600/220/15/154</t>
  </si>
  <si>
    <t>IPE-600 O (IS 2062 E350 BR) NPB-600/220/15/154</t>
  </si>
  <si>
    <t>IPE-750 (IS 2062 E250 BR) /14.4/173</t>
  </si>
  <si>
    <t>2019-20</t>
  </si>
  <si>
    <t>EXPORT US MILL</t>
  </si>
  <si>
    <t>NPB 400 - 8.6</t>
  </si>
  <si>
    <t xml:space="preserve">NPB 600*220*122.45 </t>
  </si>
  <si>
    <t>MAR'20</t>
  </si>
  <si>
    <t>Q4</t>
  </si>
  <si>
    <t>H2</t>
  </si>
  <si>
    <t>12 M</t>
  </si>
  <si>
    <t>22 mm Plain Coil (EN8D Al Ki)</t>
  </si>
  <si>
    <t>22 mm Plain Coil (SAE 10B21 Al Ki)</t>
  </si>
  <si>
    <t>5.5 mm Plain Coil MIG</t>
  </si>
  <si>
    <t>AWS A5.18, ER70S-6 (MIG/CO2)</t>
  </si>
  <si>
    <t>HC52B</t>
  </si>
  <si>
    <t>LIQUID ARGON</t>
  </si>
  <si>
    <t>STEEL SCRAP</t>
  </si>
  <si>
    <t>22 mm Plain Coil EN8D</t>
  </si>
  <si>
    <t>22 mm Plain Coil IS11169 21C10BT/SAE10B21</t>
  </si>
  <si>
    <t>16 mm Plain Coil  IS11169 26C10BT/SAE15B25</t>
  </si>
  <si>
    <t>Dolo (Trimming)</t>
  </si>
  <si>
    <t>SAIL TOWER Gr VI (NB)-Alk</t>
  </si>
  <si>
    <t>SAIL TOWER Gr VI (NB)-Sik</t>
  </si>
  <si>
    <t xml:space="preserve">c)                                   H.M sent to Sand Pit </t>
  </si>
  <si>
    <t>d)                                  CI Skull mixed with  slag *</t>
  </si>
  <si>
    <t>Apr'20</t>
  </si>
  <si>
    <t>CRUDE STEEL GRADE SUMMARY AS PER RCL - 2020-21 (Unit: MT)</t>
  </si>
  <si>
    <t>APR'20</t>
  </si>
  <si>
    <t>May'20</t>
  </si>
  <si>
    <t>Jun'20</t>
  </si>
  <si>
    <t>Jul'20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</si>
  <si>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</si>
  <si>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</si>
  <si>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</si>
  <si>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</si>
  <si>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</si>
  <si>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</si>
  <si>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</si>
  <si>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</si>
  <si>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NPB/IPE</t>
  </si>
  <si>
    <t>Angles</t>
  </si>
  <si>
    <t>Semis</t>
  </si>
  <si>
    <t>FOR THE YEAR 2020-21</t>
  </si>
  <si>
    <t>NEW PLANT (2020-21)</t>
  </si>
  <si>
    <t>Spillage sinter</t>
  </si>
  <si>
    <t>HM consumed in BOF  - Mt</t>
  </si>
  <si>
    <t xml:space="preserve">CHECK </t>
  </si>
  <si>
    <t>MKTG DIR (ASSORTED-DEF)</t>
  </si>
  <si>
    <t>BY RAIL</t>
  </si>
  <si>
    <t>INTER PLANT TRANSFER:</t>
  </si>
  <si>
    <t>MOULD TUBE FOR BILLET SECTION</t>
  </si>
  <si>
    <t>SHAFT,271B-M8301,CARDAN</t>
  </si>
  <si>
    <t>ISP DIRECT SALES</t>
  </si>
  <si>
    <t>BY ROAD</t>
  </si>
  <si>
    <t>BY PRODUCT</t>
  </si>
  <si>
    <t>CRUDE COAL TAR</t>
  </si>
  <si>
    <t>Others</t>
  </si>
  <si>
    <t>LIQUID OXYGEN</t>
  </si>
  <si>
    <t>BF GRANULATED SLAG</t>
  </si>
  <si>
    <t>TOTAL DIRECT SALES</t>
  </si>
  <si>
    <t>TOTAL IPT</t>
  </si>
  <si>
    <t>NEPAL</t>
  </si>
  <si>
    <t>BANGLADESH</t>
  </si>
  <si>
    <t>Manila (Philippines)</t>
  </si>
  <si>
    <t>China</t>
  </si>
  <si>
    <t>K#2</t>
  </si>
  <si>
    <t>K#3</t>
  </si>
  <si>
    <t>K#4</t>
  </si>
  <si>
    <t>55 MTR. BELT</t>
  </si>
  <si>
    <t>K#1</t>
  </si>
  <si>
    <t xml:space="preserve">Auxilliries </t>
  </si>
  <si>
    <t>6 mm TMT Coil (Def)</t>
  </si>
  <si>
    <t>Defective/ Off Grade (8 mm)</t>
  </si>
  <si>
    <t>IS 2879 EWNR (ELECTRODE QUALITY)</t>
  </si>
  <si>
    <t>BOF Slag rate Kg/ TCS</t>
  </si>
  <si>
    <t>13.5-14</t>
  </si>
  <si>
    <t>Overall Mixed Coke Moisture</t>
  </si>
  <si>
    <t>4th relining life (carried on 08.07.19-13.07.19): 3568 Heats (lasted from 14.07.19-27.02.20);
5th carried on 28.02.20-05.03.20 which has resulted in 999 Heats till 30.04.20</t>
  </si>
  <si>
    <t>7th carried on from 29.03.19-06.04.19 (from 07.04.19-25.04.19 shutdown due to BF problem) which has resulted in 3619 Heats till 13.03.20. 
8th relining carried on from 14.03.20-22.03.20</t>
  </si>
  <si>
    <t>5th relining life (carried on 28.07.18-13.08.18): 3556 Heats ( Lasted from 14.08.18-14.06.19);
6th carried on 15.06.19-22.06.19 which has resulted in 4926 Heats till 30.04.20</t>
  </si>
  <si>
    <t>Other Consumption</t>
  </si>
  <si>
    <t>FeV</t>
  </si>
  <si>
    <t>FeNb</t>
  </si>
  <si>
    <t>Oman Lime</t>
  </si>
  <si>
    <t>NFC</t>
  </si>
  <si>
    <t>&lt;10</t>
  </si>
  <si>
    <t>&lt;4</t>
  </si>
  <si>
    <t>&lt;2</t>
  </si>
  <si>
    <t>Net PCI Production</t>
  </si>
  <si>
    <t>Total casts</t>
  </si>
  <si>
    <t>No</t>
  </si>
  <si>
    <t>Hot metal consumed in BOF</t>
  </si>
  <si>
    <t>ROW NUM</t>
  </si>
  <si>
    <t>SHEET</t>
  </si>
  <si>
    <t>TO UPDATE THIS</t>
  </si>
  <si>
    <t>TOTAL EQUIVALENT PIG IRON</t>
  </si>
  <si>
    <t>NPB  300*150*49.32 NEPAL</t>
  </si>
  <si>
    <t>NPB 450*190*77.57  E350 BR NEPAL</t>
  </si>
  <si>
    <t>NPB 500*200*90.68 E350 NEPAL</t>
  </si>
  <si>
    <t>ISPEXPT-8</t>
  </si>
  <si>
    <t>Nepal</t>
  </si>
  <si>
    <t>CB HCRM C</t>
  </si>
  <si>
    <t>SAILTOWER-GR6-NB</t>
  </si>
  <si>
    <t>SAILTOWER-GR6-V</t>
  </si>
  <si>
    <t>SAILTOWER-GR6-NB (A)</t>
  </si>
  <si>
    <t>IR THERMOMETER,HANDHELD GUN,36-42.9DEG.C</t>
  </si>
  <si>
    <t>BENZENE</t>
  </si>
  <si>
    <t>COKE</t>
  </si>
  <si>
    <t>COKE DUST FINES</t>
  </si>
  <si>
    <t>MECHANICAL ITEMS (MS) OF OLD SMS</t>
  </si>
  <si>
    <t>REFRACTORY ITEMS OF OLD SMS</t>
  </si>
  <si>
    <t>STRUCTURAL ITEMS (MS) OF OLD SMS</t>
  </si>
  <si>
    <t>IRON SCRAP</t>
  </si>
  <si>
    <t>PROCESSED CI SCRAP</t>
  </si>
  <si>
    <t>RAW MTLS</t>
  </si>
  <si>
    <t>REFRACTORY</t>
  </si>
  <si>
    <t>FSNL ('000 NM³/ Hr)</t>
  </si>
  <si>
    <t>FSNL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</si>
  <si>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</si>
  <si>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</si>
  <si>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</si>
  <si>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</si>
  <si>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</si>
  <si>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</si>
  <si>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</si>
  <si>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</si>
  <si>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</si>
  <si>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</si>
  <si>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</si>
  <si>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</si>
  <si>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</si>
  <si>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</si>
  <si>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</si>
  <si>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</si>
  <si>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</si>
  <si>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</si>
  <si>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</si>
  <si>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</si>
  <si>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</si>
  <si>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</si>
  <si>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</si>
  <si>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MAY'20</t>
  </si>
  <si>
    <t>IS7904/2018, HC80B (PC115)</t>
  </si>
  <si>
    <t>ISPEXPT08</t>
  </si>
  <si>
    <t>SAIL TOWER Gr VI (V)-Alk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</si>
  <si>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</si>
  <si>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</si>
  <si>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</si>
  <si>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</si>
  <si>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</si>
  <si>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</si>
  <si>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</si>
  <si>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</si>
  <si>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</si>
  <si>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</si>
  <si>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</si>
  <si>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</si>
  <si>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</si>
  <si>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</si>
  <si>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</si>
  <si>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</si>
  <si>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</si>
  <si>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</si>
  <si>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</si>
  <si>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</si>
  <si>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</si>
  <si>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</si>
  <si>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</si>
  <si>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</si>
  <si>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</si>
  <si>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</si>
  <si>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</si>
  <si>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</si>
  <si>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</si>
  <si>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</si>
  <si>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</si>
  <si>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</si>
  <si>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</si>
  <si>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</si>
  <si>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</si>
  <si>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</si>
  <si>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</si>
  <si>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</si>
  <si>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</si>
  <si>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</si>
  <si>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</si>
  <si>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4th relining life (carried on 08.07.19-13.07.19): 3568 Heats (lasted from 14.07.19-27.02.20);
5th carried on 28.02.20-05.03.20 which has resulted in 1489 Heats till 31.05.20</t>
  </si>
  <si>
    <t>7th carried on from 29.03.19-06.04.19 (from 07.04.19-25.04.19 shutdown due to BF problem) which has resulted in 3619 Heats till 13.03.20. 
8th relining carried on from 14.03.20-22.03.20. Started from 28.05.20 and resulted in 74 Heats till 31.05.20</t>
  </si>
  <si>
    <t>5th relining life (carried on 28.07.18-13.08.18): 3556 Heats ( Lasted from 14.08.18-14.06.19);
6th carried on 15.06.19-22.06.19 which has resulted in 5260 Heats till 27.05.20</t>
  </si>
  <si>
    <t>Iron Ore Fines</t>
  </si>
  <si>
    <t>Dolomite</t>
  </si>
  <si>
    <t>Limestone</t>
  </si>
  <si>
    <t xml:space="preserve">Coke </t>
  </si>
  <si>
    <t>LD Slag(-10mm)</t>
  </si>
  <si>
    <t>Flue Dust</t>
  </si>
  <si>
    <t>Total Base Mix</t>
  </si>
  <si>
    <t>Consumption As per</t>
  </si>
  <si>
    <t xml:space="preserve"> Reclaiming</t>
  </si>
  <si>
    <t>SP Trimming</t>
  </si>
  <si>
    <t>Trimming Dolomite SP</t>
  </si>
  <si>
    <t>Trimming Limestone SP</t>
  </si>
  <si>
    <t>Trimming Coke SP</t>
  </si>
  <si>
    <t>BF Return Received</t>
  </si>
  <si>
    <t>BF Return Coke</t>
  </si>
  <si>
    <t>BF Return Iron</t>
  </si>
  <si>
    <t>Dispatch</t>
  </si>
  <si>
    <t>Iron Ore Lump to BF</t>
  </si>
  <si>
    <t>Quartzite to BF</t>
  </si>
  <si>
    <t>LD Slag (+10mm) to BF</t>
  </si>
  <si>
    <t>Limestone LDCP</t>
  </si>
  <si>
    <t>Dolomite LDCP</t>
  </si>
  <si>
    <t>Iron Ore Lump to BOF</t>
  </si>
  <si>
    <t>Dolomite to BOF</t>
  </si>
  <si>
    <t>Calcined Lime Dust</t>
  </si>
  <si>
    <t xml:space="preserve">Calcined Lime Dust </t>
  </si>
  <si>
    <t>Clcined lime dust</t>
  </si>
  <si>
    <t xml:space="preserve">Calcined Lime(sinter input) +Calcined lime dust(basemix input) </t>
  </si>
  <si>
    <t>Limestone fines(basemix input)+limestone trimming (Sinter input)</t>
  </si>
  <si>
    <t>Dolomite fines(basemix input)+Dolo trimming (Sinter input)</t>
  </si>
  <si>
    <t>Coke Breeze (basemix input)+Coke Breeze trimming (Sinter input)</t>
  </si>
  <si>
    <t>MAJOR DESPATCH SUMMARY 2020-21 (As per Finance CENVAT report)</t>
  </si>
  <si>
    <t>MAJOR TECHNO PARAMETERS 2020-21</t>
  </si>
  <si>
    <t>BLAST FURNACE NET RAW MATERIALS CONSUMPTION (DRY)</t>
  </si>
  <si>
    <t xml:space="preserve">SMS Raw Materials Net Consumption Rate </t>
  </si>
  <si>
    <t>BASE MIX INPUT FOR SINTER PLANT</t>
  </si>
  <si>
    <t>SINTER PLANT INPUT</t>
  </si>
  <si>
    <t>PBS 1</t>
  </si>
  <si>
    <t>LIMESTONE</t>
  </si>
  <si>
    <t>DOLOMITE</t>
  </si>
  <si>
    <t>Coal</t>
  </si>
  <si>
    <t>Opening Stock as on 01.05.20</t>
  </si>
  <si>
    <t>Received</t>
  </si>
  <si>
    <t>Consumption</t>
  </si>
  <si>
    <t>Closing stock</t>
  </si>
  <si>
    <t>Limestone to LDCP</t>
  </si>
  <si>
    <t>SAP</t>
  </si>
  <si>
    <t>According to RMHP</t>
  </si>
  <si>
    <t>Acc to LDCP</t>
  </si>
  <si>
    <t>Calcined lime Fines Generation</t>
  </si>
  <si>
    <t>Raw limestone fines(-25MM)</t>
  </si>
  <si>
    <t>Net limestone consumption</t>
  </si>
  <si>
    <t>Calcined lime Production</t>
  </si>
  <si>
    <t>150x150 April'20</t>
  </si>
  <si>
    <t xml:space="preserve">TOTAL Crude Steel production </t>
  </si>
  <si>
    <t>Saleable Semis declared</t>
  </si>
  <si>
    <t>Heating Coke (Dry)</t>
  </si>
  <si>
    <t>ICC (MOZ)/Benga</t>
  </si>
  <si>
    <t>6 WRC SAE 1008</t>
  </si>
  <si>
    <t>8 WRC SAE 1008</t>
  </si>
  <si>
    <t>WPB 240*240*60.32</t>
  </si>
  <si>
    <t>WPB 240*240*47.39</t>
  </si>
  <si>
    <t>C-20 (TLT)- AlK</t>
  </si>
  <si>
    <t>SAIL TOWER- V</t>
  </si>
  <si>
    <t>Thailand</t>
  </si>
  <si>
    <t>Secondary Sales</t>
  </si>
  <si>
    <t>BENZOL</t>
  </si>
  <si>
    <t>LIGHT SOLVENT NAPHTHA</t>
  </si>
  <si>
    <t>TOLUENE</t>
  </si>
  <si>
    <t>BF SLAG BOULDER</t>
  </si>
  <si>
    <t>OLD, USED &amp; REJECTED EMPTY GREASE DRUMS</t>
  </si>
  <si>
    <t>OLD,USED &amp; REJECTED EMPTY PVC DRUMS</t>
  </si>
  <si>
    <t>MIXED STRUCTURAL SCRAP</t>
  </si>
  <si>
    <t>OLD, USED &amp; REJECTED STEEL SCRAP</t>
  </si>
  <si>
    <t>STEEL BASED SCRAPED ROLLS</t>
  </si>
  <si>
    <t>PIG IRON MIXED OG</t>
  </si>
  <si>
    <t>BY PIPELINE</t>
  </si>
  <si>
    <t>OXYGEN GAS</t>
  </si>
  <si>
    <t>NON ROLLABLE ASSORTED BILLET SCRAP</t>
  </si>
  <si>
    <t>NON ROLLABLE ASSORTED BLOOM SCRAP</t>
  </si>
  <si>
    <t>Defective/ Off Grade (40 mm)</t>
  </si>
  <si>
    <t>QTR 1</t>
  </si>
  <si>
    <t>19MnB4-Alk</t>
  </si>
  <si>
    <t>4th relining life (carried on 08.07.19-13.07.19): 3568 Heats (lasted from 14.07.19-27.02.20);
5th carried on 28.02.20-05.03.20 which has resulted in 1959 Heats till 30.06.20</t>
  </si>
  <si>
    <t>7th carried on from 29.03.19-06.04.19 (from 07.04.19-25.04.19 shutdown due to BF problem) which has resulted in 3619 Heats till 13.03.20. 
8th relining carried on from 14.03.20-22.03.20. Started from 28.05.20 and resulted in 578 Heats till 30.06.20</t>
  </si>
  <si>
    <t>Mn Metal</t>
  </si>
  <si>
    <t>CaFe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</si>
  <si>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</si>
  <si>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</si>
  <si>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</si>
  <si>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</si>
  <si>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</si>
  <si>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</si>
  <si>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</si>
  <si>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>Jul</t>
  </si>
  <si>
    <t>JUN'20</t>
  </si>
  <si>
    <t>JUL'20</t>
  </si>
  <si>
    <t xml:space="preserve">CRUDE STEEL PRODN </t>
  </si>
  <si>
    <t>ICC (US Trial)</t>
  </si>
  <si>
    <t>US TRIAL Pond Fork</t>
  </si>
  <si>
    <t>Prime Scrap Charged - Mt</t>
  </si>
  <si>
    <t>Process Scrap Charged - Mt</t>
  </si>
  <si>
    <t xml:space="preserve"> CDCP and By product</t>
  </si>
  <si>
    <t>LDCP,CDI,MISC</t>
  </si>
  <si>
    <t>CCP,GPO</t>
  </si>
  <si>
    <t>5.5 WRC HC62B</t>
  </si>
  <si>
    <t>5.5 WRC SAE 1006</t>
  </si>
  <si>
    <t>10 WRC GR 7 M(SAE1018)</t>
  </si>
  <si>
    <t>12 WRC GR 7 M(SAE1018)</t>
  </si>
  <si>
    <t xml:space="preserve">SAILTOWER-GR6 NB(A)-SI(R) </t>
  </si>
  <si>
    <t>ISPEXPT-10</t>
  </si>
  <si>
    <t>Sri Lanka</t>
  </si>
  <si>
    <t xml:space="preserve"> CHINA</t>
  </si>
  <si>
    <t xml:space="preserve"> ISP EXP-09 12 m</t>
  </si>
  <si>
    <t xml:space="preserve"> ISP EXP-09 11 m</t>
  </si>
  <si>
    <t xml:space="preserve"> ISP EXP-03 </t>
  </si>
  <si>
    <t>STILL BOTTOM OIL</t>
  </si>
  <si>
    <t>WHIZZED NAPHTHALENE</t>
  </si>
  <si>
    <t>COMMON SALT</t>
  </si>
  <si>
    <t>DISINVESTED ROLLING STOCK</t>
  </si>
  <si>
    <t>DISMANTLED MILD STEEL SCRAP</t>
  </si>
  <si>
    <t>IRON BASED SCRAPED ROLLS</t>
  </si>
  <si>
    <t>WRM COILS (REBAR/WR) TRIMMED END SCRAP</t>
  </si>
  <si>
    <t>HC88B</t>
  </si>
  <si>
    <t>SAE 1006- (CAQ)-SiK</t>
  </si>
  <si>
    <t>ISPEXPT02</t>
  </si>
  <si>
    <t>ISPEXPT09</t>
  </si>
  <si>
    <t>Spl Steel of total Bar Mill Prod</t>
  </si>
  <si>
    <t>Spl Steel Production</t>
  </si>
  <si>
    <t>Spl Steel of total WR Mill Prod</t>
  </si>
  <si>
    <t>SMS Sinter consumption</t>
  </si>
  <si>
    <t>July'20</t>
  </si>
  <si>
    <t xml:space="preserve">HM consumed in BOF  </t>
  </si>
  <si>
    <t>Scrap Consumption rate</t>
  </si>
  <si>
    <t>4th relining life (carried on 08.07.19-13.07.19): 3568 Heats (lasted from 14.07.19-27.02.20);
5th carried on 28.02.20-05.03.20 which has resulted in 2064 Heats till 31.07.20</t>
  </si>
  <si>
    <t>7th carried on from 29.03.19-06.04.19 (from 07.04.19-25.04.19 shutdown due to BF problem) which has resulted in 3619 Heats till 13.03.20. 
8th relining carried on from 14.03.20-22.03.20. Started from 28.05.20 and resulted in 1105 Heats till 31.07.20</t>
  </si>
  <si>
    <t>6th relining life (carried on 15.06.19-22.06.19): 5260 Heats ( Lasted from 23.06.19-27.05.20);
7th carried on 28.06.20-06.07.20, started from 07.07.20 which has resulted in 446 Heats till 31.07.20</t>
  </si>
  <si>
    <t>Aug'20</t>
  </si>
  <si>
    <t>PIG IRON TOTAL RAIL AND ROAD VIA SECONDARY SALES</t>
  </si>
  <si>
    <t>CASTER 1+2</t>
  </si>
  <si>
    <t>IS: 2830/2012, C20MMn C Input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</si>
  <si>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</si>
  <si>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</si>
  <si>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</si>
  <si>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</si>
  <si>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</si>
  <si>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</si>
  <si>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</si>
  <si>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</si>
  <si>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</si>
  <si>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</si>
  <si>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</si>
  <si>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</si>
  <si>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</si>
  <si>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</si>
  <si>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</si>
  <si>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</si>
  <si>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</si>
  <si>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</si>
  <si>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</si>
  <si>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</si>
  <si>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</si>
  <si>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</si>
  <si>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</si>
  <si>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</si>
  <si>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</si>
  <si>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</si>
  <si>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</si>
  <si>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Tundish Loss</t>
  </si>
  <si>
    <t xml:space="preserve">METAL LOSS INCL LADLE SKULL </t>
  </si>
  <si>
    <t xml:space="preserve">EMERGENCY BOX LOSSES </t>
  </si>
  <si>
    <t xml:space="preserve">LAUNDER SCRAP &amp; CROP END </t>
  </si>
  <si>
    <t xml:space="preserve">SCALE LOSS </t>
  </si>
  <si>
    <t>PCI Generation</t>
  </si>
  <si>
    <t>Net PCI Generation</t>
  </si>
  <si>
    <t>PROCESSED CI SCRAP Sold</t>
  </si>
  <si>
    <t>Generation of rejected finished materials</t>
  </si>
  <si>
    <t>Cob/Chop</t>
  </si>
  <si>
    <t>Scrap Generation</t>
  </si>
  <si>
    <t>Scale loss</t>
  </si>
  <si>
    <t>Scrap Data 2020-21</t>
  </si>
  <si>
    <t>REJECTED NON-ROLLABLE BEAM BLANK SCRAP</t>
  </si>
  <si>
    <t>AUG'20</t>
  </si>
  <si>
    <t>6.5 WRC SAE 1008</t>
  </si>
  <si>
    <t>ISPEXPT-02</t>
  </si>
  <si>
    <t>7.7 mtr CHINA</t>
  </si>
  <si>
    <t>12 mtr CHINA</t>
  </si>
  <si>
    <t>BLOOM CB 45 C8 200*280</t>
  </si>
  <si>
    <t>CHANNEL SCRP</t>
  </si>
  <si>
    <t>DISMANTLED CAST IRON SCRAP</t>
  </si>
  <si>
    <t>Cast Iron Dust Scrap</t>
  </si>
  <si>
    <t>OLD ,USED &amp; REJECTED MAINTENANCE SCRAP</t>
  </si>
  <si>
    <t>OLD,USED &amp; REJECTED BATTERIES</t>
  </si>
  <si>
    <t>USED &amp; REJECTED EMPTY DRUMS</t>
  </si>
  <si>
    <t>Defective/ Off Grade (6.5 mm)</t>
  </si>
  <si>
    <t>Previous rolling rejections</t>
  </si>
  <si>
    <t>8/10/12/16 TMT  91.38 T  (12 SEQR IS 37.38 and mixed grades of 54 T)</t>
  </si>
  <si>
    <t>8/16 TMT 550D : 35.1 T (8mm : 29.7 &amp; 16mm : 5.4)</t>
  </si>
  <si>
    <t>16 TMT 500D 8.1 tonnes</t>
  </si>
  <si>
    <t>DART</t>
  </si>
  <si>
    <t>LCFeMn</t>
  </si>
  <si>
    <t>4th relining life (carried on 08.07.19-13.07.19): 3568 Heats (lasted from 14.07.19-27.02.20);
5th carried on 28.02.20-05.03.20 which has resulted in 2384 Heats till 31.08.20</t>
  </si>
  <si>
    <t>7th carried on from 29.03.19-06.04.19 (from 07.04.19-25.04.19 shutdown due to BF problem) which has resulted in 3619 Heats till 13.03.20. 
8th relining carried on from 14.03.20-22.03.20. Started from 28.05.20 and resulted in 1527 Heats till 31.08.20</t>
  </si>
  <si>
    <t>6th relining life (carried on 15.06.19-22.06.19): 5260 Heats ( Lasted from 23.06.19-27.05.20);
7th carried on 28.06.20-06.07.20, started from 07.07.20 which has resulted in 849 Heats till 31.08.20</t>
  </si>
  <si>
    <t>Sep'20</t>
  </si>
  <si>
    <t>QTR 2</t>
  </si>
  <si>
    <t>10mm TMT Fe500D : 10.8 MT, 12 TMT Fe500D: 8.1 MT, 8 TMT Fe500D : 5.4 MT, 16 TMT: 8.1 MT</t>
  </si>
  <si>
    <t>Coal TO Hot Metal Ratio</t>
  </si>
  <si>
    <t>BF Coke Yield</t>
  </si>
  <si>
    <t>Equivalent Dry Coal</t>
  </si>
  <si>
    <t>Gross  Dry Coke</t>
  </si>
  <si>
    <t>Equivalent Wet Coal</t>
  </si>
  <si>
    <t xml:space="preserve">  Blend Coal  Mositure</t>
  </si>
  <si>
    <t xml:space="preserve"> Handling loss</t>
  </si>
  <si>
    <t>Gross Coal Required</t>
  </si>
  <si>
    <t>CDI Consumption (Dry)</t>
  </si>
  <si>
    <t>CDI Moisture</t>
  </si>
  <si>
    <t>Handling Loss</t>
  </si>
  <si>
    <t>wet CDI Consumption</t>
  </si>
  <si>
    <t>Total Coal Equivalent</t>
  </si>
  <si>
    <t xml:space="preserve">CHM ( ON wet BASIS) </t>
  </si>
  <si>
    <t>4th relining life (carried on 08.07.19-13.07.19): 3568 Heats (lasted from 14.07.19-27.02.20);
5th carried on 28.02.20-05.03.20 which has resulted in 2643 Heats till 30.09.20</t>
  </si>
  <si>
    <t>7th carried on from 29.03.19-06.04.19 (from 07.04.19-25.04.19 shutdown due to BF problem) which has resulted in 3619 Heats till 13.03.20. 
8th relining carried on from 14.03.20-22.03.20. Started from 28.05.20 and resulted in 1597 Heats till 30.09.20</t>
  </si>
  <si>
    <t>6th relining life (carried on 15.06.19-22.06.19): 5260 Heats ( Lasted from 23.06.19-27.05.20);
7th carried on 28.06.20-06.07.20, started from 07.07.20 which has resulted in 1068 Heats till 30.09.20</t>
  </si>
  <si>
    <t>OLD,USED &amp; REJECTED STEEL STRUCTURAL SCR</t>
  </si>
  <si>
    <t>DISMANTLED REFRACTORY SCRAP</t>
  </si>
  <si>
    <t>LIQUID MEDICAL OXYGEN</t>
  </si>
  <si>
    <t>JOIST SCRP</t>
  </si>
  <si>
    <t>WIDE PARALLEL BEAM SCRAP</t>
  </si>
  <si>
    <t>ANGLE SCRP</t>
  </si>
  <si>
    <t>BAUXITE,CALCINED,10-40MM,AL2O3:70% MIN</t>
  </si>
  <si>
    <t>BLOOM CB EN 9 200*280</t>
  </si>
  <si>
    <t>GEARED MOTOR,F/TAIL END PINCH ROLL</t>
  </si>
  <si>
    <t>GRINDING WHEEL,350X16X51MM,51A461K7V</t>
  </si>
  <si>
    <t>BOKARO</t>
  </si>
  <si>
    <t>DURGAPUR</t>
  </si>
  <si>
    <t>SEP'20</t>
  </si>
  <si>
    <t>BILLET IS: 7887/1992; 4//SWR-14</t>
  </si>
  <si>
    <t>BILLET IS7904 HCT1130Cr (PC115)</t>
  </si>
  <si>
    <t>11 mtr CHINA</t>
  </si>
  <si>
    <t xml:space="preserve">NET CHARGE WEIGHT </t>
  </si>
  <si>
    <r>
      <rPr>
        <sz val="9"/>
        <rFont val="Times New Roman"/>
        <family val="1"/>
      </rPr>
      <t>DSP (125X125)</t>
    </r>
    <r>
      <rPr>
        <sz val="10"/>
        <rFont val="Times New Roman"/>
        <family val="1"/>
      </rPr>
      <t xml:space="preserve"> net charge : 3032 MT
ISP 150x150 net charge : 30675 MT</t>
    </r>
  </si>
  <si>
    <t>Oct'20</t>
  </si>
  <si>
    <t>OCT'20</t>
  </si>
  <si>
    <t>Al wire +bar</t>
  </si>
  <si>
    <t>Spl Steel of total US Mill Prod</t>
  </si>
  <si>
    <t>Grade</t>
  </si>
  <si>
    <t>sectional wt</t>
  </si>
  <si>
    <t>Stacking/SAP</t>
  </si>
  <si>
    <t>IPE300</t>
  </si>
  <si>
    <t>IPE300A</t>
  </si>
  <si>
    <t>IPE400</t>
  </si>
  <si>
    <t>E350 V</t>
  </si>
  <si>
    <t>IPE400A</t>
  </si>
  <si>
    <t>E250 C</t>
  </si>
  <si>
    <t>IPE500</t>
  </si>
  <si>
    <t>IPE500A</t>
  </si>
  <si>
    <t>IPE500O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</si>
  <si>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</si>
  <si>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</si>
  <si>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</si>
  <si>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</si>
  <si>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</si>
  <si>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</si>
  <si>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</si>
  <si>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</si>
  <si>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Fe-500D/ EQR</t>
  </si>
  <si>
    <t>Fe-550 D</t>
  </si>
  <si>
    <t>Fe-500D SEQR</t>
  </si>
  <si>
    <t>HCR</t>
  </si>
  <si>
    <r>
      <rPr>
        <sz val="9"/>
        <rFont val="Times New Roman"/>
        <family val="1"/>
      </rPr>
      <t>DSP (125X125)</t>
    </r>
    <r>
      <rPr>
        <sz val="10"/>
        <rFont val="Times New Roman"/>
        <family val="1"/>
      </rPr>
      <t xml:space="preserve"> net charge : 3051 MT
ISP 150x150 net charge : 30675 MT</t>
    </r>
  </si>
  <si>
    <t xml:space="preserve">22 mm Plain Coil </t>
  </si>
  <si>
    <t xml:space="preserve">16 mm Plain Coil </t>
  </si>
  <si>
    <t>19MNB4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</si>
  <si>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</si>
  <si>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</si>
  <si>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</si>
  <si>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</si>
  <si>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6.5 mm Plain Coil </t>
  </si>
  <si>
    <t xml:space="preserve">6 mm Plain Coil </t>
  </si>
  <si>
    <t xml:space="preserve">5.5 mm Plain Coil </t>
  </si>
  <si>
    <t xml:space="preserve">6 mm TMT Coil </t>
  </si>
  <si>
    <t xml:space="preserve">8 mm TMT Coil </t>
  </si>
  <si>
    <t>SAE1018 AlK</t>
  </si>
  <si>
    <t>SAE 10B21 Al Ki</t>
  </si>
  <si>
    <t>SAE1010 AlK</t>
  </si>
  <si>
    <t>SAE15B25 Al Ki/CHQ</t>
  </si>
  <si>
    <t>SAE1018 SiK</t>
  </si>
  <si>
    <t>SAE15B25</t>
  </si>
  <si>
    <t>SAE 1010/SWR 14</t>
  </si>
  <si>
    <t>EWNR</t>
  </si>
  <si>
    <t>SAE 1006/Gr 2</t>
  </si>
  <si>
    <t>CAQ</t>
  </si>
  <si>
    <t>SWR10/SAE1008 EXPT</t>
  </si>
  <si>
    <t>MIG</t>
  </si>
  <si>
    <t>Fe-500D</t>
  </si>
  <si>
    <t>Fe-500D SeQR</t>
  </si>
  <si>
    <t>Fe500 D SeQR</t>
  </si>
  <si>
    <t>SAE 1008 SiK</t>
  </si>
  <si>
    <t>SAE 1006 AlK</t>
  </si>
  <si>
    <t>SAE 1006</t>
  </si>
  <si>
    <t>SAE 1008  SiK</t>
  </si>
  <si>
    <t xml:space="preserve">14 mm Plain Coil </t>
  </si>
  <si>
    <t>EN8D</t>
  </si>
  <si>
    <t>C20MnA/Gr 8</t>
  </si>
  <si>
    <t>REJECTED  PREVIOUS ROLLING:
5.5-mixed grade-16.416 MT
6-mixed grade-20.52 MT
7-mixed grade-2.052 MT
8-mixed grade-2.052 MT</t>
  </si>
  <si>
    <t>PRODUCTION FROM DSP BILLETS</t>
  </si>
  <si>
    <t>16 mm TMT</t>
  </si>
  <si>
    <t>Fe 500D EQR</t>
  </si>
  <si>
    <t>10 mm TMT</t>
  </si>
  <si>
    <t>Fe 500D SEQR</t>
  </si>
  <si>
    <t>8 mm TMT</t>
  </si>
  <si>
    <t>12 mm TMT</t>
  </si>
  <si>
    <t>Total Fe-Mn</t>
  </si>
  <si>
    <t>PROCESSED BF FINES</t>
  </si>
  <si>
    <t>OLD ,USED &amp; REJECTED IRON SCRAP</t>
  </si>
  <si>
    <t>OLD,USED &amp; REJECTED CONVEYER BELT</t>
  </si>
  <si>
    <t>USED/REJ/BROKEN GRAPHITE ELECTRODES</t>
  </si>
  <si>
    <t>CONNECTION CABLE,55067-100</t>
  </si>
  <si>
    <t>COPPER SCRAP</t>
  </si>
  <si>
    <t>NUT COKE (CHANDRAPUR)</t>
  </si>
  <si>
    <t>ROURKELA</t>
  </si>
  <si>
    <t>STEEL SCRAP PITJAM OCC.SKULLS (&gt; 250 MM)-BOKARO</t>
  </si>
  <si>
    <t>IS:2062/2011,E450A</t>
  </si>
  <si>
    <t>SAIL TOWER Gr VI (V)</t>
  </si>
  <si>
    <t>4th relining life (carried on 08.07.19-13.07.19): 3568 Heats (lasted from 14.07.19-27.02.20);
5th carried on 28.02.20-05.03.20 which has resulted in 2964 Heats till 31.10.20</t>
  </si>
  <si>
    <t>6th relining life (carried on 15.06.19-22.06.19): 5260 Heats ( Lasted from 23.06.19-27.05.20);
7th carried on 28.06.20-06.07.20, started from 07.07.20 which has resulted in 1405 Heats till 31.10.20</t>
  </si>
  <si>
    <t>SAIL TOWER Gr VI (V)-Sik</t>
  </si>
  <si>
    <t xml:space="preserve">20 mm Plain Coil </t>
  </si>
  <si>
    <t>IS7887GR7M/SAE1018 Home sales</t>
  </si>
  <si>
    <t>IS11169 21C10BT/SAE10B21</t>
  </si>
  <si>
    <t>19MNB4M</t>
  </si>
  <si>
    <t>IS11169 26C10BT/SAE15B25</t>
  </si>
  <si>
    <t>SAE 1018 Export</t>
  </si>
  <si>
    <t>HC78B</t>
  </si>
  <si>
    <t>IS7904/HCT1130CR PC</t>
  </si>
  <si>
    <t>SAE 1008 Export</t>
  </si>
  <si>
    <t>IS7887GR4/SAE1010/SWR14</t>
  </si>
  <si>
    <t>HC62 B</t>
  </si>
  <si>
    <t>SAE 1006/GR 2</t>
  </si>
  <si>
    <t>IS SAE 1010 Export</t>
  </si>
  <si>
    <t>SAE 1006 Export</t>
  </si>
  <si>
    <t>CAQ/GR 2</t>
  </si>
  <si>
    <t>IS7904/HCT1130CR PC115</t>
  </si>
  <si>
    <t xml:space="preserve">22 mm TMT </t>
  </si>
  <si>
    <t xml:space="preserve">36 mm TMT </t>
  </si>
  <si>
    <t>Fe-500 D SEQR</t>
  </si>
  <si>
    <t>Fe-550D</t>
  </si>
  <si>
    <t>RB Fe 600</t>
  </si>
  <si>
    <t xml:space="preserve">IPE-300 O </t>
  </si>
  <si>
    <t xml:space="preserve">IPE-300 </t>
  </si>
  <si>
    <t xml:space="preserve">IPE-300 A </t>
  </si>
  <si>
    <t xml:space="preserve">IPE-400 A </t>
  </si>
  <si>
    <t xml:space="preserve">IPE-400 </t>
  </si>
  <si>
    <t xml:space="preserve">IPE-450 </t>
  </si>
  <si>
    <t xml:space="preserve">IPE-450 A </t>
  </si>
  <si>
    <t xml:space="preserve">IPE-500 </t>
  </si>
  <si>
    <t xml:space="preserve">IPE-500 O </t>
  </si>
  <si>
    <t xml:space="preserve">IPE-600 </t>
  </si>
  <si>
    <t xml:space="preserve">IPE-600 O </t>
  </si>
  <si>
    <t xml:space="preserve">Angle 150 / 150 / 12 </t>
  </si>
  <si>
    <t xml:space="preserve">Angle 150 / 150 / 10 </t>
  </si>
  <si>
    <t xml:space="preserve">Angle 200 / 200 /18 </t>
  </si>
  <si>
    <t xml:space="preserve">Angle 200 / 200 / 25 </t>
  </si>
  <si>
    <t xml:space="preserve">Angle 200 / 200 / 20 </t>
  </si>
  <si>
    <t>IS2062 E250BR</t>
  </si>
  <si>
    <t>IS 2062 E350 BR-150/8/49.32</t>
  </si>
  <si>
    <t>IS 2062 E350 BR-150/7.1/42.24</t>
  </si>
  <si>
    <t>IS 2062 E250 BR-150/7.1/42.24</t>
  </si>
  <si>
    <t>IS 2062 E350 BR-150/6.1/36.52</t>
  </si>
  <si>
    <t>IS 2062 E350 BR-180/7/57.38</t>
  </si>
  <si>
    <t>IS 2062 E350 BR-180/8.6/66.3</t>
  </si>
  <si>
    <t>IS 2062 E250 BR-180/8.6/66.3</t>
  </si>
  <si>
    <t>IS 2062 E350 BR-190/ 9.4/77.57</t>
  </si>
  <si>
    <t>IS 2062 E250 BR-190/ 9.4/77.57</t>
  </si>
  <si>
    <t>IS 2062 E350 BR-190 7.6/67.15</t>
  </si>
  <si>
    <t>IS 2062 E350 BR-190/11/92.4</t>
  </si>
  <si>
    <t>IS 2062 E350 BR-200/10.2/90.68</t>
  </si>
  <si>
    <t>IS 2062 E350 BR-200/12/107.31</t>
  </si>
  <si>
    <t>IS 2062 E350 BR-220/12/122.45</t>
  </si>
  <si>
    <t>IS 2062 E350 BR-220/15/154</t>
  </si>
  <si>
    <t>NPB 750</t>
  </si>
  <si>
    <t>IS 2062 E350 BR-8.4/79.36</t>
  </si>
  <si>
    <t>IPE-500 A</t>
  </si>
  <si>
    <t>IS 2062 E350 BR-270/174.54</t>
  </si>
  <si>
    <t xml:space="preserve">NPB 750 </t>
  </si>
  <si>
    <t>270/202.48</t>
  </si>
  <si>
    <t>IS 2062 E350 BR</t>
  </si>
  <si>
    <t>IS 2062 E250 BR</t>
  </si>
  <si>
    <t>GR 8 M(SAE1020)</t>
  </si>
  <si>
    <t>HC52 B</t>
  </si>
  <si>
    <t>EN8D AlK</t>
  </si>
  <si>
    <t>IS7887GR7M/SAE1018 Alk</t>
  </si>
  <si>
    <t>IS7887GR7M/SAE1018 AlK</t>
  </si>
  <si>
    <t>GR4 SWR14/SAE1010 AlK</t>
  </si>
  <si>
    <t>IS7887GR4/SAE1010/SWR 14 AlK</t>
  </si>
  <si>
    <t>IS7887GR7M/SAE1018</t>
  </si>
  <si>
    <t>IS 7887GR3 SWR10/SAE 1008</t>
  </si>
  <si>
    <t>IS7887GR4/SWR 14/SAE1010</t>
  </si>
  <si>
    <t xml:space="preserve">IS 7887GR3 SWR10/SAE 1008 </t>
  </si>
  <si>
    <t>Nov'20</t>
  </si>
  <si>
    <t xml:space="preserve">SAE1018 </t>
  </si>
  <si>
    <t>IPE300O</t>
  </si>
  <si>
    <t>4th relining life (carried on 08.07.19-13.07.19): 3568 Heats (lasted from 14.07.19-27.02.20);
5th carried on 28.02.20-05.03.20 which has resulted in 3426 Heats till 30.11.20</t>
  </si>
  <si>
    <t>6th relining life (carried on 15.06.19-22.06.19): 5260 Heats ( Lasted from 23.06.19-27.05.20);
7th carried on 28.06.20-06.07.20, started from 07.07.20 which has resulted in 1871 Heats till 30.11.20</t>
  </si>
  <si>
    <t>NOV'20</t>
  </si>
  <si>
    <t>DEC'20</t>
  </si>
  <si>
    <t>SAE1006(B)-AlSiK</t>
  </si>
  <si>
    <t>EN8D (Cr)-Alk</t>
  </si>
  <si>
    <t>8 M</t>
  </si>
  <si>
    <r>
      <rPr>
        <sz val="9"/>
        <rFont val="Times New Roman"/>
        <family val="1"/>
      </rPr>
      <t>DSP (125X125)</t>
    </r>
    <r>
      <rPr>
        <sz val="10"/>
        <rFont val="Times New Roman"/>
        <family val="1"/>
      </rPr>
      <t xml:space="preserve"> net charge : 4146.4 MT
ISP 150x150 net charge : 37387.64 MT</t>
    </r>
  </si>
  <si>
    <t>Rejected IPE 300</t>
  </si>
  <si>
    <t>Rejected IPE 400</t>
  </si>
  <si>
    <t>OLD, USED &amp; REJECTED WIRE ROPE CEILING</t>
  </si>
  <si>
    <t>USED &amp; REJECTED REFRACTORY SCRAPS</t>
  </si>
  <si>
    <t>OLD ,U/ R STEEL MAINTENANCE SCRAP</t>
  </si>
  <si>
    <t>CASTABLE,AL2O3-90% MIN,FE2O3-0.8%</t>
  </si>
  <si>
    <t>BELT,CONVY,M-24,630/4,5MM/2MM THK,800MM</t>
  </si>
  <si>
    <t>SCRAPPED PIG MOULD</t>
  </si>
  <si>
    <t>Pig Iron (CMO/Secondary sales)+Export+IPT</t>
  </si>
  <si>
    <t xml:space="preserve">10 mm TMT Coil </t>
  </si>
  <si>
    <t>HC78 B</t>
  </si>
  <si>
    <t>IS 2062 E250 BR-190 7.6/67.15</t>
  </si>
  <si>
    <t>IS 2062 E250 BR-220/12/122.45</t>
  </si>
  <si>
    <t>QTR 3</t>
  </si>
  <si>
    <t>9 M</t>
  </si>
  <si>
    <t>Dec'20</t>
  </si>
  <si>
    <t>Coke Breeze (Rourkela)</t>
  </si>
  <si>
    <t>Bhelated</t>
  </si>
  <si>
    <t>Jamabad</t>
  </si>
  <si>
    <t>SAE 1010 AlK</t>
  </si>
  <si>
    <t>EN8D Cr</t>
  </si>
  <si>
    <t>IPE450</t>
  </si>
  <si>
    <t>Defective/ Off Grade (14.0 mm)</t>
  </si>
  <si>
    <r>
      <rPr>
        <b/>
        <sz val="9"/>
        <rFont val="Calibri"/>
        <family val="2"/>
        <scheme val="minor"/>
      </rPr>
      <t>10 TMT:</t>
    </r>
    <r>
      <rPr>
        <sz val="9"/>
        <rFont val="Calibri"/>
        <family val="2"/>
        <scheme val="minor"/>
      </rPr>
      <t xml:space="preserve">
SEQR: 13
EQR: 5.2
550D: 2.6
</t>
    </r>
    <r>
      <rPr>
        <b/>
        <sz val="9"/>
        <rFont val="Calibri"/>
        <family val="2"/>
        <scheme val="minor"/>
      </rPr>
      <t>12 TMT:</t>
    </r>
    <r>
      <rPr>
        <sz val="9"/>
        <rFont val="Calibri"/>
        <family val="2"/>
        <scheme val="minor"/>
      </rPr>
      <t xml:space="preserve">
SEQR: 7.4
EQR: 5.2
550D: 2.6
</t>
    </r>
    <r>
      <rPr>
        <b/>
        <sz val="9"/>
        <rFont val="Calibri"/>
        <family val="2"/>
        <scheme val="minor"/>
      </rPr>
      <t>16 TMT:</t>
    </r>
    <r>
      <rPr>
        <sz val="9"/>
        <rFont val="Calibri"/>
        <family val="2"/>
        <scheme val="minor"/>
      </rPr>
      <t xml:space="preserve">
EQR:2.6
</t>
    </r>
    <r>
      <rPr>
        <b/>
        <sz val="9"/>
        <rFont val="Calibri"/>
        <family val="2"/>
        <scheme val="minor"/>
      </rPr>
      <t xml:space="preserve">8 TMT:
</t>
    </r>
    <r>
      <rPr>
        <sz val="9"/>
        <rFont val="Calibri"/>
        <family val="2"/>
        <scheme val="minor"/>
      </rPr>
      <t>SEQR:10.4
EQR: 10
550D: 2.6</t>
    </r>
  </si>
  <si>
    <t>4th relining life (carried on 08.07.19-13.07.19): 3568 Heats (lasted from 14.07.19-27.02.20);
5th carried on 28.02.20-05.03.20 which has resulted in 3942 Heats till 31.12.20</t>
  </si>
  <si>
    <t>7th carried on from 29.03.19-06.04.19 (from 07.04.19-25.04.19 shutdown due to BF problem) which has resulted in 3619 Heats till 13.03.20. 
8th relining carried on from 14.03.20-22.03.20. Started from 28.05.20 and resulted in 1642 Heats till 31.12.20</t>
  </si>
  <si>
    <t>6th relining life (carried on 15.06.19-22.06.19): 5260 Heats ( Lasted from 23.06.19-27.05.20);
7th carried on 28.06.20-06.07.20, started from 07.07.20 which has resulted in 2436 Heats till 31.12.20</t>
  </si>
  <si>
    <t>CI SCRAP</t>
  </si>
  <si>
    <t>INPUT PINION SHAFT &amp; GEAR WSU BILLET</t>
  </si>
  <si>
    <t>LUBRICATION GREASE,LGEV2,SKF</t>
  </si>
  <si>
    <t>SAIL TOWER Gr VI NBAK.SI (R)</t>
  </si>
  <si>
    <t>IS 7887 GR 7M</t>
  </si>
  <si>
    <t>IS 7887GR4(SWR14)</t>
  </si>
  <si>
    <t xml:space="preserve"> IS 7887 GR 4 ALK </t>
  </si>
  <si>
    <t>IS 2062 E250 BR-200/10.2/90.68</t>
  </si>
  <si>
    <t>HC78B/PC115/HCT1130Cr</t>
  </si>
  <si>
    <t>INDIGENOUS DRY COAL AT COB #10</t>
  </si>
  <si>
    <t>INDIGENOUS DRY COAL AT COB #11</t>
  </si>
  <si>
    <t>Moisture On HL</t>
  </si>
  <si>
    <t xml:space="preserve">TOTAL GROSS INDIGENOUS </t>
  </si>
  <si>
    <t>Coal Consumption (Finance)</t>
  </si>
  <si>
    <t>IMPORTED DRY COAL AT COB #10</t>
  </si>
  <si>
    <t>IMPORTED DRY COAL AT COB #11</t>
  </si>
  <si>
    <t>Moisture of blend coal COB#10</t>
  </si>
  <si>
    <t>Moisture of blend coal COB#11</t>
  </si>
  <si>
    <t>Wet Coal Consumption COB#10</t>
  </si>
  <si>
    <t>Wet Coal Consumption COB#11</t>
  </si>
  <si>
    <t>TOTAL GROSS IMPORTED</t>
  </si>
  <si>
    <t>TOTAL COAL CONSUMPTION</t>
  </si>
  <si>
    <t>Screening Loss</t>
  </si>
  <si>
    <t>Wet Consumption</t>
  </si>
  <si>
    <t>Nut coke</t>
  </si>
  <si>
    <t>LD Slag</t>
  </si>
  <si>
    <t>Iron Ore Lump(Bed+BF) screening loss</t>
  </si>
  <si>
    <t xml:space="preserve"> Wet Consumption</t>
  </si>
  <si>
    <t>Dry consumption</t>
  </si>
  <si>
    <t>Finance consumption calculation</t>
  </si>
  <si>
    <t>Iron Ore Lump(Bed+BOF) screening loss</t>
  </si>
  <si>
    <t>Iron ore Fines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</si>
  <si>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</si>
  <si>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</si>
  <si>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</si>
  <si>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</si>
  <si>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</si>
  <si>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</si>
  <si>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</si>
  <si>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</si>
  <si>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Gross Iron ore fines</t>
  </si>
  <si>
    <t>Gross Return iron ore fines</t>
  </si>
  <si>
    <t>screening loss</t>
  </si>
  <si>
    <t>Dolomite to LDCP</t>
  </si>
  <si>
    <t>Limestone for Sinter</t>
  </si>
  <si>
    <t>Dolomite for  Sinter</t>
  </si>
  <si>
    <t>Gross consumption</t>
  </si>
  <si>
    <t>Calcined lime</t>
  </si>
  <si>
    <t>Calcined lime screening loss</t>
  </si>
  <si>
    <t>Calcined lime consumption at SMS</t>
  </si>
  <si>
    <t>Screen loss</t>
  </si>
  <si>
    <t>Calcined Dolo consumption at SMS</t>
  </si>
  <si>
    <t>Calcined Dolo screening loss</t>
  </si>
  <si>
    <t>Gross WET</t>
  </si>
  <si>
    <t>FE VANADIUM</t>
  </si>
  <si>
    <t>GRAPHITE ELECTRODE</t>
  </si>
  <si>
    <t>FE CROME</t>
  </si>
  <si>
    <t>FE NIOBIUM</t>
  </si>
  <si>
    <t>COPPER</t>
  </si>
  <si>
    <t>CASI</t>
  </si>
  <si>
    <t>FERRO TITANIUM</t>
  </si>
  <si>
    <t>CAFÉ</t>
  </si>
  <si>
    <t>FE MANG (0.85 % moisture)</t>
  </si>
  <si>
    <t>FE SILICON (0.85 %  moisture)</t>
  </si>
  <si>
    <t>SILI MANG  (0.85 % moisture)</t>
  </si>
  <si>
    <t>ALUMINIUM (2 %  moisture)</t>
  </si>
  <si>
    <t>PETROLEUM COKE (2 %  moisture)</t>
  </si>
  <si>
    <t>BAUXITE (2 %  moisture)</t>
  </si>
  <si>
    <t xml:space="preserve">Net Iron ore fines </t>
  </si>
  <si>
    <t>JAN'21</t>
  </si>
  <si>
    <t>FEB'21</t>
  </si>
  <si>
    <t>MAR'21</t>
  </si>
  <si>
    <t>Jan'21</t>
  </si>
  <si>
    <t>10 M</t>
  </si>
  <si>
    <t>BASE MIX INPUT FOR SINTER PLANT WET (Mt)</t>
  </si>
  <si>
    <t>BASE MIX INPUT FOR SINTER PLANT WET (Kg/T)</t>
  </si>
  <si>
    <t>SINTER PLANT INPUT WET (Mt)</t>
  </si>
  <si>
    <t>SINTER PLANT INPUT WET (Kg/T)</t>
  </si>
  <si>
    <t>Jamabad/Jamadoba</t>
  </si>
  <si>
    <t>Channels</t>
  </si>
  <si>
    <t>Iron Ore Fines Screened</t>
  </si>
  <si>
    <t>5th relining life (carried on 28.02.20-05.03.20): 4003 Heats (lasted from 06.03.20-12.01.21);
6th carried on 13.01.21-23.01.21 which has resulted in 184 Heats till 31.01.21</t>
  </si>
  <si>
    <t>7th carried on from 29.03.19-06.04.19 (from 07.04.19-25.04.19 shutdown due to BF problem) which has resulted in 3619 Heats till 13.03.20. 
8th relining carried on from 14.03.20-22.03.20. Started from 28.05.20 and resulted in 2140 Heats till 31.01.21</t>
  </si>
  <si>
    <t>6th relining life (carried on 15.06.19-22.06.19): 5260 Heats ( Lasted from 23.06.19-27.05.20);
7th carried on 28.06.20-06.07.20, started from 07.07.20 which has resulted in 3036 Heats till 31.01.21</t>
  </si>
  <si>
    <t>HC38B</t>
  </si>
  <si>
    <t>EN8A Alk</t>
  </si>
  <si>
    <t>SAE 1010 Alk</t>
  </si>
  <si>
    <t>SAE 1018 Alk</t>
  </si>
  <si>
    <t>EA200X16</t>
  </si>
  <si>
    <t>EA200X20</t>
  </si>
  <si>
    <t>ISMC300</t>
  </si>
  <si>
    <t>E350 C</t>
  </si>
  <si>
    <t>Defective/ Off Grade (20.0 mm)</t>
  </si>
  <si>
    <t>REJECTED  PREVIOUS ROLLING:
5.5-SAE 1006 EXPT- 14.364 MT</t>
  </si>
  <si>
    <t>Reusable in Bar Mill (7 mm downgraded)</t>
  </si>
  <si>
    <t>Rejected IPE 600</t>
  </si>
  <si>
    <t>Rejected ISMC300</t>
  </si>
  <si>
    <t xml:space="preserve">IS7904/HCT1130CR(PC) </t>
  </si>
  <si>
    <t>HC80 B</t>
  </si>
  <si>
    <t>EN8D CR</t>
  </si>
  <si>
    <t>GR4 /SAE1010 AlK</t>
  </si>
  <si>
    <t>Angle 200 / 200 / 16</t>
  </si>
  <si>
    <t>CHANNEL 300*90*7.8</t>
  </si>
  <si>
    <t>IS 2830:12 C20MMnA CU</t>
  </si>
  <si>
    <t xml:space="preserve">IPT (IS 2830-C20) </t>
  </si>
  <si>
    <t>DISMANTLED RUSTED MILD STEEL SHEETS</t>
  </si>
  <si>
    <t>OLD USED &amp; REJECTED STEEL PIPE</t>
  </si>
  <si>
    <t>OLD, USED &amp; REJECTED MILD STEEL SCRAP</t>
  </si>
  <si>
    <t>NON ROLLABLE ASSORTED BILLET SCRAP TOTAL RAIL AND ROAD</t>
  </si>
  <si>
    <t>TEMPERATURE,OXYGEN,PPM PROBE</t>
  </si>
  <si>
    <t>FERRO TITANIUM,MIN65%</t>
  </si>
  <si>
    <t>BLOOM CB IS2830C20MMNC 150*150- Bhilai</t>
  </si>
  <si>
    <t>EN8A-Sik</t>
  </si>
  <si>
    <t>ISPEXPT10</t>
  </si>
  <si>
    <t>IS: 2830/2012, C20MMn A (Cu)</t>
  </si>
  <si>
    <t>IS: 2062/2011, E350C (Nb)</t>
  </si>
  <si>
    <t>Feb'21</t>
  </si>
  <si>
    <t xml:space="preserve"> SWR10</t>
  </si>
  <si>
    <t xml:space="preserve"> IS 7887 Gr 4</t>
  </si>
  <si>
    <t>E450 C</t>
  </si>
  <si>
    <t>E450 BV</t>
  </si>
  <si>
    <t>E450 NB</t>
  </si>
  <si>
    <t>E350 CV</t>
  </si>
  <si>
    <t>Rejected IPE 500</t>
  </si>
  <si>
    <t>E450 BR</t>
  </si>
  <si>
    <t>JIS SS400</t>
  </si>
  <si>
    <t>JIS G3101 SS400</t>
  </si>
  <si>
    <t>FIELD MACHINERY EQUIPMENT SCRAP</t>
  </si>
  <si>
    <t xml:space="preserve">OLD,USED &amp; REJECTED CGI Sheets </t>
  </si>
  <si>
    <t>USED &amp; REJECTED WOODEN  SLEEPER</t>
  </si>
  <si>
    <t>EMERGENCY CUTTING TORCH,F/BBL CASTER</t>
  </si>
  <si>
    <t>FERRO NIOBIUM</t>
  </si>
  <si>
    <t>LADLE LANCING,MOD-0749</t>
  </si>
  <si>
    <t>LOW CARBON FERRO MANGANESE</t>
  </si>
  <si>
    <t>PIPE,MS,8MM,LG:6-7M</t>
  </si>
  <si>
    <t>Bhilai</t>
  </si>
  <si>
    <t>5th relining life (carried on 28.02.20-05.03.20): 4003 Heats (lasted from 06.03.20-12.01.21);
6th carried on 13.01.21-23.01.21 which has resulted in 789 Heats till 28.02.21</t>
  </si>
  <si>
    <t>7th carried on from 29.03.19-06.04.19 (from 07.04.19-25.04.19 shutdown due to BF problem) which has resulted in 3619 Heats till 13.03.20. 
8th relining carried on from 14.03.20-22.03.20. Started from 28.05.20 and resulted in 2384 Heats till 28.02.21</t>
  </si>
  <si>
    <t>6th relining life (carried on 15.06.19-22.06.19): 5260 Heats ( Lasted from 23.06.19-27.05.20);
7th carried on 28.06.20-06.07.20, started from 07.07.20 which has resulted in 3500 Heats till 28.02.21</t>
  </si>
  <si>
    <t>Mar'21</t>
  </si>
  <si>
    <t>QTR 4</t>
  </si>
  <si>
    <t>TOTAL 12M</t>
  </si>
  <si>
    <t>Mar '21</t>
  </si>
  <si>
    <t>March'21</t>
  </si>
  <si>
    <t>2021-22</t>
  </si>
  <si>
    <t>IS 7887 Gr 3</t>
  </si>
  <si>
    <t xml:space="preserve">SAE1010 </t>
  </si>
  <si>
    <t>WPB240</t>
  </si>
  <si>
    <t>E350</t>
  </si>
  <si>
    <t>E350C</t>
  </si>
  <si>
    <t>E350CV</t>
  </si>
  <si>
    <t>WPB240B</t>
  </si>
  <si>
    <t>Rejected WPB 240</t>
  </si>
  <si>
    <t>IS 2062 E450 BR-150/8/49.32</t>
  </si>
  <si>
    <t>IS 2062 E450 BR-180/8.6/66.3</t>
  </si>
  <si>
    <t>IS2062 E350 BR</t>
  </si>
  <si>
    <t>WPB 240*240*83.20</t>
  </si>
  <si>
    <t>IS2062 E350BR</t>
  </si>
  <si>
    <t>Singapore</t>
  </si>
  <si>
    <t xml:space="preserve">Hongkong </t>
  </si>
  <si>
    <t>Indonesia</t>
  </si>
  <si>
    <t xml:space="preserve">KENYA/ EGYPT </t>
  </si>
  <si>
    <t>FERRO MOLYBDENUM,60%MO</t>
  </si>
  <si>
    <t>PPE KIT .</t>
  </si>
  <si>
    <t>QUARTZITE (SIO2 95%)</t>
  </si>
  <si>
    <t>BLOOM CB IS2830C20MMN TLT (AL) 150*150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</si>
</sst>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 * #,##0.00_ ;_ * \-#,##0.00_ ;_ * &quot;-&quot;??_ ;_ @_ "/>
    <numFmt numFmtId="165" formatCode="_(&quot;$&quot;* #,##0.00_);_(&quot;$&quot;* \(#,##0.00\);_(&quot;$&quot;* &quot;-&quot;??_);_(@_)"/>
    <numFmt numFmtId="166" formatCode="0.00_)"/>
    <numFmt numFmtId="167" formatCode="0_)"/>
    <numFmt numFmtId="168" formatCode="0.0_)"/>
    <numFmt numFmtId="169" formatCode="0.0"/>
    <numFmt numFmtId="170" formatCode="General_)"/>
    <numFmt numFmtId="171" formatCode="0.000"/>
    <numFmt numFmtId="172" formatCode="0.0000"/>
    <numFmt numFmtId="173" formatCode="0.00000"/>
    <numFmt numFmtId="174" formatCode="0.0000000"/>
    <numFmt numFmtId="175" formatCode="0.0%"/>
    <numFmt numFmtId="176" formatCode="_(* #,##0.00_);_(* \(#,##0.00\);_(* &quot;-&quot;_);_(@_)"/>
  </numFmts>
  <fonts count="263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8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u/>
      <sz val="14"/>
      <color indexed="8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color indexed="8"/>
      <name val="Times New Roman"/>
      <family val="1"/>
    </font>
    <font>
      <sz val="14"/>
      <name val="Times New Roman"/>
      <family val="1"/>
    </font>
    <font>
      <b/>
      <u/>
      <sz val="14"/>
      <color indexed="8"/>
      <name val="Calibri"/>
      <family val="2"/>
    </font>
    <font>
      <b/>
      <u/>
      <sz val="22"/>
      <color indexed="8"/>
      <name val="Times New Roman"/>
      <family val="1"/>
    </font>
    <font>
      <b/>
      <u/>
      <sz val="22"/>
      <name val="Times New Roman"/>
      <family val="1"/>
    </font>
    <font>
      <b/>
      <u/>
      <sz val="22"/>
      <name val="Calibri"/>
      <family val="2"/>
    </font>
    <font>
      <b/>
      <u/>
      <sz val="20"/>
      <color indexed="8"/>
      <name val="Times New Roman"/>
      <family val="1"/>
    </font>
    <font>
      <b/>
      <sz val="20"/>
      <name val="Times New Roman"/>
      <family val="1"/>
    </font>
    <font>
      <sz val="20"/>
      <color indexed="8"/>
      <name val="Times New Roman"/>
      <family val="1"/>
    </font>
    <font>
      <b/>
      <sz val="20"/>
      <color indexed="8"/>
      <name val="Times New Roman"/>
      <family val="1"/>
    </font>
    <font>
      <sz val="20"/>
      <name val="Times New Roman"/>
      <family val="1"/>
    </font>
    <font>
      <b/>
      <u/>
      <sz val="20"/>
      <name val="Times New Roman"/>
      <family val="1"/>
    </font>
    <font>
      <b/>
      <sz val="16"/>
      <name val="Times New Roman"/>
      <family val="1"/>
    </font>
    <font>
      <b/>
      <sz val="16"/>
      <color indexed="8"/>
      <name val="Times New Roman"/>
      <family val="1"/>
    </font>
    <font>
      <sz val="14"/>
      <color indexed="8"/>
      <name val="Calibri"/>
      <family val="2"/>
    </font>
    <font>
      <sz val="14"/>
      <color indexed="8"/>
      <name val="Times New Roman"/>
      <family val="1"/>
    </font>
    <font>
      <sz val="18"/>
      <color indexed="8"/>
      <name val="Calibri"/>
      <family val="2"/>
    </font>
    <font>
      <b/>
      <sz val="14"/>
      <color indexed="8"/>
      <name val="Calibri"/>
      <family val="2"/>
    </font>
    <font>
      <b/>
      <u/>
      <sz val="14"/>
      <color indexed="8"/>
      <name val="Calibri"/>
      <family val="2"/>
    </font>
    <font>
      <sz val="20"/>
      <color indexed="8"/>
      <name val="Times New Roman"/>
      <family val="1"/>
    </font>
    <font>
      <sz val="20"/>
      <color indexed="8"/>
      <name val="Calibri"/>
      <family val="2"/>
    </font>
    <font>
      <b/>
      <sz val="20"/>
      <color indexed="8"/>
      <name val="Times New Roman"/>
      <family val="1"/>
    </font>
    <font>
      <sz val="16"/>
      <color indexed="8"/>
      <name val="Calibri"/>
      <family val="2"/>
    </font>
    <font>
      <b/>
      <sz val="20"/>
      <color indexed="8"/>
      <name val="Calibri"/>
      <family val="2"/>
    </font>
    <font>
      <b/>
      <sz val="22"/>
      <color indexed="8"/>
      <name val="Times New Roman"/>
      <family val="1"/>
    </font>
    <font>
      <b/>
      <sz val="22"/>
      <name val="Times New Roman"/>
      <family val="1"/>
    </font>
    <font>
      <sz val="22"/>
      <color indexed="8"/>
      <name val="Times New Roman"/>
      <family val="1"/>
    </font>
    <font>
      <b/>
      <sz val="22"/>
      <color indexed="8"/>
      <name val="Calibri"/>
      <family val="2"/>
    </font>
    <font>
      <sz val="22"/>
      <name val="Times New Roman"/>
      <family val="1"/>
    </font>
    <font>
      <sz val="22"/>
      <color indexed="8"/>
      <name val="Calibri"/>
      <family val="2"/>
    </font>
    <font>
      <b/>
      <sz val="22"/>
      <name val="Calibri"/>
      <family val="2"/>
    </font>
    <font>
      <sz val="18"/>
      <color indexed="8"/>
      <name val="Times New Roman"/>
      <family val="1"/>
    </font>
    <font>
      <sz val="22"/>
      <color indexed="8"/>
      <name val="Times New Roman"/>
      <family val="1"/>
    </font>
    <font>
      <b/>
      <sz val="22"/>
      <color indexed="8"/>
      <name val="Times New Roman"/>
      <family val="1"/>
    </font>
    <font>
      <sz val="2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8"/>
      <color theme="1"/>
      <name val="Times New Roman"/>
      <family val="1"/>
    </font>
    <font>
      <sz val="22"/>
      <color theme="1"/>
      <name val="Times New Roman"/>
      <family val="1"/>
    </font>
    <font>
      <b/>
      <sz val="22"/>
      <color theme="1"/>
      <name val="Times New Roman"/>
      <family val="1"/>
    </font>
    <font>
      <sz val="22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</font>
    <font>
      <sz val="11"/>
      <color theme="1"/>
      <name val="Times New Roman"/>
      <family val="1"/>
    </font>
    <font>
      <b/>
      <u/>
      <sz val="24"/>
      <color indexed="8"/>
      <name val="Times New Roman"/>
      <family val="1"/>
    </font>
    <font>
      <b/>
      <u/>
      <sz val="28"/>
      <color indexed="8"/>
      <name val="Times New Roman"/>
      <family val="1"/>
    </font>
    <font>
      <b/>
      <sz val="28"/>
      <color indexed="8"/>
      <name val="Times New Roman"/>
      <family val="1"/>
    </font>
    <font>
      <b/>
      <u/>
      <sz val="28"/>
      <name val="Times New Roman"/>
      <family val="1"/>
    </font>
    <font>
      <b/>
      <sz val="24"/>
      <color indexed="8"/>
      <name val="Calibri"/>
      <family val="2"/>
    </font>
    <font>
      <b/>
      <sz val="36"/>
      <color indexed="8"/>
      <name val="Times New Roman"/>
      <family val="1"/>
    </font>
    <font>
      <sz val="12"/>
      <color rgb="FFC00000"/>
      <name val="Times New Roman"/>
      <family val="1"/>
    </font>
    <font>
      <sz val="12"/>
      <color indexed="8"/>
      <name val="Times New Roman"/>
      <family val="1"/>
    </font>
    <font>
      <b/>
      <sz val="24"/>
      <color indexed="8"/>
      <name val="Times New Roman"/>
      <family val="1"/>
    </font>
    <font>
      <sz val="16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28"/>
      <color theme="1"/>
      <name val="Calibri"/>
      <family val="2"/>
      <scheme val="minor"/>
    </font>
    <font>
      <sz val="24"/>
      <color indexed="8"/>
      <name val="Times New Roman"/>
      <family val="1"/>
    </font>
    <font>
      <b/>
      <sz val="12"/>
      <color theme="1"/>
      <name val="Times New Roman"/>
      <family val="1"/>
    </font>
    <font>
      <sz val="18"/>
      <color theme="1"/>
      <name val="Calibri"/>
      <family val="2"/>
      <scheme val="minor"/>
    </font>
    <font>
      <b/>
      <u/>
      <sz val="28"/>
      <color rgb="FFC00000"/>
      <name val="Times New Roman"/>
      <family val="1"/>
    </font>
    <font>
      <b/>
      <u/>
      <sz val="22"/>
      <color rgb="FFC00000"/>
      <name val="Times New Roman"/>
      <family val="1"/>
    </font>
    <font>
      <sz val="26"/>
      <color indexed="8"/>
      <name val="Times New Roman"/>
      <family val="1"/>
    </font>
    <font>
      <sz val="24"/>
      <color indexed="8"/>
      <name val="Calibri"/>
      <family val="2"/>
    </font>
    <font>
      <b/>
      <sz val="14"/>
      <color rgb="FFC00000"/>
      <name val="Times New Roman"/>
      <family val="1"/>
    </font>
    <font>
      <sz val="14"/>
      <color rgb="FFC00000"/>
      <name val="Times New Roman"/>
      <family val="1"/>
    </font>
    <font>
      <b/>
      <sz val="26"/>
      <color indexed="8"/>
      <name val="Times New Roman"/>
      <family val="1"/>
    </font>
    <font>
      <b/>
      <sz val="24"/>
      <color theme="1"/>
      <name val="Times New Roman"/>
      <family val="1"/>
    </font>
    <font>
      <sz val="24"/>
      <color theme="1"/>
      <name val="Times New Roman"/>
      <family val="1"/>
    </font>
    <font>
      <b/>
      <sz val="24"/>
      <name val="Times New Roman"/>
      <family val="1"/>
    </font>
    <font>
      <b/>
      <sz val="16"/>
      <color rgb="FFC00000"/>
      <name val="Times New Roman"/>
      <family val="1"/>
    </font>
    <font>
      <sz val="22"/>
      <color rgb="FFFF0000"/>
      <name val="Times New Roman"/>
      <family val="1"/>
    </font>
    <font>
      <b/>
      <sz val="22"/>
      <color rgb="FFFF0000"/>
      <name val="Times New Roman"/>
      <family val="1"/>
    </font>
    <font>
      <b/>
      <sz val="26"/>
      <name val="Times New Roman"/>
      <family val="1"/>
    </font>
    <font>
      <b/>
      <sz val="26"/>
      <color rgb="FF7030A0"/>
      <name val="Times New Roman"/>
      <family val="1"/>
    </font>
    <font>
      <b/>
      <sz val="26"/>
      <color indexed="8"/>
      <name val="Calibri"/>
      <family val="2"/>
    </font>
    <font>
      <sz val="24"/>
      <name val="Times New Roman"/>
      <family val="1"/>
    </font>
    <font>
      <b/>
      <u/>
      <sz val="24"/>
      <name val="Times New Roman"/>
      <family val="1"/>
    </font>
    <font>
      <b/>
      <u/>
      <sz val="26"/>
      <name val="Times New Roman"/>
      <family val="1"/>
    </font>
    <font>
      <sz val="26"/>
      <name val="Times New Roman"/>
      <family val="1"/>
    </font>
    <font>
      <sz val="26"/>
      <color rgb="FF7030A0"/>
      <name val="Times New Roman"/>
      <family val="1"/>
    </font>
    <font>
      <sz val="26"/>
      <color indexed="8"/>
      <name val="Calibri"/>
      <family val="2"/>
    </font>
    <font>
      <b/>
      <sz val="36"/>
      <color rgb="FF0070C0"/>
      <name val="Times New Roman"/>
      <family val="1"/>
    </font>
    <font>
      <sz val="26"/>
      <name val="Calibri"/>
      <family val="2"/>
    </font>
    <font>
      <b/>
      <sz val="26"/>
      <name val="Calibri"/>
      <family val="2"/>
    </font>
    <font>
      <b/>
      <sz val="26"/>
      <color rgb="FF000000"/>
      <name val="Times New Roman"/>
      <family val="1"/>
    </font>
    <font>
      <b/>
      <u/>
      <sz val="26"/>
      <color indexed="8"/>
      <name val="Times New Roman"/>
      <family val="1"/>
    </font>
    <font>
      <sz val="26"/>
      <color rgb="FFFF0000"/>
      <name val="Times New Roman"/>
      <family val="1"/>
    </font>
    <font>
      <sz val="26"/>
      <color indexed="10"/>
      <name val="Times New Roman"/>
      <family val="1"/>
    </font>
    <font>
      <sz val="26"/>
      <color theme="1"/>
      <name val="Times New Roman"/>
      <family val="1"/>
    </font>
    <font>
      <b/>
      <sz val="26"/>
      <color theme="1"/>
      <name val="Times New Roman"/>
      <family val="1"/>
    </font>
    <font>
      <sz val="26"/>
      <color theme="1"/>
      <name val="Calibri"/>
      <family val="2"/>
      <scheme val="minor"/>
    </font>
    <font>
      <b/>
      <sz val="26"/>
      <color rgb="FFC00000"/>
      <name val="Calibri"/>
      <family val="2"/>
      <scheme val="minor"/>
    </font>
    <font>
      <b/>
      <sz val="22"/>
      <color rgb="FFC00000"/>
      <name val="Times New Roman"/>
      <family val="1"/>
    </font>
    <font>
      <b/>
      <sz val="26"/>
      <color rgb="FFC00000"/>
      <name val="Times New Roman"/>
      <family val="1"/>
    </font>
    <font>
      <b/>
      <sz val="20"/>
      <color rgb="FFC00000"/>
      <name val="Times New Roman"/>
      <family val="1"/>
    </font>
    <font>
      <b/>
      <sz val="28"/>
      <name val="Times New Roman"/>
      <family val="1"/>
    </font>
    <font>
      <b/>
      <sz val="14"/>
      <color rgb="FFC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u/>
      <sz val="12"/>
      <color indexed="8"/>
      <name val="Times New Roman"/>
      <family val="1"/>
    </font>
    <font>
      <b/>
      <u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7030A0"/>
      <name val="Times New Roman"/>
      <family val="1"/>
    </font>
    <font>
      <b/>
      <sz val="11"/>
      <color rgb="FF7030A0"/>
      <name val="Times New Roman"/>
      <family val="1"/>
    </font>
    <font>
      <b/>
      <sz val="12"/>
      <color rgb="FFC00000"/>
      <name val="Times New Roman"/>
      <family val="1"/>
    </font>
    <font>
      <sz val="11"/>
      <color rgb="FF0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18"/>
      <color rgb="FFC00000"/>
      <name val="Times New Roman"/>
      <family val="1"/>
    </font>
    <font>
      <b/>
      <sz val="8"/>
      <name val="Times New Roman"/>
      <family val="1"/>
    </font>
    <font>
      <sz val="11"/>
      <color rgb="FF7030A0"/>
      <name val="Times New Roman"/>
      <family val="1"/>
    </font>
    <font>
      <sz val="8"/>
      <color theme="1"/>
      <name val="Times New Roman"/>
      <family val="1"/>
    </font>
    <font>
      <b/>
      <sz val="11"/>
      <color rgb="FFC00000"/>
      <name val="Times New Roman"/>
      <family val="1"/>
    </font>
    <font>
      <b/>
      <u/>
      <sz val="12"/>
      <color rgb="FFC00000"/>
      <name val="Times New Roman"/>
      <family val="1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u/>
      <sz val="24"/>
      <color theme="1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b/>
      <sz val="34"/>
      <color rgb="FF0070C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sz val="9"/>
      <color theme="1"/>
      <name val="Times New Roman"/>
      <family val="1"/>
    </font>
    <font>
      <sz val="11"/>
      <name val="Calibri"/>
      <family val="2"/>
      <scheme val="minor"/>
    </font>
    <font>
      <b/>
      <sz val="24"/>
      <color rgb="FFC00000"/>
      <name val="Times New Roman"/>
      <family val="1"/>
    </font>
    <font>
      <b/>
      <u/>
      <sz val="14"/>
      <color theme="1"/>
      <name val="Times New Roman"/>
      <family val="1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Times New Roman"/>
      <family val="1"/>
    </font>
    <font>
      <sz val="10"/>
      <name val="Arial"/>
      <family val="2"/>
    </font>
    <font>
      <sz val="16"/>
      <color rgb="FFC00000"/>
      <name val="Calibri"/>
      <family val="2"/>
      <scheme val="minor"/>
    </font>
    <font>
      <sz val="16"/>
      <color rgb="FFC00000"/>
      <name val="Times New Roman"/>
      <family val="1"/>
    </font>
    <font>
      <b/>
      <sz val="16"/>
      <color rgb="FFC00000"/>
      <name val="Calibri"/>
      <family val="2"/>
      <scheme val="minor"/>
    </font>
    <font>
      <sz val="20"/>
      <color rgb="FFC00000"/>
      <name val="Times New Roman"/>
      <family val="1"/>
    </font>
    <font>
      <sz val="20"/>
      <color rgb="FFC00000"/>
      <name val="Calibri"/>
      <family val="2"/>
      <scheme val="minor"/>
    </font>
    <font>
      <b/>
      <u/>
      <sz val="12"/>
      <color theme="1"/>
      <name val="Times New Roman"/>
      <family val="1"/>
    </font>
    <font>
      <u/>
      <sz val="20"/>
      <name val="Times New Roman"/>
      <family val="1"/>
    </font>
    <font>
      <b/>
      <sz val="11"/>
      <color rgb="FFC00000"/>
      <name val="Calibri"/>
      <family val="2"/>
      <scheme val="minor"/>
    </font>
    <font>
      <b/>
      <u/>
      <sz val="14"/>
      <color rgb="FFC00000"/>
      <name val="Times New Roman"/>
      <family val="1"/>
    </font>
    <font>
      <b/>
      <u/>
      <sz val="11"/>
      <color rgb="FFC00000"/>
      <name val="Times New Roman"/>
      <family val="1"/>
    </font>
    <font>
      <sz val="8"/>
      <color rgb="FFC00000"/>
      <name val="Times New Roman"/>
      <family val="1"/>
    </font>
    <font>
      <sz val="8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28"/>
      <color indexed="8"/>
      <name val="Calibri"/>
      <family val="2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0"/>
      <color theme="0"/>
      <name val="Times New Roman"/>
      <family val="1"/>
    </font>
    <font>
      <sz val="11"/>
      <color rgb="FFFF0000"/>
      <name val="Calibri"/>
      <family val="2"/>
      <scheme val="minor"/>
    </font>
    <font>
      <b/>
      <u/>
      <sz val="26"/>
      <color rgb="FFFF0000"/>
      <name val="Times New Roman"/>
      <family val="1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color rgb="FFC00000"/>
      <name val="Calibri"/>
      <family val="2"/>
      <scheme val="minor"/>
    </font>
    <font>
      <sz val="14"/>
      <color theme="1"/>
      <name val="Calibri"/>
      <family val="2"/>
    </font>
    <font>
      <sz val="18"/>
      <color rgb="FFC00000"/>
      <name val="Calibri"/>
      <family val="2"/>
      <scheme val="minor"/>
    </font>
    <font>
      <sz val="14"/>
      <name val="Calibri"/>
      <family val="2"/>
      <scheme val="minor"/>
    </font>
    <font>
      <sz val="18"/>
      <name val="Calibri"/>
      <family val="2"/>
      <scheme val="minor"/>
    </font>
    <font>
      <b/>
      <sz val="48"/>
      <color rgb="FFC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8"/>
      <color rgb="FF000000"/>
      <name val="Times New Roman"/>
      <family val="1"/>
    </font>
    <font>
      <b/>
      <u/>
      <sz val="16"/>
      <color rgb="FF000000"/>
      <name val="Times New Roman"/>
      <family val="1"/>
    </font>
    <font>
      <b/>
      <sz val="16"/>
      <color rgb="FF7030A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6"/>
      <color rgb="FF000000"/>
      <name val="Times New Roman"/>
      <family val="1"/>
    </font>
    <font>
      <sz val="14"/>
      <color theme="0"/>
      <name val="Calibri"/>
      <family val="2"/>
      <scheme val="minor"/>
    </font>
    <font>
      <b/>
      <sz val="14"/>
      <color rgb="FF7030A0"/>
      <name val="Times New Roman"/>
      <family val="1"/>
    </font>
    <font>
      <b/>
      <u/>
      <sz val="14"/>
      <color rgb="FF7030A0"/>
      <name val="Times New Roman"/>
      <family val="1"/>
    </font>
    <font>
      <sz val="14"/>
      <color indexed="8"/>
      <name val="Calibri"/>
      <family val="2"/>
      <scheme val="minor"/>
    </font>
    <font>
      <u/>
      <sz val="14"/>
      <color indexed="8"/>
      <name val="Calibri"/>
      <family val="2"/>
      <scheme val="minor"/>
    </font>
    <font>
      <b/>
      <sz val="14"/>
      <color theme="7"/>
      <name val="Times New Roman"/>
      <family val="1"/>
    </font>
    <font>
      <b/>
      <sz val="11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sz val="9"/>
      <color rgb="FFC00000"/>
      <name val="Times New Roman"/>
      <family val="1"/>
    </font>
    <font>
      <b/>
      <sz val="24"/>
      <color theme="3"/>
      <name val="Times New Roman"/>
      <family val="1"/>
    </font>
    <font>
      <b/>
      <sz val="26"/>
      <color theme="3"/>
      <name val="Times New Roman"/>
      <family val="1"/>
    </font>
    <font>
      <sz val="10"/>
      <color rgb="FFC00000"/>
      <name val="Times New Roman"/>
      <family val="1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sz val="14"/>
      <color rgb="FF000000"/>
      <name val="Times New Roman"/>
      <family val="1"/>
    </font>
    <font>
      <b/>
      <sz val="12"/>
      <color theme="3"/>
      <name val="Times New Roman"/>
      <family val="1"/>
    </font>
    <font>
      <b/>
      <u/>
      <sz val="14"/>
      <color theme="3"/>
      <name val="Calibri"/>
      <family val="2"/>
      <scheme val="minor"/>
    </font>
    <font>
      <b/>
      <sz val="8"/>
      <color rgb="FFC00000"/>
      <name val="Times New Roman"/>
      <family val="1"/>
    </font>
    <font>
      <b/>
      <sz val="18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12"/>
      <color theme="5"/>
      <name val="Times New Roman"/>
      <family val="1"/>
    </font>
    <font>
      <b/>
      <sz val="14"/>
      <color theme="5"/>
      <name val="Times New Roman"/>
      <family val="1"/>
    </font>
    <font>
      <b/>
      <sz val="16"/>
      <color theme="5"/>
      <name val="Times New Roman"/>
      <family val="1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9"/>
      <name val="Calibri"/>
      <family val="2"/>
      <scheme val="minor"/>
    </font>
    <font>
      <b/>
      <sz val="20"/>
      <color rgb="FF002060"/>
      <name val="Times New Roman"/>
      <family val="1"/>
    </font>
    <font>
      <b/>
      <sz val="16"/>
      <color theme="3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sz val="16"/>
      <color rgb="FF7030A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4"/>
      <color rgb="FFFF0000"/>
      <name val="Times New Roman"/>
      <family val="1"/>
    </font>
  </fonts>
  <fills count="6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6BCF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9757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</fills>
  <borders count="17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/>
      <top style="thick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n">
        <color indexed="64"/>
      </bottom>
      <diagonal/>
    </border>
    <border>
      <left style="medium">
        <color indexed="64"/>
      </left>
      <right/>
      <top style="thick">
        <color auto="1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 style="thick">
        <color indexed="64"/>
      </right>
      <top/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ck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auto="1"/>
      </bottom>
      <diagonal/>
    </border>
    <border>
      <left/>
      <right style="medium">
        <color indexed="64"/>
      </right>
      <top style="thin">
        <color indexed="64"/>
      </top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thick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</borders>
  <cellStyleXfs count="298">
    <xf numFmtId="0" fontId="0" fillId="0" borderId="0"/>
    <xf numFmtId="0" fontId="46" fillId="11" borderId="0" applyNumberFormat="0" applyBorder="0" applyAlignment="0" applyProtection="0"/>
    <xf numFmtId="43" fontId="9" fillId="0" borderId="0" applyFont="0" applyFill="0" applyBorder="0" applyAlignment="0" applyProtection="0"/>
    <xf numFmtId="0" fontId="47" fillId="12" borderId="0" applyNumberFormat="0" applyBorder="0" applyAlignment="0" applyProtection="0"/>
    <xf numFmtId="170" fontId="1" fillId="0" borderId="0" applyBorder="0"/>
    <xf numFmtId="170" fontId="2" fillId="0" borderId="0" applyBorder="0"/>
    <xf numFmtId="170" fontId="2" fillId="0" borderId="0" applyBorder="0"/>
    <xf numFmtId="170" fontId="2" fillId="0" borderId="0" applyBorder="0"/>
    <xf numFmtId="170" fontId="2" fillId="0" borderId="0" applyBorder="0"/>
    <xf numFmtId="170" fontId="2" fillId="0" borderId="0" applyBorder="0"/>
    <xf numFmtId="0" fontId="157" fillId="0" borderId="0"/>
    <xf numFmtId="0" fontId="157" fillId="0" borderId="0"/>
    <xf numFmtId="43" fontId="45" fillId="0" borderId="0" applyFont="0" applyFill="0" applyBorder="0" applyAlignment="0" applyProtection="0"/>
    <xf numFmtId="0" fontId="157" fillId="0" borderId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70" fontId="1" fillId="0" borderId="0" applyBorder="0"/>
    <xf numFmtId="0" fontId="45" fillId="0" borderId="0"/>
    <xf numFmtId="170" fontId="1" fillId="0" borderId="0" applyBorder="0"/>
    <xf numFmtId="170" fontId="1" fillId="0" borderId="0" applyBorder="0"/>
    <xf numFmtId="170" fontId="1" fillId="0" borderId="0" applyBorder="0"/>
    <xf numFmtId="170" fontId="1" fillId="0" borderId="0" applyBorder="0"/>
    <xf numFmtId="0" fontId="157" fillId="0" borderId="0"/>
    <xf numFmtId="9" fontId="157" fillId="0" borderId="0" applyFont="0" applyFill="0" applyBorder="0" applyAlignment="0" applyProtection="0"/>
    <xf numFmtId="9" fontId="157" fillId="0" borderId="0" applyFont="0" applyFill="0" applyBorder="0" applyAlignment="0" applyProtection="0"/>
    <xf numFmtId="9" fontId="45" fillId="0" borderId="0" applyFont="0" applyFill="0" applyBorder="0" applyAlignment="0" applyProtection="0"/>
    <xf numFmtId="170" fontId="179" fillId="0" borderId="0"/>
    <xf numFmtId="170" fontId="1" fillId="0" borderId="0"/>
    <xf numFmtId="170" fontId="1" fillId="0" borderId="0"/>
    <xf numFmtId="0" fontId="45" fillId="0" borderId="0"/>
    <xf numFmtId="0" fontId="157" fillId="0" borderId="0"/>
    <xf numFmtId="0" fontId="157" fillId="0" borderId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181" fillId="38" borderId="0" applyNumberFormat="0" applyBorder="0" applyAlignment="0" applyProtection="0"/>
    <xf numFmtId="0" fontId="181" fillId="38" borderId="0" applyNumberFormat="0" applyBorder="0" applyAlignment="0" applyProtection="0"/>
    <xf numFmtId="0" fontId="181" fillId="35" borderId="0" applyNumberFormat="0" applyBorder="0" applyAlignment="0" applyProtection="0"/>
    <xf numFmtId="0" fontId="181" fillId="35" borderId="0" applyNumberFormat="0" applyBorder="0" applyAlignment="0" applyProtection="0"/>
    <xf numFmtId="0" fontId="181" fillId="36" borderId="0" applyNumberFormat="0" applyBorder="0" applyAlignment="0" applyProtection="0"/>
    <xf numFmtId="0" fontId="181" fillId="36" borderId="0" applyNumberFormat="0" applyBorder="0" applyAlignment="0" applyProtection="0"/>
    <xf numFmtId="0" fontId="181" fillId="39" borderId="0" applyNumberFormat="0" applyBorder="0" applyAlignment="0" applyProtection="0"/>
    <xf numFmtId="0" fontId="181" fillId="39" borderId="0" applyNumberFormat="0" applyBorder="0" applyAlignment="0" applyProtection="0"/>
    <xf numFmtId="0" fontId="181" fillId="40" borderId="0" applyNumberFormat="0" applyBorder="0" applyAlignment="0" applyProtection="0"/>
    <xf numFmtId="0" fontId="181" fillId="40" borderId="0" applyNumberFormat="0" applyBorder="0" applyAlignment="0" applyProtection="0"/>
    <xf numFmtId="0" fontId="181" fillId="41" borderId="0" applyNumberFormat="0" applyBorder="0" applyAlignment="0" applyProtection="0"/>
    <xf numFmtId="0" fontId="181" fillId="41" borderId="0" applyNumberFormat="0" applyBorder="0" applyAlignment="0" applyProtection="0"/>
    <xf numFmtId="0" fontId="181" fillId="42" borderId="0" applyNumberFormat="0" applyBorder="0" applyAlignment="0" applyProtection="0"/>
    <xf numFmtId="0" fontId="181" fillId="42" borderId="0" applyNumberFormat="0" applyBorder="0" applyAlignment="0" applyProtection="0"/>
    <xf numFmtId="0" fontId="181" fillId="43" borderId="0" applyNumberFormat="0" applyBorder="0" applyAlignment="0" applyProtection="0"/>
    <xf numFmtId="0" fontId="181" fillId="43" borderId="0" applyNumberFormat="0" applyBorder="0" applyAlignment="0" applyProtection="0"/>
    <xf numFmtId="0" fontId="181" fillId="44" borderId="0" applyNumberFormat="0" applyBorder="0" applyAlignment="0" applyProtection="0"/>
    <xf numFmtId="0" fontId="181" fillId="44" borderId="0" applyNumberFormat="0" applyBorder="0" applyAlignment="0" applyProtection="0"/>
    <xf numFmtId="0" fontId="181" fillId="39" borderId="0" applyNumberFormat="0" applyBorder="0" applyAlignment="0" applyProtection="0"/>
    <xf numFmtId="0" fontId="181" fillId="39" borderId="0" applyNumberFormat="0" applyBorder="0" applyAlignment="0" applyProtection="0"/>
    <xf numFmtId="0" fontId="181" fillId="40" borderId="0" applyNumberFormat="0" applyBorder="0" applyAlignment="0" applyProtection="0"/>
    <xf numFmtId="0" fontId="181" fillId="40" borderId="0" applyNumberFormat="0" applyBorder="0" applyAlignment="0" applyProtection="0"/>
    <xf numFmtId="0" fontId="181" fillId="45" borderId="0" applyNumberFormat="0" applyBorder="0" applyAlignment="0" applyProtection="0"/>
    <xf numFmtId="0" fontId="181" fillId="45" borderId="0" applyNumberFormat="0" applyBorder="0" applyAlignment="0" applyProtection="0"/>
    <xf numFmtId="0" fontId="182" fillId="29" borderId="0" applyNumberFormat="0" applyBorder="0" applyAlignment="0" applyProtection="0"/>
    <xf numFmtId="0" fontId="182" fillId="29" borderId="0" applyNumberFormat="0" applyBorder="0" applyAlignment="0" applyProtection="0"/>
    <xf numFmtId="0" fontId="183" fillId="46" borderId="161" applyNumberFormat="0" applyAlignment="0" applyProtection="0"/>
    <xf numFmtId="0" fontId="183" fillId="46" borderId="161" applyNumberFormat="0" applyAlignment="0" applyProtection="0"/>
    <xf numFmtId="0" fontId="184" fillId="47" borderId="162" applyNumberFormat="0" applyAlignment="0" applyProtection="0"/>
    <xf numFmtId="0" fontId="184" fillId="47" borderId="162" applyNumberFormat="0" applyAlignment="0" applyProtection="0"/>
    <xf numFmtId="0" fontId="157" fillId="0" borderId="0" applyFont="0" applyFill="0" applyBorder="0" applyAlignment="0" applyProtection="0"/>
    <xf numFmtId="165" fontId="157" fillId="0" borderId="0" applyFont="0" applyFill="0" applyBorder="0" applyAlignment="0" applyProtection="0"/>
    <xf numFmtId="0" fontId="185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186" fillId="30" borderId="0" applyNumberFormat="0" applyBorder="0" applyAlignment="0" applyProtection="0"/>
    <xf numFmtId="0" fontId="186" fillId="30" borderId="0" applyNumberFormat="0" applyBorder="0" applyAlignment="0" applyProtection="0"/>
    <xf numFmtId="0" fontId="187" fillId="0" borderId="163" applyNumberFormat="0" applyFill="0" applyAlignment="0" applyProtection="0"/>
    <xf numFmtId="0" fontId="187" fillId="0" borderId="163" applyNumberFormat="0" applyFill="0" applyAlignment="0" applyProtection="0"/>
    <xf numFmtId="0" fontId="188" fillId="0" borderId="164" applyNumberFormat="0" applyFill="0" applyAlignment="0" applyProtection="0"/>
    <xf numFmtId="0" fontId="188" fillId="0" borderId="164" applyNumberFormat="0" applyFill="0" applyAlignment="0" applyProtection="0"/>
    <xf numFmtId="0" fontId="189" fillId="0" borderId="165" applyNumberFormat="0" applyFill="0" applyAlignment="0" applyProtection="0"/>
    <xf numFmtId="0" fontId="189" fillId="0" borderId="165" applyNumberFormat="0" applyFill="0" applyAlignment="0" applyProtection="0"/>
    <xf numFmtId="0" fontId="189" fillId="0" borderId="0" applyNumberFormat="0" applyFill="0" applyBorder="0" applyAlignment="0" applyProtection="0"/>
    <xf numFmtId="0" fontId="189" fillId="0" borderId="0" applyNumberFormat="0" applyFill="0" applyBorder="0" applyAlignment="0" applyProtection="0"/>
    <xf numFmtId="0" fontId="190" fillId="0" borderId="0" applyNumberFormat="0" applyFill="0" applyBorder="0" applyAlignment="0" applyProtection="0">
      <alignment vertical="top"/>
      <protection locked="0"/>
    </xf>
    <xf numFmtId="0" fontId="191" fillId="33" borderId="161" applyNumberFormat="0" applyAlignment="0" applyProtection="0"/>
    <xf numFmtId="0" fontId="191" fillId="33" borderId="161" applyNumberFormat="0" applyAlignment="0" applyProtection="0"/>
    <xf numFmtId="0" fontId="192" fillId="0" borderId="166" applyNumberFormat="0" applyFill="0" applyAlignment="0" applyProtection="0"/>
    <xf numFmtId="0" fontId="192" fillId="0" borderId="166" applyNumberFormat="0" applyFill="0" applyAlignment="0" applyProtection="0"/>
    <xf numFmtId="0" fontId="193" fillId="48" borderId="0" applyNumberFormat="0" applyBorder="0" applyAlignment="0" applyProtection="0"/>
    <xf numFmtId="0" fontId="193" fillId="48" borderId="0" applyNumberFormat="0" applyBorder="0" applyAlignment="0" applyProtection="0"/>
    <xf numFmtId="0" fontId="157" fillId="0" borderId="0"/>
    <xf numFmtId="0" fontId="157" fillId="0" borderId="0"/>
    <xf numFmtId="0" fontId="157" fillId="0" borderId="0">
      <alignment horizontal="left"/>
    </xf>
    <xf numFmtId="0" fontId="157" fillId="0" borderId="0"/>
    <xf numFmtId="170" fontId="1" fillId="0" borderId="0" applyBorder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170" fontId="1" fillId="0" borderId="0" applyBorder="0"/>
    <xf numFmtId="170" fontId="1" fillId="0" borderId="0" applyBorder="0"/>
    <xf numFmtId="170" fontId="1" fillId="0" borderId="0" applyBorder="0"/>
    <xf numFmtId="170" fontId="1" fillId="0" borderId="0" applyBorder="0"/>
    <xf numFmtId="170" fontId="1" fillId="0" borderId="0" applyBorder="0"/>
    <xf numFmtId="0" fontId="157" fillId="0" borderId="0"/>
    <xf numFmtId="0" fontId="157" fillId="0" borderId="0"/>
    <xf numFmtId="0" fontId="157" fillId="0" borderId="0"/>
    <xf numFmtId="170" fontId="1" fillId="0" borderId="0" applyBorder="0"/>
    <xf numFmtId="170" fontId="1" fillId="0" borderId="0" applyBorder="0"/>
    <xf numFmtId="170" fontId="1" fillId="0" borderId="0" applyBorder="0"/>
    <xf numFmtId="170" fontId="1" fillId="0" borderId="0" applyBorder="0"/>
    <xf numFmtId="170" fontId="1" fillId="0" borderId="0" applyBorder="0"/>
    <xf numFmtId="170" fontId="1" fillId="0" borderId="0" applyBorder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94" fillId="0" borderId="0"/>
    <xf numFmtId="0" fontId="194" fillId="0" borderId="0"/>
    <xf numFmtId="170" fontId="1" fillId="0" borderId="0" applyBorder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170" fontId="1" fillId="0" borderId="0" applyBorder="0"/>
    <xf numFmtId="170" fontId="1" fillId="0" borderId="0" applyBorder="0"/>
    <xf numFmtId="170" fontId="1" fillId="0" borderId="0" applyBorder="0"/>
    <xf numFmtId="170" fontId="1" fillId="0" borderId="0" applyBorder="0"/>
    <xf numFmtId="0" fontId="194" fillId="0" borderId="0"/>
    <xf numFmtId="0" fontId="194" fillId="0" borderId="0"/>
    <xf numFmtId="170" fontId="1" fillId="0" borderId="0" applyBorder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170" fontId="1" fillId="0" borderId="0" applyBorder="0"/>
    <xf numFmtId="170" fontId="1" fillId="0" borderId="0" applyBorder="0"/>
    <xf numFmtId="170" fontId="1" fillId="0" borderId="0" applyBorder="0"/>
    <xf numFmtId="170" fontId="1" fillId="0" borderId="0" applyBorder="0"/>
    <xf numFmtId="0" fontId="157" fillId="0" borderId="0"/>
    <xf numFmtId="170" fontId="1" fillId="0" borderId="0" applyBorder="0"/>
    <xf numFmtId="170" fontId="1" fillId="0" borderId="0" applyBorder="0"/>
    <xf numFmtId="170" fontId="1" fillId="0" borderId="0" applyBorder="0"/>
    <xf numFmtId="170" fontId="1" fillId="0" borderId="0" applyBorder="0"/>
    <xf numFmtId="170" fontId="1" fillId="0" borderId="0" applyBorder="0"/>
    <xf numFmtId="0" fontId="45" fillId="0" borderId="0"/>
    <xf numFmtId="170" fontId="1" fillId="0" borderId="0" applyBorder="0"/>
    <xf numFmtId="170" fontId="1" fillId="0" borderId="0" applyBorder="0"/>
    <xf numFmtId="170" fontId="1" fillId="0" borderId="0" applyBorder="0"/>
    <xf numFmtId="170" fontId="1" fillId="0" borderId="0" applyBorder="0"/>
    <xf numFmtId="170" fontId="1" fillId="0" borderId="0" applyBorder="0"/>
    <xf numFmtId="0" fontId="45" fillId="0" borderId="0"/>
    <xf numFmtId="0" fontId="9" fillId="49" borderId="167" applyNumberFormat="0" applyFont="0" applyAlignment="0" applyProtection="0"/>
    <xf numFmtId="0" fontId="157" fillId="49" borderId="167" applyNumberFormat="0" applyFont="0" applyAlignment="0" applyProtection="0"/>
    <xf numFmtId="0" fontId="195" fillId="46" borderId="168" applyNumberFormat="0" applyAlignment="0" applyProtection="0"/>
    <xf numFmtId="0" fontId="195" fillId="46" borderId="168" applyNumberFormat="0" applyAlignment="0" applyProtection="0"/>
    <xf numFmtId="0" fontId="196" fillId="0" borderId="0" applyNumberFormat="0" applyFill="0" applyBorder="0" applyAlignment="0" applyProtection="0"/>
    <xf numFmtId="0" fontId="196" fillId="0" borderId="0" applyNumberFormat="0" applyFill="0" applyBorder="0" applyAlignment="0" applyProtection="0"/>
    <xf numFmtId="0" fontId="197" fillId="0" borderId="169" applyNumberFormat="0" applyFill="0" applyAlignment="0" applyProtection="0"/>
    <xf numFmtId="0" fontId="197" fillId="0" borderId="169" applyNumberFormat="0" applyFill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205" fillId="0" borderId="0"/>
    <xf numFmtId="164" fontId="45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9" fillId="0" borderId="0" applyFont="0" applyFill="0" applyBorder="0" applyAlignment="0" applyProtection="0"/>
    <xf numFmtId="171" fontId="225" fillId="0" borderId="0" applyBorder="0" applyProtection="0"/>
    <xf numFmtId="0" fontId="187" fillId="0" borderId="172" applyNumberFormat="0" applyFill="0" applyAlignment="0" applyProtection="0"/>
    <xf numFmtId="0" fontId="187" fillId="0" borderId="172" applyNumberFormat="0" applyFill="0" applyAlignment="0" applyProtection="0"/>
    <xf numFmtId="0" fontId="188" fillId="0" borderId="173" applyNumberFormat="0" applyFill="0" applyAlignment="0" applyProtection="0"/>
    <xf numFmtId="0" fontId="188" fillId="0" borderId="173" applyNumberFormat="0" applyFill="0" applyAlignment="0" applyProtection="0"/>
    <xf numFmtId="0" fontId="157" fillId="0" borderId="0"/>
    <xf numFmtId="0" fontId="157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" fillId="0" borderId="0"/>
    <xf numFmtId="0" fontId="9" fillId="0" borderId="0"/>
    <xf numFmtId="0" fontId="45" fillId="0" borderId="0"/>
    <xf numFmtId="0" fontId="45" fillId="0" borderId="0"/>
    <xf numFmtId="0" fontId="45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170" fontId="1" fillId="0" borderId="0" applyBorder="0"/>
    <xf numFmtId="170" fontId="1" fillId="0" borderId="0" applyBorder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226" fillId="0" borderId="0" applyNumberFormat="0" applyFill="0" applyBorder="0" applyAlignment="0" applyProtection="0"/>
    <xf numFmtId="0" fontId="243" fillId="61" borderId="0" applyNumberFormat="0" applyBorder="0" applyAlignment="0" applyProtection="0"/>
    <xf numFmtId="0" fontId="243" fillId="62" borderId="0" applyNumberFormat="0" applyBorder="0" applyAlignment="0" applyProtection="0"/>
    <xf numFmtId="0" fontId="244" fillId="63" borderId="0" applyNumberFormat="0" applyBorder="0" applyAlignment="0" applyProtection="0"/>
    <xf numFmtId="0" fontId="244" fillId="0" borderId="0" applyNumberFormat="0" applyFill="0" applyBorder="0" applyAlignment="0" applyProtection="0"/>
    <xf numFmtId="0" fontId="245" fillId="64" borderId="0" applyNumberFormat="0" applyBorder="0" applyAlignment="0" applyProtection="0"/>
    <xf numFmtId="0" fontId="246" fillId="65" borderId="0" applyNumberFormat="0" applyBorder="0" applyAlignment="0" applyProtection="0"/>
    <xf numFmtId="0" fontId="247" fillId="0" borderId="0" applyNumberFormat="0" applyFill="0" applyBorder="0" applyAlignment="0" applyProtection="0"/>
    <xf numFmtId="0" fontId="248" fillId="66" borderId="0" applyNumberFormat="0" applyBorder="0" applyAlignment="0" applyProtection="0"/>
    <xf numFmtId="0" fontId="26" fillId="0" borderId="0" applyNumberFormat="0" applyFill="0" applyBorder="0" applyAlignment="0" applyProtection="0"/>
    <xf numFmtId="0" fontId="249" fillId="0" borderId="0" applyNumberFormat="0" applyFill="0" applyBorder="0" applyAlignment="0" applyProtection="0"/>
    <xf numFmtId="0" fontId="250" fillId="0" borderId="0" applyNumberFormat="0" applyFill="0" applyBorder="0" applyAlignment="0" applyProtection="0"/>
    <xf numFmtId="0" fontId="251" fillId="67" borderId="0" applyNumberFormat="0" applyBorder="0" applyAlignment="0" applyProtection="0"/>
    <xf numFmtId="0" fontId="252" fillId="67" borderId="161" applyNumberFormat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45" fillId="0" borderId="0" applyNumberFormat="0" applyFill="0" applyBorder="0" applyAlignment="0" applyProtection="0"/>
  </cellStyleXfs>
  <cellXfs count="9117">
    <xf numFmtId="0" fontId="0" fillId="0" borderId="0" xfId="0"/>
    <xf numFmtId="173" fontId="24" fillId="0" borderId="0" xfId="0" applyNumberFormat="1" applyFont="1"/>
    <xf numFmtId="0" fontId="24" fillId="0" borderId="0" xfId="0" applyFont="1"/>
    <xf numFmtId="2" fontId="24" fillId="0" borderId="0" xfId="0" applyNumberFormat="1" applyFont="1"/>
    <xf numFmtId="0" fontId="24" fillId="0" borderId="0" xfId="0" applyFont="1" applyAlignment="1">
      <alignment horizontal="center" vertical="center"/>
    </xf>
    <xf numFmtId="0" fontId="26" fillId="0" borderId="0" xfId="0" applyFont="1"/>
    <xf numFmtId="0" fontId="8" fillId="0" borderId="6" xfId="0" applyFont="1" applyBorder="1"/>
    <xf numFmtId="0" fontId="25" fillId="0" borderId="0" xfId="0" applyFont="1"/>
    <xf numFmtId="169" fontId="24" fillId="0" borderId="0" xfId="0" applyNumberFormat="1" applyFont="1"/>
    <xf numFmtId="0" fontId="25" fillId="0" borderId="40" xfId="0" applyFont="1" applyBorder="1"/>
    <xf numFmtId="0" fontId="25" fillId="2" borderId="18" xfId="0" applyFont="1" applyFill="1" applyBorder="1"/>
    <xf numFmtId="0" fontId="25" fillId="5" borderId="18" xfId="0" applyFont="1" applyFill="1" applyBorder="1"/>
    <xf numFmtId="0" fontId="25" fillId="3" borderId="18" xfId="0" applyFont="1" applyFill="1" applyBorder="1"/>
    <xf numFmtId="0" fontId="28" fillId="0" borderId="0" xfId="0" applyFont="1"/>
    <xf numFmtId="1" fontId="24" fillId="0" borderId="0" xfId="0" applyNumberFormat="1" applyFont="1"/>
    <xf numFmtId="171" fontId="24" fillId="0" borderId="0" xfId="0" applyNumberFormat="1" applyFont="1"/>
    <xf numFmtId="0" fontId="24" fillId="0" borderId="54" xfId="0" applyFont="1" applyBorder="1"/>
    <xf numFmtId="0" fontId="24" fillId="0" borderId="26" xfId="0" applyFont="1" applyBorder="1"/>
    <xf numFmtId="0" fontId="24" fillId="0" borderId="2" xfId="0" applyFont="1" applyBorder="1"/>
    <xf numFmtId="0" fontId="12" fillId="0" borderId="57" xfId="0" applyFont="1" applyBorder="1"/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9" fillId="2" borderId="18" xfId="0" applyFont="1" applyFill="1" applyBorder="1"/>
    <xf numFmtId="0" fontId="29" fillId="0" borderId="18" xfId="0" applyFont="1" applyBorder="1"/>
    <xf numFmtId="0" fontId="29" fillId="5" borderId="18" xfId="0" applyFont="1" applyFill="1" applyBorder="1"/>
    <xf numFmtId="0" fontId="29" fillId="3" borderId="18" xfId="0" applyFont="1" applyFill="1" applyBorder="1"/>
    <xf numFmtId="0" fontId="20" fillId="2" borderId="12" xfId="0" applyFont="1" applyFill="1" applyBorder="1" applyAlignment="1">
      <alignment horizontal="center"/>
    </xf>
    <xf numFmtId="1" fontId="19" fillId="0" borderId="24" xfId="0" applyNumberFormat="1" applyFont="1" applyBorder="1" applyAlignment="1">
      <alignment vertical="center"/>
    </xf>
    <xf numFmtId="0" fontId="31" fillId="2" borderId="12" xfId="0" applyFont="1" applyFill="1" applyBorder="1" applyAlignment="1">
      <alignment horizontal="center" vertical="center"/>
    </xf>
    <xf numFmtId="0" fontId="31" fillId="5" borderId="12" xfId="0" applyFont="1" applyFill="1" applyBorder="1" applyAlignment="1">
      <alignment horizontal="center" vertical="center"/>
    </xf>
    <xf numFmtId="0" fontId="31" fillId="3" borderId="12" xfId="0" applyFont="1" applyFill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20" fillId="5" borderId="12" xfId="0" applyFont="1" applyFill="1" applyBorder="1" applyAlignment="1">
      <alignment horizontal="center"/>
    </xf>
    <xf numFmtId="0" fontId="29" fillId="5" borderId="12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3" borderId="12" xfId="0" applyFont="1" applyFill="1" applyBorder="1" applyAlignment="1">
      <alignment horizontal="center" vertical="center"/>
    </xf>
    <xf numFmtId="0" fontId="17" fillId="0" borderId="6" xfId="0" applyFont="1" applyBorder="1"/>
    <xf numFmtId="0" fontId="17" fillId="0" borderId="6" xfId="0" applyFont="1" applyBorder="1" applyAlignment="1">
      <alignment vertical="center"/>
    </xf>
    <xf numFmtId="1" fontId="19" fillId="2" borderId="13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vertical="center"/>
    </xf>
    <xf numFmtId="0" fontId="31" fillId="5" borderId="20" xfId="0" applyFont="1" applyFill="1" applyBorder="1" applyAlignment="1">
      <alignment horizontal="center" vertical="center"/>
    </xf>
    <xf numFmtId="0" fontId="31" fillId="2" borderId="20" xfId="0" applyFont="1" applyFill="1" applyBorder="1" applyAlignment="1">
      <alignment horizontal="center" vertical="center"/>
    </xf>
    <xf numFmtId="0" fontId="31" fillId="3" borderId="20" xfId="0" applyFont="1" applyFill="1" applyBorder="1" applyAlignment="1">
      <alignment horizontal="center" vertical="center"/>
    </xf>
    <xf numFmtId="0" fontId="19" fillId="0" borderId="47" xfId="0" applyFont="1" applyBorder="1" applyAlignment="1">
      <alignment vertical="center"/>
    </xf>
    <xf numFmtId="1" fontId="35" fillId="2" borderId="19" xfId="0" applyNumberFormat="1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18" fillId="0" borderId="75" xfId="0" applyFont="1" applyBorder="1"/>
    <xf numFmtId="1" fontId="19" fillId="3" borderId="13" xfId="0" applyNumberFormat="1" applyFont="1" applyFill="1" applyBorder="1" applyAlignment="1">
      <alignment horizontal="center"/>
    </xf>
    <xf numFmtId="1" fontId="16" fillId="0" borderId="6" xfId="0" applyNumberFormat="1" applyFont="1" applyBorder="1" applyAlignment="1">
      <alignment vertical="center"/>
    </xf>
    <xf numFmtId="0" fontId="30" fillId="0" borderId="0" xfId="0" applyFont="1"/>
    <xf numFmtId="0" fontId="16" fillId="0" borderId="7" xfId="0" applyFont="1" applyBorder="1" applyAlignment="1">
      <alignment vertical="center"/>
    </xf>
    <xf numFmtId="0" fontId="19" fillId="0" borderId="34" xfId="0" applyFont="1" applyBorder="1" applyAlignment="1">
      <alignment horizontal="left" vertical="center"/>
    </xf>
    <xf numFmtId="0" fontId="19" fillId="0" borderId="31" xfId="0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19" fillId="0" borderId="29" xfId="0" applyFont="1" applyBorder="1" applyAlignment="1">
      <alignment horizontal="left" vertical="center"/>
    </xf>
    <xf numFmtId="0" fontId="18" fillId="0" borderId="0" xfId="0" applyFont="1"/>
    <xf numFmtId="0" fontId="19" fillId="2" borderId="20" xfId="0" applyFont="1" applyFill="1" applyBorder="1" applyAlignment="1">
      <alignment horizontal="center" vertical="center"/>
    </xf>
    <xf numFmtId="170" fontId="19" fillId="0" borderId="6" xfId="0" applyNumberFormat="1" applyFont="1" applyBorder="1"/>
    <xf numFmtId="170" fontId="19" fillId="0" borderId="29" xfId="0" applyNumberFormat="1" applyFont="1" applyBorder="1" applyAlignment="1">
      <alignment horizontal="left" vertical="center"/>
    </xf>
    <xf numFmtId="170" fontId="19" fillId="0" borderId="29" xfId="0" applyNumberFormat="1" applyFont="1" applyBorder="1" applyAlignment="1">
      <alignment horizontal="left"/>
    </xf>
    <xf numFmtId="0" fontId="34" fillId="2" borderId="22" xfId="0" applyFont="1" applyFill="1" applyBorder="1" applyAlignment="1">
      <alignment horizontal="center" vertical="center"/>
    </xf>
    <xf numFmtId="0" fontId="34" fillId="5" borderId="22" xfId="0" applyFont="1" applyFill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2" borderId="12" xfId="0" applyFont="1" applyFill="1" applyBorder="1" applyAlignment="1">
      <alignment horizontal="center" vertical="center"/>
    </xf>
    <xf numFmtId="0" fontId="36" fillId="0" borderId="6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2" fontId="34" fillId="2" borderId="12" xfId="0" applyNumberFormat="1" applyFont="1" applyFill="1" applyBorder="1" applyAlignment="1">
      <alignment horizontal="center" vertical="center"/>
    </xf>
    <xf numFmtId="2" fontId="34" fillId="5" borderId="12" xfId="0" applyNumberFormat="1" applyFont="1" applyFill="1" applyBorder="1" applyAlignment="1">
      <alignment horizontal="center" vertical="center"/>
    </xf>
    <xf numFmtId="0" fontId="39" fillId="0" borderId="0" xfId="0" applyFont="1"/>
    <xf numFmtId="0" fontId="34" fillId="2" borderId="13" xfId="0" applyFont="1" applyFill="1" applyBorder="1" applyAlignment="1">
      <alignment horizontal="center" vertical="center"/>
    </xf>
    <xf numFmtId="0" fontId="34" fillId="5" borderId="13" xfId="0" applyFont="1" applyFill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1" fontId="34" fillId="5" borderId="12" xfId="0" applyNumberFormat="1" applyFont="1" applyFill="1" applyBorder="1" applyAlignment="1">
      <alignment horizontal="center" vertical="center"/>
    </xf>
    <xf numFmtId="1" fontId="34" fillId="5" borderId="60" xfId="0" applyNumberFormat="1" applyFont="1" applyFill="1" applyBorder="1" applyAlignment="1">
      <alignment horizontal="center" vertical="center"/>
    </xf>
    <xf numFmtId="1" fontId="34" fillId="5" borderId="13" xfId="0" applyNumberFormat="1" applyFont="1" applyFill="1" applyBorder="1" applyAlignment="1">
      <alignment horizontal="center" vertical="center"/>
    </xf>
    <xf numFmtId="1" fontId="34" fillId="2" borderId="13" xfId="0" applyNumberFormat="1" applyFont="1" applyFill="1" applyBorder="1" applyAlignment="1">
      <alignment horizontal="center" vertical="center"/>
    </xf>
    <xf numFmtId="1" fontId="34" fillId="2" borderId="22" xfId="0" applyNumberFormat="1" applyFont="1" applyFill="1" applyBorder="1" applyAlignment="1">
      <alignment horizontal="center" vertical="center"/>
    </xf>
    <xf numFmtId="1" fontId="34" fillId="5" borderId="22" xfId="0" applyNumberFormat="1" applyFont="1" applyFill="1" applyBorder="1" applyAlignment="1">
      <alignment horizontal="center" vertical="center"/>
    </xf>
    <xf numFmtId="1" fontId="36" fillId="0" borderId="10" xfId="0" applyNumberFormat="1" applyFont="1" applyBorder="1" applyAlignment="1">
      <alignment horizontal="center" vertical="center"/>
    </xf>
    <xf numFmtId="0" fontId="34" fillId="5" borderId="12" xfId="0" applyFont="1" applyFill="1" applyBorder="1" applyAlignment="1">
      <alignment horizontal="center" vertical="center"/>
    </xf>
    <xf numFmtId="0" fontId="35" fillId="2" borderId="12" xfId="0" applyFont="1" applyFill="1" applyBorder="1" applyAlignment="1">
      <alignment horizontal="center" vertical="center"/>
    </xf>
    <xf numFmtId="1" fontId="38" fillId="0" borderId="30" xfId="0" applyNumberFormat="1" applyFont="1" applyBorder="1" applyAlignment="1">
      <alignment horizontal="center" vertical="center"/>
    </xf>
    <xf numFmtId="1" fontId="35" fillId="2" borderId="22" xfId="0" applyNumberFormat="1" applyFont="1" applyFill="1" applyBorder="1" applyAlignment="1">
      <alignment horizontal="center" vertical="center"/>
    </xf>
    <xf numFmtId="1" fontId="34" fillId="3" borderId="22" xfId="0" applyNumberFormat="1" applyFont="1" applyFill="1" applyBorder="1" applyAlignment="1">
      <alignment horizontal="center" vertical="center"/>
    </xf>
    <xf numFmtId="1" fontId="35" fillId="2" borderId="12" xfId="0" applyNumberFormat="1" applyFont="1" applyFill="1" applyBorder="1" applyAlignment="1">
      <alignment horizontal="center" vertical="center"/>
    </xf>
    <xf numFmtId="1" fontId="35" fillId="5" borderId="22" xfId="0" applyNumberFormat="1" applyFont="1" applyFill="1" applyBorder="1" applyAlignment="1">
      <alignment horizontal="center" vertical="center"/>
    </xf>
    <xf numFmtId="2" fontId="35" fillId="2" borderId="22" xfId="0" applyNumberFormat="1" applyFont="1" applyFill="1" applyBorder="1" applyAlignment="1">
      <alignment horizontal="center" vertical="center"/>
    </xf>
    <xf numFmtId="2" fontId="35" fillId="5" borderId="22" xfId="0" applyNumberFormat="1" applyFont="1" applyFill="1" applyBorder="1" applyAlignment="1">
      <alignment horizontal="center" vertical="center"/>
    </xf>
    <xf numFmtId="2" fontId="38" fillId="0" borderId="10" xfId="0" applyNumberFormat="1" applyFont="1" applyBorder="1" applyAlignment="1">
      <alignment horizontal="center" vertical="center"/>
    </xf>
    <xf numFmtId="2" fontId="35" fillId="2" borderId="12" xfId="0" applyNumberFormat="1" applyFont="1" applyFill="1" applyBorder="1" applyAlignment="1">
      <alignment horizontal="center" vertical="center"/>
    </xf>
    <xf numFmtId="2" fontId="35" fillId="5" borderId="12" xfId="0" applyNumberFormat="1" applyFont="1" applyFill="1" applyBorder="1" applyAlignment="1">
      <alignment horizontal="center" vertical="center"/>
    </xf>
    <xf numFmtId="0" fontId="14" fillId="0" borderId="47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1" fontId="34" fillId="2" borderId="60" xfId="0" applyNumberFormat="1" applyFont="1" applyFill="1" applyBorder="1" applyAlignment="1">
      <alignment horizontal="center" vertical="center"/>
    </xf>
    <xf numFmtId="1" fontId="35" fillId="2" borderId="60" xfId="0" applyNumberFormat="1" applyFont="1" applyFill="1" applyBorder="1" applyAlignment="1">
      <alignment horizontal="center" vertical="center"/>
    </xf>
    <xf numFmtId="1" fontId="35" fillId="2" borderId="20" xfId="0" applyNumberFormat="1" applyFont="1" applyFill="1" applyBorder="1" applyAlignment="1">
      <alignment horizontal="center" vertical="center"/>
    </xf>
    <xf numFmtId="1" fontId="35" fillId="5" borderId="60" xfId="0" applyNumberFormat="1" applyFont="1" applyFill="1" applyBorder="1" applyAlignment="1">
      <alignment horizontal="center" vertical="center"/>
    </xf>
    <xf numFmtId="1" fontId="35" fillId="2" borderId="13" xfId="0" applyNumberFormat="1" applyFont="1" applyFill="1" applyBorder="1" applyAlignment="1">
      <alignment horizontal="center" vertical="center"/>
    </xf>
    <xf numFmtId="1" fontId="35" fillId="5" borderId="13" xfId="0" applyNumberFormat="1" applyFont="1" applyFill="1" applyBorder="1" applyAlignment="1">
      <alignment horizontal="center" vertical="center"/>
    </xf>
    <xf numFmtId="1" fontId="34" fillId="2" borderId="16" xfId="0" applyNumberFormat="1" applyFont="1" applyFill="1" applyBorder="1" applyAlignment="1">
      <alignment horizontal="center" vertical="center"/>
    </xf>
    <xf numFmtId="1" fontId="36" fillId="0" borderId="0" xfId="0" applyNumberFormat="1" applyFont="1" applyAlignment="1">
      <alignment horizontal="center" vertical="center"/>
    </xf>
    <xf numFmtId="1" fontId="34" fillId="5" borderId="16" xfId="0" applyNumberFormat="1" applyFont="1" applyFill="1" applyBorder="1" applyAlignment="1">
      <alignment horizontal="center" vertical="center"/>
    </xf>
    <xf numFmtId="1" fontId="35" fillId="2" borderId="16" xfId="0" applyNumberFormat="1" applyFont="1" applyFill="1" applyBorder="1" applyAlignment="1">
      <alignment horizontal="center" vertical="center"/>
    </xf>
    <xf numFmtId="1" fontId="34" fillId="2" borderId="18" xfId="0" applyNumberFormat="1" applyFont="1" applyFill="1" applyBorder="1" applyAlignment="1">
      <alignment horizontal="center" vertical="center"/>
    </xf>
    <xf numFmtId="1" fontId="34" fillId="5" borderId="18" xfId="0" applyNumberFormat="1" applyFont="1" applyFill="1" applyBorder="1" applyAlignment="1">
      <alignment horizontal="center" vertical="center"/>
    </xf>
    <xf numFmtId="1" fontId="35" fillId="2" borderId="18" xfId="0" applyNumberFormat="1" applyFont="1" applyFill="1" applyBorder="1" applyAlignment="1">
      <alignment horizontal="center" vertical="center"/>
    </xf>
    <xf numFmtId="1" fontId="35" fillId="5" borderId="18" xfId="0" applyNumberFormat="1" applyFont="1" applyFill="1" applyBorder="1" applyAlignment="1">
      <alignment horizontal="center" vertical="center"/>
    </xf>
    <xf numFmtId="0" fontId="35" fillId="0" borderId="6" xfId="0" applyFont="1" applyBorder="1" applyAlignment="1">
      <alignment vertical="center"/>
    </xf>
    <xf numFmtId="1" fontId="36" fillId="0" borderId="48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horizontal="right" vertical="center"/>
    </xf>
    <xf numFmtId="1" fontId="36" fillId="0" borderId="37" xfId="0" applyNumberFormat="1" applyFont="1" applyBorder="1" applyAlignment="1">
      <alignment horizontal="center" vertical="center"/>
    </xf>
    <xf numFmtId="2" fontId="34" fillId="2" borderId="12" xfId="0" quotePrefix="1" applyNumberFormat="1" applyFont="1" applyFill="1" applyBorder="1" applyAlignment="1">
      <alignment horizontal="center" vertical="center"/>
    </xf>
    <xf numFmtId="2" fontId="34" fillId="2" borderId="20" xfId="0" applyNumberFormat="1" applyFont="1" applyFill="1" applyBorder="1" applyAlignment="1">
      <alignment horizontal="center" vertical="center"/>
    </xf>
    <xf numFmtId="1" fontId="34" fillId="5" borderId="20" xfId="0" applyNumberFormat="1" applyFont="1" applyFill="1" applyBorder="1" applyAlignment="1">
      <alignment horizontal="center" vertical="center"/>
    </xf>
    <xf numFmtId="2" fontId="35" fillId="2" borderId="20" xfId="0" applyNumberFormat="1" applyFont="1" applyFill="1" applyBorder="1" applyAlignment="1">
      <alignment horizontal="center" vertical="center"/>
    </xf>
    <xf numFmtId="0" fontId="38" fillId="6" borderId="8" xfId="0" applyFont="1" applyFill="1" applyBorder="1" applyAlignment="1">
      <alignment vertical="center"/>
    </xf>
    <xf numFmtId="1" fontId="35" fillId="5" borderId="12" xfId="0" applyNumberFormat="1" applyFont="1" applyFill="1" applyBorder="1" applyAlignment="1">
      <alignment horizontal="center" vertical="center"/>
    </xf>
    <xf numFmtId="2" fontId="35" fillId="0" borderId="29" xfId="0" applyNumberFormat="1" applyFont="1" applyBorder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38" fillId="6" borderId="29" xfId="0" applyFont="1" applyFill="1" applyBorder="1" applyAlignment="1">
      <alignment vertical="center"/>
    </xf>
    <xf numFmtId="1" fontId="34" fillId="2" borderId="12" xfId="0" applyNumberFormat="1" applyFont="1" applyFill="1" applyBorder="1" applyAlignment="1">
      <alignment horizontal="center" vertical="center"/>
    </xf>
    <xf numFmtId="2" fontId="36" fillId="0" borderId="10" xfId="0" applyNumberFormat="1" applyFont="1" applyBorder="1" applyAlignment="1">
      <alignment horizontal="center" vertical="center"/>
    </xf>
    <xf numFmtId="0" fontId="38" fillId="0" borderId="29" xfId="0" applyFont="1" applyBorder="1" applyAlignment="1">
      <alignment vertical="center"/>
    </xf>
    <xf numFmtId="0" fontId="36" fillId="0" borderId="29" xfId="0" applyFont="1" applyBorder="1" applyAlignment="1">
      <alignment vertical="center"/>
    </xf>
    <xf numFmtId="0" fontId="36" fillId="0" borderId="8" xfId="0" applyFont="1" applyBorder="1" applyAlignment="1">
      <alignment vertical="center"/>
    </xf>
    <xf numFmtId="0" fontId="36" fillId="0" borderId="59" xfId="0" applyFont="1" applyBorder="1" applyAlignment="1">
      <alignment vertical="center"/>
    </xf>
    <xf numFmtId="1" fontId="34" fillId="2" borderId="20" xfId="0" applyNumberFormat="1" applyFont="1" applyFill="1" applyBorder="1" applyAlignment="1">
      <alignment horizontal="center" vertical="center"/>
    </xf>
    <xf numFmtId="0" fontId="35" fillId="0" borderId="7" xfId="0" applyFont="1" applyBorder="1" applyAlignment="1">
      <alignment vertical="center"/>
    </xf>
    <xf numFmtId="0" fontId="35" fillId="0" borderId="75" xfId="0" applyFont="1" applyBorder="1" applyAlignment="1">
      <alignment horizontal="right" vertical="center"/>
    </xf>
    <xf numFmtId="1" fontId="34" fillId="5" borderId="40" xfId="0" applyNumberFormat="1" applyFont="1" applyFill="1" applyBorder="1" applyAlignment="1">
      <alignment horizontal="center" vertical="center"/>
    </xf>
    <xf numFmtId="1" fontId="35" fillId="2" borderId="40" xfId="0" applyNumberFormat="1" applyFont="1" applyFill="1" applyBorder="1" applyAlignment="1">
      <alignment horizontal="center" vertical="center"/>
    </xf>
    <xf numFmtId="1" fontId="35" fillId="5" borderId="40" xfId="0" applyNumberFormat="1" applyFont="1" applyFill="1" applyBorder="1" applyAlignment="1">
      <alignment horizontal="center" vertical="center"/>
    </xf>
    <xf numFmtId="1" fontId="35" fillId="5" borderId="20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4" fillId="0" borderId="55" xfId="0" applyFont="1" applyBorder="1" applyAlignment="1">
      <alignment vertical="center"/>
    </xf>
    <xf numFmtId="0" fontId="34" fillId="5" borderId="18" xfId="0" applyFont="1" applyFill="1" applyBorder="1" applyAlignment="1">
      <alignment horizontal="center" vertical="center"/>
    </xf>
    <xf numFmtId="0" fontId="34" fillId="2" borderId="18" xfId="0" applyFont="1" applyFill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13" fillId="0" borderId="24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169" fontId="36" fillId="0" borderId="10" xfId="0" applyNumberFormat="1" applyFont="1" applyBorder="1" applyAlignment="1">
      <alignment horizontal="center" vertical="center"/>
    </xf>
    <xf numFmtId="169" fontId="34" fillId="2" borderId="12" xfId="0" applyNumberFormat="1" applyFont="1" applyFill="1" applyBorder="1" applyAlignment="1">
      <alignment horizontal="center" vertical="center"/>
    </xf>
    <xf numFmtId="169" fontId="34" fillId="5" borderId="12" xfId="0" applyNumberFormat="1" applyFont="1" applyFill="1" applyBorder="1" applyAlignment="1">
      <alignment horizontal="center" vertical="center"/>
    </xf>
    <xf numFmtId="0" fontId="34" fillId="0" borderId="6" xfId="0" applyFont="1" applyBorder="1" applyAlignment="1">
      <alignment vertical="center"/>
    </xf>
    <xf numFmtId="1" fontId="36" fillId="0" borderId="45" xfId="0" applyNumberFormat="1" applyFont="1" applyBorder="1" applyAlignment="1">
      <alignment horizontal="center" vertical="center"/>
    </xf>
    <xf numFmtId="2" fontId="34" fillId="2" borderId="22" xfId="0" applyNumberFormat="1" applyFont="1" applyFill="1" applyBorder="1" applyAlignment="1">
      <alignment horizontal="center" vertical="center"/>
    </xf>
    <xf numFmtId="2" fontId="13" fillId="0" borderId="6" xfId="0" applyNumberFormat="1" applyFont="1" applyBorder="1" applyAlignment="1">
      <alignment vertical="center"/>
    </xf>
    <xf numFmtId="0" fontId="13" fillId="0" borderId="6" xfId="0" applyFont="1" applyBorder="1"/>
    <xf numFmtId="2" fontId="34" fillId="2" borderId="16" xfId="0" applyNumberFormat="1" applyFont="1" applyFill="1" applyBorder="1" applyAlignment="1">
      <alignment horizontal="center" vertical="center"/>
    </xf>
    <xf numFmtId="2" fontId="34" fillId="5" borderId="16" xfId="0" applyNumberFormat="1" applyFont="1" applyFill="1" applyBorder="1" applyAlignment="1">
      <alignment horizontal="center" vertical="center"/>
    </xf>
    <xf numFmtId="2" fontId="36" fillId="0" borderId="30" xfId="0" applyNumberFormat="1" applyFont="1" applyBorder="1" applyAlignment="1">
      <alignment horizontal="center" vertical="center"/>
    </xf>
    <xf numFmtId="2" fontId="36" fillId="0" borderId="19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2" fontId="34" fillId="2" borderId="22" xfId="0" quotePrefix="1" applyNumberFormat="1" applyFont="1" applyFill="1" applyBorder="1" applyAlignment="1">
      <alignment horizontal="center" vertical="center"/>
    </xf>
    <xf numFmtId="2" fontId="35" fillId="2" borderId="19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75" xfId="0" applyFont="1" applyBorder="1" applyAlignment="1">
      <alignment vertical="center"/>
    </xf>
    <xf numFmtId="0" fontId="34" fillId="0" borderId="75" xfId="0" applyFont="1" applyBorder="1" applyAlignment="1">
      <alignment vertical="center"/>
    </xf>
    <xf numFmtId="0" fontId="34" fillId="0" borderId="36" xfId="0" applyFont="1" applyBorder="1" applyAlignment="1">
      <alignment vertical="center"/>
    </xf>
    <xf numFmtId="1" fontId="34" fillId="0" borderId="5" xfId="0" applyNumberFormat="1" applyFont="1" applyBorder="1" applyAlignment="1">
      <alignment horizontal="center" vertical="center"/>
    </xf>
    <xf numFmtId="0" fontId="34" fillId="0" borderId="38" xfId="0" applyFont="1" applyBorder="1" applyAlignment="1">
      <alignment vertical="center"/>
    </xf>
    <xf numFmtId="1" fontId="36" fillId="0" borderId="46" xfId="0" applyNumberFormat="1" applyFont="1" applyBorder="1" applyAlignment="1">
      <alignment horizontal="center" vertical="center"/>
    </xf>
    <xf numFmtId="0" fontId="34" fillId="0" borderId="8" xfId="0" applyFont="1" applyBorder="1" applyAlignment="1">
      <alignment vertical="center"/>
    </xf>
    <xf numFmtId="1" fontId="35" fillId="5" borderId="16" xfId="0" applyNumberFormat="1" applyFont="1" applyFill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0" fontId="34" fillId="0" borderId="24" xfId="0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7" xfId="0" applyFont="1" applyBorder="1" applyAlignment="1">
      <alignment vertical="center"/>
    </xf>
    <xf numFmtId="0" fontId="34" fillId="0" borderId="7" xfId="0" applyFont="1" applyBorder="1" applyAlignment="1">
      <alignment vertical="center"/>
    </xf>
    <xf numFmtId="0" fontId="34" fillId="2" borderId="20" xfId="0" applyFont="1" applyFill="1" applyBorder="1" applyAlignment="1">
      <alignment horizontal="center" vertical="center"/>
    </xf>
    <xf numFmtId="0" fontId="34" fillId="0" borderId="3" xfId="0" applyFont="1" applyBorder="1" applyAlignment="1">
      <alignment vertical="center"/>
    </xf>
    <xf numFmtId="0" fontId="36" fillId="0" borderId="75" xfId="0" applyFont="1" applyBorder="1" applyAlignment="1">
      <alignment vertical="center"/>
    </xf>
    <xf numFmtId="0" fontId="36" fillId="0" borderId="0" xfId="0" applyFont="1" applyAlignment="1">
      <alignment horizontal="center" vertical="center"/>
    </xf>
    <xf numFmtId="0" fontId="34" fillId="0" borderId="3" xfId="0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center" vertical="center"/>
    </xf>
    <xf numFmtId="0" fontId="36" fillId="0" borderId="24" xfId="0" applyFont="1" applyBorder="1" applyAlignment="1">
      <alignment vertical="center"/>
    </xf>
    <xf numFmtId="171" fontId="34" fillId="5" borderId="12" xfId="0" applyNumberFormat="1" applyFont="1" applyFill="1" applyBorder="1" applyAlignment="1">
      <alignment horizontal="center" vertical="center"/>
    </xf>
    <xf numFmtId="0" fontId="34" fillId="0" borderId="4" xfId="0" applyFont="1" applyBorder="1" applyAlignment="1">
      <alignment vertical="center"/>
    </xf>
    <xf numFmtId="2" fontId="34" fillId="2" borderId="13" xfId="0" applyNumberFormat="1" applyFont="1" applyFill="1" applyBorder="1" applyAlignment="1">
      <alignment horizontal="center" vertical="center"/>
    </xf>
    <xf numFmtId="2" fontId="34" fillId="5" borderId="13" xfId="0" applyNumberFormat="1" applyFont="1" applyFill="1" applyBorder="1" applyAlignment="1">
      <alignment horizontal="center" vertical="center"/>
    </xf>
    <xf numFmtId="1" fontId="36" fillId="0" borderId="26" xfId="0" applyNumberFormat="1" applyFont="1" applyBorder="1" applyAlignment="1">
      <alignment horizontal="center" vertical="center"/>
    </xf>
    <xf numFmtId="41" fontId="34" fillId="0" borderId="29" xfId="0" quotePrefix="1" applyNumberFormat="1" applyFont="1" applyBorder="1" applyAlignment="1">
      <alignment horizontal="left" vertical="center"/>
    </xf>
    <xf numFmtId="41" fontId="34" fillId="0" borderId="29" xfId="0" applyNumberFormat="1" applyFont="1" applyBorder="1" applyAlignment="1">
      <alignment horizontal="left" vertical="center"/>
    </xf>
    <xf numFmtId="0" fontId="36" fillId="0" borderId="13" xfId="0" applyFont="1" applyBorder="1" applyAlignment="1">
      <alignment horizontal="right" vertical="center"/>
    </xf>
    <xf numFmtId="0" fontId="43" fillId="0" borderId="31" xfId="0" applyFont="1" applyBorder="1" applyAlignment="1">
      <alignment vertical="center"/>
    </xf>
    <xf numFmtId="0" fontId="38" fillId="6" borderId="1" xfId="0" applyFont="1" applyFill="1" applyBorder="1" applyAlignment="1">
      <alignment vertical="center"/>
    </xf>
    <xf numFmtId="0" fontId="43" fillId="0" borderId="31" xfId="0" applyFont="1" applyBorder="1"/>
    <xf numFmtId="0" fontId="35" fillId="0" borderId="24" xfId="0" applyFont="1" applyBorder="1" applyAlignment="1">
      <alignment vertical="center"/>
    </xf>
    <xf numFmtId="0" fontId="43" fillId="0" borderId="0" xfId="0" applyFont="1"/>
    <xf numFmtId="0" fontId="43" fillId="0" borderId="32" xfId="0" applyFont="1" applyBorder="1"/>
    <xf numFmtId="0" fontId="36" fillId="0" borderId="55" xfId="0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6" fillId="0" borderId="24" xfId="0" applyFont="1" applyBorder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42" fillId="0" borderId="40" xfId="0" applyFont="1" applyBorder="1"/>
    <xf numFmtId="0" fontId="42" fillId="0" borderId="25" xfId="0" applyFont="1" applyBorder="1" applyAlignment="1">
      <alignment horizontal="right"/>
    </xf>
    <xf numFmtId="0" fontId="42" fillId="0" borderId="55" xfId="0" applyFont="1" applyBorder="1"/>
    <xf numFmtId="0" fontId="34" fillId="0" borderId="49" xfId="0" applyFont="1" applyBorder="1" applyAlignment="1">
      <alignment vertical="center"/>
    </xf>
    <xf numFmtId="0" fontId="34" fillId="0" borderId="59" xfId="0" applyFont="1" applyBorder="1" applyAlignment="1">
      <alignment vertical="center"/>
    </xf>
    <xf numFmtId="0" fontId="34" fillId="0" borderId="8" xfId="0" applyFont="1" applyBorder="1" applyAlignment="1">
      <alignment horizontal="right" vertical="center"/>
    </xf>
    <xf numFmtId="0" fontId="34" fillId="0" borderId="29" xfId="0" applyFont="1" applyBorder="1" applyAlignment="1">
      <alignment horizontal="right" vertical="center"/>
    </xf>
    <xf numFmtId="170" fontId="34" fillId="0" borderId="29" xfId="0" applyNumberFormat="1" applyFont="1" applyBorder="1" applyAlignment="1">
      <alignment horizontal="left" vertical="center"/>
    </xf>
    <xf numFmtId="170" fontId="34" fillId="0" borderId="29" xfId="0" quotePrefix="1" applyNumberFormat="1" applyFont="1" applyBorder="1" applyAlignment="1">
      <alignment horizontal="left" vertical="center"/>
    </xf>
    <xf numFmtId="0" fontId="35" fillId="0" borderId="7" xfId="0" applyFont="1" applyBorder="1" applyAlignment="1">
      <alignment horizontal="right" vertical="center"/>
    </xf>
    <xf numFmtId="0" fontId="35" fillId="0" borderId="8" xfId="0" applyFont="1" applyBorder="1" applyAlignment="1">
      <alignment vertical="center"/>
    </xf>
    <xf numFmtId="1" fontId="43" fillId="2" borderId="22" xfId="0" applyNumberFormat="1" applyFont="1" applyFill="1" applyBorder="1" applyAlignment="1">
      <alignment horizontal="center" vertical="center"/>
    </xf>
    <xf numFmtId="1" fontId="43" fillId="2" borderId="12" xfId="0" applyNumberFormat="1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 vertical="center"/>
    </xf>
    <xf numFmtId="169" fontId="43" fillId="2" borderId="12" xfId="0" applyNumberFormat="1" applyFont="1" applyFill="1" applyBorder="1" applyAlignment="1">
      <alignment horizontal="center" vertical="center"/>
    </xf>
    <xf numFmtId="1" fontId="43" fillId="2" borderId="60" xfId="0" applyNumberFormat="1" applyFont="1" applyFill="1" applyBorder="1" applyAlignment="1">
      <alignment horizontal="center" vertical="center"/>
    </xf>
    <xf numFmtId="1" fontId="35" fillId="2" borderId="43" xfId="0" applyNumberFormat="1" applyFont="1" applyFill="1" applyBorder="1" applyAlignment="1">
      <alignment horizontal="center" vertical="center"/>
    </xf>
    <xf numFmtId="2" fontId="42" fillId="0" borderId="26" xfId="0" applyNumberFormat="1" applyFont="1" applyBorder="1" applyAlignment="1">
      <alignment horizontal="center" vertical="center"/>
    </xf>
    <xf numFmtId="2" fontId="34" fillId="3" borderId="12" xfId="0" applyNumberFormat="1" applyFont="1" applyFill="1" applyBorder="1" applyAlignment="1">
      <alignment horizontal="center" vertical="center"/>
    </xf>
    <xf numFmtId="169" fontId="36" fillId="0" borderId="29" xfId="0" applyNumberFormat="1" applyFont="1" applyBorder="1" applyAlignment="1">
      <alignment horizontal="center" vertical="center"/>
    </xf>
    <xf numFmtId="0" fontId="43" fillId="0" borderId="32" xfId="0" applyFont="1" applyBorder="1" applyAlignment="1">
      <alignment vertical="center"/>
    </xf>
    <xf numFmtId="1" fontId="34" fillId="3" borderId="12" xfId="0" applyNumberFormat="1" applyFont="1" applyFill="1" applyBorder="1" applyAlignment="1">
      <alignment horizontal="center" vertical="center"/>
    </xf>
    <xf numFmtId="1" fontId="43" fillId="2" borderId="43" xfId="0" applyNumberFormat="1" applyFont="1" applyFill="1" applyBorder="1" applyAlignment="1">
      <alignment horizontal="center" vertical="center"/>
    </xf>
    <xf numFmtId="2" fontId="43" fillId="2" borderId="16" xfId="0" applyNumberFormat="1" applyFont="1" applyFill="1" applyBorder="1" applyAlignment="1">
      <alignment horizontal="center" vertical="center"/>
    </xf>
    <xf numFmtId="2" fontId="43" fillId="2" borderId="12" xfId="0" applyNumberFormat="1" applyFont="1" applyFill="1" applyBorder="1" applyAlignment="1">
      <alignment horizontal="center" vertical="center"/>
    </xf>
    <xf numFmtId="1" fontId="19" fillId="5" borderId="13" xfId="0" applyNumberFormat="1" applyFont="1" applyFill="1" applyBorder="1" applyAlignment="1">
      <alignment horizontal="center"/>
    </xf>
    <xf numFmtId="0" fontId="19" fillId="0" borderId="7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169" fontId="34" fillId="13" borderId="13" xfId="0" applyNumberFormat="1" applyFont="1" applyFill="1" applyBorder="1" applyAlignment="1">
      <alignment horizontal="center" vertical="center"/>
    </xf>
    <xf numFmtId="2" fontId="34" fillId="0" borderId="5" xfId="0" applyNumberFormat="1" applyFont="1" applyBorder="1" applyAlignment="1">
      <alignment horizontal="center" vertical="center"/>
    </xf>
    <xf numFmtId="1" fontId="49" fillId="13" borderId="22" xfId="0" applyNumberFormat="1" applyFont="1" applyFill="1" applyBorder="1" applyAlignment="1">
      <alignment horizontal="center" vertical="center"/>
    </xf>
    <xf numFmtId="1" fontId="49" fillId="13" borderId="12" xfId="0" applyNumberFormat="1" applyFont="1" applyFill="1" applyBorder="1" applyAlignment="1">
      <alignment horizontal="center" vertical="center"/>
    </xf>
    <xf numFmtId="1" fontId="50" fillId="13" borderId="13" xfId="0" applyNumberFormat="1" applyFont="1" applyFill="1" applyBorder="1" applyAlignment="1">
      <alignment horizontal="center" vertical="center"/>
    </xf>
    <xf numFmtId="2" fontId="35" fillId="13" borderId="12" xfId="0" applyNumberFormat="1" applyFont="1" applyFill="1" applyBorder="1" applyAlignment="1">
      <alignment horizontal="center" vertical="center"/>
    </xf>
    <xf numFmtId="169" fontId="35" fillId="2" borderId="22" xfId="0" applyNumberFormat="1" applyFont="1" applyFill="1" applyBorder="1" applyAlignment="1">
      <alignment horizontal="center" vertical="center"/>
    </xf>
    <xf numFmtId="2" fontId="34" fillId="5" borderId="18" xfId="0" applyNumberFormat="1" applyFont="1" applyFill="1" applyBorder="1" applyAlignment="1">
      <alignment horizontal="center" vertical="center"/>
    </xf>
    <xf numFmtId="2" fontId="34" fillId="2" borderId="18" xfId="0" applyNumberFormat="1" applyFont="1" applyFill="1" applyBorder="1" applyAlignment="1">
      <alignment horizontal="center" vertical="center"/>
    </xf>
    <xf numFmtId="2" fontId="50" fillId="13" borderId="12" xfId="0" applyNumberFormat="1" applyFont="1" applyFill="1" applyBorder="1" applyAlignment="1">
      <alignment horizontal="center" vertical="center"/>
    </xf>
    <xf numFmtId="1" fontId="34" fillId="15" borderId="13" xfId="0" applyNumberFormat="1" applyFont="1" applyFill="1" applyBorder="1" applyAlignment="1">
      <alignment horizontal="center" vertical="center"/>
    </xf>
    <xf numFmtId="2" fontId="35" fillId="14" borderId="12" xfId="0" applyNumberFormat="1" applyFont="1" applyFill="1" applyBorder="1" applyAlignment="1">
      <alignment horizontal="center" vertical="center"/>
    </xf>
    <xf numFmtId="2" fontId="34" fillId="15" borderId="22" xfId="0" applyNumberFormat="1" applyFont="1" applyFill="1" applyBorder="1" applyAlignment="1">
      <alignment horizontal="center" vertical="center"/>
    </xf>
    <xf numFmtId="2" fontId="34" fillId="15" borderId="20" xfId="0" applyNumberFormat="1" applyFont="1" applyFill="1" applyBorder="1" applyAlignment="1">
      <alignment horizontal="center" vertical="center"/>
    </xf>
    <xf numFmtId="2" fontId="34" fillId="15" borderId="12" xfId="0" applyNumberFormat="1" applyFont="1" applyFill="1" applyBorder="1" applyAlignment="1">
      <alignment horizontal="center" vertical="center"/>
    </xf>
    <xf numFmtId="1" fontId="34" fillId="15" borderId="22" xfId="0" applyNumberFormat="1" applyFont="1" applyFill="1" applyBorder="1" applyAlignment="1">
      <alignment horizontal="center" vertical="center"/>
    </xf>
    <xf numFmtId="0" fontId="13" fillId="0" borderId="47" xfId="0" applyFont="1" applyBorder="1" applyAlignment="1">
      <alignment vertical="center"/>
    </xf>
    <xf numFmtId="1" fontId="50" fillId="13" borderId="22" xfId="0" applyNumberFormat="1" applyFont="1" applyFill="1" applyBorder="1" applyAlignment="1">
      <alignment horizontal="center" vertical="center"/>
    </xf>
    <xf numFmtId="2" fontId="50" fillId="13" borderId="22" xfId="0" applyNumberFormat="1" applyFont="1" applyFill="1" applyBorder="1" applyAlignment="1">
      <alignment horizontal="center" vertical="center"/>
    </xf>
    <xf numFmtId="2" fontId="34" fillId="14" borderId="12" xfId="0" applyNumberFormat="1" applyFont="1" applyFill="1" applyBorder="1" applyAlignment="1">
      <alignment horizontal="center" vertical="center"/>
    </xf>
    <xf numFmtId="2" fontId="34" fillId="13" borderId="12" xfId="0" applyNumberFormat="1" applyFont="1" applyFill="1" applyBorder="1" applyAlignment="1">
      <alignment horizontal="center" vertical="center"/>
    </xf>
    <xf numFmtId="0" fontId="36" fillId="0" borderId="0" xfId="0" applyFont="1"/>
    <xf numFmtId="0" fontId="36" fillId="0" borderId="55" xfId="0" applyFont="1" applyBorder="1"/>
    <xf numFmtId="1" fontId="34" fillId="14" borderId="13" xfId="0" applyNumberFormat="1" applyFont="1" applyFill="1" applyBorder="1" applyAlignment="1">
      <alignment horizontal="center" vertical="center"/>
    </xf>
    <xf numFmtId="1" fontId="34" fillId="13" borderId="13" xfId="0" applyNumberFormat="1" applyFont="1" applyFill="1" applyBorder="1" applyAlignment="1">
      <alignment horizontal="center" vertical="center"/>
    </xf>
    <xf numFmtId="0" fontId="34" fillId="14" borderId="12" xfId="0" applyFont="1" applyFill="1" applyBorder="1" applyAlignment="1">
      <alignment horizontal="center" vertical="center"/>
    </xf>
    <xf numFmtId="0" fontId="34" fillId="13" borderId="12" xfId="0" applyFont="1" applyFill="1" applyBorder="1" applyAlignment="1">
      <alignment horizontal="center" vertical="center"/>
    </xf>
    <xf numFmtId="169" fontId="34" fillId="14" borderId="12" xfId="0" applyNumberFormat="1" applyFont="1" applyFill="1" applyBorder="1" applyAlignment="1">
      <alignment horizontal="center" vertical="center"/>
    </xf>
    <xf numFmtId="169" fontId="34" fillId="13" borderId="12" xfId="0" applyNumberFormat="1" applyFont="1" applyFill="1" applyBorder="1" applyAlignment="1">
      <alignment horizontal="center" vertical="center"/>
    </xf>
    <xf numFmtId="2" fontId="34" fillId="14" borderId="22" xfId="0" applyNumberFormat="1" applyFont="1" applyFill="1" applyBorder="1" applyAlignment="1">
      <alignment horizontal="center" vertical="center"/>
    </xf>
    <xf numFmtId="2" fontId="34" fillId="13" borderId="22" xfId="0" applyNumberFormat="1" applyFont="1" applyFill="1" applyBorder="1" applyAlignment="1">
      <alignment horizontal="center" vertical="center"/>
    </xf>
    <xf numFmtId="171" fontId="34" fillId="13" borderId="12" xfId="0" applyNumberFormat="1" applyFont="1" applyFill="1" applyBorder="1" applyAlignment="1">
      <alignment horizontal="center" vertical="center"/>
    </xf>
    <xf numFmtId="0" fontId="34" fillId="15" borderId="12" xfId="0" applyFont="1" applyFill="1" applyBorder="1" applyAlignment="1">
      <alignment horizontal="center" vertical="center"/>
    </xf>
    <xf numFmtId="2" fontId="34" fillId="14" borderId="13" xfId="0" applyNumberFormat="1" applyFont="1" applyFill="1" applyBorder="1" applyAlignment="1">
      <alignment horizontal="center" vertical="center"/>
    </xf>
    <xf numFmtId="2" fontId="34" fillId="13" borderId="13" xfId="0" applyNumberFormat="1" applyFont="1" applyFill="1" applyBorder="1" applyAlignment="1">
      <alignment horizontal="center" vertical="center"/>
    </xf>
    <xf numFmtId="1" fontId="50" fillId="13" borderId="20" xfId="0" applyNumberFormat="1" applyFont="1" applyFill="1" applyBorder="1" applyAlignment="1">
      <alignment horizontal="center" vertical="center"/>
    </xf>
    <xf numFmtId="0" fontId="34" fillId="0" borderId="6" xfId="0" applyFont="1" applyBorder="1"/>
    <xf numFmtId="1" fontId="50" fillId="13" borderId="12" xfId="0" applyNumberFormat="1" applyFont="1" applyFill="1" applyBorder="1" applyAlignment="1">
      <alignment horizontal="center" vertical="center"/>
    </xf>
    <xf numFmtId="1" fontId="34" fillId="0" borderId="67" xfId="0" applyNumberFormat="1" applyFont="1" applyBorder="1" applyAlignment="1">
      <alignment horizontal="center" vertical="center"/>
    </xf>
    <xf numFmtId="2" fontId="34" fillId="14" borderId="6" xfId="0" applyNumberFormat="1" applyFont="1" applyFill="1" applyBorder="1" applyAlignment="1">
      <alignment horizontal="center" vertical="center"/>
    </xf>
    <xf numFmtId="169" fontId="34" fillId="13" borderId="20" xfId="0" applyNumberFormat="1" applyFont="1" applyFill="1" applyBorder="1" applyAlignment="1">
      <alignment horizontal="center" vertical="center"/>
    </xf>
    <xf numFmtId="0" fontId="34" fillId="0" borderId="55" xfId="0" applyFont="1" applyBorder="1"/>
    <xf numFmtId="1" fontId="34" fillId="2" borderId="43" xfId="0" applyNumberFormat="1" applyFont="1" applyFill="1" applyBorder="1" applyAlignment="1">
      <alignment horizontal="center" vertical="center"/>
    </xf>
    <xf numFmtId="2" fontId="34" fillId="14" borderId="25" xfId="0" applyNumberFormat="1" applyFont="1" applyFill="1" applyBorder="1" applyAlignment="1">
      <alignment horizontal="center" vertical="center"/>
    </xf>
    <xf numFmtId="1" fontId="34" fillId="14" borderId="18" xfId="0" applyNumberFormat="1" applyFont="1" applyFill="1" applyBorder="1" applyAlignment="1">
      <alignment horizontal="center" vertical="center"/>
    </xf>
    <xf numFmtId="2" fontId="34" fillId="14" borderId="47" xfId="0" applyNumberFormat="1" applyFont="1" applyFill="1" applyBorder="1" applyAlignment="1">
      <alignment horizontal="center" vertical="center"/>
    </xf>
    <xf numFmtId="2" fontId="34" fillId="15" borderId="47" xfId="0" applyNumberFormat="1" applyFont="1" applyFill="1" applyBorder="1" applyAlignment="1">
      <alignment horizontal="center" vertical="center"/>
    </xf>
    <xf numFmtId="2" fontId="34" fillId="13" borderId="20" xfId="0" applyNumberFormat="1" applyFont="1" applyFill="1" applyBorder="1" applyAlignment="1">
      <alignment horizontal="center" vertical="center"/>
    </xf>
    <xf numFmtId="0" fontId="19" fillId="15" borderId="12" xfId="0" applyFont="1" applyFill="1" applyBorder="1" applyAlignment="1">
      <alignment horizontal="center" vertical="center"/>
    </xf>
    <xf numFmtId="0" fontId="49" fillId="13" borderId="22" xfId="0" applyFont="1" applyFill="1" applyBorder="1" applyAlignment="1">
      <alignment horizontal="center" vertical="center"/>
    </xf>
    <xf numFmtId="1" fontId="38" fillId="2" borderId="22" xfId="0" applyNumberFormat="1" applyFont="1" applyFill="1" applyBorder="1" applyAlignment="1">
      <alignment horizontal="center" vertical="center"/>
    </xf>
    <xf numFmtId="1" fontId="13" fillId="0" borderId="24" xfId="0" applyNumberFormat="1" applyFont="1" applyBorder="1" applyAlignment="1">
      <alignment vertical="center"/>
    </xf>
    <xf numFmtId="1" fontId="38" fillId="2" borderId="13" xfId="0" applyNumberFormat="1" applyFont="1" applyFill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5" borderId="20" xfId="0" applyFont="1" applyFill="1" applyBorder="1" applyAlignment="1">
      <alignment horizontal="center" vertical="center"/>
    </xf>
    <xf numFmtId="0" fontId="34" fillId="7" borderId="20" xfId="0" applyFont="1" applyFill="1" applyBorder="1" applyAlignment="1">
      <alignment horizontal="center" vertical="center"/>
    </xf>
    <xf numFmtId="0" fontId="35" fillId="0" borderId="6" xfId="0" applyFont="1" applyBorder="1"/>
    <xf numFmtId="169" fontId="34" fillId="2" borderId="13" xfId="0" applyNumberFormat="1" applyFont="1" applyFill="1" applyBorder="1" applyAlignment="1">
      <alignment horizontal="center" vertical="center"/>
    </xf>
    <xf numFmtId="1" fontId="38" fillId="2" borderId="60" xfId="0" applyNumberFormat="1" applyFont="1" applyFill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1" fontId="35" fillId="5" borderId="10" xfId="0" applyNumberFormat="1" applyFont="1" applyFill="1" applyBorder="1" applyAlignment="1">
      <alignment horizontal="center" vertical="center"/>
    </xf>
    <xf numFmtId="2" fontId="36" fillId="0" borderId="29" xfId="0" applyNumberFormat="1" applyFont="1" applyBorder="1" applyAlignment="1">
      <alignment horizontal="center" vertical="center"/>
    </xf>
    <xf numFmtId="0" fontId="42" fillId="0" borderId="29" xfId="0" applyFont="1" applyBorder="1"/>
    <xf numFmtId="0" fontId="42" fillId="0" borderId="22" xfId="0" applyFont="1" applyBorder="1"/>
    <xf numFmtId="0" fontId="13" fillId="0" borderId="44" xfId="0" applyFont="1" applyBorder="1" applyAlignment="1">
      <alignment vertical="center"/>
    </xf>
    <xf numFmtId="1" fontId="35" fillId="0" borderId="41" xfId="0" applyNumberFormat="1" applyFont="1" applyBorder="1" applyAlignment="1">
      <alignment horizontal="center" vertical="center"/>
    </xf>
    <xf numFmtId="0" fontId="34" fillId="0" borderId="1" xfId="0" applyFont="1" applyBorder="1"/>
    <xf numFmtId="2" fontId="35" fillId="13" borderId="22" xfId="0" quotePrefix="1" applyNumberFormat="1" applyFont="1" applyFill="1" applyBorder="1" applyAlignment="1">
      <alignment horizontal="center" vertical="center"/>
    </xf>
    <xf numFmtId="169" fontId="34" fillId="2" borderId="22" xfId="0" applyNumberFormat="1" applyFont="1" applyFill="1" applyBorder="1" applyAlignment="1">
      <alignment horizontal="center" vertical="center"/>
    </xf>
    <xf numFmtId="2" fontId="34" fillId="13" borderId="18" xfId="0" applyNumberFormat="1" applyFont="1" applyFill="1" applyBorder="1" applyAlignment="1">
      <alignment horizontal="center" vertical="center"/>
    </xf>
    <xf numFmtId="1" fontId="34" fillId="13" borderId="12" xfId="0" applyNumberFormat="1" applyFont="1" applyFill="1" applyBorder="1" applyAlignment="1">
      <alignment horizontal="center" vertical="center"/>
    </xf>
    <xf numFmtId="41" fontId="34" fillId="0" borderId="38" xfId="0" quotePrefix="1" applyNumberFormat="1" applyFont="1" applyBorder="1" applyAlignment="1">
      <alignment horizontal="left" vertical="center"/>
    </xf>
    <xf numFmtId="1" fontId="36" fillId="0" borderId="30" xfId="0" applyNumberFormat="1" applyFont="1" applyBorder="1" applyAlignment="1">
      <alignment horizontal="center" vertical="center"/>
    </xf>
    <xf numFmtId="0" fontId="17" fillId="0" borderId="52" xfId="0" applyFont="1" applyBorder="1" applyAlignment="1">
      <alignment vertical="center"/>
    </xf>
    <xf numFmtId="172" fontId="24" fillId="0" borderId="0" xfId="0" applyNumberFormat="1" applyFont="1"/>
    <xf numFmtId="0" fontId="49" fillId="14" borderId="22" xfId="0" applyFont="1" applyFill="1" applyBorder="1" applyAlignment="1">
      <alignment horizontal="center" vertical="center"/>
    </xf>
    <xf numFmtId="1" fontId="49" fillId="14" borderId="12" xfId="0" applyNumberFormat="1" applyFont="1" applyFill="1" applyBorder="1" applyAlignment="1">
      <alignment horizontal="center" vertical="center"/>
    </xf>
    <xf numFmtId="2" fontId="42" fillId="0" borderId="0" xfId="0" applyNumberFormat="1" applyFont="1" applyAlignment="1">
      <alignment horizontal="center" vertical="center"/>
    </xf>
    <xf numFmtId="1" fontId="34" fillId="14" borderId="22" xfId="0" applyNumberFormat="1" applyFont="1" applyFill="1" applyBorder="1" applyAlignment="1">
      <alignment horizontal="center" vertical="center"/>
    </xf>
    <xf numFmtId="2" fontId="34" fillId="14" borderId="20" xfId="0" applyNumberFormat="1" applyFont="1" applyFill="1" applyBorder="1" applyAlignment="1">
      <alignment horizontal="center" vertical="center"/>
    </xf>
    <xf numFmtId="169" fontId="34" fillId="14" borderId="22" xfId="0" applyNumberFormat="1" applyFont="1" applyFill="1" applyBorder="1" applyAlignment="1">
      <alignment horizontal="center" vertical="center"/>
    </xf>
    <xf numFmtId="169" fontId="34" fillId="5" borderId="22" xfId="0" applyNumberFormat="1" applyFont="1" applyFill="1" applyBorder="1" applyAlignment="1">
      <alignment horizontal="center" vertical="center"/>
    </xf>
    <xf numFmtId="0" fontId="36" fillId="0" borderId="39" xfId="0" applyFont="1" applyBorder="1" applyAlignment="1">
      <alignment vertical="center"/>
    </xf>
    <xf numFmtId="1" fontId="35" fillId="0" borderId="26" xfId="0" applyNumberFormat="1" applyFont="1" applyBorder="1" applyAlignment="1">
      <alignment horizontal="center" vertical="center"/>
    </xf>
    <xf numFmtId="1" fontId="35" fillId="0" borderId="49" xfId="0" applyNumberFormat="1" applyFont="1" applyBorder="1" applyAlignment="1">
      <alignment horizontal="center" vertical="center"/>
    </xf>
    <xf numFmtId="0" fontId="34" fillId="0" borderId="31" xfId="0" applyFont="1" applyBorder="1" applyAlignment="1">
      <alignment vertical="center"/>
    </xf>
    <xf numFmtId="1" fontId="35" fillId="0" borderId="37" xfId="0" applyNumberFormat="1" applyFont="1" applyBorder="1" applyAlignment="1">
      <alignment horizontal="center" vertical="center"/>
    </xf>
    <xf numFmtId="1" fontId="34" fillId="14" borderId="12" xfId="0" applyNumberFormat="1" applyFont="1" applyFill="1" applyBorder="1" applyAlignment="1">
      <alignment horizontal="center" vertical="center"/>
    </xf>
    <xf numFmtId="1" fontId="34" fillId="14" borderId="20" xfId="0" applyNumberFormat="1" applyFont="1" applyFill="1" applyBorder="1" applyAlignment="1">
      <alignment horizontal="center" vertical="center"/>
    </xf>
    <xf numFmtId="2" fontId="43" fillId="14" borderId="12" xfId="0" applyNumberFormat="1" applyFont="1" applyFill="1" applyBorder="1" applyAlignment="1">
      <alignment horizontal="center" vertical="center"/>
    </xf>
    <xf numFmtId="1" fontId="34" fillId="14" borderId="16" xfId="0" applyNumberFormat="1" applyFont="1" applyFill="1" applyBorder="1" applyAlignment="1">
      <alignment horizontal="center" vertical="center"/>
    </xf>
    <xf numFmtId="169" fontId="57" fillId="0" borderId="18" xfId="0" applyNumberFormat="1" applyFont="1" applyBorder="1" applyAlignment="1">
      <alignment horizontal="center" vertical="center"/>
    </xf>
    <xf numFmtId="0" fontId="56" fillId="0" borderId="24" xfId="0" applyFont="1" applyBorder="1" applyAlignment="1">
      <alignment vertical="center"/>
    </xf>
    <xf numFmtId="169" fontId="57" fillId="0" borderId="16" xfId="0" quotePrefix="1" applyNumberFormat="1" applyFont="1" applyBorder="1" applyAlignment="1">
      <alignment horizontal="center" vertical="center"/>
    </xf>
    <xf numFmtId="0" fontId="56" fillId="0" borderId="51" xfId="0" applyFont="1" applyBorder="1" applyAlignment="1">
      <alignment vertical="center"/>
    </xf>
    <xf numFmtId="169" fontId="57" fillId="0" borderId="40" xfId="0" quotePrefix="1" applyNumberFormat="1" applyFont="1" applyBorder="1" applyAlignment="1">
      <alignment horizontal="right" vertical="center"/>
    </xf>
    <xf numFmtId="0" fontId="56" fillId="0" borderId="52" xfId="0" applyFont="1" applyBorder="1" applyAlignment="1">
      <alignment vertical="center"/>
    </xf>
    <xf numFmtId="0" fontId="60" fillId="0" borderId="49" xfId="0" applyFont="1" applyBorder="1" applyAlignment="1">
      <alignment vertical="center"/>
    </xf>
    <xf numFmtId="167" fontId="11" fillId="0" borderId="37" xfId="0" applyNumberFormat="1" applyFont="1" applyBorder="1" applyAlignment="1" applyProtection="1">
      <alignment horizontal="center" vertical="center"/>
      <protection locked="0"/>
    </xf>
    <xf numFmtId="167" fontId="11" fillId="0" borderId="65" xfId="0" applyNumberFormat="1" applyFont="1" applyBorder="1" applyAlignment="1" applyProtection="1">
      <alignment horizontal="center" vertical="center"/>
      <protection locked="0"/>
    </xf>
    <xf numFmtId="167" fontId="11" fillId="4" borderId="67" xfId="0" applyNumberFormat="1" applyFont="1" applyFill="1" applyBorder="1" applyAlignment="1" applyProtection="1">
      <alignment horizontal="center" vertical="center"/>
      <protection locked="0"/>
    </xf>
    <xf numFmtId="0" fontId="10" fillId="0" borderId="64" xfId="0" applyFont="1" applyBorder="1" applyAlignment="1">
      <alignment horizontal="center" vertical="center"/>
    </xf>
    <xf numFmtId="167" fontId="10" fillId="9" borderId="15" xfId="0" applyNumberFormat="1" applyFont="1" applyFill="1" applyBorder="1" applyAlignment="1">
      <alignment horizontal="center" vertical="center"/>
    </xf>
    <xf numFmtId="0" fontId="24" fillId="0" borderId="77" xfId="0" applyFont="1" applyBorder="1"/>
    <xf numFmtId="0" fontId="33" fillId="0" borderId="78" xfId="0" applyFont="1" applyBorder="1"/>
    <xf numFmtId="0" fontId="59" fillId="0" borderId="78" xfId="0" applyFont="1" applyBorder="1"/>
    <xf numFmtId="0" fontId="34" fillId="5" borderId="81" xfId="0" applyFont="1" applyFill="1" applyBorder="1" applyAlignment="1">
      <alignment horizontal="center" vertical="center"/>
    </xf>
    <xf numFmtId="0" fontId="34" fillId="2" borderId="81" xfId="0" applyFont="1" applyFill="1" applyBorder="1" applyAlignment="1">
      <alignment horizontal="center" vertical="center"/>
    </xf>
    <xf numFmtId="0" fontId="35" fillId="2" borderId="81" xfId="0" applyFont="1" applyFill="1" applyBorder="1" applyAlignment="1">
      <alignment horizontal="center" vertical="center"/>
    </xf>
    <xf numFmtId="0" fontId="34" fillId="3" borderId="81" xfId="0" applyFont="1" applyFill="1" applyBorder="1" applyAlignment="1">
      <alignment horizontal="center" vertical="center"/>
    </xf>
    <xf numFmtId="0" fontId="34" fillId="0" borderId="83" xfId="0" applyFont="1" applyBorder="1" applyAlignment="1">
      <alignment horizontal="center" vertical="center"/>
    </xf>
    <xf numFmtId="169" fontId="34" fillId="2" borderId="81" xfId="0" applyNumberFormat="1" applyFont="1" applyFill="1" applyBorder="1" applyAlignment="1">
      <alignment horizontal="center" vertical="center"/>
    </xf>
    <xf numFmtId="0" fontId="24" fillId="0" borderId="84" xfId="0" applyFont="1" applyBorder="1"/>
    <xf numFmtId="0" fontId="39" fillId="0" borderId="0" xfId="0" applyFont="1" applyAlignment="1">
      <alignment horizontal="center" vertical="center"/>
    </xf>
    <xf numFmtId="0" fontId="24" fillId="0" borderId="85" xfId="0" applyFont="1" applyBorder="1"/>
    <xf numFmtId="0" fontId="24" fillId="0" borderId="86" xfId="0" applyFont="1" applyBorder="1"/>
    <xf numFmtId="1" fontId="26" fillId="0" borderId="0" xfId="0" applyNumberFormat="1" applyFont="1"/>
    <xf numFmtId="169" fontId="34" fillId="13" borderId="22" xfId="0" applyNumberFormat="1" applyFont="1" applyFill="1" applyBorder="1" applyAlignment="1">
      <alignment horizontal="center" vertical="center"/>
    </xf>
    <xf numFmtId="169" fontId="34" fillId="14" borderId="13" xfId="0" applyNumberFormat="1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" fontId="21" fillId="0" borderId="49" xfId="0" applyNumberFormat="1" applyFont="1" applyBorder="1" applyAlignment="1">
      <alignment vertical="center"/>
    </xf>
    <xf numFmtId="2" fontId="35" fillId="14" borderId="22" xfId="0" quotePrefix="1" applyNumberFormat="1" applyFont="1" applyFill="1" applyBorder="1" applyAlignment="1">
      <alignment horizontal="center" vertical="center"/>
    </xf>
    <xf numFmtId="1" fontId="34" fillId="3" borderId="19" xfId="0" applyNumberFormat="1" applyFont="1" applyFill="1" applyBorder="1" applyAlignment="1">
      <alignment horizontal="center" vertical="center"/>
    </xf>
    <xf numFmtId="2" fontId="34" fillId="15" borderId="50" xfId="0" applyNumberFormat="1" applyFont="1" applyFill="1" applyBorder="1" applyAlignment="1">
      <alignment horizontal="center" vertical="center"/>
    </xf>
    <xf numFmtId="1" fontId="35" fillId="3" borderId="60" xfId="0" applyNumberFormat="1" applyFont="1" applyFill="1" applyBorder="1" applyAlignment="1">
      <alignment horizontal="center" vertical="center"/>
    </xf>
    <xf numFmtId="2" fontId="34" fillId="14" borderId="18" xfId="0" applyNumberFormat="1" applyFont="1" applyFill="1" applyBorder="1" applyAlignment="1">
      <alignment horizontal="center" vertical="center"/>
    </xf>
    <xf numFmtId="2" fontId="34" fillId="14" borderId="12" xfId="0" quotePrefix="1" applyNumberFormat="1" applyFont="1" applyFill="1" applyBorder="1" applyAlignment="1">
      <alignment horizontal="center" vertical="center"/>
    </xf>
    <xf numFmtId="0" fontId="62" fillId="0" borderId="49" xfId="0" applyFont="1" applyBorder="1" applyAlignment="1">
      <alignment horizontal="center" vertical="center"/>
    </xf>
    <xf numFmtId="0" fontId="34" fillId="0" borderId="0" xfId="0" applyFont="1"/>
    <xf numFmtId="2" fontId="34" fillId="13" borderId="19" xfId="0" applyNumberFormat="1" applyFont="1" applyFill="1" applyBorder="1" applyAlignment="1">
      <alignment horizontal="center" vertical="center"/>
    </xf>
    <xf numFmtId="0" fontId="13" fillId="0" borderId="7" xfId="0" applyFont="1" applyBorder="1"/>
    <xf numFmtId="0" fontId="36" fillId="13" borderId="12" xfId="0" applyFont="1" applyFill="1" applyBorder="1" applyAlignment="1">
      <alignment horizontal="center" vertical="center"/>
    </xf>
    <xf numFmtId="0" fontId="60" fillId="0" borderId="44" xfId="0" applyFont="1" applyBorder="1" applyAlignment="1">
      <alignment vertical="center"/>
    </xf>
    <xf numFmtId="172" fontId="25" fillId="0" borderId="0" xfId="0" applyNumberFormat="1" applyFont="1" applyAlignment="1">
      <alignment horizontal="center" vertical="center"/>
    </xf>
    <xf numFmtId="0" fontId="34" fillId="13" borderId="22" xfId="0" applyFont="1" applyFill="1" applyBorder="1" applyAlignment="1">
      <alignment horizontal="center" vertical="center"/>
    </xf>
    <xf numFmtId="0" fontId="34" fillId="14" borderId="22" xfId="0" applyFont="1" applyFill="1" applyBorder="1" applyAlignment="1">
      <alignment horizontal="center" vertical="center"/>
    </xf>
    <xf numFmtId="0" fontId="34" fillId="15" borderId="22" xfId="0" applyFont="1" applyFill="1" applyBorder="1" applyAlignment="1">
      <alignment horizontal="center" vertical="center"/>
    </xf>
    <xf numFmtId="1" fontId="34" fillId="13" borderId="22" xfId="0" applyNumberFormat="1" applyFont="1" applyFill="1" applyBorder="1" applyAlignment="1">
      <alignment horizontal="center" vertical="center"/>
    </xf>
    <xf numFmtId="169" fontId="35" fillId="2" borderId="12" xfId="0" applyNumberFormat="1" applyFont="1" applyFill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63" fillId="0" borderId="6" xfId="0" applyFont="1" applyBorder="1" applyAlignment="1">
      <alignment vertical="center"/>
    </xf>
    <xf numFmtId="0" fontId="63" fillId="13" borderId="22" xfId="0" applyFont="1" applyFill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0" fontId="63" fillId="14" borderId="22" xfId="0" applyFont="1" applyFill="1" applyBorder="1" applyAlignment="1">
      <alignment horizontal="center" vertical="center"/>
    </xf>
    <xf numFmtId="0" fontId="55" fillId="0" borderId="6" xfId="0" applyFont="1" applyBorder="1" applyAlignment="1">
      <alignment vertical="center"/>
    </xf>
    <xf numFmtId="0" fontId="63" fillId="13" borderId="12" xfId="0" applyFont="1" applyFill="1" applyBorder="1" applyAlignment="1">
      <alignment horizontal="center" vertical="center"/>
    </xf>
    <xf numFmtId="0" fontId="63" fillId="14" borderId="12" xfId="0" applyFont="1" applyFill="1" applyBorder="1" applyAlignment="1">
      <alignment horizontal="center" vertical="center"/>
    </xf>
    <xf numFmtId="0" fontId="63" fillId="15" borderId="12" xfId="0" applyFont="1" applyFill="1" applyBorder="1" applyAlignment="1">
      <alignment horizontal="center" vertical="center"/>
    </xf>
    <xf numFmtId="0" fontId="65" fillId="0" borderId="26" xfId="0" applyFont="1" applyBorder="1" applyAlignment="1">
      <alignment horizontal="center" vertical="center"/>
    </xf>
    <xf numFmtId="171" fontId="43" fillId="2" borderId="43" xfId="0" applyNumberFormat="1" applyFont="1" applyFill="1" applyBorder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1" fontId="49" fillId="0" borderId="10" xfId="0" applyNumberFormat="1" applyFont="1" applyBorder="1" applyAlignment="1">
      <alignment horizontal="center" vertical="center"/>
    </xf>
    <xf numFmtId="0" fontId="34" fillId="13" borderId="10" xfId="0" applyFont="1" applyFill="1" applyBorder="1" applyAlignment="1">
      <alignment horizontal="center" vertical="center"/>
    </xf>
    <xf numFmtId="0" fontId="25" fillId="0" borderId="88" xfId="0" applyFont="1" applyBorder="1"/>
    <xf numFmtId="0" fontId="66" fillId="0" borderId="87" xfId="0" applyFont="1" applyBorder="1" applyAlignment="1">
      <alignment vertical="center"/>
    </xf>
    <xf numFmtId="0" fontId="34" fillId="2" borderId="89" xfId="0" applyFont="1" applyFill="1" applyBorder="1" applyAlignment="1">
      <alignment horizontal="center" vertical="center"/>
    </xf>
    <xf numFmtId="0" fontId="34" fillId="5" borderId="89" xfId="0" applyFont="1" applyFill="1" applyBorder="1" applyAlignment="1">
      <alignment horizontal="center" vertical="center"/>
    </xf>
    <xf numFmtId="0" fontId="35" fillId="2" borderId="89" xfId="0" applyFont="1" applyFill="1" applyBorder="1" applyAlignment="1">
      <alignment horizontal="center" vertical="center"/>
    </xf>
    <xf numFmtId="171" fontId="42" fillId="5" borderId="8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36" fillId="0" borderId="8" xfId="0" applyFont="1" applyBorder="1" applyAlignment="1">
      <alignment horizontal="left" vertical="center"/>
    </xf>
    <xf numFmtId="0" fontId="20" fillId="0" borderId="7" xfId="0" applyFont="1" applyBorder="1" applyAlignment="1">
      <alignment horizontal="right" vertical="center"/>
    </xf>
    <xf numFmtId="0" fontId="35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left" vertical="center"/>
    </xf>
    <xf numFmtId="170" fontId="19" fillId="0" borderId="6" xfId="0" applyNumberFormat="1" applyFont="1" applyBorder="1" applyAlignment="1">
      <alignment horizontal="left"/>
    </xf>
    <xf numFmtId="0" fontId="34" fillId="13" borderId="20" xfId="0" applyFont="1" applyFill="1" applyBorder="1" applyAlignment="1">
      <alignment horizontal="center" vertical="center"/>
    </xf>
    <xf numFmtId="0" fontId="34" fillId="14" borderId="20" xfId="0" applyFont="1" applyFill="1" applyBorder="1" applyAlignment="1">
      <alignment horizontal="center" vertical="center"/>
    </xf>
    <xf numFmtId="170" fontId="19" fillId="0" borderId="8" xfId="0" applyNumberFormat="1" applyFont="1" applyBorder="1" applyAlignment="1">
      <alignment horizontal="left" vertical="center"/>
    </xf>
    <xf numFmtId="0" fontId="24" fillId="18" borderId="0" xfId="0" applyFont="1" applyFill="1"/>
    <xf numFmtId="0" fontId="34" fillId="2" borderId="43" xfId="0" applyFont="1" applyFill="1" applyBorder="1" applyAlignment="1">
      <alignment horizontal="center" vertical="center"/>
    </xf>
    <xf numFmtId="0" fontId="34" fillId="5" borderId="43" xfId="0" applyFont="1" applyFill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1" fontId="43" fillId="14" borderId="12" xfId="0" applyNumberFormat="1" applyFont="1" applyFill="1" applyBorder="1" applyAlignment="1">
      <alignment horizontal="center" vertical="center"/>
    </xf>
    <xf numFmtId="2" fontId="34" fillId="13" borderId="12" xfId="0" quotePrefix="1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right" vertical="top"/>
    </xf>
    <xf numFmtId="1" fontId="34" fillId="14" borderId="60" xfId="0" applyNumberFormat="1" applyFont="1" applyFill="1" applyBorder="1" applyAlignment="1">
      <alignment horizontal="center" vertical="center"/>
    </xf>
    <xf numFmtId="0" fontId="38" fillId="6" borderId="9" xfId="0" applyFont="1" applyFill="1" applyBorder="1" applyAlignment="1">
      <alignment vertical="center"/>
    </xf>
    <xf numFmtId="0" fontId="42" fillId="0" borderId="5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70" fillId="0" borderId="24" xfId="0" applyFont="1" applyBorder="1" applyAlignment="1">
      <alignment vertical="center"/>
    </xf>
    <xf numFmtId="0" fontId="34" fillId="13" borderId="16" xfId="0" applyFont="1" applyFill="1" applyBorder="1" applyAlignment="1">
      <alignment horizontal="center" vertical="center"/>
    </xf>
    <xf numFmtId="0" fontId="34" fillId="14" borderId="16" xfId="0" applyFont="1" applyFill="1" applyBorder="1" applyAlignment="1">
      <alignment horizontal="center" vertical="center"/>
    </xf>
    <xf numFmtId="0" fontId="24" fillId="13" borderId="0" xfId="0" applyFont="1" applyFill="1"/>
    <xf numFmtId="169" fontId="43" fillId="2" borderId="60" xfId="0" applyNumberFormat="1" applyFont="1" applyFill="1" applyBorder="1" applyAlignment="1">
      <alignment horizontal="center" vertical="center"/>
    </xf>
    <xf numFmtId="2" fontId="43" fillId="0" borderId="55" xfId="0" applyNumberFormat="1" applyFont="1" applyBorder="1" applyAlignment="1">
      <alignment vertical="center"/>
    </xf>
    <xf numFmtId="2" fontId="43" fillId="0" borderId="39" xfId="0" applyNumberFormat="1" applyFont="1" applyBorder="1" applyAlignment="1">
      <alignment vertical="center"/>
    </xf>
    <xf numFmtId="1" fontId="34" fillId="2" borderId="97" xfId="0" applyNumberFormat="1" applyFont="1" applyFill="1" applyBorder="1" applyAlignment="1">
      <alignment horizontal="center" vertical="center"/>
    </xf>
    <xf numFmtId="1" fontId="34" fillId="14" borderId="97" xfId="0" applyNumberFormat="1" applyFont="1" applyFill="1" applyBorder="1" applyAlignment="1">
      <alignment horizontal="center" vertical="center"/>
    </xf>
    <xf numFmtId="169" fontId="34" fillId="13" borderId="101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71" fontId="34" fillId="14" borderId="12" xfId="0" applyNumberFormat="1" applyFont="1" applyFill="1" applyBorder="1" applyAlignment="1">
      <alignment horizontal="center" vertical="center"/>
    </xf>
    <xf numFmtId="1" fontId="34" fillId="13" borderId="16" xfId="0" applyNumberFormat="1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48" fillId="0" borderId="52" xfId="0" applyFont="1" applyBorder="1" applyAlignment="1">
      <alignment vertical="center"/>
    </xf>
    <xf numFmtId="0" fontId="50" fillId="0" borderId="0" xfId="0" applyFont="1" applyAlignment="1">
      <alignment vertical="center"/>
    </xf>
    <xf numFmtId="0" fontId="74" fillId="0" borderId="6" xfId="0" applyFont="1" applyBorder="1" applyAlignment="1">
      <alignment horizontal="center" vertical="center"/>
    </xf>
    <xf numFmtId="169" fontId="35" fillId="14" borderId="12" xfId="0" applyNumberFormat="1" applyFont="1" applyFill="1" applyBorder="1" applyAlignment="1">
      <alignment horizontal="center" vertical="center"/>
    </xf>
    <xf numFmtId="169" fontId="34" fillId="5" borderId="13" xfId="0" applyNumberFormat="1" applyFont="1" applyFill="1" applyBorder="1" applyAlignment="1">
      <alignment horizontal="center" vertical="center"/>
    </xf>
    <xf numFmtId="2" fontId="34" fillId="14" borderId="52" xfId="0" applyNumberFormat="1" applyFont="1" applyFill="1" applyBorder="1" applyAlignment="1">
      <alignment horizontal="center" vertical="center"/>
    </xf>
    <xf numFmtId="2" fontId="35" fillId="2" borderId="13" xfId="0" applyNumberFormat="1" applyFont="1" applyFill="1" applyBorder="1" applyAlignment="1">
      <alignment horizontal="center" vertical="center"/>
    </xf>
    <xf numFmtId="41" fontId="34" fillId="0" borderId="36" xfId="0" quotePrefix="1" applyNumberFormat="1" applyFont="1" applyBorder="1" applyAlignment="1">
      <alignment horizontal="left" vertical="center"/>
    </xf>
    <xf numFmtId="1" fontId="34" fillId="14" borderId="40" xfId="0" applyNumberFormat="1" applyFont="1" applyFill="1" applyBorder="1" applyAlignment="1">
      <alignment horizontal="center" vertical="center"/>
    </xf>
    <xf numFmtId="1" fontId="50" fillId="13" borderId="40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right" vertical="center"/>
    </xf>
    <xf numFmtId="1" fontId="35" fillId="0" borderId="5" xfId="0" applyNumberFormat="1" applyFont="1" applyBorder="1" applyAlignment="1">
      <alignment horizontal="center" vertical="center"/>
    </xf>
    <xf numFmtId="169" fontId="57" fillId="0" borderId="13" xfId="0" applyNumberFormat="1" applyFont="1" applyBorder="1" applyAlignment="1">
      <alignment horizontal="right" vertical="center"/>
    </xf>
    <xf numFmtId="1" fontId="34" fillId="13" borderId="40" xfId="0" applyNumberFormat="1" applyFont="1" applyFill="1" applyBorder="1" applyAlignment="1">
      <alignment horizontal="center" vertical="center"/>
    </xf>
    <xf numFmtId="0" fontId="34" fillId="0" borderId="62" xfId="0" applyFont="1" applyBorder="1" applyAlignment="1">
      <alignment vertical="center"/>
    </xf>
    <xf numFmtId="0" fontId="56" fillId="0" borderId="25" xfId="0" applyFont="1" applyBorder="1" applyAlignment="1">
      <alignment vertical="center"/>
    </xf>
    <xf numFmtId="0" fontId="42" fillId="0" borderId="55" xfId="0" applyFont="1" applyBorder="1" applyAlignment="1">
      <alignment horizontal="center" vertical="center"/>
    </xf>
    <xf numFmtId="169" fontId="76" fillId="0" borderId="40" xfId="0" applyNumberFormat="1" applyFont="1" applyBorder="1" applyAlignment="1">
      <alignment vertical="top"/>
    </xf>
    <xf numFmtId="0" fontId="42" fillId="0" borderId="22" xfId="0" applyFont="1" applyBorder="1" applyAlignment="1">
      <alignment vertical="top"/>
    </xf>
    <xf numFmtId="0" fontId="36" fillId="0" borderId="12" xfId="0" applyFont="1" applyBorder="1" applyAlignment="1">
      <alignment horizontal="right" vertical="center"/>
    </xf>
    <xf numFmtId="0" fontId="5" fillId="0" borderId="24" xfId="0" applyFont="1" applyBorder="1" applyAlignment="1">
      <alignment horizontal="center" vertical="center"/>
    </xf>
    <xf numFmtId="1" fontId="50" fillId="5" borderId="12" xfId="0" applyNumberFormat="1" applyFont="1" applyFill="1" applyBorder="1" applyAlignment="1">
      <alignment horizontal="center" vertical="center"/>
    </xf>
    <xf numFmtId="0" fontId="50" fillId="13" borderId="22" xfId="0" applyFont="1" applyFill="1" applyBorder="1" applyAlignment="1">
      <alignment horizontal="center" vertical="center"/>
    </xf>
    <xf numFmtId="0" fontId="50" fillId="14" borderId="22" xfId="0" applyFont="1" applyFill="1" applyBorder="1" applyAlignment="1">
      <alignment horizontal="center" vertical="center"/>
    </xf>
    <xf numFmtId="1" fontId="50" fillId="14" borderId="22" xfId="0" applyNumberFormat="1" applyFont="1" applyFill="1" applyBorder="1" applyAlignment="1">
      <alignment horizontal="center" vertical="center"/>
    </xf>
    <xf numFmtId="2" fontId="50" fillId="2" borderId="12" xfId="0" applyNumberFormat="1" applyFont="1" applyFill="1" applyBorder="1" applyAlignment="1">
      <alignment horizontal="center" vertical="center"/>
    </xf>
    <xf numFmtId="2" fontId="50" fillId="14" borderId="12" xfId="0" applyNumberFormat="1" applyFont="1" applyFill="1" applyBorder="1" applyAlignment="1">
      <alignment horizontal="center" vertical="center"/>
    </xf>
    <xf numFmtId="1" fontId="50" fillId="14" borderId="12" xfId="0" applyNumberFormat="1" applyFont="1" applyFill="1" applyBorder="1" applyAlignment="1">
      <alignment horizontal="center" vertical="center"/>
    </xf>
    <xf numFmtId="0" fontId="49" fillId="0" borderId="7" xfId="0" applyFont="1" applyBorder="1" applyAlignment="1">
      <alignment vertical="center"/>
    </xf>
    <xf numFmtId="0" fontId="36" fillId="13" borderId="22" xfId="0" applyFont="1" applyFill="1" applyBorder="1" applyAlignment="1">
      <alignment horizontal="center" vertical="center"/>
    </xf>
    <xf numFmtId="0" fontId="36" fillId="14" borderId="22" xfId="0" applyFont="1" applyFill="1" applyBorder="1" applyAlignment="1">
      <alignment horizontal="center" vertical="center"/>
    </xf>
    <xf numFmtId="0" fontId="36" fillId="0" borderId="36" xfId="0" applyFont="1" applyBorder="1" applyAlignment="1">
      <alignment vertical="center"/>
    </xf>
    <xf numFmtId="0" fontId="34" fillId="13" borderId="40" xfId="0" applyFont="1" applyFill="1" applyBorder="1" applyAlignment="1">
      <alignment horizontal="center" vertical="center"/>
    </xf>
    <xf numFmtId="0" fontId="34" fillId="14" borderId="40" xfId="0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34" fillId="0" borderId="5" xfId="0" applyFont="1" applyBorder="1" applyAlignment="1">
      <alignment horizontal="center" vertical="center"/>
    </xf>
    <xf numFmtId="0" fontId="34" fillId="13" borderId="13" xfId="0" applyFont="1" applyFill="1" applyBorder="1" applyAlignment="1">
      <alignment horizontal="center" vertical="center"/>
    </xf>
    <xf numFmtId="0" fontId="34" fillId="14" borderId="13" xfId="0" applyFont="1" applyFill="1" applyBorder="1" applyAlignment="1">
      <alignment horizontal="center" vertical="center"/>
    </xf>
    <xf numFmtId="0" fontId="34" fillId="13" borderId="18" xfId="0" applyFont="1" applyFill="1" applyBorder="1" applyAlignment="1">
      <alignment horizontal="center" vertical="center"/>
    </xf>
    <xf numFmtId="0" fontId="34" fillId="14" borderId="18" xfId="0" applyFont="1" applyFill="1" applyBorder="1" applyAlignment="1">
      <alignment horizontal="center" vertical="center"/>
    </xf>
    <xf numFmtId="1" fontId="34" fillId="13" borderId="18" xfId="0" applyNumberFormat="1" applyFont="1" applyFill="1" applyBorder="1" applyAlignment="1">
      <alignment horizontal="center" vertical="center"/>
    </xf>
    <xf numFmtId="0" fontId="77" fillId="0" borderId="5" xfId="0" applyFont="1" applyBorder="1" applyAlignment="1">
      <alignment horizontal="center" vertical="center"/>
    </xf>
    <xf numFmtId="0" fontId="77" fillId="13" borderId="13" xfId="0" applyFont="1" applyFill="1" applyBorder="1" applyAlignment="1">
      <alignment horizontal="center" vertical="center"/>
    </xf>
    <xf numFmtId="0" fontId="77" fillId="14" borderId="13" xfId="0" applyFont="1" applyFill="1" applyBorder="1" applyAlignment="1">
      <alignment horizontal="center" vertical="center"/>
    </xf>
    <xf numFmtId="1" fontId="77" fillId="14" borderId="13" xfId="0" applyNumberFormat="1" applyFont="1" applyFill="1" applyBorder="1" applyAlignment="1">
      <alignment horizontal="center" vertical="center"/>
    </xf>
    <xf numFmtId="1" fontId="77" fillId="13" borderId="13" xfId="0" applyNumberFormat="1" applyFont="1" applyFill="1" applyBorder="1" applyAlignment="1">
      <alignment horizontal="center" vertical="center"/>
    </xf>
    <xf numFmtId="0" fontId="36" fillId="13" borderId="20" xfId="0" applyFont="1" applyFill="1" applyBorder="1" applyAlignment="1">
      <alignment horizontal="center" vertical="center"/>
    </xf>
    <xf numFmtId="1" fontId="50" fillId="14" borderId="13" xfId="0" applyNumberFormat="1" applyFont="1" applyFill="1" applyBorder="1" applyAlignment="1">
      <alignment horizontal="center" vertical="center"/>
    </xf>
    <xf numFmtId="0" fontId="36" fillId="14" borderId="20" xfId="0" applyFont="1" applyFill="1" applyBorder="1" applyAlignment="1">
      <alignment horizontal="center" vertical="center"/>
    </xf>
    <xf numFmtId="0" fontId="38" fillId="0" borderId="29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63" fillId="0" borderId="4" xfId="0" applyFont="1" applyBorder="1" applyAlignment="1">
      <alignment vertical="center"/>
    </xf>
    <xf numFmtId="0" fontId="36" fillId="13" borderId="50" xfId="0" applyFont="1" applyFill="1" applyBorder="1" applyAlignment="1">
      <alignment horizontal="center" vertical="center"/>
    </xf>
    <xf numFmtId="0" fontId="34" fillId="13" borderId="50" xfId="0" applyFont="1" applyFill="1" applyBorder="1" applyAlignment="1">
      <alignment horizontal="center" vertical="center"/>
    </xf>
    <xf numFmtId="0" fontId="36" fillId="0" borderId="29" xfId="0" applyFont="1" applyBorder="1" applyAlignment="1">
      <alignment horizontal="left" vertical="center"/>
    </xf>
    <xf numFmtId="2" fontId="50" fillId="14" borderId="22" xfId="0" applyNumberFormat="1" applyFont="1" applyFill="1" applyBorder="1" applyAlignment="1">
      <alignment horizontal="center" vertical="center"/>
    </xf>
    <xf numFmtId="1" fontId="35" fillId="13" borderId="12" xfId="0" applyNumberFormat="1" applyFont="1" applyFill="1" applyBorder="1" applyAlignment="1">
      <alignment horizontal="center" vertical="center"/>
    </xf>
    <xf numFmtId="0" fontId="35" fillId="13" borderId="22" xfId="0" applyFont="1" applyFill="1" applyBorder="1" applyAlignment="1">
      <alignment horizontal="center" vertical="center"/>
    </xf>
    <xf numFmtId="0" fontId="71" fillId="0" borderId="24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2" fontId="50" fillId="14" borderId="20" xfId="0" applyNumberFormat="1" applyFont="1" applyFill="1" applyBorder="1" applyAlignment="1">
      <alignment horizontal="center" vertical="center"/>
    </xf>
    <xf numFmtId="2" fontId="50" fillId="13" borderId="20" xfId="0" applyNumberFormat="1" applyFont="1" applyFill="1" applyBorder="1" applyAlignment="1">
      <alignment horizontal="center" vertical="center"/>
    </xf>
    <xf numFmtId="0" fontId="36" fillId="0" borderId="36" xfId="0" applyFont="1" applyBorder="1" applyAlignment="1">
      <alignment horizontal="left" vertical="center"/>
    </xf>
    <xf numFmtId="1" fontId="35" fillId="13" borderId="13" xfId="0" applyNumberFormat="1" applyFont="1" applyFill="1" applyBorder="1" applyAlignment="1">
      <alignment horizontal="center" vertical="center"/>
    </xf>
    <xf numFmtId="0" fontId="37" fillId="0" borderId="31" xfId="0" applyFont="1" applyBorder="1" applyAlignment="1">
      <alignment vertical="center"/>
    </xf>
    <xf numFmtId="0" fontId="43" fillId="0" borderId="47" xfId="0" applyFont="1" applyBorder="1" applyAlignment="1">
      <alignment vertical="center"/>
    </xf>
    <xf numFmtId="0" fontId="34" fillId="0" borderId="63" xfId="0" applyFont="1" applyBorder="1" applyAlignment="1">
      <alignment vertical="center"/>
    </xf>
    <xf numFmtId="2" fontId="34" fillId="0" borderId="41" xfId="0" applyNumberFormat="1" applyFont="1" applyBorder="1" applyAlignment="1">
      <alignment horizontal="center" vertical="center"/>
    </xf>
    <xf numFmtId="0" fontId="35" fillId="14" borderId="6" xfId="0" applyFont="1" applyFill="1" applyBorder="1" applyAlignment="1">
      <alignment horizontal="center" vertical="center"/>
    </xf>
    <xf numFmtId="0" fontId="35" fillId="13" borderId="12" xfId="0" applyFont="1" applyFill="1" applyBorder="1" applyAlignment="1">
      <alignment horizontal="center" vertical="center"/>
    </xf>
    <xf numFmtId="0" fontId="35" fillId="14" borderId="12" xfId="0" applyFont="1" applyFill="1" applyBorder="1" applyAlignment="1">
      <alignment horizontal="center" vertical="center"/>
    </xf>
    <xf numFmtId="2" fontId="35" fillId="5" borderId="7" xfId="0" applyNumberFormat="1" applyFont="1" applyFill="1" applyBorder="1" applyAlignment="1">
      <alignment horizontal="center" vertical="center"/>
    </xf>
    <xf numFmtId="169" fontId="34" fillId="5" borderId="6" xfId="0" applyNumberFormat="1" applyFont="1" applyFill="1" applyBorder="1" applyAlignment="1">
      <alignment horizontal="center" vertical="center"/>
    </xf>
    <xf numFmtId="1" fontId="35" fillId="5" borderId="6" xfId="0" applyNumberFormat="1" applyFont="1" applyFill="1" applyBorder="1" applyAlignment="1">
      <alignment horizontal="center" vertical="center"/>
    </xf>
    <xf numFmtId="0" fontId="34" fillId="0" borderId="47" xfId="0" applyFont="1" applyBorder="1" applyAlignment="1">
      <alignment vertical="center"/>
    </xf>
    <xf numFmtId="0" fontId="36" fillId="0" borderId="29" xfId="0" applyFont="1" applyBorder="1" applyAlignment="1">
      <alignment horizontal="right" vertical="center"/>
    </xf>
    <xf numFmtId="0" fontId="36" fillId="0" borderId="59" xfId="0" applyFont="1" applyBorder="1" applyAlignment="1">
      <alignment horizontal="right" vertical="center"/>
    </xf>
    <xf numFmtId="0" fontId="34" fillId="0" borderId="4" xfId="0" applyFont="1" applyBorder="1" applyAlignment="1">
      <alignment horizontal="left" vertical="center"/>
    </xf>
    <xf numFmtId="0" fontId="36" fillId="14" borderId="12" xfId="0" applyFont="1" applyFill="1" applyBorder="1" applyAlignment="1">
      <alignment horizontal="center" vertical="center"/>
    </xf>
    <xf numFmtId="2" fontId="49" fillId="0" borderId="10" xfId="0" applyNumberFormat="1" applyFont="1" applyBorder="1" applyAlignment="1">
      <alignment horizontal="center" vertical="center"/>
    </xf>
    <xf numFmtId="2" fontId="49" fillId="0" borderId="23" xfId="0" applyNumberFormat="1" applyFont="1" applyBorder="1" applyAlignment="1">
      <alignment horizontal="center" vertical="center"/>
    </xf>
    <xf numFmtId="1" fontId="50" fillId="0" borderId="5" xfId="0" applyNumberFormat="1" applyFont="1" applyBorder="1" applyAlignment="1">
      <alignment horizontal="center" vertical="center"/>
    </xf>
    <xf numFmtId="1" fontId="35" fillId="13" borderId="22" xfId="0" applyNumberFormat="1" applyFont="1" applyFill="1" applyBorder="1" applyAlignment="1">
      <alignment horizontal="center" vertical="center"/>
    </xf>
    <xf numFmtId="0" fontId="56" fillId="0" borderId="44" xfId="0" applyFont="1" applyBorder="1" applyAlignment="1">
      <alignment vertical="center"/>
    </xf>
    <xf numFmtId="0" fontId="36" fillId="0" borderId="31" xfId="0" applyFont="1" applyBorder="1" applyAlignment="1">
      <alignment vertical="center"/>
    </xf>
    <xf numFmtId="1" fontId="34" fillId="0" borderId="10" xfId="0" applyNumberFormat="1" applyFont="1" applyBorder="1" applyAlignment="1">
      <alignment horizontal="center" vertical="center"/>
    </xf>
    <xf numFmtId="169" fontId="49" fillId="0" borderId="45" xfId="0" applyNumberFormat="1" applyFont="1" applyBorder="1" applyAlignment="1">
      <alignment horizontal="center" vertical="center"/>
    </xf>
    <xf numFmtId="0" fontId="56" fillId="0" borderId="87" xfId="0" applyFont="1" applyBorder="1" applyAlignment="1">
      <alignment vertical="center"/>
    </xf>
    <xf numFmtId="0" fontId="13" fillId="0" borderId="0" xfId="0" applyFont="1"/>
    <xf numFmtId="0" fontId="24" fillId="0" borderId="94" xfId="0" applyFont="1" applyBorder="1"/>
    <xf numFmtId="0" fontId="24" fillId="0" borderId="95" xfId="0" applyFont="1" applyBorder="1"/>
    <xf numFmtId="2" fontId="36" fillId="0" borderId="100" xfId="0" applyNumberFormat="1" applyFont="1" applyBorder="1" applyAlignment="1">
      <alignment horizontal="center" vertical="center"/>
    </xf>
    <xf numFmtId="170" fontId="19" fillId="0" borderId="99" xfId="0" applyNumberFormat="1" applyFont="1" applyBorder="1" applyAlignment="1">
      <alignment horizontal="left" vertical="center"/>
    </xf>
    <xf numFmtId="0" fontId="18" fillId="0" borderId="29" xfId="0" applyFont="1" applyBorder="1" applyAlignment="1">
      <alignment horizontal="left" vertical="center"/>
    </xf>
    <xf numFmtId="0" fontId="79" fillId="6" borderId="1" xfId="0" applyFont="1" applyFill="1" applyBorder="1" applyAlignment="1">
      <alignment vertical="center"/>
    </xf>
    <xf numFmtId="0" fontId="43" fillId="0" borderId="1" xfId="0" applyFont="1" applyBorder="1" applyAlignment="1">
      <alignment vertical="center"/>
    </xf>
    <xf numFmtId="1" fontId="63" fillId="0" borderId="69" xfId="0" applyNumberFormat="1" applyFont="1" applyBorder="1" applyAlignment="1">
      <alignment horizontal="center" vertical="center"/>
    </xf>
    <xf numFmtId="0" fontId="38" fillId="6" borderId="34" xfId="0" applyFont="1" applyFill="1" applyBorder="1" applyAlignment="1">
      <alignment vertical="center"/>
    </xf>
    <xf numFmtId="1" fontId="63" fillId="0" borderId="96" xfId="0" applyNumberFormat="1" applyFont="1" applyBorder="1" applyAlignment="1">
      <alignment horizontal="center" vertical="center"/>
    </xf>
    <xf numFmtId="169" fontId="49" fillId="0" borderId="10" xfId="0" applyNumberFormat="1" applyFont="1" applyBorder="1" applyAlignment="1">
      <alignment horizontal="center" vertical="center"/>
    </xf>
    <xf numFmtId="2" fontId="35" fillId="0" borderId="6" xfId="0" applyNumberFormat="1" applyFont="1" applyBorder="1" applyAlignment="1">
      <alignment horizontal="left" vertical="center"/>
    </xf>
    <xf numFmtId="1" fontId="63" fillId="2" borderId="13" xfId="0" applyNumberFormat="1" applyFont="1" applyFill="1" applyBorder="1" applyAlignment="1">
      <alignment horizontal="center" vertical="center"/>
    </xf>
    <xf numFmtId="1" fontId="63" fillId="13" borderId="16" xfId="0" applyNumberFormat="1" applyFont="1" applyFill="1" applyBorder="1" applyAlignment="1">
      <alignment horizontal="center" vertical="center"/>
    </xf>
    <xf numFmtId="1" fontId="63" fillId="0" borderId="26" xfId="0" applyNumberFormat="1" applyFont="1" applyBorder="1" applyAlignment="1">
      <alignment horizontal="center" vertical="center"/>
    </xf>
    <xf numFmtId="1" fontId="63" fillId="13" borderId="13" xfId="0" applyNumberFormat="1" applyFont="1" applyFill="1" applyBorder="1" applyAlignment="1">
      <alignment horizontal="center" vertical="center"/>
    </xf>
    <xf numFmtId="1" fontId="63" fillId="2" borderId="97" xfId="0" applyNumberFormat="1" applyFont="1" applyFill="1" applyBorder="1" applyAlignment="1">
      <alignment horizontal="center" vertical="center"/>
    </xf>
    <xf numFmtId="0" fontId="81" fillId="0" borderId="29" xfId="0" applyFont="1" applyBorder="1" applyAlignment="1">
      <alignment horizontal="left" vertical="center"/>
    </xf>
    <xf numFmtId="2" fontId="77" fillId="13" borderId="13" xfId="0" applyNumberFormat="1" applyFont="1" applyFill="1" applyBorder="1" applyAlignment="1">
      <alignment horizontal="center" vertical="center"/>
    </xf>
    <xf numFmtId="169" fontId="50" fillId="13" borderId="12" xfId="0" applyNumberFormat="1" applyFont="1" applyFill="1" applyBorder="1" applyAlignment="1">
      <alignment horizontal="center" vertical="center"/>
    </xf>
    <xf numFmtId="169" fontId="50" fillId="13" borderId="60" xfId="0" applyNumberFormat="1" applyFont="1" applyFill="1" applyBorder="1" applyAlignment="1">
      <alignment horizontal="center" vertical="center"/>
    </xf>
    <xf numFmtId="171" fontId="34" fillId="13" borderId="22" xfId="0" applyNumberFormat="1" applyFont="1" applyFill="1" applyBorder="1" applyAlignment="1">
      <alignment horizontal="center" vertical="center"/>
    </xf>
    <xf numFmtId="0" fontId="19" fillId="0" borderId="32" xfId="0" applyFont="1" applyBorder="1" applyAlignment="1">
      <alignment horizontal="left" vertical="center"/>
    </xf>
    <xf numFmtId="1" fontId="36" fillId="0" borderId="59" xfId="0" quotePrefix="1" applyNumberFormat="1" applyFont="1" applyBorder="1" applyAlignment="1">
      <alignment horizontal="center" vertical="center"/>
    </xf>
    <xf numFmtId="1" fontId="36" fillId="0" borderId="29" xfId="0" quotePrefix="1" applyNumberFormat="1" applyFont="1" applyBorder="1" applyAlignment="1">
      <alignment horizontal="center" vertical="center"/>
    </xf>
    <xf numFmtId="1" fontId="34" fillId="13" borderId="20" xfId="0" quotePrefix="1" applyNumberFormat="1" applyFont="1" applyFill="1" applyBorder="1" applyAlignment="1">
      <alignment horizontal="center" vertical="center"/>
    </xf>
    <xf numFmtId="1" fontId="34" fillId="13" borderId="22" xfId="0" quotePrefix="1" applyNumberFormat="1" applyFont="1" applyFill="1" applyBorder="1" applyAlignment="1">
      <alignment horizontal="center" vertical="center"/>
    </xf>
    <xf numFmtId="1" fontId="34" fillId="13" borderId="12" xfId="0" quotePrefix="1" applyNumberFormat="1" applyFont="1" applyFill="1" applyBorder="1" applyAlignment="1">
      <alignment horizontal="center" vertical="center"/>
    </xf>
    <xf numFmtId="1" fontId="34" fillId="13" borderId="16" xfId="0" quotePrefix="1" applyNumberFormat="1" applyFont="1" applyFill="1" applyBorder="1" applyAlignment="1">
      <alignment horizontal="center" vertical="center"/>
    </xf>
    <xf numFmtId="2" fontId="34" fillId="13" borderId="101" xfId="0" applyNumberFormat="1" applyFont="1" applyFill="1" applyBorder="1" applyAlignment="1">
      <alignment horizontal="center" vertical="center"/>
    </xf>
    <xf numFmtId="0" fontId="75" fillId="0" borderId="24" xfId="0" applyFont="1" applyBorder="1" applyAlignment="1">
      <alignment horizontal="center" vertical="center"/>
    </xf>
    <xf numFmtId="0" fontId="24" fillId="0" borderId="107" xfId="0" applyFont="1" applyBorder="1"/>
    <xf numFmtId="0" fontId="42" fillId="0" borderId="46" xfId="0" applyFont="1" applyBorder="1" applyAlignment="1">
      <alignment horizontal="center" vertical="center"/>
    </xf>
    <xf numFmtId="0" fontId="25" fillId="0" borderId="110" xfId="0" applyFont="1" applyBorder="1"/>
    <xf numFmtId="169" fontId="57" fillId="0" borderId="4" xfId="0" applyNumberFormat="1" applyFont="1" applyBorder="1" applyAlignment="1">
      <alignment horizontal="right" vertical="center"/>
    </xf>
    <xf numFmtId="0" fontId="25" fillId="0" borderId="54" xfId="0" applyFont="1" applyBorder="1"/>
    <xf numFmtId="0" fontId="36" fillId="0" borderId="54" xfId="0" applyFont="1" applyBorder="1" applyAlignment="1">
      <alignment horizontal="center" vertical="center"/>
    </xf>
    <xf numFmtId="0" fontId="36" fillId="0" borderId="103" xfId="0" applyFont="1" applyBorder="1" applyAlignment="1">
      <alignment horizontal="center" vertical="center"/>
    </xf>
    <xf numFmtId="0" fontId="24" fillId="0" borderId="93" xfId="0" applyFont="1" applyBorder="1"/>
    <xf numFmtId="0" fontId="36" fillId="0" borderId="30" xfId="0" applyFont="1" applyBorder="1" applyAlignment="1">
      <alignment horizontal="center" vertical="center"/>
    </xf>
    <xf numFmtId="0" fontId="35" fillId="0" borderId="8" xfId="0" applyFont="1" applyBorder="1" applyAlignment="1">
      <alignment horizontal="left" vertical="center" wrapText="1"/>
    </xf>
    <xf numFmtId="41" fontId="34" fillId="0" borderId="31" xfId="0" quotePrefix="1" applyNumberFormat="1" applyFont="1" applyBorder="1" applyAlignment="1">
      <alignment horizontal="left" vertical="center"/>
    </xf>
    <xf numFmtId="169" fontId="34" fillId="14" borderId="20" xfId="0" applyNumberFormat="1" applyFont="1" applyFill="1" applyBorder="1" applyAlignment="1">
      <alignment horizontal="center" vertical="center"/>
    </xf>
    <xf numFmtId="2" fontId="34" fillId="14" borderId="101" xfId="0" applyNumberFormat="1" applyFont="1" applyFill="1" applyBorder="1" applyAlignment="1">
      <alignment horizontal="center" vertical="center"/>
    </xf>
    <xf numFmtId="171" fontId="34" fillId="14" borderId="22" xfId="0" applyNumberFormat="1" applyFont="1" applyFill="1" applyBorder="1" applyAlignment="1">
      <alignment horizontal="center" vertical="center"/>
    </xf>
    <xf numFmtId="0" fontId="36" fillId="0" borderId="88" xfId="0" applyFont="1" applyBorder="1" applyAlignment="1">
      <alignment horizontal="center" vertical="center"/>
    </xf>
    <xf numFmtId="0" fontId="24" fillId="0" borderId="40" xfId="0" applyFont="1" applyBorder="1"/>
    <xf numFmtId="169" fontId="43" fillId="13" borderId="20" xfId="0" applyNumberFormat="1" applyFont="1" applyFill="1" applyBorder="1" applyAlignment="1">
      <alignment horizontal="center" vertical="center"/>
    </xf>
    <xf numFmtId="169" fontId="43" fillId="0" borderId="23" xfId="0" applyNumberFormat="1" applyFont="1" applyBorder="1" applyAlignment="1">
      <alignment horizontal="center" vertical="center"/>
    </xf>
    <xf numFmtId="1" fontId="63" fillId="14" borderId="13" xfId="0" applyNumberFormat="1" applyFont="1" applyFill="1" applyBorder="1" applyAlignment="1">
      <alignment horizontal="center" vertical="center"/>
    </xf>
    <xf numFmtId="1" fontId="35" fillId="14" borderId="22" xfId="0" applyNumberFormat="1" applyFont="1" applyFill="1" applyBorder="1" applyAlignment="1">
      <alignment horizontal="center" vertical="center"/>
    </xf>
    <xf numFmtId="1" fontId="50" fillId="13" borderId="18" xfId="0" applyNumberFormat="1" applyFont="1" applyFill="1" applyBorder="1" applyAlignment="1">
      <alignment horizontal="center" vertical="center"/>
    </xf>
    <xf numFmtId="1" fontId="82" fillId="13" borderId="22" xfId="0" applyNumberFormat="1" applyFont="1" applyFill="1" applyBorder="1" applyAlignment="1">
      <alignment horizontal="center" vertical="center"/>
    </xf>
    <xf numFmtId="1" fontId="50" fillId="14" borderId="18" xfId="0" applyNumberFormat="1" applyFont="1" applyFill="1" applyBorder="1" applyAlignment="1">
      <alignment horizontal="center" vertical="center"/>
    </xf>
    <xf numFmtId="0" fontId="36" fillId="0" borderId="63" xfId="0" applyFont="1" applyBorder="1" applyAlignment="1">
      <alignment horizontal="left" vertical="center"/>
    </xf>
    <xf numFmtId="1" fontId="49" fillId="0" borderId="30" xfId="0" applyNumberFormat="1" applyFont="1" applyBorder="1" applyAlignment="1">
      <alignment horizontal="center" vertical="center"/>
    </xf>
    <xf numFmtId="0" fontId="49" fillId="0" borderId="29" xfId="0" applyFont="1" applyBorder="1" applyAlignment="1">
      <alignment horizontal="center" vertical="center"/>
    </xf>
    <xf numFmtId="0" fontId="17" fillId="0" borderId="7" xfId="0" applyFont="1" applyBorder="1"/>
    <xf numFmtId="0" fontId="83" fillId="0" borderId="6" xfId="0" applyFont="1" applyBorder="1" applyAlignment="1">
      <alignment vertical="center"/>
    </xf>
    <xf numFmtId="0" fontId="84" fillId="0" borderId="6" xfId="0" applyFont="1" applyBorder="1" applyAlignment="1">
      <alignment vertical="center"/>
    </xf>
    <xf numFmtId="0" fontId="84" fillId="0" borderId="66" xfId="0" applyFont="1" applyBorder="1" applyAlignment="1">
      <alignment vertical="center"/>
    </xf>
    <xf numFmtId="0" fontId="84" fillId="0" borderId="24" xfId="0" applyFont="1" applyBorder="1" applyAlignment="1">
      <alignment vertical="center"/>
    </xf>
    <xf numFmtId="1" fontId="83" fillId="2" borderId="40" xfId="0" applyNumberFormat="1" applyFont="1" applyFill="1" applyBorder="1" applyAlignment="1">
      <alignment horizontal="center" vertical="center"/>
    </xf>
    <xf numFmtId="1" fontId="83" fillId="0" borderId="4" xfId="0" applyNumberFormat="1" applyFont="1" applyBorder="1" applyAlignment="1">
      <alignment horizontal="center" vertical="center"/>
    </xf>
    <xf numFmtId="1" fontId="76" fillId="2" borderId="13" xfId="0" applyNumberFormat="1" applyFont="1" applyFill="1" applyBorder="1" applyAlignment="1">
      <alignment horizontal="center" vertical="center"/>
    </xf>
    <xf numFmtId="1" fontId="76" fillId="5" borderId="13" xfId="0" applyNumberFormat="1" applyFont="1" applyFill="1" applyBorder="1" applyAlignment="1">
      <alignment horizontal="center" vertical="center"/>
    </xf>
    <xf numFmtId="2" fontId="77" fillId="14" borderId="13" xfId="0" applyNumberFormat="1" applyFont="1" applyFill="1" applyBorder="1" applyAlignment="1">
      <alignment horizontal="center" vertical="center"/>
    </xf>
    <xf numFmtId="1" fontId="76" fillId="13" borderId="13" xfId="0" applyNumberFormat="1" applyFont="1" applyFill="1" applyBorder="1" applyAlignment="1">
      <alignment horizontal="center" vertical="center"/>
    </xf>
    <xf numFmtId="0" fontId="38" fillId="0" borderId="63" xfId="0" applyFont="1" applyBorder="1" applyAlignment="1">
      <alignment horizontal="left" vertical="center" wrapText="1"/>
    </xf>
    <xf numFmtId="0" fontId="38" fillId="0" borderId="31" xfId="0" applyFont="1" applyBorder="1" applyAlignment="1">
      <alignment horizontal="left" vertical="center" wrapText="1"/>
    </xf>
    <xf numFmtId="0" fontId="38" fillId="0" borderId="32" xfId="0" applyFont="1" applyBorder="1" applyAlignment="1">
      <alignment horizontal="left" vertical="center" wrapText="1"/>
    </xf>
    <xf numFmtId="1" fontId="34" fillId="13" borderId="20" xfId="0" applyNumberFormat="1" applyFont="1" applyFill="1" applyBorder="1" applyAlignment="1">
      <alignment horizontal="center" vertical="center"/>
    </xf>
    <xf numFmtId="1" fontId="35" fillId="14" borderId="13" xfId="0" applyNumberFormat="1" applyFont="1" applyFill="1" applyBorder="1" applyAlignment="1">
      <alignment horizontal="center" vertical="center"/>
    </xf>
    <xf numFmtId="0" fontId="83" fillId="0" borderId="7" xfId="0" applyFont="1" applyBorder="1" applyAlignment="1">
      <alignment vertical="center"/>
    </xf>
    <xf numFmtId="0" fontId="36" fillId="0" borderId="36" xfId="0" applyFont="1" applyBorder="1" applyAlignment="1">
      <alignment horizontal="right" vertical="center"/>
    </xf>
    <xf numFmtId="1" fontId="36" fillId="0" borderId="5" xfId="0" applyNumberFormat="1" applyFont="1" applyBorder="1" applyAlignment="1">
      <alignment horizontal="center" vertical="center"/>
    </xf>
    <xf numFmtId="169" fontId="50" fillId="14" borderId="12" xfId="0" applyNumberFormat="1" applyFont="1" applyFill="1" applyBorder="1" applyAlignment="1">
      <alignment horizontal="center" vertical="center"/>
    </xf>
    <xf numFmtId="169" fontId="34" fillId="13" borderId="20" xfId="0" quotePrefix="1" applyNumberFormat="1" applyFont="1" applyFill="1" applyBorder="1" applyAlignment="1">
      <alignment horizontal="center" vertical="center"/>
    </xf>
    <xf numFmtId="169" fontId="34" fillId="14" borderId="20" xfId="0" quotePrefix="1" applyNumberFormat="1" applyFont="1" applyFill="1" applyBorder="1" applyAlignment="1">
      <alignment horizontal="center" vertical="center"/>
    </xf>
    <xf numFmtId="169" fontId="34" fillId="13" borderId="22" xfId="0" quotePrefix="1" applyNumberFormat="1" applyFont="1" applyFill="1" applyBorder="1" applyAlignment="1">
      <alignment horizontal="center" vertical="center"/>
    </xf>
    <xf numFmtId="169" fontId="34" fillId="14" borderId="22" xfId="0" quotePrefix="1" applyNumberFormat="1" applyFont="1" applyFill="1" applyBorder="1" applyAlignment="1">
      <alignment horizontal="center" vertical="center"/>
    </xf>
    <xf numFmtId="170" fontId="19" fillId="0" borderId="6" xfId="0" applyNumberFormat="1" applyFont="1" applyBorder="1" applyAlignment="1">
      <alignment horizontal="left" vertical="center"/>
    </xf>
    <xf numFmtId="169" fontId="57" fillId="0" borderId="43" xfId="0" applyNumberFormat="1" applyFont="1" applyBorder="1" applyAlignment="1">
      <alignment vertical="top"/>
    </xf>
    <xf numFmtId="169" fontId="57" fillId="0" borderId="40" xfId="0" applyNumberFormat="1" applyFont="1" applyBorder="1" applyAlignment="1">
      <alignment vertical="top"/>
    </xf>
    <xf numFmtId="2" fontId="34" fillId="13" borderId="25" xfId="0" applyNumberFormat="1" applyFont="1" applyFill="1" applyBorder="1" applyAlignment="1">
      <alignment horizontal="center" vertical="center"/>
    </xf>
    <xf numFmtId="2" fontId="43" fillId="2" borderId="22" xfId="0" applyNumberFormat="1" applyFont="1" applyFill="1" applyBorder="1" applyAlignment="1">
      <alignment horizontal="center" vertical="center"/>
    </xf>
    <xf numFmtId="2" fontId="43" fillId="2" borderId="20" xfId="0" applyNumberFormat="1" applyFont="1" applyFill="1" applyBorder="1" applyAlignment="1">
      <alignment horizontal="center" vertical="center"/>
    </xf>
    <xf numFmtId="0" fontId="34" fillId="13" borderId="60" xfId="0" applyFont="1" applyFill="1" applyBorder="1" applyAlignment="1">
      <alignment horizontal="center" vertical="center"/>
    </xf>
    <xf numFmtId="1" fontId="77" fillId="0" borderId="5" xfId="0" applyNumberFormat="1" applyFont="1" applyBorder="1" applyAlignment="1">
      <alignment horizontal="center" vertical="center"/>
    </xf>
    <xf numFmtId="1" fontId="43" fillId="2" borderId="13" xfId="0" applyNumberFormat="1" applyFont="1" applyFill="1" applyBorder="1" applyAlignment="1">
      <alignment horizontal="center" vertical="center"/>
    </xf>
    <xf numFmtId="1" fontId="83" fillId="13" borderId="16" xfId="0" applyNumberFormat="1" applyFont="1" applyFill="1" applyBorder="1" applyAlignment="1">
      <alignment horizontal="center" vertical="center"/>
    </xf>
    <xf numFmtId="1" fontId="83" fillId="2" borderId="13" xfId="0" applyNumberFormat="1" applyFont="1" applyFill="1" applyBorder="1" applyAlignment="1">
      <alignment horizontal="center" vertical="center"/>
    </xf>
    <xf numFmtId="0" fontId="42" fillId="0" borderId="54" xfId="0" applyFont="1" applyBorder="1" applyAlignment="1">
      <alignment horizontal="center" vertical="top"/>
    </xf>
    <xf numFmtId="0" fontId="24" fillId="0" borderId="112" xfId="0" applyFont="1" applyBorder="1"/>
    <xf numFmtId="0" fontId="24" fillId="0" borderId="113" xfId="0" applyFont="1" applyBorder="1"/>
    <xf numFmtId="0" fontId="43" fillId="0" borderId="76" xfId="0" applyFont="1" applyBorder="1" applyAlignment="1">
      <alignment vertical="center"/>
    </xf>
    <xf numFmtId="0" fontId="42" fillId="0" borderId="103" xfId="0" applyFont="1" applyBorder="1" applyAlignment="1">
      <alignment horizontal="center" vertical="top"/>
    </xf>
    <xf numFmtId="0" fontId="55" fillId="0" borderId="44" xfId="0" applyFont="1" applyBorder="1"/>
    <xf numFmtId="0" fontId="55" fillId="0" borderId="24" xfId="0" applyFont="1" applyBorder="1"/>
    <xf numFmtId="0" fontId="67" fillId="0" borderId="39" xfId="0" applyFont="1" applyBorder="1"/>
    <xf numFmtId="0" fontId="67" fillId="0" borderId="44" xfId="0" applyFont="1" applyBorder="1"/>
    <xf numFmtId="0" fontId="67" fillId="2" borderId="18" xfId="0" applyFont="1" applyFill="1" applyBorder="1"/>
    <xf numFmtId="0" fontId="79" fillId="0" borderId="45" xfId="0" applyFont="1" applyBorder="1" applyAlignment="1">
      <alignment horizontal="center"/>
    </xf>
    <xf numFmtId="0" fontId="79" fillId="0" borderId="46" xfId="0" applyFont="1" applyBorder="1" applyAlignment="1">
      <alignment horizontal="center"/>
    </xf>
    <xf numFmtId="0" fontId="79" fillId="0" borderId="30" xfId="0" applyFont="1" applyBorder="1" applyAlignment="1">
      <alignment horizontal="center"/>
    </xf>
    <xf numFmtId="0" fontId="67" fillId="0" borderId="31" xfId="0" applyFont="1" applyBorder="1" applyAlignment="1">
      <alignment horizontal="right"/>
    </xf>
    <xf numFmtId="0" fontId="67" fillId="0" borderId="37" xfId="0" applyFont="1" applyBorder="1" applyAlignment="1">
      <alignment horizontal="center" vertical="center"/>
    </xf>
    <xf numFmtId="0" fontId="67" fillId="5" borderId="12" xfId="0" applyFont="1" applyFill="1" applyBorder="1" applyAlignment="1">
      <alignment horizontal="center" vertical="center"/>
    </xf>
    <xf numFmtId="0" fontId="86" fillId="2" borderId="12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left"/>
    </xf>
    <xf numFmtId="0" fontId="87" fillId="0" borderId="6" xfId="0" applyFont="1" applyBorder="1"/>
    <xf numFmtId="169" fontId="87" fillId="0" borderId="6" xfId="0" applyNumberFormat="1" applyFont="1" applyBorder="1" applyAlignment="1">
      <alignment horizontal="center"/>
    </xf>
    <xf numFmtId="1" fontId="86" fillId="2" borderId="12" xfId="0" applyNumberFormat="1" applyFont="1" applyFill="1" applyBorder="1" applyAlignment="1">
      <alignment horizontal="center" vertical="center"/>
    </xf>
    <xf numFmtId="0" fontId="86" fillId="2" borderId="22" xfId="0" applyFont="1" applyFill="1" applyBorder="1" applyAlignment="1">
      <alignment horizontal="center" vertical="center"/>
    </xf>
    <xf numFmtId="1" fontId="86" fillId="2" borderId="22" xfId="0" applyNumberFormat="1" applyFont="1" applyFill="1" applyBorder="1" applyAlignment="1">
      <alignment horizontal="center" vertical="center"/>
    </xf>
    <xf numFmtId="0" fontId="79" fillId="0" borderId="30" xfId="0" applyFont="1" applyBorder="1" applyAlignment="1">
      <alignment horizontal="left" vertical="center"/>
    </xf>
    <xf numFmtId="1" fontId="67" fillId="5" borderId="22" xfId="0" applyNumberFormat="1" applyFont="1" applyFill="1" applyBorder="1" applyAlignment="1">
      <alignment horizontal="center" vertical="center"/>
    </xf>
    <xf numFmtId="0" fontId="79" fillId="0" borderId="30" xfId="0" applyFont="1" applyBorder="1" applyAlignment="1">
      <alignment horizontal="right" vertical="center"/>
    </xf>
    <xf numFmtId="1" fontId="67" fillId="0" borderId="30" xfId="0" applyNumberFormat="1" applyFont="1" applyBorder="1" applyAlignment="1">
      <alignment horizontal="center" vertical="center"/>
    </xf>
    <xf numFmtId="0" fontId="86" fillId="0" borderId="8" xfId="0" applyFont="1" applyBorder="1" applyAlignment="1">
      <alignment vertical="center"/>
    </xf>
    <xf numFmtId="0" fontId="86" fillId="0" borderId="38" xfId="0" applyFont="1" applyBorder="1" applyAlignment="1">
      <alignment vertical="center"/>
    </xf>
    <xf numFmtId="1" fontId="67" fillId="0" borderId="46" xfId="0" applyNumberFormat="1" applyFont="1" applyBorder="1" applyAlignment="1">
      <alignment horizontal="center" vertical="center"/>
    </xf>
    <xf numFmtId="1" fontId="86" fillId="2" borderId="40" xfId="0" applyNumberFormat="1" applyFont="1" applyFill="1" applyBorder="1" applyAlignment="1">
      <alignment horizontal="center" vertical="center"/>
    </xf>
    <xf numFmtId="0" fontId="79" fillId="0" borderId="4" xfId="0" applyFont="1" applyBorder="1" applyAlignment="1">
      <alignment vertical="center"/>
    </xf>
    <xf numFmtId="1" fontId="63" fillId="0" borderId="5" xfId="0" applyNumberFormat="1" applyFont="1" applyBorder="1" applyAlignment="1">
      <alignment horizontal="center" vertical="center"/>
    </xf>
    <xf numFmtId="1" fontId="63" fillId="5" borderId="13" xfId="0" applyNumberFormat="1" applyFont="1" applyFill="1" applyBorder="1" applyAlignment="1">
      <alignment horizontal="center" vertical="center"/>
    </xf>
    <xf numFmtId="1" fontId="79" fillId="2" borderId="13" xfId="0" applyNumberFormat="1" applyFont="1" applyFill="1" applyBorder="1" applyAlignment="1">
      <alignment horizontal="center" vertical="center"/>
    </xf>
    <xf numFmtId="49" fontId="79" fillId="0" borderId="1" xfId="0" quotePrefix="1" applyNumberFormat="1" applyFont="1" applyBorder="1" applyAlignment="1">
      <alignment horizontal="right"/>
    </xf>
    <xf numFmtId="0" fontId="79" fillId="0" borderId="5" xfId="0" applyFont="1" applyBorder="1" applyAlignment="1">
      <alignment vertical="center"/>
    </xf>
    <xf numFmtId="0" fontId="79" fillId="0" borderId="36" xfId="0" applyFont="1" applyBorder="1" applyAlignment="1">
      <alignment horizontal="right" vertical="center"/>
    </xf>
    <xf numFmtId="0" fontId="79" fillId="0" borderId="4" xfId="0" applyFont="1" applyBorder="1" applyAlignment="1">
      <alignment horizontal="right" vertical="center"/>
    </xf>
    <xf numFmtId="0" fontId="63" fillId="0" borderId="5" xfId="0" applyFont="1" applyBorder="1" applyAlignment="1">
      <alignment horizontal="center" vertical="center"/>
    </xf>
    <xf numFmtId="0" fontId="63" fillId="5" borderId="13" xfId="0" applyFont="1" applyFill="1" applyBorder="1" applyAlignment="1">
      <alignment horizontal="center" vertical="center"/>
    </xf>
    <xf numFmtId="0" fontId="79" fillId="2" borderId="13" xfId="0" applyFont="1" applyFill="1" applyBorder="1" applyAlignment="1">
      <alignment horizontal="center" vertical="center"/>
    </xf>
    <xf numFmtId="1" fontId="79" fillId="2" borderId="12" xfId="0" applyNumberFormat="1" applyFont="1" applyFill="1" applyBorder="1" applyAlignment="1">
      <alignment horizontal="center" vertical="center"/>
    </xf>
    <xf numFmtId="1" fontId="79" fillId="2" borderId="22" xfId="0" applyNumberFormat="1" applyFont="1" applyFill="1" applyBorder="1" applyAlignment="1">
      <alignment horizontal="center" vertical="center"/>
    </xf>
    <xf numFmtId="1" fontId="63" fillId="13" borderId="18" xfId="0" applyNumberFormat="1" applyFont="1" applyFill="1" applyBorder="1" applyAlignment="1">
      <alignment horizontal="center" vertical="center"/>
    </xf>
    <xf numFmtId="0" fontId="79" fillId="0" borderId="30" xfId="0" applyFont="1" applyBorder="1" applyAlignment="1">
      <alignment vertical="center"/>
    </xf>
    <xf numFmtId="0" fontId="79" fillId="0" borderId="10" xfId="0" applyFont="1" applyBorder="1" applyAlignment="1">
      <alignment vertical="center"/>
    </xf>
    <xf numFmtId="1" fontId="67" fillId="5" borderId="12" xfId="0" applyNumberFormat="1" applyFont="1" applyFill="1" applyBorder="1" applyAlignment="1">
      <alignment horizontal="center" vertical="center"/>
    </xf>
    <xf numFmtId="0" fontId="79" fillId="0" borderId="31" xfId="0" quotePrefix="1" applyFont="1" applyBorder="1" applyAlignment="1">
      <alignment horizontal="right"/>
    </xf>
    <xf numFmtId="0" fontId="87" fillId="0" borderId="68" xfId="0" applyFont="1" applyBorder="1" applyAlignment="1">
      <alignment vertical="center"/>
    </xf>
    <xf numFmtId="1" fontId="87" fillId="0" borderId="49" xfId="0" applyNumberFormat="1" applyFont="1" applyBorder="1"/>
    <xf numFmtId="1" fontId="86" fillId="0" borderId="10" xfId="0" applyNumberFormat="1" applyFont="1" applyBorder="1" applyAlignment="1">
      <alignment horizontal="center" vertical="center"/>
    </xf>
    <xf numFmtId="0" fontId="79" fillId="0" borderId="46" xfId="0" applyFont="1" applyBorder="1" applyAlignment="1">
      <alignment vertical="center"/>
    </xf>
    <xf numFmtId="1" fontId="86" fillId="2" borderId="16" xfId="0" applyNumberFormat="1" applyFont="1" applyFill="1" applyBorder="1" applyAlignment="1">
      <alignment horizontal="center" vertical="center"/>
    </xf>
    <xf numFmtId="1" fontId="76" fillId="0" borderId="44" xfId="0" applyNumberFormat="1" applyFont="1" applyBorder="1" applyAlignment="1">
      <alignment horizontal="left" vertical="center"/>
    </xf>
    <xf numFmtId="1" fontId="76" fillId="0" borderId="24" xfId="0" applyNumberFormat="1" applyFont="1" applyBorder="1" applyAlignment="1">
      <alignment vertical="center"/>
    </xf>
    <xf numFmtId="0" fontId="83" fillId="0" borderId="52" xfId="0" applyFont="1" applyBorder="1" applyAlignment="1">
      <alignment horizontal="right" vertical="center"/>
    </xf>
    <xf numFmtId="0" fontId="83" fillId="0" borderId="30" xfId="0" applyFont="1" applyBorder="1" applyAlignment="1">
      <alignment horizontal="center" vertical="center"/>
    </xf>
    <xf numFmtId="0" fontId="76" fillId="2" borderId="12" xfId="0" applyFont="1" applyFill="1" applyBorder="1" applyAlignment="1">
      <alignment horizontal="center" vertical="center"/>
    </xf>
    <xf numFmtId="0" fontId="76" fillId="5" borderId="12" xfId="0" applyFont="1" applyFill="1" applyBorder="1" applyAlignment="1">
      <alignment horizontal="center" vertical="center"/>
    </xf>
    <xf numFmtId="0" fontId="76" fillId="0" borderId="19" xfId="0" applyFont="1" applyBorder="1" applyAlignment="1">
      <alignment horizontal="center" vertical="center"/>
    </xf>
    <xf numFmtId="1" fontId="76" fillId="2" borderId="12" xfId="0" applyNumberFormat="1" applyFont="1" applyFill="1" applyBorder="1" applyAlignment="1">
      <alignment horizontal="center" vertical="center"/>
    </xf>
    <xf numFmtId="0" fontId="83" fillId="0" borderId="62" xfId="0" quotePrefix="1" applyFont="1" applyBorder="1" applyAlignment="1">
      <alignment horizontal="right" vertical="top"/>
    </xf>
    <xf numFmtId="0" fontId="83" fillId="0" borderId="6" xfId="0" applyFont="1" applyBorder="1"/>
    <xf numFmtId="1" fontId="83" fillId="0" borderId="6" xfId="0" applyNumberFormat="1" applyFont="1" applyBorder="1"/>
    <xf numFmtId="0" fontId="83" fillId="0" borderId="74" xfId="0" quotePrefix="1" applyFont="1" applyBorder="1" applyAlignment="1">
      <alignment horizontal="right" vertical="top"/>
    </xf>
    <xf numFmtId="0" fontId="88" fillId="0" borderId="6" xfId="0" applyFont="1" applyBorder="1" applyAlignment="1">
      <alignment vertical="center"/>
    </xf>
    <xf numFmtId="0" fontId="89" fillId="0" borderId="6" xfId="0" applyFont="1" applyBorder="1" applyAlignment="1">
      <alignment horizontal="right" vertical="center"/>
    </xf>
    <xf numFmtId="1" fontId="89" fillId="0" borderId="10" xfId="0" applyNumberFormat="1" applyFont="1" applyBorder="1" applyAlignment="1">
      <alignment horizontal="center" vertical="center"/>
    </xf>
    <xf numFmtId="1" fontId="83" fillId="13" borderId="60" xfId="0" applyNumberFormat="1" applyFont="1" applyFill="1" applyBorder="1" applyAlignment="1">
      <alignment horizontal="center" vertical="center"/>
    </xf>
    <xf numFmtId="1" fontId="83" fillId="14" borderId="22" xfId="0" applyNumberFormat="1" applyFont="1" applyFill="1" applyBorder="1" applyAlignment="1">
      <alignment horizontal="center" vertical="center"/>
    </xf>
    <xf numFmtId="0" fontId="89" fillId="0" borderId="75" xfId="0" applyFont="1" applyBorder="1" applyAlignment="1">
      <alignment horizontal="right" vertical="center"/>
    </xf>
    <xf numFmtId="1" fontId="89" fillId="0" borderId="45" xfId="0" applyNumberFormat="1" applyFont="1" applyBorder="1" applyAlignment="1">
      <alignment horizontal="center" vertical="center"/>
    </xf>
    <xf numFmtId="1" fontId="83" fillId="13" borderId="20" xfId="0" applyNumberFormat="1" applyFont="1" applyFill="1" applyBorder="1" applyAlignment="1">
      <alignment horizontal="center" vertical="center"/>
    </xf>
    <xf numFmtId="1" fontId="83" fillId="14" borderId="60" xfId="0" applyNumberFormat="1" applyFont="1" applyFill="1" applyBorder="1" applyAlignment="1">
      <alignment horizontal="center" vertical="center"/>
    </xf>
    <xf numFmtId="1" fontId="83" fillId="13" borderId="40" xfId="0" applyNumberFormat="1" applyFont="1" applyFill="1" applyBorder="1" applyAlignment="1">
      <alignment horizontal="center" vertical="center"/>
    </xf>
    <xf numFmtId="0" fontId="83" fillId="0" borderId="55" xfId="0" applyFont="1" applyBorder="1" applyAlignment="1">
      <alignment horizontal="right" vertical="center"/>
    </xf>
    <xf numFmtId="1" fontId="83" fillId="0" borderId="5" xfId="0" applyNumberFormat="1" applyFont="1" applyBorder="1" applyAlignment="1">
      <alignment horizontal="center" vertical="center"/>
    </xf>
    <xf numFmtId="1" fontId="83" fillId="14" borderId="13" xfId="0" applyNumberFormat="1" applyFont="1" applyFill="1" applyBorder="1" applyAlignment="1">
      <alignment horizontal="center" vertical="center"/>
    </xf>
    <xf numFmtId="1" fontId="83" fillId="13" borderId="13" xfId="0" applyNumberFormat="1" applyFont="1" applyFill="1" applyBorder="1" applyAlignment="1">
      <alignment horizontal="center" vertical="center"/>
    </xf>
    <xf numFmtId="0" fontId="88" fillId="0" borderId="24" xfId="0" applyFont="1" applyBorder="1" applyAlignment="1">
      <alignment vertical="center"/>
    </xf>
    <xf numFmtId="0" fontId="88" fillId="0" borderId="7" xfId="0" applyFont="1" applyBorder="1" applyAlignment="1">
      <alignment vertical="center"/>
    </xf>
    <xf numFmtId="0" fontId="83" fillId="14" borderId="22" xfId="0" applyFont="1" applyFill="1" applyBorder="1" applyAlignment="1">
      <alignment horizontal="center" vertical="center"/>
    </xf>
    <xf numFmtId="0" fontId="89" fillId="0" borderId="37" xfId="0" applyFont="1" applyBorder="1" applyAlignment="1">
      <alignment horizontal="right" vertical="center"/>
    </xf>
    <xf numFmtId="0" fontId="83" fillId="13" borderId="12" xfId="0" applyFont="1" applyFill="1" applyBorder="1" applyAlignment="1">
      <alignment horizontal="center" vertical="center"/>
    </xf>
    <xf numFmtId="0" fontId="83" fillId="14" borderId="12" xfId="0" applyFont="1" applyFill="1" applyBorder="1" applyAlignment="1">
      <alignment horizontal="center" vertical="center"/>
    </xf>
    <xf numFmtId="1" fontId="83" fillId="13" borderId="12" xfId="0" applyNumberFormat="1" applyFont="1" applyFill="1" applyBorder="1" applyAlignment="1">
      <alignment horizontal="center" vertical="center"/>
    </xf>
    <xf numFmtId="1" fontId="83" fillId="14" borderId="12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horizontal="right" vertical="center"/>
    </xf>
    <xf numFmtId="0" fontId="89" fillId="0" borderId="0" xfId="0" applyFont="1" applyAlignment="1">
      <alignment horizontal="center" vertical="center"/>
    </xf>
    <xf numFmtId="1" fontId="83" fillId="2" borderId="22" xfId="0" applyNumberFormat="1" applyFont="1" applyFill="1" applyBorder="1" applyAlignment="1">
      <alignment horizontal="center" vertical="center"/>
    </xf>
    <xf numFmtId="0" fontId="90" fillId="0" borderId="29" xfId="0" applyFont="1" applyBorder="1" applyAlignment="1">
      <alignment horizontal="right" vertical="center"/>
    </xf>
    <xf numFmtId="1" fontId="90" fillId="0" borderId="6" xfId="0" applyNumberFormat="1" applyFont="1" applyBorder="1" applyAlignment="1">
      <alignment horizontal="center" vertical="center"/>
    </xf>
    <xf numFmtId="1" fontId="89" fillId="2" borderId="22" xfId="0" applyNumberFormat="1" applyFont="1" applyFill="1" applyBorder="1" applyAlignment="1">
      <alignment horizontal="center" vertical="center"/>
    </xf>
    <xf numFmtId="0" fontId="84" fillId="0" borderId="29" xfId="0" applyFont="1" applyBorder="1" applyAlignment="1">
      <alignment horizontal="right" vertical="center"/>
    </xf>
    <xf numFmtId="169" fontId="84" fillId="0" borderId="10" xfId="0" applyNumberFormat="1" applyFont="1" applyBorder="1" applyAlignment="1">
      <alignment horizontal="center" vertical="center"/>
    </xf>
    <xf numFmtId="0" fontId="89" fillId="0" borderId="29" xfId="0" applyFont="1" applyBorder="1" applyAlignment="1">
      <alignment horizontal="right" vertical="center"/>
    </xf>
    <xf numFmtId="1" fontId="72" fillId="2" borderId="12" xfId="0" applyNumberFormat="1" applyFont="1" applyFill="1" applyBorder="1" applyAlignment="1">
      <alignment horizontal="center" vertical="center"/>
    </xf>
    <xf numFmtId="1" fontId="72" fillId="5" borderId="12" xfId="0" applyNumberFormat="1" applyFont="1" applyFill="1" applyBorder="1" applyAlignment="1">
      <alignment horizontal="center" vertical="center"/>
    </xf>
    <xf numFmtId="1" fontId="72" fillId="0" borderId="6" xfId="0" applyNumberFormat="1" applyFont="1" applyBorder="1" applyAlignment="1">
      <alignment horizontal="center" vertical="center"/>
    </xf>
    <xf numFmtId="0" fontId="89" fillId="0" borderId="36" xfId="0" applyFont="1" applyBorder="1" applyAlignment="1">
      <alignment horizontal="right" vertical="center"/>
    </xf>
    <xf numFmtId="1" fontId="72" fillId="2" borderId="60" xfId="0" applyNumberFormat="1" applyFont="1" applyFill="1" applyBorder="1" applyAlignment="1">
      <alignment horizontal="center" vertical="center"/>
    </xf>
    <xf numFmtId="1" fontId="72" fillId="5" borderId="60" xfId="0" applyNumberFormat="1" applyFont="1" applyFill="1" applyBorder="1" applyAlignment="1">
      <alignment horizontal="center" vertical="center"/>
    </xf>
    <xf numFmtId="0" fontId="83" fillId="0" borderId="4" xfId="0" applyFont="1" applyBorder="1" applyAlignment="1">
      <alignment horizontal="right" vertical="center"/>
    </xf>
    <xf numFmtId="1" fontId="76" fillId="14" borderId="13" xfId="0" applyNumberFormat="1" applyFont="1" applyFill="1" applyBorder="1" applyAlignment="1">
      <alignment horizontal="center" vertical="center"/>
    </xf>
    <xf numFmtId="1" fontId="76" fillId="0" borderId="55" xfId="0" applyNumberFormat="1" applyFont="1" applyBorder="1" applyAlignment="1">
      <alignment horizontal="center" vertical="center"/>
    </xf>
    <xf numFmtId="1" fontId="88" fillId="0" borderId="24" xfId="0" applyNumberFormat="1" applyFont="1" applyBorder="1" applyAlignment="1">
      <alignment vertical="center"/>
    </xf>
    <xf numFmtId="0" fontId="83" fillId="0" borderId="1" xfId="0" applyFont="1" applyBorder="1" applyAlignment="1">
      <alignment horizontal="right" vertical="center"/>
    </xf>
    <xf numFmtId="169" fontId="83" fillId="0" borderId="5" xfId="0" applyNumberFormat="1" applyFont="1" applyBorder="1" applyAlignment="1">
      <alignment horizontal="center" vertical="center"/>
    </xf>
    <xf numFmtId="169" fontId="83" fillId="13" borderId="13" xfId="0" applyNumberFormat="1" applyFont="1" applyFill="1" applyBorder="1" applyAlignment="1">
      <alignment horizontal="center" vertical="center"/>
    </xf>
    <xf numFmtId="169" fontId="83" fillId="14" borderId="13" xfId="0" applyNumberFormat="1" applyFont="1" applyFill="1" applyBorder="1" applyAlignment="1">
      <alignment horizontal="center" vertical="center"/>
    </xf>
    <xf numFmtId="1" fontId="72" fillId="0" borderId="10" xfId="0" applyNumberFormat="1" applyFont="1" applyBorder="1" applyAlignment="1">
      <alignment horizontal="center" vertical="center"/>
    </xf>
    <xf numFmtId="1" fontId="76" fillId="13" borderId="22" xfId="0" applyNumberFormat="1" applyFont="1" applyFill="1" applyBorder="1" applyAlignment="1">
      <alignment horizontal="center" vertical="center"/>
    </xf>
    <xf numFmtId="1" fontId="76" fillId="14" borderId="22" xfId="0" applyNumberFormat="1" applyFont="1" applyFill="1" applyBorder="1" applyAlignment="1">
      <alignment horizontal="center" vertical="center"/>
    </xf>
    <xf numFmtId="1" fontId="83" fillId="2" borderId="12" xfId="0" applyNumberFormat="1" applyFont="1" applyFill="1" applyBorder="1" applyAlignment="1">
      <alignment horizontal="center" vertical="center"/>
    </xf>
    <xf numFmtId="1" fontId="76" fillId="5" borderId="12" xfId="0" applyNumberFormat="1" applyFont="1" applyFill="1" applyBorder="1" applyAlignment="1">
      <alignment horizontal="center" vertical="center"/>
    </xf>
    <xf numFmtId="0" fontId="89" fillId="0" borderId="59" xfId="0" applyFont="1" applyBorder="1" applyAlignment="1">
      <alignment horizontal="right" vertical="center"/>
    </xf>
    <xf numFmtId="1" fontId="83" fillId="2" borderId="60" xfId="0" applyNumberFormat="1" applyFont="1" applyFill="1" applyBorder="1" applyAlignment="1">
      <alignment horizontal="center" vertical="center"/>
    </xf>
    <xf numFmtId="1" fontId="76" fillId="5" borderId="60" xfId="0" applyNumberFormat="1" applyFont="1" applyFill="1" applyBorder="1" applyAlignment="1">
      <alignment horizontal="center" vertical="center"/>
    </xf>
    <xf numFmtId="1" fontId="72" fillId="0" borderId="7" xfId="0" applyNumberFormat="1" applyFont="1" applyBorder="1" applyAlignment="1">
      <alignment horizontal="center" vertical="center"/>
    </xf>
    <xf numFmtId="1" fontId="76" fillId="2" borderId="22" xfId="0" applyNumberFormat="1" applyFont="1" applyFill="1" applyBorder="1" applyAlignment="1">
      <alignment horizontal="center" vertical="center"/>
    </xf>
    <xf numFmtId="1" fontId="76" fillId="5" borderId="22" xfId="0" applyNumberFormat="1" applyFont="1" applyFill="1" applyBorder="1" applyAlignment="1">
      <alignment horizontal="center" vertical="center"/>
    </xf>
    <xf numFmtId="0" fontId="89" fillId="0" borderId="8" xfId="0" applyFont="1" applyBorder="1" applyAlignment="1">
      <alignment horizontal="right" vertical="center"/>
    </xf>
    <xf numFmtId="1" fontId="83" fillId="2" borderId="47" xfId="0" applyNumberFormat="1" applyFont="1" applyFill="1" applyBorder="1" applyAlignment="1">
      <alignment horizontal="center" vertical="center"/>
    </xf>
    <xf numFmtId="1" fontId="83" fillId="2" borderId="20" xfId="0" applyNumberFormat="1" applyFont="1" applyFill="1" applyBorder="1" applyAlignment="1">
      <alignment horizontal="center" vertical="center"/>
    </xf>
    <xf numFmtId="1" fontId="72" fillId="3" borderId="22" xfId="0" applyNumberFormat="1" applyFont="1" applyFill="1" applyBorder="1" applyAlignment="1">
      <alignment horizontal="center" vertical="center"/>
    </xf>
    <xf numFmtId="1" fontId="89" fillId="3" borderId="22" xfId="0" applyNumberFormat="1" applyFont="1" applyFill="1" applyBorder="1" applyAlignment="1">
      <alignment horizontal="center" vertical="center"/>
    </xf>
    <xf numFmtId="1" fontId="72" fillId="3" borderId="50" xfId="0" applyNumberFormat="1" applyFont="1" applyFill="1" applyBorder="1" applyAlignment="1">
      <alignment horizontal="center" vertical="center"/>
    </xf>
    <xf numFmtId="1" fontId="72" fillId="4" borderId="20" xfId="0" applyNumberFormat="1" applyFont="1" applyFill="1" applyBorder="1" applyAlignment="1">
      <alignment horizontal="center" vertical="center"/>
    </xf>
    <xf numFmtId="1" fontId="89" fillId="4" borderId="20" xfId="0" applyNumberFormat="1" applyFont="1" applyFill="1" applyBorder="1" applyAlignment="1">
      <alignment horizontal="center" vertical="center"/>
    </xf>
    <xf numFmtId="1" fontId="72" fillId="15" borderId="18" xfId="0" applyNumberFormat="1" applyFont="1" applyFill="1" applyBorder="1" applyAlignment="1">
      <alignment horizontal="center" vertical="center"/>
    </xf>
    <xf numFmtId="1" fontId="72" fillId="15" borderId="22" xfId="0" applyNumberFormat="1" applyFont="1" applyFill="1" applyBorder="1" applyAlignment="1">
      <alignment horizontal="center" vertical="center"/>
    </xf>
    <xf numFmtId="1" fontId="76" fillId="0" borderId="67" xfId="0" applyNumberFormat="1" applyFont="1" applyBorder="1" applyAlignment="1">
      <alignment horizontal="center" vertical="center"/>
    </xf>
    <xf numFmtId="1" fontId="72" fillId="2" borderId="22" xfId="0" applyNumberFormat="1" applyFont="1" applyFill="1" applyBorder="1" applyAlignment="1">
      <alignment horizontal="center" vertical="center"/>
    </xf>
    <xf numFmtId="1" fontId="72" fillId="5" borderId="22" xfId="0" applyNumberFormat="1" applyFont="1" applyFill="1" applyBorder="1" applyAlignment="1">
      <alignment horizontal="center" vertical="center"/>
    </xf>
    <xf numFmtId="1" fontId="89" fillId="2" borderId="12" xfId="0" applyNumberFormat="1" applyFont="1" applyFill="1" applyBorder="1" applyAlignment="1">
      <alignment horizontal="center" vertical="center"/>
    </xf>
    <xf numFmtId="1" fontId="72" fillId="2" borderId="20" xfId="0" applyNumberFormat="1" applyFont="1" applyFill="1" applyBorder="1" applyAlignment="1">
      <alignment horizontal="center" vertical="center"/>
    </xf>
    <xf numFmtId="1" fontId="89" fillId="2" borderId="20" xfId="0" applyNumberFormat="1" applyFont="1" applyFill="1" applyBorder="1" applyAlignment="1">
      <alignment horizontal="center" vertical="center"/>
    </xf>
    <xf numFmtId="0" fontId="83" fillId="0" borderId="48" xfId="0" applyFont="1" applyBorder="1" applyAlignment="1">
      <alignment vertical="center"/>
    </xf>
    <xf numFmtId="1" fontId="89" fillId="2" borderId="18" xfId="0" applyNumberFormat="1" applyFont="1" applyFill="1" applyBorder="1" applyAlignment="1">
      <alignment horizontal="center" vertical="center"/>
    </xf>
    <xf numFmtId="0" fontId="83" fillId="0" borderId="37" xfId="0" applyFont="1" applyBorder="1" applyAlignment="1">
      <alignment vertical="center"/>
    </xf>
    <xf numFmtId="0" fontId="83" fillId="0" borderId="10" xfId="0" applyFont="1" applyBorder="1" applyAlignment="1">
      <alignment vertical="center"/>
    </xf>
    <xf numFmtId="1" fontId="89" fillId="2" borderId="16" xfId="0" applyNumberFormat="1" applyFont="1" applyFill="1" applyBorder="1" applyAlignment="1">
      <alignment horizontal="center" vertical="center"/>
    </xf>
    <xf numFmtId="2" fontId="83" fillId="2" borderId="22" xfId="0" applyNumberFormat="1" applyFont="1" applyFill="1" applyBorder="1" applyAlignment="1">
      <alignment horizontal="center" vertical="center"/>
    </xf>
    <xf numFmtId="2" fontId="76" fillId="5" borderId="22" xfId="0" applyNumberFormat="1" applyFont="1" applyFill="1" applyBorder="1" applyAlignment="1">
      <alignment horizontal="center" vertical="center"/>
    </xf>
    <xf numFmtId="2" fontId="89" fillId="2" borderId="12" xfId="0" applyNumberFormat="1" applyFont="1" applyFill="1" applyBorder="1" applyAlignment="1">
      <alignment horizontal="center" vertical="center"/>
    </xf>
    <xf numFmtId="2" fontId="72" fillId="5" borderId="12" xfId="0" applyNumberFormat="1" applyFont="1" applyFill="1" applyBorder="1" applyAlignment="1">
      <alignment horizontal="center" vertical="center"/>
    </xf>
    <xf numFmtId="2" fontId="89" fillId="2" borderId="20" xfId="0" applyNumberFormat="1" applyFont="1" applyFill="1" applyBorder="1" applyAlignment="1">
      <alignment horizontal="center" vertical="center"/>
    </xf>
    <xf numFmtId="2" fontId="89" fillId="2" borderId="16" xfId="0" applyNumberFormat="1" applyFont="1" applyFill="1" applyBorder="1" applyAlignment="1">
      <alignment horizontal="center" vertical="center"/>
    </xf>
    <xf numFmtId="2" fontId="76" fillId="2" borderId="22" xfId="0" applyNumberFormat="1" applyFont="1" applyFill="1" applyBorder="1" applyAlignment="1">
      <alignment horizontal="center" vertical="center"/>
    </xf>
    <xf numFmtId="2" fontId="72" fillId="5" borderId="22" xfId="0" applyNumberFormat="1" applyFont="1" applyFill="1" applyBorder="1" applyAlignment="1">
      <alignment horizontal="center" vertical="center"/>
    </xf>
    <xf numFmtId="2" fontId="89" fillId="2" borderId="22" xfId="0" applyNumberFormat="1" applyFont="1" applyFill="1" applyBorder="1" applyAlignment="1">
      <alignment horizontal="center" vertical="center"/>
    </xf>
    <xf numFmtId="0" fontId="24" fillId="0" borderId="103" xfId="0" applyFont="1" applyBorder="1"/>
    <xf numFmtId="0" fontId="24" fillId="0" borderId="116" xfId="0" applyFont="1" applyBorder="1"/>
    <xf numFmtId="0" fontId="24" fillId="0" borderId="16" xfId="0" applyFont="1" applyBorder="1"/>
    <xf numFmtId="0" fontId="63" fillId="0" borderId="1" xfId="0" applyFont="1" applyBorder="1"/>
    <xf numFmtId="0" fontId="63" fillId="0" borderId="6" xfId="0" applyFont="1" applyBorder="1"/>
    <xf numFmtId="0" fontId="36" fillId="0" borderId="31" xfId="0" applyFont="1" applyBorder="1"/>
    <xf numFmtId="0" fontId="18" fillId="0" borderId="31" xfId="0" applyFont="1" applyBorder="1"/>
    <xf numFmtId="0" fontId="18" fillId="0" borderId="62" xfId="0" applyFont="1" applyBorder="1"/>
    <xf numFmtId="0" fontId="63" fillId="0" borderId="47" xfId="0" applyFont="1" applyBorder="1"/>
    <xf numFmtId="0" fontId="36" fillId="0" borderId="62" xfId="0" applyFont="1" applyBorder="1"/>
    <xf numFmtId="0" fontId="92" fillId="0" borderId="44" xfId="0" applyFont="1" applyBorder="1"/>
    <xf numFmtId="1" fontId="63" fillId="15" borderId="13" xfId="0" applyNumberFormat="1" applyFont="1" applyFill="1" applyBorder="1" applyAlignment="1">
      <alignment horizontal="center" vertical="center"/>
    </xf>
    <xf numFmtId="1" fontId="63" fillId="15" borderId="18" xfId="0" applyNumberFormat="1" applyFont="1" applyFill="1" applyBorder="1" applyAlignment="1">
      <alignment horizontal="center" vertical="center"/>
    </xf>
    <xf numFmtId="1" fontId="76" fillId="5" borderId="18" xfId="0" applyNumberFormat="1" applyFont="1" applyFill="1" applyBorder="1" applyAlignment="1">
      <alignment horizontal="center" vertical="center"/>
    </xf>
    <xf numFmtId="1" fontId="84" fillId="0" borderId="24" xfId="0" applyNumberFormat="1" applyFont="1" applyBorder="1" applyAlignment="1">
      <alignment vertical="center"/>
    </xf>
    <xf numFmtId="1" fontId="76" fillId="3" borderId="13" xfId="0" applyNumberFormat="1" applyFont="1" applyFill="1" applyBorder="1" applyAlignment="1">
      <alignment horizontal="center" vertical="center"/>
    </xf>
    <xf numFmtId="1" fontId="76" fillId="3" borderId="21" xfId="0" applyNumberFormat="1" applyFont="1" applyFill="1" applyBorder="1" applyAlignment="1">
      <alignment horizontal="center" vertical="center"/>
    </xf>
    <xf numFmtId="1" fontId="72" fillId="3" borderId="12" xfId="0" applyNumberFormat="1" applyFont="1" applyFill="1" applyBorder="1" applyAlignment="1">
      <alignment horizontal="center" vertical="center"/>
    </xf>
    <xf numFmtId="2" fontId="76" fillId="3" borderId="22" xfId="0" applyNumberFormat="1" applyFont="1" applyFill="1" applyBorder="1" applyAlignment="1">
      <alignment horizontal="center" vertical="center"/>
    </xf>
    <xf numFmtId="2" fontId="72" fillId="3" borderId="22" xfId="0" applyNumberFormat="1" applyFont="1" applyFill="1" applyBorder="1" applyAlignment="1">
      <alignment horizontal="center" vertical="center"/>
    </xf>
    <xf numFmtId="1" fontId="89" fillId="15" borderId="22" xfId="0" applyNumberFormat="1" applyFont="1" applyFill="1" applyBorder="1" applyAlignment="1">
      <alignment horizontal="center" vertical="center"/>
    </xf>
    <xf numFmtId="1" fontId="83" fillId="15" borderId="22" xfId="0" applyNumberFormat="1" applyFont="1" applyFill="1" applyBorder="1" applyAlignment="1">
      <alignment horizontal="center" vertical="center"/>
    </xf>
    <xf numFmtId="1" fontId="83" fillId="15" borderId="13" xfId="0" applyNumberFormat="1" applyFont="1" applyFill="1" applyBorder="1" applyAlignment="1">
      <alignment horizontal="center" vertical="center"/>
    </xf>
    <xf numFmtId="1" fontId="76" fillId="15" borderId="13" xfId="0" applyNumberFormat="1" applyFont="1" applyFill="1" applyBorder="1" applyAlignment="1">
      <alignment horizontal="center" vertical="center"/>
    </xf>
    <xf numFmtId="1" fontId="83" fillId="2" borderId="43" xfId="0" applyNumberFormat="1" applyFont="1" applyFill="1" applyBorder="1" applyAlignment="1">
      <alignment horizontal="center" vertical="center"/>
    </xf>
    <xf numFmtId="169" fontId="83" fillId="15" borderId="13" xfId="0" applyNumberFormat="1" applyFont="1" applyFill="1" applyBorder="1" applyAlignment="1">
      <alignment horizontal="center" vertical="center"/>
    </xf>
    <xf numFmtId="1" fontId="79" fillId="5" borderId="13" xfId="0" applyNumberFormat="1" applyFont="1" applyFill="1" applyBorder="1" applyAlignment="1">
      <alignment horizontal="center" vertical="center"/>
    </xf>
    <xf numFmtId="1" fontId="79" fillId="3" borderId="13" xfId="0" applyNumberFormat="1" applyFont="1" applyFill="1" applyBorder="1" applyAlignment="1">
      <alignment horizontal="center" vertical="center"/>
    </xf>
    <xf numFmtId="1" fontId="63" fillId="3" borderId="13" xfId="0" applyNumberFormat="1" applyFont="1" applyFill="1" applyBorder="1" applyAlignment="1">
      <alignment horizontal="center" vertical="center"/>
    </xf>
    <xf numFmtId="0" fontId="67" fillId="3" borderId="12" xfId="0" applyFont="1" applyFill="1" applyBorder="1" applyAlignment="1">
      <alignment horizontal="center" vertical="center"/>
    </xf>
    <xf numFmtId="0" fontId="67" fillId="3" borderId="22" xfId="0" applyFont="1" applyFill="1" applyBorder="1" applyAlignment="1">
      <alignment horizontal="center" vertical="center"/>
    </xf>
    <xf numFmtId="1" fontId="67" fillId="3" borderId="12" xfId="0" applyNumberFormat="1" applyFont="1" applyFill="1" applyBorder="1" applyAlignment="1">
      <alignment horizontal="center" vertical="center"/>
    </xf>
    <xf numFmtId="1" fontId="67" fillId="3" borderId="22" xfId="0" applyNumberFormat="1" applyFont="1" applyFill="1" applyBorder="1" applyAlignment="1">
      <alignment horizontal="center" vertical="center"/>
    </xf>
    <xf numFmtId="1" fontId="67" fillId="3" borderId="40" xfId="0" applyNumberFormat="1" applyFont="1" applyFill="1" applyBorder="1" applyAlignment="1">
      <alignment horizontal="center" vertical="center"/>
    </xf>
    <xf numFmtId="1" fontId="76" fillId="2" borderId="20" xfId="0" applyNumberFormat="1" applyFont="1" applyFill="1" applyBorder="1" applyAlignment="1">
      <alignment horizontal="center" vertical="center"/>
    </xf>
    <xf numFmtId="169" fontId="43" fillId="14" borderId="51" xfId="0" applyNumberFormat="1" applyFont="1" applyFill="1" applyBorder="1" applyAlignment="1">
      <alignment horizontal="center" vertical="center"/>
    </xf>
    <xf numFmtId="2" fontId="43" fillId="14" borderId="20" xfId="0" applyNumberFormat="1" applyFont="1" applyFill="1" applyBorder="1" applyAlignment="1">
      <alignment horizontal="center" vertical="center"/>
    </xf>
    <xf numFmtId="1" fontId="35" fillId="13" borderId="18" xfId="0" applyNumberFormat="1" applyFont="1" applyFill="1" applyBorder="1" applyAlignment="1">
      <alignment horizontal="center" vertical="center"/>
    </xf>
    <xf numFmtId="1" fontId="34" fillId="13" borderId="17" xfId="0" applyNumberFormat="1" applyFont="1" applyFill="1" applyBorder="1" applyAlignment="1">
      <alignment horizontal="center" vertical="center"/>
    </xf>
    <xf numFmtId="0" fontId="24" fillId="0" borderId="7" xfId="0" applyFont="1" applyBorder="1"/>
    <xf numFmtId="0" fontId="24" fillId="0" borderId="6" xfId="0" applyFont="1" applyBorder="1"/>
    <xf numFmtId="1" fontId="76" fillId="0" borderId="44" xfId="0" applyNumberFormat="1" applyFont="1" applyBorder="1" applyAlignment="1">
      <alignment vertical="center"/>
    </xf>
    <xf numFmtId="0" fontId="83" fillId="0" borderId="57" xfId="0" applyFont="1" applyBorder="1" applyAlignment="1">
      <alignment horizontal="right"/>
    </xf>
    <xf numFmtId="0" fontId="83" fillId="0" borderId="14" xfId="0" applyFont="1" applyBorder="1" applyAlignment="1">
      <alignment horizontal="center"/>
    </xf>
    <xf numFmtId="0" fontId="76" fillId="0" borderId="68" xfId="0" applyFont="1" applyBorder="1" applyAlignment="1">
      <alignment horizontal="center" vertical="center"/>
    </xf>
    <xf numFmtId="0" fontId="76" fillId="2" borderId="20" xfId="0" applyFont="1" applyFill="1" applyBorder="1" applyAlignment="1">
      <alignment horizontal="center" vertical="center"/>
    </xf>
    <xf numFmtId="0" fontId="76" fillId="5" borderId="20" xfId="0" applyFont="1" applyFill="1" applyBorder="1" applyAlignment="1">
      <alignment horizontal="center" vertical="center"/>
    </xf>
    <xf numFmtId="168" fontId="72" fillId="0" borderId="10" xfId="0" applyNumberFormat="1" applyFont="1" applyBorder="1" applyAlignment="1">
      <alignment horizontal="center" vertical="center"/>
    </xf>
    <xf numFmtId="2" fontId="72" fillId="2" borderId="12" xfId="0" applyNumberFormat="1" applyFont="1" applyFill="1" applyBorder="1" applyAlignment="1">
      <alignment horizontal="center" vertical="center"/>
    </xf>
    <xf numFmtId="0" fontId="83" fillId="0" borderId="68" xfId="0" applyFont="1" applyBorder="1" applyAlignment="1">
      <alignment vertical="center"/>
    </xf>
    <xf numFmtId="171" fontId="72" fillId="0" borderId="23" xfId="0" applyNumberFormat="1" applyFont="1" applyBorder="1" applyAlignment="1">
      <alignment horizontal="center" vertical="center"/>
    </xf>
    <xf numFmtId="0" fontId="83" fillId="0" borderId="30" xfId="0" applyFont="1" applyBorder="1" applyAlignment="1">
      <alignment vertical="center"/>
    </xf>
    <xf numFmtId="2" fontId="89" fillId="0" borderId="6" xfId="0" applyNumberFormat="1" applyFont="1" applyBorder="1" applyAlignment="1">
      <alignment horizontal="center"/>
    </xf>
    <xf numFmtId="2" fontId="89" fillId="5" borderId="12" xfId="0" applyNumberFormat="1" applyFont="1" applyFill="1" applyBorder="1" applyAlignment="1">
      <alignment horizontal="center" vertical="center"/>
    </xf>
    <xf numFmtId="1" fontId="89" fillId="2" borderId="12" xfId="0" applyNumberFormat="1" applyFont="1" applyFill="1" applyBorder="1" applyAlignment="1">
      <alignment horizontal="center"/>
    </xf>
    <xf numFmtId="169" fontId="72" fillId="5" borderId="12" xfId="0" applyNumberFormat="1" applyFont="1" applyFill="1" applyBorder="1" applyAlignment="1">
      <alignment horizontal="center" vertical="center"/>
    </xf>
    <xf numFmtId="0" fontId="83" fillId="0" borderId="10" xfId="0" applyFont="1" applyBorder="1" applyAlignment="1">
      <alignment horizontal="left" vertical="center"/>
    </xf>
    <xf numFmtId="2" fontId="83" fillId="2" borderId="12" xfId="0" applyNumberFormat="1" applyFont="1" applyFill="1" applyBorder="1" applyAlignment="1">
      <alignment horizontal="center" vertical="center"/>
    </xf>
    <xf numFmtId="169" fontId="72" fillId="0" borderId="10" xfId="0" applyNumberFormat="1" applyFont="1" applyBorder="1" applyAlignment="1">
      <alignment horizontal="center" vertical="center"/>
    </xf>
    <xf numFmtId="169" fontId="76" fillId="2" borderId="12" xfId="0" applyNumberFormat="1" applyFont="1" applyFill="1" applyBorder="1" applyAlignment="1">
      <alignment horizontal="center" vertical="center"/>
    </xf>
    <xf numFmtId="169" fontId="76" fillId="13" borderId="12" xfId="0" applyNumberFormat="1" applyFont="1" applyFill="1" applyBorder="1" applyAlignment="1">
      <alignment horizontal="center" vertical="center"/>
    </xf>
    <xf numFmtId="169" fontId="76" fillId="14" borderId="12" xfId="0" applyNumberFormat="1" applyFont="1" applyFill="1" applyBorder="1" applyAlignment="1">
      <alignment horizontal="center" vertical="center"/>
    </xf>
    <xf numFmtId="1" fontId="76" fillId="13" borderId="12" xfId="0" applyNumberFormat="1" applyFont="1" applyFill="1" applyBorder="1" applyAlignment="1">
      <alignment horizontal="center" vertical="center"/>
    </xf>
    <xf numFmtId="1" fontId="76" fillId="14" borderId="12" xfId="0" applyNumberFormat="1" applyFont="1" applyFill="1" applyBorder="1" applyAlignment="1">
      <alignment horizontal="center" vertical="center"/>
    </xf>
    <xf numFmtId="171" fontId="76" fillId="13" borderId="20" xfId="0" applyNumberFormat="1" applyFont="1" applyFill="1" applyBorder="1" applyAlignment="1">
      <alignment horizontal="center" vertical="center"/>
    </xf>
    <xf numFmtId="171" fontId="76" fillId="14" borderId="20" xfId="0" applyNumberFormat="1" applyFont="1" applyFill="1" applyBorder="1" applyAlignment="1">
      <alignment horizontal="center" vertical="center"/>
    </xf>
    <xf numFmtId="0" fontId="83" fillId="0" borderId="10" xfId="0" applyFont="1" applyBorder="1" applyAlignment="1">
      <alignment horizontal="right"/>
    </xf>
    <xf numFmtId="0" fontId="83" fillId="0" borderId="37" xfId="0" applyFont="1" applyBorder="1"/>
    <xf numFmtId="0" fontId="89" fillId="0" borderId="37" xfId="0" applyFont="1" applyBorder="1" applyAlignment="1">
      <alignment horizontal="right"/>
    </xf>
    <xf numFmtId="1" fontId="83" fillId="13" borderId="22" xfId="0" applyNumberFormat="1" applyFont="1" applyFill="1" applyBorder="1" applyAlignment="1">
      <alignment horizontal="center" vertical="center"/>
    </xf>
    <xf numFmtId="0" fontId="83" fillId="13" borderId="22" xfId="0" applyFont="1" applyFill="1" applyBorder="1" applyAlignment="1">
      <alignment horizontal="center" vertical="center"/>
    </xf>
    <xf numFmtId="0" fontId="83" fillId="0" borderId="37" xfId="0" applyFont="1" applyBorder="1" applyAlignment="1">
      <alignment horizontal="right"/>
    </xf>
    <xf numFmtId="0" fontId="83" fillId="0" borderId="10" xfId="0" applyFont="1" applyBorder="1" applyAlignment="1">
      <alignment horizontal="center" vertical="center"/>
    </xf>
    <xf numFmtId="0" fontId="83" fillId="14" borderId="17" xfId="0" applyFont="1" applyFill="1" applyBorder="1" applyAlignment="1">
      <alignment horizontal="center" vertical="center"/>
    </xf>
    <xf numFmtId="0" fontId="83" fillId="0" borderId="37" xfId="0" applyFont="1" applyBorder="1" applyAlignment="1">
      <alignment horizontal="right" vertical="center"/>
    </xf>
    <xf numFmtId="2" fontId="76" fillId="2" borderId="12" xfId="0" applyNumberFormat="1" applyFont="1" applyFill="1" applyBorder="1" applyAlignment="1">
      <alignment horizontal="center" vertical="center"/>
    </xf>
    <xf numFmtId="2" fontId="76" fillId="14" borderId="12" xfId="0" applyNumberFormat="1" applyFont="1" applyFill="1" applyBorder="1" applyAlignment="1">
      <alignment horizontal="center" vertical="center"/>
    </xf>
    <xf numFmtId="2" fontId="76" fillId="13" borderId="12" xfId="0" applyNumberFormat="1" applyFont="1" applyFill="1" applyBorder="1" applyAlignment="1">
      <alignment horizontal="center" vertical="center"/>
    </xf>
    <xf numFmtId="2" fontId="72" fillId="0" borderId="30" xfId="0" applyNumberFormat="1" applyFont="1" applyBorder="1" applyAlignment="1">
      <alignment horizontal="center" vertical="center"/>
    </xf>
    <xf numFmtId="2" fontId="72" fillId="0" borderId="10" xfId="0" applyNumberFormat="1" applyFont="1" applyBorder="1" applyAlignment="1">
      <alignment horizontal="center" vertical="center"/>
    </xf>
    <xf numFmtId="0" fontId="83" fillId="0" borderId="45" xfId="0" applyFont="1" applyBorder="1" applyAlignment="1">
      <alignment horizontal="right" vertical="center"/>
    </xf>
    <xf numFmtId="2" fontId="83" fillId="13" borderId="12" xfId="3" quotePrefix="1" applyNumberFormat="1" applyFont="1" applyFill="1" applyBorder="1" applyAlignment="1">
      <alignment horizontal="center" vertical="center"/>
    </xf>
    <xf numFmtId="2" fontId="83" fillId="14" borderId="12" xfId="3" quotePrefix="1" applyNumberFormat="1" applyFont="1" applyFill="1" applyBorder="1" applyAlignment="1">
      <alignment horizontal="center" vertical="center"/>
    </xf>
    <xf numFmtId="0" fontId="83" fillId="0" borderId="10" xfId="0" applyFont="1" applyBorder="1" applyAlignment="1">
      <alignment horizontal="right" vertical="center"/>
    </xf>
    <xf numFmtId="2" fontId="83" fillId="2" borderId="22" xfId="1" quotePrefix="1" applyNumberFormat="1" applyFont="1" applyFill="1" applyBorder="1" applyAlignment="1">
      <alignment horizontal="center" vertical="center"/>
    </xf>
    <xf numFmtId="1" fontId="89" fillId="0" borderId="36" xfId="3" quotePrefix="1" applyNumberFormat="1" applyFont="1" applyFill="1" applyBorder="1" applyAlignment="1">
      <alignment horizontal="center" vertical="center"/>
    </xf>
    <xf numFmtId="1" fontId="83" fillId="13" borderId="12" xfId="3" quotePrefix="1" applyNumberFormat="1" applyFont="1" applyFill="1" applyBorder="1" applyAlignment="1">
      <alignment horizontal="center" vertical="center"/>
    </xf>
    <xf numFmtId="0" fontId="95" fillId="0" borderId="10" xfId="0" applyFont="1" applyBorder="1" applyAlignment="1">
      <alignment vertical="center"/>
    </xf>
    <xf numFmtId="2" fontId="76" fillId="13" borderId="22" xfId="0" applyNumberFormat="1" applyFont="1" applyFill="1" applyBorder="1" applyAlignment="1">
      <alignment horizontal="center" vertical="center"/>
    </xf>
    <xf numFmtId="0" fontId="95" fillId="0" borderId="23" xfId="0" applyFont="1" applyBorder="1" applyAlignment="1">
      <alignment vertical="center"/>
    </xf>
    <xf numFmtId="2" fontId="76" fillId="14" borderId="20" xfId="0" applyNumberFormat="1" applyFont="1" applyFill="1" applyBorder="1" applyAlignment="1">
      <alignment horizontal="center" vertical="center"/>
    </xf>
    <xf numFmtId="2" fontId="76" fillId="13" borderId="20" xfId="0" applyNumberFormat="1" applyFont="1" applyFill="1" applyBorder="1" applyAlignment="1">
      <alignment horizontal="center" vertical="center"/>
    </xf>
    <xf numFmtId="1" fontId="67" fillId="3" borderId="16" xfId="0" applyNumberFormat="1" applyFont="1" applyFill="1" applyBorder="1" applyAlignment="1">
      <alignment horizontal="center" vertical="center"/>
    </xf>
    <xf numFmtId="2" fontId="89" fillId="5" borderId="22" xfId="0" applyNumberFormat="1" applyFont="1" applyFill="1" applyBorder="1" applyAlignment="1">
      <alignment horizontal="center" vertical="center"/>
    </xf>
    <xf numFmtId="1" fontId="89" fillId="5" borderId="12" xfId="0" applyNumberFormat="1" applyFont="1" applyFill="1" applyBorder="1" applyAlignment="1">
      <alignment horizontal="center" vertical="center"/>
    </xf>
    <xf numFmtId="1" fontId="89" fillId="3" borderId="12" xfId="0" applyNumberFormat="1" applyFont="1" applyFill="1" applyBorder="1" applyAlignment="1">
      <alignment horizontal="center" vertical="center"/>
    </xf>
    <xf numFmtId="1" fontId="89" fillId="5" borderId="12" xfId="0" applyNumberFormat="1" applyFont="1" applyFill="1" applyBorder="1" applyAlignment="1">
      <alignment horizontal="center"/>
    </xf>
    <xf numFmtId="1" fontId="76" fillId="3" borderId="12" xfId="0" applyNumberFormat="1" applyFont="1" applyFill="1" applyBorder="1" applyAlignment="1">
      <alignment horizontal="center" vertical="center"/>
    </xf>
    <xf numFmtId="1" fontId="76" fillId="15" borderId="12" xfId="0" applyNumberFormat="1" applyFont="1" applyFill="1" applyBorder="1" applyAlignment="1">
      <alignment horizontal="center" vertical="center"/>
    </xf>
    <xf numFmtId="171" fontId="76" fillId="15" borderId="20" xfId="0" applyNumberFormat="1" applyFont="1" applyFill="1" applyBorder="1" applyAlignment="1">
      <alignment horizontal="center" vertical="center"/>
    </xf>
    <xf numFmtId="2" fontId="76" fillId="15" borderId="12" xfId="0" applyNumberFormat="1" applyFont="1" applyFill="1" applyBorder="1" applyAlignment="1">
      <alignment horizontal="center" vertical="center"/>
    </xf>
    <xf numFmtId="2" fontId="83" fillId="15" borderId="12" xfId="3" quotePrefix="1" applyNumberFormat="1" applyFont="1" applyFill="1" applyBorder="1" applyAlignment="1">
      <alignment horizontal="center" vertical="center"/>
    </xf>
    <xf numFmtId="2" fontId="83" fillId="14" borderId="22" xfId="1" quotePrefix="1" applyNumberFormat="1" applyFont="1" applyFill="1" applyBorder="1" applyAlignment="1">
      <alignment horizontal="center" vertical="center"/>
    </xf>
    <xf numFmtId="2" fontId="83" fillId="15" borderId="22" xfId="1" quotePrefix="1" applyNumberFormat="1" applyFont="1" applyFill="1" applyBorder="1" applyAlignment="1">
      <alignment horizontal="center" vertical="center"/>
    </xf>
    <xf numFmtId="1" fontId="83" fillId="14" borderId="12" xfId="3" quotePrefix="1" applyNumberFormat="1" applyFont="1" applyFill="1" applyBorder="1" applyAlignment="1">
      <alignment horizontal="center" vertical="center"/>
    </xf>
    <xf numFmtId="1" fontId="83" fillId="15" borderId="12" xfId="3" quotePrefix="1" applyNumberFormat="1" applyFont="1" applyFill="1" applyBorder="1" applyAlignment="1">
      <alignment horizontal="center" vertical="center"/>
    </xf>
    <xf numFmtId="2" fontId="76" fillId="14" borderId="22" xfId="0" applyNumberFormat="1" applyFont="1" applyFill="1" applyBorder="1" applyAlignment="1">
      <alignment horizontal="center" vertical="center"/>
    </xf>
    <xf numFmtId="2" fontId="76" fillId="15" borderId="22" xfId="0" applyNumberFormat="1" applyFont="1" applyFill="1" applyBorder="1" applyAlignment="1">
      <alignment horizontal="center" vertical="center"/>
    </xf>
    <xf numFmtId="2" fontId="76" fillId="15" borderId="20" xfId="0" applyNumberFormat="1" applyFont="1" applyFill="1" applyBorder="1" applyAlignment="1">
      <alignment horizontal="center" vertical="center"/>
    </xf>
    <xf numFmtId="0" fontId="63" fillId="3" borderId="13" xfId="0" applyFont="1" applyFill="1" applyBorder="1" applyAlignment="1">
      <alignment horizontal="center" vertical="center"/>
    </xf>
    <xf numFmtId="2" fontId="83" fillId="0" borderId="23" xfId="0" applyNumberFormat="1" applyFont="1" applyBorder="1" applyAlignment="1">
      <alignment horizontal="center" vertical="center"/>
    </xf>
    <xf numFmtId="2" fontId="76" fillId="5" borderId="12" xfId="0" applyNumberFormat="1" applyFont="1" applyFill="1" applyBorder="1" applyAlignment="1">
      <alignment horizontal="center" vertical="center"/>
    </xf>
    <xf numFmtId="2" fontId="76" fillId="5" borderId="20" xfId="0" applyNumberFormat="1" applyFont="1" applyFill="1" applyBorder="1" applyAlignment="1">
      <alignment horizontal="center" vertical="center"/>
    </xf>
    <xf numFmtId="2" fontId="83" fillId="0" borderId="10" xfId="0" applyNumberFormat="1" applyFont="1" applyBorder="1" applyAlignment="1">
      <alignment horizontal="center" vertical="center"/>
    </xf>
    <xf numFmtId="2" fontId="83" fillId="13" borderId="12" xfId="0" applyNumberFormat="1" applyFont="1" applyFill="1" applyBorder="1" applyAlignment="1">
      <alignment horizontal="center" vertical="center"/>
    </xf>
    <xf numFmtId="2" fontId="83" fillId="14" borderId="17" xfId="0" applyNumberFormat="1" applyFont="1" applyFill="1" applyBorder="1" applyAlignment="1">
      <alignment horizontal="center" vertical="center"/>
    </xf>
    <xf numFmtId="2" fontId="83" fillId="13" borderId="17" xfId="0" applyNumberFormat="1" applyFont="1" applyFill="1" applyBorder="1" applyAlignment="1">
      <alignment horizontal="center" vertical="center"/>
    </xf>
    <xf numFmtId="2" fontId="83" fillId="15" borderId="17" xfId="0" applyNumberFormat="1" applyFont="1" applyFill="1" applyBorder="1" applyAlignment="1">
      <alignment horizontal="center" vertical="center"/>
    </xf>
    <xf numFmtId="2" fontId="83" fillId="13" borderId="20" xfId="0" applyNumberFormat="1" applyFont="1" applyFill="1" applyBorder="1" applyAlignment="1">
      <alignment horizontal="center" vertical="center"/>
    </xf>
    <xf numFmtId="2" fontId="83" fillId="14" borderId="33" xfId="0" applyNumberFormat="1" applyFont="1" applyFill="1" applyBorder="1" applyAlignment="1">
      <alignment horizontal="center" vertical="center"/>
    </xf>
    <xf numFmtId="2" fontId="83" fillId="13" borderId="33" xfId="0" applyNumberFormat="1" applyFont="1" applyFill="1" applyBorder="1" applyAlignment="1">
      <alignment horizontal="center" vertical="center"/>
    </xf>
    <xf numFmtId="2" fontId="83" fillId="15" borderId="33" xfId="0" applyNumberFormat="1" applyFont="1" applyFill="1" applyBorder="1" applyAlignment="1">
      <alignment horizontal="center" vertical="center"/>
    </xf>
    <xf numFmtId="1" fontId="76" fillId="14" borderId="40" xfId="0" applyNumberFormat="1" applyFont="1" applyFill="1" applyBorder="1" applyAlignment="1">
      <alignment horizontal="center" vertical="center"/>
    </xf>
    <xf numFmtId="1" fontId="76" fillId="5" borderId="20" xfId="0" applyNumberFormat="1" applyFont="1" applyFill="1" applyBorder="1" applyAlignment="1">
      <alignment horizontal="center" vertical="center"/>
    </xf>
    <xf numFmtId="1" fontId="76" fillId="3" borderId="20" xfId="0" applyNumberFormat="1" applyFont="1" applyFill="1" applyBorder="1" applyAlignment="1">
      <alignment horizontal="center" vertical="center"/>
    </xf>
    <xf numFmtId="0" fontId="72" fillId="0" borderId="7" xfId="0" applyFont="1" applyBorder="1" applyAlignment="1">
      <alignment horizontal="center" vertical="center"/>
    </xf>
    <xf numFmtId="2" fontId="49" fillId="0" borderId="30" xfId="0" applyNumberFormat="1" applyFont="1" applyBorder="1" applyAlignment="1">
      <alignment horizontal="center" vertical="center"/>
    </xf>
    <xf numFmtId="1" fontId="88" fillId="0" borderId="24" xfId="0" applyNumberFormat="1" applyFont="1" applyBorder="1" applyAlignment="1">
      <alignment horizontal="center" vertical="center"/>
    </xf>
    <xf numFmtId="1" fontId="83" fillId="0" borderId="6" xfId="0" applyNumberFormat="1" applyFont="1" applyBorder="1" applyAlignment="1">
      <alignment vertical="center"/>
    </xf>
    <xf numFmtId="1" fontId="89" fillId="2" borderId="60" xfId="0" applyNumberFormat="1" applyFont="1" applyFill="1" applyBorder="1" applyAlignment="1">
      <alignment horizontal="center" vertical="center"/>
    </xf>
    <xf numFmtId="1" fontId="76" fillId="5" borderId="25" xfId="0" applyNumberFormat="1" applyFont="1" applyFill="1" applyBorder="1" applyAlignment="1">
      <alignment horizontal="center" vertical="center"/>
    </xf>
    <xf numFmtId="1" fontId="76" fillId="3" borderId="16" xfId="0" applyNumberFormat="1" applyFont="1" applyFill="1" applyBorder="1" applyAlignment="1">
      <alignment horizontal="center" vertical="center"/>
    </xf>
    <xf numFmtId="0" fontId="83" fillId="2" borderId="12" xfId="0" applyFont="1" applyFill="1" applyBorder="1" applyAlignment="1">
      <alignment horizontal="center" vertical="center"/>
    </xf>
    <xf numFmtId="0" fontId="89" fillId="2" borderId="12" xfId="0" applyFont="1" applyFill="1" applyBorder="1" applyAlignment="1">
      <alignment horizontal="center" vertical="center"/>
    </xf>
    <xf numFmtId="0" fontId="72" fillId="0" borderId="19" xfId="0" applyFont="1" applyBorder="1" applyAlignment="1">
      <alignment horizontal="center" vertical="center"/>
    </xf>
    <xf numFmtId="0" fontId="76" fillId="3" borderId="20" xfId="0" applyFont="1" applyFill="1" applyBorder="1" applyAlignment="1">
      <alignment horizontal="center" vertical="center"/>
    </xf>
    <xf numFmtId="0" fontId="76" fillId="0" borderId="27" xfId="0" applyFont="1" applyBorder="1" applyAlignment="1">
      <alignment horizontal="center" vertical="center"/>
    </xf>
    <xf numFmtId="0" fontId="98" fillId="5" borderId="18" xfId="0" applyFont="1" applyFill="1" applyBorder="1" applyAlignment="1">
      <alignment horizontal="center" vertical="center"/>
    </xf>
    <xf numFmtId="0" fontId="98" fillId="2" borderId="18" xfId="0" applyFont="1" applyFill="1" applyBorder="1" applyAlignment="1">
      <alignment horizontal="center" vertical="center"/>
    </xf>
    <xf numFmtId="1" fontId="98" fillId="2" borderId="18" xfId="0" applyNumberFormat="1" applyFont="1" applyFill="1" applyBorder="1" applyAlignment="1">
      <alignment horizontal="center" vertical="center"/>
    </xf>
    <xf numFmtId="0" fontId="98" fillId="3" borderId="18" xfId="0" applyFont="1" applyFill="1" applyBorder="1" applyAlignment="1">
      <alignment horizontal="center" vertical="center"/>
    </xf>
    <xf numFmtId="168" fontId="72" fillId="2" borderId="12" xfId="0" applyNumberFormat="1" applyFont="1" applyFill="1" applyBorder="1" applyAlignment="1">
      <alignment horizontal="center" vertical="center"/>
    </xf>
    <xf numFmtId="168" fontId="72" fillId="5" borderId="12" xfId="0" applyNumberFormat="1" applyFont="1" applyFill="1" applyBorder="1" applyAlignment="1">
      <alignment horizontal="center" vertical="center"/>
    </xf>
    <xf numFmtId="168" fontId="72" fillId="3" borderId="12" xfId="0" applyNumberFormat="1" applyFont="1" applyFill="1" applyBorder="1" applyAlignment="1">
      <alignment horizontal="center" vertical="center"/>
    </xf>
    <xf numFmtId="168" fontId="72" fillId="2" borderId="40" xfId="0" applyNumberFormat="1" applyFont="1" applyFill="1" applyBorder="1" applyAlignment="1">
      <alignment horizontal="center" vertical="center"/>
    </xf>
    <xf numFmtId="168" fontId="72" fillId="5" borderId="40" xfId="0" applyNumberFormat="1" applyFont="1" applyFill="1" applyBorder="1" applyAlignment="1">
      <alignment horizontal="center" vertical="center"/>
    </xf>
    <xf numFmtId="168" fontId="72" fillId="2" borderId="16" xfId="0" applyNumberFormat="1" applyFont="1" applyFill="1" applyBorder="1" applyAlignment="1">
      <alignment horizontal="center" vertical="center"/>
    </xf>
    <xf numFmtId="168" fontId="72" fillId="5" borderId="16" xfId="0" applyNumberFormat="1" applyFont="1" applyFill="1" applyBorder="1" applyAlignment="1">
      <alignment horizontal="center" vertical="center"/>
    </xf>
    <xf numFmtId="168" fontId="72" fillId="3" borderId="40" xfId="0" applyNumberFormat="1" applyFont="1" applyFill="1" applyBorder="1" applyAlignment="1">
      <alignment horizontal="center" vertical="center"/>
    </xf>
    <xf numFmtId="168" fontId="76" fillId="0" borderId="55" xfId="0" applyNumberFormat="1" applyFont="1" applyBorder="1" applyAlignment="1">
      <alignment horizontal="center" vertical="center"/>
    </xf>
    <xf numFmtId="168" fontId="76" fillId="13" borderId="13" xfId="0" applyNumberFormat="1" applyFont="1" applyFill="1" applyBorder="1" applyAlignment="1">
      <alignment horizontal="center" vertical="center"/>
    </xf>
    <xf numFmtId="0" fontId="72" fillId="2" borderId="12" xfId="0" applyFont="1" applyFill="1" applyBorder="1" applyAlignment="1">
      <alignment horizontal="center" vertical="center"/>
    </xf>
    <xf numFmtId="0" fontId="72" fillId="5" borderId="12" xfId="0" applyFont="1" applyFill="1" applyBorder="1" applyAlignment="1">
      <alignment horizontal="center" vertical="center"/>
    </xf>
    <xf numFmtId="0" fontId="89" fillId="5" borderId="12" xfId="0" applyFont="1" applyFill="1" applyBorder="1" applyAlignment="1">
      <alignment horizontal="center" vertical="center"/>
    </xf>
    <xf numFmtId="0" fontId="89" fillId="3" borderId="12" xfId="0" applyFont="1" applyFill="1" applyBorder="1" applyAlignment="1">
      <alignment horizontal="center" vertical="center"/>
    </xf>
    <xf numFmtId="0" fontId="89" fillId="0" borderId="38" xfId="0" applyFont="1" applyBorder="1" applyAlignment="1">
      <alignment horizontal="center" vertical="center"/>
    </xf>
    <xf numFmtId="0" fontId="89" fillId="2" borderId="40" xfId="0" applyFont="1" applyFill="1" applyBorder="1" applyAlignment="1">
      <alignment horizontal="center" vertical="center"/>
    </xf>
    <xf numFmtId="1" fontId="89" fillId="2" borderId="40" xfId="0" applyNumberFormat="1" applyFont="1" applyFill="1" applyBorder="1" applyAlignment="1">
      <alignment horizontal="center" vertical="center"/>
    </xf>
    <xf numFmtId="0" fontId="89" fillId="3" borderId="20" xfId="0" applyFont="1" applyFill="1" applyBorder="1" applyAlignment="1">
      <alignment horizontal="center" vertical="center"/>
    </xf>
    <xf numFmtId="0" fontId="76" fillId="0" borderId="55" xfId="0" applyFont="1" applyBorder="1" applyAlignment="1">
      <alignment horizontal="center" vertical="center"/>
    </xf>
    <xf numFmtId="0" fontId="76" fillId="2" borderId="13" xfId="0" applyFont="1" applyFill="1" applyBorder="1" applyAlignment="1">
      <alignment horizontal="center" vertical="center"/>
    </xf>
    <xf numFmtId="0" fontId="76" fillId="5" borderId="13" xfId="0" applyFont="1" applyFill="1" applyBorder="1" applyAlignment="1">
      <alignment horizontal="center" vertical="center"/>
    </xf>
    <xf numFmtId="0" fontId="83" fillId="2" borderId="13" xfId="0" applyFont="1" applyFill="1" applyBorder="1" applyAlignment="1">
      <alignment horizontal="center" vertical="center"/>
    </xf>
    <xf numFmtId="0" fontId="83" fillId="5" borderId="13" xfId="0" applyFont="1" applyFill="1" applyBorder="1" applyAlignment="1">
      <alignment horizontal="center" vertical="center"/>
    </xf>
    <xf numFmtId="1" fontId="83" fillId="3" borderId="13" xfId="0" applyNumberFormat="1" applyFont="1" applyFill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0" fontId="72" fillId="2" borderId="22" xfId="0" applyFont="1" applyFill="1" applyBorder="1" applyAlignment="1">
      <alignment horizontal="center" vertical="center"/>
    </xf>
    <xf numFmtId="0" fontId="72" fillId="0" borderId="45" xfId="0" applyFont="1" applyBorder="1" applyAlignment="1">
      <alignment horizontal="center" vertical="center"/>
    </xf>
    <xf numFmtId="1" fontId="72" fillId="0" borderId="23" xfId="0" applyNumberFormat="1" applyFont="1" applyBorder="1" applyAlignment="1">
      <alignment horizontal="center" vertical="center"/>
    </xf>
    <xf numFmtId="0" fontId="72" fillId="5" borderId="20" xfId="0" applyFont="1" applyFill="1" applyBorder="1" applyAlignment="1">
      <alignment horizontal="center" vertical="center"/>
    </xf>
    <xf numFmtId="1" fontId="76" fillId="0" borderId="4" xfId="0" applyNumberFormat="1" applyFont="1" applyBorder="1" applyAlignment="1">
      <alignment horizontal="center" vertical="center"/>
    </xf>
    <xf numFmtId="1" fontId="83" fillId="5" borderId="13" xfId="0" applyNumberFormat="1" applyFont="1" applyFill="1" applyBorder="1" applyAlignment="1">
      <alignment horizontal="center" vertical="center"/>
    </xf>
    <xf numFmtId="1" fontId="89" fillId="2" borderId="53" xfId="0" applyNumberFormat="1" applyFont="1" applyFill="1" applyBorder="1" applyAlignment="1">
      <alignment horizontal="center" vertical="center"/>
    </xf>
    <xf numFmtId="1" fontId="76" fillId="0" borderId="5" xfId="0" applyNumberFormat="1" applyFont="1" applyBorder="1" applyAlignment="1">
      <alignment horizontal="center" vertical="center"/>
    </xf>
    <xf numFmtId="0" fontId="96" fillId="0" borderId="24" xfId="0" applyFont="1" applyBorder="1" applyAlignment="1">
      <alignment vertical="center"/>
    </xf>
    <xf numFmtId="1" fontId="96" fillId="0" borderId="24" xfId="0" applyNumberFormat="1" applyFont="1" applyBorder="1" applyAlignment="1">
      <alignment vertical="center"/>
    </xf>
    <xf numFmtId="1" fontId="89" fillId="2" borderId="17" xfId="0" applyNumberFormat="1" applyFont="1" applyFill="1" applyBorder="1" applyAlignment="1">
      <alignment horizontal="center" vertical="center"/>
    </xf>
    <xf numFmtId="1" fontId="89" fillId="2" borderId="54" xfId="0" applyNumberFormat="1" applyFont="1" applyFill="1" applyBorder="1" applyAlignment="1">
      <alignment horizontal="center" vertical="center"/>
    </xf>
    <xf numFmtId="1" fontId="83" fillId="0" borderId="14" xfId="0" applyNumberFormat="1" applyFont="1" applyBorder="1" applyAlignment="1">
      <alignment horizontal="center" vertical="center"/>
    </xf>
    <xf numFmtId="169" fontId="72" fillId="13" borderId="22" xfId="0" applyNumberFormat="1" applyFont="1" applyFill="1" applyBorder="1" applyAlignment="1">
      <alignment horizontal="center" vertical="center"/>
    </xf>
    <xf numFmtId="169" fontId="99" fillId="14" borderId="22" xfId="0" applyNumberFormat="1" applyFont="1" applyFill="1" applyBorder="1" applyAlignment="1">
      <alignment horizontal="center" vertical="center"/>
    </xf>
    <xf numFmtId="169" fontId="99" fillId="13" borderId="22" xfId="0" applyNumberFormat="1" applyFont="1" applyFill="1" applyBorder="1" applyAlignment="1">
      <alignment horizontal="center" vertical="center"/>
    </xf>
    <xf numFmtId="169" fontId="72" fillId="13" borderId="60" xfId="0" applyNumberFormat="1" applyFont="1" applyFill="1" applyBorder="1" applyAlignment="1">
      <alignment horizontal="center" vertical="center"/>
    </xf>
    <xf numFmtId="169" fontId="99" fillId="14" borderId="60" xfId="0" applyNumberFormat="1" applyFont="1" applyFill="1" applyBorder="1" applyAlignment="1">
      <alignment horizontal="center" vertical="center"/>
    </xf>
    <xf numFmtId="169" fontId="99" fillId="13" borderId="60" xfId="0" applyNumberFormat="1" applyFont="1" applyFill="1" applyBorder="1" applyAlignment="1">
      <alignment horizontal="center" vertical="center"/>
    </xf>
    <xf numFmtId="169" fontId="76" fillId="13" borderId="13" xfId="0" applyNumberFormat="1" applyFont="1" applyFill="1" applyBorder="1" applyAlignment="1">
      <alignment horizontal="center" vertical="center"/>
    </xf>
    <xf numFmtId="169" fontId="100" fillId="14" borderId="13" xfId="0" applyNumberFormat="1" applyFont="1" applyFill="1" applyBorder="1" applyAlignment="1">
      <alignment horizontal="center" vertical="center"/>
    </xf>
    <xf numFmtId="169" fontId="100" fillId="13" borderId="13" xfId="0" applyNumberFormat="1" applyFont="1" applyFill="1" applyBorder="1" applyAlignment="1">
      <alignment horizontal="center" vertical="center"/>
    </xf>
    <xf numFmtId="0" fontId="99" fillId="13" borderId="22" xfId="0" applyFont="1" applyFill="1" applyBorder="1" applyAlignment="1">
      <alignment horizontal="center" vertical="center"/>
    </xf>
    <xf numFmtId="0" fontId="76" fillId="0" borderId="6" xfId="0" applyFont="1" applyBorder="1" applyAlignment="1">
      <alignment vertical="center"/>
    </xf>
    <xf numFmtId="2" fontId="99" fillId="13" borderId="12" xfId="0" applyNumberFormat="1" applyFont="1" applyFill="1" applyBorder="1" applyAlignment="1">
      <alignment horizontal="center" vertical="center"/>
    </xf>
    <xf numFmtId="2" fontId="99" fillId="14" borderId="12" xfId="0" applyNumberFormat="1" applyFont="1" applyFill="1" applyBorder="1" applyAlignment="1">
      <alignment horizontal="center" vertical="center"/>
    </xf>
    <xf numFmtId="2" fontId="99" fillId="13" borderId="40" xfId="0" applyNumberFormat="1" applyFont="1" applyFill="1" applyBorder="1" applyAlignment="1">
      <alignment horizontal="center" vertical="center"/>
    </xf>
    <xf numFmtId="2" fontId="99" fillId="14" borderId="40" xfId="0" applyNumberFormat="1" applyFont="1" applyFill="1" applyBorder="1" applyAlignment="1">
      <alignment horizontal="center" vertical="center"/>
    </xf>
    <xf numFmtId="2" fontId="76" fillId="14" borderId="13" xfId="0" applyNumberFormat="1" applyFont="1" applyFill="1" applyBorder="1" applyAlignment="1">
      <alignment horizontal="center" vertical="center"/>
    </xf>
    <xf numFmtId="2" fontId="100" fillId="13" borderId="13" xfId="0" applyNumberFormat="1" applyFont="1" applyFill="1" applyBorder="1" applyAlignment="1">
      <alignment horizontal="center" vertical="center"/>
    </xf>
    <xf numFmtId="2" fontId="100" fillId="14" borderId="13" xfId="0" applyNumberFormat="1" applyFont="1" applyFill="1" applyBorder="1" applyAlignment="1">
      <alignment horizontal="center" vertical="center"/>
    </xf>
    <xf numFmtId="2" fontId="100" fillId="15" borderId="13" xfId="0" applyNumberFormat="1" applyFont="1" applyFill="1" applyBorder="1" applyAlignment="1">
      <alignment horizontal="center" vertical="center"/>
    </xf>
    <xf numFmtId="2" fontId="99" fillId="13" borderId="22" xfId="0" applyNumberFormat="1" applyFont="1" applyFill="1" applyBorder="1" applyAlignment="1">
      <alignment horizontal="center" vertical="center"/>
    </xf>
    <xf numFmtId="2" fontId="99" fillId="14" borderId="22" xfId="0" applyNumberFormat="1" applyFont="1" applyFill="1" applyBorder="1" applyAlignment="1">
      <alignment horizontal="center" vertical="center"/>
    </xf>
    <xf numFmtId="2" fontId="99" fillId="15" borderId="22" xfId="0" applyNumberFormat="1" applyFont="1" applyFill="1" applyBorder="1" applyAlignment="1">
      <alignment horizontal="center" vertical="center"/>
    </xf>
    <xf numFmtId="1" fontId="99" fillId="13" borderId="12" xfId="0" applyNumberFormat="1" applyFont="1" applyFill="1" applyBorder="1" applyAlignment="1">
      <alignment horizontal="center" vertical="center"/>
    </xf>
    <xf numFmtId="1" fontId="99" fillId="15" borderId="12" xfId="0" applyNumberFormat="1" applyFont="1" applyFill="1" applyBorder="1" applyAlignment="1">
      <alignment horizontal="center" vertical="center"/>
    </xf>
    <xf numFmtId="0" fontId="99" fillId="13" borderId="20" xfId="0" applyFont="1" applyFill="1" applyBorder="1" applyAlignment="1">
      <alignment horizontal="center" vertical="center"/>
    </xf>
    <xf numFmtId="0" fontId="99" fillId="14" borderId="20" xfId="0" applyFont="1" applyFill="1" applyBorder="1" applyAlignment="1">
      <alignment horizontal="center" vertical="center"/>
    </xf>
    <xf numFmtId="0" fontId="99" fillId="15" borderId="20" xfId="0" applyFont="1" applyFill="1" applyBorder="1" applyAlignment="1">
      <alignment horizontal="center" vertical="center"/>
    </xf>
    <xf numFmtId="0" fontId="35" fillId="0" borderId="57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14" fillId="0" borderId="34" xfId="0" applyFont="1" applyBorder="1" applyAlignment="1">
      <alignment vertical="center"/>
    </xf>
    <xf numFmtId="0" fontId="35" fillId="0" borderId="31" xfId="0" applyFont="1" applyBorder="1" applyAlignment="1">
      <alignment vertical="center"/>
    </xf>
    <xf numFmtId="0" fontId="35" fillId="0" borderId="62" xfId="0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170" fontId="34" fillId="0" borderId="31" xfId="0" applyNumberFormat="1" applyFont="1" applyBorder="1" applyAlignment="1">
      <alignment horizontal="left" vertical="center"/>
    </xf>
    <xf numFmtId="170" fontId="34" fillId="0" borderId="1" xfId="0" applyNumberFormat="1" applyFont="1" applyBorder="1" applyAlignment="1">
      <alignment horizontal="left" vertical="center"/>
    </xf>
    <xf numFmtId="0" fontId="35" fillId="0" borderId="13" xfId="0" applyFont="1" applyBorder="1" applyAlignment="1">
      <alignment vertical="center"/>
    </xf>
    <xf numFmtId="0" fontId="35" fillId="0" borderId="16" xfId="0" applyFont="1" applyBorder="1" applyAlignment="1">
      <alignment vertical="center"/>
    </xf>
    <xf numFmtId="0" fontId="34" fillId="0" borderId="74" xfId="0" applyFont="1" applyBorder="1" applyAlignment="1">
      <alignment vertical="center"/>
    </xf>
    <xf numFmtId="0" fontId="35" fillId="0" borderId="57" xfId="0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35" fillId="0" borderId="44" xfId="0" applyFont="1" applyBorder="1" applyAlignment="1">
      <alignment vertical="center"/>
    </xf>
    <xf numFmtId="0" fontId="35" fillId="0" borderId="1" xfId="0" applyFont="1" applyBorder="1" applyAlignment="1">
      <alignment horizontal="right" vertical="center"/>
    </xf>
    <xf numFmtId="0" fontId="34" fillId="0" borderId="25" xfId="0" applyFont="1" applyBorder="1" applyAlignment="1">
      <alignment horizontal="right" vertical="center"/>
    </xf>
    <xf numFmtId="0" fontId="34" fillId="0" borderId="35" xfId="0" applyFont="1" applyBorder="1" applyAlignment="1">
      <alignment vertical="center"/>
    </xf>
    <xf numFmtId="0" fontId="34" fillId="0" borderId="52" xfId="0" applyFont="1" applyBorder="1" applyAlignment="1">
      <alignment vertical="center"/>
    </xf>
    <xf numFmtId="0" fontId="34" fillId="0" borderId="57" xfId="0" applyFont="1" applyBorder="1" applyAlignment="1">
      <alignment vertical="center"/>
    </xf>
    <xf numFmtId="0" fontId="83" fillId="0" borderId="31" xfId="0" applyFont="1" applyBorder="1" applyAlignment="1">
      <alignment horizontal="center"/>
    </xf>
    <xf numFmtId="0" fontId="83" fillId="0" borderId="30" xfId="0" applyFont="1" applyBorder="1" applyAlignment="1">
      <alignment horizontal="center"/>
    </xf>
    <xf numFmtId="0" fontId="76" fillId="3" borderId="12" xfId="0" applyFont="1" applyFill="1" applyBorder="1" applyAlignment="1">
      <alignment horizontal="center" vertical="center"/>
    </xf>
    <xf numFmtId="0" fontId="72" fillId="0" borderId="40" xfId="0" applyFont="1" applyBorder="1"/>
    <xf numFmtId="0" fontId="72" fillId="0" borderId="70" xfId="0" applyFont="1" applyBorder="1"/>
    <xf numFmtId="0" fontId="72" fillId="0" borderId="75" xfId="0" applyFont="1" applyBorder="1"/>
    <xf numFmtId="0" fontId="76" fillId="0" borderId="40" xfId="0" quotePrefix="1" applyFont="1" applyBorder="1" applyAlignment="1">
      <alignment horizontal="center" vertical="center"/>
    </xf>
    <xf numFmtId="0" fontId="96" fillId="0" borderId="52" xfId="0" applyFont="1" applyBorder="1" applyAlignment="1">
      <alignment vertical="center"/>
    </xf>
    <xf numFmtId="0" fontId="96" fillId="0" borderId="7" xfId="0" applyFont="1" applyBorder="1" applyAlignment="1">
      <alignment vertical="center"/>
    </xf>
    <xf numFmtId="0" fontId="72" fillId="0" borderId="7" xfId="0" applyFont="1" applyBorder="1"/>
    <xf numFmtId="0" fontId="76" fillId="0" borderId="40" xfId="0" applyFont="1" applyBorder="1" applyAlignment="1">
      <alignment horizontal="center" vertical="center"/>
    </xf>
    <xf numFmtId="0" fontId="76" fillId="0" borderId="29" xfId="0" applyFont="1" applyBorder="1" applyAlignment="1">
      <alignment vertical="center"/>
    </xf>
    <xf numFmtId="1" fontId="76" fillId="0" borderId="10" xfId="0" applyNumberFormat="1" applyFont="1" applyBorder="1" applyAlignment="1">
      <alignment horizontal="center" vertical="center"/>
    </xf>
    <xf numFmtId="1" fontId="76" fillId="3" borderId="22" xfId="0" applyNumberFormat="1" applyFont="1" applyFill="1" applyBorder="1" applyAlignment="1">
      <alignment horizontal="center" vertical="center"/>
    </xf>
    <xf numFmtId="1" fontId="76" fillId="0" borderId="1" xfId="0" applyNumberFormat="1" applyFont="1" applyBorder="1" applyAlignment="1">
      <alignment horizontal="right" vertical="center"/>
    </xf>
    <xf numFmtId="0" fontId="96" fillId="0" borderId="47" xfId="0" applyFont="1" applyBorder="1" applyAlignment="1">
      <alignment vertical="center"/>
    </xf>
    <xf numFmtId="0" fontId="96" fillId="0" borderId="6" xfId="0" applyFont="1" applyBorder="1" applyAlignment="1">
      <alignment vertical="center"/>
    </xf>
    <xf numFmtId="1" fontId="89" fillId="2" borderId="17" xfId="0" applyNumberFormat="1" applyFont="1" applyFill="1" applyBorder="1" applyAlignment="1">
      <alignment horizontal="center"/>
    </xf>
    <xf numFmtId="1" fontId="89" fillId="5" borderId="22" xfId="0" applyNumberFormat="1" applyFont="1" applyFill="1" applyBorder="1" applyAlignment="1">
      <alignment horizontal="center"/>
    </xf>
    <xf numFmtId="1" fontId="89" fillId="3" borderId="22" xfId="0" applyNumberFormat="1" applyFont="1" applyFill="1" applyBorder="1" applyAlignment="1">
      <alignment horizontal="center"/>
    </xf>
    <xf numFmtId="41" fontId="76" fillId="0" borderId="4" xfId="0" applyNumberFormat="1" applyFont="1" applyBorder="1" applyAlignment="1">
      <alignment horizontal="right" vertical="center"/>
    </xf>
    <xf numFmtId="1" fontId="83" fillId="2" borderId="13" xfId="0" applyNumberFormat="1" applyFont="1" applyFill="1" applyBorder="1" applyAlignment="1">
      <alignment horizontal="center"/>
    </xf>
    <xf numFmtId="1" fontId="83" fillId="5" borderId="13" xfId="0" applyNumberFormat="1" applyFont="1" applyFill="1" applyBorder="1" applyAlignment="1">
      <alignment horizontal="center"/>
    </xf>
    <xf numFmtId="0" fontId="76" fillId="0" borderId="4" xfId="0" applyFont="1" applyBorder="1" applyAlignment="1">
      <alignment horizontal="right" vertical="center"/>
    </xf>
    <xf numFmtId="0" fontId="72" fillId="0" borderId="40" xfId="0" applyFont="1" applyBorder="1" applyAlignment="1">
      <alignment vertical="center"/>
    </xf>
    <xf numFmtId="1" fontId="89" fillId="2" borderId="53" xfId="0" applyNumberFormat="1" applyFont="1" applyFill="1" applyBorder="1" applyAlignment="1">
      <alignment horizontal="center"/>
    </xf>
    <xf numFmtId="0" fontId="96" fillId="0" borderId="29" xfId="0" applyFont="1" applyBorder="1" applyAlignment="1">
      <alignment vertical="center"/>
    </xf>
    <xf numFmtId="1" fontId="76" fillId="2" borderId="43" xfId="0" applyNumberFormat="1" applyFont="1" applyFill="1" applyBorder="1" applyAlignment="1">
      <alignment horizontal="center" vertical="center"/>
    </xf>
    <xf numFmtId="0" fontId="76" fillId="0" borderId="52" xfId="0" applyFont="1" applyBorder="1" applyAlignment="1">
      <alignment vertical="center"/>
    </xf>
    <xf numFmtId="1" fontId="89" fillId="5" borderId="22" xfId="0" applyNumberFormat="1" applyFont="1" applyFill="1" applyBorder="1" applyAlignment="1">
      <alignment horizontal="center" vertical="center"/>
    </xf>
    <xf numFmtId="41" fontId="76" fillId="0" borderId="31" xfId="0" quotePrefix="1" applyNumberFormat="1" applyFont="1" applyBorder="1" applyAlignment="1">
      <alignment horizontal="left" vertical="center"/>
    </xf>
    <xf numFmtId="1" fontId="89" fillId="5" borderId="16" xfId="0" applyNumberFormat="1" applyFont="1" applyFill="1" applyBorder="1" applyAlignment="1">
      <alignment horizontal="center" vertical="center"/>
    </xf>
    <xf numFmtId="1" fontId="89" fillId="3" borderId="16" xfId="0" applyNumberFormat="1" applyFont="1" applyFill="1" applyBorder="1" applyAlignment="1">
      <alignment horizontal="center" vertical="center"/>
    </xf>
    <xf numFmtId="1" fontId="89" fillId="2" borderId="16" xfId="0" applyNumberFormat="1" applyFont="1" applyFill="1" applyBorder="1" applyAlignment="1">
      <alignment horizontal="center"/>
    </xf>
    <xf numFmtId="1" fontId="96" fillId="0" borderId="44" xfId="0" applyNumberFormat="1" applyFont="1" applyBorder="1" applyAlignment="1">
      <alignment vertical="center"/>
    </xf>
    <xf numFmtId="0" fontId="76" fillId="0" borderId="47" xfId="0" applyFont="1" applyBorder="1" applyAlignment="1">
      <alignment vertical="center"/>
    </xf>
    <xf numFmtId="0" fontId="76" fillId="0" borderId="35" xfId="0" applyFont="1" applyBorder="1" applyAlignment="1">
      <alignment vertical="center"/>
    </xf>
    <xf numFmtId="1" fontId="76" fillId="0" borderId="5" xfId="0" applyNumberFormat="1" applyFont="1" applyBorder="1" applyAlignment="1">
      <alignment horizontal="center"/>
    </xf>
    <xf numFmtId="41" fontId="76" fillId="0" borderId="44" xfId="0" applyNumberFormat="1" applyFont="1" applyBorder="1" applyAlignment="1">
      <alignment vertical="center"/>
    </xf>
    <xf numFmtId="41" fontId="76" fillId="0" borderId="24" xfId="0" applyNumberFormat="1" applyFont="1" applyBorder="1" applyAlignment="1">
      <alignment vertical="center"/>
    </xf>
    <xf numFmtId="41" fontId="76" fillId="0" borderId="69" xfId="0" applyNumberFormat="1" applyFont="1" applyBorder="1" applyAlignment="1">
      <alignment horizontal="left" vertical="center"/>
    </xf>
    <xf numFmtId="1" fontId="76" fillId="2" borderId="16" xfId="0" applyNumberFormat="1" applyFont="1" applyFill="1" applyBorder="1" applyAlignment="1">
      <alignment horizontal="center" vertical="center"/>
    </xf>
    <xf numFmtId="1" fontId="76" fillId="14" borderId="16" xfId="0" applyNumberFormat="1" applyFont="1" applyFill="1" applyBorder="1" applyAlignment="1">
      <alignment horizontal="center" vertical="center"/>
    </xf>
    <xf numFmtId="1" fontId="76" fillId="0" borderId="26" xfId="0" applyNumberFormat="1" applyFont="1" applyBorder="1" applyAlignment="1">
      <alignment horizontal="center" vertical="center"/>
    </xf>
    <xf numFmtId="1" fontId="76" fillId="13" borderId="16" xfId="0" applyNumberFormat="1" applyFont="1" applyFill="1" applyBorder="1" applyAlignment="1">
      <alignment horizontal="center" vertical="center"/>
    </xf>
    <xf numFmtId="41" fontId="76" fillId="0" borderId="69" xfId="0" applyNumberFormat="1" applyFont="1" applyBorder="1" applyAlignment="1">
      <alignment horizontal="right" vertical="center"/>
    </xf>
    <xf numFmtId="1" fontId="76" fillId="0" borderId="14" xfId="0" applyNumberFormat="1" applyFont="1" applyBorder="1" applyAlignment="1">
      <alignment horizontal="center" vertical="center"/>
    </xf>
    <xf numFmtId="0" fontId="76" fillId="0" borderId="16" xfId="0" applyFont="1" applyBorder="1" applyAlignment="1">
      <alignment horizontal="center" vertical="center"/>
    </xf>
    <xf numFmtId="0" fontId="76" fillId="2" borderId="22" xfId="0" applyFont="1" applyFill="1" applyBorder="1" applyAlignment="1">
      <alignment horizontal="center" vertical="center"/>
    </xf>
    <xf numFmtId="0" fontId="72" fillId="0" borderId="49" xfId="0" applyFont="1" applyBorder="1"/>
    <xf numFmtId="0" fontId="76" fillId="0" borderId="34" xfId="0" applyFont="1" applyBorder="1" applyAlignment="1">
      <alignment horizontal="left" vertical="center"/>
    </xf>
    <xf numFmtId="1" fontId="89" fillId="2" borderId="22" xfId="0" applyNumberFormat="1" applyFont="1" applyFill="1" applyBorder="1" applyAlignment="1">
      <alignment horizontal="center"/>
    </xf>
    <xf numFmtId="0" fontId="76" fillId="0" borderId="31" xfId="0" applyFont="1" applyBorder="1" applyAlignment="1">
      <alignment horizontal="left" vertical="center"/>
    </xf>
    <xf numFmtId="0" fontId="76" fillId="0" borderId="74" xfId="0" applyFont="1" applyBorder="1" applyAlignment="1">
      <alignment horizontal="left" vertical="center"/>
    </xf>
    <xf numFmtId="1" fontId="72" fillId="0" borderId="64" xfId="0" applyNumberFormat="1" applyFont="1" applyBorder="1" applyAlignment="1">
      <alignment horizontal="center" vertical="center"/>
    </xf>
    <xf numFmtId="1" fontId="76" fillId="2" borderId="60" xfId="0" applyNumberFormat="1" applyFont="1" applyFill="1" applyBorder="1" applyAlignment="1">
      <alignment horizontal="center" vertical="center"/>
    </xf>
    <xf numFmtId="1" fontId="89" fillId="5" borderId="20" xfId="0" applyNumberFormat="1" applyFont="1" applyFill="1" applyBorder="1" applyAlignment="1">
      <alignment horizontal="center" vertical="center"/>
    </xf>
    <xf numFmtId="1" fontId="89" fillId="3" borderId="20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right" vertical="center"/>
    </xf>
    <xf numFmtId="1" fontId="76" fillId="0" borderId="24" xfId="0" applyNumberFormat="1" applyFont="1" applyBorder="1"/>
    <xf numFmtId="0" fontId="83" fillId="0" borderId="31" xfId="0" applyFont="1" applyBorder="1" applyAlignment="1">
      <alignment vertical="center"/>
    </xf>
    <xf numFmtId="0" fontId="96" fillId="0" borderId="0" xfId="0" applyFont="1" applyAlignment="1">
      <alignment horizontal="left" vertical="center"/>
    </xf>
    <xf numFmtId="0" fontId="72" fillId="0" borderId="0" xfId="0" applyFont="1" applyAlignment="1">
      <alignment horizontal="center"/>
    </xf>
    <xf numFmtId="0" fontId="83" fillId="0" borderId="10" xfId="0" applyFont="1" applyBorder="1" applyAlignment="1">
      <alignment horizontal="center"/>
    </xf>
    <xf numFmtId="0" fontId="72" fillId="0" borderId="51" xfId="0" applyFont="1" applyBorder="1"/>
    <xf numFmtId="0" fontId="76" fillId="0" borderId="7" xfId="0" applyFont="1" applyBorder="1" applyAlignment="1">
      <alignment vertical="center"/>
    </xf>
    <xf numFmtId="0" fontId="72" fillId="0" borderId="40" xfId="0" quotePrefix="1" applyFont="1" applyBorder="1" applyAlignment="1">
      <alignment vertical="center"/>
    </xf>
    <xf numFmtId="0" fontId="76" fillId="0" borderId="32" xfId="0" applyFont="1" applyBorder="1" applyAlignment="1">
      <alignment vertical="center"/>
    </xf>
    <xf numFmtId="2" fontId="76" fillId="2" borderId="16" xfId="0" applyNumberFormat="1" applyFont="1" applyFill="1" applyBorder="1" applyAlignment="1">
      <alignment horizontal="center" vertical="center"/>
    </xf>
    <xf numFmtId="0" fontId="76" fillId="0" borderId="34" xfId="0" applyFont="1" applyBorder="1" applyAlignment="1">
      <alignment horizontal="right" vertical="center"/>
    </xf>
    <xf numFmtId="2" fontId="72" fillId="13" borderId="18" xfId="0" applyNumberFormat="1" applyFont="1" applyFill="1" applyBorder="1" applyAlignment="1">
      <alignment horizontal="center" vertical="center"/>
    </xf>
    <xf numFmtId="2" fontId="72" fillId="14" borderId="18" xfId="0" applyNumberFormat="1" applyFont="1" applyFill="1" applyBorder="1" applyAlignment="1">
      <alignment horizontal="center" vertical="center"/>
    </xf>
    <xf numFmtId="2" fontId="72" fillId="15" borderId="18" xfId="0" applyNumberFormat="1" applyFont="1" applyFill="1" applyBorder="1" applyAlignment="1">
      <alignment horizontal="center" vertical="center"/>
    </xf>
    <xf numFmtId="0" fontId="76" fillId="0" borderId="31" xfId="0" applyFont="1" applyBorder="1" applyAlignment="1">
      <alignment horizontal="right" vertical="center"/>
    </xf>
    <xf numFmtId="2" fontId="72" fillId="13" borderId="12" xfId="0" applyNumberFormat="1" applyFont="1" applyFill="1" applyBorder="1" applyAlignment="1">
      <alignment horizontal="center" vertical="center"/>
    </xf>
    <xf numFmtId="2" fontId="72" fillId="14" borderId="12" xfId="0" applyNumberFormat="1" applyFont="1" applyFill="1" applyBorder="1" applyAlignment="1">
      <alignment horizontal="center" vertical="center"/>
    </xf>
    <xf numFmtId="2" fontId="72" fillId="15" borderId="12" xfId="0" applyNumberFormat="1" applyFont="1" applyFill="1" applyBorder="1" applyAlignment="1">
      <alignment horizontal="center" vertical="center"/>
    </xf>
    <xf numFmtId="0" fontId="96" fillId="0" borderId="47" xfId="0" applyFont="1" applyBorder="1"/>
    <xf numFmtId="0" fontId="76" fillId="0" borderId="31" xfId="0" applyFont="1" applyBorder="1" applyAlignment="1">
      <alignment vertical="center"/>
    </xf>
    <xf numFmtId="2" fontId="72" fillId="0" borderId="6" xfId="0" applyNumberFormat="1" applyFont="1" applyBorder="1" applyAlignment="1">
      <alignment vertical="center"/>
    </xf>
    <xf numFmtId="2" fontId="89" fillId="0" borderId="6" xfId="0" applyNumberFormat="1" applyFont="1" applyBorder="1"/>
    <xf numFmtId="2" fontId="72" fillId="14" borderId="22" xfId="0" applyNumberFormat="1" applyFont="1" applyFill="1" applyBorder="1" applyAlignment="1">
      <alignment horizontal="center" vertical="center"/>
    </xf>
    <xf numFmtId="2" fontId="72" fillId="13" borderId="22" xfId="0" applyNumberFormat="1" applyFont="1" applyFill="1" applyBorder="1" applyAlignment="1">
      <alignment horizontal="center" vertical="center"/>
    </xf>
    <xf numFmtId="2" fontId="72" fillId="15" borderId="22" xfId="0" applyNumberFormat="1" applyFont="1" applyFill="1" applyBorder="1" applyAlignment="1">
      <alignment horizontal="center" vertical="center"/>
    </xf>
    <xf numFmtId="1" fontId="72" fillId="14" borderId="12" xfId="0" applyNumberFormat="1" applyFont="1" applyFill="1" applyBorder="1" applyAlignment="1">
      <alignment horizontal="center" vertical="center"/>
    </xf>
    <xf numFmtId="2" fontId="72" fillId="14" borderId="17" xfId="0" applyNumberFormat="1" applyFont="1" applyFill="1" applyBorder="1" applyAlignment="1">
      <alignment horizontal="center" vertical="center"/>
    </xf>
    <xf numFmtId="2" fontId="72" fillId="13" borderId="17" xfId="0" applyNumberFormat="1" applyFont="1" applyFill="1" applyBorder="1" applyAlignment="1">
      <alignment horizontal="center" vertical="center"/>
    </xf>
    <xf numFmtId="2" fontId="72" fillId="15" borderId="17" xfId="0" applyNumberFormat="1" applyFont="1" applyFill="1" applyBorder="1" applyAlignment="1">
      <alignment horizontal="center" vertical="center"/>
    </xf>
    <xf numFmtId="0" fontId="72" fillId="0" borderId="6" xfId="0" applyFont="1" applyBorder="1" applyAlignment="1">
      <alignment horizontal="center" vertical="center"/>
    </xf>
    <xf numFmtId="170" fontId="76" fillId="0" borderId="31" xfId="0" applyNumberFormat="1" applyFont="1" applyBorder="1" applyAlignment="1">
      <alignment horizontal="left" vertical="center"/>
    </xf>
    <xf numFmtId="170" fontId="76" fillId="0" borderId="31" xfId="0" quotePrefix="1" applyNumberFormat="1" applyFont="1" applyBorder="1" applyAlignment="1">
      <alignment horizontal="left" vertical="center"/>
    </xf>
    <xf numFmtId="0" fontId="72" fillId="0" borderId="16" xfId="0" quotePrefix="1" applyFont="1" applyBorder="1" applyAlignment="1">
      <alignment vertical="center"/>
    </xf>
    <xf numFmtId="170" fontId="76" fillId="0" borderId="32" xfId="0" applyNumberFormat="1" applyFont="1" applyBorder="1" applyAlignment="1">
      <alignment horizontal="left" vertical="center"/>
    </xf>
    <xf numFmtId="1" fontId="83" fillId="5" borderId="12" xfId="0" applyNumberFormat="1" applyFont="1" applyFill="1" applyBorder="1" applyAlignment="1">
      <alignment horizontal="center" vertical="center"/>
    </xf>
    <xf numFmtId="1" fontId="83" fillId="3" borderId="12" xfId="0" applyNumberFormat="1" applyFont="1" applyFill="1" applyBorder="1" applyAlignment="1">
      <alignment horizontal="center" vertical="center"/>
    </xf>
    <xf numFmtId="2" fontId="76" fillId="2" borderId="19" xfId="0" applyNumberFormat="1" applyFont="1" applyFill="1" applyBorder="1" applyAlignment="1">
      <alignment horizontal="center" vertical="center"/>
    </xf>
    <xf numFmtId="169" fontId="72" fillId="0" borderId="6" xfId="0" applyNumberFormat="1" applyFont="1" applyBorder="1" applyAlignment="1">
      <alignment horizontal="center" vertical="center"/>
    </xf>
    <xf numFmtId="0" fontId="72" fillId="0" borderId="0" xfId="0" applyFont="1"/>
    <xf numFmtId="0" fontId="76" fillId="5" borderId="22" xfId="0" applyFont="1" applyFill="1" applyBorder="1" applyAlignment="1">
      <alignment horizontal="center" vertical="center"/>
    </xf>
    <xf numFmtId="1" fontId="72" fillId="5" borderId="19" xfId="0" applyNumberFormat="1" applyFont="1" applyFill="1" applyBorder="1" applyAlignment="1">
      <alignment horizontal="center" vertical="center"/>
    </xf>
    <xf numFmtId="0" fontId="72" fillId="0" borderId="6" xfId="0" applyFont="1" applyBorder="1"/>
    <xf numFmtId="2" fontId="76" fillId="15" borderId="6" xfId="0" applyNumberFormat="1" applyFont="1" applyFill="1" applyBorder="1" applyAlignment="1">
      <alignment horizontal="center" vertical="center"/>
    </xf>
    <xf numFmtId="169" fontId="76" fillId="5" borderId="12" xfId="0" applyNumberFormat="1" applyFont="1" applyFill="1" applyBorder="1" applyAlignment="1">
      <alignment horizontal="center" vertical="center"/>
    </xf>
    <xf numFmtId="169" fontId="76" fillId="15" borderId="12" xfId="0" applyNumberFormat="1" applyFont="1" applyFill="1" applyBorder="1" applyAlignment="1">
      <alignment horizontal="center" vertical="center"/>
    </xf>
    <xf numFmtId="2" fontId="83" fillId="5" borderId="12" xfId="0" applyNumberFormat="1" applyFont="1" applyFill="1" applyBorder="1" applyAlignment="1">
      <alignment horizontal="center" vertical="center"/>
    </xf>
    <xf numFmtId="0" fontId="72" fillId="0" borderId="16" xfId="0" applyFont="1" applyBorder="1" applyAlignment="1">
      <alignment vertical="center"/>
    </xf>
    <xf numFmtId="0" fontId="76" fillId="0" borderId="6" xfId="0" applyFont="1" applyBorder="1" applyAlignment="1">
      <alignment horizontal="center" vertical="center"/>
    </xf>
    <xf numFmtId="0" fontId="96" fillId="0" borderId="0" xfId="0" applyFont="1" applyAlignment="1">
      <alignment vertical="center"/>
    </xf>
    <xf numFmtId="0" fontId="76" fillId="0" borderId="1" xfId="0" applyFont="1" applyBorder="1" applyAlignment="1">
      <alignment vertical="center"/>
    </xf>
    <xf numFmtId="1" fontId="89" fillId="5" borderId="13" xfId="0" applyNumberFormat="1" applyFont="1" applyFill="1" applyBorder="1" applyAlignment="1">
      <alignment horizontal="center" vertical="center"/>
    </xf>
    <xf numFmtId="0" fontId="96" fillId="0" borderId="1" xfId="0" applyFont="1" applyBorder="1" applyAlignment="1">
      <alignment vertical="center"/>
    </xf>
    <xf numFmtId="1" fontId="83" fillId="5" borderId="22" xfId="0" applyNumberFormat="1" applyFont="1" applyFill="1" applyBorder="1" applyAlignment="1">
      <alignment horizontal="center" vertical="center"/>
    </xf>
    <xf numFmtId="1" fontId="83" fillId="3" borderId="22" xfId="0" applyNumberFormat="1" applyFont="1" applyFill="1" applyBorder="1" applyAlignment="1">
      <alignment horizontal="center" vertical="center"/>
    </xf>
    <xf numFmtId="0" fontId="96" fillId="0" borderId="19" xfId="0" applyFont="1" applyBorder="1" applyAlignment="1">
      <alignment vertical="center"/>
    </xf>
    <xf numFmtId="2" fontId="72" fillId="3" borderId="12" xfId="0" applyNumberFormat="1" applyFont="1" applyFill="1" applyBorder="1" applyAlignment="1">
      <alignment horizontal="center" vertical="center"/>
    </xf>
    <xf numFmtId="171" fontId="72" fillId="2" borderId="12" xfId="0" applyNumberFormat="1" applyFont="1" applyFill="1" applyBorder="1" applyAlignment="1">
      <alignment horizontal="center" vertical="center"/>
    </xf>
    <xf numFmtId="171" fontId="72" fillId="17" borderId="10" xfId="0" applyNumberFormat="1" applyFont="1" applyFill="1" applyBorder="1" applyAlignment="1">
      <alignment horizontal="center" vertical="center"/>
    </xf>
    <xf numFmtId="1" fontId="72" fillId="17" borderId="10" xfId="0" applyNumberFormat="1" applyFont="1" applyFill="1" applyBorder="1" applyAlignment="1">
      <alignment horizontal="center" vertical="center"/>
    </xf>
    <xf numFmtId="1" fontId="72" fillId="17" borderId="45" xfId="0" applyNumberFormat="1" applyFont="1" applyFill="1" applyBorder="1" applyAlignment="1">
      <alignment horizontal="center" vertical="center"/>
    </xf>
    <xf numFmtId="0" fontId="76" fillId="0" borderId="35" xfId="0" applyFont="1" applyBorder="1" applyAlignment="1">
      <alignment horizontal="center" vertical="top"/>
    </xf>
    <xf numFmtId="0" fontId="96" fillId="0" borderId="0" xfId="0" applyFont="1"/>
    <xf numFmtId="169" fontId="72" fillId="0" borderId="43" xfId="0" applyNumberFormat="1" applyFont="1" applyBorder="1"/>
    <xf numFmtId="0" fontId="72" fillId="14" borderId="12" xfId="0" applyFont="1" applyFill="1" applyBorder="1" applyAlignment="1">
      <alignment horizontal="center" vertical="center"/>
    </xf>
    <xf numFmtId="0" fontId="72" fillId="3" borderId="12" xfId="0" applyFont="1" applyFill="1" applyBorder="1" applyAlignment="1">
      <alignment horizontal="center" vertical="center"/>
    </xf>
    <xf numFmtId="169" fontId="72" fillId="0" borderId="40" xfId="0" applyNumberFormat="1" applyFont="1" applyBorder="1" applyAlignment="1">
      <alignment vertical="center"/>
    </xf>
    <xf numFmtId="0" fontId="72" fillId="0" borderId="29" xfId="0" applyFont="1" applyBorder="1" applyAlignment="1">
      <alignment vertical="center"/>
    </xf>
    <xf numFmtId="171" fontId="72" fillId="14" borderId="12" xfId="0" applyNumberFormat="1" applyFont="1" applyFill="1" applyBorder="1" applyAlignment="1">
      <alignment horizontal="center" vertical="center"/>
    </xf>
    <xf numFmtId="171" fontId="72" fillId="15" borderId="12" xfId="0" applyNumberFormat="1" applyFont="1" applyFill="1" applyBorder="1" applyAlignment="1">
      <alignment horizontal="center" vertical="center"/>
    </xf>
    <xf numFmtId="171" fontId="76" fillId="2" borderId="12" xfId="0" applyNumberFormat="1" applyFont="1" applyFill="1" applyBorder="1" applyAlignment="1">
      <alignment horizontal="center" vertical="center"/>
    </xf>
    <xf numFmtId="0" fontId="72" fillId="0" borderId="6" xfId="0" applyFont="1" applyBorder="1" applyAlignment="1">
      <alignment vertical="center"/>
    </xf>
    <xf numFmtId="169" fontId="72" fillId="0" borderId="16" xfId="0" applyNumberFormat="1" applyFont="1" applyBorder="1" applyAlignment="1">
      <alignment vertical="center"/>
    </xf>
    <xf numFmtId="169" fontId="72" fillId="0" borderId="43" xfId="0" applyNumberFormat="1" applyFont="1" applyBorder="1" applyAlignment="1">
      <alignment vertical="center"/>
    </xf>
    <xf numFmtId="169" fontId="72" fillId="14" borderId="12" xfId="0" applyNumberFormat="1" applyFont="1" applyFill="1" applyBorder="1" applyAlignment="1">
      <alignment horizontal="center" vertical="center"/>
    </xf>
    <xf numFmtId="169" fontId="89" fillId="3" borderId="12" xfId="0" applyNumberFormat="1" applyFont="1" applyFill="1" applyBorder="1" applyAlignment="1">
      <alignment horizontal="center" vertical="center"/>
    </xf>
    <xf numFmtId="169" fontId="72" fillId="0" borderId="16" xfId="0" applyNumberFormat="1" applyFont="1" applyBorder="1"/>
    <xf numFmtId="2" fontId="76" fillId="2" borderId="13" xfId="0" applyNumberFormat="1" applyFont="1" applyFill="1" applyBorder="1" applyAlignment="1">
      <alignment horizontal="center" vertical="center"/>
    </xf>
    <xf numFmtId="2" fontId="76" fillId="5" borderId="13" xfId="0" applyNumberFormat="1" applyFont="1" applyFill="1" applyBorder="1" applyAlignment="1">
      <alignment horizontal="center" vertical="center"/>
    </xf>
    <xf numFmtId="2" fontId="76" fillId="13" borderId="13" xfId="0" applyNumberFormat="1" applyFont="1" applyFill="1" applyBorder="1" applyAlignment="1">
      <alignment horizontal="center" vertical="center"/>
    </xf>
    <xf numFmtId="2" fontId="76" fillId="15" borderId="13" xfId="0" applyNumberFormat="1" applyFont="1" applyFill="1" applyBorder="1" applyAlignment="1">
      <alignment horizontal="center" vertical="center"/>
    </xf>
    <xf numFmtId="0" fontId="101" fillId="0" borderId="0" xfId="0" applyFont="1"/>
    <xf numFmtId="0" fontId="76" fillId="0" borderId="24" xfId="0" applyFont="1" applyBorder="1" applyAlignment="1">
      <alignment horizontal="center" vertical="center"/>
    </xf>
    <xf numFmtId="0" fontId="76" fillId="2" borderId="18" xfId="0" applyFont="1" applyFill="1" applyBorder="1" applyAlignment="1">
      <alignment horizontal="center" vertical="center"/>
    </xf>
    <xf numFmtId="0" fontId="83" fillId="2" borderId="18" xfId="0" applyFont="1" applyFill="1" applyBorder="1" applyAlignment="1">
      <alignment horizontal="center" vertical="center"/>
    </xf>
    <xf numFmtId="0" fontId="76" fillId="5" borderId="18" xfId="0" applyFont="1" applyFill="1" applyBorder="1" applyAlignment="1">
      <alignment horizontal="center" vertical="center"/>
    </xf>
    <xf numFmtId="0" fontId="76" fillId="3" borderId="18" xfId="0" applyFont="1" applyFill="1" applyBorder="1" applyAlignment="1">
      <alignment horizontal="center" vertical="center"/>
    </xf>
    <xf numFmtId="0" fontId="76" fillId="0" borderId="26" xfId="0" applyFont="1" applyBorder="1" applyAlignment="1">
      <alignment horizontal="center" vertical="center"/>
    </xf>
    <xf numFmtId="0" fontId="76" fillId="2" borderId="16" xfId="0" applyFont="1" applyFill="1" applyBorder="1" applyAlignment="1">
      <alignment horizontal="center" vertical="center"/>
    </xf>
    <xf numFmtId="0" fontId="76" fillId="5" borderId="16" xfId="0" applyFont="1" applyFill="1" applyBorder="1" applyAlignment="1">
      <alignment horizontal="center" vertical="center"/>
    </xf>
    <xf numFmtId="0" fontId="76" fillId="3" borderId="16" xfId="0" applyFont="1" applyFill="1" applyBorder="1" applyAlignment="1">
      <alignment horizontal="center" vertical="center"/>
    </xf>
    <xf numFmtId="0" fontId="72" fillId="8" borderId="8" xfId="0" applyFont="1" applyFill="1" applyBorder="1" applyAlignment="1">
      <alignment horizontal="right" vertical="center"/>
    </xf>
    <xf numFmtId="0" fontId="72" fillId="4" borderId="29" xfId="0" applyFont="1" applyFill="1" applyBorder="1" applyAlignment="1">
      <alignment horizontal="right" vertical="center"/>
    </xf>
    <xf numFmtId="0" fontId="72" fillId="0" borderId="29" xfId="0" applyFont="1" applyBorder="1" applyAlignment="1">
      <alignment horizontal="center" vertical="center"/>
    </xf>
    <xf numFmtId="0" fontId="72" fillId="2" borderId="29" xfId="0" applyFont="1" applyFill="1" applyBorder="1" applyAlignment="1">
      <alignment horizontal="right" vertical="center"/>
    </xf>
    <xf numFmtId="0" fontId="83" fillId="19" borderId="32" xfId="0" applyFont="1" applyFill="1" applyBorder="1" applyAlignment="1">
      <alignment horizontal="right" vertical="center" wrapText="1"/>
    </xf>
    <xf numFmtId="1" fontId="72" fillId="2" borderId="40" xfId="0" applyNumberFormat="1" applyFont="1" applyFill="1" applyBorder="1" applyAlignment="1">
      <alignment horizontal="center" vertical="center"/>
    </xf>
    <xf numFmtId="0" fontId="76" fillId="0" borderId="69" xfId="0" applyFont="1" applyBorder="1" applyAlignment="1">
      <alignment horizontal="right" vertical="center"/>
    </xf>
    <xf numFmtId="1" fontId="76" fillId="0" borderId="21" xfId="0" applyNumberFormat="1" applyFont="1" applyBorder="1" applyAlignment="1">
      <alignment horizontal="center" vertical="center"/>
    </xf>
    <xf numFmtId="0" fontId="76" fillId="3" borderId="13" xfId="0" applyFont="1" applyFill="1" applyBorder="1" applyAlignment="1">
      <alignment horizontal="center" vertical="center"/>
    </xf>
    <xf numFmtId="0" fontId="83" fillId="19" borderId="1" xfId="0" applyFont="1" applyFill="1" applyBorder="1" applyAlignment="1">
      <alignment vertical="center" wrapText="1"/>
    </xf>
    <xf numFmtId="1" fontId="72" fillId="0" borderId="55" xfId="0" applyNumberFormat="1" applyFont="1" applyBorder="1" applyAlignment="1">
      <alignment horizontal="center" vertical="center"/>
    </xf>
    <xf numFmtId="1" fontId="72" fillId="2" borderId="13" xfId="0" applyNumberFormat="1" applyFont="1" applyFill="1" applyBorder="1" applyAlignment="1">
      <alignment horizontal="center" vertical="center"/>
    </xf>
    <xf numFmtId="1" fontId="76" fillId="0" borderId="0" xfId="0" applyNumberFormat="1" applyFont="1" applyAlignment="1">
      <alignment horizontal="center" vertical="center"/>
    </xf>
    <xf numFmtId="169" fontId="85" fillId="0" borderId="43" xfId="0" quotePrefix="1" applyNumberFormat="1" applyFont="1" applyBorder="1" applyAlignment="1">
      <alignment horizontal="center" vertical="center"/>
    </xf>
    <xf numFmtId="0" fontId="85" fillId="0" borderId="40" xfId="0" applyFont="1" applyBorder="1" applyAlignment="1">
      <alignment horizontal="center" vertical="center"/>
    </xf>
    <xf numFmtId="0" fontId="76" fillId="0" borderId="49" xfId="0" applyFont="1" applyBorder="1" applyAlignment="1">
      <alignment horizontal="center" vertical="center"/>
    </xf>
    <xf numFmtId="0" fontId="72" fillId="8" borderId="34" xfId="0" applyFont="1" applyFill="1" applyBorder="1" applyAlignment="1">
      <alignment horizontal="right" vertical="center"/>
    </xf>
    <xf numFmtId="0" fontId="72" fillId="7" borderId="31" xfId="0" applyFont="1" applyFill="1" applyBorder="1" applyAlignment="1">
      <alignment horizontal="right" vertical="center"/>
    </xf>
    <xf numFmtId="0" fontId="72" fillId="4" borderId="31" xfId="0" applyFont="1" applyFill="1" applyBorder="1" applyAlignment="1">
      <alignment horizontal="right" vertical="center"/>
    </xf>
    <xf numFmtId="1" fontId="72" fillId="0" borderId="0" xfId="0" applyNumberFormat="1" applyFont="1" applyAlignment="1">
      <alignment horizontal="center" vertical="center"/>
    </xf>
    <xf numFmtId="0" fontId="85" fillId="0" borderId="16" xfId="0" applyFont="1" applyBorder="1" applyAlignment="1">
      <alignment horizontal="center" vertical="center"/>
    </xf>
    <xf numFmtId="1" fontId="76" fillId="2" borderId="18" xfId="0" applyNumberFormat="1" applyFont="1" applyFill="1" applyBorder="1" applyAlignment="1">
      <alignment horizontal="center" vertical="center"/>
    </xf>
    <xf numFmtId="1" fontId="76" fillId="3" borderId="18" xfId="0" applyNumberFormat="1" applyFont="1" applyFill="1" applyBorder="1" applyAlignment="1">
      <alignment horizontal="center" vertical="center"/>
    </xf>
    <xf numFmtId="1" fontId="76" fillId="5" borderId="16" xfId="0" applyNumberFormat="1" applyFont="1" applyFill="1" applyBorder="1" applyAlignment="1">
      <alignment horizontal="center" vertical="center"/>
    </xf>
    <xf numFmtId="0" fontId="72" fillId="9" borderId="34" xfId="0" applyFont="1" applyFill="1" applyBorder="1" applyAlignment="1">
      <alignment horizontal="right" vertical="center"/>
    </xf>
    <xf numFmtId="0" fontId="89" fillId="16" borderId="32" xfId="0" applyFont="1" applyFill="1" applyBorder="1" applyAlignment="1">
      <alignment horizontal="right" vertical="center"/>
    </xf>
    <xf numFmtId="2" fontId="83" fillId="5" borderId="22" xfId="0" applyNumberFormat="1" applyFont="1" applyFill="1" applyBorder="1" applyAlignment="1">
      <alignment horizontal="center" vertical="center"/>
    </xf>
    <xf numFmtId="169" fontId="76" fillId="13" borderId="20" xfId="0" applyNumberFormat="1" applyFont="1" applyFill="1" applyBorder="1" applyAlignment="1">
      <alignment horizontal="center" vertical="center"/>
    </xf>
    <xf numFmtId="1" fontId="35" fillId="5" borderId="52" xfId="0" applyNumberFormat="1" applyFont="1" applyFill="1" applyBorder="1" applyAlignment="1">
      <alignment horizontal="center" vertical="center"/>
    </xf>
    <xf numFmtId="1" fontId="43" fillId="14" borderId="25" xfId="0" applyNumberFormat="1" applyFont="1" applyFill="1" applyBorder="1" applyAlignment="1">
      <alignment horizontal="center" vertical="center"/>
    </xf>
    <xf numFmtId="2" fontId="43" fillId="14" borderId="35" xfId="0" applyNumberFormat="1" applyFont="1" applyFill="1" applyBorder="1" applyAlignment="1">
      <alignment horizontal="center" vertical="center"/>
    </xf>
    <xf numFmtId="169" fontId="34" fillId="14" borderId="25" xfId="0" applyNumberFormat="1" applyFont="1" applyFill="1" applyBorder="1" applyAlignment="1">
      <alignment horizontal="center" vertical="center"/>
    </xf>
    <xf numFmtId="1" fontId="34" fillId="14" borderId="25" xfId="0" applyNumberFormat="1" applyFont="1" applyFill="1" applyBorder="1" applyAlignment="1">
      <alignment horizontal="center" vertical="center"/>
    </xf>
    <xf numFmtId="2" fontId="34" fillId="14" borderId="44" xfId="0" applyNumberFormat="1" applyFont="1" applyFill="1" applyBorder="1" applyAlignment="1">
      <alignment horizontal="center" vertical="center"/>
    </xf>
    <xf numFmtId="2" fontId="35" fillId="5" borderId="52" xfId="0" applyNumberFormat="1" applyFont="1" applyFill="1" applyBorder="1" applyAlignment="1">
      <alignment horizontal="center" vertical="center"/>
    </xf>
    <xf numFmtId="2" fontId="34" fillId="5" borderId="51" xfId="0" applyNumberFormat="1" applyFont="1" applyFill="1" applyBorder="1" applyAlignment="1">
      <alignment horizontal="center" vertical="center"/>
    </xf>
    <xf numFmtId="1" fontId="63" fillId="14" borderId="57" xfId="0" applyNumberFormat="1" applyFont="1" applyFill="1" applyBorder="1" applyAlignment="1">
      <alignment horizontal="center" vertical="center"/>
    </xf>
    <xf numFmtId="0" fontId="13" fillId="0" borderId="61" xfId="0" applyFont="1" applyBorder="1" applyAlignment="1">
      <alignment vertical="center"/>
    </xf>
    <xf numFmtId="1" fontId="83" fillId="15" borderId="12" xfId="0" applyNumberFormat="1" applyFont="1" applyFill="1" applyBorder="1" applyAlignment="1">
      <alignment horizontal="center" vertical="center"/>
    </xf>
    <xf numFmtId="1" fontId="83" fillId="15" borderId="16" xfId="0" applyNumberFormat="1" applyFont="1" applyFill="1" applyBorder="1" applyAlignment="1">
      <alignment horizontal="center" vertical="center"/>
    </xf>
    <xf numFmtId="2" fontId="34" fillId="0" borderId="21" xfId="0" applyNumberFormat="1" applyFont="1" applyBorder="1" applyAlignment="1">
      <alignment horizontal="center" vertical="center"/>
    </xf>
    <xf numFmtId="1" fontId="63" fillId="0" borderId="24" xfId="0" applyNumberFormat="1" applyFont="1" applyBorder="1" applyAlignment="1">
      <alignment vertical="center"/>
    </xf>
    <xf numFmtId="0" fontId="63" fillId="2" borderId="12" xfId="0" applyFont="1" applyFill="1" applyBorder="1" applyAlignment="1">
      <alignment horizontal="center" vertical="center"/>
    </xf>
    <xf numFmtId="1" fontId="83" fillId="2" borderId="11" xfId="0" applyNumberFormat="1" applyFont="1" applyFill="1" applyBorder="1" applyAlignment="1">
      <alignment horizontal="center" vertical="center"/>
    </xf>
    <xf numFmtId="1" fontId="99" fillId="13" borderId="16" xfId="0" applyNumberFormat="1" applyFont="1" applyFill="1" applyBorder="1" applyAlignment="1">
      <alignment horizontal="center" vertical="center"/>
    </xf>
    <xf numFmtId="1" fontId="99" fillId="13" borderId="20" xfId="0" applyNumberFormat="1" applyFont="1" applyFill="1" applyBorder="1" applyAlignment="1">
      <alignment horizontal="center" vertical="center"/>
    </xf>
    <xf numFmtId="170" fontId="19" fillId="0" borderId="62" xfId="0" applyNumberFormat="1" applyFont="1" applyBorder="1" applyAlignment="1">
      <alignment horizontal="left" vertical="center"/>
    </xf>
    <xf numFmtId="0" fontId="34" fillId="14" borderId="60" xfId="0" applyFont="1" applyFill="1" applyBorder="1" applyAlignment="1">
      <alignment horizontal="center" vertical="center"/>
    </xf>
    <xf numFmtId="1" fontId="50" fillId="14" borderId="20" xfId="0" applyNumberFormat="1" applyFont="1" applyFill="1" applyBorder="1" applyAlignment="1">
      <alignment horizontal="center" vertical="center"/>
    </xf>
    <xf numFmtId="41" fontId="76" fillId="0" borderId="31" xfId="0" applyNumberFormat="1" applyFont="1" applyBorder="1" applyAlignment="1">
      <alignment horizontal="left" vertical="center"/>
    </xf>
    <xf numFmtId="1" fontId="86" fillId="5" borderId="12" xfId="0" applyNumberFormat="1" applyFont="1" applyFill="1" applyBorder="1" applyAlignment="1">
      <alignment horizontal="center" vertical="center"/>
    </xf>
    <xf numFmtId="1" fontId="86" fillId="5" borderId="22" xfId="0" applyNumberFormat="1" applyFont="1" applyFill="1" applyBorder="1" applyAlignment="1">
      <alignment horizontal="center" vertical="center"/>
    </xf>
    <xf numFmtId="1" fontId="86" fillId="5" borderId="60" xfId="0" applyNumberFormat="1" applyFont="1" applyFill="1" applyBorder="1" applyAlignment="1">
      <alignment horizontal="center" vertical="center"/>
    </xf>
    <xf numFmtId="1" fontId="86" fillId="2" borderId="60" xfId="0" applyNumberFormat="1" applyFont="1" applyFill="1" applyBorder="1" applyAlignment="1">
      <alignment horizontal="center" vertical="center"/>
    </xf>
    <xf numFmtId="0" fontId="79" fillId="0" borderId="24" xfId="0" applyFont="1" applyBorder="1" applyAlignment="1">
      <alignment vertical="center"/>
    </xf>
    <xf numFmtId="0" fontId="63" fillId="5" borderId="12" xfId="0" applyFont="1" applyFill="1" applyBorder="1" applyAlignment="1">
      <alignment horizontal="center" vertical="center"/>
    </xf>
    <xf numFmtId="1" fontId="87" fillId="0" borderId="24" xfId="0" applyNumberFormat="1" applyFont="1" applyBorder="1" applyAlignment="1">
      <alignment vertical="center"/>
    </xf>
    <xf numFmtId="1" fontId="79" fillId="14" borderId="13" xfId="0" applyNumberFormat="1" applyFont="1" applyFill="1" applyBorder="1" applyAlignment="1">
      <alignment horizontal="center"/>
    </xf>
    <xf numFmtId="1" fontId="83" fillId="13" borderId="13" xfId="0" applyNumberFormat="1" applyFont="1" applyFill="1" applyBorder="1" applyAlignment="1">
      <alignment horizontal="center"/>
    </xf>
    <xf numFmtId="1" fontId="79" fillId="14" borderId="13" xfId="0" applyNumberFormat="1" applyFont="1" applyFill="1" applyBorder="1" applyAlignment="1">
      <alignment horizontal="center" vertical="center"/>
    </xf>
    <xf numFmtId="1" fontId="87" fillId="0" borderId="24" xfId="0" applyNumberFormat="1" applyFont="1" applyBorder="1" applyAlignment="1">
      <alignment horizontal="center" vertical="center"/>
    </xf>
    <xf numFmtId="1" fontId="76" fillId="14" borderId="25" xfId="0" applyNumberFormat="1" applyFont="1" applyFill="1" applyBorder="1" applyAlignment="1">
      <alignment horizontal="center" vertical="center"/>
    </xf>
    <xf numFmtId="1" fontId="79" fillId="5" borderId="12" xfId="0" applyNumberFormat="1" applyFont="1" applyFill="1" applyBorder="1" applyAlignment="1">
      <alignment horizontal="center" vertical="center"/>
    </xf>
    <xf numFmtId="1" fontId="89" fillId="17" borderId="60" xfId="0" applyNumberFormat="1" applyFont="1" applyFill="1" applyBorder="1" applyAlignment="1">
      <alignment horizontal="center" vertical="center"/>
    </xf>
    <xf numFmtId="2" fontId="89" fillId="5" borderId="20" xfId="0" applyNumberFormat="1" applyFont="1" applyFill="1" applyBorder="1" applyAlignment="1">
      <alignment horizontal="center" vertical="center"/>
    </xf>
    <xf numFmtId="2" fontId="89" fillId="5" borderId="16" xfId="0" applyNumberFormat="1" applyFont="1" applyFill="1" applyBorder="1" applyAlignment="1">
      <alignment horizontal="center" vertical="center"/>
    </xf>
    <xf numFmtId="0" fontId="74" fillId="0" borderId="24" xfId="0" applyFont="1" applyBorder="1" applyAlignment="1">
      <alignment horizontal="center" vertical="center"/>
    </xf>
    <xf numFmtId="0" fontId="83" fillId="5" borderId="12" xfId="0" applyFont="1" applyFill="1" applyBorder="1" applyAlignment="1">
      <alignment horizontal="center" vertical="center"/>
    </xf>
    <xf numFmtId="1" fontId="74" fillId="0" borderId="24" xfId="0" applyNumberFormat="1" applyFont="1" applyBorder="1" applyAlignment="1">
      <alignment horizontal="center" vertical="center"/>
    </xf>
    <xf numFmtId="1" fontId="89" fillId="5" borderId="40" xfId="0" applyNumberFormat="1" applyFont="1" applyFill="1" applyBorder="1" applyAlignment="1">
      <alignment horizontal="center" vertical="center"/>
    </xf>
    <xf numFmtId="2" fontId="99" fillId="14" borderId="60" xfId="0" applyNumberFormat="1" applyFont="1" applyFill="1" applyBorder="1" applyAlignment="1">
      <alignment horizontal="center" vertical="center"/>
    </xf>
    <xf numFmtId="2" fontId="99" fillId="13" borderId="60" xfId="0" applyNumberFormat="1" applyFont="1" applyFill="1" applyBorder="1" applyAlignment="1">
      <alignment horizontal="center" vertical="center"/>
    </xf>
    <xf numFmtId="1" fontId="99" fillId="14" borderId="20" xfId="0" applyNumberFormat="1" applyFont="1" applyFill="1" applyBorder="1" applyAlignment="1">
      <alignment horizontal="center" vertical="center"/>
    </xf>
    <xf numFmtId="169" fontId="76" fillId="2" borderId="13" xfId="0" applyNumberFormat="1" applyFont="1" applyFill="1" applyBorder="1" applyAlignment="1">
      <alignment horizontal="center" vertical="center"/>
    </xf>
    <xf numFmtId="169" fontId="72" fillId="0" borderId="6" xfId="0" applyNumberFormat="1" applyFont="1" applyBorder="1" applyAlignment="1">
      <alignment vertical="center"/>
    </xf>
    <xf numFmtId="1" fontId="89" fillId="2" borderId="19" xfId="0" applyNumberFormat="1" applyFont="1" applyFill="1" applyBorder="1" applyAlignment="1">
      <alignment horizontal="center" vertical="center"/>
    </xf>
    <xf numFmtId="1" fontId="83" fillId="2" borderId="21" xfId="0" applyNumberFormat="1" applyFont="1" applyFill="1" applyBorder="1" applyAlignment="1">
      <alignment horizontal="center" vertical="center"/>
    </xf>
    <xf numFmtId="0" fontId="76" fillId="2" borderId="19" xfId="0" applyFont="1" applyFill="1" applyBorder="1" applyAlignment="1">
      <alignment horizontal="center" vertical="center"/>
    </xf>
    <xf numFmtId="1" fontId="89" fillId="5" borderId="60" xfId="0" applyNumberFormat="1" applyFont="1" applyFill="1" applyBorder="1" applyAlignment="1">
      <alignment horizontal="center" vertical="center"/>
    </xf>
    <xf numFmtId="2" fontId="76" fillId="13" borderId="12" xfId="0" applyNumberFormat="1" applyFont="1" applyFill="1" applyBorder="1" applyAlignment="1">
      <alignment horizontal="center"/>
    </xf>
    <xf numFmtId="2" fontId="76" fillId="5" borderId="12" xfId="0" applyNumberFormat="1" applyFont="1" applyFill="1" applyBorder="1" applyAlignment="1">
      <alignment horizontal="center"/>
    </xf>
    <xf numFmtId="1" fontId="43" fillId="13" borderId="40" xfId="0" applyNumberFormat="1" applyFont="1" applyFill="1" applyBorder="1" applyAlignment="1">
      <alignment horizontal="center" vertical="center"/>
    </xf>
    <xf numFmtId="2" fontId="43" fillId="14" borderId="40" xfId="0" applyNumberFormat="1" applyFont="1" applyFill="1" applyBorder="1" applyAlignment="1">
      <alignment horizontal="center" vertical="center"/>
    </xf>
    <xf numFmtId="1" fontId="43" fillId="14" borderId="13" xfId="0" applyNumberFormat="1" applyFont="1" applyFill="1" applyBorder="1" applyAlignment="1">
      <alignment horizontal="center" vertical="center"/>
    </xf>
    <xf numFmtId="1" fontId="43" fillId="14" borderId="60" xfId="0" applyNumberFormat="1" applyFont="1" applyFill="1" applyBorder="1" applyAlignment="1">
      <alignment horizontal="center" vertical="center"/>
    </xf>
    <xf numFmtId="171" fontId="34" fillId="5" borderId="81" xfId="0" applyNumberFormat="1" applyFont="1" applyFill="1" applyBorder="1" applyAlignment="1">
      <alignment horizontal="center" vertical="center"/>
    </xf>
    <xf numFmtId="0" fontId="25" fillId="0" borderId="83" xfId="0" applyFont="1" applyBorder="1"/>
    <xf numFmtId="1" fontId="34" fillId="17" borderId="20" xfId="0" applyNumberFormat="1" applyFont="1" applyFill="1" applyBorder="1" applyAlignment="1">
      <alignment horizontal="center" vertical="center"/>
    </xf>
    <xf numFmtId="1" fontId="34" fillId="17" borderId="12" xfId="0" applyNumberFormat="1" applyFont="1" applyFill="1" applyBorder="1" applyAlignment="1">
      <alignment horizontal="center" vertical="center"/>
    </xf>
    <xf numFmtId="171" fontId="34" fillId="5" borderId="18" xfId="0" applyNumberFormat="1" applyFont="1" applyFill="1" applyBorder="1" applyAlignment="1">
      <alignment horizontal="center" vertical="center"/>
    </xf>
    <xf numFmtId="2" fontId="34" fillId="0" borderId="14" xfId="0" applyNumberFormat="1" applyFont="1" applyBorder="1" applyAlignment="1">
      <alignment horizontal="center" vertical="center"/>
    </xf>
    <xf numFmtId="2" fontId="35" fillId="0" borderId="30" xfId="0" quotePrefix="1" applyNumberFormat="1" applyFont="1" applyBorder="1" applyAlignment="1">
      <alignment horizontal="center" vertical="center"/>
    </xf>
    <xf numFmtId="2" fontId="35" fillId="13" borderId="12" xfId="0" quotePrefix="1" applyNumberFormat="1" applyFont="1" applyFill="1" applyBorder="1" applyAlignment="1">
      <alignment horizontal="center" vertical="center"/>
    </xf>
    <xf numFmtId="2" fontId="35" fillId="14" borderId="12" xfId="0" quotePrefix="1" applyNumberFormat="1" applyFont="1" applyFill="1" applyBorder="1" applyAlignment="1">
      <alignment horizontal="center" vertical="center"/>
    </xf>
    <xf numFmtId="0" fontId="79" fillId="0" borderId="51" xfId="0" applyFont="1" applyBorder="1" applyAlignment="1">
      <alignment vertical="center"/>
    </xf>
    <xf numFmtId="2" fontId="79" fillId="0" borderId="23" xfId="0" applyNumberFormat="1" applyFont="1" applyBorder="1" applyAlignment="1">
      <alignment horizontal="center" vertical="center"/>
    </xf>
    <xf numFmtId="2" fontId="79" fillId="14" borderId="20" xfId="0" applyNumberFormat="1" applyFont="1" applyFill="1" applyBorder="1" applyAlignment="1">
      <alignment horizontal="center" vertical="center"/>
    </xf>
    <xf numFmtId="2" fontId="79" fillId="5" borderId="20" xfId="0" applyNumberFormat="1" applyFont="1" applyFill="1" applyBorder="1" applyAlignment="1">
      <alignment horizontal="center" vertical="center"/>
    </xf>
    <xf numFmtId="2" fontId="79" fillId="13" borderId="12" xfId="0" quotePrefix="1" applyNumberFormat="1" applyFont="1" applyFill="1" applyBorder="1" applyAlignment="1">
      <alignment horizontal="center" vertical="center"/>
    </xf>
    <xf numFmtId="2" fontId="79" fillId="13" borderId="20" xfId="0" applyNumberFormat="1" applyFont="1" applyFill="1" applyBorder="1" applyAlignment="1">
      <alignment horizontal="center" vertical="center"/>
    </xf>
    <xf numFmtId="1" fontId="35" fillId="14" borderId="18" xfId="0" applyNumberFormat="1" applyFont="1" applyFill="1" applyBorder="1" applyAlignment="1">
      <alignment horizontal="center" vertical="center"/>
    </xf>
    <xf numFmtId="171" fontId="35" fillId="14" borderId="22" xfId="0" quotePrefix="1" applyNumberFormat="1" applyFont="1" applyFill="1" applyBorder="1" applyAlignment="1">
      <alignment horizontal="center" vertical="center"/>
    </xf>
    <xf numFmtId="1" fontId="35" fillId="14" borderId="22" xfId="0" quotePrefix="1" applyNumberFormat="1" applyFont="1" applyFill="1" applyBorder="1" applyAlignment="1">
      <alignment horizontal="center" vertical="center"/>
    </xf>
    <xf numFmtId="2" fontId="79" fillId="13" borderId="22" xfId="0" quotePrefix="1" applyNumberFormat="1" applyFont="1" applyFill="1" applyBorder="1" applyAlignment="1">
      <alignment horizontal="center" vertical="center"/>
    </xf>
    <xf numFmtId="171" fontId="79" fillId="13" borderId="22" xfId="0" quotePrefix="1" applyNumberFormat="1" applyFont="1" applyFill="1" applyBorder="1" applyAlignment="1">
      <alignment horizontal="center" vertical="center"/>
    </xf>
    <xf numFmtId="169" fontId="76" fillId="14" borderId="6" xfId="0" applyNumberFormat="1" applyFont="1" applyFill="1" applyBorder="1" applyAlignment="1">
      <alignment horizontal="center" vertical="center"/>
    </xf>
    <xf numFmtId="2" fontId="76" fillId="14" borderId="6" xfId="0" applyNumberFormat="1" applyFont="1" applyFill="1" applyBorder="1" applyAlignment="1">
      <alignment horizontal="center" vertical="center"/>
    </xf>
    <xf numFmtId="169" fontId="76" fillId="15" borderId="6" xfId="0" applyNumberFormat="1" applyFont="1" applyFill="1" applyBorder="1" applyAlignment="1">
      <alignment horizontal="center" vertical="center"/>
    </xf>
    <xf numFmtId="2" fontId="63" fillId="13" borderId="43" xfId="0" applyNumberFormat="1" applyFont="1" applyFill="1" applyBorder="1" applyAlignment="1">
      <alignment horizontal="center" vertical="center"/>
    </xf>
    <xf numFmtId="2" fontId="63" fillId="13" borderId="13" xfId="0" applyNumberFormat="1" applyFont="1" applyFill="1" applyBorder="1" applyAlignment="1">
      <alignment horizontal="center" vertical="center"/>
    </xf>
    <xf numFmtId="2" fontId="63" fillId="15" borderId="13" xfId="0" applyNumberFormat="1" applyFont="1" applyFill="1" applyBorder="1" applyAlignment="1">
      <alignment horizontal="center" vertical="center"/>
    </xf>
    <xf numFmtId="2" fontId="63" fillId="14" borderId="43" xfId="0" applyNumberFormat="1" applyFont="1" applyFill="1" applyBorder="1" applyAlignment="1">
      <alignment horizontal="center" vertical="center"/>
    </xf>
    <xf numFmtId="2" fontId="63" fillId="14" borderId="13" xfId="0" applyNumberFormat="1" applyFont="1" applyFill="1" applyBorder="1" applyAlignment="1">
      <alignment horizontal="center" vertical="center"/>
    </xf>
    <xf numFmtId="1" fontId="79" fillId="2" borderId="16" xfId="0" applyNumberFormat="1" applyFont="1" applyFill="1" applyBorder="1" applyAlignment="1">
      <alignment horizontal="center" vertical="center"/>
    </xf>
    <xf numFmtId="2" fontId="83" fillId="5" borderId="7" xfId="0" applyNumberFormat="1" applyFont="1" applyFill="1" applyBorder="1" applyAlignment="1">
      <alignment horizontal="center" vertical="center"/>
    </xf>
    <xf numFmtId="171" fontId="76" fillId="2" borderId="12" xfId="0" applyNumberFormat="1" applyFont="1" applyFill="1" applyBorder="1" applyAlignment="1">
      <alignment horizontal="center"/>
    </xf>
    <xf numFmtId="171" fontId="79" fillId="13" borderId="12" xfId="0" quotePrefix="1" applyNumberFormat="1" applyFont="1" applyFill="1" applyBorder="1" applyAlignment="1">
      <alignment horizontal="center" vertical="center"/>
    </xf>
    <xf numFmtId="1" fontId="34" fillId="2" borderId="50" xfId="0" applyNumberFormat="1" applyFont="1" applyFill="1" applyBorder="1" applyAlignment="1">
      <alignment horizontal="center" vertical="center"/>
    </xf>
    <xf numFmtId="0" fontId="42" fillId="0" borderId="71" xfId="0" applyFont="1" applyBorder="1" applyAlignment="1">
      <alignment horizontal="center" vertical="center"/>
    </xf>
    <xf numFmtId="0" fontId="86" fillId="0" borderId="62" xfId="0" applyFont="1" applyBorder="1" applyAlignment="1">
      <alignment horizontal="right" vertical="center" wrapText="1"/>
    </xf>
    <xf numFmtId="0" fontId="19" fillId="0" borderId="8" xfId="0" applyFont="1" applyBorder="1" applyAlignment="1">
      <alignment horizontal="left" vertical="center"/>
    </xf>
    <xf numFmtId="0" fontId="35" fillId="0" borderId="25" xfId="0" applyFont="1" applyBorder="1" applyAlignment="1">
      <alignment horizontal="right" vertical="center"/>
    </xf>
    <xf numFmtId="1" fontId="34" fillId="13" borderId="19" xfId="0" applyNumberFormat="1" applyFont="1" applyFill="1" applyBorder="1" applyAlignment="1">
      <alignment horizontal="center" vertical="center"/>
    </xf>
    <xf numFmtId="0" fontId="35" fillId="21" borderId="10" xfId="0" applyFont="1" applyFill="1" applyBorder="1" applyAlignment="1">
      <alignment horizontal="left" vertical="center" wrapText="1"/>
    </xf>
    <xf numFmtId="0" fontId="79" fillId="0" borderId="6" xfId="0" applyFont="1" applyBorder="1"/>
    <xf numFmtId="0" fontId="5" fillId="0" borderId="24" xfId="0" applyFont="1" applyBorder="1"/>
    <xf numFmtId="0" fontId="36" fillId="0" borderId="28" xfId="0" applyFont="1" applyBorder="1" applyAlignment="1">
      <alignment horizontal="center" vertical="center"/>
    </xf>
    <xf numFmtId="0" fontId="63" fillId="0" borderId="19" xfId="0" applyFont="1" applyBorder="1"/>
    <xf numFmtId="169" fontId="84" fillId="13" borderId="12" xfId="0" applyNumberFormat="1" applyFont="1" applyFill="1" applyBorder="1" applyAlignment="1">
      <alignment horizontal="center" vertical="center"/>
    </xf>
    <xf numFmtId="2" fontId="83" fillId="13" borderId="22" xfId="0" applyNumberFormat="1" applyFont="1" applyFill="1" applyBorder="1" applyAlignment="1">
      <alignment horizontal="center" vertical="center"/>
    </xf>
    <xf numFmtId="169" fontId="76" fillId="2" borderId="22" xfId="0" applyNumberFormat="1" applyFont="1" applyFill="1" applyBorder="1" applyAlignment="1">
      <alignment horizontal="center" vertical="center"/>
    </xf>
    <xf numFmtId="171" fontId="83" fillId="2" borderId="12" xfId="0" applyNumberFormat="1" applyFont="1" applyFill="1" applyBorder="1" applyAlignment="1">
      <alignment horizontal="center" vertical="center"/>
    </xf>
    <xf numFmtId="169" fontId="76" fillId="2" borderId="18" xfId="0" applyNumberFormat="1" applyFont="1" applyFill="1" applyBorder="1" applyAlignment="1">
      <alignment horizontal="center" vertical="center"/>
    </xf>
    <xf numFmtId="1" fontId="43" fillId="2" borderId="18" xfId="0" applyNumberFormat="1" applyFont="1" applyFill="1" applyBorder="1" applyAlignment="1">
      <alignment horizontal="center" vertical="center"/>
    </xf>
    <xf numFmtId="1" fontId="89" fillId="2" borderId="71" xfId="0" applyNumberFormat="1" applyFont="1" applyFill="1" applyBorder="1" applyAlignment="1">
      <alignment horizontal="center"/>
    </xf>
    <xf numFmtId="170" fontId="38" fillId="23" borderId="35" xfId="4" applyFont="1" applyFill="1" applyBorder="1" applyAlignment="1">
      <alignment vertical="center"/>
    </xf>
    <xf numFmtId="170" fontId="38" fillId="0" borderId="31" xfId="4" applyFont="1" applyBorder="1" applyAlignment="1">
      <alignment vertical="center"/>
    </xf>
    <xf numFmtId="170" fontId="35" fillId="22" borderId="12" xfId="4" applyFont="1" applyFill="1" applyBorder="1" applyAlignment="1">
      <alignment horizontal="center" vertical="center"/>
    </xf>
    <xf numFmtId="170" fontId="35" fillId="22" borderId="6" xfId="4" applyFont="1" applyFill="1" applyBorder="1" applyAlignment="1">
      <alignment horizontal="center" vertical="center"/>
    </xf>
    <xf numFmtId="171" fontId="35" fillId="14" borderId="12" xfId="0" applyNumberFormat="1" applyFont="1" applyFill="1" applyBorder="1" applyAlignment="1">
      <alignment horizontal="center" vertical="center"/>
    </xf>
    <xf numFmtId="171" fontId="35" fillId="13" borderId="12" xfId="0" applyNumberFormat="1" applyFont="1" applyFill="1" applyBorder="1" applyAlignment="1">
      <alignment horizontal="center" vertical="center"/>
    </xf>
    <xf numFmtId="171" fontId="35" fillId="14" borderId="6" xfId="0" applyNumberFormat="1" applyFont="1" applyFill="1" applyBorder="1" applyAlignment="1">
      <alignment horizontal="center" vertical="center"/>
    </xf>
    <xf numFmtId="170" fontId="38" fillId="0" borderId="62" xfId="4" applyFont="1" applyBorder="1" applyAlignment="1">
      <alignment vertical="center"/>
    </xf>
    <xf numFmtId="171" fontId="35" fillId="14" borderId="60" xfId="0" applyNumberFormat="1" applyFont="1" applyFill="1" applyBorder="1" applyAlignment="1">
      <alignment horizontal="center" vertical="center"/>
    </xf>
    <xf numFmtId="171" fontId="35" fillId="13" borderId="60" xfId="0" applyNumberFormat="1" applyFont="1" applyFill="1" applyBorder="1" applyAlignment="1">
      <alignment horizontal="center" vertical="center"/>
    </xf>
    <xf numFmtId="171" fontId="35" fillId="14" borderId="75" xfId="0" applyNumberFormat="1" applyFont="1" applyFill="1" applyBorder="1" applyAlignment="1">
      <alignment horizontal="center" vertical="center"/>
    </xf>
    <xf numFmtId="170" fontId="83" fillId="22" borderId="25" xfId="4" applyFont="1" applyFill="1" applyBorder="1" applyAlignment="1">
      <alignment horizontal="right" vertical="center"/>
    </xf>
    <xf numFmtId="171" fontId="83" fillId="13" borderId="13" xfId="0" applyNumberFormat="1" applyFont="1" applyFill="1" applyBorder="1" applyAlignment="1">
      <alignment horizontal="center" vertical="center"/>
    </xf>
    <xf numFmtId="170" fontId="35" fillId="23" borderId="6" xfId="4" applyFont="1" applyFill="1" applyBorder="1" applyAlignment="1">
      <alignment vertical="center"/>
    </xf>
    <xf numFmtId="170" fontId="35" fillId="23" borderId="19" xfId="4" applyFont="1" applyFill="1" applyBorder="1" applyAlignment="1">
      <alignment vertical="center"/>
    </xf>
    <xf numFmtId="0" fontId="106" fillId="0" borderId="63" xfId="0" applyFont="1" applyBorder="1" applyAlignment="1">
      <alignment vertical="center"/>
    </xf>
    <xf numFmtId="1" fontId="79" fillId="15" borderId="13" xfId="0" applyNumberFormat="1" applyFont="1" applyFill="1" applyBorder="1" applyAlignment="1">
      <alignment horizontal="center" vertical="center"/>
    </xf>
    <xf numFmtId="0" fontId="63" fillId="15" borderId="13" xfId="0" applyFont="1" applyFill="1" applyBorder="1" applyAlignment="1">
      <alignment horizontal="center" vertical="center"/>
    </xf>
    <xf numFmtId="0" fontId="86" fillId="5" borderId="12" xfId="0" applyFont="1" applyFill="1" applyBorder="1" applyAlignment="1">
      <alignment horizontal="center" vertical="center"/>
    </xf>
    <xf numFmtId="0" fontId="67" fillId="15" borderId="12" xfId="0" applyFont="1" applyFill="1" applyBorder="1" applyAlignment="1">
      <alignment horizontal="center" vertical="center"/>
    </xf>
    <xf numFmtId="1" fontId="67" fillId="15" borderId="12" xfId="0" applyNumberFormat="1" applyFont="1" applyFill="1" applyBorder="1" applyAlignment="1">
      <alignment horizontal="center" vertical="center"/>
    </xf>
    <xf numFmtId="1" fontId="67" fillId="15" borderId="22" xfId="0" applyNumberFormat="1" applyFont="1" applyFill="1" applyBorder="1" applyAlignment="1">
      <alignment horizontal="center" vertical="center"/>
    </xf>
    <xf numFmtId="1" fontId="67" fillId="5" borderId="60" xfId="0" applyNumberFormat="1" applyFont="1" applyFill="1" applyBorder="1" applyAlignment="1">
      <alignment horizontal="center" vertical="center"/>
    </xf>
    <xf numFmtId="1" fontId="67" fillId="15" borderId="60" xfId="0" applyNumberFormat="1" applyFont="1" applyFill="1" applyBorder="1" applyAlignment="1">
      <alignment horizontal="center" vertical="center"/>
    </xf>
    <xf numFmtId="1" fontId="63" fillId="0" borderId="13" xfId="0" applyNumberFormat="1" applyFont="1" applyBorder="1" applyAlignment="1">
      <alignment horizontal="center" vertical="center"/>
    </xf>
    <xf numFmtId="1" fontId="67" fillId="5" borderId="13" xfId="0" applyNumberFormat="1" applyFont="1" applyFill="1" applyBorder="1" applyAlignment="1">
      <alignment horizontal="center" vertical="center"/>
    </xf>
    <xf numFmtId="1" fontId="67" fillId="15" borderId="13" xfId="0" applyNumberFormat="1" applyFont="1" applyFill="1" applyBorder="1" applyAlignment="1">
      <alignment horizontal="center" vertical="center"/>
    </xf>
    <xf numFmtId="171" fontId="73" fillId="0" borderId="49" xfId="0" applyNumberFormat="1" applyFont="1" applyBorder="1"/>
    <xf numFmtId="1" fontId="83" fillId="14" borderId="13" xfId="0" applyNumberFormat="1" applyFont="1" applyFill="1" applyBorder="1" applyAlignment="1">
      <alignment horizontal="center"/>
    </xf>
    <xf numFmtId="1" fontId="76" fillId="15" borderId="7" xfId="0" applyNumberFormat="1" applyFont="1" applyFill="1" applyBorder="1" applyAlignment="1">
      <alignment horizontal="center" vertical="center"/>
    </xf>
    <xf numFmtId="1" fontId="76" fillId="14" borderId="7" xfId="0" applyNumberFormat="1" applyFont="1" applyFill="1" applyBorder="1" applyAlignment="1">
      <alignment horizontal="center" vertical="center"/>
    </xf>
    <xf numFmtId="1" fontId="76" fillId="15" borderId="22" xfId="0" applyNumberFormat="1" applyFont="1" applyFill="1" applyBorder="1" applyAlignment="1">
      <alignment horizontal="center" vertical="center"/>
    </xf>
    <xf numFmtId="169" fontId="83" fillId="15" borderId="55" xfId="0" applyNumberFormat="1" applyFont="1" applyFill="1" applyBorder="1" applyAlignment="1">
      <alignment horizontal="center" vertical="center"/>
    </xf>
    <xf numFmtId="1" fontId="76" fillId="15" borderId="55" xfId="0" applyNumberFormat="1" applyFont="1" applyFill="1" applyBorder="1" applyAlignment="1">
      <alignment horizontal="center" vertical="center"/>
    </xf>
    <xf numFmtId="1" fontId="76" fillId="15" borderId="0" xfId="0" applyNumberFormat="1" applyFont="1" applyFill="1" applyAlignment="1">
      <alignment horizontal="center" vertical="center"/>
    </xf>
    <xf numFmtId="1" fontId="76" fillId="15" borderId="60" xfId="0" applyNumberFormat="1" applyFont="1" applyFill="1" applyBorder="1" applyAlignment="1">
      <alignment horizontal="center" vertical="center"/>
    </xf>
    <xf numFmtId="1" fontId="72" fillId="15" borderId="12" xfId="0" applyNumberFormat="1" applyFont="1" applyFill="1" applyBorder="1" applyAlignment="1">
      <alignment horizontal="center" vertical="center"/>
    </xf>
    <xf numFmtId="0" fontId="72" fillId="15" borderId="12" xfId="0" applyFont="1" applyFill="1" applyBorder="1" applyAlignment="1">
      <alignment horizontal="center" vertical="center"/>
    </xf>
    <xf numFmtId="0" fontId="72" fillId="15" borderId="20" xfId="0" applyFont="1" applyFill="1" applyBorder="1" applyAlignment="1">
      <alignment horizontal="center" vertical="center"/>
    </xf>
    <xf numFmtId="0" fontId="72" fillId="5" borderId="13" xfId="0" applyFont="1" applyFill="1" applyBorder="1" applyAlignment="1">
      <alignment horizontal="center" vertical="center"/>
    </xf>
    <xf numFmtId="0" fontId="72" fillId="15" borderId="13" xfId="0" applyFont="1" applyFill="1" applyBorder="1" applyAlignment="1">
      <alignment horizontal="center" vertical="center"/>
    </xf>
    <xf numFmtId="0" fontId="91" fillId="0" borderId="6" xfId="0" applyFont="1" applyBorder="1"/>
    <xf numFmtId="1" fontId="72" fillId="4" borderId="60" xfId="0" applyNumberFormat="1" applyFont="1" applyFill="1" applyBorder="1" applyAlignment="1">
      <alignment horizontal="center" vertical="center"/>
    </xf>
    <xf numFmtId="169" fontId="72" fillId="5" borderId="22" xfId="0" applyNumberFormat="1" applyFont="1" applyFill="1" applyBorder="1" applyAlignment="1">
      <alignment horizontal="center" vertical="center"/>
    </xf>
    <xf numFmtId="0" fontId="91" fillId="0" borderId="7" xfId="0" applyFont="1" applyBorder="1"/>
    <xf numFmtId="1" fontId="76" fillId="15" borderId="20" xfId="0" applyNumberFormat="1" applyFont="1" applyFill="1" applyBorder="1" applyAlignment="1">
      <alignment horizontal="center" vertical="center"/>
    </xf>
    <xf numFmtId="2" fontId="83" fillId="14" borderId="52" xfId="0" applyNumberFormat="1" applyFont="1" applyFill="1" applyBorder="1" applyAlignment="1">
      <alignment horizontal="center" vertical="center"/>
    </xf>
    <xf numFmtId="2" fontId="83" fillId="14" borderId="51" xfId="0" applyNumberFormat="1" applyFont="1" applyFill="1" applyBorder="1" applyAlignment="1">
      <alignment horizontal="center" vertical="center"/>
    </xf>
    <xf numFmtId="2" fontId="83" fillId="15" borderId="51" xfId="0" applyNumberFormat="1" applyFont="1" applyFill="1" applyBorder="1" applyAlignment="1">
      <alignment horizontal="center" vertical="center"/>
    </xf>
    <xf numFmtId="0" fontId="76" fillId="15" borderId="20" xfId="0" applyFont="1" applyFill="1" applyBorder="1" applyAlignment="1">
      <alignment horizontal="center" vertical="center"/>
    </xf>
    <xf numFmtId="0" fontId="98" fillId="3" borderId="24" xfId="0" applyFont="1" applyFill="1" applyBorder="1" applyAlignment="1">
      <alignment horizontal="center" vertical="center"/>
    </xf>
    <xf numFmtId="169" fontId="76" fillId="5" borderId="13" xfId="0" applyNumberFormat="1" applyFont="1" applyFill="1" applyBorder="1" applyAlignment="1">
      <alignment horizontal="center" vertical="center"/>
    </xf>
    <xf numFmtId="0" fontId="72" fillId="0" borderId="24" xfId="0" applyFont="1" applyBorder="1"/>
    <xf numFmtId="169" fontId="72" fillId="3" borderId="22" xfId="0" applyNumberFormat="1" applyFont="1" applyFill="1" applyBorder="1" applyAlignment="1">
      <alignment horizontal="center" vertical="center"/>
    </xf>
    <xf numFmtId="169" fontId="72" fillId="5" borderId="40" xfId="0" applyNumberFormat="1" applyFont="1" applyFill="1" applyBorder="1" applyAlignment="1">
      <alignment horizontal="center" vertical="center"/>
    </xf>
    <xf numFmtId="169" fontId="72" fillId="3" borderId="40" xfId="0" applyNumberFormat="1" applyFont="1" applyFill="1" applyBorder="1" applyAlignment="1">
      <alignment horizontal="center" vertical="center"/>
    </xf>
    <xf numFmtId="2" fontId="72" fillId="5" borderId="40" xfId="0" applyNumberFormat="1" applyFont="1" applyFill="1" applyBorder="1" applyAlignment="1">
      <alignment horizontal="center" vertical="center"/>
    </xf>
    <xf numFmtId="2" fontId="72" fillId="3" borderId="40" xfId="0" applyNumberFormat="1" applyFont="1" applyFill="1" applyBorder="1" applyAlignment="1">
      <alignment horizontal="center" vertical="center"/>
    </xf>
    <xf numFmtId="2" fontId="76" fillId="3" borderId="13" xfId="0" applyNumberFormat="1" applyFont="1" applyFill="1" applyBorder="1" applyAlignment="1">
      <alignment horizontal="center" vertical="center"/>
    </xf>
    <xf numFmtId="169" fontId="76" fillId="3" borderId="13" xfId="0" applyNumberFormat="1" applyFont="1" applyFill="1" applyBorder="1" applyAlignment="1">
      <alignment horizontal="center" vertical="center"/>
    </xf>
    <xf numFmtId="0" fontId="76" fillId="15" borderId="12" xfId="0" applyFont="1" applyFill="1" applyBorder="1" applyAlignment="1">
      <alignment horizontal="center" vertical="center"/>
    </xf>
    <xf numFmtId="1" fontId="72" fillId="3" borderId="60" xfId="0" applyNumberFormat="1" applyFont="1" applyFill="1" applyBorder="1" applyAlignment="1">
      <alignment horizontal="center" vertical="center"/>
    </xf>
    <xf numFmtId="1" fontId="76" fillId="5" borderId="11" xfId="0" applyNumberFormat="1" applyFont="1" applyFill="1" applyBorder="1" applyAlignment="1">
      <alignment horizontal="center" vertical="center"/>
    </xf>
    <xf numFmtId="1" fontId="76" fillId="3" borderId="11" xfId="0" applyNumberFormat="1" applyFont="1" applyFill="1" applyBorder="1" applyAlignment="1">
      <alignment horizontal="center" vertical="center"/>
    </xf>
    <xf numFmtId="1" fontId="76" fillId="5" borderId="39" xfId="0" applyNumberFormat="1" applyFont="1" applyFill="1" applyBorder="1" applyAlignment="1">
      <alignment horizontal="center" vertical="center"/>
    </xf>
    <xf numFmtId="169" fontId="72" fillId="3" borderId="12" xfId="0" applyNumberFormat="1" applyFont="1" applyFill="1" applyBorder="1" applyAlignment="1">
      <alignment horizontal="center" vertical="center"/>
    </xf>
    <xf numFmtId="0" fontId="76" fillId="7" borderId="12" xfId="0" applyFont="1" applyFill="1" applyBorder="1" applyAlignment="1">
      <alignment horizontal="center" vertical="center"/>
    </xf>
    <xf numFmtId="171" fontId="76" fillId="5" borderId="12" xfId="0" applyNumberFormat="1" applyFont="1" applyFill="1" applyBorder="1" applyAlignment="1">
      <alignment horizontal="center" vertical="center"/>
    </xf>
    <xf numFmtId="171" fontId="76" fillId="3" borderId="12" xfId="0" applyNumberFormat="1" applyFont="1" applyFill="1" applyBorder="1" applyAlignment="1">
      <alignment horizontal="center" vertical="center"/>
    </xf>
    <xf numFmtId="169" fontId="76" fillId="15" borderId="20" xfId="0" applyNumberFormat="1" applyFont="1" applyFill="1" applyBorder="1" applyAlignment="1">
      <alignment horizontal="center" vertical="center"/>
    </xf>
    <xf numFmtId="171" fontId="76" fillId="3" borderId="22" xfId="0" applyNumberFormat="1" applyFont="1" applyFill="1" applyBorder="1" applyAlignment="1">
      <alignment horizontal="center" vertical="center"/>
    </xf>
    <xf numFmtId="171" fontId="76" fillId="15" borderId="12" xfId="0" applyNumberFormat="1" applyFont="1" applyFill="1" applyBorder="1" applyAlignment="1">
      <alignment horizontal="center" vertical="center"/>
    </xf>
    <xf numFmtId="171" fontId="76" fillId="5" borderId="12" xfId="0" applyNumberFormat="1" applyFont="1" applyFill="1" applyBorder="1" applyAlignment="1">
      <alignment horizontal="center"/>
    </xf>
    <xf numFmtId="171" fontId="76" fillId="3" borderId="12" xfId="0" applyNumberFormat="1" applyFont="1" applyFill="1" applyBorder="1" applyAlignment="1">
      <alignment horizontal="center"/>
    </xf>
    <xf numFmtId="1" fontId="72" fillId="3" borderId="19" xfId="0" applyNumberFormat="1" applyFont="1" applyFill="1" applyBorder="1" applyAlignment="1">
      <alignment horizontal="center" vertical="center"/>
    </xf>
    <xf numFmtId="2" fontId="76" fillId="3" borderId="12" xfId="0" applyNumberFormat="1" applyFont="1" applyFill="1" applyBorder="1" applyAlignment="1">
      <alignment horizontal="center"/>
    </xf>
    <xf numFmtId="2" fontId="76" fillId="3" borderId="12" xfId="0" applyNumberFormat="1" applyFont="1" applyFill="1" applyBorder="1" applyAlignment="1">
      <alignment horizontal="center" vertical="center"/>
    </xf>
    <xf numFmtId="0" fontId="76" fillId="7" borderId="18" xfId="0" applyFont="1" applyFill="1" applyBorder="1" applyAlignment="1">
      <alignment horizontal="center" vertical="center"/>
    </xf>
    <xf numFmtId="0" fontId="76" fillId="5" borderId="16" xfId="0" applyFont="1" applyFill="1" applyBorder="1" applyAlignment="1">
      <alignment horizontal="center"/>
    </xf>
    <xf numFmtId="0" fontId="76" fillId="3" borderId="16" xfId="0" applyFont="1" applyFill="1" applyBorder="1" applyAlignment="1">
      <alignment horizontal="center"/>
    </xf>
    <xf numFmtId="1" fontId="76" fillId="14" borderId="0" xfId="0" applyNumberFormat="1" applyFont="1" applyFill="1" applyAlignment="1">
      <alignment horizontal="center" vertical="center"/>
    </xf>
    <xf numFmtId="0" fontId="76" fillId="7" borderId="24" xfId="0" applyFont="1" applyFill="1" applyBorder="1" applyAlignment="1">
      <alignment horizontal="center" vertical="center"/>
    </xf>
    <xf numFmtId="0" fontId="76" fillId="3" borderId="26" xfId="0" applyFont="1" applyFill="1" applyBorder="1" applyAlignment="1">
      <alignment horizontal="center" vertical="center"/>
    </xf>
    <xf numFmtId="1" fontId="76" fillId="5" borderId="16" xfId="0" applyNumberFormat="1" applyFont="1" applyFill="1" applyBorder="1" applyAlignment="1">
      <alignment horizontal="center"/>
    </xf>
    <xf numFmtId="1" fontId="76" fillId="3" borderId="16" xfId="0" applyNumberFormat="1" applyFont="1" applyFill="1" applyBorder="1" applyAlignment="1">
      <alignment horizontal="center"/>
    </xf>
    <xf numFmtId="0" fontId="76" fillId="5" borderId="81" xfId="0" applyFont="1" applyFill="1" applyBorder="1" applyAlignment="1">
      <alignment horizontal="center" vertical="center"/>
    </xf>
    <xf numFmtId="0" fontId="76" fillId="7" borderId="81" xfId="0" applyFont="1" applyFill="1" applyBorder="1" applyAlignment="1">
      <alignment horizontal="center" vertical="center"/>
    </xf>
    <xf numFmtId="2" fontId="83" fillId="14" borderId="12" xfId="0" applyNumberFormat="1" applyFont="1" applyFill="1" applyBorder="1" applyAlignment="1">
      <alignment horizontal="center" vertical="center"/>
    </xf>
    <xf numFmtId="2" fontId="83" fillId="15" borderId="12" xfId="0" applyNumberFormat="1" applyFont="1" applyFill="1" applyBorder="1" applyAlignment="1">
      <alignment horizontal="center" vertical="center"/>
    </xf>
    <xf numFmtId="1" fontId="76" fillId="3" borderId="47" xfId="0" applyNumberFormat="1" applyFont="1" applyFill="1" applyBorder="1" applyAlignment="1">
      <alignment horizontal="center" vertical="center"/>
    </xf>
    <xf numFmtId="2" fontId="83" fillId="14" borderId="22" xfId="0" quotePrefix="1" applyNumberFormat="1" applyFont="1" applyFill="1" applyBorder="1" applyAlignment="1">
      <alignment horizontal="center" vertical="center"/>
    </xf>
    <xf numFmtId="2" fontId="83" fillId="15" borderId="22" xfId="0" quotePrefix="1" applyNumberFormat="1" applyFont="1" applyFill="1" applyBorder="1" applyAlignment="1">
      <alignment horizontal="center" vertical="center"/>
    </xf>
    <xf numFmtId="1" fontId="76" fillId="15" borderId="47" xfId="0" applyNumberFormat="1" applyFont="1" applyFill="1" applyBorder="1" applyAlignment="1">
      <alignment horizontal="center" vertical="center"/>
    </xf>
    <xf numFmtId="171" fontId="83" fillId="14" borderId="22" xfId="0" quotePrefix="1" applyNumberFormat="1" applyFont="1" applyFill="1" applyBorder="1" applyAlignment="1">
      <alignment horizontal="center" vertical="center"/>
    </xf>
    <xf numFmtId="171" fontId="83" fillId="15" borderId="22" xfId="0" quotePrefix="1" applyNumberFormat="1" applyFont="1" applyFill="1" applyBorder="1" applyAlignment="1">
      <alignment horizontal="center" vertical="center"/>
    </xf>
    <xf numFmtId="1" fontId="83" fillId="15" borderId="18" xfId="0" applyNumberFormat="1" applyFont="1" applyFill="1" applyBorder="1" applyAlignment="1">
      <alignment horizontal="center" vertical="center"/>
    </xf>
    <xf numFmtId="1" fontId="83" fillId="13" borderId="18" xfId="0" applyNumberFormat="1" applyFont="1" applyFill="1" applyBorder="1" applyAlignment="1">
      <alignment horizontal="center" vertical="center"/>
    </xf>
    <xf numFmtId="2" fontId="76" fillId="3" borderId="6" xfId="0" applyNumberFormat="1" applyFont="1" applyFill="1" applyBorder="1" applyAlignment="1">
      <alignment horizontal="center" vertical="center"/>
    </xf>
    <xf numFmtId="0" fontId="76" fillId="15" borderId="13" xfId="0" applyFont="1" applyFill="1" applyBorder="1" applyAlignment="1">
      <alignment horizontal="center" vertical="center"/>
    </xf>
    <xf numFmtId="169" fontId="76" fillId="5" borderId="22" xfId="0" applyNumberFormat="1" applyFont="1" applyFill="1" applyBorder="1" applyAlignment="1">
      <alignment horizontal="center" vertical="center"/>
    </xf>
    <xf numFmtId="169" fontId="76" fillId="3" borderId="22" xfId="0" applyNumberFormat="1" applyFont="1" applyFill="1" applyBorder="1" applyAlignment="1">
      <alignment horizontal="center" vertical="center"/>
    </xf>
    <xf numFmtId="2" fontId="76" fillId="15" borderId="18" xfId="0" applyNumberFormat="1" applyFont="1" applyFill="1" applyBorder="1" applyAlignment="1">
      <alignment horizontal="center" vertical="center"/>
    </xf>
    <xf numFmtId="2" fontId="76" fillId="15" borderId="16" xfId="0" applyNumberFormat="1" applyFont="1" applyFill="1" applyBorder="1" applyAlignment="1">
      <alignment horizontal="center" vertical="center"/>
    </xf>
    <xf numFmtId="0" fontId="104" fillId="0" borderId="6" xfId="0" applyFont="1" applyBorder="1" applyAlignment="1">
      <alignment horizontal="center" vertical="center"/>
    </xf>
    <xf numFmtId="2" fontId="76" fillId="14" borderId="7" xfId="0" applyNumberFormat="1" applyFont="1" applyFill="1" applyBorder="1" applyAlignment="1">
      <alignment horizontal="center" vertical="center"/>
    </xf>
    <xf numFmtId="2" fontId="100" fillId="15" borderId="22" xfId="0" applyNumberFormat="1" applyFont="1" applyFill="1" applyBorder="1" applyAlignment="1">
      <alignment horizontal="center" vertical="center"/>
    </xf>
    <xf numFmtId="2" fontId="83" fillId="14" borderId="6" xfId="0" applyNumberFormat="1" applyFont="1" applyFill="1" applyBorder="1" applyAlignment="1">
      <alignment horizontal="center" vertical="center"/>
    </xf>
    <xf numFmtId="1" fontId="83" fillId="14" borderId="6" xfId="0" applyNumberFormat="1" applyFont="1" applyFill="1" applyBorder="1" applyAlignment="1">
      <alignment horizontal="center" vertical="center"/>
    </xf>
    <xf numFmtId="0" fontId="83" fillId="14" borderId="6" xfId="0" applyFont="1" applyFill="1" applyBorder="1" applyAlignment="1">
      <alignment horizontal="center" vertical="center"/>
    </xf>
    <xf numFmtId="0" fontId="83" fillId="15" borderId="12" xfId="0" applyFont="1" applyFill="1" applyBorder="1" applyAlignment="1">
      <alignment horizontal="center" vertical="center"/>
    </xf>
    <xf numFmtId="169" fontId="83" fillId="15" borderId="12" xfId="0" applyNumberFormat="1" applyFont="1" applyFill="1" applyBorder="1" applyAlignment="1">
      <alignment horizontal="center" vertical="center"/>
    </xf>
    <xf numFmtId="0" fontId="91" fillId="0" borderId="0" xfId="0" applyFont="1"/>
    <xf numFmtId="1" fontId="72" fillId="14" borderId="50" xfId="0" applyNumberFormat="1" applyFont="1" applyFill="1" applyBorder="1" applyAlignment="1">
      <alignment horizontal="center" vertical="center"/>
    </xf>
    <xf numFmtId="1" fontId="99" fillId="15" borderId="22" xfId="0" applyNumberFormat="1" applyFont="1" applyFill="1" applyBorder="1" applyAlignment="1">
      <alignment horizontal="center" vertical="center"/>
    </xf>
    <xf numFmtId="1" fontId="72" fillId="14" borderId="19" xfId="0" applyNumberFormat="1" applyFont="1" applyFill="1" applyBorder="1" applyAlignment="1">
      <alignment horizontal="center" vertical="center"/>
    </xf>
    <xf numFmtId="1" fontId="72" fillId="14" borderId="58" xfId="0" applyNumberFormat="1" applyFont="1" applyFill="1" applyBorder="1" applyAlignment="1">
      <alignment horizontal="center" vertical="center"/>
    </xf>
    <xf numFmtId="1" fontId="99" fillId="15" borderId="60" xfId="0" applyNumberFormat="1" applyFont="1" applyFill="1" applyBorder="1" applyAlignment="1">
      <alignment horizontal="center" vertical="center"/>
    </xf>
    <xf numFmtId="1" fontId="99" fillId="15" borderId="13" xfId="0" applyNumberFormat="1" applyFont="1" applyFill="1" applyBorder="1" applyAlignment="1">
      <alignment horizontal="center" vertical="center"/>
    </xf>
    <xf numFmtId="1" fontId="72" fillId="14" borderId="21" xfId="0" applyNumberFormat="1" applyFont="1" applyFill="1" applyBorder="1" applyAlignment="1">
      <alignment horizontal="center" vertical="center"/>
    </xf>
    <xf numFmtId="1" fontId="100" fillId="15" borderId="13" xfId="0" applyNumberFormat="1" applyFont="1" applyFill="1" applyBorder="1" applyAlignment="1">
      <alignment horizontal="center" vertical="center"/>
    </xf>
    <xf numFmtId="1" fontId="100" fillId="13" borderId="13" xfId="0" applyNumberFormat="1" applyFont="1" applyFill="1" applyBorder="1" applyAlignment="1">
      <alignment horizontal="center" vertical="center"/>
    </xf>
    <xf numFmtId="2" fontId="76" fillId="13" borderId="16" xfId="0" applyNumberFormat="1" applyFont="1" applyFill="1" applyBorder="1" applyAlignment="1">
      <alignment horizontal="center" vertical="center"/>
    </xf>
    <xf numFmtId="2" fontId="83" fillId="15" borderId="6" xfId="0" applyNumberFormat="1" applyFont="1" applyFill="1" applyBorder="1" applyAlignment="1">
      <alignment horizontal="center" vertical="center"/>
    </xf>
    <xf numFmtId="1" fontId="76" fillId="14" borderId="50" xfId="0" applyNumberFormat="1" applyFont="1" applyFill="1" applyBorder="1" applyAlignment="1">
      <alignment horizontal="center" vertical="center"/>
    </xf>
    <xf numFmtId="1" fontId="100" fillId="15" borderId="22" xfId="0" applyNumberFormat="1" applyFont="1" applyFill="1" applyBorder="1" applyAlignment="1">
      <alignment horizontal="center" vertical="center"/>
    </xf>
    <xf numFmtId="1" fontId="100" fillId="13" borderId="22" xfId="0" applyNumberFormat="1" applyFont="1" applyFill="1" applyBorder="1" applyAlignment="1">
      <alignment horizontal="center" vertical="center"/>
    </xf>
    <xf numFmtId="1" fontId="76" fillId="14" borderId="21" xfId="0" applyNumberFormat="1" applyFont="1" applyFill="1" applyBorder="1" applyAlignment="1">
      <alignment horizontal="center" vertical="center"/>
    </xf>
    <xf numFmtId="0" fontId="76" fillId="14" borderId="22" xfId="0" applyFont="1" applyFill="1" applyBorder="1" applyAlignment="1">
      <alignment horizontal="center" vertical="center"/>
    </xf>
    <xf numFmtId="0" fontId="76" fillId="15" borderId="22" xfId="0" applyFont="1" applyFill="1" applyBorder="1" applyAlignment="1">
      <alignment horizontal="center" vertical="center"/>
    </xf>
    <xf numFmtId="0" fontId="76" fillId="13" borderId="22" xfId="0" applyFont="1" applyFill="1" applyBorder="1" applyAlignment="1">
      <alignment horizontal="center" vertical="center"/>
    </xf>
    <xf numFmtId="2" fontId="76" fillId="14" borderId="12" xfId="0" quotePrefix="1" applyNumberFormat="1" applyFont="1" applyFill="1" applyBorder="1" applyAlignment="1">
      <alignment horizontal="center" vertical="center"/>
    </xf>
    <xf numFmtId="2" fontId="76" fillId="15" borderId="12" xfId="0" quotePrefix="1" applyNumberFormat="1" applyFont="1" applyFill="1" applyBorder="1" applyAlignment="1">
      <alignment horizontal="center" vertical="center"/>
    </xf>
    <xf numFmtId="2" fontId="76" fillId="13" borderId="12" xfId="0" quotePrefix="1" applyNumberFormat="1" applyFont="1" applyFill="1" applyBorder="1" applyAlignment="1">
      <alignment horizontal="center" vertical="center"/>
    </xf>
    <xf numFmtId="0" fontId="76" fillId="15" borderId="7" xfId="0" applyFont="1" applyFill="1" applyBorder="1" applyAlignment="1">
      <alignment horizontal="center" vertical="center"/>
    </xf>
    <xf numFmtId="1" fontId="76" fillId="15" borderId="6" xfId="0" applyNumberFormat="1" applyFont="1" applyFill="1" applyBorder="1" applyAlignment="1">
      <alignment horizontal="center" vertical="center"/>
    </xf>
    <xf numFmtId="2" fontId="76" fillId="15" borderId="49" xfId="0" applyNumberFormat="1" applyFont="1" applyFill="1" applyBorder="1" applyAlignment="1">
      <alignment horizontal="center" vertical="center"/>
    </xf>
    <xf numFmtId="1" fontId="76" fillId="14" borderId="27" xfId="0" applyNumberFormat="1" applyFont="1" applyFill="1" applyBorder="1" applyAlignment="1">
      <alignment horizontal="center" vertical="center"/>
    </xf>
    <xf numFmtId="1" fontId="100" fillId="15" borderId="20" xfId="0" applyNumberFormat="1" applyFont="1" applyFill="1" applyBorder="1" applyAlignment="1">
      <alignment horizontal="center" vertical="center"/>
    </xf>
    <xf numFmtId="1" fontId="76" fillId="14" borderId="20" xfId="0" applyNumberFormat="1" applyFont="1" applyFill="1" applyBorder="1" applyAlignment="1">
      <alignment horizontal="center" vertical="center"/>
    </xf>
    <xf numFmtId="1" fontId="76" fillId="14" borderId="54" xfId="0" applyNumberFormat="1" applyFont="1" applyFill="1" applyBorder="1" applyAlignment="1">
      <alignment horizontal="center" vertical="center"/>
    </xf>
    <xf numFmtId="1" fontId="100" fillId="15" borderId="40" xfId="0" applyNumberFormat="1" applyFont="1" applyFill="1" applyBorder="1" applyAlignment="1">
      <alignment horizontal="center" vertical="center"/>
    </xf>
    <xf numFmtId="169" fontId="76" fillId="14" borderId="22" xfId="0" applyNumberFormat="1" applyFont="1" applyFill="1" applyBorder="1" applyAlignment="1">
      <alignment horizontal="center" vertical="center"/>
    </xf>
    <xf numFmtId="169" fontId="100" fillId="15" borderId="22" xfId="0" applyNumberFormat="1" applyFont="1" applyFill="1" applyBorder="1" applyAlignment="1">
      <alignment horizontal="center" vertical="center"/>
    </xf>
    <xf numFmtId="0" fontId="76" fillId="0" borderId="6" xfId="0" applyFont="1" applyBorder="1"/>
    <xf numFmtId="1" fontId="100" fillId="15" borderId="12" xfId="0" applyNumberFormat="1" applyFont="1" applyFill="1" applyBorder="1" applyAlignment="1">
      <alignment horizontal="center" vertical="center"/>
    </xf>
    <xf numFmtId="2" fontId="76" fillId="15" borderId="55" xfId="0" applyNumberFormat="1" applyFont="1" applyFill="1" applyBorder="1" applyAlignment="1">
      <alignment horizontal="center" vertical="center"/>
    </xf>
    <xf numFmtId="2" fontId="101" fillId="0" borderId="55" xfId="0" applyNumberFormat="1" applyFont="1" applyBorder="1" applyAlignment="1">
      <alignment horizontal="center" vertical="center"/>
    </xf>
    <xf numFmtId="169" fontId="76" fillId="14" borderId="7" xfId="0" applyNumberFormat="1" applyFont="1" applyFill="1" applyBorder="1" applyAlignment="1">
      <alignment horizontal="center" vertical="center"/>
    </xf>
    <xf numFmtId="1" fontId="100" fillId="15" borderId="7" xfId="0" applyNumberFormat="1" applyFont="1" applyFill="1" applyBorder="1" applyAlignment="1">
      <alignment horizontal="center" vertical="center"/>
    </xf>
    <xf numFmtId="1" fontId="100" fillId="15" borderId="6" xfId="0" applyNumberFormat="1" applyFont="1" applyFill="1" applyBorder="1" applyAlignment="1">
      <alignment horizontal="center" vertical="center"/>
    </xf>
    <xf numFmtId="169" fontId="76" fillId="15" borderId="22" xfId="0" applyNumberFormat="1" applyFont="1" applyFill="1" applyBorder="1" applyAlignment="1">
      <alignment horizontal="center" vertical="center"/>
    </xf>
    <xf numFmtId="169" fontId="76" fillId="13" borderId="22" xfId="0" applyNumberFormat="1" applyFont="1" applyFill="1" applyBorder="1" applyAlignment="1">
      <alignment horizontal="center" vertical="center"/>
    </xf>
    <xf numFmtId="1" fontId="76" fillId="14" borderId="6" xfId="0" applyNumberFormat="1" applyFont="1" applyFill="1" applyBorder="1" applyAlignment="1">
      <alignment horizontal="center" vertical="center"/>
    </xf>
    <xf numFmtId="2" fontId="76" fillId="14" borderId="0" xfId="0" applyNumberFormat="1" applyFont="1" applyFill="1" applyAlignment="1">
      <alignment horizontal="center" vertical="center"/>
    </xf>
    <xf numFmtId="2" fontId="76" fillId="15" borderId="40" xfId="0" applyNumberFormat="1" applyFont="1" applyFill="1" applyBorder="1" applyAlignment="1">
      <alignment horizontal="center" vertical="center"/>
    </xf>
    <xf numFmtId="169" fontId="34" fillId="15" borderId="25" xfId="0" applyNumberFormat="1" applyFont="1" applyFill="1" applyBorder="1" applyAlignment="1">
      <alignment horizontal="center" vertical="center"/>
    </xf>
    <xf numFmtId="1" fontId="76" fillId="14" borderId="2" xfId="0" applyNumberFormat="1" applyFont="1" applyFill="1" applyBorder="1" applyAlignment="1">
      <alignment horizontal="center" vertical="center"/>
    </xf>
    <xf numFmtId="1" fontId="76" fillId="15" borderId="2" xfId="0" applyNumberFormat="1" applyFont="1" applyFill="1" applyBorder="1" applyAlignment="1">
      <alignment horizontal="center" vertical="center"/>
    </xf>
    <xf numFmtId="2" fontId="76" fillId="14" borderId="25" xfId="0" applyNumberFormat="1" applyFont="1" applyFill="1" applyBorder="1" applyAlignment="1">
      <alignment horizontal="center" vertical="center"/>
    </xf>
    <xf numFmtId="2" fontId="76" fillId="15" borderId="25" xfId="0" applyNumberFormat="1" applyFont="1" applyFill="1" applyBorder="1" applyAlignment="1">
      <alignment horizontal="center" vertical="center"/>
    </xf>
    <xf numFmtId="2" fontId="76" fillId="14" borderId="16" xfId="0" applyNumberFormat="1" applyFont="1" applyFill="1" applyBorder="1" applyAlignment="1">
      <alignment horizontal="center" vertical="center"/>
    </xf>
    <xf numFmtId="1" fontId="76" fillId="14" borderId="18" xfId="0" applyNumberFormat="1" applyFont="1" applyFill="1" applyBorder="1" applyAlignment="1">
      <alignment horizontal="center" vertical="center"/>
    </xf>
    <xf numFmtId="1" fontId="76" fillId="15" borderId="18" xfId="0" applyNumberFormat="1" applyFont="1" applyFill="1" applyBorder="1" applyAlignment="1">
      <alignment horizontal="center" vertical="center"/>
    </xf>
    <xf numFmtId="1" fontId="76" fillId="13" borderId="18" xfId="0" applyNumberFormat="1" applyFont="1" applyFill="1" applyBorder="1" applyAlignment="1">
      <alignment horizontal="center" vertical="center"/>
    </xf>
    <xf numFmtId="1" fontId="83" fillId="5" borderId="43" xfId="0" applyNumberFormat="1" applyFont="1" applyFill="1" applyBorder="1" applyAlignment="1">
      <alignment horizontal="center" vertical="center"/>
    </xf>
    <xf numFmtId="1" fontId="83" fillId="15" borderId="43" xfId="0" applyNumberFormat="1" applyFont="1" applyFill="1" applyBorder="1" applyAlignment="1">
      <alignment horizontal="center" vertical="center"/>
    </xf>
    <xf numFmtId="1" fontId="76" fillId="13" borderId="40" xfId="0" applyNumberFormat="1" applyFont="1" applyFill="1" applyBorder="1" applyAlignment="1">
      <alignment horizontal="center" vertical="center"/>
    </xf>
    <xf numFmtId="0" fontId="25" fillId="0" borderId="24" xfId="0" applyFont="1" applyBorder="1" applyAlignment="1">
      <alignment vertical="center"/>
    </xf>
    <xf numFmtId="1" fontId="76" fillId="14" borderId="97" xfId="0" applyNumberFormat="1" applyFont="1" applyFill="1" applyBorder="1" applyAlignment="1">
      <alignment horizontal="center" vertical="center"/>
    </xf>
    <xf numFmtId="1" fontId="76" fillId="15" borderId="97" xfId="0" applyNumberFormat="1" applyFont="1" applyFill="1" applyBorder="1" applyAlignment="1">
      <alignment horizontal="center" vertical="center"/>
    </xf>
    <xf numFmtId="169" fontId="57" fillId="0" borderId="89" xfId="0" applyNumberFormat="1" applyFont="1" applyBorder="1"/>
    <xf numFmtId="1" fontId="76" fillId="2" borderId="97" xfId="0" applyNumberFormat="1" applyFont="1" applyFill="1" applyBorder="1" applyAlignment="1">
      <alignment horizontal="center" vertical="center"/>
    </xf>
    <xf numFmtId="0" fontId="72" fillId="15" borderId="22" xfId="0" applyFont="1" applyFill="1" applyBorder="1" applyAlignment="1">
      <alignment horizontal="center" vertical="center"/>
    </xf>
    <xf numFmtId="0" fontId="76" fillId="14" borderId="13" xfId="0" applyFont="1" applyFill="1" applyBorder="1" applyAlignment="1">
      <alignment horizontal="center" vertical="center"/>
    </xf>
    <xf numFmtId="0" fontId="72" fillId="15" borderId="18" xfId="0" applyFont="1" applyFill="1" applyBorder="1" applyAlignment="1">
      <alignment horizontal="center" vertical="center"/>
    </xf>
    <xf numFmtId="0" fontId="72" fillId="14" borderId="40" xfId="0" applyFont="1" applyFill="1" applyBorder="1" applyAlignment="1">
      <alignment horizontal="center" vertical="center"/>
    </xf>
    <xf numFmtId="0" fontId="72" fillId="15" borderId="40" xfId="0" applyFont="1" applyFill="1" applyBorder="1" applyAlignment="1">
      <alignment horizontal="center" vertical="center"/>
    </xf>
    <xf numFmtId="0" fontId="76" fillId="15" borderId="18" xfId="0" applyFont="1" applyFill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2" fontId="100" fillId="13" borderId="12" xfId="0" applyNumberFormat="1" applyFont="1" applyFill="1" applyBorder="1" applyAlignment="1">
      <alignment horizontal="center" vertical="center"/>
    </xf>
    <xf numFmtId="1" fontId="89" fillId="13" borderId="12" xfId="0" applyNumberFormat="1" applyFont="1" applyFill="1" applyBorder="1" applyAlignment="1">
      <alignment horizontal="center" vertical="center"/>
    </xf>
    <xf numFmtId="2" fontId="99" fillId="15" borderId="6" xfId="0" applyNumberFormat="1" applyFont="1" applyFill="1" applyBorder="1" applyAlignment="1">
      <alignment horizontal="center" vertical="center"/>
    </xf>
    <xf numFmtId="2" fontId="89" fillId="13" borderId="12" xfId="0" applyNumberFormat="1" applyFont="1" applyFill="1" applyBorder="1" applyAlignment="1">
      <alignment horizontal="center" vertical="center"/>
    </xf>
    <xf numFmtId="2" fontId="100" fillId="15" borderId="6" xfId="0" applyNumberFormat="1" applyFont="1" applyFill="1" applyBorder="1" applyAlignment="1">
      <alignment horizontal="center" vertical="center"/>
    </xf>
    <xf numFmtId="0" fontId="76" fillId="0" borderId="5" xfId="0" applyFont="1" applyBorder="1" applyAlignment="1">
      <alignment horizontal="center" vertical="center"/>
    </xf>
    <xf numFmtId="0" fontId="76" fillId="15" borderId="16" xfId="0" applyFont="1" applyFill="1" applyBorder="1" applyAlignment="1">
      <alignment horizontal="center" vertical="center"/>
    </xf>
    <xf numFmtId="169" fontId="76" fillId="14" borderId="13" xfId="0" applyNumberFormat="1" applyFont="1" applyFill="1" applyBorder="1" applyAlignment="1">
      <alignment horizontal="center" vertical="center"/>
    </xf>
    <xf numFmtId="2" fontId="100" fillId="15" borderId="16" xfId="0" applyNumberFormat="1" applyFont="1" applyFill="1" applyBorder="1" applyAlignment="1">
      <alignment horizontal="center" vertical="center"/>
    </xf>
    <xf numFmtId="0" fontId="76" fillId="5" borderId="89" xfId="0" applyFont="1" applyFill="1" applyBorder="1" applyAlignment="1">
      <alignment horizontal="center" vertical="center"/>
    </xf>
    <xf numFmtId="0" fontId="76" fillId="15" borderId="89" xfId="0" applyFont="1" applyFill="1" applyBorder="1" applyAlignment="1">
      <alignment horizontal="center" vertical="center"/>
    </xf>
    <xf numFmtId="0" fontId="76" fillId="2" borderId="89" xfId="0" applyFont="1" applyFill="1" applyBorder="1" applyAlignment="1">
      <alignment horizontal="center" vertical="center"/>
    </xf>
    <xf numFmtId="169" fontId="76" fillId="15" borderId="49" xfId="0" applyNumberFormat="1" applyFont="1" applyFill="1" applyBorder="1" applyAlignment="1">
      <alignment horizontal="center" vertical="center"/>
    </xf>
    <xf numFmtId="169" fontId="76" fillId="15" borderId="7" xfId="0" applyNumberFormat="1" applyFont="1" applyFill="1" applyBorder="1" applyAlignment="1">
      <alignment horizontal="center" vertical="center"/>
    </xf>
    <xf numFmtId="0" fontId="76" fillId="0" borderId="50" xfId="0" applyFont="1" applyBorder="1" applyAlignment="1">
      <alignment vertical="center"/>
    </xf>
    <xf numFmtId="169" fontId="76" fillId="14" borderId="101" xfId="0" applyNumberFormat="1" applyFont="1" applyFill="1" applyBorder="1" applyAlignment="1">
      <alignment horizontal="center" vertical="center"/>
    </xf>
    <xf numFmtId="169" fontId="76" fillId="15" borderId="101" xfId="0" applyNumberFormat="1" applyFont="1" applyFill="1" applyBorder="1" applyAlignment="1">
      <alignment horizontal="center" vertical="center"/>
    </xf>
    <xf numFmtId="169" fontId="76" fillId="13" borderId="101" xfId="0" applyNumberFormat="1" applyFont="1" applyFill="1" applyBorder="1" applyAlignment="1">
      <alignment horizontal="center" vertical="center"/>
    </xf>
    <xf numFmtId="1" fontId="76" fillId="15" borderId="24" xfId="0" applyNumberFormat="1" applyFont="1" applyFill="1" applyBorder="1" applyAlignment="1">
      <alignment horizontal="center" vertical="center"/>
    </xf>
    <xf numFmtId="1" fontId="76" fillId="15" borderId="26" xfId="0" applyNumberFormat="1" applyFont="1" applyFill="1" applyBorder="1" applyAlignment="1">
      <alignment horizontal="center" vertical="center"/>
    </xf>
    <xf numFmtId="171" fontId="76" fillId="14" borderId="22" xfId="0" applyNumberFormat="1" applyFont="1" applyFill="1" applyBorder="1" applyAlignment="1">
      <alignment horizontal="center" vertical="center"/>
    </xf>
    <xf numFmtId="171" fontId="76" fillId="15" borderId="22" xfId="0" applyNumberFormat="1" applyFont="1" applyFill="1" applyBorder="1" applyAlignment="1">
      <alignment horizontal="center" vertical="center"/>
    </xf>
    <xf numFmtId="171" fontId="76" fillId="13" borderId="22" xfId="0" applyNumberFormat="1" applyFont="1" applyFill="1" applyBorder="1" applyAlignment="1">
      <alignment horizontal="center" vertical="center"/>
    </xf>
    <xf numFmtId="169" fontId="76" fillId="14" borderId="22" xfId="0" quotePrefix="1" applyNumberFormat="1" applyFont="1" applyFill="1" applyBorder="1" applyAlignment="1">
      <alignment horizontal="center" vertical="center"/>
    </xf>
    <xf numFmtId="169" fontId="76" fillId="15" borderId="22" xfId="0" quotePrefix="1" applyNumberFormat="1" applyFont="1" applyFill="1" applyBorder="1" applyAlignment="1">
      <alignment horizontal="center" vertical="center"/>
    </xf>
    <xf numFmtId="169" fontId="76" fillId="13" borderId="22" xfId="0" quotePrefix="1" applyNumberFormat="1" applyFont="1" applyFill="1" applyBorder="1" applyAlignment="1">
      <alignment horizontal="center" vertical="center"/>
    </xf>
    <xf numFmtId="0" fontId="76" fillId="13" borderId="13" xfId="0" applyFont="1" applyFill="1" applyBorder="1" applyAlignment="1">
      <alignment horizontal="center" vertical="center"/>
    </xf>
    <xf numFmtId="170" fontId="35" fillId="22" borderId="18" xfId="4" applyFont="1" applyFill="1" applyBorder="1" applyAlignment="1">
      <alignment horizontal="center" vertical="center"/>
    </xf>
    <xf numFmtId="171" fontId="76" fillId="15" borderId="55" xfId="0" applyNumberFormat="1" applyFont="1" applyFill="1" applyBorder="1" applyAlignment="1">
      <alignment horizontal="center" vertical="center"/>
    </xf>
    <xf numFmtId="171" fontId="100" fillId="15" borderId="75" xfId="0" applyNumberFormat="1" applyFont="1" applyFill="1" applyBorder="1" applyAlignment="1">
      <alignment horizontal="center" vertical="center"/>
    </xf>
    <xf numFmtId="171" fontId="100" fillId="13" borderId="60" xfId="0" applyNumberFormat="1" applyFont="1" applyFill="1" applyBorder="1" applyAlignment="1">
      <alignment horizontal="center" vertical="center"/>
    </xf>
    <xf numFmtId="2" fontId="41" fillId="0" borderId="0" xfId="0" applyNumberFormat="1" applyFont="1" applyAlignment="1">
      <alignment horizontal="center" vertical="center"/>
    </xf>
    <xf numFmtId="0" fontId="109" fillId="0" borderId="7" xfId="0" applyFont="1" applyBorder="1" applyAlignment="1">
      <alignment vertical="center"/>
    </xf>
    <xf numFmtId="1" fontId="34" fillId="13" borderId="12" xfId="0" applyNumberFormat="1" applyFont="1" applyFill="1" applyBorder="1" applyAlignment="1">
      <alignment horizontal="center" vertical="center" wrapText="1"/>
    </xf>
    <xf numFmtId="2" fontId="89" fillId="2" borderId="47" xfId="0" applyNumberFormat="1" applyFont="1" applyFill="1" applyBorder="1" applyAlignment="1">
      <alignment horizontal="center" vertical="center"/>
    </xf>
    <xf numFmtId="1" fontId="72" fillId="2" borderId="47" xfId="0" applyNumberFormat="1" applyFont="1" applyFill="1" applyBorder="1" applyAlignment="1">
      <alignment horizontal="center" vertical="center"/>
    </xf>
    <xf numFmtId="2" fontId="63" fillId="13" borderId="40" xfId="0" applyNumberFormat="1" applyFont="1" applyFill="1" applyBorder="1" applyAlignment="1">
      <alignment horizontal="center" vertical="center"/>
    </xf>
    <xf numFmtId="2" fontId="67" fillId="0" borderId="30" xfId="0" applyNumberFormat="1" applyFont="1" applyBorder="1" applyAlignment="1">
      <alignment horizontal="center" vertical="center"/>
    </xf>
    <xf numFmtId="2" fontId="67" fillId="0" borderId="23" xfId="0" applyNumberFormat="1" applyFont="1" applyBorder="1" applyAlignment="1">
      <alignment horizontal="center" vertical="center"/>
    </xf>
    <xf numFmtId="0" fontId="86" fillId="0" borderId="8" xfId="0" applyFont="1" applyBorder="1" applyAlignment="1">
      <alignment horizontal="right" vertical="center"/>
    </xf>
    <xf numFmtId="0" fontId="86" fillId="0" borderId="23" xfId="0" applyFont="1" applyBorder="1" applyAlignment="1">
      <alignment horizontal="right" vertical="center"/>
    </xf>
    <xf numFmtId="0" fontId="79" fillId="0" borderId="69" xfId="0" applyFont="1" applyBorder="1" applyAlignment="1">
      <alignment horizontal="left" vertical="center"/>
    </xf>
    <xf numFmtId="1" fontId="34" fillId="13" borderId="60" xfId="0" applyNumberFormat="1" applyFont="1" applyFill="1" applyBorder="1" applyAlignment="1">
      <alignment horizontal="center" vertical="center"/>
    </xf>
    <xf numFmtId="169" fontId="36" fillId="0" borderId="30" xfId="0" applyNumberFormat="1" applyFont="1" applyBorder="1" applyAlignment="1">
      <alignment horizontal="center" vertical="center"/>
    </xf>
    <xf numFmtId="0" fontId="34" fillId="0" borderId="34" xfId="0" applyFont="1" applyBorder="1" applyAlignment="1">
      <alignment vertical="center"/>
    </xf>
    <xf numFmtId="169" fontId="38" fillId="0" borderId="10" xfId="0" applyNumberFormat="1" applyFont="1" applyBorder="1" applyAlignment="1">
      <alignment horizontal="center" vertical="center"/>
    </xf>
    <xf numFmtId="169" fontId="38" fillId="0" borderId="8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vertical="center"/>
    </xf>
    <xf numFmtId="0" fontId="74" fillId="0" borderId="29" xfId="0" applyFont="1" applyBorder="1" applyAlignment="1">
      <alignment horizontal="center" vertical="center"/>
    </xf>
    <xf numFmtId="2" fontId="34" fillId="13" borderId="27" xfId="0" applyNumberFormat="1" applyFont="1" applyFill="1" applyBorder="1" applyAlignment="1">
      <alignment horizontal="center" vertical="center"/>
    </xf>
    <xf numFmtId="0" fontId="35" fillId="0" borderId="63" xfId="0" applyFont="1" applyBorder="1" applyAlignment="1">
      <alignment vertical="center"/>
    </xf>
    <xf numFmtId="2" fontId="89" fillId="0" borderId="29" xfId="3" quotePrefix="1" applyNumberFormat="1" applyFont="1" applyFill="1" applyBorder="1" applyAlignment="1">
      <alignment horizontal="center" vertical="center"/>
    </xf>
    <xf numFmtId="2" fontId="89" fillId="0" borderId="8" xfId="1" quotePrefix="1" applyNumberFormat="1" applyFont="1" applyFill="1" applyBorder="1" applyAlignment="1">
      <alignment horizontal="center" vertical="center"/>
    </xf>
    <xf numFmtId="0" fontId="97" fillId="0" borderId="7" xfId="0" applyFont="1" applyBorder="1" applyAlignment="1">
      <alignment horizontal="center" vertical="center"/>
    </xf>
    <xf numFmtId="168" fontId="72" fillId="0" borderId="19" xfId="0" applyNumberFormat="1" applyFont="1" applyBorder="1" applyAlignment="1">
      <alignment horizontal="center" vertical="center"/>
    </xf>
    <xf numFmtId="168" fontId="72" fillId="0" borderId="28" xfId="0" applyNumberFormat="1" applyFont="1" applyBorder="1" applyAlignment="1">
      <alignment horizontal="center" vertical="center"/>
    </xf>
    <xf numFmtId="2" fontId="76" fillId="0" borderId="29" xfId="0" applyNumberFormat="1" applyFont="1" applyBorder="1" applyAlignment="1">
      <alignment horizontal="center" vertical="center"/>
    </xf>
    <xf numFmtId="0" fontId="83" fillId="0" borderId="29" xfId="0" applyFont="1" applyBorder="1" applyAlignment="1">
      <alignment vertical="center"/>
    </xf>
    <xf numFmtId="0" fontId="83" fillId="0" borderId="23" xfId="0" applyFont="1" applyBorder="1" applyAlignment="1">
      <alignment vertical="center"/>
    </xf>
    <xf numFmtId="0" fontId="67" fillId="0" borderId="24" xfId="0" applyFont="1" applyBorder="1"/>
    <xf numFmtId="0" fontId="79" fillId="0" borderId="8" xfId="0" applyFont="1" applyBorder="1" applyAlignment="1">
      <alignment vertical="center"/>
    </xf>
    <xf numFmtId="0" fontId="76" fillId="2" borderId="82" xfId="0" applyFont="1" applyFill="1" applyBorder="1" applyAlignment="1">
      <alignment horizontal="center" vertical="center"/>
    </xf>
    <xf numFmtId="0" fontId="79" fillId="0" borderId="38" xfId="0" applyFont="1" applyBorder="1" applyAlignment="1">
      <alignment vertical="center"/>
    </xf>
    <xf numFmtId="169" fontId="57" fillId="0" borderId="35" xfId="0" applyNumberFormat="1" applyFont="1" applyBorder="1" applyAlignment="1">
      <alignment vertical="top"/>
    </xf>
    <xf numFmtId="0" fontId="38" fillId="0" borderId="76" xfId="0" applyFont="1" applyBorder="1" applyAlignment="1">
      <alignment horizontal="left" vertical="center" wrapText="1"/>
    </xf>
    <xf numFmtId="0" fontId="38" fillId="0" borderId="62" xfId="0" applyFont="1" applyBorder="1" applyAlignment="1">
      <alignment horizontal="left" vertical="center" wrapText="1"/>
    </xf>
    <xf numFmtId="0" fontId="79" fillId="0" borderId="1" xfId="0" applyFont="1" applyBorder="1" applyAlignment="1">
      <alignment horizontal="left" vertical="center" wrapText="1"/>
    </xf>
    <xf numFmtId="0" fontId="79" fillId="0" borderId="25" xfId="0" applyFont="1" applyBorder="1" applyAlignment="1">
      <alignment horizontal="left" vertical="center" wrapText="1"/>
    </xf>
    <xf numFmtId="1" fontId="78" fillId="0" borderId="45" xfId="0" applyNumberFormat="1" applyFont="1" applyBorder="1" applyAlignment="1">
      <alignment horizontal="center" vertical="center"/>
    </xf>
    <xf numFmtId="0" fontId="76" fillId="0" borderId="4" xfId="0" applyFont="1" applyBorder="1" applyAlignment="1">
      <alignment vertical="center"/>
    </xf>
    <xf numFmtId="1" fontId="100" fillId="0" borderId="5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left" vertical="center" wrapText="1"/>
    </xf>
    <xf numFmtId="1" fontId="77" fillId="0" borderId="4" xfId="0" applyNumberFormat="1" applyFont="1" applyBorder="1" applyAlignment="1">
      <alignment horizontal="center" vertical="center"/>
    </xf>
    <xf numFmtId="0" fontId="79" fillId="0" borderId="66" xfId="0" applyFont="1" applyBorder="1" applyAlignment="1">
      <alignment vertical="center"/>
    </xf>
    <xf numFmtId="1" fontId="90" fillId="0" borderId="10" xfId="0" applyNumberFormat="1" applyFont="1" applyBorder="1" applyAlignment="1">
      <alignment horizontal="center" vertical="center"/>
    </xf>
    <xf numFmtId="0" fontId="89" fillId="0" borderId="10" xfId="0" applyFont="1" applyBorder="1" applyAlignment="1">
      <alignment horizontal="right" vertical="center"/>
    </xf>
    <xf numFmtId="0" fontId="89" fillId="0" borderId="23" xfId="0" applyFont="1" applyBorder="1" applyAlignment="1">
      <alignment horizontal="right" vertical="center"/>
    </xf>
    <xf numFmtId="169" fontId="35" fillId="13" borderId="22" xfId="0" applyNumberFormat="1" applyFont="1" applyFill="1" applyBorder="1" applyAlignment="1">
      <alignment horizontal="center" vertical="center"/>
    </xf>
    <xf numFmtId="169" fontId="35" fillId="13" borderId="12" xfId="0" applyNumberFormat="1" applyFont="1" applyFill="1" applyBorder="1" applyAlignment="1">
      <alignment horizontal="center" vertical="center"/>
    </xf>
    <xf numFmtId="1" fontId="78" fillId="0" borderId="30" xfId="0" applyNumberFormat="1" applyFont="1" applyBorder="1" applyAlignment="1">
      <alignment horizontal="center" vertical="center"/>
    </xf>
    <xf numFmtId="1" fontId="77" fillId="13" borderId="18" xfId="0" applyNumberFormat="1" applyFont="1" applyFill="1" applyBorder="1" applyAlignment="1">
      <alignment horizontal="center" vertical="center"/>
    </xf>
    <xf numFmtId="1" fontId="77" fillId="13" borderId="22" xfId="0" applyNumberFormat="1" applyFont="1" applyFill="1" applyBorder="1" applyAlignment="1">
      <alignment horizontal="center" vertical="center"/>
    </xf>
    <xf numFmtId="2" fontId="67" fillId="13" borderId="22" xfId="0" applyNumberFormat="1" applyFont="1" applyFill="1" applyBorder="1" applyAlignment="1">
      <alignment horizontal="center" vertical="center"/>
    </xf>
    <xf numFmtId="1" fontId="83" fillId="13" borderId="40" xfId="3" quotePrefix="1" applyNumberFormat="1" applyFont="1" applyFill="1" applyBorder="1" applyAlignment="1">
      <alignment horizontal="center" vertical="center"/>
    </xf>
    <xf numFmtId="2" fontId="83" fillId="13" borderId="22" xfId="1" quotePrefix="1" applyNumberFormat="1" applyFont="1" applyFill="1" applyBorder="1" applyAlignment="1">
      <alignment horizontal="center" vertical="center"/>
    </xf>
    <xf numFmtId="2" fontId="34" fillId="13" borderId="13" xfId="0" quotePrefix="1" applyNumberFormat="1" applyFont="1" applyFill="1" applyBorder="1" applyAlignment="1">
      <alignment horizontal="center" vertical="center"/>
    </xf>
    <xf numFmtId="0" fontId="0" fillId="0" borderId="31" xfId="0" applyBorder="1"/>
    <xf numFmtId="0" fontId="115" fillId="0" borderId="47" xfId="0" applyFont="1" applyBorder="1"/>
    <xf numFmtId="0" fontId="117" fillId="0" borderId="32" xfId="0" applyFont="1" applyBorder="1" applyAlignment="1">
      <alignment vertical="center"/>
    </xf>
    <xf numFmtId="0" fontId="117" fillId="0" borderId="31" xfId="0" applyFont="1" applyBorder="1" applyAlignment="1">
      <alignment horizontal="right" vertical="center"/>
    </xf>
    <xf numFmtId="0" fontId="117" fillId="0" borderId="31" xfId="0" applyFont="1" applyBorder="1" applyAlignment="1">
      <alignment vertical="center"/>
    </xf>
    <xf numFmtId="0" fontId="118" fillId="0" borderId="31" xfId="0" applyFont="1" applyBorder="1" applyAlignment="1">
      <alignment vertical="center"/>
    </xf>
    <xf numFmtId="0" fontId="118" fillId="0" borderId="34" xfId="0" applyFont="1" applyBorder="1" applyAlignment="1">
      <alignment horizontal="right" vertical="center"/>
    </xf>
    <xf numFmtId="0" fontId="118" fillId="0" borderId="31" xfId="0" applyFont="1" applyBorder="1" applyAlignment="1">
      <alignment horizontal="right" vertical="center"/>
    </xf>
    <xf numFmtId="170" fontId="118" fillId="0" borderId="31" xfId="0" applyNumberFormat="1" applyFont="1" applyBorder="1" applyAlignment="1">
      <alignment horizontal="left" vertical="center"/>
    </xf>
    <xf numFmtId="170" fontId="118" fillId="0" borderId="31" xfId="0" quotePrefix="1" applyNumberFormat="1" applyFont="1" applyBorder="1" applyAlignment="1">
      <alignment horizontal="left" vertical="center"/>
    </xf>
    <xf numFmtId="170" fontId="118" fillId="0" borderId="32" xfId="0" applyNumberFormat="1" applyFont="1" applyBorder="1" applyAlignment="1">
      <alignment horizontal="left" vertical="center"/>
    </xf>
    <xf numFmtId="0" fontId="54" fillId="0" borderId="0" xfId="0" applyFont="1"/>
    <xf numFmtId="0" fontId="119" fillId="0" borderId="28" xfId="0" applyFont="1" applyBorder="1" applyAlignment="1">
      <alignment horizontal="center" vertical="center"/>
    </xf>
    <xf numFmtId="0" fontId="119" fillId="0" borderId="26" xfId="0" applyFont="1" applyBorder="1" applyAlignment="1">
      <alignment horizontal="center" vertical="center"/>
    </xf>
    <xf numFmtId="0" fontId="54" fillId="0" borderId="34" xfId="0" applyFont="1" applyBorder="1"/>
    <xf numFmtId="0" fontId="54" fillId="0" borderId="48" xfId="0" applyFont="1" applyBorder="1" applyAlignment="1">
      <alignment horizontal="center" vertical="center"/>
    </xf>
    <xf numFmtId="0" fontId="54" fillId="0" borderId="53" xfId="0" applyFont="1" applyBorder="1" applyAlignment="1">
      <alignment horizontal="center" vertical="center"/>
    </xf>
    <xf numFmtId="0" fontId="54" fillId="0" borderId="31" xfId="0" applyFont="1" applyBorder="1"/>
    <xf numFmtId="0" fontId="54" fillId="0" borderId="37" xfId="0" applyFont="1" applyBorder="1" applyAlignment="1">
      <alignment horizontal="center" vertical="center"/>
    </xf>
    <xf numFmtId="0" fontId="54" fillId="0" borderId="17" xfId="0" applyFont="1" applyBorder="1" applyAlignment="1">
      <alignment horizontal="center" vertical="center"/>
    </xf>
    <xf numFmtId="0" fontId="54" fillId="0" borderId="62" xfId="0" applyFont="1" applyBorder="1"/>
    <xf numFmtId="0" fontId="54" fillId="0" borderId="65" xfId="0" applyFont="1" applyBorder="1" applyAlignment="1">
      <alignment horizontal="center" vertical="center"/>
    </xf>
    <xf numFmtId="0" fontId="54" fillId="0" borderId="72" xfId="0" applyFont="1" applyBorder="1" applyAlignment="1">
      <alignment horizontal="center" vertical="center"/>
    </xf>
    <xf numFmtId="0" fontId="119" fillId="0" borderId="1" xfId="0" applyFont="1" applyBorder="1"/>
    <xf numFmtId="0" fontId="119" fillId="0" borderId="67" xfId="0" applyFont="1" applyBorder="1" applyAlignment="1">
      <alignment horizontal="center" vertical="center"/>
    </xf>
    <xf numFmtId="0" fontId="119" fillId="0" borderId="11" xfId="0" applyFont="1" applyBorder="1" applyAlignment="1">
      <alignment horizontal="center" vertical="center"/>
    </xf>
    <xf numFmtId="0" fontId="54" fillId="0" borderId="63" xfId="0" applyFont="1" applyBorder="1"/>
    <xf numFmtId="0" fontId="54" fillId="0" borderId="66" xfId="0" applyFont="1" applyBorder="1" applyAlignment="1">
      <alignment horizontal="center" vertical="center"/>
    </xf>
    <xf numFmtId="0" fontId="54" fillId="0" borderId="42" xfId="0" applyFont="1" applyBorder="1" applyAlignment="1">
      <alignment horizontal="center" vertical="center"/>
    </xf>
    <xf numFmtId="0" fontId="54" fillId="0" borderId="32" xfId="0" applyFont="1" applyBorder="1"/>
    <xf numFmtId="0" fontId="54" fillId="0" borderId="68" xfId="0" applyFont="1" applyBorder="1" applyAlignment="1">
      <alignment horizontal="center" vertical="center"/>
    </xf>
    <xf numFmtId="0" fontId="54" fillId="0" borderId="34" xfId="0" applyFont="1" applyBorder="1" applyAlignment="1">
      <alignment horizontal="right"/>
    </xf>
    <xf numFmtId="0" fontId="54" fillId="0" borderId="62" xfId="0" applyFont="1" applyBorder="1" applyAlignment="1">
      <alignment horizontal="right"/>
    </xf>
    <xf numFmtId="0" fontId="54" fillId="0" borderId="31" xfId="0" applyFont="1" applyBorder="1" applyAlignment="1">
      <alignment horizontal="right"/>
    </xf>
    <xf numFmtId="0" fontId="68" fillId="0" borderId="1" xfId="0" applyFont="1" applyBorder="1" applyAlignment="1">
      <alignment horizontal="right"/>
    </xf>
    <xf numFmtId="0" fontId="68" fillId="0" borderId="67" xfId="0" applyFont="1" applyBorder="1" applyAlignment="1">
      <alignment horizontal="center" vertical="center"/>
    </xf>
    <xf numFmtId="0" fontId="68" fillId="0" borderId="11" xfId="0" applyFont="1" applyBorder="1" applyAlignment="1">
      <alignment horizontal="center" vertical="center"/>
    </xf>
    <xf numFmtId="0" fontId="7" fillId="0" borderId="44" xfId="0" applyFont="1" applyBorder="1" applyAlignment="1">
      <alignment vertical="center"/>
    </xf>
    <xf numFmtId="0" fontId="118" fillId="0" borderId="62" xfId="0" applyFont="1" applyBorder="1" applyAlignment="1">
      <alignment vertical="center"/>
    </xf>
    <xf numFmtId="0" fontId="65" fillId="0" borderId="1" xfId="0" applyFont="1" applyBorder="1" applyAlignment="1">
      <alignment vertical="center"/>
    </xf>
    <xf numFmtId="0" fontId="118" fillId="0" borderId="34" xfId="0" applyFont="1" applyBorder="1" applyAlignment="1">
      <alignment vertical="center"/>
    </xf>
    <xf numFmtId="0" fontId="118" fillId="0" borderId="74" xfId="0" applyFont="1" applyBorder="1" applyAlignment="1">
      <alignment vertical="center"/>
    </xf>
    <xf numFmtId="0" fontId="65" fillId="0" borderId="76" xfId="0" applyFont="1" applyBorder="1" applyAlignment="1">
      <alignment vertical="center"/>
    </xf>
    <xf numFmtId="0" fontId="118" fillId="0" borderId="32" xfId="0" applyFont="1" applyBorder="1" applyAlignment="1">
      <alignment vertical="center"/>
    </xf>
    <xf numFmtId="0" fontId="54" fillId="0" borderId="17" xfId="0" applyFont="1" applyBorder="1" applyAlignment="1">
      <alignment horizontal="center"/>
    </xf>
    <xf numFmtId="0" fontId="54" fillId="0" borderId="72" xfId="0" applyFont="1" applyBorder="1" applyAlignment="1">
      <alignment horizontal="center"/>
    </xf>
    <xf numFmtId="0" fontId="68" fillId="0" borderId="11" xfId="0" applyFont="1" applyBorder="1" applyAlignment="1">
      <alignment horizontal="center"/>
    </xf>
    <xf numFmtId="0" fontId="54" fillId="0" borderId="53" xfId="0" applyFont="1" applyBorder="1" applyAlignment="1">
      <alignment horizontal="center"/>
    </xf>
    <xf numFmtId="0" fontId="54" fillId="0" borderId="71" xfId="0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54" fillId="0" borderId="71" xfId="0" applyFont="1" applyBorder="1" applyAlignment="1">
      <alignment horizontal="center" vertical="center"/>
    </xf>
    <xf numFmtId="0" fontId="54" fillId="0" borderId="33" xfId="0" applyFont="1" applyBorder="1" applyAlignment="1">
      <alignment horizontal="center" vertical="center"/>
    </xf>
    <xf numFmtId="0" fontId="115" fillId="0" borderId="6" xfId="0" applyFont="1" applyBorder="1" applyAlignment="1">
      <alignment horizontal="center" vertical="center"/>
    </xf>
    <xf numFmtId="0" fontId="119" fillId="0" borderId="17" xfId="0" applyFont="1" applyBorder="1" applyAlignment="1">
      <alignment horizontal="center" vertical="center"/>
    </xf>
    <xf numFmtId="0" fontId="65" fillId="0" borderId="1" xfId="0" applyFont="1" applyBorder="1" applyAlignment="1">
      <alignment horizontal="right" vertical="center"/>
    </xf>
    <xf numFmtId="0" fontId="68" fillId="0" borderId="53" xfId="0" applyFont="1" applyBorder="1" applyAlignment="1">
      <alignment horizontal="center" vertical="center"/>
    </xf>
    <xf numFmtId="0" fontId="109" fillId="0" borderId="52" xfId="0" applyFont="1" applyBorder="1" applyAlignment="1">
      <alignment vertical="center"/>
    </xf>
    <xf numFmtId="0" fontId="111" fillId="0" borderId="62" xfId="0" applyFont="1" applyBorder="1" applyAlignment="1">
      <alignment horizontal="right" vertical="center" wrapText="1"/>
    </xf>
    <xf numFmtId="0" fontId="117" fillId="0" borderId="31" xfId="0" applyFont="1" applyBorder="1" applyAlignment="1">
      <alignment horizontal="left" vertical="center"/>
    </xf>
    <xf numFmtId="0" fontId="118" fillId="0" borderId="63" xfId="0" applyFont="1" applyBorder="1" applyAlignment="1">
      <alignment horizontal="left" vertical="center"/>
    </xf>
    <xf numFmtId="0" fontId="118" fillId="0" borderId="31" xfId="0" applyFont="1" applyBorder="1" applyAlignment="1">
      <alignment horizontal="left" vertical="center"/>
    </xf>
    <xf numFmtId="0" fontId="118" fillId="0" borderId="32" xfId="0" applyFont="1" applyBorder="1" applyAlignment="1">
      <alignment horizontal="left" vertical="center"/>
    </xf>
    <xf numFmtId="170" fontId="118" fillId="0" borderId="31" xfId="0" applyNumberFormat="1" applyFont="1" applyBorder="1" applyAlignment="1">
      <alignment horizontal="right" vertical="center"/>
    </xf>
    <xf numFmtId="0" fontId="118" fillId="0" borderId="62" xfId="0" applyFont="1" applyBorder="1" applyAlignment="1">
      <alignment horizontal="left" vertical="center"/>
    </xf>
    <xf numFmtId="0" fontId="118" fillId="0" borderId="34" xfId="0" applyFont="1" applyBorder="1" applyAlignment="1">
      <alignment horizontal="left" vertical="center"/>
    </xf>
    <xf numFmtId="170" fontId="118" fillId="0" borderId="31" xfId="0" applyNumberFormat="1" applyFont="1" applyBorder="1" applyAlignment="1">
      <alignment horizontal="left"/>
    </xf>
    <xf numFmtId="0" fontId="109" fillId="0" borderId="1" xfId="0" applyFont="1" applyBorder="1" applyAlignment="1">
      <alignment horizontal="right" vertical="center"/>
    </xf>
    <xf numFmtId="0" fontId="111" fillId="0" borderId="34" xfId="0" applyFont="1" applyBorder="1" applyAlignment="1">
      <alignment horizontal="left" vertical="center" wrapText="1"/>
    </xf>
    <xf numFmtId="0" fontId="65" fillId="0" borderId="1" xfId="0" applyFont="1" applyBorder="1" applyAlignment="1">
      <alignment horizontal="left" vertical="center"/>
    </xf>
    <xf numFmtId="0" fontId="121" fillId="0" borderId="24" xfId="0" applyFont="1" applyBorder="1" applyAlignment="1">
      <alignment vertical="center"/>
    </xf>
    <xf numFmtId="0" fontId="122" fillId="0" borderId="24" xfId="0" applyFont="1" applyBorder="1" applyAlignment="1">
      <alignment vertical="center"/>
    </xf>
    <xf numFmtId="0" fontId="68" fillId="0" borderId="37" xfId="0" applyFont="1" applyBorder="1" applyAlignment="1">
      <alignment horizontal="center" vertical="center"/>
    </xf>
    <xf numFmtId="0" fontId="68" fillId="0" borderId="17" xfId="0" applyFont="1" applyBorder="1" applyAlignment="1">
      <alignment horizontal="center" vertical="center"/>
    </xf>
    <xf numFmtId="0" fontId="114" fillId="0" borderId="11" xfId="0" applyFont="1" applyBorder="1" applyAlignment="1">
      <alignment horizontal="center" vertical="center"/>
    </xf>
    <xf numFmtId="0" fontId="117" fillId="0" borderId="21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09" fillId="0" borderId="24" xfId="0" applyFont="1" applyBorder="1" applyAlignment="1">
      <alignment vertical="center"/>
    </xf>
    <xf numFmtId="0" fontId="65" fillId="0" borderId="74" xfId="0" applyFont="1" applyBorder="1" applyAlignment="1">
      <alignment vertical="center"/>
    </xf>
    <xf numFmtId="41" fontId="118" fillId="0" borderId="31" xfId="0" quotePrefix="1" applyNumberFormat="1" applyFont="1" applyBorder="1" applyAlignment="1">
      <alignment horizontal="left" vertical="center"/>
    </xf>
    <xf numFmtId="0" fontId="54" fillId="0" borderId="31" xfId="0" applyFont="1" applyBorder="1" applyAlignment="1">
      <alignment vertical="center"/>
    </xf>
    <xf numFmtId="0" fontId="68" fillId="0" borderId="71" xfId="0" applyFont="1" applyBorder="1" applyAlignment="1">
      <alignment horizontal="center" vertical="center"/>
    </xf>
    <xf numFmtId="0" fontId="119" fillId="0" borderId="33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111" fillId="0" borderId="31" xfId="0" applyFont="1" applyBorder="1" applyAlignment="1">
      <alignment horizontal="right" vertical="center"/>
    </xf>
    <xf numFmtId="0" fontId="111" fillId="0" borderId="62" xfId="0" applyFont="1" applyBorder="1" applyAlignment="1">
      <alignment horizontal="right" vertical="center"/>
    </xf>
    <xf numFmtId="0" fontId="111" fillId="0" borderId="34" xfId="0" applyFont="1" applyBorder="1" applyAlignment="1">
      <alignment vertical="center"/>
    </xf>
    <xf numFmtId="0" fontId="111" fillId="0" borderId="31" xfId="0" applyFont="1" applyBorder="1" applyAlignment="1">
      <alignment vertical="center"/>
    </xf>
    <xf numFmtId="0" fontId="120" fillId="0" borderId="65" xfId="0" applyFont="1" applyBorder="1" applyAlignment="1">
      <alignment horizontal="center" vertical="center"/>
    </xf>
    <xf numFmtId="0" fontId="111" fillId="0" borderId="32" xfId="0" applyFont="1" applyBorder="1" applyAlignment="1">
      <alignment horizontal="right" vertical="center"/>
    </xf>
    <xf numFmtId="0" fontId="6" fillId="6" borderId="1" xfId="0" applyFont="1" applyFill="1" applyBorder="1" applyAlignment="1">
      <alignment vertical="center"/>
    </xf>
    <xf numFmtId="0" fontId="5" fillId="0" borderId="55" xfId="0" applyFont="1" applyBorder="1" applyAlignment="1">
      <alignment vertical="center"/>
    </xf>
    <xf numFmtId="0" fontId="65" fillId="0" borderId="1" xfId="0" applyFont="1" applyBorder="1"/>
    <xf numFmtId="170" fontId="111" fillId="0" borderId="31" xfId="4" applyFont="1" applyBorder="1" applyAlignment="1">
      <alignment vertical="center"/>
    </xf>
    <xf numFmtId="170" fontId="111" fillId="0" borderId="62" xfId="4" applyFont="1" applyBorder="1" applyAlignment="1">
      <alignment vertical="center"/>
    </xf>
    <xf numFmtId="0" fontId="111" fillId="6" borderId="31" xfId="0" applyFont="1" applyFill="1" applyBorder="1" applyAlignment="1">
      <alignment vertical="center"/>
    </xf>
    <xf numFmtId="0" fontId="111" fillId="6" borderId="62" xfId="0" applyFont="1" applyFill="1" applyBorder="1" applyAlignment="1">
      <alignment vertical="center"/>
    </xf>
    <xf numFmtId="0" fontId="117" fillId="0" borderId="62" xfId="0" applyFont="1" applyBorder="1"/>
    <xf numFmtId="0" fontId="109" fillId="0" borderId="34" xfId="0" applyFont="1" applyBorder="1" applyAlignment="1">
      <alignment vertical="center"/>
    </xf>
    <xf numFmtId="0" fontId="117" fillId="0" borderId="62" xfId="0" applyFont="1" applyBorder="1" applyAlignment="1">
      <alignment vertical="center"/>
    </xf>
    <xf numFmtId="0" fontId="121" fillId="0" borderId="44" xfId="0" applyFont="1" applyBorder="1" applyAlignment="1">
      <alignment vertical="center"/>
    </xf>
    <xf numFmtId="0" fontId="121" fillId="0" borderId="61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80" fillId="0" borderId="44" xfId="0" applyFont="1" applyBorder="1" applyAlignment="1">
      <alignment vertical="center"/>
    </xf>
    <xf numFmtId="0" fontId="80" fillId="0" borderId="24" xfId="0" applyFont="1" applyBorder="1" applyAlignment="1">
      <alignment vertical="center"/>
    </xf>
    <xf numFmtId="170" fontId="109" fillId="0" borderId="1" xfId="4" applyFont="1" applyBorder="1" applyAlignment="1">
      <alignment horizontal="right" vertical="center"/>
    </xf>
    <xf numFmtId="0" fontId="110" fillId="0" borderId="31" xfId="0" applyFont="1" applyBorder="1" applyAlignment="1">
      <alignment horizontal="left" vertical="center"/>
    </xf>
    <xf numFmtId="0" fontId="111" fillId="0" borderId="32" xfId="0" applyFont="1" applyBorder="1" applyAlignment="1">
      <alignment vertical="center"/>
    </xf>
    <xf numFmtId="0" fontId="110" fillId="0" borderId="63" xfId="0" applyFont="1" applyBorder="1" applyAlignment="1">
      <alignment horizontal="left" vertical="center"/>
    </xf>
    <xf numFmtId="0" fontId="120" fillId="0" borderId="62" xfId="0" applyFont="1" applyBorder="1" applyAlignment="1">
      <alignment vertical="center"/>
    </xf>
    <xf numFmtId="0" fontId="109" fillId="0" borderId="1" xfId="0" applyFont="1" applyBorder="1" applyAlignment="1">
      <alignment vertical="center"/>
    </xf>
    <xf numFmtId="0" fontId="111" fillId="0" borderId="17" xfId="0" applyFont="1" applyBorder="1" applyAlignment="1">
      <alignment horizontal="center" vertical="center"/>
    </xf>
    <xf numFmtId="0" fontId="111" fillId="0" borderId="72" xfId="0" applyFont="1" applyBorder="1" applyAlignment="1">
      <alignment horizontal="center" vertical="center"/>
    </xf>
    <xf numFmtId="0" fontId="109" fillId="0" borderId="11" xfId="0" applyFont="1" applyBorder="1" applyAlignment="1">
      <alignment horizontal="center" vertical="center"/>
    </xf>
    <xf numFmtId="0" fontId="111" fillId="0" borderId="53" xfId="0" applyFont="1" applyBorder="1" applyAlignment="1">
      <alignment horizontal="center" vertical="center"/>
    </xf>
    <xf numFmtId="0" fontId="126" fillId="0" borderId="31" xfId="0" applyFont="1" applyBorder="1" applyAlignment="1">
      <alignment vertical="center"/>
    </xf>
    <xf numFmtId="0" fontId="127" fillId="0" borderId="0" xfId="0" applyFont="1"/>
    <xf numFmtId="0" fontId="116" fillId="0" borderId="24" xfId="0" applyFont="1" applyBorder="1"/>
    <xf numFmtId="0" fontId="128" fillId="0" borderId="6" xfId="0" applyFont="1" applyBorder="1" applyAlignment="1">
      <alignment vertical="center"/>
    </xf>
    <xf numFmtId="0" fontId="68" fillId="0" borderId="21" xfId="0" applyFont="1" applyBorder="1" applyAlignment="1">
      <alignment horizontal="center" vertical="center"/>
    </xf>
    <xf numFmtId="1" fontId="111" fillId="0" borderId="29" xfId="0" applyNumberFormat="1" applyFont="1" applyBorder="1" applyAlignment="1">
      <alignment horizontal="center" vertical="center"/>
    </xf>
    <xf numFmtId="1" fontId="111" fillId="0" borderId="17" xfId="0" applyNumberFormat="1" applyFont="1" applyBorder="1" applyAlignment="1">
      <alignment horizontal="center" vertical="center"/>
    </xf>
    <xf numFmtId="2" fontId="112" fillId="0" borderId="17" xfId="0" quotePrefix="1" applyNumberFormat="1" applyFont="1" applyBorder="1" applyAlignment="1">
      <alignment horizontal="center" vertical="center"/>
    </xf>
    <xf numFmtId="0" fontId="118" fillId="0" borderId="17" xfId="0" applyFont="1" applyBorder="1" applyAlignment="1">
      <alignment horizontal="center" vertical="center"/>
    </xf>
    <xf numFmtId="1" fontId="118" fillId="0" borderId="17" xfId="0" applyNumberFormat="1" applyFont="1" applyBorder="1" applyAlignment="1">
      <alignment horizontal="center" vertical="center"/>
    </xf>
    <xf numFmtId="169" fontId="118" fillId="0" borderId="17" xfId="0" applyNumberFormat="1" applyFont="1" applyBorder="1" applyAlignment="1">
      <alignment horizontal="center" vertical="center"/>
    </xf>
    <xf numFmtId="2" fontId="112" fillId="0" borderId="72" xfId="0" quotePrefix="1" applyNumberFormat="1" applyFont="1" applyBorder="1" applyAlignment="1">
      <alignment horizontal="center" vertical="center"/>
    </xf>
    <xf numFmtId="2" fontId="6" fillId="0" borderId="33" xfId="0" quotePrefix="1" applyNumberFormat="1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8" fillId="0" borderId="33" xfId="0" applyFont="1" applyBorder="1" applyAlignment="1">
      <alignment horizontal="center" vertical="center"/>
    </xf>
    <xf numFmtId="0" fontId="65" fillId="0" borderId="1" xfId="0" applyFont="1" applyBorder="1" applyAlignment="1">
      <alignment horizontal="right"/>
    </xf>
    <xf numFmtId="0" fontId="118" fillId="0" borderId="31" xfId="0" applyFont="1" applyBorder="1"/>
    <xf numFmtId="0" fontId="118" fillId="0" borderId="62" xfId="0" applyFont="1" applyBorder="1"/>
    <xf numFmtId="0" fontId="118" fillId="0" borderId="31" xfId="0" applyFont="1" applyBorder="1" applyAlignment="1">
      <alignment horizontal="right"/>
    </xf>
    <xf numFmtId="0" fontId="118" fillId="0" borderId="0" xfId="0" applyFont="1"/>
    <xf numFmtId="0" fontId="54" fillId="0" borderId="0" xfId="0" applyFont="1" applyAlignment="1">
      <alignment horizontal="center" vertical="center"/>
    </xf>
    <xf numFmtId="0" fontId="5" fillId="0" borderId="25" xfId="0" applyFont="1" applyBorder="1"/>
    <xf numFmtId="0" fontId="5" fillId="0" borderId="55" xfId="0" applyFont="1" applyBorder="1"/>
    <xf numFmtId="0" fontId="5" fillId="0" borderId="61" xfId="0" applyFont="1" applyBorder="1"/>
    <xf numFmtId="0" fontId="0" fillId="0" borderId="63" xfId="0" applyBorder="1"/>
    <xf numFmtId="1" fontId="54" fillId="0" borderId="37" xfId="0" applyNumberFormat="1" applyFont="1" applyBorder="1" applyAlignment="1">
      <alignment horizontal="center" vertical="center"/>
    </xf>
    <xf numFmtId="1" fontId="54" fillId="0" borderId="65" xfId="0" applyNumberFormat="1" applyFont="1" applyBorder="1" applyAlignment="1">
      <alignment horizontal="center" vertical="center"/>
    </xf>
    <xf numFmtId="1" fontId="125" fillId="0" borderId="59" xfId="0" applyNumberFormat="1" applyFont="1" applyBorder="1" applyAlignment="1">
      <alignment horizontal="center" vertical="center"/>
    </xf>
    <xf numFmtId="1" fontId="54" fillId="0" borderId="33" xfId="0" applyNumberFormat="1" applyFont="1" applyBorder="1" applyAlignment="1">
      <alignment horizontal="center" vertical="center"/>
    </xf>
    <xf numFmtId="1" fontId="54" fillId="0" borderId="17" xfId="0" applyNumberFormat="1" applyFont="1" applyBorder="1" applyAlignment="1">
      <alignment horizontal="center" vertical="center"/>
    </xf>
    <xf numFmtId="1" fontId="54" fillId="0" borderId="72" xfId="0" applyNumberFormat="1" applyFont="1" applyBorder="1" applyAlignment="1">
      <alignment horizontal="center" vertical="center"/>
    </xf>
    <xf numFmtId="1" fontId="54" fillId="0" borderId="53" xfId="0" applyNumberFormat="1" applyFont="1" applyBorder="1" applyAlignment="1">
      <alignment horizontal="center" vertical="center"/>
    </xf>
    <xf numFmtId="1" fontId="54" fillId="0" borderId="48" xfId="0" applyNumberFormat="1" applyFont="1" applyBorder="1" applyAlignment="1">
      <alignment horizontal="center" vertical="center"/>
    </xf>
    <xf numFmtId="1" fontId="0" fillId="0" borderId="0" xfId="0" applyNumberFormat="1"/>
    <xf numFmtId="0" fontId="112" fillId="0" borderId="34" xfId="0" applyFont="1" applyBorder="1" applyAlignment="1">
      <alignment vertical="center"/>
    </xf>
    <xf numFmtId="1" fontId="111" fillId="0" borderId="37" xfId="0" applyNumberFormat="1" applyFont="1" applyBorder="1" applyAlignment="1">
      <alignment horizontal="center" vertical="center"/>
    </xf>
    <xf numFmtId="1" fontId="111" fillId="0" borderId="65" xfId="0" applyNumberFormat="1" applyFont="1" applyBorder="1" applyAlignment="1">
      <alignment horizontal="center" vertical="center"/>
    </xf>
    <xf numFmtId="1" fontId="109" fillId="0" borderId="4" xfId="0" applyNumberFormat="1" applyFont="1" applyBorder="1" applyAlignment="1">
      <alignment horizontal="center" vertical="center"/>
    </xf>
    <xf numFmtId="1" fontId="109" fillId="0" borderId="67" xfId="0" applyNumberFormat="1" applyFont="1" applyBorder="1" applyAlignment="1">
      <alignment horizontal="center" vertical="center"/>
    </xf>
    <xf numFmtId="169" fontId="112" fillId="0" borderId="11" xfId="0" applyNumberFormat="1" applyFont="1" applyBorder="1" applyAlignment="1">
      <alignment horizontal="center" vertical="center"/>
    </xf>
    <xf numFmtId="1" fontId="111" fillId="0" borderId="53" xfId="0" applyNumberFormat="1" applyFont="1" applyBorder="1" applyAlignment="1">
      <alignment horizontal="center" vertical="center"/>
    </xf>
    <xf numFmtId="169" fontId="109" fillId="0" borderId="11" xfId="0" applyNumberFormat="1" applyFont="1" applyBorder="1" applyAlignment="1">
      <alignment horizontal="center" vertical="center"/>
    </xf>
    <xf numFmtId="1" fontId="109" fillId="0" borderId="11" xfId="0" applyNumberFormat="1" applyFont="1" applyBorder="1" applyAlignment="1">
      <alignment horizontal="center" vertical="center"/>
    </xf>
    <xf numFmtId="1" fontId="111" fillId="0" borderId="48" xfId="0" applyNumberFormat="1" applyFont="1" applyBorder="1" applyAlignment="1">
      <alignment horizontal="center" vertical="center"/>
    </xf>
    <xf numFmtId="1" fontId="68" fillId="0" borderId="11" xfId="0" applyNumberFormat="1" applyFont="1" applyBorder="1" applyAlignment="1">
      <alignment horizontal="center" vertical="center"/>
    </xf>
    <xf numFmtId="0" fontId="54" fillId="0" borderId="0" xfId="0" applyFont="1" applyAlignment="1">
      <alignment vertical="center"/>
    </xf>
    <xf numFmtId="169" fontId="68" fillId="0" borderId="11" xfId="0" applyNumberFormat="1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2" fontId="63" fillId="13" borderId="22" xfId="0" applyNumberFormat="1" applyFont="1" applyFill="1" applyBorder="1" applyAlignment="1">
      <alignment horizontal="center" vertical="center"/>
    </xf>
    <xf numFmtId="2" fontId="63" fillId="13" borderId="12" xfId="0" applyNumberFormat="1" applyFont="1" applyFill="1" applyBorder="1" applyAlignment="1">
      <alignment horizontal="center" vertical="center"/>
    </xf>
    <xf numFmtId="0" fontId="131" fillId="0" borderId="0" xfId="0" applyFont="1" applyAlignment="1">
      <alignment horizontal="center" vertical="center"/>
    </xf>
    <xf numFmtId="0" fontId="132" fillId="0" borderId="34" xfId="0" applyFont="1" applyBorder="1"/>
    <xf numFmtId="0" fontId="132" fillId="0" borderId="48" xfId="0" applyFont="1" applyBorder="1" applyAlignment="1">
      <alignment horizontal="center" vertical="center"/>
    </xf>
    <xf numFmtId="0" fontId="132" fillId="0" borderId="62" xfId="0" applyFont="1" applyBorder="1"/>
    <xf numFmtId="0" fontId="132" fillId="0" borderId="65" xfId="0" applyFont="1" applyBorder="1" applyAlignment="1">
      <alignment horizontal="center" vertical="center"/>
    </xf>
    <xf numFmtId="0" fontId="124" fillId="0" borderId="1" xfId="0" applyFont="1" applyBorder="1"/>
    <xf numFmtId="0" fontId="124" fillId="0" borderId="67" xfId="0" applyFont="1" applyBorder="1" applyAlignment="1">
      <alignment horizontal="center" vertical="center"/>
    </xf>
    <xf numFmtId="0" fontId="68" fillId="0" borderId="1" xfId="0" applyFont="1" applyBorder="1"/>
    <xf numFmtId="1" fontId="54" fillId="0" borderId="64" xfId="0" applyNumberFormat="1" applyFont="1" applyBorder="1" applyAlignment="1">
      <alignment horizontal="center" vertical="center"/>
    </xf>
    <xf numFmtId="0" fontId="108" fillId="0" borderId="0" xfId="0" applyFont="1"/>
    <xf numFmtId="1" fontId="54" fillId="0" borderId="19" xfId="0" applyNumberFormat="1" applyFont="1" applyBorder="1" applyAlignment="1">
      <alignment horizontal="center" vertical="center"/>
    </xf>
    <xf numFmtId="0" fontId="119" fillId="21" borderId="28" xfId="0" applyFont="1" applyFill="1" applyBorder="1" applyAlignment="1">
      <alignment horizontal="center" vertical="center"/>
    </xf>
    <xf numFmtId="0" fontId="54" fillId="21" borderId="31" xfId="0" applyFont="1" applyFill="1" applyBorder="1" applyAlignment="1">
      <alignment horizontal="center" vertical="center"/>
    </xf>
    <xf numFmtId="1" fontId="54" fillId="21" borderId="53" xfId="0" applyNumberFormat="1" applyFont="1" applyFill="1" applyBorder="1" applyAlignment="1">
      <alignment horizontal="center" vertical="center"/>
    </xf>
    <xf numFmtId="1" fontId="54" fillId="21" borderId="42" xfId="0" applyNumberFormat="1" applyFont="1" applyFill="1" applyBorder="1" applyAlignment="1">
      <alignment horizontal="center" vertical="center"/>
    </xf>
    <xf numFmtId="169" fontId="54" fillId="21" borderId="17" xfId="0" applyNumberFormat="1" applyFont="1" applyFill="1" applyBorder="1" applyAlignment="1">
      <alignment horizontal="center" vertical="center"/>
    </xf>
    <xf numFmtId="0" fontId="54" fillId="21" borderId="17" xfId="0" applyFont="1" applyFill="1" applyBorder="1" applyAlignment="1">
      <alignment horizontal="center" vertical="center"/>
    </xf>
    <xf numFmtId="2" fontId="54" fillId="21" borderId="53" xfId="0" applyNumberFormat="1" applyFont="1" applyFill="1" applyBorder="1" applyAlignment="1">
      <alignment horizontal="center" vertical="center"/>
    </xf>
    <xf numFmtId="1" fontId="54" fillId="21" borderId="72" xfId="0" applyNumberFormat="1" applyFont="1" applyFill="1" applyBorder="1" applyAlignment="1">
      <alignment horizontal="center" vertical="center"/>
    </xf>
    <xf numFmtId="169" fontId="54" fillId="21" borderId="63" xfId="0" applyNumberFormat="1" applyFont="1" applyFill="1" applyBorder="1" applyAlignment="1">
      <alignment horizontal="center" vertical="center"/>
    </xf>
    <xf numFmtId="169" fontId="68" fillId="21" borderId="1" xfId="0" applyNumberFormat="1" applyFont="1" applyFill="1" applyBorder="1" applyAlignment="1">
      <alignment horizontal="center" vertical="center"/>
    </xf>
    <xf numFmtId="169" fontId="68" fillId="21" borderId="11" xfId="0" applyNumberFormat="1" applyFont="1" applyFill="1" applyBorder="1" applyAlignment="1">
      <alignment horizontal="center" vertical="center"/>
    </xf>
    <xf numFmtId="1" fontId="54" fillId="21" borderId="31" xfId="0" applyNumberFormat="1" applyFont="1" applyFill="1" applyBorder="1" applyAlignment="1">
      <alignment horizontal="center" vertical="center"/>
    </xf>
    <xf numFmtId="1" fontId="54" fillId="21" borderId="17" xfId="0" applyNumberFormat="1" applyFont="1" applyFill="1" applyBorder="1" applyAlignment="1">
      <alignment horizontal="center" vertical="center"/>
    </xf>
    <xf numFmtId="1" fontId="68" fillId="21" borderId="1" xfId="0" applyNumberFormat="1" applyFont="1" applyFill="1" applyBorder="1" applyAlignment="1">
      <alignment horizontal="center" vertical="center"/>
    </xf>
    <xf numFmtId="1" fontId="68" fillId="21" borderId="11" xfId="0" applyNumberFormat="1" applyFont="1" applyFill="1" applyBorder="1" applyAlignment="1">
      <alignment horizontal="center" vertical="center"/>
    </xf>
    <xf numFmtId="169" fontId="54" fillId="21" borderId="34" xfId="0" applyNumberFormat="1" applyFont="1" applyFill="1" applyBorder="1" applyAlignment="1">
      <alignment horizontal="center" vertical="center"/>
    </xf>
    <xf numFmtId="1" fontId="54" fillId="21" borderId="29" xfId="0" applyNumberFormat="1" applyFont="1" applyFill="1" applyBorder="1" applyAlignment="1">
      <alignment horizontal="center" vertical="center"/>
    </xf>
    <xf numFmtId="2" fontId="54" fillId="21" borderId="17" xfId="0" applyNumberFormat="1" applyFont="1" applyFill="1" applyBorder="1" applyAlignment="1">
      <alignment horizontal="center" vertical="center"/>
    </xf>
    <xf numFmtId="0" fontId="54" fillId="0" borderId="32" xfId="0" applyFont="1" applyBorder="1" applyAlignment="1">
      <alignment horizontal="right"/>
    </xf>
    <xf numFmtId="0" fontId="68" fillId="0" borderId="42" xfId="0" applyFont="1" applyBorder="1" applyAlignment="1">
      <alignment horizontal="center" vertical="center"/>
    </xf>
    <xf numFmtId="0" fontId="133" fillId="0" borderId="0" xfId="0" applyFont="1" applyAlignment="1">
      <alignment horizontal="center" vertical="center"/>
    </xf>
    <xf numFmtId="171" fontId="54" fillId="0" borderId="17" xfId="0" applyNumberFormat="1" applyFont="1" applyBorder="1" applyAlignment="1">
      <alignment horizontal="center" vertical="center"/>
    </xf>
    <xf numFmtId="171" fontId="34" fillId="2" borderId="12" xfId="0" applyNumberFormat="1" applyFont="1" applyFill="1" applyBorder="1" applyAlignment="1">
      <alignment horizontal="center" vertical="center"/>
    </xf>
    <xf numFmtId="171" fontId="111" fillId="0" borderId="33" xfId="0" applyNumberFormat="1" applyFont="1" applyBorder="1" applyAlignment="1">
      <alignment horizontal="center" vertical="center"/>
    </xf>
    <xf numFmtId="0" fontId="118" fillId="0" borderId="47" xfId="0" applyFont="1" applyBorder="1" applyAlignment="1">
      <alignment horizontal="left" vertical="center"/>
    </xf>
    <xf numFmtId="0" fontId="134" fillId="0" borderId="31" xfId="0" applyFont="1" applyBorder="1" applyAlignment="1">
      <alignment horizontal="left" vertical="center"/>
    </xf>
    <xf numFmtId="0" fontId="134" fillId="0" borderId="17" xfId="0" applyFont="1" applyBorder="1" applyAlignment="1">
      <alignment horizontal="center" vertical="center"/>
    </xf>
    <xf numFmtId="0" fontId="118" fillId="0" borderId="51" xfId="0" applyFont="1" applyBorder="1" applyAlignment="1">
      <alignment horizontal="left" vertical="center"/>
    </xf>
    <xf numFmtId="1" fontId="54" fillId="21" borderId="63" xfId="0" applyNumberFormat="1" applyFont="1" applyFill="1" applyBorder="1" applyAlignment="1">
      <alignment horizontal="center" vertical="center"/>
    </xf>
    <xf numFmtId="0" fontId="135" fillId="0" borderId="6" xfId="0" applyFont="1" applyBorder="1" applyAlignment="1">
      <alignment vertical="center"/>
    </xf>
    <xf numFmtId="1" fontId="54" fillId="21" borderId="33" xfId="0" applyNumberFormat="1" applyFont="1" applyFill="1" applyBorder="1" applyAlignment="1">
      <alignment horizontal="center" vertical="center"/>
    </xf>
    <xf numFmtId="1" fontId="54" fillId="21" borderId="9" xfId="0" applyNumberFormat="1" applyFont="1" applyFill="1" applyBorder="1" applyAlignment="1">
      <alignment horizontal="center" vertical="center"/>
    </xf>
    <xf numFmtId="0" fontId="74" fillId="0" borderId="11" xfId="0" applyFont="1" applyBorder="1" applyAlignment="1">
      <alignment horizontal="center" vertical="center"/>
    </xf>
    <xf numFmtId="1" fontId="74" fillId="0" borderId="4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0" fontId="74" fillId="0" borderId="53" xfId="0" applyFont="1" applyBorder="1" applyAlignment="1">
      <alignment horizontal="center" vertical="center"/>
    </xf>
    <xf numFmtId="0" fontId="125" fillId="0" borderId="53" xfId="0" applyFont="1" applyBorder="1" applyAlignment="1">
      <alignment horizontal="center" vertical="center"/>
    </xf>
    <xf numFmtId="0" fontId="74" fillId="0" borderId="1" xfId="0" applyFont="1" applyBorder="1" applyAlignment="1">
      <alignment horizontal="left" vertical="center" wrapText="1"/>
    </xf>
    <xf numFmtId="0" fontId="75" fillId="0" borderId="34" xfId="0" applyFont="1" applyBorder="1" applyAlignment="1">
      <alignment horizontal="left" vertical="center" wrapText="1"/>
    </xf>
    <xf numFmtId="0" fontId="75" fillId="0" borderId="53" xfId="0" applyFont="1" applyBorder="1" applyAlignment="1">
      <alignment horizontal="center" vertical="center"/>
    </xf>
    <xf numFmtId="0" fontId="75" fillId="0" borderId="62" xfId="0" applyFont="1" applyBorder="1" applyAlignment="1">
      <alignment horizontal="left" vertical="center" wrapText="1"/>
    </xf>
    <xf numFmtId="0" fontId="75" fillId="0" borderId="72" xfId="0" applyFont="1" applyBorder="1" applyAlignment="1">
      <alignment horizontal="center" vertical="center"/>
    </xf>
    <xf numFmtId="1" fontId="74" fillId="21" borderId="4" xfId="0" applyNumberFormat="1" applyFont="1" applyFill="1" applyBorder="1" applyAlignment="1">
      <alignment horizontal="center" vertical="center"/>
    </xf>
    <xf numFmtId="0" fontId="35" fillId="0" borderId="29" xfId="0" applyFont="1" applyBorder="1" applyAlignment="1">
      <alignment horizontal="left" vertical="center" wrapText="1"/>
    </xf>
    <xf numFmtId="0" fontId="50" fillId="13" borderId="18" xfId="0" applyFont="1" applyFill="1" applyBorder="1" applyAlignment="1">
      <alignment horizontal="center" vertical="center"/>
    </xf>
    <xf numFmtId="169" fontId="50" fillId="13" borderId="20" xfId="0" applyNumberFormat="1" applyFont="1" applyFill="1" applyBorder="1" applyAlignment="1">
      <alignment horizontal="center" vertical="center"/>
    </xf>
    <xf numFmtId="0" fontId="125" fillId="0" borderId="34" xfId="0" applyFont="1" applyBorder="1" applyAlignment="1">
      <alignment vertical="center"/>
    </xf>
    <xf numFmtId="41" fontId="125" fillId="0" borderId="1" xfId="0" applyNumberFormat="1" applyFont="1" applyBorder="1" applyAlignment="1">
      <alignment horizontal="right" vertical="center"/>
    </xf>
    <xf numFmtId="0" fontId="125" fillId="0" borderId="11" xfId="0" applyFont="1" applyBorder="1" applyAlignment="1">
      <alignment horizontal="center" vertical="center"/>
    </xf>
    <xf numFmtId="0" fontId="125" fillId="0" borderId="4" xfId="0" applyFont="1" applyBorder="1" applyAlignment="1">
      <alignment horizontal="center" vertical="center"/>
    </xf>
    <xf numFmtId="1" fontId="125" fillId="0" borderId="8" xfId="0" applyNumberFormat="1" applyFont="1" applyBorder="1" applyAlignment="1">
      <alignment horizontal="center" vertical="center"/>
    </xf>
    <xf numFmtId="1" fontId="125" fillId="0" borderId="34" xfId="0" applyNumberFormat="1" applyFont="1" applyBorder="1" applyAlignment="1">
      <alignment horizontal="center" vertical="center"/>
    </xf>
    <xf numFmtId="0" fontId="68" fillId="0" borderId="39" xfId="0" applyFont="1" applyBorder="1" applyAlignment="1">
      <alignment horizontal="center" vertical="center"/>
    </xf>
    <xf numFmtId="0" fontId="129" fillId="0" borderId="7" xfId="0" applyFont="1" applyBorder="1"/>
    <xf numFmtId="0" fontId="130" fillId="0" borderId="121" xfId="0" applyFont="1" applyBorder="1"/>
    <xf numFmtId="0" fontId="128" fillId="0" borderId="119" xfId="0" applyFont="1" applyBorder="1" applyAlignment="1">
      <alignment vertical="center"/>
    </xf>
    <xf numFmtId="0" fontId="112" fillId="0" borderId="131" xfId="0" applyFont="1" applyBorder="1" applyAlignment="1">
      <alignment vertical="center"/>
    </xf>
    <xf numFmtId="0" fontId="112" fillId="0" borderId="133" xfId="0" applyFont="1" applyBorder="1" applyAlignment="1">
      <alignment vertical="center"/>
    </xf>
    <xf numFmtId="0" fontId="109" fillId="0" borderId="134" xfId="0" applyFont="1" applyBorder="1" applyAlignment="1">
      <alignment vertical="center"/>
    </xf>
    <xf numFmtId="0" fontId="54" fillId="0" borderId="131" xfId="0" applyFont="1" applyBorder="1" applyAlignment="1">
      <alignment horizontal="right"/>
    </xf>
    <xf numFmtId="0" fontId="54" fillId="0" borderId="133" xfId="0" applyFont="1" applyBorder="1" applyAlignment="1">
      <alignment horizontal="right"/>
    </xf>
    <xf numFmtId="0" fontId="68" fillId="0" borderId="134" xfId="0" applyFont="1" applyBorder="1" applyAlignment="1">
      <alignment horizontal="right"/>
    </xf>
    <xf numFmtId="0" fontId="65" fillId="0" borderId="138" xfId="0" applyFont="1" applyBorder="1"/>
    <xf numFmtId="0" fontId="118" fillId="0" borderId="131" xfId="0" applyFont="1" applyBorder="1" applyAlignment="1">
      <alignment horizontal="right" vertical="center"/>
    </xf>
    <xf numFmtId="170" fontId="118" fillId="0" borderId="131" xfId="0" applyNumberFormat="1" applyFont="1" applyBorder="1" applyAlignment="1">
      <alignment horizontal="right" vertical="center"/>
    </xf>
    <xf numFmtId="0" fontId="68" fillId="0" borderId="120" xfId="0" applyFont="1" applyBorder="1" applyAlignment="1">
      <alignment horizontal="right"/>
    </xf>
    <xf numFmtId="170" fontId="118" fillId="0" borderId="140" xfId="0" applyNumberFormat="1" applyFont="1" applyBorder="1" applyAlignment="1">
      <alignment horizontal="right" vertical="center"/>
    </xf>
    <xf numFmtId="0" fontId="54" fillId="0" borderId="106" xfId="0" applyFont="1" applyBorder="1" applyAlignment="1">
      <alignment horizontal="center" vertical="center"/>
    </xf>
    <xf numFmtId="0" fontId="130" fillId="0" borderId="118" xfId="0" applyFont="1" applyBorder="1"/>
    <xf numFmtId="0" fontId="130" fillId="0" borderId="83" xfId="0" applyFont="1" applyBorder="1"/>
    <xf numFmtId="0" fontId="6" fillId="0" borderId="119" xfId="0" applyFont="1" applyBorder="1" applyAlignment="1">
      <alignment vertical="center"/>
    </xf>
    <xf numFmtId="0" fontId="111" fillId="0" borderId="131" xfId="0" applyFont="1" applyBorder="1" applyAlignment="1">
      <alignment horizontal="right" vertical="center"/>
    </xf>
    <xf numFmtId="0" fontId="111" fillId="0" borderId="133" xfId="0" applyFont="1" applyBorder="1" applyAlignment="1">
      <alignment horizontal="right" vertical="center"/>
    </xf>
    <xf numFmtId="0" fontId="109" fillId="0" borderId="134" xfId="0" applyFont="1" applyBorder="1" applyAlignment="1">
      <alignment horizontal="right" vertical="center"/>
    </xf>
    <xf numFmtId="0" fontId="6" fillId="0" borderId="144" xfId="0" applyFont="1" applyBorder="1" applyAlignment="1">
      <alignment vertical="center" wrapText="1"/>
    </xf>
    <xf numFmtId="0" fontId="111" fillId="0" borderId="137" xfId="0" applyFont="1" applyBorder="1" applyAlignment="1">
      <alignment vertical="center"/>
    </xf>
    <xf numFmtId="0" fontId="111" fillId="0" borderId="131" xfId="0" applyFont="1" applyBorder="1" applyAlignment="1">
      <alignment vertical="center"/>
    </xf>
    <xf numFmtId="0" fontId="118" fillId="0" borderId="131" xfId="0" applyFont="1" applyBorder="1" applyAlignment="1">
      <alignment vertical="center"/>
    </xf>
    <xf numFmtId="0" fontId="111" fillId="6" borderId="131" xfId="0" applyFont="1" applyFill="1" applyBorder="1" applyAlignment="1">
      <alignment vertical="center"/>
    </xf>
    <xf numFmtId="2" fontId="111" fillId="0" borderId="131" xfId="0" applyNumberFormat="1" applyFont="1" applyBorder="1" applyAlignment="1">
      <alignment horizontal="left" vertical="center"/>
    </xf>
    <xf numFmtId="0" fontId="130" fillId="0" borderId="145" xfId="0" applyFont="1" applyBorder="1"/>
    <xf numFmtId="0" fontId="130" fillId="0" borderId="117" xfId="0" applyFont="1" applyBorder="1"/>
    <xf numFmtId="1" fontId="11" fillId="0" borderId="42" xfId="0" applyNumberFormat="1" applyFont="1" applyBorder="1" applyAlignment="1">
      <alignment horizontal="center" vertical="center"/>
    </xf>
    <xf numFmtId="2" fontId="74" fillId="0" borderId="32" xfId="0" applyNumberFormat="1" applyFont="1" applyBorder="1" applyAlignment="1">
      <alignment horizontal="center" vertical="center"/>
    </xf>
    <xf numFmtId="0" fontId="138" fillId="0" borderId="31" xfId="0" applyFont="1" applyBorder="1" applyAlignment="1">
      <alignment horizontal="center" vertical="center"/>
    </xf>
    <xf numFmtId="0" fontId="138" fillId="0" borderId="29" xfId="0" applyFont="1" applyBorder="1" applyAlignment="1">
      <alignment horizontal="center" vertical="center"/>
    </xf>
    <xf numFmtId="0" fontId="138" fillId="21" borderId="31" xfId="0" applyFont="1" applyFill="1" applyBorder="1" applyAlignment="1">
      <alignment horizontal="center" vertical="center"/>
    </xf>
    <xf numFmtId="0" fontId="138" fillId="0" borderId="36" xfId="0" applyFont="1" applyBorder="1" applyAlignment="1">
      <alignment horizontal="center" vertical="center"/>
    </xf>
    <xf numFmtId="0" fontId="122" fillId="0" borderId="138" xfId="0" applyFont="1" applyBorder="1" applyAlignment="1">
      <alignment vertical="center"/>
    </xf>
    <xf numFmtId="0" fontId="109" fillId="0" borderId="73" xfId="0" applyFont="1" applyBorder="1" applyAlignment="1">
      <alignment horizontal="center" vertical="center"/>
    </xf>
    <xf numFmtId="0" fontId="109" fillId="0" borderId="42" xfId="0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/>
    </xf>
    <xf numFmtId="0" fontId="74" fillId="0" borderId="106" xfId="0" applyFont="1" applyBorder="1" applyAlignment="1">
      <alignment horizontal="center" vertical="center"/>
    </xf>
    <xf numFmtId="169" fontId="12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114" fillId="0" borderId="11" xfId="0" applyNumberFormat="1" applyFont="1" applyBorder="1" applyAlignment="1">
      <alignment horizontal="center" vertical="center"/>
    </xf>
    <xf numFmtId="2" fontId="54" fillId="0" borderId="65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" fontId="5" fillId="0" borderId="67" xfId="0" applyNumberFormat="1" applyFont="1" applyBorder="1" applyAlignment="1">
      <alignment horizontal="center" vertical="center"/>
    </xf>
    <xf numFmtId="2" fontId="54" fillId="0" borderId="72" xfId="0" applyNumberFormat="1" applyFont="1" applyBorder="1" applyAlignment="1">
      <alignment horizontal="center" vertical="center"/>
    </xf>
    <xf numFmtId="0" fontId="62" fillId="0" borderId="74" xfId="0" applyFont="1" applyBorder="1"/>
    <xf numFmtId="0" fontId="120" fillId="0" borderId="71" xfId="0" applyFont="1" applyBorder="1" applyAlignment="1">
      <alignment horizontal="center" vertical="center"/>
    </xf>
    <xf numFmtId="1" fontId="120" fillId="0" borderId="64" xfId="0" applyNumberFormat="1" applyFont="1" applyBorder="1" applyAlignment="1">
      <alignment horizontal="center" vertical="center"/>
    </xf>
    <xf numFmtId="0" fontId="118" fillId="0" borderId="74" xfId="0" applyFont="1" applyBorder="1" applyAlignment="1">
      <alignment horizontal="right" vertical="center"/>
    </xf>
    <xf numFmtId="0" fontId="109" fillId="6" borderId="34" xfId="0" applyFont="1" applyFill="1" applyBorder="1" applyAlignment="1">
      <alignment vertical="center"/>
    </xf>
    <xf numFmtId="0" fontId="109" fillId="6" borderId="47" xfId="0" applyFont="1" applyFill="1" applyBorder="1" applyAlignment="1">
      <alignment vertical="center"/>
    </xf>
    <xf numFmtId="1" fontId="54" fillId="0" borderId="37" xfId="0" quotePrefix="1" applyNumberFormat="1" applyFont="1" applyBorder="1" applyAlignment="1">
      <alignment horizontal="center" vertical="center"/>
    </xf>
    <xf numFmtId="171" fontId="68" fillId="0" borderId="11" xfId="0" applyNumberFormat="1" applyFont="1" applyBorder="1" applyAlignment="1">
      <alignment horizontal="center" vertical="center"/>
    </xf>
    <xf numFmtId="0" fontId="57" fillId="0" borderId="0" xfId="0" applyFont="1"/>
    <xf numFmtId="0" fontId="78" fillId="0" borderId="44" xfId="0" applyFont="1" applyBorder="1"/>
    <xf numFmtId="0" fontId="78" fillId="0" borderId="47" xfId="0" applyFont="1" applyBorder="1"/>
    <xf numFmtId="169" fontId="78" fillId="0" borderId="49" xfId="0" applyNumberFormat="1" applyFont="1" applyBorder="1" applyAlignment="1">
      <alignment horizontal="center" vertical="center"/>
    </xf>
    <xf numFmtId="1" fontId="63" fillId="13" borderId="12" xfId="0" applyNumberFormat="1" applyFont="1" applyFill="1" applyBorder="1" applyAlignment="1">
      <alignment horizontal="center" vertical="center"/>
    </xf>
    <xf numFmtId="1" fontId="63" fillId="13" borderId="60" xfId="0" applyNumberFormat="1" applyFont="1" applyFill="1" applyBorder="1" applyAlignment="1">
      <alignment horizontal="center" vertical="center"/>
    </xf>
    <xf numFmtId="169" fontId="77" fillId="13" borderId="60" xfId="0" applyNumberFormat="1" applyFont="1" applyFill="1" applyBorder="1" applyAlignment="1">
      <alignment horizontal="center" vertical="center"/>
    </xf>
    <xf numFmtId="169" fontId="77" fillId="13" borderId="20" xfId="0" applyNumberFormat="1" applyFont="1" applyFill="1" applyBorder="1" applyAlignment="1">
      <alignment horizontal="center" vertical="center"/>
    </xf>
    <xf numFmtId="1" fontId="111" fillId="0" borderId="33" xfId="0" applyNumberFormat="1" applyFont="1" applyBorder="1" applyAlignment="1">
      <alignment horizontal="center" vertical="center"/>
    </xf>
    <xf numFmtId="1" fontId="111" fillId="0" borderId="34" xfId="0" applyNumberFormat="1" applyFont="1" applyBorder="1" applyAlignment="1">
      <alignment horizontal="center" vertical="center"/>
    </xf>
    <xf numFmtId="1" fontId="35" fillId="0" borderId="67" xfId="0" applyNumberFormat="1" applyFont="1" applyBorder="1" applyAlignment="1">
      <alignment horizontal="center" vertical="center"/>
    </xf>
    <xf numFmtId="1" fontId="125" fillId="21" borderId="32" xfId="0" applyNumberFormat="1" applyFont="1" applyFill="1" applyBorder="1" applyAlignment="1">
      <alignment horizontal="center" vertical="center"/>
    </xf>
    <xf numFmtId="1" fontId="114" fillId="21" borderId="11" xfId="0" applyNumberFormat="1" applyFont="1" applyFill="1" applyBorder="1" applyAlignment="1">
      <alignment horizontal="center" vertical="center"/>
    </xf>
    <xf numFmtId="0" fontId="109" fillId="21" borderId="11" xfId="0" applyFont="1" applyFill="1" applyBorder="1" applyAlignment="1">
      <alignment horizontal="center" vertical="center"/>
    </xf>
    <xf numFmtId="1" fontId="111" fillId="21" borderId="17" xfId="0" applyNumberFormat="1" applyFont="1" applyFill="1" applyBorder="1" applyAlignment="1">
      <alignment horizontal="center" vertical="center"/>
    </xf>
    <xf numFmtId="1" fontId="109" fillId="21" borderId="1" xfId="0" applyNumberFormat="1" applyFont="1" applyFill="1" applyBorder="1" applyAlignment="1">
      <alignment horizontal="center" vertical="center"/>
    </xf>
    <xf numFmtId="1" fontId="109" fillId="21" borderId="11" xfId="0" applyNumberFormat="1" applyFont="1" applyFill="1" applyBorder="1" applyAlignment="1">
      <alignment horizontal="center" vertical="center"/>
    </xf>
    <xf numFmtId="169" fontId="109" fillId="21" borderId="11" xfId="0" applyNumberFormat="1" applyFont="1" applyFill="1" applyBorder="1" applyAlignment="1">
      <alignment horizontal="center" vertical="center"/>
    </xf>
    <xf numFmtId="1" fontId="111" fillId="21" borderId="42" xfId="0" applyNumberFormat="1" applyFont="1" applyFill="1" applyBorder="1" applyAlignment="1">
      <alignment horizontal="center" vertical="center"/>
    </xf>
    <xf numFmtId="1" fontId="111" fillId="21" borderId="33" xfId="0" applyNumberFormat="1" applyFont="1" applyFill="1" applyBorder="1" applyAlignment="1">
      <alignment horizontal="center" vertical="center"/>
    </xf>
    <xf numFmtId="1" fontId="54" fillId="21" borderId="73" xfId="0" applyNumberFormat="1" applyFont="1" applyFill="1" applyBorder="1" applyAlignment="1">
      <alignment horizontal="center" vertical="center"/>
    </xf>
    <xf numFmtId="0" fontId="119" fillId="0" borderId="4" xfId="0" applyFon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0" fillId="0" borderId="0" xfId="0" applyFont="1"/>
    <xf numFmtId="0" fontId="111" fillId="0" borderId="0" xfId="0" applyFont="1"/>
    <xf numFmtId="0" fontId="35" fillId="0" borderId="35" xfId="0" applyFont="1" applyBorder="1" applyAlignment="1">
      <alignment horizontal="center"/>
    </xf>
    <xf numFmtId="0" fontId="76" fillId="2" borderId="26" xfId="0" applyFont="1" applyFill="1" applyBorder="1" applyAlignment="1">
      <alignment horizontal="center" vertical="center"/>
    </xf>
    <xf numFmtId="0" fontId="76" fillId="5" borderId="26" xfId="0" applyFont="1" applyFill="1" applyBorder="1" applyAlignment="1">
      <alignment horizontal="center" vertical="center"/>
    </xf>
    <xf numFmtId="0" fontId="68" fillId="0" borderId="0" xfId="0" applyFont="1"/>
    <xf numFmtId="0" fontId="114" fillId="0" borderId="0" xfId="0" applyFont="1"/>
    <xf numFmtId="0" fontId="77" fillId="0" borderId="6" xfId="0" applyFont="1" applyBorder="1"/>
    <xf numFmtId="0" fontId="77" fillId="0" borderId="1" xfId="0" applyFont="1" applyBorder="1"/>
    <xf numFmtId="0" fontId="56" fillId="0" borderId="44" xfId="0" applyFont="1" applyBorder="1"/>
    <xf numFmtId="0" fontId="78" fillId="0" borderId="31" xfId="0" applyFont="1" applyBorder="1"/>
    <xf numFmtId="0" fontId="78" fillId="0" borderId="62" xfId="0" applyFont="1" applyBorder="1"/>
    <xf numFmtId="2" fontId="63" fillId="0" borderId="67" xfId="0" applyNumberFormat="1" applyFont="1" applyBorder="1" applyAlignment="1">
      <alignment horizontal="center" vertical="center"/>
    </xf>
    <xf numFmtId="0" fontId="63" fillId="0" borderId="67" xfId="0" applyFont="1" applyBorder="1" applyAlignment="1">
      <alignment horizontal="center" vertical="center"/>
    </xf>
    <xf numFmtId="0" fontId="109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10" fillId="0" borderId="37" xfId="0" applyFont="1" applyBorder="1" applyAlignment="1">
      <alignment horizontal="center" vertical="center"/>
    </xf>
    <xf numFmtId="0" fontId="110" fillId="0" borderId="65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110" fillId="0" borderId="48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2" fontId="74" fillId="21" borderId="32" xfId="0" applyNumberFormat="1" applyFont="1" applyFill="1" applyBorder="1" applyAlignment="1">
      <alignment horizontal="center" vertical="center"/>
    </xf>
    <xf numFmtId="1" fontId="6" fillId="21" borderId="85" xfId="0" applyNumberFormat="1" applyFont="1" applyFill="1" applyBorder="1" applyAlignment="1">
      <alignment horizontal="center" vertical="center"/>
    </xf>
    <xf numFmtId="1" fontId="74" fillId="21" borderId="34" xfId="0" applyNumberFormat="1" applyFont="1" applyFill="1" applyBorder="1" applyAlignment="1">
      <alignment horizontal="center" vertical="center"/>
    </xf>
    <xf numFmtId="2" fontId="74" fillId="21" borderId="99" xfId="0" applyNumberFormat="1" applyFont="1" applyFill="1" applyBorder="1" applyAlignment="1">
      <alignment horizontal="center" vertical="center"/>
    </xf>
    <xf numFmtId="0" fontId="141" fillId="0" borderId="24" xfId="0" applyFont="1" applyBorder="1" applyAlignment="1">
      <alignment vertical="center"/>
    </xf>
    <xf numFmtId="169" fontId="111" fillId="0" borderId="29" xfId="0" applyNumberFormat="1" applyFont="1" applyBorder="1" applyAlignment="1">
      <alignment horizontal="center" vertical="center"/>
    </xf>
    <xf numFmtId="169" fontId="111" fillId="0" borderId="37" xfId="0" applyNumberFormat="1" applyFont="1" applyBorder="1" applyAlignment="1">
      <alignment horizontal="center" vertical="center"/>
    </xf>
    <xf numFmtId="169" fontId="111" fillId="21" borderId="31" xfId="0" applyNumberFormat="1" applyFont="1" applyFill="1" applyBorder="1" applyAlignment="1">
      <alignment horizontal="center" vertical="center"/>
    </xf>
    <xf numFmtId="169" fontId="111" fillId="0" borderId="48" xfId="0" applyNumberFormat="1" applyFont="1" applyBorder="1" applyAlignment="1">
      <alignment horizontal="center" vertical="center"/>
    </xf>
    <xf numFmtId="169" fontId="111" fillId="21" borderId="34" xfId="0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vertical="center"/>
    </xf>
    <xf numFmtId="169" fontId="6" fillId="0" borderId="67" xfId="0" applyNumberFormat="1" applyFont="1" applyBorder="1" applyAlignment="1">
      <alignment horizontal="center" vertical="center"/>
    </xf>
    <xf numFmtId="169" fontId="6" fillId="0" borderId="17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41" fillId="0" borderId="138" xfId="0" applyFont="1" applyBorder="1" applyAlignment="1">
      <alignment vertical="center"/>
    </xf>
    <xf numFmtId="0" fontId="109" fillId="0" borderId="119" xfId="0" applyFont="1" applyBorder="1" applyAlignment="1">
      <alignment vertical="center"/>
    </xf>
    <xf numFmtId="0" fontId="110" fillId="0" borderId="131" xfId="0" applyFont="1" applyBorder="1" applyAlignment="1">
      <alignment vertical="center"/>
    </xf>
    <xf numFmtId="169" fontId="111" fillId="21" borderId="104" xfId="0" applyNumberFormat="1" applyFont="1" applyFill="1" applyBorder="1" applyAlignment="1">
      <alignment horizontal="center" vertical="center"/>
    </xf>
    <xf numFmtId="0" fontId="110" fillId="0" borderId="133" xfId="0" applyFont="1" applyBorder="1" applyAlignment="1">
      <alignment vertical="center"/>
    </xf>
    <xf numFmtId="0" fontId="6" fillId="0" borderId="134" xfId="0" applyFont="1" applyBorder="1" applyAlignment="1">
      <alignment vertical="center"/>
    </xf>
    <xf numFmtId="169" fontId="6" fillId="21" borderId="135" xfId="0" applyNumberFormat="1" applyFont="1" applyFill="1" applyBorder="1" applyAlignment="1">
      <alignment horizontal="center" vertical="center"/>
    </xf>
    <xf numFmtId="0" fontId="110" fillId="0" borderId="137" xfId="0" applyFont="1" applyBorder="1" applyAlignment="1">
      <alignment vertical="center"/>
    </xf>
    <xf numFmtId="0" fontId="6" fillId="0" borderId="131" xfId="0" applyFont="1" applyBorder="1" applyAlignment="1">
      <alignment vertical="center"/>
    </xf>
    <xf numFmtId="169" fontId="6" fillId="21" borderId="104" xfId="0" applyNumberFormat="1" applyFont="1" applyFill="1" applyBorder="1" applyAlignment="1">
      <alignment horizontal="center" vertical="center"/>
    </xf>
    <xf numFmtId="0" fontId="8" fillId="0" borderId="119" xfId="0" applyFont="1" applyBorder="1" applyAlignment="1">
      <alignment vertical="center"/>
    </xf>
    <xf numFmtId="0" fontId="6" fillId="0" borderId="134" xfId="0" applyFont="1" applyBorder="1" applyAlignment="1">
      <alignment horizontal="right" vertical="center"/>
    </xf>
    <xf numFmtId="0" fontId="8" fillId="0" borderId="138" xfId="0" applyFont="1" applyBorder="1" applyAlignment="1">
      <alignment vertical="center"/>
    </xf>
    <xf numFmtId="0" fontId="6" fillId="0" borderId="122" xfId="0" applyFont="1" applyBorder="1" applyAlignment="1">
      <alignment horizontal="right" vertical="center"/>
    </xf>
    <xf numFmtId="1" fontId="125" fillId="21" borderId="8" xfId="0" applyNumberFormat="1" applyFont="1" applyFill="1" applyBorder="1" applyAlignment="1">
      <alignment horizontal="center" vertical="center"/>
    </xf>
    <xf numFmtId="2" fontId="54" fillId="21" borderId="72" xfId="0" applyNumberFormat="1" applyFont="1" applyFill="1" applyBorder="1" applyAlignment="1">
      <alignment horizontal="center" vertical="center"/>
    </xf>
    <xf numFmtId="1" fontId="5" fillId="21" borderId="1" xfId="0" applyNumberFormat="1" applyFont="1" applyFill="1" applyBorder="1" applyAlignment="1">
      <alignment horizontal="center" vertical="center"/>
    </xf>
    <xf numFmtId="1" fontId="5" fillId="21" borderId="11" xfId="0" applyNumberFormat="1" applyFont="1" applyFill="1" applyBorder="1" applyAlignment="1">
      <alignment horizontal="center" vertical="center"/>
    </xf>
    <xf numFmtId="1" fontId="114" fillId="21" borderId="1" xfId="0" applyNumberFormat="1" applyFont="1" applyFill="1" applyBorder="1" applyAlignment="1">
      <alignment horizontal="center" vertical="center"/>
    </xf>
    <xf numFmtId="1" fontId="54" fillId="21" borderId="71" xfId="0" applyNumberFormat="1" applyFont="1" applyFill="1" applyBorder="1" applyAlignment="1">
      <alignment horizontal="center" vertical="center"/>
    </xf>
    <xf numFmtId="1" fontId="54" fillId="21" borderId="62" xfId="0" quotePrefix="1" applyNumberFormat="1" applyFont="1" applyFill="1" applyBorder="1" applyAlignment="1">
      <alignment horizontal="center" vertical="center"/>
    </xf>
    <xf numFmtId="1" fontId="68" fillId="21" borderId="34" xfId="0" applyNumberFormat="1" applyFont="1" applyFill="1" applyBorder="1" applyAlignment="1">
      <alignment horizontal="center" vertical="center"/>
    </xf>
    <xf numFmtId="171" fontId="68" fillId="21" borderId="1" xfId="0" applyNumberFormat="1" applyFont="1" applyFill="1" applyBorder="1" applyAlignment="1">
      <alignment horizontal="center" vertical="center"/>
    </xf>
    <xf numFmtId="171" fontId="68" fillId="21" borderId="11" xfId="0" applyNumberFormat="1" applyFont="1" applyFill="1" applyBorder="1" applyAlignment="1">
      <alignment horizontal="center" vertical="center"/>
    </xf>
    <xf numFmtId="0" fontId="142" fillId="0" borderId="44" xfId="0" applyFont="1" applyBorder="1"/>
    <xf numFmtId="0" fontId="142" fillId="0" borderId="47" xfId="0" applyFont="1" applyBorder="1"/>
    <xf numFmtId="0" fontId="67" fillId="0" borderId="31" xfId="0" applyFont="1" applyBorder="1"/>
    <xf numFmtId="0" fontId="67" fillId="0" borderId="9" xfId="0" applyFont="1" applyBorder="1"/>
    <xf numFmtId="0" fontId="76" fillId="0" borderId="1" xfId="0" applyFont="1" applyBorder="1"/>
    <xf numFmtId="0" fontId="67" fillId="0" borderId="62" xfId="0" applyFont="1" applyBorder="1"/>
    <xf numFmtId="0" fontId="34" fillId="0" borderId="19" xfId="0" applyFont="1" applyBorder="1"/>
    <xf numFmtId="0" fontId="118" fillId="0" borderId="34" xfId="0" applyFont="1" applyBorder="1"/>
    <xf numFmtId="0" fontId="118" fillId="0" borderId="74" xfId="0" applyFont="1" applyBorder="1"/>
    <xf numFmtId="0" fontId="144" fillId="0" borderId="0" xfId="0" applyFont="1" applyAlignment="1">
      <alignment horizontal="center" vertical="center"/>
    </xf>
    <xf numFmtId="0" fontId="111" fillId="0" borderId="48" xfId="0" applyFont="1" applyBorder="1" applyAlignment="1">
      <alignment horizontal="center" vertical="center"/>
    </xf>
    <xf numFmtId="0" fontId="109" fillId="0" borderId="21" xfId="0" applyFont="1" applyBorder="1" applyAlignment="1">
      <alignment horizontal="center" vertical="center"/>
    </xf>
    <xf numFmtId="0" fontId="111" fillId="21" borderId="53" xfId="0" applyFont="1" applyFill="1" applyBorder="1" applyAlignment="1">
      <alignment horizontal="center" vertical="center"/>
    </xf>
    <xf numFmtId="1" fontId="111" fillId="21" borderId="31" xfId="0" applyNumberFormat="1" applyFont="1" applyFill="1" applyBorder="1" applyAlignment="1">
      <alignment horizontal="center" vertical="center"/>
    </xf>
    <xf numFmtId="1" fontId="111" fillId="21" borderId="53" xfId="0" applyNumberFormat="1" applyFont="1" applyFill="1" applyBorder="1" applyAlignment="1">
      <alignment horizontal="center" vertical="center"/>
    </xf>
    <xf numFmtId="0" fontId="50" fillId="0" borderId="62" xfId="0" applyFont="1" applyBorder="1" applyAlignment="1">
      <alignment vertical="center"/>
    </xf>
    <xf numFmtId="167" fontId="76" fillId="2" borderId="18" xfId="0" applyNumberFormat="1" applyFont="1" applyFill="1" applyBorder="1" applyAlignment="1">
      <alignment horizontal="center" vertical="center"/>
    </xf>
    <xf numFmtId="167" fontId="76" fillId="2" borderId="12" xfId="0" applyNumberFormat="1" applyFont="1" applyFill="1" applyBorder="1" applyAlignment="1">
      <alignment horizontal="center" vertical="center"/>
    </xf>
    <xf numFmtId="0" fontId="79" fillId="0" borderId="47" xfId="0" applyFont="1" applyBorder="1" applyAlignment="1">
      <alignment vertical="center"/>
    </xf>
    <xf numFmtId="0" fontId="72" fillId="0" borderId="38" xfId="0" applyFont="1" applyBorder="1" applyAlignment="1">
      <alignment vertical="center"/>
    </xf>
    <xf numFmtId="0" fontId="72" fillId="0" borderId="8" xfId="0" applyFont="1" applyBorder="1" applyAlignment="1">
      <alignment vertical="center"/>
    </xf>
    <xf numFmtId="0" fontId="63" fillId="0" borderId="1" xfId="0" applyFont="1" applyBorder="1" applyAlignment="1">
      <alignment vertical="center"/>
    </xf>
    <xf numFmtId="1" fontId="109" fillId="21" borderId="21" xfId="0" applyNumberFormat="1" applyFont="1" applyFill="1" applyBorder="1" applyAlignment="1">
      <alignment horizontal="center" vertical="center"/>
    </xf>
    <xf numFmtId="169" fontId="112" fillId="21" borderId="11" xfId="0" applyNumberFormat="1" applyFont="1" applyFill="1" applyBorder="1" applyAlignment="1">
      <alignment horizontal="center" vertical="center"/>
    </xf>
    <xf numFmtId="0" fontId="118" fillId="0" borderId="1" xfId="0" applyFont="1" applyBorder="1" applyAlignment="1">
      <alignment vertical="center"/>
    </xf>
    <xf numFmtId="0" fontId="0" fillId="0" borderId="1" xfId="0" applyBorder="1"/>
    <xf numFmtId="1" fontId="63" fillId="13" borderId="50" xfId="0" applyNumberFormat="1" applyFont="1" applyFill="1" applyBorder="1" applyAlignment="1">
      <alignment horizontal="center" vertical="center"/>
    </xf>
    <xf numFmtId="1" fontId="63" fillId="13" borderId="19" xfId="0" applyNumberFormat="1" applyFont="1" applyFill="1" applyBorder="1" applyAlignment="1">
      <alignment horizontal="center" vertical="center"/>
    </xf>
    <xf numFmtId="0" fontId="76" fillId="0" borderId="76" xfId="0" applyFont="1" applyBorder="1"/>
    <xf numFmtId="0" fontId="78" fillId="0" borderId="32" xfId="0" applyFont="1" applyBorder="1"/>
    <xf numFmtId="0" fontId="63" fillId="13" borderId="13" xfId="0" applyFont="1" applyFill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54" fillId="0" borderId="41" xfId="0" applyFont="1" applyBorder="1" applyAlignment="1">
      <alignment horizontal="center" vertical="center"/>
    </xf>
    <xf numFmtId="171" fontId="50" fillId="13" borderId="60" xfId="0" applyNumberFormat="1" applyFont="1" applyFill="1" applyBorder="1" applyAlignment="1">
      <alignment horizontal="center" vertical="center"/>
    </xf>
    <xf numFmtId="1" fontId="36" fillId="0" borderId="64" xfId="0" applyNumberFormat="1" applyFont="1" applyBorder="1" applyAlignment="1">
      <alignment horizontal="center" vertical="center"/>
    </xf>
    <xf numFmtId="171" fontId="83" fillId="13" borderId="20" xfId="0" applyNumberFormat="1" applyFont="1" applyFill="1" applyBorder="1" applyAlignment="1">
      <alignment horizontal="center" vertical="center"/>
    </xf>
    <xf numFmtId="2" fontId="63" fillId="14" borderId="16" xfId="0" applyNumberFormat="1" applyFont="1" applyFill="1" applyBorder="1" applyAlignment="1">
      <alignment horizontal="center" vertical="center"/>
    </xf>
    <xf numFmtId="2" fontId="63" fillId="14" borderId="12" xfId="0" applyNumberFormat="1" applyFont="1" applyFill="1" applyBorder="1" applyAlignment="1">
      <alignment horizontal="center" vertical="center"/>
    </xf>
    <xf numFmtId="1" fontId="63" fillId="14" borderId="43" xfId="0" applyNumberFormat="1" applyFont="1" applyFill="1" applyBorder="1" applyAlignment="1">
      <alignment horizontal="center" vertical="center"/>
    </xf>
    <xf numFmtId="2" fontId="67" fillId="14" borderId="22" xfId="0" applyNumberFormat="1" applyFont="1" applyFill="1" applyBorder="1" applyAlignment="1">
      <alignment horizontal="center" vertical="center"/>
    </xf>
    <xf numFmtId="1" fontId="83" fillId="14" borderId="40" xfId="0" applyNumberFormat="1" applyFont="1" applyFill="1" applyBorder="1" applyAlignment="1">
      <alignment horizontal="center" vertical="center"/>
    </xf>
    <xf numFmtId="0" fontId="35" fillId="14" borderId="22" xfId="0" applyFont="1" applyFill="1" applyBorder="1" applyAlignment="1">
      <alignment horizontal="center" vertical="center"/>
    </xf>
    <xf numFmtId="169" fontId="35" fillId="14" borderId="22" xfId="0" applyNumberFormat="1" applyFont="1" applyFill="1" applyBorder="1" applyAlignment="1">
      <alignment horizontal="center" vertical="center"/>
    </xf>
    <xf numFmtId="171" fontId="43" fillId="14" borderId="12" xfId="0" applyNumberFormat="1" applyFont="1" applyFill="1" applyBorder="1" applyAlignment="1">
      <alignment horizontal="center" vertical="center"/>
    </xf>
    <xf numFmtId="1" fontId="34" fillId="14" borderId="12" xfId="0" applyNumberFormat="1" applyFont="1" applyFill="1" applyBorder="1" applyAlignment="1">
      <alignment horizontal="center" vertical="center" wrapText="1"/>
    </xf>
    <xf numFmtId="2" fontId="34" fillId="14" borderId="13" xfId="0" quotePrefix="1" applyNumberFormat="1" applyFont="1" applyFill="1" applyBorder="1" applyAlignment="1">
      <alignment horizontal="center" vertical="center"/>
    </xf>
    <xf numFmtId="2" fontId="35" fillId="14" borderId="20" xfId="0" applyNumberFormat="1" applyFont="1" applyFill="1" applyBorder="1" applyAlignment="1">
      <alignment horizontal="center" vertical="center"/>
    </xf>
    <xf numFmtId="1" fontId="63" fillId="14" borderId="97" xfId="0" applyNumberFormat="1" applyFont="1" applyFill="1" applyBorder="1" applyAlignment="1">
      <alignment horizontal="center" vertical="center"/>
    </xf>
    <xf numFmtId="169" fontId="50" fillId="14" borderId="60" xfId="0" applyNumberFormat="1" applyFont="1" applyFill="1" applyBorder="1" applyAlignment="1">
      <alignment horizontal="center" vertical="center"/>
    </xf>
    <xf numFmtId="169" fontId="50" fillId="14" borderId="20" xfId="0" applyNumberFormat="1" applyFont="1" applyFill="1" applyBorder="1" applyAlignment="1">
      <alignment horizontal="center" vertical="center"/>
    </xf>
    <xf numFmtId="171" fontId="50" fillId="14" borderId="12" xfId="0" applyNumberFormat="1" applyFont="1" applyFill="1" applyBorder="1" applyAlignment="1">
      <alignment horizontal="center" vertical="center"/>
    </xf>
    <xf numFmtId="0" fontId="63" fillId="14" borderId="13" xfId="0" applyFont="1" applyFill="1" applyBorder="1" applyAlignment="1">
      <alignment horizontal="center" vertical="center"/>
    </xf>
    <xf numFmtId="2" fontId="63" fillId="14" borderId="22" xfId="0" applyNumberFormat="1" applyFont="1" applyFill="1" applyBorder="1" applyAlignment="1">
      <alignment horizontal="center" vertical="center"/>
    </xf>
    <xf numFmtId="1" fontId="63" fillId="14" borderId="12" xfId="0" applyNumberFormat="1" applyFont="1" applyFill="1" applyBorder="1" applyAlignment="1">
      <alignment horizontal="center" vertical="center"/>
    </xf>
    <xf numFmtId="169" fontId="77" fillId="14" borderId="60" xfId="0" applyNumberFormat="1" applyFont="1" applyFill="1" applyBorder="1" applyAlignment="1">
      <alignment horizontal="center" vertical="center"/>
    </xf>
    <xf numFmtId="1" fontId="63" fillId="14" borderId="60" xfId="0" applyNumberFormat="1" applyFont="1" applyFill="1" applyBorder="1" applyAlignment="1">
      <alignment horizontal="center" vertical="center"/>
    </xf>
    <xf numFmtId="169" fontId="77" fillId="14" borderId="20" xfId="0" applyNumberFormat="1" applyFont="1" applyFill="1" applyBorder="1" applyAlignment="1">
      <alignment horizontal="center" vertical="center"/>
    </xf>
    <xf numFmtId="0" fontId="145" fillId="0" borderId="44" xfId="0" applyFont="1" applyBorder="1"/>
    <xf numFmtId="1" fontId="63" fillId="14" borderId="50" xfId="0" applyNumberFormat="1" applyFont="1" applyFill="1" applyBorder="1" applyAlignment="1">
      <alignment horizontal="center" vertical="center"/>
    </xf>
    <xf numFmtId="1" fontId="63" fillId="14" borderId="19" xfId="0" applyNumberFormat="1" applyFont="1" applyFill="1" applyBorder="1" applyAlignment="1">
      <alignment horizontal="center" vertical="center"/>
    </xf>
    <xf numFmtId="1" fontId="83" fillId="14" borderId="40" xfId="3" quotePrefix="1" applyNumberFormat="1" applyFont="1" applyFill="1" applyBorder="1" applyAlignment="1">
      <alignment horizontal="center" vertical="center"/>
    </xf>
    <xf numFmtId="167" fontId="76" fillId="14" borderId="18" xfId="0" applyNumberFormat="1" applyFont="1" applyFill="1" applyBorder="1" applyAlignment="1">
      <alignment horizontal="center" vertical="center"/>
    </xf>
    <xf numFmtId="167" fontId="76" fillId="14" borderId="12" xfId="0" applyNumberFormat="1" applyFont="1" applyFill="1" applyBorder="1" applyAlignment="1">
      <alignment horizontal="center" vertical="center"/>
    </xf>
    <xf numFmtId="167" fontId="76" fillId="14" borderId="22" xfId="0" applyNumberFormat="1" applyFont="1" applyFill="1" applyBorder="1" applyAlignment="1">
      <alignment horizontal="center" vertical="center"/>
    </xf>
    <xf numFmtId="171" fontId="83" fillId="14" borderId="20" xfId="0" applyNumberFormat="1" applyFont="1" applyFill="1" applyBorder="1" applyAlignment="1">
      <alignment horizontal="center" vertical="center"/>
    </xf>
    <xf numFmtId="1" fontId="72" fillId="14" borderId="17" xfId="0" applyNumberFormat="1" applyFont="1" applyFill="1" applyBorder="1" applyAlignment="1">
      <alignment horizontal="center" vertical="center"/>
    </xf>
    <xf numFmtId="1" fontId="99" fillId="14" borderId="40" xfId="0" applyNumberFormat="1" applyFont="1" applyFill="1" applyBorder="1" applyAlignment="1">
      <alignment horizontal="center" vertical="center"/>
    </xf>
    <xf numFmtId="1" fontId="111" fillId="0" borderId="0" xfId="0" applyNumberFormat="1" applyFont="1" applyAlignment="1">
      <alignment horizontal="center" vertical="center"/>
    </xf>
    <xf numFmtId="2" fontId="109" fillId="0" borderId="0" xfId="0" applyNumberFormat="1" applyFont="1" applyAlignment="1">
      <alignment horizontal="center" vertical="center"/>
    </xf>
    <xf numFmtId="2" fontId="109" fillId="0" borderId="4" xfId="0" applyNumberFormat="1" applyFont="1" applyBorder="1" applyAlignment="1">
      <alignment horizontal="center" vertical="center"/>
    </xf>
    <xf numFmtId="2" fontId="111" fillId="21" borderId="50" xfId="0" applyNumberFormat="1" applyFont="1" applyFill="1" applyBorder="1" applyAlignment="1">
      <alignment horizontal="center" vertical="center"/>
    </xf>
    <xf numFmtId="2" fontId="109" fillId="21" borderId="21" xfId="0" applyNumberFormat="1" applyFont="1" applyFill="1" applyBorder="1" applyAlignment="1">
      <alignment horizontal="center" vertical="center"/>
    </xf>
    <xf numFmtId="1" fontId="111" fillId="0" borderId="63" xfId="0" applyNumberFormat="1" applyFont="1" applyBorder="1" applyAlignment="1">
      <alignment horizontal="center" vertical="center"/>
    </xf>
    <xf numFmtId="1" fontId="111" fillId="0" borderId="8" xfId="0" applyNumberFormat="1" applyFont="1" applyBorder="1" applyAlignment="1">
      <alignment horizontal="center" vertical="center"/>
    </xf>
    <xf numFmtId="0" fontId="148" fillId="0" borderId="0" xfId="0" applyFont="1" applyAlignment="1">
      <alignment horizontal="center"/>
    </xf>
    <xf numFmtId="1" fontId="109" fillId="0" borderId="33" xfId="0" applyNumberFormat="1" applyFont="1" applyBorder="1" applyAlignment="1">
      <alignment horizontal="center" vertical="center"/>
    </xf>
    <xf numFmtId="0" fontId="117" fillId="0" borderId="32" xfId="0" applyFont="1" applyBorder="1" applyAlignment="1">
      <alignment horizontal="right" vertical="center"/>
    </xf>
    <xf numFmtId="0" fontId="65" fillId="0" borderId="31" xfId="0" applyFont="1" applyBorder="1" applyAlignment="1">
      <alignment horizontal="right" vertical="center"/>
    </xf>
    <xf numFmtId="0" fontId="5" fillId="0" borderId="32" xfId="0" applyFont="1" applyBorder="1" applyAlignment="1">
      <alignment horizontal="right" vertical="center"/>
    </xf>
    <xf numFmtId="0" fontId="68" fillId="0" borderId="65" xfId="0" applyFont="1" applyBorder="1" applyAlignment="1">
      <alignment horizontal="center" vertical="center"/>
    </xf>
    <xf numFmtId="0" fontId="114" fillId="0" borderId="68" xfId="0" applyFont="1" applyBorder="1" applyAlignment="1">
      <alignment horizontal="center" vertical="center"/>
    </xf>
    <xf numFmtId="1" fontId="68" fillId="21" borderId="17" xfId="0" applyNumberFormat="1" applyFont="1" applyFill="1" applyBorder="1" applyAlignment="1">
      <alignment horizontal="center" vertical="center"/>
    </xf>
    <xf numFmtId="1" fontId="68" fillId="21" borderId="72" xfId="0" applyNumberFormat="1" applyFont="1" applyFill="1" applyBorder="1" applyAlignment="1">
      <alignment horizontal="center" vertical="center"/>
    </xf>
    <xf numFmtId="1" fontId="111" fillId="21" borderId="50" xfId="0" applyNumberFormat="1" applyFont="1" applyFill="1" applyBorder="1" applyAlignment="1">
      <alignment horizontal="center" vertical="center"/>
    </xf>
    <xf numFmtId="2" fontId="34" fillId="13" borderId="22" xfId="0" quotePrefix="1" applyNumberFormat="1" applyFont="1" applyFill="1" applyBorder="1" applyAlignment="1">
      <alignment horizontal="center" vertical="center"/>
    </xf>
    <xf numFmtId="2" fontId="34" fillId="14" borderId="22" xfId="0" quotePrefix="1" applyNumberFormat="1" applyFont="1" applyFill="1" applyBorder="1" applyAlignment="1">
      <alignment horizontal="center" vertical="center"/>
    </xf>
    <xf numFmtId="169" fontId="111" fillId="0" borderId="53" xfId="0" applyNumberFormat="1" applyFont="1" applyBorder="1" applyAlignment="1">
      <alignment horizontal="center" vertical="center"/>
    </xf>
    <xf numFmtId="1" fontId="76" fillId="0" borderId="109" xfId="0" applyNumberFormat="1" applyFont="1" applyBorder="1" applyAlignment="1">
      <alignment horizontal="center" vertical="center"/>
    </xf>
    <xf numFmtId="2" fontId="89" fillId="17" borderId="10" xfId="0" applyNumberFormat="1" applyFont="1" applyFill="1" applyBorder="1" applyAlignment="1">
      <alignment horizontal="center" vertical="center"/>
    </xf>
    <xf numFmtId="0" fontId="38" fillId="0" borderId="7" xfId="0" applyFont="1" applyBorder="1" applyAlignment="1">
      <alignment horizontal="right" vertical="center"/>
    </xf>
    <xf numFmtId="1" fontId="63" fillId="13" borderId="22" xfId="0" applyNumberFormat="1" applyFont="1" applyFill="1" applyBorder="1" applyAlignment="1">
      <alignment horizontal="center" vertical="center"/>
    </xf>
    <xf numFmtId="2" fontId="63" fillId="13" borderId="16" xfId="0" applyNumberFormat="1" applyFont="1" applyFill="1" applyBorder="1" applyAlignment="1">
      <alignment horizontal="center" vertical="center"/>
    </xf>
    <xf numFmtId="2" fontId="63" fillId="13" borderId="52" xfId="0" applyNumberFormat="1" applyFont="1" applyFill="1" applyBorder="1" applyAlignment="1">
      <alignment horizontal="center" vertical="center"/>
    </xf>
    <xf numFmtId="2" fontId="63" fillId="14" borderId="20" xfId="0" applyNumberFormat="1" applyFont="1" applyFill="1" applyBorder="1" applyAlignment="1">
      <alignment horizontal="center" vertical="center"/>
    </xf>
    <xf numFmtId="2" fontId="63" fillId="13" borderId="20" xfId="0" applyNumberFormat="1" applyFont="1" applyFill="1" applyBorder="1" applyAlignment="1">
      <alignment horizontal="center" vertical="center"/>
    </xf>
    <xf numFmtId="1" fontId="63" fillId="14" borderId="18" xfId="0" applyNumberFormat="1" applyFont="1" applyFill="1" applyBorder="1" applyAlignment="1">
      <alignment horizontal="center" vertical="center"/>
    </xf>
    <xf numFmtId="171" fontId="35" fillId="13" borderId="22" xfId="0" quotePrefix="1" applyNumberFormat="1" applyFont="1" applyFill="1" applyBorder="1" applyAlignment="1">
      <alignment horizontal="center" vertical="center"/>
    </xf>
    <xf numFmtId="1" fontId="43" fillId="13" borderId="12" xfId="0" applyNumberFormat="1" applyFont="1" applyFill="1" applyBorder="1" applyAlignment="1">
      <alignment horizontal="center" vertical="center"/>
    </xf>
    <xf numFmtId="2" fontId="43" fillId="13" borderId="12" xfId="0" applyNumberFormat="1" applyFont="1" applyFill="1" applyBorder="1" applyAlignment="1">
      <alignment horizontal="center" vertical="center"/>
    </xf>
    <xf numFmtId="2" fontId="43" fillId="13" borderId="20" xfId="0" applyNumberFormat="1" applyFont="1" applyFill="1" applyBorder="1" applyAlignment="1">
      <alignment horizontal="center" vertical="center"/>
    </xf>
    <xf numFmtId="1" fontId="63" fillId="14" borderId="16" xfId="0" applyNumberFormat="1" applyFont="1" applyFill="1" applyBorder="1" applyAlignment="1">
      <alignment horizontal="center" vertical="center"/>
    </xf>
    <xf numFmtId="169" fontId="63" fillId="14" borderId="12" xfId="0" applyNumberFormat="1" applyFont="1" applyFill="1" applyBorder="1" applyAlignment="1">
      <alignment horizontal="center" vertical="center"/>
    </xf>
    <xf numFmtId="167" fontId="76" fillId="2" borderId="13" xfId="0" applyNumberFormat="1" applyFont="1" applyFill="1" applyBorder="1" applyAlignment="1">
      <alignment horizontal="center" vertical="center"/>
    </xf>
    <xf numFmtId="167" fontId="76" fillId="2" borderId="40" xfId="0" applyNumberFormat="1" applyFont="1" applyFill="1" applyBorder="1" applyAlignment="1">
      <alignment horizontal="center" vertical="center"/>
    </xf>
    <xf numFmtId="0" fontId="119" fillId="19" borderId="28" xfId="0" applyFont="1" applyFill="1" applyBorder="1" applyAlignment="1">
      <alignment horizontal="center" vertical="center"/>
    </xf>
    <xf numFmtId="0" fontId="54" fillId="19" borderId="17" xfId="0" applyFont="1" applyFill="1" applyBorder="1" applyAlignment="1">
      <alignment horizontal="center" vertical="center"/>
    </xf>
    <xf numFmtId="1" fontId="54" fillId="19" borderId="17" xfId="0" applyNumberFormat="1" applyFont="1" applyFill="1" applyBorder="1" applyAlignment="1">
      <alignment horizontal="center" vertical="center"/>
    </xf>
    <xf numFmtId="1" fontId="68" fillId="19" borderId="11" xfId="0" applyNumberFormat="1" applyFont="1" applyFill="1" applyBorder="1" applyAlignment="1">
      <alignment horizontal="center" vertical="center"/>
    </xf>
    <xf numFmtId="1" fontId="68" fillId="19" borderId="1" xfId="0" applyNumberFormat="1" applyFont="1" applyFill="1" applyBorder="1" applyAlignment="1">
      <alignment horizontal="center" vertical="center"/>
    </xf>
    <xf numFmtId="1" fontId="54" fillId="19" borderId="63" xfId="0" applyNumberFormat="1" applyFont="1" applyFill="1" applyBorder="1" applyAlignment="1">
      <alignment horizontal="center" vertical="center"/>
    </xf>
    <xf numFmtId="1" fontId="54" fillId="19" borderId="31" xfId="0" applyNumberFormat="1" applyFont="1" applyFill="1" applyBorder="1" applyAlignment="1">
      <alignment horizontal="center" vertical="center"/>
    </xf>
    <xf numFmtId="1" fontId="114" fillId="19" borderId="11" xfId="0" applyNumberFormat="1" applyFont="1" applyFill="1" applyBorder="1" applyAlignment="1">
      <alignment horizontal="center" vertical="center"/>
    </xf>
    <xf numFmtId="1" fontId="54" fillId="19" borderId="32" xfId="0" applyNumberFormat="1" applyFont="1" applyFill="1" applyBorder="1" applyAlignment="1">
      <alignment horizontal="center" vertical="center"/>
    </xf>
    <xf numFmtId="1" fontId="109" fillId="19" borderId="11" xfId="0" applyNumberFormat="1" applyFont="1" applyFill="1" applyBorder="1" applyAlignment="1">
      <alignment horizontal="center" vertical="center"/>
    </xf>
    <xf numFmtId="1" fontId="54" fillId="19" borderId="42" xfId="0" applyNumberFormat="1" applyFont="1" applyFill="1" applyBorder="1" applyAlignment="1">
      <alignment horizontal="center" vertical="center"/>
    </xf>
    <xf numFmtId="1" fontId="54" fillId="19" borderId="33" xfId="0" applyNumberFormat="1" applyFont="1" applyFill="1" applyBorder="1" applyAlignment="1">
      <alignment horizontal="center" vertical="center"/>
    </xf>
    <xf numFmtId="1" fontId="68" fillId="19" borderId="17" xfId="0" applyNumberFormat="1" applyFont="1" applyFill="1" applyBorder="1" applyAlignment="1">
      <alignment horizontal="center" vertical="center"/>
    </xf>
    <xf numFmtId="1" fontId="68" fillId="19" borderId="72" xfId="0" applyNumberFormat="1" applyFont="1" applyFill="1" applyBorder="1" applyAlignment="1">
      <alignment horizontal="center" vertical="center"/>
    </xf>
    <xf numFmtId="1" fontId="111" fillId="19" borderId="29" xfId="0" applyNumberFormat="1" applyFont="1" applyFill="1" applyBorder="1" applyAlignment="1">
      <alignment horizontal="center" vertical="center"/>
    </xf>
    <xf numFmtId="1" fontId="111" fillId="19" borderId="17" xfId="0" applyNumberFormat="1" applyFont="1" applyFill="1" applyBorder="1" applyAlignment="1">
      <alignment horizontal="center" vertical="center"/>
    </xf>
    <xf numFmtId="169" fontId="112" fillId="19" borderId="11" xfId="0" applyNumberFormat="1" applyFont="1" applyFill="1" applyBorder="1" applyAlignment="1">
      <alignment horizontal="center" vertical="center"/>
    </xf>
    <xf numFmtId="0" fontId="109" fillId="19" borderId="11" xfId="0" applyFont="1" applyFill="1" applyBorder="1" applyAlignment="1">
      <alignment horizontal="center" vertical="center"/>
    </xf>
    <xf numFmtId="169" fontId="109" fillId="19" borderId="11" xfId="0" applyNumberFormat="1" applyFont="1" applyFill="1" applyBorder="1" applyAlignment="1">
      <alignment horizontal="center" vertical="center"/>
    </xf>
    <xf numFmtId="1" fontId="111" fillId="19" borderId="31" xfId="0" applyNumberFormat="1" applyFont="1" applyFill="1" applyBorder="1" applyAlignment="1">
      <alignment horizontal="center" vertical="center"/>
    </xf>
    <xf numFmtId="1" fontId="111" fillId="19" borderId="42" xfId="0" applyNumberFormat="1" applyFont="1" applyFill="1" applyBorder="1" applyAlignment="1">
      <alignment horizontal="center" vertical="center"/>
    </xf>
    <xf numFmtId="1" fontId="111" fillId="19" borderId="33" xfId="0" applyNumberFormat="1" applyFont="1" applyFill="1" applyBorder="1" applyAlignment="1">
      <alignment horizontal="center" vertical="center"/>
    </xf>
    <xf numFmtId="169" fontId="54" fillId="19" borderId="63" xfId="0" applyNumberFormat="1" applyFont="1" applyFill="1" applyBorder="1" applyAlignment="1">
      <alignment horizontal="center" vertical="center"/>
    </xf>
    <xf numFmtId="169" fontId="68" fillId="19" borderId="11" xfId="0" applyNumberFormat="1" applyFont="1" applyFill="1" applyBorder="1" applyAlignment="1">
      <alignment horizontal="center" vertical="center"/>
    </xf>
    <xf numFmtId="0" fontId="54" fillId="19" borderId="31" xfId="0" applyFont="1" applyFill="1" applyBorder="1" applyAlignment="1">
      <alignment horizontal="center" vertical="center"/>
    </xf>
    <xf numFmtId="1" fontId="54" fillId="19" borderId="53" xfId="0" applyNumberFormat="1" applyFont="1" applyFill="1" applyBorder="1" applyAlignment="1">
      <alignment horizontal="center" vertical="center"/>
    </xf>
    <xf numFmtId="1" fontId="54" fillId="19" borderId="73" xfId="0" applyNumberFormat="1" applyFont="1" applyFill="1" applyBorder="1" applyAlignment="1">
      <alignment horizontal="center" vertical="center"/>
    </xf>
    <xf numFmtId="169" fontId="54" fillId="19" borderId="34" xfId="0" applyNumberFormat="1" applyFont="1" applyFill="1" applyBorder="1" applyAlignment="1">
      <alignment horizontal="center" vertical="center"/>
    </xf>
    <xf numFmtId="169" fontId="54" fillId="19" borderId="31" xfId="0" applyNumberFormat="1" applyFont="1" applyFill="1" applyBorder="1" applyAlignment="1">
      <alignment horizontal="center" vertical="center"/>
    </xf>
    <xf numFmtId="169" fontId="54" fillId="19" borderId="32" xfId="0" applyNumberFormat="1" applyFont="1" applyFill="1" applyBorder="1" applyAlignment="1">
      <alignment horizontal="center" vertical="center"/>
    </xf>
    <xf numFmtId="2" fontId="54" fillId="19" borderId="33" xfId="0" applyNumberFormat="1" applyFont="1" applyFill="1" applyBorder="1" applyAlignment="1">
      <alignment horizontal="center" vertical="center"/>
    </xf>
    <xf numFmtId="169" fontId="54" fillId="19" borderId="17" xfId="0" applyNumberFormat="1" applyFont="1" applyFill="1" applyBorder="1" applyAlignment="1">
      <alignment horizontal="center" vertical="center"/>
    </xf>
    <xf numFmtId="2" fontId="54" fillId="19" borderId="34" xfId="0" applyNumberFormat="1" applyFont="1" applyFill="1" applyBorder="1" applyAlignment="1">
      <alignment horizontal="center" vertical="center"/>
    </xf>
    <xf numFmtId="1" fontId="54" fillId="19" borderId="72" xfId="0" applyNumberFormat="1" applyFont="1" applyFill="1" applyBorder="1" applyAlignment="1">
      <alignment horizontal="center" vertical="center"/>
    </xf>
    <xf numFmtId="2" fontId="42" fillId="13" borderId="20" xfId="0" applyNumberFormat="1" applyFont="1" applyFill="1" applyBorder="1" applyAlignment="1">
      <alignment horizontal="center" vertical="center"/>
    </xf>
    <xf numFmtId="2" fontId="42" fillId="14" borderId="20" xfId="0" applyNumberFormat="1" applyFont="1" applyFill="1" applyBorder="1" applyAlignment="1">
      <alignment horizontal="center" vertical="center"/>
    </xf>
    <xf numFmtId="169" fontId="57" fillId="0" borderId="54" xfId="0" applyNumberFormat="1" applyFont="1" applyBorder="1"/>
    <xf numFmtId="0" fontId="38" fillId="6" borderId="63" xfId="0" applyFont="1" applyFill="1" applyBorder="1" applyAlignment="1">
      <alignment vertical="center"/>
    </xf>
    <xf numFmtId="1" fontId="68" fillId="0" borderId="37" xfId="0" quotePrefix="1" applyNumberFormat="1" applyFont="1" applyBorder="1" applyAlignment="1">
      <alignment horizontal="center" vertical="center"/>
    </xf>
    <xf numFmtId="1" fontId="68" fillId="21" borderId="53" xfId="0" quotePrefix="1" applyNumberFormat="1" applyFont="1" applyFill="1" applyBorder="1" applyAlignment="1">
      <alignment horizontal="center" vertical="center"/>
    </xf>
    <xf numFmtId="0" fontId="109" fillId="6" borderId="7" xfId="0" applyFont="1" applyFill="1" applyBorder="1" applyAlignment="1">
      <alignment vertical="center"/>
    </xf>
    <xf numFmtId="1" fontId="68" fillId="0" borderId="11" xfId="0" quotePrefix="1" applyNumberFormat="1" applyFont="1" applyBorder="1" applyAlignment="1">
      <alignment horizontal="center" vertical="center"/>
    </xf>
    <xf numFmtId="1" fontId="68" fillId="21" borderId="11" xfId="0" quotePrefix="1" applyNumberFormat="1" applyFont="1" applyFill="1" applyBorder="1" applyAlignment="1">
      <alignment horizontal="center" vertical="center"/>
    </xf>
    <xf numFmtId="1" fontId="54" fillId="0" borderId="48" xfId="0" quotePrefix="1" applyNumberFormat="1" applyFont="1" applyBorder="1" applyAlignment="1">
      <alignment horizontal="center" vertical="center"/>
    </xf>
    <xf numFmtId="1" fontId="54" fillId="21" borderId="53" xfId="0" quotePrefix="1" applyNumberFormat="1" applyFont="1" applyFill="1" applyBorder="1" applyAlignment="1">
      <alignment horizontal="center" vertical="center"/>
    </xf>
    <xf numFmtId="2" fontId="54" fillId="19" borderId="32" xfId="0" applyNumberFormat="1" applyFont="1" applyFill="1" applyBorder="1" applyAlignment="1">
      <alignment horizontal="center" vertical="center"/>
    </xf>
    <xf numFmtId="1" fontId="54" fillId="19" borderId="19" xfId="0" applyNumberFormat="1" applyFont="1" applyFill="1" applyBorder="1" applyAlignment="1">
      <alignment horizontal="center" vertical="center"/>
    </xf>
    <xf numFmtId="2" fontId="54" fillId="19" borderId="31" xfId="0" applyNumberFormat="1" applyFont="1" applyFill="1" applyBorder="1" applyAlignment="1">
      <alignment horizontal="center" vertical="center"/>
    </xf>
    <xf numFmtId="171" fontId="54" fillId="19" borderId="31" xfId="0" applyNumberFormat="1" applyFont="1" applyFill="1" applyBorder="1" applyAlignment="1">
      <alignment horizontal="center" vertical="center"/>
    </xf>
    <xf numFmtId="1" fontId="74" fillId="19" borderId="4" xfId="0" applyNumberFormat="1" applyFont="1" applyFill="1" applyBorder="1" applyAlignment="1">
      <alignment horizontal="center" vertical="center"/>
    </xf>
    <xf numFmtId="1" fontId="125" fillId="19" borderId="8" xfId="0" applyNumberFormat="1" applyFont="1" applyFill="1" applyBorder="1" applyAlignment="1">
      <alignment horizontal="center" vertical="center"/>
    </xf>
    <xf numFmtId="0" fontId="138" fillId="19" borderId="34" xfId="0" applyFont="1" applyFill="1" applyBorder="1" applyAlignment="1">
      <alignment horizontal="center" vertical="center"/>
    </xf>
    <xf numFmtId="0" fontId="138" fillId="19" borderId="31" xfId="0" applyFont="1" applyFill="1" applyBorder="1" applyAlignment="1">
      <alignment horizontal="center" vertical="center"/>
    </xf>
    <xf numFmtId="1" fontId="138" fillId="19" borderId="34" xfId="0" applyNumberFormat="1" applyFont="1" applyFill="1" applyBorder="1" applyAlignment="1">
      <alignment horizontal="center" vertical="center"/>
    </xf>
    <xf numFmtId="2" fontId="74" fillId="19" borderId="32" xfId="0" applyNumberFormat="1" applyFont="1" applyFill="1" applyBorder="1" applyAlignment="1">
      <alignment horizontal="center" vertical="center"/>
    </xf>
    <xf numFmtId="1" fontId="68" fillId="19" borderId="63" xfId="0" applyNumberFormat="1" applyFont="1" applyFill="1" applyBorder="1" applyAlignment="1">
      <alignment horizontal="center" vertical="center"/>
    </xf>
    <xf numFmtId="1" fontId="65" fillId="19" borderId="32" xfId="0" applyNumberFormat="1" applyFont="1" applyFill="1" applyBorder="1" applyAlignment="1">
      <alignment horizontal="center" vertical="center"/>
    </xf>
    <xf numFmtId="1" fontId="6" fillId="19" borderId="76" xfId="0" applyNumberFormat="1" applyFont="1" applyFill="1" applyBorder="1" applyAlignment="1">
      <alignment horizontal="center" vertical="center"/>
    </xf>
    <xf numFmtId="1" fontId="6" fillId="19" borderId="85" xfId="0" applyNumberFormat="1" applyFont="1" applyFill="1" applyBorder="1" applyAlignment="1">
      <alignment horizontal="center" vertical="center"/>
    </xf>
    <xf numFmtId="169" fontId="111" fillId="19" borderId="31" xfId="0" applyNumberFormat="1" applyFont="1" applyFill="1" applyBorder="1" applyAlignment="1">
      <alignment horizontal="center" vertical="center"/>
    </xf>
    <xf numFmtId="169" fontId="111" fillId="19" borderId="104" xfId="0" applyNumberFormat="1" applyFont="1" applyFill="1" applyBorder="1" applyAlignment="1">
      <alignment horizontal="center" vertical="center"/>
    </xf>
    <xf numFmtId="169" fontId="6" fillId="19" borderId="1" xfId="0" applyNumberFormat="1" applyFont="1" applyFill="1" applyBorder="1" applyAlignment="1">
      <alignment horizontal="center" vertical="center"/>
    </xf>
    <xf numFmtId="169" fontId="6" fillId="19" borderId="135" xfId="0" applyNumberFormat="1" applyFont="1" applyFill="1" applyBorder="1" applyAlignment="1">
      <alignment horizontal="center" vertical="center"/>
    </xf>
    <xf numFmtId="169" fontId="6" fillId="19" borderId="31" xfId="0" applyNumberFormat="1" applyFont="1" applyFill="1" applyBorder="1" applyAlignment="1">
      <alignment horizontal="center" vertical="center"/>
    </xf>
    <xf numFmtId="169" fontId="6" fillId="19" borderId="104" xfId="0" applyNumberFormat="1" applyFont="1" applyFill="1" applyBorder="1" applyAlignment="1">
      <alignment horizontal="center" vertical="center"/>
    </xf>
    <xf numFmtId="1" fontId="74" fillId="19" borderId="34" xfId="0" applyNumberFormat="1" applyFont="1" applyFill="1" applyBorder="1" applyAlignment="1">
      <alignment horizontal="center" vertical="center"/>
    </xf>
    <xf numFmtId="2" fontId="74" fillId="19" borderId="99" xfId="0" applyNumberFormat="1" applyFont="1" applyFill="1" applyBorder="1" applyAlignment="1">
      <alignment horizontal="center" vertical="center"/>
    </xf>
    <xf numFmtId="1" fontId="68" fillId="0" borderId="55" xfId="0" applyNumberFormat="1" applyFont="1" applyBorder="1" applyAlignment="1">
      <alignment vertical="center"/>
    </xf>
    <xf numFmtId="0" fontId="129" fillId="0" borderId="24" xfId="0" applyFont="1" applyBorder="1"/>
    <xf numFmtId="1" fontId="111" fillId="0" borderId="61" xfId="0" applyNumberFormat="1" applyFont="1" applyBorder="1" applyAlignment="1">
      <alignment horizontal="center" vertical="center"/>
    </xf>
    <xf numFmtId="2" fontId="109" fillId="0" borderId="21" xfId="0" applyNumberFormat="1" applyFont="1" applyBorder="1" applyAlignment="1">
      <alignment horizontal="center" vertical="center"/>
    </xf>
    <xf numFmtId="2" fontId="111" fillId="0" borderId="17" xfId="0" applyNumberFormat="1" applyFont="1" applyBorder="1" applyAlignment="1">
      <alignment horizontal="center" vertical="center"/>
    </xf>
    <xf numFmtId="2" fontId="111" fillId="21" borderId="31" xfId="0" applyNumberFormat="1" applyFont="1" applyFill="1" applyBorder="1" applyAlignment="1">
      <alignment horizontal="center" vertical="center"/>
    </xf>
    <xf numFmtId="0" fontId="111" fillId="19" borderId="53" xfId="0" applyFont="1" applyFill="1" applyBorder="1" applyAlignment="1">
      <alignment horizontal="center" vertical="center"/>
    </xf>
    <xf numFmtId="1" fontId="111" fillId="19" borderId="53" xfId="0" applyNumberFormat="1" applyFont="1" applyFill="1" applyBorder="1" applyAlignment="1">
      <alignment horizontal="center" vertical="center"/>
    </xf>
    <xf numFmtId="1" fontId="109" fillId="19" borderId="21" xfId="0" applyNumberFormat="1" applyFont="1" applyFill="1" applyBorder="1" applyAlignment="1">
      <alignment horizontal="center" vertical="center"/>
    </xf>
    <xf numFmtId="2" fontId="54" fillId="19" borderId="72" xfId="0" applyNumberFormat="1" applyFont="1" applyFill="1" applyBorder="1" applyAlignment="1">
      <alignment horizontal="center" vertical="center"/>
    </xf>
    <xf numFmtId="1" fontId="5" fillId="19" borderId="11" xfId="0" applyNumberFormat="1" applyFont="1" applyFill="1" applyBorder="1" applyAlignment="1">
      <alignment horizontal="center" vertical="center"/>
    </xf>
    <xf numFmtId="1" fontId="54" fillId="19" borderId="71" xfId="0" applyNumberFormat="1" applyFont="1" applyFill="1" applyBorder="1" applyAlignment="1">
      <alignment horizontal="center" vertical="center"/>
    </xf>
    <xf numFmtId="1" fontId="68" fillId="19" borderId="53" xfId="0" quotePrefix="1" applyNumberFormat="1" applyFont="1" applyFill="1" applyBorder="1" applyAlignment="1">
      <alignment horizontal="center" vertical="center"/>
    </xf>
    <xf numFmtId="1" fontId="68" fillId="19" borderId="11" xfId="0" quotePrefix="1" applyNumberFormat="1" applyFont="1" applyFill="1" applyBorder="1" applyAlignment="1">
      <alignment horizontal="center" vertical="center"/>
    </xf>
    <xf numFmtId="171" fontId="68" fillId="19" borderId="11" xfId="0" applyNumberFormat="1" applyFont="1" applyFill="1" applyBorder="1" applyAlignment="1">
      <alignment horizontal="center" vertical="center"/>
    </xf>
    <xf numFmtId="0" fontId="109" fillId="6" borderId="24" xfId="0" applyFont="1" applyFill="1" applyBorder="1" applyAlignment="1">
      <alignment vertical="center"/>
    </xf>
    <xf numFmtId="2" fontId="54" fillId="21" borderId="42" xfId="0" applyNumberFormat="1" applyFont="1" applyFill="1" applyBorder="1" applyAlignment="1">
      <alignment horizontal="center" vertical="center"/>
    </xf>
    <xf numFmtId="0" fontId="77" fillId="13" borderId="22" xfId="0" applyFont="1" applyFill="1" applyBorder="1" applyAlignment="1">
      <alignment horizontal="center" vertical="center"/>
    </xf>
    <xf numFmtId="0" fontId="34" fillId="13" borderId="22" xfId="0" applyFont="1" applyFill="1" applyBorder="1" applyAlignment="1">
      <alignment horizontal="center"/>
    </xf>
    <xf numFmtId="0" fontId="34" fillId="13" borderId="12" xfId="0" applyFont="1" applyFill="1" applyBorder="1" applyAlignment="1">
      <alignment horizontal="center"/>
    </xf>
    <xf numFmtId="0" fontId="34" fillId="13" borderId="60" xfId="0" applyFont="1" applyFill="1" applyBorder="1" applyAlignment="1">
      <alignment horizontal="center"/>
    </xf>
    <xf numFmtId="1" fontId="34" fillId="13" borderId="12" xfId="0" applyNumberFormat="1" applyFont="1" applyFill="1" applyBorder="1" applyAlignment="1">
      <alignment horizontal="center"/>
    </xf>
    <xf numFmtId="2" fontId="63" fillId="13" borderId="18" xfId="0" applyNumberFormat="1" applyFont="1" applyFill="1" applyBorder="1" applyAlignment="1">
      <alignment horizontal="center" vertical="center"/>
    </xf>
    <xf numFmtId="0" fontId="32" fillId="0" borderId="0" xfId="0" applyFont="1"/>
    <xf numFmtId="1" fontId="111" fillId="0" borderId="50" xfId="0" applyNumberFormat="1" applyFont="1" applyBorder="1" applyAlignment="1">
      <alignment horizontal="center" vertical="center"/>
    </xf>
    <xf numFmtId="1" fontId="79" fillId="14" borderId="97" xfId="0" applyNumberFormat="1" applyFont="1" applyFill="1" applyBorder="1" applyAlignment="1">
      <alignment horizontal="center" vertical="center"/>
    </xf>
    <xf numFmtId="0" fontId="120" fillId="0" borderId="74" xfId="0" applyFont="1" applyBorder="1" applyAlignment="1">
      <alignment horizontal="right"/>
    </xf>
    <xf numFmtId="0" fontId="120" fillId="0" borderId="37" xfId="0" applyFont="1" applyBorder="1" applyAlignment="1">
      <alignment horizontal="center" vertical="center"/>
    </xf>
    <xf numFmtId="0" fontId="120" fillId="0" borderId="31" xfId="0" applyFont="1" applyBorder="1" applyAlignment="1">
      <alignment horizontal="right"/>
    </xf>
    <xf numFmtId="0" fontId="120" fillId="0" borderId="17" xfId="0" applyFont="1" applyBorder="1" applyAlignment="1">
      <alignment horizontal="center" vertical="center"/>
    </xf>
    <xf numFmtId="0" fontId="120" fillId="0" borderId="72" xfId="0" applyFont="1" applyBorder="1" applyAlignment="1">
      <alignment horizontal="center" vertical="center"/>
    </xf>
    <xf numFmtId="0" fontId="151" fillId="0" borderId="24" xfId="0" applyFont="1" applyBorder="1" applyAlignment="1">
      <alignment vertical="center"/>
    </xf>
    <xf numFmtId="0" fontId="120" fillId="0" borderId="52" xfId="0" applyFont="1" applyBorder="1" applyAlignment="1">
      <alignment vertical="center"/>
    </xf>
    <xf numFmtId="0" fontId="120" fillId="0" borderId="35" xfId="0" applyFont="1" applyBorder="1" applyAlignment="1">
      <alignment vertical="center"/>
    </xf>
    <xf numFmtId="0" fontId="151" fillId="0" borderId="61" xfId="0" applyFont="1" applyBorder="1" applyAlignment="1">
      <alignment vertical="center"/>
    </xf>
    <xf numFmtId="0" fontId="54" fillId="0" borderId="11" xfId="0" applyFont="1" applyBorder="1" applyAlignment="1">
      <alignment horizontal="center" vertical="center"/>
    </xf>
    <xf numFmtId="2" fontId="0" fillId="0" borderId="0" xfId="0" applyNumberFormat="1"/>
    <xf numFmtId="0" fontId="154" fillId="0" borderId="0" xfId="0" applyFont="1"/>
    <xf numFmtId="1" fontId="111" fillId="0" borderId="42" xfId="0" applyNumberFormat="1" applyFont="1" applyBorder="1" applyAlignment="1">
      <alignment horizontal="center" vertical="center"/>
    </xf>
    <xf numFmtId="2" fontId="111" fillId="21" borderId="19" xfId="0" applyNumberFormat="1" applyFont="1" applyFill="1" applyBorder="1" applyAlignment="1">
      <alignment horizontal="center" vertical="center"/>
    </xf>
    <xf numFmtId="1" fontId="111" fillId="21" borderId="19" xfId="0" applyNumberFormat="1" applyFont="1" applyFill="1" applyBorder="1" applyAlignment="1">
      <alignment horizontal="center" vertical="center"/>
    </xf>
    <xf numFmtId="0" fontId="0" fillId="17" borderId="0" xfId="0" applyFill="1"/>
    <xf numFmtId="0" fontId="39" fillId="0" borderId="54" xfId="0" applyFont="1" applyBorder="1" applyAlignment="1">
      <alignment horizontal="center" vertical="center"/>
    </xf>
    <xf numFmtId="0" fontId="62" fillId="0" borderId="27" xfId="0" applyFont="1" applyBorder="1" applyAlignment="1">
      <alignment horizontal="center" vertical="center"/>
    </xf>
    <xf numFmtId="0" fontId="34" fillId="0" borderId="61" xfId="0" applyFont="1" applyBorder="1" applyAlignment="1">
      <alignment vertical="center"/>
    </xf>
    <xf numFmtId="0" fontId="42" fillId="0" borderId="21" xfId="0" applyFont="1" applyBorder="1" applyAlignment="1">
      <alignment horizontal="center" vertical="center"/>
    </xf>
    <xf numFmtId="0" fontId="56" fillId="0" borderId="61" xfId="0" applyFont="1" applyBorder="1" applyAlignment="1">
      <alignment vertical="center"/>
    </xf>
    <xf numFmtId="1" fontId="69" fillId="0" borderId="7" xfId="0" applyNumberFormat="1" applyFont="1" applyBorder="1" applyAlignment="1">
      <alignment horizontal="center" vertical="center"/>
    </xf>
    <xf numFmtId="1" fontId="24" fillId="0" borderId="84" xfId="0" applyNumberFormat="1" applyFont="1" applyBorder="1"/>
    <xf numFmtId="0" fontId="117" fillId="0" borderId="62" xfId="0" applyFont="1" applyBorder="1" applyAlignment="1">
      <alignment horizontal="right" vertical="center"/>
    </xf>
    <xf numFmtId="0" fontId="117" fillId="0" borderId="1" xfId="0" applyFont="1" applyBorder="1" applyAlignment="1">
      <alignment horizontal="right" vertical="center"/>
    </xf>
    <xf numFmtId="0" fontId="117" fillId="0" borderId="25" xfId="0" applyFont="1" applyBorder="1" applyAlignment="1">
      <alignment vertical="center"/>
    </xf>
    <xf numFmtId="0" fontId="68" fillId="0" borderId="72" xfId="0" applyFont="1" applyBorder="1" applyAlignment="1">
      <alignment horizontal="center" vertical="center"/>
    </xf>
    <xf numFmtId="2" fontId="63" fillId="13" borderId="47" xfId="0" applyNumberFormat="1" applyFont="1" applyFill="1" applyBorder="1" applyAlignment="1">
      <alignment horizontal="center" vertical="center"/>
    </xf>
    <xf numFmtId="1" fontId="63" fillId="13" borderId="44" xfId="0" applyNumberFormat="1" applyFont="1" applyFill="1" applyBorder="1" applyAlignment="1">
      <alignment horizontal="center" vertical="center"/>
    </xf>
    <xf numFmtId="1" fontId="63" fillId="13" borderId="52" xfId="0" applyNumberFormat="1" applyFont="1" applyFill="1" applyBorder="1" applyAlignment="1">
      <alignment horizontal="center" vertical="center"/>
    </xf>
    <xf numFmtId="1" fontId="63" fillId="13" borderId="25" xfId="0" applyNumberFormat="1" applyFont="1" applyFill="1" applyBorder="1" applyAlignment="1">
      <alignment horizontal="center" vertical="center"/>
    </xf>
    <xf numFmtId="2" fontId="63" fillId="15" borderId="12" xfId="0" applyNumberFormat="1" applyFont="1" applyFill="1" applyBorder="1" applyAlignment="1">
      <alignment horizontal="center" vertical="center"/>
    </xf>
    <xf numFmtId="0" fontId="29" fillId="0" borderId="24" xfId="0" applyFont="1" applyBorder="1"/>
    <xf numFmtId="0" fontId="34" fillId="0" borderId="129" xfId="0" applyFont="1" applyBorder="1" applyAlignment="1">
      <alignment horizontal="center" vertical="center"/>
    </xf>
    <xf numFmtId="0" fontId="91" fillId="0" borderId="54" xfId="0" applyFont="1" applyBorder="1"/>
    <xf numFmtId="0" fontId="89" fillId="0" borderId="55" xfId="0" applyFont="1" applyBorder="1"/>
    <xf numFmtId="2" fontId="83" fillId="3" borderId="50" xfId="0" applyNumberFormat="1" applyFont="1" applyFill="1" applyBorder="1" applyAlignment="1">
      <alignment horizontal="center" vertical="center"/>
    </xf>
    <xf numFmtId="169" fontId="76" fillId="15" borderId="19" xfId="0" applyNumberFormat="1" applyFont="1" applyFill="1" applyBorder="1" applyAlignment="1">
      <alignment horizontal="center" vertical="center"/>
    </xf>
    <xf numFmtId="1" fontId="34" fillId="3" borderId="50" xfId="0" applyNumberFormat="1" applyFont="1" applyFill="1" applyBorder="1" applyAlignment="1">
      <alignment horizontal="center" vertical="center"/>
    </xf>
    <xf numFmtId="1" fontId="34" fillId="15" borderId="50" xfId="0" applyNumberFormat="1" applyFont="1" applyFill="1" applyBorder="1" applyAlignment="1">
      <alignment horizontal="center" vertical="center"/>
    </xf>
    <xf numFmtId="2" fontId="35" fillId="15" borderId="50" xfId="0" quotePrefix="1" applyNumberFormat="1" applyFont="1" applyFill="1" applyBorder="1" applyAlignment="1">
      <alignment horizontal="center" vertical="center"/>
    </xf>
    <xf numFmtId="171" fontId="35" fillId="15" borderId="50" xfId="0" quotePrefix="1" applyNumberFormat="1" applyFont="1" applyFill="1" applyBorder="1" applyAlignment="1">
      <alignment horizontal="center" vertical="center"/>
    </xf>
    <xf numFmtId="2" fontId="79" fillId="15" borderId="27" xfId="0" applyNumberFormat="1" applyFont="1" applyFill="1" applyBorder="1" applyAlignment="1">
      <alignment horizontal="center" vertical="center"/>
    </xf>
    <xf numFmtId="0" fontId="74" fillId="0" borderId="6" xfId="0" applyFont="1" applyBorder="1" applyAlignment="1">
      <alignment vertical="center"/>
    </xf>
    <xf numFmtId="1" fontId="34" fillId="15" borderId="12" xfId="0" applyNumberFormat="1" applyFont="1" applyFill="1" applyBorder="1" applyAlignment="1">
      <alignment horizontal="center" vertical="center"/>
    </xf>
    <xf numFmtId="1" fontId="34" fillId="15" borderId="60" xfId="0" applyNumberFormat="1" applyFont="1" applyFill="1" applyBorder="1" applyAlignment="1">
      <alignment horizontal="center" vertical="center"/>
    </xf>
    <xf numFmtId="1" fontId="34" fillId="15" borderId="20" xfId="0" applyNumberFormat="1" applyFont="1" applyFill="1" applyBorder="1" applyAlignment="1">
      <alignment horizontal="center" vertical="center"/>
    </xf>
    <xf numFmtId="2" fontId="34" fillId="15" borderId="18" xfId="0" applyNumberFormat="1" applyFont="1" applyFill="1" applyBorder="1" applyAlignment="1">
      <alignment horizontal="center" vertical="center"/>
    </xf>
    <xf numFmtId="2" fontId="34" fillId="15" borderId="19" xfId="0" applyNumberFormat="1" applyFont="1" applyFill="1" applyBorder="1" applyAlignment="1">
      <alignment horizontal="center" vertical="center"/>
    </xf>
    <xf numFmtId="2" fontId="35" fillId="15" borderId="12" xfId="0" quotePrefix="1" applyNumberFormat="1" applyFont="1" applyFill="1" applyBorder="1" applyAlignment="1">
      <alignment horizontal="center" vertical="center"/>
    </xf>
    <xf numFmtId="2" fontId="35" fillId="15" borderId="22" xfId="0" applyNumberFormat="1" applyFont="1" applyFill="1" applyBorder="1" applyAlignment="1">
      <alignment horizontal="center" vertical="center"/>
    </xf>
    <xf numFmtId="169" fontId="34" fillId="15" borderId="12" xfId="0" applyNumberFormat="1" applyFont="1" applyFill="1" applyBorder="1" applyAlignment="1">
      <alignment horizontal="center" vertical="center"/>
    </xf>
    <xf numFmtId="169" fontId="35" fillId="15" borderId="12" xfId="0" applyNumberFormat="1" applyFont="1" applyFill="1" applyBorder="1" applyAlignment="1">
      <alignment horizontal="center" vertical="center"/>
    </xf>
    <xf numFmtId="0" fontId="35" fillId="15" borderId="12" xfId="0" applyFont="1" applyFill="1" applyBorder="1" applyAlignment="1">
      <alignment horizontal="center" vertical="center"/>
    </xf>
    <xf numFmtId="1" fontId="35" fillId="15" borderId="12" xfId="0" applyNumberFormat="1" applyFont="1" applyFill="1" applyBorder="1" applyAlignment="1">
      <alignment horizontal="center" vertical="center"/>
    </xf>
    <xf numFmtId="1" fontId="35" fillId="15" borderId="22" xfId="0" applyNumberFormat="1" applyFont="1" applyFill="1" applyBorder="1" applyAlignment="1">
      <alignment horizontal="center" vertical="center"/>
    </xf>
    <xf numFmtId="1" fontId="35" fillId="15" borderId="20" xfId="0" applyNumberFormat="1" applyFont="1" applyFill="1" applyBorder="1" applyAlignment="1">
      <alignment horizontal="center" vertical="center"/>
    </xf>
    <xf numFmtId="1" fontId="35" fillId="15" borderId="13" xfId="0" applyNumberFormat="1" applyFont="1" applyFill="1" applyBorder="1" applyAlignment="1">
      <alignment horizontal="center" vertical="center"/>
    </xf>
    <xf numFmtId="1" fontId="35" fillId="15" borderId="16" xfId="0" applyNumberFormat="1" applyFont="1" applyFill="1" applyBorder="1" applyAlignment="1">
      <alignment horizontal="center" vertical="center"/>
    </xf>
    <xf numFmtId="1" fontId="34" fillId="15" borderId="18" xfId="0" applyNumberFormat="1" applyFont="1" applyFill="1" applyBorder="1" applyAlignment="1">
      <alignment horizontal="center" vertical="center"/>
    </xf>
    <xf numFmtId="0" fontId="34" fillId="15" borderId="43" xfId="0" applyFont="1" applyFill="1" applyBorder="1" applyAlignment="1">
      <alignment horizontal="center" vertical="center"/>
    </xf>
    <xf numFmtId="2" fontId="34" fillId="15" borderId="12" xfId="0" quotePrefix="1" applyNumberFormat="1" applyFont="1" applyFill="1" applyBorder="1" applyAlignment="1">
      <alignment horizontal="center" vertical="center"/>
    </xf>
    <xf numFmtId="1" fontId="50" fillId="15" borderId="22" xfId="0" applyNumberFormat="1" applyFont="1" applyFill="1" applyBorder="1" applyAlignment="1">
      <alignment horizontal="center" vertical="center"/>
    </xf>
    <xf numFmtId="2" fontId="35" fillId="15" borderId="12" xfId="0" applyNumberFormat="1" applyFont="1" applyFill="1" applyBorder="1" applyAlignment="1">
      <alignment horizontal="center" vertical="center"/>
    </xf>
    <xf numFmtId="1" fontId="34" fillId="15" borderId="16" xfId="0" applyNumberFormat="1" applyFont="1" applyFill="1" applyBorder="1" applyAlignment="1">
      <alignment horizontal="center" vertical="center"/>
    </xf>
    <xf numFmtId="0" fontId="34" fillId="15" borderId="20" xfId="0" applyFont="1" applyFill="1" applyBorder="1" applyAlignment="1">
      <alignment horizontal="center" vertical="center"/>
    </xf>
    <xf numFmtId="2" fontId="34" fillId="15" borderId="13" xfId="0" applyNumberFormat="1" applyFont="1" applyFill="1" applyBorder="1" applyAlignment="1">
      <alignment horizontal="center" vertical="center"/>
    </xf>
    <xf numFmtId="0" fontId="43" fillId="15" borderId="12" xfId="0" applyFont="1" applyFill="1" applyBorder="1" applyAlignment="1">
      <alignment horizontal="center" vertical="center"/>
    </xf>
    <xf numFmtId="2" fontId="43" fillId="15" borderId="12" xfId="0" applyNumberFormat="1" applyFont="1" applyFill="1" applyBorder="1" applyAlignment="1">
      <alignment horizontal="center" vertical="center"/>
    </xf>
    <xf numFmtId="169" fontId="43" fillId="15" borderId="20" xfId="0" applyNumberFormat="1" applyFont="1" applyFill="1" applyBorder="1" applyAlignment="1">
      <alignment horizontal="center" vertical="center"/>
    </xf>
    <xf numFmtId="1" fontId="35" fillId="15" borderId="40" xfId="0" applyNumberFormat="1" applyFont="1" applyFill="1" applyBorder="1" applyAlignment="1">
      <alignment horizontal="center" vertical="center"/>
    </xf>
    <xf numFmtId="1" fontId="43" fillId="15" borderId="13" xfId="0" applyNumberFormat="1" applyFont="1" applyFill="1" applyBorder="1" applyAlignment="1">
      <alignment horizontal="center" vertical="center"/>
    </xf>
    <xf numFmtId="2" fontId="43" fillId="15" borderId="40" xfId="0" applyNumberFormat="1" applyFont="1" applyFill="1" applyBorder="1" applyAlignment="1">
      <alignment horizontal="center" vertical="center"/>
    </xf>
    <xf numFmtId="169" fontId="34" fillId="15" borderId="13" xfId="0" applyNumberFormat="1" applyFont="1" applyFill="1" applyBorder="1" applyAlignment="1">
      <alignment horizontal="center" vertical="center"/>
    </xf>
    <xf numFmtId="2" fontId="42" fillId="15" borderId="20" xfId="0" applyNumberFormat="1" applyFont="1" applyFill="1" applyBorder="1" applyAlignment="1">
      <alignment horizontal="center" vertical="center"/>
    </xf>
    <xf numFmtId="2" fontId="34" fillId="15" borderId="16" xfId="0" applyNumberFormat="1" applyFont="1" applyFill="1" applyBorder="1" applyAlignment="1">
      <alignment horizontal="center" vertical="center"/>
    </xf>
    <xf numFmtId="1" fontId="63" fillId="15" borderId="16" xfId="0" applyNumberFormat="1" applyFont="1" applyFill="1" applyBorder="1" applyAlignment="1">
      <alignment horizontal="center" vertical="center"/>
    </xf>
    <xf numFmtId="1" fontId="34" fillId="15" borderId="97" xfId="0" applyNumberFormat="1" applyFont="1" applyFill="1" applyBorder="1" applyAlignment="1">
      <alignment horizontal="center" vertical="center"/>
    </xf>
    <xf numFmtId="0" fontId="34" fillId="15" borderId="89" xfId="0" applyFont="1" applyFill="1" applyBorder="1" applyAlignment="1">
      <alignment horizontal="center" vertical="center"/>
    </xf>
    <xf numFmtId="0" fontId="34" fillId="15" borderId="13" xfId="0" applyFont="1" applyFill="1" applyBorder="1" applyAlignment="1">
      <alignment horizontal="center" vertical="center"/>
    </xf>
    <xf numFmtId="1" fontId="77" fillId="15" borderId="13" xfId="0" applyNumberFormat="1" applyFont="1" applyFill="1" applyBorder="1" applyAlignment="1">
      <alignment horizontal="center" vertical="center"/>
    </xf>
    <xf numFmtId="2" fontId="77" fillId="15" borderId="13" xfId="0" applyNumberFormat="1" applyFont="1" applyFill="1" applyBorder="1" applyAlignment="1">
      <alignment horizontal="center" vertical="center"/>
    </xf>
    <xf numFmtId="0" fontId="50" fillId="15" borderId="22" xfId="0" applyFont="1" applyFill="1" applyBorder="1" applyAlignment="1">
      <alignment horizontal="center" vertical="center"/>
    </xf>
    <xf numFmtId="2" fontId="50" fillId="15" borderId="22" xfId="0" applyNumberFormat="1" applyFont="1" applyFill="1" applyBorder="1" applyAlignment="1">
      <alignment horizontal="center" vertical="center"/>
    </xf>
    <xf numFmtId="1" fontId="50" fillId="15" borderId="20" xfId="0" applyNumberFormat="1" applyFont="1" applyFill="1" applyBorder="1" applyAlignment="1">
      <alignment horizontal="center" vertical="center"/>
    </xf>
    <xf numFmtId="1" fontId="50" fillId="15" borderId="12" xfId="0" applyNumberFormat="1" applyFont="1" applyFill="1" applyBorder="1" applyAlignment="1">
      <alignment horizontal="center" vertical="center"/>
    </xf>
    <xf numFmtId="2" fontId="50" fillId="15" borderId="12" xfId="0" applyNumberFormat="1" applyFont="1" applyFill="1" applyBorder="1" applyAlignment="1">
      <alignment horizontal="center" vertical="center"/>
    </xf>
    <xf numFmtId="169" fontId="50" fillId="15" borderId="12" xfId="0" applyNumberFormat="1" applyFont="1" applyFill="1" applyBorder="1" applyAlignment="1">
      <alignment horizontal="center" vertical="center"/>
    </xf>
    <xf numFmtId="2" fontId="50" fillId="15" borderId="20" xfId="0" applyNumberFormat="1" applyFont="1" applyFill="1" applyBorder="1" applyAlignment="1">
      <alignment horizontal="center" vertical="center"/>
    </xf>
    <xf numFmtId="1" fontId="50" fillId="15" borderId="13" xfId="0" applyNumberFormat="1" applyFont="1" applyFill="1" applyBorder="1" applyAlignment="1">
      <alignment horizontal="center" vertical="center"/>
    </xf>
    <xf numFmtId="1" fontId="50" fillId="15" borderId="18" xfId="0" applyNumberFormat="1" applyFont="1" applyFill="1" applyBorder="1" applyAlignment="1">
      <alignment horizontal="center" vertical="center"/>
    </xf>
    <xf numFmtId="0" fontId="49" fillId="15" borderId="22" xfId="0" applyFont="1" applyFill="1" applyBorder="1" applyAlignment="1">
      <alignment horizontal="center" vertical="center"/>
    </xf>
    <xf numFmtId="0" fontId="34" fillId="15" borderId="40" xfId="0" applyFont="1" applyFill="1" applyBorder="1" applyAlignment="1">
      <alignment horizontal="center" vertical="center"/>
    </xf>
    <xf numFmtId="0" fontId="34" fillId="15" borderId="18" xfId="0" applyFont="1" applyFill="1" applyBorder="1" applyAlignment="1">
      <alignment horizontal="center" vertical="center"/>
    </xf>
    <xf numFmtId="171" fontId="34" fillId="15" borderId="12" xfId="0" applyNumberFormat="1" applyFont="1" applyFill="1" applyBorder="1" applyAlignment="1">
      <alignment horizontal="center" vertical="center"/>
    </xf>
    <xf numFmtId="1" fontId="69" fillId="0" borderId="6" xfId="0" applyNumberFormat="1" applyFont="1" applyBorder="1" applyAlignment="1">
      <alignment vertical="center"/>
    </xf>
    <xf numFmtId="1" fontId="35" fillId="15" borderId="50" xfId="0" applyNumberFormat="1" applyFont="1" applyFill="1" applyBorder="1" applyAlignment="1">
      <alignment horizontal="center" vertical="center"/>
    </xf>
    <xf numFmtId="1" fontId="34" fillId="14" borderId="52" xfId="0" applyNumberFormat="1" applyFont="1" applyFill="1" applyBorder="1" applyAlignment="1">
      <alignment horizontal="center" vertical="center"/>
    </xf>
    <xf numFmtId="2" fontId="34" fillId="5" borderId="25" xfId="0" applyNumberFormat="1" applyFont="1" applyFill="1" applyBorder="1" applyAlignment="1">
      <alignment horizontal="center" vertical="center"/>
    </xf>
    <xf numFmtId="1" fontId="34" fillId="5" borderId="52" xfId="0" applyNumberFormat="1" applyFont="1" applyFill="1" applyBorder="1" applyAlignment="1">
      <alignment horizontal="center" vertical="center"/>
    </xf>
    <xf numFmtId="1" fontId="34" fillId="5" borderId="57" xfId="0" applyNumberFormat="1" applyFont="1" applyFill="1" applyBorder="1" applyAlignment="1">
      <alignment horizontal="center" vertical="center"/>
    </xf>
    <xf numFmtId="169" fontId="34" fillId="15" borderId="19" xfId="0" applyNumberFormat="1" applyFont="1" applyFill="1" applyBorder="1" applyAlignment="1">
      <alignment horizontal="center" vertical="center"/>
    </xf>
    <xf numFmtId="169" fontId="43" fillId="14" borderId="20" xfId="0" applyNumberFormat="1" applyFont="1" applyFill="1" applyBorder="1" applyAlignment="1">
      <alignment horizontal="center" vertical="center"/>
    </xf>
    <xf numFmtId="2" fontId="64" fillId="0" borderId="55" xfId="0" applyNumberFormat="1" applyFont="1" applyBorder="1" applyAlignment="1">
      <alignment vertical="center"/>
    </xf>
    <xf numFmtId="2" fontId="43" fillId="15" borderId="19" xfId="0" applyNumberFormat="1" applyFont="1" applyFill="1" applyBorder="1" applyAlignment="1">
      <alignment horizontal="center" vertical="center"/>
    </xf>
    <xf numFmtId="2" fontId="43" fillId="15" borderId="27" xfId="0" applyNumberFormat="1" applyFont="1" applyFill="1" applyBorder="1" applyAlignment="1">
      <alignment horizontal="center" vertical="center"/>
    </xf>
    <xf numFmtId="2" fontId="42" fillId="0" borderId="49" xfId="0" applyNumberFormat="1" applyFont="1" applyBorder="1" applyAlignment="1">
      <alignment horizontal="center" vertical="center"/>
    </xf>
    <xf numFmtId="0" fontId="36" fillId="0" borderId="55" xfId="0" applyFont="1" applyBorder="1" applyAlignment="1">
      <alignment vertical="center"/>
    </xf>
    <xf numFmtId="2" fontId="34" fillId="0" borderId="55" xfId="0" applyNumberFormat="1" applyFont="1" applyBorder="1" applyAlignment="1">
      <alignment vertical="center"/>
    </xf>
    <xf numFmtId="1" fontId="63" fillId="13" borderId="57" xfId="0" applyNumberFormat="1" applyFont="1" applyFill="1" applyBorder="1" applyAlignment="1">
      <alignment horizontal="center" vertical="center"/>
    </xf>
    <xf numFmtId="0" fontId="42" fillId="0" borderId="26" xfId="0" applyFont="1" applyBorder="1" applyAlignment="1">
      <alignment horizontal="center" vertical="center"/>
    </xf>
    <xf numFmtId="0" fontId="42" fillId="0" borderId="129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5" fillId="0" borderId="155" xfId="0" applyFont="1" applyBorder="1"/>
    <xf numFmtId="1" fontId="103" fillId="0" borderId="24" xfId="0" applyNumberFormat="1" applyFont="1" applyBorder="1" applyAlignment="1">
      <alignment vertical="center"/>
    </xf>
    <xf numFmtId="0" fontId="25" fillId="0" borderId="6" xfId="0" applyFont="1" applyBorder="1"/>
    <xf numFmtId="0" fontId="24" fillId="0" borderId="39" xfId="0" applyFont="1" applyBorder="1"/>
    <xf numFmtId="170" fontId="35" fillId="22" borderId="19" xfId="4" applyFont="1" applyFill="1" applyBorder="1" applyAlignment="1">
      <alignment horizontal="center" vertical="center"/>
    </xf>
    <xf numFmtId="171" fontId="35" fillId="15" borderId="19" xfId="0" applyNumberFormat="1" applyFont="1" applyFill="1" applyBorder="1" applyAlignment="1">
      <alignment horizontal="center" vertical="center"/>
    </xf>
    <xf numFmtId="2" fontId="63" fillId="15" borderId="22" xfId="0" applyNumberFormat="1" applyFont="1" applyFill="1" applyBorder="1" applyAlignment="1">
      <alignment horizontal="center" vertical="center"/>
    </xf>
    <xf numFmtId="1" fontId="63" fillId="15" borderId="12" xfId="0" applyNumberFormat="1" applyFont="1" applyFill="1" applyBorder="1" applyAlignment="1">
      <alignment horizontal="center" vertical="center"/>
    </xf>
    <xf numFmtId="169" fontId="77" fillId="15" borderId="20" xfId="0" applyNumberFormat="1" applyFont="1" applyFill="1" applyBorder="1" applyAlignment="1">
      <alignment horizontal="center" vertical="center"/>
    </xf>
    <xf numFmtId="2" fontId="67" fillId="15" borderId="22" xfId="0" applyNumberFormat="1" applyFont="1" applyFill="1" applyBorder="1" applyAlignment="1">
      <alignment horizontal="center" vertical="center"/>
    </xf>
    <xf numFmtId="0" fontId="34" fillId="5" borderId="44" xfId="0" applyFont="1" applyFill="1" applyBorder="1" applyAlignment="1">
      <alignment horizontal="center" vertical="center"/>
    </xf>
    <xf numFmtId="1" fontId="63" fillId="14" borderId="7" xfId="0" applyNumberFormat="1" applyFont="1" applyFill="1" applyBorder="1" applyAlignment="1">
      <alignment horizontal="center" vertical="center"/>
    </xf>
    <xf numFmtId="1" fontId="63" fillId="15" borderId="22" xfId="0" applyNumberFormat="1" applyFont="1" applyFill="1" applyBorder="1" applyAlignment="1">
      <alignment horizontal="center" vertical="center"/>
    </xf>
    <xf numFmtId="169" fontId="63" fillId="15" borderId="12" xfId="0" applyNumberFormat="1" applyFont="1" applyFill="1" applyBorder="1" applyAlignment="1">
      <alignment horizontal="center" vertical="center"/>
    </xf>
    <xf numFmtId="2" fontId="63" fillId="14" borderId="40" xfId="0" applyNumberFormat="1" applyFont="1" applyFill="1" applyBorder="1" applyAlignment="1">
      <alignment horizontal="center" vertical="center"/>
    </xf>
    <xf numFmtId="1" fontId="63" fillId="14" borderId="55" xfId="0" applyNumberFormat="1" applyFont="1" applyFill="1" applyBorder="1" applyAlignment="1">
      <alignment horizontal="center" vertical="center"/>
    </xf>
    <xf numFmtId="1" fontId="63" fillId="2" borderId="18" xfId="0" applyNumberFormat="1" applyFont="1" applyFill="1" applyBorder="1" applyAlignment="1">
      <alignment horizontal="center" vertical="center"/>
    </xf>
    <xf numFmtId="1" fontId="63" fillId="3" borderId="22" xfId="0" applyNumberFormat="1" applyFont="1" applyFill="1" applyBorder="1" applyAlignment="1">
      <alignment horizontal="center" vertical="center"/>
    </xf>
    <xf numFmtId="1" fontId="76" fillId="13" borderId="20" xfId="0" applyNumberFormat="1" applyFont="1" applyFill="1" applyBorder="1" applyAlignment="1">
      <alignment horizontal="center" vertical="center"/>
    </xf>
    <xf numFmtId="1" fontId="83" fillId="5" borderId="60" xfId="0" applyNumberFormat="1" applyFont="1" applyFill="1" applyBorder="1" applyAlignment="1">
      <alignment horizontal="center" vertical="center"/>
    </xf>
    <xf numFmtId="1" fontId="83" fillId="3" borderId="60" xfId="0" applyNumberFormat="1" applyFont="1" applyFill="1" applyBorder="1" applyAlignment="1">
      <alignment horizontal="center" vertical="center"/>
    </xf>
    <xf numFmtId="1" fontId="76" fillId="15" borderId="19" xfId="0" applyNumberFormat="1" applyFont="1" applyFill="1" applyBorder="1" applyAlignment="1">
      <alignment horizontal="center" vertical="center"/>
    </xf>
    <xf numFmtId="171" fontId="76" fillId="15" borderId="27" xfId="0" applyNumberFormat="1" applyFont="1" applyFill="1" applyBorder="1" applyAlignment="1">
      <alignment horizontal="center" vertical="center"/>
    </xf>
    <xf numFmtId="2" fontId="34" fillId="14" borderId="19" xfId="0" applyNumberFormat="1" applyFont="1" applyFill="1" applyBorder="1" applyAlignment="1">
      <alignment horizontal="center" vertical="center"/>
    </xf>
    <xf numFmtId="171" fontId="34" fillId="14" borderId="6" xfId="0" applyNumberFormat="1" applyFont="1" applyFill="1" applyBorder="1" applyAlignment="1">
      <alignment horizontal="center" vertical="center"/>
    </xf>
    <xf numFmtId="171" fontId="34" fillId="15" borderId="19" xfId="0" applyNumberFormat="1" applyFont="1" applyFill="1" applyBorder="1" applyAlignment="1">
      <alignment horizontal="center" vertical="center"/>
    </xf>
    <xf numFmtId="2" fontId="34" fillId="15" borderId="13" xfId="0" quotePrefix="1" applyNumberFormat="1" applyFont="1" applyFill="1" applyBorder="1" applyAlignment="1">
      <alignment horizontal="center" vertical="center"/>
    </xf>
    <xf numFmtId="171" fontId="43" fillId="15" borderId="19" xfId="0" applyNumberFormat="1" applyFont="1" applyFill="1" applyBorder="1" applyAlignment="1">
      <alignment horizontal="center" vertical="center"/>
    </xf>
    <xf numFmtId="2" fontId="42" fillId="14" borderId="51" xfId="0" applyNumberFormat="1" applyFont="1" applyFill="1" applyBorder="1" applyAlignment="1">
      <alignment horizontal="center" vertical="center"/>
    </xf>
    <xf numFmtId="1" fontId="34" fillId="14" borderId="44" xfId="0" applyNumberFormat="1" applyFont="1" applyFill="1" applyBorder="1" applyAlignment="1">
      <alignment horizontal="center" vertical="center"/>
    </xf>
    <xf numFmtId="169" fontId="50" fillId="15" borderId="60" xfId="0" applyNumberFormat="1" applyFont="1" applyFill="1" applyBorder="1" applyAlignment="1">
      <alignment horizontal="center" vertical="center"/>
    </xf>
    <xf numFmtId="169" fontId="50" fillId="15" borderId="20" xfId="0" applyNumberFormat="1" applyFont="1" applyFill="1" applyBorder="1" applyAlignment="1">
      <alignment horizontal="center" vertical="center"/>
    </xf>
    <xf numFmtId="171" fontId="50" fillId="14" borderId="60" xfId="0" applyNumberFormat="1" applyFont="1" applyFill="1" applyBorder="1" applyAlignment="1">
      <alignment horizontal="center" vertical="center"/>
    </xf>
    <xf numFmtId="171" fontId="50" fillId="15" borderId="60" xfId="0" applyNumberFormat="1" applyFont="1" applyFill="1" applyBorder="1" applyAlignment="1">
      <alignment horizontal="center" vertical="center"/>
    </xf>
    <xf numFmtId="2" fontId="63" fillId="15" borderId="40" xfId="0" applyNumberFormat="1" applyFont="1" applyFill="1" applyBorder="1" applyAlignment="1">
      <alignment horizontal="center" vertical="center"/>
    </xf>
    <xf numFmtId="2" fontId="63" fillId="14" borderId="18" xfId="0" applyNumberFormat="1" applyFont="1" applyFill="1" applyBorder="1" applyAlignment="1">
      <alignment horizontal="center" vertical="center"/>
    </xf>
    <xf numFmtId="2" fontId="63" fillId="15" borderId="18" xfId="0" applyNumberFormat="1" applyFont="1" applyFill="1" applyBorder="1" applyAlignment="1">
      <alignment horizontal="center" vertical="center"/>
    </xf>
    <xf numFmtId="0" fontId="119" fillId="15" borderId="28" xfId="0" applyFont="1" applyFill="1" applyBorder="1" applyAlignment="1">
      <alignment horizontal="center" vertical="center"/>
    </xf>
    <xf numFmtId="1" fontId="54" fillId="15" borderId="17" xfId="0" applyNumberFormat="1" applyFont="1" applyFill="1" applyBorder="1" applyAlignment="1">
      <alignment horizontal="center" vertical="center"/>
    </xf>
    <xf numFmtId="1" fontId="54" fillId="15" borderId="63" xfId="0" applyNumberFormat="1" applyFont="1" applyFill="1" applyBorder="1" applyAlignment="1">
      <alignment horizontal="center" vertical="center"/>
    </xf>
    <xf numFmtId="1" fontId="54" fillId="15" borderId="42" xfId="0" applyNumberFormat="1" applyFont="1" applyFill="1" applyBorder="1" applyAlignment="1">
      <alignment horizontal="center" vertical="center"/>
    </xf>
    <xf numFmtId="1" fontId="54" fillId="15" borderId="33" xfId="0" applyNumberFormat="1" applyFont="1" applyFill="1" applyBorder="1" applyAlignment="1">
      <alignment horizontal="center" vertical="center"/>
    </xf>
    <xf numFmtId="169" fontId="54" fillId="15" borderId="34" xfId="0" applyNumberFormat="1" applyFont="1" applyFill="1" applyBorder="1" applyAlignment="1">
      <alignment horizontal="center" vertical="center"/>
    </xf>
    <xf numFmtId="2" fontId="54" fillId="15" borderId="53" xfId="0" applyNumberFormat="1" applyFont="1" applyFill="1" applyBorder="1" applyAlignment="1">
      <alignment horizontal="center" vertical="center"/>
    </xf>
    <xf numFmtId="1" fontId="63" fillId="15" borderId="97" xfId="0" applyNumberFormat="1" applyFont="1" applyFill="1" applyBorder="1" applyAlignment="1">
      <alignment horizontal="center" vertical="center"/>
    </xf>
    <xf numFmtId="1" fontId="54" fillId="15" borderId="31" xfId="0" applyNumberFormat="1" applyFont="1" applyFill="1" applyBorder="1" applyAlignment="1">
      <alignment horizontal="center" vertical="center"/>
    </xf>
    <xf numFmtId="0" fontId="118" fillId="0" borderId="63" xfId="0" applyFont="1" applyBorder="1" applyAlignment="1">
      <alignment vertical="center"/>
    </xf>
    <xf numFmtId="0" fontId="54" fillId="0" borderId="42" xfId="0" applyFont="1" applyBorder="1" applyAlignment="1">
      <alignment horizontal="center"/>
    </xf>
    <xf numFmtId="1" fontId="111" fillId="19" borderId="34" xfId="0" applyNumberFormat="1" applyFont="1" applyFill="1" applyBorder="1" applyAlignment="1">
      <alignment horizontal="center" vertical="center"/>
    </xf>
    <xf numFmtId="1" fontId="112" fillId="19" borderId="53" xfId="0" applyNumberFormat="1" applyFont="1" applyFill="1" applyBorder="1" applyAlignment="1">
      <alignment horizontal="center" vertical="center"/>
    </xf>
    <xf numFmtId="2" fontId="111" fillId="19" borderId="53" xfId="0" applyNumberFormat="1" applyFont="1" applyFill="1" applyBorder="1" applyAlignment="1">
      <alignment horizontal="center" vertical="center"/>
    </xf>
    <xf numFmtId="0" fontId="119" fillId="19" borderId="1" xfId="0" applyFont="1" applyFill="1" applyBorder="1" applyAlignment="1">
      <alignment horizontal="center" vertical="center"/>
    </xf>
    <xf numFmtId="1" fontId="109" fillId="19" borderId="53" xfId="0" applyNumberFormat="1" applyFont="1" applyFill="1" applyBorder="1" applyAlignment="1">
      <alignment horizontal="center" vertical="center"/>
    </xf>
    <xf numFmtId="0" fontId="119" fillId="0" borderId="134" xfId="0" applyFont="1" applyBorder="1" applyAlignment="1">
      <alignment horizontal="center" vertical="center"/>
    </xf>
    <xf numFmtId="1" fontId="54" fillId="0" borderId="141" xfId="0" applyNumberFormat="1" applyFont="1" applyBorder="1" applyAlignment="1">
      <alignment horizontal="center" vertical="center"/>
    </xf>
    <xf numFmtId="2" fontId="54" fillId="0" borderId="143" xfId="0" applyNumberFormat="1" applyFont="1" applyBorder="1" applyAlignment="1">
      <alignment horizontal="center" vertical="center"/>
    </xf>
    <xf numFmtId="1" fontId="74" fillId="0" borderId="137" xfId="0" applyNumberFormat="1" applyFont="1" applyBorder="1" applyAlignment="1">
      <alignment horizontal="center" vertical="center"/>
    </xf>
    <xf numFmtId="2" fontId="74" fillId="0" borderId="140" xfId="0" applyNumberFormat="1" applyFont="1" applyBorder="1" applyAlignment="1">
      <alignment horizontal="center" vertical="center"/>
    </xf>
    <xf numFmtId="169" fontId="138" fillId="19" borderId="31" xfId="0" applyNumberFormat="1" applyFont="1" applyFill="1" applyBorder="1" applyAlignment="1">
      <alignment horizontal="center" vertical="center"/>
    </xf>
    <xf numFmtId="0" fontId="119" fillId="15" borderId="1" xfId="0" applyFont="1" applyFill="1" applyBorder="1" applyAlignment="1">
      <alignment horizontal="center" vertical="center"/>
    </xf>
    <xf numFmtId="1" fontId="109" fillId="0" borderId="21" xfId="0" applyNumberFormat="1" applyFont="1" applyBorder="1" applyAlignment="1">
      <alignment horizontal="center" vertical="center"/>
    </xf>
    <xf numFmtId="1" fontId="111" fillId="0" borderId="108" xfId="0" applyNumberFormat="1" applyFont="1" applyBorder="1" applyAlignment="1">
      <alignment horizontal="center" vertical="center"/>
    </xf>
    <xf numFmtId="2" fontId="111" fillId="0" borderId="53" xfId="0" applyNumberFormat="1" applyFont="1" applyBorder="1" applyAlignment="1">
      <alignment horizontal="center" vertical="center"/>
    </xf>
    <xf numFmtId="0" fontId="149" fillId="0" borderId="0" xfId="0" applyFont="1"/>
    <xf numFmtId="2" fontId="111" fillId="0" borderId="42" xfId="0" applyNumberFormat="1" applyFont="1" applyBorder="1" applyAlignment="1">
      <alignment horizontal="center" vertical="center"/>
    </xf>
    <xf numFmtId="2" fontId="111" fillId="19" borderId="42" xfId="0" applyNumberFormat="1" applyFont="1" applyFill="1" applyBorder="1" applyAlignment="1">
      <alignment horizontal="center" vertical="center"/>
    </xf>
    <xf numFmtId="2" fontId="111" fillId="19" borderId="17" xfId="0" applyNumberFormat="1" applyFont="1" applyFill="1" applyBorder="1" applyAlignment="1">
      <alignment horizontal="center" vertical="center"/>
    </xf>
    <xf numFmtId="0" fontId="0" fillId="18" borderId="0" xfId="0" applyFill="1"/>
    <xf numFmtId="1" fontId="63" fillId="15" borderId="44" xfId="0" applyNumberFormat="1" applyFont="1" applyFill="1" applyBorder="1" applyAlignment="1">
      <alignment horizontal="center" vertical="center"/>
    </xf>
    <xf numFmtId="1" fontId="63" fillId="15" borderId="57" xfId="0" applyNumberFormat="1" applyFont="1" applyFill="1" applyBorder="1" applyAlignment="1">
      <alignment horizontal="center" vertical="center"/>
    </xf>
    <xf numFmtId="1" fontId="63" fillId="15" borderId="35" xfId="0" applyNumberFormat="1" applyFont="1" applyFill="1" applyBorder="1" applyAlignment="1">
      <alignment horizontal="center" vertical="center"/>
    </xf>
    <xf numFmtId="0" fontId="21" fillId="0" borderId="49" xfId="0" applyFont="1" applyBorder="1" applyAlignment="1">
      <alignment vertical="center"/>
    </xf>
    <xf numFmtId="0" fontId="34" fillId="0" borderId="61" xfId="0" applyFont="1" applyBorder="1" applyAlignment="1">
      <alignment horizontal="center" vertical="center"/>
    </xf>
    <xf numFmtId="1" fontId="35" fillId="13" borderId="50" xfId="0" applyNumberFormat="1" applyFont="1" applyFill="1" applyBorder="1" applyAlignment="1">
      <alignment horizontal="center" vertical="center"/>
    </xf>
    <xf numFmtId="2" fontId="35" fillId="13" borderId="50" xfId="0" quotePrefix="1" applyNumberFormat="1" applyFont="1" applyFill="1" applyBorder="1" applyAlignment="1">
      <alignment horizontal="center" vertical="center"/>
    </xf>
    <xf numFmtId="171" fontId="35" fillId="13" borderId="50" xfId="0" quotePrefix="1" applyNumberFormat="1" applyFont="1" applyFill="1" applyBorder="1" applyAlignment="1">
      <alignment horizontal="center" vertical="center"/>
    </xf>
    <xf numFmtId="2" fontId="79" fillId="13" borderId="27" xfId="0" applyNumberFormat="1" applyFont="1" applyFill="1" applyBorder="1" applyAlignment="1">
      <alignment horizontal="center" vertical="center"/>
    </xf>
    <xf numFmtId="1" fontId="35" fillId="2" borderId="50" xfId="0" applyNumberFormat="1" applyFont="1" applyFill="1" applyBorder="1" applyAlignment="1">
      <alignment horizontal="center" vertical="center"/>
    </xf>
    <xf numFmtId="1" fontId="34" fillId="13" borderId="50" xfId="0" applyNumberFormat="1" applyFont="1" applyFill="1" applyBorder="1" applyAlignment="1">
      <alignment horizontal="center" vertical="center"/>
    </xf>
    <xf numFmtId="2" fontId="43" fillId="2" borderId="40" xfId="0" applyNumberFormat="1" applyFont="1" applyFill="1" applyBorder="1" applyAlignment="1">
      <alignment horizontal="center" vertical="center"/>
    </xf>
    <xf numFmtId="0" fontId="65" fillId="0" borderId="27" xfId="0" applyFont="1" applyBorder="1" applyAlignment="1">
      <alignment horizontal="center" vertical="center"/>
    </xf>
    <xf numFmtId="0" fontId="50" fillId="13" borderId="50" xfId="0" applyFont="1" applyFill="1" applyBorder="1" applyAlignment="1">
      <alignment horizontal="center" vertical="center"/>
    </xf>
    <xf numFmtId="2" fontId="35" fillId="13" borderId="19" xfId="0" applyNumberFormat="1" applyFont="1" applyFill="1" applyBorder="1" applyAlignment="1">
      <alignment horizontal="center" vertical="center"/>
    </xf>
    <xf numFmtId="169" fontId="34" fillId="13" borderId="19" xfId="0" applyNumberFormat="1" applyFont="1" applyFill="1" applyBorder="1" applyAlignment="1">
      <alignment horizontal="center" vertical="center"/>
    </xf>
    <xf numFmtId="2" fontId="63" fillId="0" borderId="4" xfId="0" applyNumberFormat="1" applyFont="1" applyBorder="1" applyAlignment="1">
      <alignment horizontal="center" vertical="center"/>
    </xf>
    <xf numFmtId="1" fontId="36" fillId="0" borderId="24" xfId="0" applyNumberFormat="1" applyFont="1" applyBorder="1" applyAlignment="1">
      <alignment horizontal="center" vertical="center"/>
    </xf>
    <xf numFmtId="1" fontId="34" fillId="13" borderId="27" xfId="0" applyNumberFormat="1" applyFont="1" applyFill="1" applyBorder="1" applyAlignment="1">
      <alignment horizontal="center" vertical="center"/>
    </xf>
    <xf numFmtId="0" fontId="34" fillId="13" borderId="61" xfId="0" applyFont="1" applyFill="1" applyBorder="1" applyAlignment="1">
      <alignment vertical="center"/>
    </xf>
    <xf numFmtId="2" fontId="34" fillId="13" borderId="21" xfId="0" applyNumberFormat="1" applyFont="1" applyFill="1" applyBorder="1" applyAlignment="1">
      <alignment horizontal="center" vertical="center"/>
    </xf>
    <xf numFmtId="1" fontId="35" fillId="13" borderId="21" xfId="0" applyNumberFormat="1" applyFont="1" applyFill="1" applyBorder="1" applyAlignment="1">
      <alignment horizontal="center" vertical="center"/>
    </xf>
    <xf numFmtId="1" fontId="43" fillId="13" borderId="19" xfId="0" applyNumberFormat="1" applyFont="1" applyFill="1" applyBorder="1" applyAlignment="1">
      <alignment horizontal="center" vertical="center"/>
    </xf>
    <xf numFmtId="1" fontId="43" fillId="13" borderId="55" xfId="0" applyNumberFormat="1" applyFont="1" applyFill="1" applyBorder="1" applyAlignment="1">
      <alignment horizontal="center" vertical="center"/>
    </xf>
    <xf numFmtId="2" fontId="43" fillId="13" borderId="0" xfId="0" applyNumberFormat="1" applyFont="1" applyFill="1" applyAlignment="1">
      <alignment horizontal="center" vertical="center"/>
    </xf>
    <xf numFmtId="171" fontId="43" fillId="13" borderId="43" xfId="0" applyNumberFormat="1" applyFont="1" applyFill="1" applyBorder="1" applyAlignment="1">
      <alignment horizontal="center" vertical="center"/>
    </xf>
    <xf numFmtId="2" fontId="43" fillId="13" borderId="16" xfId="0" applyNumberFormat="1" applyFont="1" applyFill="1" applyBorder="1" applyAlignment="1">
      <alignment horizontal="center" vertical="center"/>
    </xf>
    <xf numFmtId="1" fontId="43" fillId="13" borderId="43" xfId="0" applyNumberFormat="1" applyFont="1" applyFill="1" applyBorder="1" applyAlignment="1">
      <alignment horizontal="center" vertical="center"/>
    </xf>
    <xf numFmtId="1" fontId="34" fillId="13" borderId="97" xfId="0" applyNumberFormat="1" applyFont="1" applyFill="1" applyBorder="1" applyAlignment="1">
      <alignment horizontal="center" vertical="center"/>
    </xf>
    <xf numFmtId="169" fontId="35" fillId="15" borderId="22" xfId="0" applyNumberFormat="1" applyFont="1" applyFill="1" applyBorder="1" applyAlignment="1">
      <alignment horizontal="center" vertical="center"/>
    </xf>
    <xf numFmtId="0" fontId="42" fillId="0" borderId="87" xfId="0" applyFont="1" applyBorder="1" applyAlignment="1">
      <alignment horizontal="center" vertical="center"/>
    </xf>
    <xf numFmtId="0" fontId="42" fillId="0" borderId="117" xfId="0" applyFont="1" applyBorder="1" applyAlignment="1">
      <alignment horizontal="center" vertical="center"/>
    </xf>
    <xf numFmtId="0" fontId="34" fillId="13" borderId="89" xfId="0" applyFont="1" applyFill="1" applyBorder="1" applyAlignment="1">
      <alignment horizontal="center" vertical="center"/>
    </xf>
    <xf numFmtId="1" fontId="24" fillId="0" borderId="6" xfId="0" applyNumberFormat="1" applyFont="1" applyBorder="1"/>
    <xf numFmtId="1" fontId="67" fillId="3" borderId="18" xfId="0" applyNumberFormat="1" applyFont="1" applyFill="1" applyBorder="1" applyAlignment="1">
      <alignment horizontal="center" vertical="center"/>
    </xf>
    <xf numFmtId="1" fontId="76" fillId="2" borderId="40" xfId="0" applyNumberFormat="1" applyFont="1" applyFill="1" applyBorder="1" applyAlignment="1">
      <alignment horizontal="center" vertical="center"/>
    </xf>
    <xf numFmtId="2" fontId="97" fillId="0" borderId="6" xfId="0" applyNumberFormat="1" applyFont="1" applyBorder="1" applyAlignment="1">
      <alignment vertical="center"/>
    </xf>
    <xf numFmtId="171" fontId="83" fillId="0" borderId="6" xfId="0" applyNumberFormat="1" applyFont="1" applyBorder="1" applyAlignment="1">
      <alignment horizontal="center" vertical="center"/>
    </xf>
    <xf numFmtId="171" fontId="34" fillId="13" borderId="19" xfId="0" applyNumberFormat="1" applyFont="1" applyFill="1" applyBorder="1" applyAlignment="1">
      <alignment horizontal="center" vertical="center"/>
    </xf>
    <xf numFmtId="171" fontId="43" fillId="13" borderId="12" xfId="0" applyNumberFormat="1" applyFont="1" applyFill="1" applyBorder="1" applyAlignment="1">
      <alignment horizontal="center" vertical="center"/>
    </xf>
    <xf numFmtId="1" fontId="43" fillId="13" borderId="22" xfId="0" applyNumberFormat="1" applyFont="1" applyFill="1" applyBorder="1" applyAlignment="1">
      <alignment horizontal="center" vertical="center"/>
    </xf>
    <xf numFmtId="1" fontId="63" fillId="13" borderId="20" xfId="0" applyNumberFormat="1" applyFont="1" applyFill="1" applyBorder="1" applyAlignment="1">
      <alignment horizontal="center" vertical="center"/>
    </xf>
    <xf numFmtId="1" fontId="63" fillId="13" borderId="97" xfId="0" applyNumberFormat="1" applyFont="1" applyFill="1" applyBorder="1" applyAlignment="1">
      <alignment horizontal="center" vertical="center"/>
    </xf>
    <xf numFmtId="0" fontId="53" fillId="0" borderId="0" xfId="0" applyFont="1"/>
    <xf numFmtId="0" fontId="119" fillId="19" borderId="4" xfId="0" applyFont="1" applyFill="1" applyBorder="1" applyAlignment="1">
      <alignment horizontal="center" vertical="center"/>
    </xf>
    <xf numFmtId="0" fontId="119" fillId="21" borderId="4" xfId="0" applyFont="1" applyFill="1" applyBorder="1" applyAlignment="1">
      <alignment horizontal="center" vertical="center"/>
    </xf>
    <xf numFmtId="1" fontId="111" fillId="0" borderId="9" xfId="0" applyNumberFormat="1" applyFont="1" applyBorder="1" applyAlignment="1">
      <alignment horizontal="center" vertical="center"/>
    </xf>
    <xf numFmtId="0" fontId="117" fillId="0" borderId="35" xfId="0" applyFont="1" applyBorder="1" applyAlignment="1">
      <alignment vertical="center"/>
    </xf>
    <xf numFmtId="0" fontId="147" fillId="0" borderId="0" xfId="0" applyFont="1" applyAlignment="1">
      <alignment horizontal="center" vertical="center"/>
    </xf>
    <xf numFmtId="1" fontId="125" fillId="0" borderId="4" xfId="0" applyNumberFormat="1" applyFont="1" applyBorder="1" applyAlignment="1">
      <alignment horizontal="center" vertical="center"/>
    </xf>
    <xf numFmtId="1" fontId="125" fillId="21" borderId="4" xfId="0" applyNumberFormat="1" applyFont="1" applyFill="1" applyBorder="1" applyAlignment="1">
      <alignment horizontal="center" vertical="center"/>
    </xf>
    <xf numFmtId="1" fontId="125" fillId="19" borderId="4" xfId="0" applyNumberFormat="1" applyFont="1" applyFill="1" applyBorder="1" applyAlignment="1">
      <alignment horizontal="center" vertical="center"/>
    </xf>
    <xf numFmtId="0" fontId="118" fillId="0" borderId="147" xfId="0" applyFont="1" applyBorder="1" applyAlignment="1">
      <alignment vertical="center"/>
    </xf>
    <xf numFmtId="1" fontId="35" fillId="15" borderId="18" xfId="0" applyNumberFormat="1" applyFont="1" applyFill="1" applyBorder="1" applyAlignment="1">
      <alignment horizontal="center" vertical="center"/>
    </xf>
    <xf numFmtId="41" fontId="35" fillId="0" borderId="29" xfId="0" quotePrefix="1" applyNumberFormat="1" applyFont="1" applyBorder="1" applyAlignment="1">
      <alignment horizontal="left" vertical="center"/>
    </xf>
    <xf numFmtId="0" fontId="24" fillId="0" borderId="0" xfId="0" applyFont="1" applyAlignment="1">
      <alignment vertical="center"/>
    </xf>
    <xf numFmtId="0" fontId="89" fillId="0" borderId="55" xfId="0" applyFont="1" applyBorder="1" applyAlignment="1">
      <alignment vertical="center"/>
    </xf>
    <xf numFmtId="2" fontId="42" fillId="13" borderId="60" xfId="0" applyNumberFormat="1" applyFont="1" applyFill="1" applyBorder="1" applyAlignment="1">
      <alignment horizontal="center" vertical="center"/>
    </xf>
    <xf numFmtId="1" fontId="63" fillId="2" borderId="105" xfId="0" applyNumberFormat="1" applyFont="1" applyFill="1" applyBorder="1" applyAlignment="1">
      <alignment horizontal="center" vertical="center"/>
    </xf>
    <xf numFmtId="1" fontId="36" fillId="0" borderId="117" xfId="0" applyNumberFormat="1" applyFont="1" applyBorder="1" applyAlignment="1">
      <alignment horizontal="center" vertical="center"/>
    </xf>
    <xf numFmtId="0" fontId="38" fillId="0" borderId="74" xfId="0" applyFont="1" applyBorder="1" applyAlignment="1">
      <alignment horizontal="left" vertical="center" wrapText="1"/>
    </xf>
    <xf numFmtId="0" fontId="38" fillId="0" borderId="35" xfId="0" applyFont="1" applyBorder="1" applyAlignment="1">
      <alignment horizontal="left" vertical="center" wrapText="1"/>
    </xf>
    <xf numFmtId="0" fontId="77" fillId="15" borderId="13" xfId="0" applyFont="1" applyFill="1" applyBorder="1" applyAlignment="1">
      <alignment horizontal="center" vertical="center"/>
    </xf>
    <xf numFmtId="1" fontId="54" fillId="21" borderId="34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0" fontId="156" fillId="0" borderId="0" xfId="0" applyFont="1" applyAlignment="1">
      <alignment horizontal="center" vertical="center"/>
    </xf>
    <xf numFmtId="0" fontId="119" fillId="21" borderId="1" xfId="0" applyFont="1" applyFill="1" applyBorder="1" applyAlignment="1">
      <alignment horizontal="center" vertical="center"/>
    </xf>
    <xf numFmtId="2" fontId="111" fillId="21" borderId="53" xfId="0" applyNumberFormat="1" applyFont="1" applyFill="1" applyBorder="1" applyAlignment="1">
      <alignment horizontal="center" vertical="center"/>
    </xf>
    <xf numFmtId="2" fontId="109" fillId="21" borderId="11" xfId="0" applyNumberFormat="1" applyFont="1" applyFill="1" applyBorder="1" applyAlignment="1">
      <alignment horizontal="center" vertical="center"/>
    </xf>
    <xf numFmtId="2" fontId="111" fillId="0" borderId="37" xfId="0" applyNumberFormat="1" applyFont="1" applyBorder="1" applyAlignment="1">
      <alignment horizontal="center" vertical="center"/>
    </xf>
    <xf numFmtId="2" fontId="114" fillId="21" borderId="33" xfId="0" applyNumberFormat="1" applyFont="1" applyFill="1" applyBorder="1" applyAlignment="1">
      <alignment horizontal="center" vertical="center"/>
    </xf>
    <xf numFmtId="0" fontId="74" fillId="0" borderId="61" xfId="0" applyFont="1" applyBorder="1" applyAlignment="1">
      <alignment horizontal="center" vertical="center"/>
    </xf>
    <xf numFmtId="169" fontId="99" fillId="13" borderId="50" xfId="0" applyNumberFormat="1" applyFont="1" applyFill="1" applyBorder="1" applyAlignment="1">
      <alignment horizontal="center" vertical="center"/>
    </xf>
    <xf numFmtId="169" fontId="99" fillId="13" borderId="58" xfId="0" applyNumberFormat="1" applyFont="1" applyFill="1" applyBorder="1" applyAlignment="1">
      <alignment horizontal="center" vertical="center"/>
    </xf>
    <xf numFmtId="169" fontId="100" fillId="13" borderId="21" xfId="0" applyNumberFormat="1" applyFont="1" applyFill="1" applyBorder="1" applyAlignment="1">
      <alignment horizontal="center" vertical="center"/>
    </xf>
    <xf numFmtId="0" fontId="99" fillId="13" borderId="50" xfId="0" applyFont="1" applyFill="1" applyBorder="1" applyAlignment="1">
      <alignment horizontal="center" vertical="center"/>
    </xf>
    <xf numFmtId="1" fontId="89" fillId="2" borderId="50" xfId="0" applyNumberFormat="1" applyFont="1" applyFill="1" applyBorder="1" applyAlignment="1">
      <alignment horizontal="center" vertical="center"/>
    </xf>
    <xf numFmtId="0" fontId="101" fillId="0" borderId="6" xfId="0" applyFont="1" applyBorder="1"/>
    <xf numFmtId="0" fontId="85" fillId="3" borderId="28" xfId="0" applyFont="1" applyFill="1" applyBorder="1" applyAlignment="1">
      <alignment horizontal="center" vertical="center"/>
    </xf>
    <xf numFmtId="0" fontId="76" fillId="2" borderId="28" xfId="0" applyFont="1" applyFill="1" applyBorder="1" applyAlignment="1">
      <alignment horizontal="center" vertical="center"/>
    </xf>
    <xf numFmtId="1" fontId="76" fillId="0" borderId="28" xfId="0" applyNumberFormat="1" applyFont="1" applyBorder="1" applyAlignment="1">
      <alignment horizontal="center" vertical="center"/>
    </xf>
    <xf numFmtId="1" fontId="76" fillId="15" borderId="16" xfId="0" applyNumberFormat="1" applyFont="1" applyFill="1" applyBorder="1" applyAlignment="1">
      <alignment horizontal="center" vertical="center"/>
    </xf>
    <xf numFmtId="1" fontId="35" fillId="2" borderId="58" xfId="0" applyNumberFormat="1" applyFont="1" applyFill="1" applyBorder="1" applyAlignment="1">
      <alignment horizontal="center" vertical="center"/>
    </xf>
    <xf numFmtId="2" fontId="34" fillId="13" borderId="19" xfId="0" quotePrefix="1" applyNumberFormat="1" applyFont="1" applyFill="1" applyBorder="1" applyAlignment="1">
      <alignment horizontal="center" vertical="center"/>
    </xf>
    <xf numFmtId="0" fontId="69" fillId="0" borderId="6" xfId="0" applyFont="1" applyBorder="1" applyAlignment="1">
      <alignment vertical="center"/>
    </xf>
    <xf numFmtId="0" fontId="158" fillId="0" borderId="24" xfId="0" applyFont="1" applyBorder="1" applyAlignment="1">
      <alignment horizontal="center" vertical="center"/>
    </xf>
    <xf numFmtId="0" fontId="159" fillId="0" borderId="24" xfId="0" applyFont="1" applyBorder="1" applyAlignment="1">
      <alignment horizontal="center" vertical="center"/>
    </xf>
    <xf numFmtId="169" fontId="34" fillId="14" borderId="47" xfId="0" applyNumberFormat="1" applyFont="1" applyFill="1" applyBorder="1" applyAlignment="1">
      <alignment horizontal="center" vertical="center"/>
    </xf>
    <xf numFmtId="1" fontId="43" fillId="14" borderId="47" xfId="0" applyNumberFormat="1" applyFont="1" applyFill="1" applyBorder="1" applyAlignment="1">
      <alignment horizontal="center" vertical="center"/>
    </xf>
    <xf numFmtId="2" fontId="43" fillId="14" borderId="47" xfId="0" applyNumberFormat="1" applyFont="1" applyFill="1" applyBorder="1" applyAlignment="1">
      <alignment horizontal="center" vertical="center"/>
    </xf>
    <xf numFmtId="2" fontId="43" fillId="14" borderId="51" xfId="0" applyNumberFormat="1" applyFont="1" applyFill="1" applyBorder="1" applyAlignment="1">
      <alignment horizontal="center" vertical="center"/>
    </xf>
    <xf numFmtId="0" fontId="80" fillId="0" borderId="24" xfId="0" applyFont="1" applyBorder="1" applyAlignment="1">
      <alignment horizontal="center" vertical="center"/>
    </xf>
    <xf numFmtId="1" fontId="74" fillId="0" borderId="7" xfId="0" applyNumberFormat="1" applyFont="1" applyBorder="1" applyAlignment="1">
      <alignment horizontal="center" vertical="center"/>
    </xf>
    <xf numFmtId="1" fontId="74" fillId="0" borderId="39" xfId="0" applyNumberFormat="1" applyFont="1" applyBorder="1" applyAlignment="1">
      <alignment horizontal="center" vertical="center"/>
    </xf>
    <xf numFmtId="1" fontId="43" fillId="14" borderId="20" xfId="0" applyNumberFormat="1" applyFont="1" applyFill="1" applyBorder="1" applyAlignment="1">
      <alignment horizontal="center" vertical="center"/>
    </xf>
    <xf numFmtId="0" fontId="162" fillId="0" borderId="24" xfId="0" applyFont="1" applyBorder="1" applyAlignment="1">
      <alignment horizontal="center" vertical="center"/>
    </xf>
    <xf numFmtId="0" fontId="35" fillId="13" borderId="19" xfId="0" applyFont="1" applyFill="1" applyBorder="1" applyAlignment="1">
      <alignment horizontal="center" vertical="center"/>
    </xf>
    <xf numFmtId="0" fontId="36" fillId="0" borderId="54" xfId="0" applyFont="1" applyBorder="1" applyAlignment="1">
      <alignment vertical="center"/>
    </xf>
    <xf numFmtId="1" fontId="43" fillId="2" borderId="20" xfId="0" applyNumberFormat="1" applyFont="1" applyFill="1" applyBorder="1" applyAlignment="1">
      <alignment horizontal="center" vertical="center"/>
    </xf>
    <xf numFmtId="169" fontId="57" fillId="0" borderId="21" xfId="0" applyNumberFormat="1" applyFont="1" applyBorder="1"/>
    <xf numFmtId="0" fontId="36" fillId="0" borderId="28" xfId="0" applyFont="1" applyBorder="1" applyAlignment="1">
      <alignment horizontal="right" vertical="center"/>
    </xf>
    <xf numFmtId="0" fontId="36" fillId="0" borderId="54" xfId="0" applyFont="1" applyBorder="1" applyAlignment="1">
      <alignment horizontal="right" vertical="center"/>
    </xf>
    <xf numFmtId="0" fontId="56" fillId="0" borderId="1" xfId="0" applyFont="1" applyBorder="1" applyAlignment="1">
      <alignment vertical="center"/>
    </xf>
    <xf numFmtId="0" fontId="34" fillId="0" borderId="35" xfId="0" applyFont="1" applyBorder="1"/>
    <xf numFmtId="0" fontId="35" fillId="0" borderId="52" xfId="0" applyFont="1" applyBorder="1" applyAlignment="1">
      <alignment vertical="center"/>
    </xf>
    <xf numFmtId="0" fontId="56" fillId="0" borderId="158" xfId="0" applyFont="1" applyBorder="1" applyAlignment="1">
      <alignment vertical="center"/>
    </xf>
    <xf numFmtId="0" fontId="63" fillId="0" borderId="9" xfId="0" applyFont="1" applyBorder="1" applyAlignment="1">
      <alignment vertical="center"/>
    </xf>
    <xf numFmtId="0" fontId="63" fillId="0" borderId="47" xfId="0" applyFont="1" applyBorder="1" applyAlignment="1">
      <alignment vertical="center"/>
    </xf>
    <xf numFmtId="0" fontId="43" fillId="0" borderId="15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1" fontId="79" fillId="14" borderId="18" xfId="0" applyNumberFormat="1" applyFont="1" applyFill="1" applyBorder="1" applyAlignment="1">
      <alignment horizontal="center" vertical="center"/>
    </xf>
    <xf numFmtId="1" fontId="79" fillId="14" borderId="22" xfId="0" applyNumberFormat="1" applyFont="1" applyFill="1" applyBorder="1" applyAlignment="1">
      <alignment horizontal="center" vertical="center"/>
    </xf>
    <xf numFmtId="1" fontId="79" fillId="13" borderId="18" xfId="0" applyNumberFormat="1" applyFont="1" applyFill="1" applyBorder="1" applyAlignment="1">
      <alignment horizontal="center" vertical="center"/>
    </xf>
    <xf numFmtId="1" fontId="79" fillId="13" borderId="16" xfId="0" applyNumberFormat="1" applyFont="1" applyFill="1" applyBorder="1" applyAlignment="1">
      <alignment horizontal="center" vertical="center"/>
    </xf>
    <xf numFmtId="1" fontId="79" fillId="13" borderId="13" xfId="0" applyNumberFormat="1" applyFont="1" applyFill="1" applyBorder="1" applyAlignment="1">
      <alignment horizontal="center" vertical="center"/>
    </xf>
    <xf numFmtId="1" fontId="79" fillId="5" borderId="22" xfId="0" applyNumberFormat="1" applyFont="1" applyFill="1" applyBorder="1" applyAlignment="1">
      <alignment horizontal="center" vertical="center"/>
    </xf>
    <xf numFmtId="171" fontId="76" fillId="14" borderId="49" xfId="0" applyNumberFormat="1" applyFont="1" applyFill="1" applyBorder="1" applyAlignment="1">
      <alignment horizontal="center" vertical="center"/>
    </xf>
    <xf numFmtId="171" fontId="76" fillId="14" borderId="12" xfId="0" applyNumberFormat="1" applyFont="1" applyFill="1" applyBorder="1" applyAlignment="1">
      <alignment horizontal="center" vertical="center"/>
    </xf>
    <xf numFmtId="1" fontId="83" fillId="2" borderId="19" xfId="0" applyNumberFormat="1" applyFont="1" applyFill="1" applyBorder="1" applyAlignment="1">
      <alignment horizontal="center" vertical="center"/>
    </xf>
    <xf numFmtId="1" fontId="83" fillId="5" borderId="20" xfId="0" applyNumberFormat="1" applyFont="1" applyFill="1" applyBorder="1" applyAlignment="1">
      <alignment horizontal="center" vertical="center"/>
    </xf>
    <xf numFmtId="171" fontId="35" fillId="5" borderId="12" xfId="0" applyNumberFormat="1" applyFont="1" applyFill="1" applyBorder="1" applyAlignment="1">
      <alignment horizontal="center" vertical="center"/>
    </xf>
    <xf numFmtId="171" fontId="35" fillId="2" borderId="19" xfId="0" applyNumberFormat="1" applyFont="1" applyFill="1" applyBorder="1" applyAlignment="1">
      <alignment horizontal="center" vertical="center"/>
    </xf>
    <xf numFmtId="171" fontId="34" fillId="14" borderId="47" xfId="0" applyNumberFormat="1" applyFont="1" applyFill="1" applyBorder="1" applyAlignment="1">
      <alignment horizontal="center" vertical="center"/>
    </xf>
    <xf numFmtId="1" fontId="43" fillId="14" borderId="22" xfId="0" applyNumberFormat="1" applyFont="1" applyFill="1" applyBorder="1" applyAlignment="1">
      <alignment horizontal="center" vertical="center"/>
    </xf>
    <xf numFmtId="1" fontId="77" fillId="5" borderId="13" xfId="0" applyNumberFormat="1" applyFont="1" applyFill="1" applyBorder="1" applyAlignment="1">
      <alignment horizontal="center" vertical="center"/>
    </xf>
    <xf numFmtId="0" fontId="118" fillId="0" borderId="62" xfId="0" applyFont="1" applyBorder="1" applyAlignment="1">
      <alignment horizontal="right" vertical="center"/>
    </xf>
    <xf numFmtId="1" fontId="54" fillId="19" borderId="34" xfId="0" applyNumberFormat="1" applyFont="1" applyFill="1" applyBorder="1" applyAlignment="1">
      <alignment horizontal="center" vertical="center"/>
    </xf>
    <xf numFmtId="0" fontId="125" fillId="0" borderId="31" xfId="0" applyFont="1" applyBorder="1" applyAlignment="1">
      <alignment vertical="center"/>
    </xf>
    <xf numFmtId="1" fontId="125" fillId="0" borderId="31" xfId="0" applyNumberFormat="1" applyFont="1" applyBorder="1" applyAlignment="1">
      <alignment horizontal="center" vertical="center"/>
    </xf>
    <xf numFmtId="1" fontId="125" fillId="21" borderId="34" xfId="0" applyNumberFormat="1" applyFont="1" applyFill="1" applyBorder="1" applyAlignment="1">
      <alignment horizontal="center" vertical="center"/>
    </xf>
    <xf numFmtId="1" fontId="125" fillId="19" borderId="34" xfId="0" applyNumberFormat="1" applyFont="1" applyFill="1" applyBorder="1" applyAlignment="1">
      <alignment horizontal="center" vertical="center"/>
    </xf>
    <xf numFmtId="169" fontId="125" fillId="19" borderId="17" xfId="0" applyNumberFormat="1" applyFont="1" applyFill="1" applyBorder="1" applyAlignment="1">
      <alignment horizontal="center" vertical="center"/>
    </xf>
    <xf numFmtId="1" fontId="125" fillId="19" borderId="31" xfId="0" applyNumberFormat="1" applyFont="1" applyFill="1" applyBorder="1" applyAlignment="1">
      <alignment horizontal="center" vertical="center"/>
    </xf>
    <xf numFmtId="1" fontId="125" fillId="21" borderId="31" xfId="0" applyNumberFormat="1" applyFont="1" applyFill="1" applyBorder="1" applyAlignment="1">
      <alignment horizontal="center" vertical="center"/>
    </xf>
    <xf numFmtId="0" fontId="163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68" fillId="0" borderId="63" xfId="0" applyFont="1" applyBorder="1" applyAlignment="1">
      <alignment vertical="center"/>
    </xf>
    <xf numFmtId="0" fontId="68" fillId="0" borderId="41" xfId="0" applyFont="1" applyBorder="1" applyAlignment="1">
      <alignment horizontal="center" vertical="center"/>
    </xf>
    <xf numFmtId="0" fontId="68" fillId="0" borderId="62" xfId="0" applyFont="1" applyBorder="1" applyAlignment="1">
      <alignment vertical="center"/>
    </xf>
    <xf numFmtId="0" fontId="68" fillId="0" borderId="46" xfId="0" applyFont="1" applyBorder="1" applyAlignment="1">
      <alignment horizontal="center" vertical="center"/>
    </xf>
    <xf numFmtId="0" fontId="68" fillId="0" borderId="10" xfId="0" applyFont="1" applyBorder="1" applyAlignment="1">
      <alignment vertical="center"/>
    </xf>
    <xf numFmtId="0" fontId="112" fillId="21" borderId="53" xfId="0" applyFont="1" applyFill="1" applyBorder="1" applyAlignment="1">
      <alignment horizontal="center" vertical="center"/>
    </xf>
    <xf numFmtId="1" fontId="109" fillId="21" borderId="53" xfId="0" applyNumberFormat="1" applyFont="1" applyFill="1" applyBorder="1" applyAlignment="1">
      <alignment horizontal="center" vertical="center"/>
    </xf>
    <xf numFmtId="1" fontId="112" fillId="21" borderId="53" xfId="0" applyNumberFormat="1" applyFont="1" applyFill="1" applyBorder="1" applyAlignment="1">
      <alignment horizontal="center" vertical="center"/>
    </xf>
    <xf numFmtId="1" fontId="111" fillId="0" borderId="66" xfId="0" applyNumberFormat="1" applyFont="1" applyBorder="1" applyAlignment="1">
      <alignment horizontal="center" vertical="center"/>
    </xf>
    <xf numFmtId="2" fontId="109" fillId="19" borderId="11" xfId="0" applyNumberFormat="1" applyFont="1" applyFill="1" applyBorder="1" applyAlignment="1">
      <alignment horizontal="center" vertical="center"/>
    </xf>
    <xf numFmtId="1" fontId="63" fillId="14" borderId="22" xfId="0" applyNumberFormat="1" applyFont="1" applyFill="1" applyBorder="1" applyAlignment="1">
      <alignment horizontal="center" vertical="center"/>
    </xf>
    <xf numFmtId="1" fontId="63" fillId="13" borderId="40" xfId="0" applyNumberFormat="1" applyFont="1" applyFill="1" applyBorder="1" applyAlignment="1">
      <alignment horizontal="center" vertical="center"/>
    </xf>
    <xf numFmtId="1" fontId="63" fillId="14" borderId="40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2" fontId="79" fillId="0" borderId="23" xfId="0" quotePrefix="1" applyNumberFormat="1" applyFont="1" applyBorder="1" applyAlignment="1">
      <alignment horizontal="center" vertical="center"/>
    </xf>
    <xf numFmtId="2" fontId="79" fillId="13" borderId="20" xfId="0" quotePrefix="1" applyNumberFormat="1" applyFont="1" applyFill="1" applyBorder="1" applyAlignment="1">
      <alignment horizontal="center" vertical="center"/>
    </xf>
    <xf numFmtId="2" fontId="79" fillId="14" borderId="20" xfId="0" quotePrefix="1" applyNumberFormat="1" applyFont="1" applyFill="1" applyBorder="1" applyAlignment="1">
      <alignment horizontal="center" vertical="center"/>
    </xf>
    <xf numFmtId="2" fontId="79" fillId="15" borderId="27" xfId="0" quotePrefix="1" applyNumberFormat="1" applyFont="1" applyFill="1" applyBorder="1" applyAlignment="1">
      <alignment horizontal="center" vertical="center"/>
    </xf>
    <xf numFmtId="0" fontId="35" fillId="0" borderId="51" xfId="0" applyFont="1" applyBorder="1" applyAlignment="1">
      <alignment horizontal="right" vertical="center"/>
    </xf>
    <xf numFmtId="2" fontId="35" fillId="0" borderId="23" xfId="0" quotePrefix="1" applyNumberFormat="1" applyFont="1" applyBorder="1" applyAlignment="1">
      <alignment horizontal="center" vertical="center"/>
    </xf>
    <xf numFmtId="2" fontId="35" fillId="13" borderId="20" xfId="0" quotePrefix="1" applyNumberFormat="1" applyFont="1" applyFill="1" applyBorder="1" applyAlignment="1">
      <alignment horizontal="center" vertical="center"/>
    </xf>
    <xf numFmtId="2" fontId="35" fillId="14" borderId="20" xfId="0" quotePrefix="1" applyNumberFormat="1" applyFont="1" applyFill="1" applyBorder="1" applyAlignment="1">
      <alignment horizontal="center" vertical="center"/>
    </xf>
    <xf numFmtId="2" fontId="35" fillId="15" borderId="27" xfId="0" quotePrefix="1" applyNumberFormat="1" applyFont="1" applyFill="1" applyBorder="1" applyAlignment="1">
      <alignment horizontal="center" vertical="center"/>
    </xf>
    <xf numFmtId="2" fontId="35" fillId="13" borderId="27" xfId="0" quotePrefix="1" applyNumberFormat="1" applyFont="1" applyFill="1" applyBorder="1" applyAlignment="1">
      <alignment horizontal="center" vertical="center"/>
    </xf>
    <xf numFmtId="171" fontId="35" fillId="14" borderId="20" xfId="0" quotePrefix="1" applyNumberFormat="1" applyFont="1" applyFill="1" applyBorder="1" applyAlignment="1">
      <alignment horizontal="center" vertical="center"/>
    </xf>
    <xf numFmtId="171" fontId="79" fillId="13" borderId="20" xfId="0" quotePrefix="1" applyNumberFormat="1" applyFont="1" applyFill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2" fontId="89" fillId="14" borderId="22" xfId="0" applyNumberFormat="1" applyFont="1" applyFill="1" applyBorder="1" applyAlignment="1">
      <alignment horizontal="center" vertical="center"/>
    </xf>
    <xf numFmtId="2" fontId="111" fillId="0" borderId="48" xfId="0" applyNumberFormat="1" applyFont="1" applyBorder="1" applyAlignment="1">
      <alignment horizontal="center" vertical="center"/>
    </xf>
    <xf numFmtId="2" fontId="109" fillId="0" borderId="67" xfId="0" applyNumberFormat="1" applyFont="1" applyBorder="1" applyAlignment="1">
      <alignment horizontal="center" vertical="center"/>
    </xf>
    <xf numFmtId="0" fontId="42" fillId="0" borderId="40" xfId="0" applyFont="1" applyBorder="1" applyAlignment="1">
      <alignment vertical="top"/>
    </xf>
    <xf numFmtId="0" fontId="42" fillId="0" borderId="16" xfId="0" applyFont="1" applyBorder="1" applyAlignment="1">
      <alignment vertical="top"/>
    </xf>
    <xf numFmtId="0" fontId="42" fillId="0" borderId="12" xfId="0" applyFont="1" applyBorder="1" applyAlignment="1">
      <alignment horizontal="right" vertical="top"/>
    </xf>
    <xf numFmtId="0" fontId="42" fillId="0" borderId="18" xfId="0" applyFont="1" applyBorder="1" applyAlignment="1">
      <alignment horizontal="right" vertical="top"/>
    </xf>
    <xf numFmtId="0" fontId="42" fillId="0" borderId="12" xfId="0" applyFont="1" applyBorder="1" applyAlignment="1">
      <alignment vertical="top"/>
    </xf>
    <xf numFmtId="0" fontId="87" fillId="0" borderId="26" xfId="0" applyFont="1" applyBorder="1"/>
    <xf numFmtId="0" fontId="63" fillId="0" borderId="12" xfId="0" applyFont="1" applyBorder="1" applyAlignment="1">
      <alignment horizontal="center" vertical="center"/>
    </xf>
    <xf numFmtId="1" fontId="76" fillId="2" borderId="54" xfId="0" applyNumberFormat="1" applyFont="1" applyFill="1" applyBorder="1" applyAlignment="1">
      <alignment horizontal="center" vertical="center"/>
    </xf>
    <xf numFmtId="0" fontId="101" fillId="0" borderId="75" xfId="0" applyFont="1" applyBorder="1"/>
    <xf numFmtId="0" fontId="83" fillId="0" borderId="8" xfId="0" applyFont="1" applyBorder="1" applyAlignment="1">
      <alignment horizontal="center"/>
    </xf>
    <xf numFmtId="0" fontId="83" fillId="0" borderId="18" xfId="0" applyFont="1" applyBorder="1" applyAlignment="1">
      <alignment horizontal="center"/>
    </xf>
    <xf numFmtId="0" fontId="76" fillId="0" borderId="28" xfId="0" applyFont="1" applyBorder="1" applyAlignment="1">
      <alignment horizontal="center" vertical="center"/>
    </xf>
    <xf numFmtId="0" fontId="35" fillId="0" borderId="91" xfId="0" applyFont="1" applyBorder="1" applyAlignment="1">
      <alignment horizontal="right" vertical="center"/>
    </xf>
    <xf numFmtId="1" fontId="35" fillId="0" borderId="100" xfId="3" applyNumberFormat="1" applyFont="1" applyFill="1" applyBorder="1" applyAlignment="1">
      <alignment horizontal="center" vertical="center"/>
    </xf>
    <xf numFmtId="1" fontId="35" fillId="2" borderId="101" xfId="3" applyNumberFormat="1" applyFont="1" applyFill="1" applyBorder="1" applyAlignment="1">
      <alignment horizontal="center" vertical="center"/>
    </xf>
    <xf numFmtId="1" fontId="35" fillId="5" borderId="101" xfId="3" applyNumberFormat="1" applyFont="1" applyFill="1" applyBorder="1" applyAlignment="1">
      <alignment horizontal="center" vertical="center"/>
    </xf>
    <xf numFmtId="1" fontId="35" fillId="3" borderId="101" xfId="3" applyNumberFormat="1" applyFont="1" applyFill="1" applyBorder="1" applyAlignment="1">
      <alignment horizontal="center" vertical="center"/>
    </xf>
    <xf numFmtId="1" fontId="35" fillId="2" borderId="101" xfId="0" applyNumberFormat="1" applyFont="1" applyFill="1" applyBorder="1" applyAlignment="1">
      <alignment horizontal="center" vertical="center"/>
    </xf>
    <xf numFmtId="1" fontId="35" fillId="5" borderId="101" xfId="0" applyNumberFormat="1" applyFont="1" applyFill="1" applyBorder="1" applyAlignment="1">
      <alignment horizontal="center" vertical="center"/>
    </xf>
    <xf numFmtId="0" fontId="0" fillId="0" borderId="6" xfId="0" applyBorder="1"/>
    <xf numFmtId="0" fontId="41" fillId="0" borderId="6" xfId="0" applyFont="1" applyBorder="1" applyAlignment="1">
      <alignment vertical="center"/>
    </xf>
    <xf numFmtId="1" fontId="35" fillId="13" borderId="20" xfId="0" applyNumberFormat="1" applyFont="1" applyFill="1" applyBorder="1" applyAlignment="1">
      <alignment horizontal="center" vertical="center"/>
    </xf>
    <xf numFmtId="1" fontId="36" fillId="0" borderId="6" xfId="0" applyNumberFormat="1" applyFont="1" applyBorder="1" applyAlignment="1">
      <alignment vertical="center"/>
    </xf>
    <xf numFmtId="0" fontId="54" fillId="21" borderId="34" xfId="0" applyFont="1" applyFill="1" applyBorder="1" applyAlignment="1">
      <alignment horizontal="center" vertical="center"/>
    </xf>
    <xf numFmtId="1" fontId="76" fillId="13" borderId="12" xfId="0" quotePrefix="1" applyNumberFormat="1" applyFont="1" applyFill="1" applyBorder="1" applyAlignment="1">
      <alignment horizontal="center" vertical="center"/>
    </xf>
    <xf numFmtId="1" fontId="76" fillId="14" borderId="12" xfId="0" quotePrefix="1" applyNumberFormat="1" applyFont="1" applyFill="1" applyBorder="1" applyAlignment="1">
      <alignment horizontal="center" vertical="center"/>
    </xf>
    <xf numFmtId="1" fontId="76" fillId="15" borderId="12" xfId="0" quotePrefix="1" applyNumberFormat="1" applyFont="1" applyFill="1" applyBorder="1" applyAlignment="1">
      <alignment horizontal="center" vertical="center"/>
    </xf>
    <xf numFmtId="1" fontId="125" fillId="0" borderId="1" xfId="0" applyNumberFormat="1" applyFont="1" applyBorder="1" applyAlignment="1">
      <alignment horizontal="center" vertical="center"/>
    </xf>
    <xf numFmtId="2" fontId="114" fillId="21" borderId="21" xfId="0" applyNumberFormat="1" applyFont="1" applyFill="1" applyBorder="1" applyAlignment="1">
      <alignment horizontal="center" vertical="center"/>
    </xf>
    <xf numFmtId="2" fontId="114" fillId="19" borderId="21" xfId="0" applyNumberFormat="1" applyFont="1" applyFill="1" applyBorder="1" applyAlignment="1">
      <alignment horizontal="center" vertical="center"/>
    </xf>
    <xf numFmtId="2" fontId="54" fillId="19" borderId="37" xfId="0" applyNumberFormat="1" applyFont="1" applyFill="1" applyBorder="1" applyAlignment="1">
      <alignment horizontal="center" vertical="center"/>
    </xf>
    <xf numFmtId="0" fontId="164" fillId="0" borderId="49" xfId="0" applyFont="1" applyBorder="1"/>
    <xf numFmtId="0" fontId="25" fillId="0" borderId="61" xfId="0" applyFont="1" applyBorder="1"/>
    <xf numFmtId="0" fontId="39" fillId="0" borderId="49" xfId="0" applyFont="1" applyBorder="1" applyAlignment="1">
      <alignment horizontal="center" vertical="center"/>
    </xf>
    <xf numFmtId="1" fontId="76" fillId="5" borderId="101" xfId="0" applyNumberFormat="1" applyFont="1" applyFill="1" applyBorder="1" applyAlignment="1">
      <alignment horizontal="center" vertical="center"/>
    </xf>
    <xf numFmtId="1" fontId="76" fillId="3" borderId="101" xfId="0" applyNumberFormat="1" applyFont="1" applyFill="1" applyBorder="1" applyAlignment="1">
      <alignment horizontal="center" vertical="center"/>
    </xf>
    <xf numFmtId="1" fontId="83" fillId="2" borderId="101" xfId="0" applyNumberFormat="1" applyFont="1" applyFill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1" fontId="43" fillId="2" borderId="50" xfId="0" applyNumberFormat="1" applyFont="1" applyFill="1" applyBorder="1" applyAlignment="1">
      <alignment horizontal="center" vertical="center"/>
    </xf>
    <xf numFmtId="1" fontId="158" fillId="0" borderId="24" xfId="0" applyNumberFormat="1" applyFont="1" applyBorder="1" applyAlignment="1">
      <alignment horizontal="center" vertical="center"/>
    </xf>
    <xf numFmtId="0" fontId="130" fillId="0" borderId="24" xfId="0" applyFont="1" applyBorder="1" applyAlignment="1">
      <alignment horizontal="center" vertical="center"/>
    </xf>
    <xf numFmtId="1" fontId="79" fillId="13" borderId="22" xfId="0" applyNumberFormat="1" applyFont="1" applyFill="1" applyBorder="1" applyAlignment="1">
      <alignment horizontal="center" vertical="center"/>
    </xf>
    <xf numFmtId="0" fontId="67" fillId="17" borderId="10" xfId="0" applyFont="1" applyFill="1" applyBorder="1" applyAlignment="1">
      <alignment horizontal="center" vertical="center"/>
    </xf>
    <xf numFmtId="0" fontId="72" fillId="0" borderId="31" xfId="0" applyFont="1" applyBorder="1" applyAlignment="1">
      <alignment vertical="center"/>
    </xf>
    <xf numFmtId="0" fontId="72" fillId="13" borderId="40" xfId="0" applyFont="1" applyFill="1" applyBorder="1" applyAlignment="1">
      <alignment horizontal="center" vertical="center"/>
    </xf>
    <xf numFmtId="0" fontId="89" fillId="13" borderId="40" xfId="0" applyFont="1" applyFill="1" applyBorder="1" applyAlignment="1">
      <alignment horizontal="center" vertical="center"/>
    </xf>
    <xf numFmtId="1" fontId="89" fillId="13" borderId="18" xfId="0" applyNumberFormat="1" applyFont="1" applyFill="1" applyBorder="1" applyAlignment="1">
      <alignment horizontal="center" vertical="center"/>
    </xf>
    <xf numFmtId="1" fontId="89" fillId="13" borderId="40" xfId="0" applyNumberFormat="1" applyFont="1" applyFill="1" applyBorder="1" applyAlignment="1">
      <alignment horizontal="center" vertical="center"/>
    </xf>
    <xf numFmtId="0" fontId="118" fillId="0" borderId="47" xfId="0" applyFont="1" applyBorder="1" applyAlignment="1">
      <alignment vertical="center"/>
    </xf>
    <xf numFmtId="2" fontId="111" fillId="21" borderId="17" xfId="0" applyNumberFormat="1" applyFont="1" applyFill="1" applyBorder="1" applyAlignment="1">
      <alignment horizontal="center" vertical="center"/>
    </xf>
    <xf numFmtId="2" fontId="111" fillId="21" borderId="72" xfId="0" applyNumberFormat="1" applyFont="1" applyFill="1" applyBorder="1" applyAlignment="1">
      <alignment horizontal="center" vertical="center"/>
    </xf>
    <xf numFmtId="0" fontId="79" fillId="0" borderId="7" xfId="0" applyFont="1" applyBorder="1"/>
    <xf numFmtId="0" fontId="72" fillId="0" borderId="61" xfId="0" applyFont="1" applyBorder="1"/>
    <xf numFmtId="0" fontId="72" fillId="0" borderId="50" xfId="0" applyFont="1" applyBorder="1"/>
    <xf numFmtId="2" fontId="76" fillId="0" borderId="15" xfId="0" applyNumberFormat="1" applyFont="1" applyBorder="1" applyAlignment="1">
      <alignment horizontal="center" vertical="center"/>
    </xf>
    <xf numFmtId="0" fontId="42" fillId="0" borderId="60" xfId="0" applyFont="1" applyBorder="1" applyAlignment="1">
      <alignment horizontal="right" vertical="top"/>
    </xf>
    <xf numFmtId="1" fontId="76" fillId="3" borderId="52" xfId="0" applyNumberFormat="1" applyFont="1" applyFill="1" applyBorder="1" applyAlignment="1">
      <alignment horizontal="center" vertical="center"/>
    </xf>
    <xf numFmtId="2" fontId="83" fillId="14" borderId="20" xfId="0" applyNumberFormat="1" applyFont="1" applyFill="1" applyBorder="1" applyAlignment="1">
      <alignment horizontal="center" vertical="center"/>
    </xf>
    <xf numFmtId="171" fontId="83" fillId="14" borderId="20" xfId="0" quotePrefix="1" applyNumberFormat="1" applyFont="1" applyFill="1" applyBorder="1" applyAlignment="1">
      <alignment horizontal="center" vertical="center"/>
    </xf>
    <xf numFmtId="171" fontId="83" fillId="15" borderId="20" xfId="0" quotePrefix="1" applyNumberFormat="1" applyFont="1" applyFill="1" applyBorder="1" applyAlignment="1">
      <alignment horizontal="center" vertical="center"/>
    </xf>
    <xf numFmtId="0" fontId="6" fillId="0" borderId="6" xfId="0" applyFont="1" applyBorder="1"/>
    <xf numFmtId="0" fontId="88" fillId="0" borderId="50" xfId="0" applyFont="1" applyBorder="1" applyAlignment="1">
      <alignment vertical="center"/>
    </xf>
    <xf numFmtId="0" fontId="42" fillId="0" borderId="75" xfId="0" applyFont="1" applyBorder="1"/>
    <xf numFmtId="0" fontId="23" fillId="0" borderId="49" xfId="0" applyFont="1" applyBorder="1" applyAlignment="1">
      <alignment horizontal="center" vertical="center"/>
    </xf>
    <xf numFmtId="0" fontId="80" fillId="0" borderId="61" xfId="0" applyFont="1" applyBorder="1" applyAlignment="1">
      <alignment horizontal="center" vertical="center"/>
    </xf>
    <xf numFmtId="0" fontId="91" fillId="0" borderId="50" xfId="0" applyFont="1" applyBorder="1"/>
    <xf numFmtId="0" fontId="91" fillId="0" borderId="19" xfId="0" applyFont="1" applyBorder="1"/>
    <xf numFmtId="0" fontId="96" fillId="0" borderId="54" xfId="0" applyFont="1" applyBorder="1"/>
    <xf numFmtId="0" fontId="96" fillId="0" borderId="54" xfId="0" applyFont="1" applyBorder="1" applyAlignment="1">
      <alignment vertical="center"/>
    </xf>
    <xf numFmtId="0" fontId="104" fillId="0" borderId="19" xfId="0" applyFont="1" applyBorder="1" applyAlignment="1">
      <alignment horizontal="center" vertical="center"/>
    </xf>
    <xf numFmtId="2" fontId="101" fillId="0" borderId="21" xfId="0" applyNumberFormat="1" applyFont="1" applyBorder="1" applyAlignment="1">
      <alignment horizontal="center" vertical="center"/>
    </xf>
    <xf numFmtId="0" fontId="159" fillId="0" borderId="61" xfId="0" applyFont="1" applyBorder="1" applyAlignment="1">
      <alignment horizontal="center" vertical="center"/>
    </xf>
    <xf numFmtId="0" fontId="76" fillId="0" borderId="19" xfId="0" applyFont="1" applyBorder="1"/>
    <xf numFmtId="2" fontId="76" fillId="2" borderId="40" xfId="0" applyNumberFormat="1" applyFont="1" applyFill="1" applyBorder="1" applyAlignment="1">
      <alignment horizontal="center" vertical="center"/>
    </xf>
    <xf numFmtId="0" fontId="42" fillId="0" borderId="67" xfId="0" applyFont="1" applyBorder="1" applyAlignment="1">
      <alignment horizontal="center" vertical="center"/>
    </xf>
    <xf numFmtId="0" fontId="75" fillId="0" borderId="24" xfId="0" applyFont="1" applyBorder="1" applyAlignment="1">
      <alignment vertical="center"/>
    </xf>
    <xf numFmtId="1" fontId="76" fillId="13" borderId="97" xfId="0" applyNumberFormat="1" applyFont="1" applyFill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25" fillId="0" borderId="61" xfId="0" applyFont="1" applyBorder="1" applyAlignment="1">
      <alignment vertical="center"/>
    </xf>
    <xf numFmtId="1" fontId="100" fillId="15" borderId="18" xfId="0" applyNumberFormat="1" applyFont="1" applyFill="1" applyBorder="1" applyAlignment="1">
      <alignment horizontal="center" vertical="center"/>
    </xf>
    <xf numFmtId="1" fontId="76" fillId="15" borderId="40" xfId="0" applyNumberFormat="1" applyFont="1" applyFill="1" applyBorder="1" applyAlignment="1">
      <alignment horizontal="center" vertical="center"/>
    </xf>
    <xf numFmtId="1" fontId="91" fillId="0" borderId="19" xfId="0" applyNumberFormat="1" applyFont="1" applyBorder="1"/>
    <xf numFmtId="2" fontId="76" fillId="14" borderId="19" xfId="0" applyNumberFormat="1" applyFont="1" applyFill="1" applyBorder="1" applyAlignment="1">
      <alignment horizontal="center" vertical="center"/>
    </xf>
    <xf numFmtId="169" fontId="83" fillId="14" borderId="19" xfId="0" applyNumberFormat="1" applyFont="1" applyFill="1" applyBorder="1" applyAlignment="1">
      <alignment horizontal="center" vertical="center"/>
    </xf>
    <xf numFmtId="169" fontId="76" fillId="14" borderId="27" xfId="0" applyNumberFormat="1" applyFont="1" applyFill="1" applyBorder="1" applyAlignment="1">
      <alignment horizontal="center" vertical="center"/>
    </xf>
    <xf numFmtId="1" fontId="83" fillId="5" borderId="18" xfId="0" applyNumberFormat="1" applyFont="1" applyFill="1" applyBorder="1" applyAlignment="1">
      <alignment horizontal="center" vertical="center"/>
    </xf>
    <xf numFmtId="169" fontId="83" fillId="14" borderId="22" xfId="0" applyNumberFormat="1" applyFont="1" applyFill="1" applyBorder="1" applyAlignment="1">
      <alignment horizontal="center" vertical="center"/>
    </xf>
    <xf numFmtId="2" fontId="72" fillId="14" borderId="60" xfId="0" applyNumberFormat="1" applyFont="1" applyFill="1" applyBorder="1" applyAlignment="1">
      <alignment horizontal="center" vertical="center"/>
    </xf>
    <xf numFmtId="0" fontId="36" fillId="14" borderId="40" xfId="0" applyFont="1" applyFill="1" applyBorder="1" applyAlignment="1">
      <alignment horizontal="center" vertical="center"/>
    </xf>
    <xf numFmtId="0" fontId="36" fillId="14" borderId="18" xfId="0" applyFont="1" applyFill="1" applyBorder="1" applyAlignment="1">
      <alignment horizontal="center" vertical="center"/>
    </xf>
    <xf numFmtId="2" fontId="50" fillId="14" borderId="13" xfId="0" applyNumberFormat="1" applyFont="1" applyFill="1" applyBorder="1" applyAlignment="1">
      <alignment horizontal="center" vertical="center"/>
    </xf>
    <xf numFmtId="1" fontId="50" fillId="14" borderId="6" xfId="0" applyNumberFormat="1" applyFont="1" applyFill="1" applyBorder="1" applyAlignment="1">
      <alignment horizontal="center" vertical="center"/>
    </xf>
    <xf numFmtId="1" fontId="76" fillId="14" borderId="60" xfId="0" applyNumberFormat="1" applyFont="1" applyFill="1" applyBorder="1" applyAlignment="1">
      <alignment horizontal="center" vertical="center"/>
    </xf>
    <xf numFmtId="169" fontId="63" fillId="15" borderId="22" xfId="0" applyNumberFormat="1" applyFont="1" applyFill="1" applyBorder="1" applyAlignment="1">
      <alignment horizontal="center" vertical="center"/>
    </xf>
    <xf numFmtId="1" fontId="63" fillId="15" borderId="52" xfId="0" applyNumberFormat="1" applyFont="1" applyFill="1" applyBorder="1" applyAlignment="1">
      <alignment horizontal="center" vertical="center"/>
    </xf>
    <xf numFmtId="1" fontId="83" fillId="17" borderId="60" xfId="0" applyNumberFormat="1" applyFont="1" applyFill="1" applyBorder="1" applyAlignment="1">
      <alignment horizontal="center" vertical="center"/>
    </xf>
    <xf numFmtId="169" fontId="84" fillId="14" borderId="12" xfId="0" applyNumberFormat="1" applyFont="1" applyFill="1" applyBorder="1" applyAlignment="1">
      <alignment horizontal="center" vertical="center"/>
    </xf>
    <xf numFmtId="171" fontId="76" fillId="14" borderId="6" xfId="0" applyNumberFormat="1" applyFont="1" applyFill="1" applyBorder="1" applyAlignment="1">
      <alignment horizontal="center" vertical="center"/>
    </xf>
    <xf numFmtId="171" fontId="76" fillId="13" borderId="12" xfId="0" applyNumberFormat="1" applyFont="1" applyFill="1" applyBorder="1" applyAlignment="1">
      <alignment horizontal="center" vertical="center"/>
    </xf>
    <xf numFmtId="171" fontId="76" fillId="15" borderId="6" xfId="0" applyNumberFormat="1" applyFont="1" applyFill="1" applyBorder="1" applyAlignment="1">
      <alignment horizontal="center" vertical="center"/>
    </xf>
    <xf numFmtId="2" fontId="76" fillId="15" borderId="13" xfId="0" quotePrefix="1" applyNumberFormat="1" applyFont="1" applyFill="1" applyBorder="1" applyAlignment="1">
      <alignment horizontal="center" vertical="center"/>
    </xf>
    <xf numFmtId="169" fontId="83" fillId="15" borderId="22" xfId="0" applyNumberFormat="1" applyFont="1" applyFill="1" applyBorder="1" applyAlignment="1">
      <alignment horizontal="center" vertical="center"/>
    </xf>
    <xf numFmtId="0" fontId="76" fillId="15" borderId="40" xfId="0" applyFont="1" applyFill="1" applyBorder="1" applyAlignment="1">
      <alignment horizontal="center" vertical="center"/>
    </xf>
    <xf numFmtId="169" fontId="76" fillId="15" borderId="13" xfId="0" applyNumberFormat="1" applyFont="1" applyFill="1" applyBorder="1" applyAlignment="1">
      <alignment horizontal="center" vertical="center"/>
    </xf>
    <xf numFmtId="169" fontId="100" fillId="15" borderId="12" xfId="0" applyNumberFormat="1" applyFont="1" applyFill="1" applyBorder="1" applyAlignment="1">
      <alignment horizontal="center" vertical="center"/>
    </xf>
    <xf numFmtId="169" fontId="100" fillId="15" borderId="20" xfId="0" applyNumberFormat="1" applyFont="1" applyFill="1" applyBorder="1" applyAlignment="1">
      <alignment horizontal="center" vertical="center"/>
    </xf>
    <xf numFmtId="1" fontId="63" fillId="15" borderId="7" xfId="0" applyNumberFormat="1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1" fontId="100" fillId="13" borderId="18" xfId="0" applyNumberFormat="1" applyFont="1" applyFill="1" applyBorder="1" applyAlignment="1">
      <alignment horizontal="center" vertical="center"/>
    </xf>
    <xf numFmtId="2" fontId="76" fillId="13" borderId="19" xfId="0" applyNumberFormat="1" applyFont="1" applyFill="1" applyBorder="1" applyAlignment="1">
      <alignment horizontal="center" vertical="center"/>
    </xf>
    <xf numFmtId="169" fontId="83" fillId="13" borderId="12" xfId="0" applyNumberFormat="1" applyFont="1" applyFill="1" applyBorder="1" applyAlignment="1">
      <alignment horizontal="center" vertical="center"/>
    </xf>
    <xf numFmtId="2" fontId="76" fillId="13" borderId="13" xfId="0" quotePrefix="1" applyNumberFormat="1" applyFont="1" applyFill="1" applyBorder="1" applyAlignment="1">
      <alignment horizontal="center" vertical="center"/>
    </xf>
    <xf numFmtId="1" fontId="76" fillId="13" borderId="60" xfId="0" applyNumberFormat="1" applyFont="1" applyFill="1" applyBorder="1" applyAlignment="1">
      <alignment horizontal="center" vertical="center"/>
    </xf>
    <xf numFmtId="0" fontId="83" fillId="0" borderId="19" xfId="0" applyFont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0" fontId="54" fillId="21" borderId="33" xfId="0" applyFont="1" applyFill="1" applyBorder="1" applyAlignment="1">
      <alignment horizontal="center" vertical="center"/>
    </xf>
    <xf numFmtId="0" fontId="138" fillId="21" borderId="29" xfId="0" applyFont="1" applyFill="1" applyBorder="1" applyAlignment="1">
      <alignment horizontal="center" vertical="center"/>
    </xf>
    <xf numFmtId="169" fontId="138" fillId="19" borderId="29" xfId="0" applyNumberFormat="1" applyFont="1" applyFill="1" applyBorder="1" applyAlignment="1">
      <alignment horizontal="center" vertical="center"/>
    </xf>
    <xf numFmtId="1" fontId="74" fillId="21" borderId="1" xfId="0" applyNumberFormat="1" applyFont="1" applyFill="1" applyBorder="1" applyAlignment="1">
      <alignment horizontal="center" vertical="center"/>
    </xf>
    <xf numFmtId="1" fontId="74" fillId="19" borderId="1" xfId="0" applyNumberFormat="1" applyFont="1" applyFill="1" applyBorder="1" applyAlignment="1">
      <alignment horizontal="center" vertical="center"/>
    </xf>
    <xf numFmtId="1" fontId="76" fillId="15" borderId="19" xfId="0" quotePrefix="1" applyNumberFormat="1" applyFont="1" applyFill="1" applyBorder="1" applyAlignment="1">
      <alignment horizontal="center" vertical="center"/>
    </xf>
    <xf numFmtId="0" fontId="126" fillId="0" borderId="32" xfId="0" applyFont="1" applyBorder="1" applyAlignment="1">
      <alignment horizontal="left" vertical="center"/>
    </xf>
    <xf numFmtId="169" fontId="111" fillId="0" borderId="17" xfId="0" applyNumberFormat="1" applyFont="1" applyBorder="1" applyAlignment="1">
      <alignment horizontal="center" vertical="center"/>
    </xf>
    <xf numFmtId="171" fontId="83" fillId="14" borderId="60" xfId="0" applyNumberFormat="1" applyFont="1" applyFill="1" applyBorder="1" applyAlignment="1">
      <alignment horizontal="center" vertical="center"/>
    </xf>
    <xf numFmtId="171" fontId="83" fillId="14" borderId="13" xfId="0" applyNumberFormat="1" applyFont="1" applyFill="1" applyBorder="1" applyAlignment="1">
      <alignment horizontal="center" vertical="center"/>
    </xf>
    <xf numFmtId="171" fontId="83" fillId="15" borderId="21" xfId="0" applyNumberFormat="1" applyFont="1" applyFill="1" applyBorder="1" applyAlignment="1">
      <alignment horizontal="center" vertical="center"/>
    </xf>
    <xf numFmtId="171" fontId="83" fillId="13" borderId="21" xfId="0" applyNumberFormat="1" applyFont="1" applyFill="1" applyBorder="1" applyAlignment="1">
      <alignment horizontal="center" vertical="center"/>
    </xf>
    <xf numFmtId="171" fontId="83" fillId="14" borderId="55" xfId="0" applyNumberFormat="1" applyFont="1" applyFill="1" applyBorder="1" applyAlignment="1">
      <alignment horizontal="center" vertical="center"/>
    </xf>
    <xf numFmtId="0" fontId="79" fillId="0" borderId="76" xfId="0" quotePrefix="1" applyFont="1" applyBorder="1" applyAlignment="1">
      <alignment horizontal="right" vertical="center"/>
    </xf>
    <xf numFmtId="0" fontId="35" fillId="0" borderId="40" xfId="0" applyFont="1" applyBorder="1" applyAlignment="1">
      <alignment horizontal="center" vertical="center"/>
    </xf>
    <xf numFmtId="0" fontId="79" fillId="0" borderId="74" xfId="0" quotePrefix="1" applyFont="1" applyBorder="1" applyAlignment="1">
      <alignment horizontal="right" vertical="center"/>
    </xf>
    <xf numFmtId="1" fontId="89" fillId="17" borderId="23" xfId="0" applyNumberFormat="1" applyFont="1" applyFill="1" applyBorder="1" applyAlignment="1">
      <alignment horizontal="center" vertical="center"/>
    </xf>
    <xf numFmtId="0" fontId="25" fillId="2" borderId="44" xfId="0" applyFont="1" applyFill="1" applyBorder="1"/>
    <xf numFmtId="0" fontId="86" fillId="2" borderId="47" xfId="0" applyFont="1" applyFill="1" applyBorder="1" applyAlignment="1">
      <alignment horizontal="center" vertical="center"/>
    </xf>
    <xf numFmtId="1" fontId="86" fillId="2" borderId="47" xfId="0" applyNumberFormat="1" applyFont="1" applyFill="1" applyBorder="1" applyAlignment="1">
      <alignment horizontal="center" vertical="center"/>
    </xf>
    <xf numFmtId="1" fontId="79" fillId="2" borderId="47" xfId="0" applyNumberFormat="1" applyFont="1" applyFill="1" applyBorder="1" applyAlignment="1">
      <alignment horizontal="center" vertical="center"/>
    </xf>
    <xf numFmtId="1" fontId="79" fillId="13" borderId="25" xfId="0" applyNumberFormat="1" applyFont="1" applyFill="1" applyBorder="1" applyAlignment="1">
      <alignment horizontal="center" vertical="center"/>
    </xf>
    <xf numFmtId="0" fontId="79" fillId="2" borderId="25" xfId="0" applyFont="1" applyFill="1" applyBorder="1" applyAlignment="1">
      <alignment horizontal="center" vertical="center"/>
    </xf>
    <xf numFmtId="0" fontId="73" fillId="0" borderId="49" xfId="0" applyFont="1" applyBorder="1"/>
    <xf numFmtId="1" fontId="63" fillId="2" borderId="25" xfId="0" applyNumberFormat="1" applyFont="1" applyFill="1" applyBorder="1" applyAlignment="1">
      <alignment horizontal="center" vertical="center"/>
    </xf>
    <xf numFmtId="0" fontId="30" fillId="0" borderId="24" xfId="0" applyFont="1" applyBorder="1"/>
    <xf numFmtId="0" fontId="19" fillId="2" borderId="47" xfId="0" applyFont="1" applyFill="1" applyBorder="1" applyAlignment="1">
      <alignment horizontal="center" vertical="center"/>
    </xf>
    <xf numFmtId="0" fontId="30" fillId="0" borderId="75" xfId="0" applyFont="1" applyBorder="1"/>
    <xf numFmtId="1" fontId="76" fillId="13" borderId="52" xfId="0" applyNumberFormat="1" applyFont="1" applyFill="1" applyBorder="1" applyAlignment="1">
      <alignment horizontal="center" vertical="center"/>
    </xf>
    <xf numFmtId="1" fontId="83" fillId="13" borderId="25" xfId="0" applyNumberFormat="1" applyFont="1" applyFill="1" applyBorder="1" applyAlignment="1">
      <alignment horizontal="center" vertical="center"/>
    </xf>
    <xf numFmtId="1" fontId="83" fillId="2" borderId="52" xfId="0" applyNumberFormat="1" applyFont="1" applyFill="1" applyBorder="1" applyAlignment="1">
      <alignment horizontal="center" vertical="center"/>
    </xf>
    <xf numFmtId="1" fontId="83" fillId="2" borderId="25" xfId="0" applyNumberFormat="1" applyFont="1" applyFill="1" applyBorder="1" applyAlignment="1">
      <alignment horizontal="center" vertical="center"/>
    </xf>
    <xf numFmtId="169" fontId="83" fillId="13" borderId="25" xfId="0" applyNumberFormat="1" applyFont="1" applyFill="1" applyBorder="1" applyAlignment="1">
      <alignment horizontal="center" vertical="center"/>
    </xf>
    <xf numFmtId="1" fontId="83" fillId="2" borderId="57" xfId="0" applyNumberFormat="1" applyFont="1" applyFill="1" applyBorder="1" applyAlignment="1">
      <alignment horizontal="center" vertical="center"/>
    </xf>
    <xf numFmtId="1" fontId="89" fillId="15" borderId="44" xfId="0" applyNumberFormat="1" applyFont="1" applyFill="1" applyBorder="1" applyAlignment="1">
      <alignment horizontal="center" vertical="center"/>
    </xf>
    <xf numFmtId="1" fontId="89" fillId="4" borderId="35" xfId="0" applyNumberFormat="1" applyFont="1" applyFill="1" applyBorder="1" applyAlignment="1">
      <alignment horizontal="center" vertical="center"/>
    </xf>
    <xf numFmtId="1" fontId="76" fillId="2" borderId="25" xfId="0" applyNumberFormat="1" applyFont="1" applyFill="1" applyBorder="1" applyAlignment="1">
      <alignment horizontal="center" vertical="center"/>
    </xf>
    <xf numFmtId="1" fontId="89" fillId="2" borderId="47" xfId="0" applyNumberFormat="1" applyFont="1" applyFill="1" applyBorder="1" applyAlignment="1">
      <alignment horizontal="center" vertical="center"/>
    </xf>
    <xf numFmtId="1" fontId="89" fillId="2" borderId="52" xfId="0" applyNumberFormat="1" applyFont="1" applyFill="1" applyBorder="1" applyAlignment="1">
      <alignment horizontal="center" vertical="center"/>
    </xf>
    <xf numFmtId="2" fontId="89" fillId="2" borderId="70" xfId="0" applyNumberFormat="1" applyFont="1" applyFill="1" applyBorder="1" applyAlignment="1">
      <alignment horizontal="center" vertical="center"/>
    </xf>
    <xf numFmtId="2" fontId="89" fillId="2" borderId="25" xfId="0" applyNumberFormat="1" applyFont="1" applyFill="1" applyBorder="1" applyAlignment="1">
      <alignment horizontal="center" vertical="center"/>
    </xf>
    <xf numFmtId="2" fontId="89" fillId="2" borderId="52" xfId="0" applyNumberFormat="1" applyFont="1" applyFill="1" applyBorder="1" applyAlignment="1">
      <alignment horizontal="center" vertical="center"/>
    </xf>
    <xf numFmtId="2" fontId="76" fillId="13" borderId="51" xfId="0" applyNumberFormat="1" applyFont="1" applyFill="1" applyBorder="1" applyAlignment="1">
      <alignment horizontal="center" vertical="center"/>
    </xf>
    <xf numFmtId="2" fontId="76" fillId="13" borderId="52" xfId="0" applyNumberFormat="1" applyFont="1" applyFill="1" applyBorder="1" applyAlignment="1">
      <alignment horizontal="center" vertical="center"/>
    </xf>
    <xf numFmtId="2" fontId="83" fillId="13" borderId="52" xfId="0" applyNumberFormat="1" applyFont="1" applyFill="1" applyBorder="1" applyAlignment="1">
      <alignment horizontal="center" vertical="center"/>
    </xf>
    <xf numFmtId="2" fontId="83" fillId="13" borderId="51" xfId="0" applyNumberFormat="1" applyFont="1" applyFill="1" applyBorder="1" applyAlignment="1">
      <alignment horizontal="center" vertical="center"/>
    </xf>
    <xf numFmtId="0" fontId="34" fillId="2" borderId="51" xfId="0" applyFont="1" applyFill="1" applyBorder="1" applyAlignment="1">
      <alignment horizontal="center" vertical="center"/>
    </xf>
    <xf numFmtId="169" fontId="76" fillId="2" borderId="52" xfId="0" applyNumberFormat="1" applyFont="1" applyFill="1" applyBorder="1" applyAlignment="1">
      <alignment horizontal="center" vertical="center"/>
    </xf>
    <xf numFmtId="1" fontId="76" fillId="2" borderId="47" xfId="0" applyNumberFormat="1" applyFont="1" applyFill="1" applyBorder="1" applyAlignment="1">
      <alignment horizontal="center" vertical="center"/>
    </xf>
    <xf numFmtId="169" fontId="76" fillId="13" borderId="47" xfId="0" applyNumberFormat="1" applyFont="1" applyFill="1" applyBorder="1" applyAlignment="1">
      <alignment horizontal="center" vertical="center"/>
    </xf>
    <xf numFmtId="1" fontId="76" fillId="13" borderId="47" xfId="0" applyNumberFormat="1" applyFont="1" applyFill="1" applyBorder="1" applyAlignment="1">
      <alignment horizontal="center" vertical="center"/>
    </xf>
    <xf numFmtId="171" fontId="76" fillId="13" borderId="51" xfId="0" applyNumberFormat="1" applyFont="1" applyFill="1" applyBorder="1" applyAlignment="1">
      <alignment horizontal="center" vertical="center"/>
    </xf>
    <xf numFmtId="1" fontId="76" fillId="13" borderId="47" xfId="0" quotePrefix="1" applyNumberFormat="1" applyFont="1" applyFill="1" applyBorder="1" applyAlignment="1">
      <alignment horizontal="center" vertical="center"/>
    </xf>
    <xf numFmtId="2" fontId="76" fillId="13" borderId="47" xfId="0" applyNumberFormat="1" applyFont="1" applyFill="1" applyBorder="1" applyAlignment="1">
      <alignment horizontal="center" vertical="center"/>
    </xf>
    <xf numFmtId="2" fontId="83" fillId="13" borderId="47" xfId="3" quotePrefix="1" applyNumberFormat="1" applyFont="1" applyFill="1" applyBorder="1" applyAlignment="1">
      <alignment horizontal="center" vertical="center"/>
    </xf>
    <xf numFmtId="2" fontId="83" fillId="2" borderId="52" xfId="1" quotePrefix="1" applyNumberFormat="1" applyFont="1" applyFill="1" applyBorder="1" applyAlignment="1">
      <alignment horizontal="center" vertical="center"/>
    </xf>
    <xf numFmtId="1" fontId="83" fillId="13" borderId="47" xfId="3" quotePrefix="1" applyNumberFormat="1" applyFont="1" applyFill="1" applyBorder="1" applyAlignment="1">
      <alignment horizontal="center" vertical="center"/>
    </xf>
    <xf numFmtId="0" fontId="76" fillId="2" borderId="51" xfId="0" applyFont="1" applyFill="1" applyBorder="1" applyAlignment="1">
      <alignment horizontal="center" vertical="center"/>
    </xf>
    <xf numFmtId="0" fontId="98" fillId="2" borderId="44" xfId="0" applyFont="1" applyFill="1" applyBorder="1" applyAlignment="1">
      <alignment horizontal="center" vertical="center"/>
    </xf>
    <xf numFmtId="0" fontId="76" fillId="2" borderId="55" xfId="0" applyFont="1" applyFill="1" applyBorder="1" applyAlignment="1">
      <alignment horizontal="center" vertical="center"/>
    </xf>
    <xf numFmtId="1" fontId="76" fillId="2" borderId="55" xfId="0" applyNumberFormat="1" applyFont="1" applyFill="1" applyBorder="1" applyAlignment="1">
      <alignment horizontal="center" vertical="center"/>
    </xf>
    <xf numFmtId="1" fontId="83" fillId="2" borderId="55" xfId="0" applyNumberFormat="1" applyFont="1" applyFill="1" applyBorder="1" applyAlignment="1">
      <alignment horizontal="center" vertical="center"/>
    </xf>
    <xf numFmtId="1" fontId="19" fillId="2" borderId="55" xfId="0" applyNumberFormat="1" applyFont="1" applyFill="1" applyBorder="1" applyAlignment="1">
      <alignment horizontal="center"/>
    </xf>
    <xf numFmtId="1" fontId="83" fillId="2" borderId="35" xfId="0" applyNumberFormat="1" applyFont="1" applyFill="1" applyBorder="1" applyAlignment="1">
      <alignment horizontal="center" vertical="center"/>
    </xf>
    <xf numFmtId="169" fontId="89" fillId="2" borderId="52" xfId="0" applyNumberFormat="1" applyFont="1" applyFill="1" applyBorder="1" applyAlignment="1">
      <alignment horizontal="center" vertical="center"/>
    </xf>
    <xf numFmtId="169" fontId="89" fillId="2" borderId="35" xfId="0" applyNumberFormat="1" applyFont="1" applyFill="1" applyBorder="1" applyAlignment="1">
      <alignment horizontal="center" vertical="center"/>
    </xf>
    <xf numFmtId="169" fontId="83" fillId="2" borderId="25" xfId="0" applyNumberFormat="1" applyFont="1" applyFill="1" applyBorder="1" applyAlignment="1">
      <alignment horizontal="center" vertical="center"/>
    </xf>
    <xf numFmtId="169" fontId="89" fillId="2" borderId="51" xfId="0" applyNumberFormat="1" applyFont="1" applyFill="1" applyBorder="1" applyAlignment="1">
      <alignment horizontal="center" vertical="center"/>
    </xf>
    <xf numFmtId="0" fontId="76" fillId="2" borderId="47" xfId="0" applyFont="1" applyFill="1" applyBorder="1" applyAlignment="1">
      <alignment horizontal="center" vertical="center"/>
    </xf>
    <xf numFmtId="1" fontId="76" fillId="13" borderId="25" xfId="0" applyNumberFormat="1" applyFont="1" applyFill="1" applyBorder="1" applyAlignment="1">
      <alignment horizontal="center" vertical="center"/>
    </xf>
    <xf numFmtId="1" fontId="76" fillId="2" borderId="67" xfId="0" applyNumberFormat="1" applyFont="1" applyFill="1" applyBorder="1" applyAlignment="1">
      <alignment horizontal="center" vertical="center"/>
    </xf>
    <xf numFmtId="0" fontId="76" fillId="2" borderId="52" xfId="0" applyFont="1" applyFill="1" applyBorder="1" applyAlignment="1">
      <alignment horizontal="center" vertical="center"/>
    </xf>
    <xf numFmtId="2" fontId="76" fillId="13" borderId="57" xfId="0" applyNumberFormat="1" applyFont="1" applyFill="1" applyBorder="1" applyAlignment="1">
      <alignment horizontal="center" vertical="center"/>
    </xf>
    <xf numFmtId="2" fontId="72" fillId="13" borderId="44" xfId="0" applyNumberFormat="1" applyFont="1" applyFill="1" applyBorder="1" applyAlignment="1">
      <alignment horizontal="center" vertical="center"/>
    </xf>
    <xf numFmtId="2" fontId="72" fillId="13" borderId="47" xfId="0" applyNumberFormat="1" applyFont="1" applyFill="1" applyBorder="1" applyAlignment="1">
      <alignment horizontal="center" vertical="center"/>
    </xf>
    <xf numFmtId="2" fontId="72" fillId="13" borderId="52" xfId="0" applyNumberFormat="1" applyFont="1" applyFill="1" applyBorder="1" applyAlignment="1">
      <alignment horizontal="center" vertical="center"/>
    </xf>
    <xf numFmtId="171" fontId="83" fillId="2" borderId="47" xfId="0" applyNumberFormat="1" applyFont="1" applyFill="1" applyBorder="1" applyAlignment="1">
      <alignment horizontal="center" vertical="center"/>
    </xf>
    <xf numFmtId="171" fontId="76" fillId="2" borderId="47" xfId="0" applyNumberFormat="1" applyFont="1" applyFill="1" applyBorder="1" applyAlignment="1">
      <alignment horizontal="center" vertical="center"/>
    </xf>
    <xf numFmtId="171" fontId="76" fillId="2" borderId="47" xfId="0" applyNumberFormat="1" applyFont="1" applyFill="1" applyBorder="1" applyAlignment="1">
      <alignment horizontal="center"/>
    </xf>
    <xf numFmtId="2" fontId="76" fillId="2" borderId="47" xfId="0" applyNumberFormat="1" applyFont="1" applyFill="1" applyBorder="1" applyAlignment="1">
      <alignment horizontal="center"/>
    </xf>
    <xf numFmtId="2" fontId="76" fillId="2" borderId="25" xfId="0" applyNumberFormat="1" applyFont="1" applyFill="1" applyBorder="1" applyAlignment="1">
      <alignment horizontal="center" vertical="center"/>
    </xf>
    <xf numFmtId="0" fontId="76" fillId="2" borderId="44" xfId="0" applyFont="1" applyFill="1" applyBorder="1" applyAlignment="1">
      <alignment horizontal="center" vertical="center"/>
    </xf>
    <xf numFmtId="0" fontId="76" fillId="2" borderId="57" xfId="0" applyFont="1" applyFill="1" applyBorder="1" applyAlignment="1">
      <alignment horizontal="center"/>
    </xf>
    <xf numFmtId="1" fontId="76" fillId="2" borderId="0" xfId="0" applyNumberFormat="1" applyFont="1" applyFill="1" applyAlignment="1">
      <alignment horizontal="center" vertical="center"/>
    </xf>
    <xf numFmtId="0" fontId="76" fillId="2" borderId="57" xfId="0" applyFont="1" applyFill="1" applyBorder="1" applyAlignment="1">
      <alignment horizontal="center" vertical="center"/>
    </xf>
    <xf numFmtId="1" fontId="76" fillId="2" borderId="57" xfId="0" applyNumberFormat="1" applyFont="1" applyFill="1" applyBorder="1" applyAlignment="1">
      <alignment horizontal="center"/>
    </xf>
    <xf numFmtId="2" fontId="67" fillId="13" borderId="52" xfId="0" applyNumberFormat="1" applyFont="1" applyFill="1" applyBorder="1" applyAlignment="1">
      <alignment horizontal="center" vertical="center"/>
    </xf>
    <xf numFmtId="2" fontId="63" fillId="13" borderId="25" xfId="0" applyNumberFormat="1" applyFont="1" applyFill="1" applyBorder="1" applyAlignment="1">
      <alignment horizontal="center" vertical="center"/>
    </xf>
    <xf numFmtId="0" fontId="34" fillId="5" borderId="90" xfId="0" applyFont="1" applyFill="1" applyBorder="1" applyAlignment="1">
      <alignment horizontal="center" vertical="center"/>
    </xf>
    <xf numFmtId="1" fontId="34" fillId="14" borderId="57" xfId="0" applyNumberFormat="1" applyFont="1" applyFill="1" applyBorder="1" applyAlignment="1">
      <alignment horizontal="center" vertical="center"/>
    </xf>
    <xf numFmtId="0" fontId="34" fillId="15" borderId="115" xfId="0" applyFont="1" applyFill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24" fillId="0" borderId="109" xfId="0" applyFont="1" applyBorder="1"/>
    <xf numFmtId="0" fontId="24" fillId="0" borderId="48" xfId="0" applyFont="1" applyBorder="1"/>
    <xf numFmtId="1" fontId="24" fillId="0" borderId="37" xfId="0" applyNumberFormat="1" applyFont="1" applyBorder="1"/>
    <xf numFmtId="0" fontId="76" fillId="13" borderId="52" xfId="0" applyFont="1" applyFill="1" applyBorder="1" applyAlignment="1">
      <alignment horizontal="center" vertical="center"/>
    </xf>
    <xf numFmtId="1" fontId="76" fillId="13" borderId="35" xfId="0" applyNumberFormat="1" applyFont="1" applyFill="1" applyBorder="1" applyAlignment="1">
      <alignment horizontal="center" vertical="center"/>
    </xf>
    <xf numFmtId="1" fontId="76" fillId="13" borderId="44" xfId="0" applyNumberFormat="1" applyFont="1" applyFill="1" applyBorder="1" applyAlignment="1">
      <alignment horizontal="center" vertical="center"/>
    </xf>
    <xf numFmtId="171" fontId="76" fillId="13" borderId="52" xfId="0" applyNumberFormat="1" applyFont="1" applyFill="1" applyBorder="1" applyAlignment="1">
      <alignment horizontal="center" vertical="center"/>
    </xf>
    <xf numFmtId="169" fontId="76" fillId="13" borderId="52" xfId="0" applyNumberFormat="1" applyFont="1" applyFill="1" applyBorder="1" applyAlignment="1">
      <alignment horizontal="center" vertical="center"/>
    </xf>
    <xf numFmtId="169" fontId="76" fillId="13" borderId="51" xfId="0" applyNumberFormat="1" applyFont="1" applyFill="1" applyBorder="1" applyAlignment="1">
      <alignment horizontal="center" vertical="center"/>
    </xf>
    <xf numFmtId="0" fontId="76" fillId="2" borderId="25" xfId="0" applyFont="1" applyFill="1" applyBorder="1" applyAlignment="1">
      <alignment horizontal="center" vertical="center"/>
    </xf>
    <xf numFmtId="0" fontId="72" fillId="13" borderId="7" xfId="0" applyFont="1" applyFill="1" applyBorder="1" applyAlignment="1">
      <alignment horizontal="center" vertical="center"/>
    </xf>
    <xf numFmtId="0" fontId="72" fillId="13" borderId="0" xfId="0" applyFont="1" applyFill="1" applyAlignment="1">
      <alignment horizontal="center" vertical="center"/>
    </xf>
    <xf numFmtId="0" fontId="76" fillId="13" borderId="55" xfId="0" applyFont="1" applyFill="1" applyBorder="1" applyAlignment="1">
      <alignment horizontal="center" vertical="center"/>
    </xf>
    <xf numFmtId="0" fontId="72" fillId="13" borderId="24" xfId="0" applyFont="1" applyFill="1" applyBorder="1" applyAlignment="1">
      <alignment horizontal="center" vertical="center"/>
    </xf>
    <xf numFmtId="0" fontId="76" fillId="13" borderId="47" xfId="0" applyFont="1" applyFill="1" applyBorder="1" applyAlignment="1">
      <alignment horizontal="center" vertical="center"/>
    </xf>
    <xf numFmtId="0" fontId="76" fillId="13" borderId="7" xfId="0" applyFont="1" applyFill="1" applyBorder="1" applyAlignment="1">
      <alignment horizontal="center" vertical="center"/>
    </xf>
    <xf numFmtId="1" fontId="76" fillId="13" borderId="7" xfId="0" applyNumberFormat="1" applyFont="1" applyFill="1" applyBorder="1" applyAlignment="1">
      <alignment horizontal="center" vertical="center"/>
    </xf>
    <xf numFmtId="1" fontId="76" fillId="13" borderId="26" xfId="0" applyNumberFormat="1" applyFont="1" applyFill="1" applyBorder="1" applyAlignment="1">
      <alignment horizontal="center" vertical="center"/>
    </xf>
    <xf numFmtId="0" fontId="72" fillId="13" borderId="6" xfId="0" applyFont="1" applyFill="1" applyBorder="1" applyAlignment="1">
      <alignment horizontal="center" vertical="center"/>
    </xf>
    <xf numFmtId="1" fontId="76" fillId="13" borderId="55" xfId="0" applyNumberFormat="1" applyFont="1" applyFill="1" applyBorder="1" applyAlignment="1">
      <alignment horizontal="center" vertical="center"/>
    </xf>
    <xf numFmtId="169" fontId="34" fillId="13" borderId="25" xfId="0" applyNumberFormat="1" applyFont="1" applyFill="1" applyBorder="1" applyAlignment="1">
      <alignment horizontal="center" vertical="center"/>
    </xf>
    <xf numFmtId="1" fontId="100" fillId="13" borderId="55" xfId="0" applyNumberFormat="1" applyFont="1" applyFill="1" applyBorder="1" applyAlignment="1">
      <alignment horizontal="center" vertical="center"/>
    </xf>
    <xf numFmtId="2" fontId="100" fillId="13" borderId="25" xfId="0" applyNumberFormat="1" applyFont="1" applyFill="1" applyBorder="1" applyAlignment="1">
      <alignment horizontal="center" vertical="center"/>
    </xf>
    <xf numFmtId="1" fontId="100" fillId="13" borderId="52" xfId="0" applyNumberFormat="1" applyFont="1" applyFill="1" applyBorder="1" applyAlignment="1">
      <alignment horizontal="center" vertical="center"/>
    </xf>
    <xf numFmtId="2" fontId="76" fillId="2" borderId="52" xfId="0" applyNumberFormat="1" applyFont="1" applyFill="1" applyBorder="1" applyAlignment="1">
      <alignment horizontal="center" vertical="center"/>
    </xf>
    <xf numFmtId="2" fontId="83" fillId="2" borderId="47" xfId="0" applyNumberFormat="1" applyFont="1" applyFill="1" applyBorder="1" applyAlignment="1">
      <alignment horizontal="center" vertical="center"/>
    </xf>
    <xf numFmtId="2" fontId="83" fillId="13" borderId="47" xfId="0" quotePrefix="1" applyNumberFormat="1" applyFont="1" applyFill="1" applyBorder="1" applyAlignment="1">
      <alignment horizontal="center" vertical="center"/>
    </xf>
    <xf numFmtId="171" fontId="83" fillId="13" borderId="47" xfId="0" quotePrefix="1" applyNumberFormat="1" applyFont="1" applyFill="1" applyBorder="1" applyAlignment="1">
      <alignment horizontal="center" vertical="center"/>
    </xf>
    <xf numFmtId="171" fontId="83" fillId="13" borderId="51" xfId="0" quotePrefix="1" applyNumberFormat="1" applyFont="1" applyFill="1" applyBorder="1" applyAlignment="1">
      <alignment horizontal="center" vertical="center"/>
    </xf>
    <xf numFmtId="2" fontId="83" fillId="2" borderId="51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0" borderId="36" xfId="0" applyNumberFormat="1" applyFont="1" applyBorder="1" applyAlignment="1">
      <alignment horizontal="center" vertical="center"/>
    </xf>
    <xf numFmtId="1" fontId="138" fillId="0" borderId="63" xfId="0" applyNumberFormat="1" applyFont="1" applyBorder="1" applyAlignment="1">
      <alignment horizontal="center" vertical="center"/>
    </xf>
    <xf numFmtId="1" fontId="138" fillId="0" borderId="31" xfId="0" applyNumberFormat="1" applyFont="1" applyBorder="1" applyAlignment="1">
      <alignment horizontal="center" vertical="center"/>
    </xf>
    <xf numFmtId="0" fontId="138" fillId="0" borderId="3" xfId="0" applyFont="1" applyBorder="1" applyAlignment="1">
      <alignment horizontal="center" vertical="center"/>
    </xf>
    <xf numFmtId="0" fontId="138" fillId="0" borderId="32" xfId="0" applyFont="1" applyBorder="1" applyAlignment="1">
      <alignment horizontal="center" vertical="center"/>
    </xf>
    <xf numFmtId="169" fontId="138" fillId="0" borderId="31" xfId="0" applyNumberFormat="1" applyFont="1" applyBorder="1" applyAlignment="1">
      <alignment horizontal="center" vertical="center"/>
    </xf>
    <xf numFmtId="1" fontId="138" fillId="0" borderId="32" xfId="0" applyNumberFormat="1" applyFont="1" applyBorder="1" applyAlignment="1">
      <alignment horizontal="center" vertical="center"/>
    </xf>
    <xf numFmtId="169" fontId="138" fillId="0" borderId="32" xfId="0" applyNumberFormat="1" applyFont="1" applyBorder="1" applyAlignment="1">
      <alignment horizontal="center" vertical="center"/>
    </xf>
    <xf numFmtId="169" fontId="138" fillId="0" borderId="8" xfId="0" applyNumberFormat="1" applyFont="1" applyBorder="1" applyAlignment="1">
      <alignment horizontal="center" vertical="center"/>
    </xf>
    <xf numFmtId="171" fontId="125" fillId="0" borderId="8" xfId="0" applyNumberFormat="1" applyFont="1" applyBorder="1" applyAlignment="1">
      <alignment horizontal="center" vertical="center"/>
    </xf>
    <xf numFmtId="169" fontId="125" fillId="0" borderId="4" xfId="0" applyNumberFormat="1" applyFont="1" applyBorder="1" applyAlignment="1">
      <alignment horizontal="center" vertical="center"/>
    </xf>
    <xf numFmtId="169" fontId="138" fillId="0" borderId="34" xfId="0" applyNumberFormat="1" applyFont="1" applyBorder="1" applyAlignment="1">
      <alignment horizontal="center" vertical="center"/>
    </xf>
    <xf numFmtId="2" fontId="138" fillId="0" borderId="31" xfId="0" applyNumberFormat="1" applyFont="1" applyBorder="1" applyAlignment="1">
      <alignment horizontal="center" vertical="center"/>
    </xf>
    <xf numFmtId="0" fontId="125" fillId="0" borderId="24" xfId="0" applyFont="1" applyBorder="1" applyAlignment="1">
      <alignment vertical="center"/>
    </xf>
    <xf numFmtId="0" fontId="166" fillId="0" borderId="24" xfId="0" applyFont="1" applyBorder="1" applyAlignment="1">
      <alignment vertical="center"/>
    </xf>
    <xf numFmtId="1" fontId="54" fillId="0" borderId="10" xfId="0" applyNumberFormat="1" applyFont="1" applyBorder="1" applyAlignment="1">
      <alignment horizontal="center" vertical="center"/>
    </xf>
    <xf numFmtId="1" fontId="54" fillId="0" borderId="45" xfId="0" applyNumberFormat="1" applyFont="1" applyBorder="1" applyAlignment="1">
      <alignment horizontal="center" vertical="center"/>
    </xf>
    <xf numFmtId="1" fontId="54" fillId="0" borderId="30" xfId="0" applyNumberFormat="1" applyFont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1" fontId="138" fillId="0" borderId="8" xfId="0" applyNumberFormat="1" applyFont="1" applyBorder="1" applyAlignment="1">
      <alignment horizontal="center" vertical="center"/>
    </xf>
    <xf numFmtId="169" fontId="138" fillId="0" borderId="62" xfId="0" applyNumberFormat="1" applyFont="1" applyBorder="1" applyAlignment="1">
      <alignment horizontal="center" vertical="center"/>
    </xf>
    <xf numFmtId="0" fontId="138" fillId="0" borderId="63" xfId="0" applyFont="1" applyBorder="1" applyAlignment="1">
      <alignment horizontal="center" vertical="center"/>
    </xf>
    <xf numFmtId="0" fontId="119" fillId="0" borderId="69" xfId="0" applyFont="1" applyBorder="1" applyAlignment="1">
      <alignment horizontal="center" vertical="center"/>
    </xf>
    <xf numFmtId="169" fontId="68" fillId="0" borderId="5" xfId="0" applyNumberFormat="1" applyFont="1" applyBorder="1" applyAlignment="1">
      <alignment horizontal="center" vertical="center"/>
    </xf>
    <xf numFmtId="1" fontId="68" fillId="0" borderId="5" xfId="0" applyNumberFormat="1" applyFont="1" applyBorder="1" applyAlignment="1">
      <alignment horizontal="center" vertical="center"/>
    </xf>
    <xf numFmtId="2" fontId="138" fillId="0" borderId="32" xfId="0" applyNumberFormat="1" applyFont="1" applyBorder="1" applyAlignment="1">
      <alignment horizontal="center" vertical="center"/>
    </xf>
    <xf numFmtId="169" fontId="138" fillId="0" borderId="63" xfId="0" applyNumberFormat="1" applyFont="1" applyBorder="1" applyAlignment="1">
      <alignment horizontal="center" vertical="center"/>
    </xf>
    <xf numFmtId="2" fontId="125" fillId="0" borderId="1" xfId="0" applyNumberFormat="1" applyFont="1" applyBorder="1" applyAlignment="1">
      <alignment horizontal="center" vertical="center"/>
    </xf>
    <xf numFmtId="1" fontId="138" fillId="0" borderId="3" xfId="0" applyNumberFormat="1" applyFont="1" applyBorder="1" applyAlignment="1">
      <alignment horizontal="center" vertical="center"/>
    </xf>
    <xf numFmtId="1" fontId="134" fillId="0" borderId="29" xfId="0" applyNumberFormat="1" applyFont="1" applyBorder="1" applyAlignment="1">
      <alignment horizontal="center" vertical="center"/>
    </xf>
    <xf numFmtId="169" fontId="138" fillId="0" borderId="29" xfId="0" applyNumberFormat="1" applyFont="1" applyBorder="1" applyAlignment="1">
      <alignment horizontal="center" vertical="center"/>
    </xf>
    <xf numFmtId="2" fontId="138" fillId="0" borderId="29" xfId="0" applyNumberFormat="1" applyFont="1" applyBorder="1" applyAlignment="1">
      <alignment horizontal="center" vertical="center"/>
    </xf>
    <xf numFmtId="0" fontId="54" fillId="0" borderId="45" xfId="0" applyFont="1" applyBorder="1" applyAlignment="1">
      <alignment horizontal="center" vertical="center"/>
    </xf>
    <xf numFmtId="171" fontId="54" fillId="0" borderId="10" xfId="0" applyNumberFormat="1" applyFont="1" applyBorder="1" applyAlignment="1">
      <alignment horizontal="center" vertical="center"/>
    </xf>
    <xf numFmtId="1" fontId="125" fillId="0" borderId="63" xfId="0" applyNumberFormat="1" applyFont="1" applyBorder="1" applyAlignment="1">
      <alignment horizontal="center" vertical="center"/>
    </xf>
    <xf numFmtId="0" fontId="125" fillId="0" borderId="31" xfId="0" applyFont="1" applyBorder="1" applyAlignment="1">
      <alignment horizontal="center" vertical="center"/>
    </xf>
    <xf numFmtId="0" fontId="138" fillId="0" borderId="59" xfId="0" applyFont="1" applyBorder="1" applyAlignment="1">
      <alignment horizontal="center" vertical="center"/>
    </xf>
    <xf numFmtId="0" fontId="54" fillId="0" borderId="30" xfId="0" applyFont="1" applyBorder="1" applyAlignment="1">
      <alignment horizontal="center" vertical="center"/>
    </xf>
    <xf numFmtId="2" fontId="138" fillId="0" borderId="37" xfId="0" applyNumberFormat="1" applyFont="1" applyBorder="1" applyAlignment="1">
      <alignment horizontal="center" vertical="center"/>
    </xf>
    <xf numFmtId="169" fontId="138" fillId="0" borderId="65" xfId="0" applyNumberFormat="1" applyFont="1" applyBorder="1" applyAlignment="1">
      <alignment horizontal="center" vertical="center"/>
    </xf>
    <xf numFmtId="1" fontId="74" fillId="0" borderId="5" xfId="0" applyNumberFormat="1" applyFont="1" applyBorder="1" applyAlignment="1">
      <alignment horizontal="center" vertical="center"/>
    </xf>
    <xf numFmtId="1" fontId="111" fillId="0" borderId="30" xfId="0" applyNumberFormat="1" applyFont="1" applyBorder="1" applyAlignment="1">
      <alignment horizontal="center" vertical="center"/>
    </xf>
    <xf numFmtId="1" fontId="134" fillId="0" borderId="1" xfId="0" applyNumberFormat="1" applyFont="1" applyBorder="1" applyAlignment="1">
      <alignment horizontal="center" vertical="center"/>
    </xf>
    <xf numFmtId="2" fontId="138" fillId="0" borderId="59" xfId="0" applyNumberFormat="1" applyFont="1" applyBorder="1" applyAlignment="1">
      <alignment horizontal="center" vertical="center"/>
    </xf>
    <xf numFmtId="1" fontId="138" fillId="0" borderId="29" xfId="0" quotePrefix="1" applyNumberFormat="1" applyFont="1" applyBorder="1" applyAlignment="1">
      <alignment horizontal="center" vertical="center"/>
    </xf>
    <xf numFmtId="1" fontId="61" fillId="0" borderId="3" xfId="0" applyNumberFormat="1" applyFont="1" applyBorder="1" applyAlignment="1">
      <alignment horizontal="center" vertical="center"/>
    </xf>
    <xf numFmtId="2" fontId="74" fillId="0" borderId="59" xfId="0" applyNumberFormat="1" applyFont="1" applyBorder="1" applyAlignment="1">
      <alignment horizontal="center" vertical="center"/>
    </xf>
    <xf numFmtId="169" fontId="111" fillId="0" borderId="10" xfId="0" applyNumberFormat="1" applyFont="1" applyBorder="1" applyAlignment="1">
      <alignment horizontal="center" vertical="center"/>
    </xf>
    <xf numFmtId="169" fontId="6" fillId="0" borderId="5" xfId="0" applyNumberFormat="1" applyFont="1" applyBorder="1" applyAlignment="1">
      <alignment horizontal="center" vertical="center"/>
    </xf>
    <xf numFmtId="169" fontId="111" fillId="0" borderId="30" xfId="0" applyNumberFormat="1" applyFont="1" applyBorder="1" applyAlignment="1">
      <alignment horizontal="center" vertical="center"/>
    </xf>
    <xf numFmtId="169" fontId="74" fillId="0" borderId="1" xfId="0" applyNumberFormat="1" applyFont="1" applyBorder="1" applyAlignment="1">
      <alignment horizontal="center" vertical="center"/>
    </xf>
    <xf numFmtId="1" fontId="114" fillId="0" borderId="5" xfId="0" applyNumberFormat="1" applyFont="1" applyBorder="1" applyAlignment="1">
      <alignment horizontal="center" vertical="center"/>
    </xf>
    <xf numFmtId="2" fontId="54" fillId="0" borderId="45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120" fillId="0" borderId="92" xfId="0" applyNumberFormat="1" applyFont="1" applyBorder="1" applyAlignment="1">
      <alignment horizontal="center" vertical="center"/>
    </xf>
    <xf numFmtId="1" fontId="54" fillId="0" borderId="30" xfId="0" quotePrefix="1" applyNumberFormat="1" applyFont="1" applyBorder="1" applyAlignment="1">
      <alignment horizontal="center" vertical="center"/>
    </xf>
    <xf numFmtId="1" fontId="68" fillId="0" borderId="30" xfId="0" quotePrefix="1" applyNumberFormat="1" applyFont="1" applyBorder="1" applyAlignment="1">
      <alignment horizontal="center" vertical="center"/>
    </xf>
    <xf numFmtId="1" fontId="68" fillId="0" borderId="5" xfId="0" quotePrefix="1" applyNumberFormat="1" applyFont="1" applyBorder="1" applyAlignment="1">
      <alignment horizontal="center" vertical="center"/>
    </xf>
    <xf numFmtId="1" fontId="86" fillId="0" borderId="46" xfId="0" applyNumberFormat="1" applyFont="1" applyBorder="1" applyAlignment="1">
      <alignment horizontal="center" vertical="center"/>
    </xf>
    <xf numFmtId="1" fontId="63" fillId="2" borderId="54" xfId="0" applyNumberFormat="1" applyFont="1" applyFill="1" applyBorder="1" applyAlignment="1">
      <alignment horizontal="center" vertical="center"/>
    </xf>
    <xf numFmtId="0" fontId="109" fillId="6" borderId="19" xfId="0" applyFont="1" applyFill="1" applyBorder="1" applyAlignment="1">
      <alignment vertical="center"/>
    </xf>
    <xf numFmtId="0" fontId="114" fillId="0" borderId="21" xfId="0" applyFont="1" applyBorder="1" applyAlignment="1">
      <alignment horizontal="center" vertical="center"/>
    </xf>
    <xf numFmtId="0" fontId="118" fillId="0" borderId="32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68" fillId="0" borderId="31" xfId="0" applyFont="1" applyBorder="1" applyAlignment="1">
      <alignment vertical="center"/>
    </xf>
    <xf numFmtId="0" fontId="68" fillId="0" borderId="32" xfId="0" applyFont="1" applyBorder="1" applyAlignment="1">
      <alignment vertical="center"/>
    </xf>
    <xf numFmtId="0" fontId="68" fillId="0" borderId="23" xfId="0" applyFont="1" applyBorder="1" applyAlignment="1">
      <alignment vertical="center"/>
    </xf>
    <xf numFmtId="0" fontId="112" fillId="0" borderId="10" xfId="0" applyFont="1" applyBorder="1" applyAlignment="1">
      <alignment horizontal="center" vertical="center"/>
    </xf>
    <xf numFmtId="1" fontId="36" fillId="0" borderId="8" xfId="0" quotePrefix="1" applyNumberFormat="1" applyFont="1" applyBorder="1" applyAlignment="1">
      <alignment horizontal="center" vertical="center"/>
    </xf>
    <xf numFmtId="169" fontId="36" fillId="0" borderId="10" xfId="0" quotePrefix="1" applyNumberFormat="1" applyFont="1" applyBorder="1" applyAlignment="1">
      <alignment horizontal="center" vertical="center"/>
    </xf>
    <xf numFmtId="2" fontId="36" fillId="0" borderId="10" xfId="0" quotePrefix="1" applyNumberFormat="1" applyFont="1" applyBorder="1" applyAlignment="1">
      <alignment horizontal="center" vertical="center"/>
    </xf>
    <xf numFmtId="169" fontId="34" fillId="0" borderId="5" xfId="0" applyNumberFormat="1" applyFont="1" applyBorder="1" applyAlignment="1">
      <alignment horizontal="center" vertical="center"/>
    </xf>
    <xf numFmtId="169" fontId="34" fillId="0" borderId="46" xfId="0" applyNumberFormat="1" applyFont="1" applyBorder="1" applyAlignment="1">
      <alignment horizontal="center" vertical="center"/>
    </xf>
    <xf numFmtId="0" fontId="112" fillId="0" borderId="11" xfId="0" applyFont="1" applyBorder="1" applyAlignment="1">
      <alignment horizontal="center" vertical="center"/>
    </xf>
    <xf numFmtId="1" fontId="111" fillId="0" borderId="10" xfId="0" applyNumberFormat="1" applyFont="1" applyBorder="1" applyAlignment="1">
      <alignment horizontal="center" vertical="center"/>
    </xf>
    <xf numFmtId="0" fontId="88" fillId="0" borderId="24" xfId="0" applyFont="1" applyBorder="1" applyAlignment="1">
      <alignment horizontal="center" vertical="center"/>
    </xf>
    <xf numFmtId="1" fontId="83" fillId="0" borderId="10" xfId="0" applyNumberFormat="1" applyFont="1" applyBorder="1" applyAlignment="1">
      <alignment horizontal="center" vertical="center"/>
    </xf>
    <xf numFmtId="1" fontId="63" fillId="0" borderId="30" xfId="0" applyNumberFormat="1" applyFont="1" applyBorder="1" applyAlignment="1">
      <alignment horizontal="center" vertical="center"/>
    </xf>
    <xf numFmtId="1" fontId="63" fillId="0" borderId="46" xfId="0" applyNumberFormat="1" applyFont="1" applyBorder="1" applyAlignment="1">
      <alignment horizontal="center" vertical="center"/>
    </xf>
    <xf numFmtId="169" fontId="76" fillId="0" borderId="5" xfId="0" applyNumberFormat="1" applyFont="1" applyBorder="1" applyAlignment="1">
      <alignment horizontal="center" vertical="center"/>
    </xf>
    <xf numFmtId="0" fontId="35" fillId="0" borderId="74" xfId="0" applyFont="1" applyBorder="1" applyAlignment="1">
      <alignment vertical="center"/>
    </xf>
    <xf numFmtId="0" fontId="35" fillId="0" borderId="34" xfId="0" applyFont="1" applyBorder="1" applyAlignment="1">
      <alignment horizontal="right" vertical="center"/>
    </xf>
    <xf numFmtId="0" fontId="35" fillId="0" borderId="31" xfId="0" applyFont="1" applyBorder="1" applyAlignment="1">
      <alignment horizontal="right" vertical="center"/>
    </xf>
    <xf numFmtId="0" fontId="35" fillId="0" borderId="32" xfId="0" applyFont="1" applyBorder="1" applyAlignment="1">
      <alignment horizontal="right" vertical="center"/>
    </xf>
    <xf numFmtId="2" fontId="34" fillId="0" borderId="10" xfId="0" applyNumberFormat="1" applyFont="1" applyBorder="1" applyAlignment="1">
      <alignment horizontal="center" vertical="center"/>
    </xf>
    <xf numFmtId="0" fontId="34" fillId="0" borderId="92" xfId="0" applyFont="1" applyBorder="1" applyAlignment="1">
      <alignment horizontal="center" vertical="center"/>
    </xf>
    <xf numFmtId="2" fontId="49" fillId="0" borderId="29" xfId="0" applyNumberFormat="1" applyFont="1" applyBorder="1" applyAlignment="1">
      <alignment horizontal="center" vertical="center"/>
    </xf>
    <xf numFmtId="0" fontId="118" fillId="0" borderId="62" xfId="0" applyFont="1" applyBorder="1" applyAlignment="1">
      <alignment horizontal="right"/>
    </xf>
    <xf numFmtId="2" fontId="125" fillId="0" borderId="4" xfId="0" applyNumberFormat="1" applyFont="1" applyBorder="1" applyAlignment="1">
      <alignment horizontal="center" vertical="center"/>
    </xf>
    <xf numFmtId="1" fontId="63" fillId="0" borderId="4" xfId="0" applyNumberFormat="1" applyFont="1" applyBorder="1" applyAlignment="1">
      <alignment horizontal="center" vertical="center"/>
    </xf>
    <xf numFmtId="2" fontId="42" fillId="0" borderId="59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24" fillId="0" borderId="87" xfId="0" applyFont="1" applyBorder="1" applyAlignment="1">
      <alignment vertical="center"/>
    </xf>
    <xf numFmtId="0" fontId="24" fillId="0" borderId="117" xfId="0" applyFont="1" applyBorder="1" applyAlignment="1">
      <alignment vertical="center"/>
    </xf>
    <xf numFmtId="2" fontId="76" fillId="0" borderId="10" xfId="0" applyNumberFormat="1" applyFont="1" applyBorder="1" applyAlignment="1">
      <alignment horizontal="center" vertical="center"/>
    </xf>
    <xf numFmtId="0" fontId="54" fillId="25" borderId="31" xfId="0" applyFont="1" applyFill="1" applyBorder="1" applyAlignment="1">
      <alignment horizontal="center" vertical="center" wrapText="1"/>
    </xf>
    <xf numFmtId="0" fontId="54" fillId="0" borderId="31" xfId="0" applyFont="1" applyBorder="1" applyAlignment="1">
      <alignment horizontal="center"/>
    </xf>
    <xf numFmtId="0" fontId="54" fillId="0" borderId="62" xfId="0" applyFont="1" applyBorder="1" applyAlignment="1">
      <alignment horizontal="center"/>
    </xf>
    <xf numFmtId="0" fontId="119" fillId="0" borderId="72" xfId="0" applyFont="1" applyBorder="1" applyAlignment="1">
      <alignment horizontal="center" vertical="center"/>
    </xf>
    <xf numFmtId="0" fontId="125" fillId="0" borderId="31" xfId="0" applyFont="1" applyBorder="1" applyAlignment="1">
      <alignment vertical="center" wrapText="1"/>
    </xf>
    <xf numFmtId="0" fontId="67" fillId="17" borderId="37" xfId="0" applyFont="1" applyFill="1" applyBorder="1" applyAlignment="1">
      <alignment horizontal="center" vertical="center"/>
    </xf>
    <xf numFmtId="1" fontId="90" fillId="13" borderId="12" xfId="0" applyNumberFormat="1" applyFont="1" applyFill="1" applyBorder="1" applyAlignment="1">
      <alignment horizontal="center" vertical="center"/>
    </xf>
    <xf numFmtId="170" fontId="34" fillId="0" borderId="32" xfId="0" applyNumberFormat="1" applyFont="1" applyBorder="1" applyAlignment="1">
      <alignment horizontal="left" vertical="center"/>
    </xf>
    <xf numFmtId="2" fontId="34" fillId="0" borderId="29" xfId="0" applyNumberFormat="1" applyFont="1" applyBorder="1" applyAlignment="1">
      <alignment horizontal="center" vertical="center"/>
    </xf>
    <xf numFmtId="2" fontId="34" fillId="0" borderId="23" xfId="0" applyNumberFormat="1" applyFont="1" applyBorder="1" applyAlignment="1">
      <alignment horizontal="center" vertical="center"/>
    </xf>
    <xf numFmtId="0" fontId="75" fillId="0" borderId="83" xfId="0" applyFont="1" applyBorder="1" applyAlignment="1">
      <alignment horizontal="center" vertical="center"/>
    </xf>
    <xf numFmtId="169" fontId="138" fillId="0" borderId="59" xfId="0" applyNumberFormat="1" applyFont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1" fontId="125" fillId="21" borderId="1" xfId="0" applyNumberFormat="1" applyFont="1" applyFill="1" applyBorder="1" applyAlignment="1">
      <alignment horizontal="center" vertical="center"/>
    </xf>
    <xf numFmtId="1" fontId="138" fillId="21" borderId="63" xfId="0" applyNumberFormat="1" applyFont="1" applyFill="1" applyBorder="1" applyAlignment="1">
      <alignment horizontal="center" vertical="center"/>
    </xf>
    <xf numFmtId="1" fontId="138" fillId="21" borderId="31" xfId="0" applyNumberFormat="1" applyFont="1" applyFill="1" applyBorder="1" applyAlignment="1">
      <alignment horizontal="center" vertical="center"/>
    </xf>
    <xf numFmtId="0" fontId="138" fillId="21" borderId="3" xfId="0" applyFont="1" applyFill="1" applyBorder="1" applyAlignment="1">
      <alignment horizontal="center" vertical="center"/>
    </xf>
    <xf numFmtId="1" fontId="138" fillId="21" borderId="69" xfId="0" applyNumberFormat="1" applyFont="1" applyFill="1" applyBorder="1" applyAlignment="1">
      <alignment horizontal="center" vertical="center"/>
    </xf>
    <xf numFmtId="1" fontId="138" fillId="21" borderId="32" xfId="0" applyNumberFormat="1" applyFont="1" applyFill="1" applyBorder="1" applyAlignment="1">
      <alignment horizontal="center" vertical="center"/>
    </xf>
    <xf numFmtId="1" fontId="134" fillId="21" borderId="9" xfId="0" applyNumberFormat="1" applyFont="1" applyFill="1" applyBorder="1" applyAlignment="1">
      <alignment vertical="center"/>
    </xf>
    <xf numFmtId="169" fontId="138" fillId="21" borderId="63" xfId="0" applyNumberFormat="1" applyFont="1" applyFill="1" applyBorder="1" applyAlignment="1">
      <alignment horizontal="center" vertical="center"/>
    </xf>
    <xf numFmtId="169" fontId="125" fillId="21" borderId="1" xfId="0" applyNumberFormat="1" applyFont="1" applyFill="1" applyBorder="1" applyAlignment="1">
      <alignment horizontal="center" vertical="center"/>
    </xf>
    <xf numFmtId="169" fontId="138" fillId="21" borderId="34" xfId="0" applyNumberFormat="1" applyFont="1" applyFill="1" applyBorder="1" applyAlignment="1">
      <alignment horizontal="center" vertical="center"/>
    </xf>
    <xf numFmtId="169" fontId="138" fillId="21" borderId="31" xfId="0" applyNumberFormat="1" applyFont="1" applyFill="1" applyBorder="1" applyAlignment="1">
      <alignment horizontal="center" vertical="center"/>
    </xf>
    <xf numFmtId="169" fontId="138" fillId="21" borderId="32" xfId="0" applyNumberFormat="1" applyFont="1" applyFill="1" applyBorder="1" applyAlignment="1">
      <alignment horizontal="center" vertical="center"/>
    </xf>
    <xf numFmtId="2" fontId="138" fillId="21" borderId="31" xfId="0" applyNumberFormat="1" applyFont="1" applyFill="1" applyBorder="1" applyAlignment="1">
      <alignment horizontal="center" vertical="center"/>
    </xf>
    <xf numFmtId="1" fontId="138" fillId="21" borderId="59" xfId="0" applyNumberFormat="1" applyFont="1" applyFill="1" applyBorder="1" applyAlignment="1">
      <alignment horizontal="center" vertical="center"/>
    </xf>
    <xf numFmtId="169" fontId="138" fillId="0" borderId="3" xfId="0" applyNumberFormat="1" applyFont="1" applyBorder="1" applyAlignment="1">
      <alignment horizontal="center" vertical="center"/>
    </xf>
    <xf numFmtId="169" fontId="138" fillId="0" borderId="36" xfId="0" applyNumberFormat="1" applyFont="1" applyBorder="1" applyAlignment="1">
      <alignment horizontal="center" vertical="center"/>
    </xf>
    <xf numFmtId="1" fontId="134" fillId="0" borderId="4" xfId="0" applyNumberFormat="1" applyFont="1" applyBorder="1" applyAlignment="1">
      <alignment horizontal="center" vertical="center"/>
    </xf>
    <xf numFmtId="2" fontId="138" fillId="0" borderId="8" xfId="0" applyNumberFormat="1" applyFont="1" applyBorder="1" applyAlignment="1">
      <alignment horizontal="center" vertical="center"/>
    </xf>
    <xf numFmtId="0" fontId="80" fillId="0" borderId="49" xfId="0" applyFont="1" applyBorder="1" applyAlignment="1">
      <alignment horizontal="center" vertical="center"/>
    </xf>
    <xf numFmtId="1" fontId="125" fillId="0" borderId="3" xfId="0" applyNumberFormat="1" applyFont="1" applyBorder="1" applyAlignment="1">
      <alignment horizontal="center" vertical="center"/>
    </xf>
    <xf numFmtId="0" fontId="125" fillId="0" borderId="29" xfId="0" applyFont="1" applyBorder="1" applyAlignment="1">
      <alignment horizontal="center" vertical="center"/>
    </xf>
    <xf numFmtId="169" fontId="111" fillId="21" borderId="19" xfId="0" applyNumberFormat="1" applyFont="1" applyFill="1" applyBorder="1" applyAlignment="1">
      <alignment horizontal="center" vertical="center"/>
    </xf>
    <xf numFmtId="169" fontId="111" fillId="0" borderId="6" xfId="0" applyNumberFormat="1" applyFont="1" applyBorder="1" applyAlignment="1">
      <alignment horizontal="center" vertical="center"/>
    </xf>
    <xf numFmtId="169" fontId="111" fillId="21" borderId="17" xfId="0" applyNumberFormat="1" applyFont="1" applyFill="1" applyBorder="1" applyAlignment="1">
      <alignment horizontal="center" vertical="center"/>
    </xf>
    <xf numFmtId="169" fontId="111" fillId="21" borderId="72" xfId="0" applyNumberFormat="1" applyFont="1" applyFill="1" applyBorder="1" applyAlignment="1">
      <alignment horizontal="center" vertical="center"/>
    </xf>
    <xf numFmtId="171" fontId="134" fillId="0" borderId="8" xfId="0" applyNumberFormat="1" applyFont="1" applyBorder="1" applyAlignment="1">
      <alignment horizontal="center" vertical="center"/>
    </xf>
    <xf numFmtId="0" fontId="54" fillId="0" borderId="63" xfId="0" applyFont="1" applyBorder="1" applyAlignment="1">
      <alignment horizontal="left"/>
    </xf>
    <xf numFmtId="0" fontId="54" fillId="0" borderId="31" xfId="0" applyFont="1" applyBorder="1" applyAlignment="1">
      <alignment horizontal="left"/>
    </xf>
    <xf numFmtId="1" fontId="138" fillId="0" borderId="8" xfId="0" quotePrefix="1" applyNumberFormat="1" applyFont="1" applyBorder="1" applyAlignment="1">
      <alignment horizontal="center" vertical="center"/>
    </xf>
    <xf numFmtId="0" fontId="148" fillId="0" borderId="0" xfId="0" applyFont="1"/>
    <xf numFmtId="0" fontId="148" fillId="0" borderId="0" xfId="0" applyFont="1" applyAlignment="1">
      <alignment vertical="center"/>
    </xf>
    <xf numFmtId="0" fontId="114" fillId="0" borderId="5" xfId="0" applyFont="1" applyBorder="1" applyAlignment="1">
      <alignment horizontal="center" vertical="center"/>
    </xf>
    <xf numFmtId="1" fontId="111" fillId="0" borderId="45" xfId="0" applyNumberFormat="1" applyFont="1" applyBorder="1" applyAlignment="1">
      <alignment horizontal="center" vertical="center"/>
    </xf>
    <xf numFmtId="1" fontId="109" fillId="0" borderId="5" xfId="0" applyNumberFormat="1" applyFont="1" applyBorder="1" applyAlignment="1">
      <alignment horizontal="center" vertical="center"/>
    </xf>
    <xf numFmtId="1" fontId="111" fillId="0" borderId="23" xfId="0" applyNumberFormat="1" applyFont="1" applyBorder="1" applyAlignment="1">
      <alignment horizontal="center" vertical="center"/>
    </xf>
    <xf numFmtId="169" fontId="112" fillId="0" borderId="5" xfId="0" applyNumberFormat="1" applyFont="1" applyBorder="1" applyAlignment="1">
      <alignment horizontal="center" vertical="center"/>
    </xf>
    <xf numFmtId="169" fontId="109" fillId="0" borderId="5" xfId="0" applyNumberFormat="1" applyFont="1" applyBorder="1" applyAlignment="1">
      <alignment horizontal="center" vertical="center"/>
    </xf>
    <xf numFmtId="0" fontId="134" fillId="0" borderId="53" xfId="0" applyFont="1" applyBorder="1" applyAlignment="1">
      <alignment horizontal="center" vertical="center"/>
    </xf>
    <xf numFmtId="0" fontId="19" fillId="0" borderId="34" xfId="0" applyFont="1" applyBorder="1" applyAlignment="1">
      <alignment horizontal="left" vertical="center" wrapText="1"/>
    </xf>
    <xf numFmtId="0" fontId="134" fillId="0" borderId="34" xfId="0" applyFont="1" applyBorder="1" applyAlignment="1">
      <alignment horizontal="left" vertical="center" wrapText="1"/>
    </xf>
    <xf numFmtId="2" fontId="36" fillId="0" borderId="8" xfId="0" quotePrefix="1" applyNumberFormat="1" applyFont="1" applyBorder="1" applyAlignment="1">
      <alignment horizontal="center" vertical="center"/>
    </xf>
    <xf numFmtId="1" fontId="75" fillId="0" borderId="3" xfId="0" quotePrefix="1" applyNumberFormat="1" applyFont="1" applyBorder="1" applyAlignment="1">
      <alignment horizontal="center" vertical="center"/>
    </xf>
    <xf numFmtId="1" fontId="74" fillId="0" borderId="38" xfId="0" applyNumberFormat="1" applyFont="1" applyBorder="1" applyAlignment="1">
      <alignment horizontal="center" vertical="center"/>
    </xf>
    <xf numFmtId="169" fontId="74" fillId="0" borderId="4" xfId="0" applyNumberFormat="1" applyFont="1" applyBorder="1" applyAlignment="1">
      <alignment horizontal="center" vertical="center"/>
    </xf>
    <xf numFmtId="169" fontId="74" fillId="0" borderId="29" xfId="0" applyNumberFormat="1" applyFont="1" applyBorder="1" applyAlignment="1">
      <alignment horizontal="center" vertical="center"/>
    </xf>
    <xf numFmtId="1" fontId="154" fillId="0" borderId="0" xfId="0" applyNumberFormat="1" applyFont="1"/>
    <xf numFmtId="1" fontId="138" fillId="0" borderId="23" xfId="0" applyNumberFormat="1" applyFont="1" applyBorder="1" applyAlignment="1">
      <alignment horizontal="center" vertical="center"/>
    </xf>
    <xf numFmtId="1" fontId="114" fillId="0" borderId="73" xfId="0" applyNumberFormat="1" applyFont="1" applyBorder="1" applyAlignment="1">
      <alignment horizontal="center" vertical="center"/>
    </xf>
    <xf numFmtId="1" fontId="114" fillId="21" borderId="54" xfId="0" applyNumberFormat="1" applyFont="1" applyFill="1" applyBorder="1" applyAlignment="1">
      <alignment horizontal="center" vertical="center"/>
    </xf>
    <xf numFmtId="0" fontId="125" fillId="0" borderId="59" xfId="0" applyFont="1" applyBorder="1" applyAlignment="1">
      <alignment horizontal="center" vertical="center"/>
    </xf>
    <xf numFmtId="2" fontId="34" fillId="13" borderId="159" xfId="0" applyNumberFormat="1" applyFont="1" applyFill="1" applyBorder="1" applyAlignment="1">
      <alignment horizontal="center" vertical="center"/>
    </xf>
    <xf numFmtId="0" fontId="34" fillId="13" borderId="18" xfId="0" applyFont="1" applyFill="1" applyBorder="1" applyAlignment="1">
      <alignment horizontal="center" vertical="center" wrapText="1"/>
    </xf>
    <xf numFmtId="0" fontId="34" fillId="13" borderId="20" xfId="0" applyFont="1" applyFill="1" applyBorder="1" applyAlignment="1">
      <alignment horizontal="center" vertical="center" wrapText="1"/>
    </xf>
    <xf numFmtId="0" fontId="54" fillId="0" borderId="62" xfId="0" applyFont="1" applyBorder="1" applyAlignment="1">
      <alignment horizontal="left"/>
    </xf>
    <xf numFmtId="2" fontId="34" fillId="13" borderId="18" xfId="0" quotePrefix="1" applyNumberFormat="1" applyFont="1" applyFill="1" applyBorder="1" applyAlignment="1">
      <alignment horizontal="center" vertical="center"/>
    </xf>
    <xf numFmtId="1" fontId="138" fillId="0" borderId="47" xfId="0" applyNumberFormat="1" applyFont="1" applyBorder="1" applyAlignment="1">
      <alignment horizontal="center" vertical="center"/>
    </xf>
    <xf numFmtId="1" fontId="111" fillId="0" borderId="6" xfId="0" applyNumberFormat="1" applyFont="1" applyBorder="1" applyAlignment="1">
      <alignment horizontal="center" vertical="center"/>
    </xf>
    <xf numFmtId="1" fontId="72" fillId="0" borderId="8" xfId="0" quotePrefix="1" applyNumberFormat="1" applyFont="1" applyBorder="1" applyAlignment="1">
      <alignment horizontal="center" vertical="center"/>
    </xf>
    <xf numFmtId="0" fontId="168" fillId="0" borderId="0" xfId="0" applyFont="1" applyAlignment="1">
      <alignment horizontal="center" vertical="center"/>
    </xf>
    <xf numFmtId="2" fontId="138" fillId="21" borderId="29" xfId="0" applyNumberFormat="1" applyFont="1" applyFill="1" applyBorder="1" applyAlignment="1">
      <alignment horizontal="center" vertical="center"/>
    </xf>
    <xf numFmtId="0" fontId="18" fillId="0" borderId="8" xfId="0" applyFont="1" applyBorder="1" applyAlignment="1">
      <alignment horizontal="right" vertical="center"/>
    </xf>
    <xf numFmtId="0" fontId="18" fillId="0" borderId="29" xfId="0" applyFont="1" applyBorder="1" applyAlignment="1">
      <alignment horizontal="right" vertical="center"/>
    </xf>
    <xf numFmtId="0" fontId="55" fillId="0" borderId="0" xfId="0" applyFont="1" applyAlignment="1">
      <alignment vertical="center"/>
    </xf>
    <xf numFmtId="0" fontId="18" fillId="0" borderId="36" xfId="0" applyFont="1" applyBorder="1" applyAlignment="1">
      <alignment horizontal="right" vertical="center"/>
    </xf>
    <xf numFmtId="0" fontId="19" fillId="0" borderId="1" xfId="0" applyFont="1" applyBorder="1" applyAlignment="1">
      <alignment horizontal="right" vertical="center"/>
    </xf>
    <xf numFmtId="0" fontId="34" fillId="0" borderId="154" xfId="0" applyFont="1" applyBorder="1" applyAlignment="1">
      <alignment horizontal="right" vertical="center"/>
    </xf>
    <xf numFmtId="1" fontId="111" fillId="0" borderId="17" xfId="0" applyNumberFormat="1" applyFont="1" applyBorder="1" applyAlignment="1">
      <alignment horizontal="center" vertical="center" wrapText="1"/>
    </xf>
    <xf numFmtId="0" fontId="54" fillId="0" borderId="19" xfId="0" applyFont="1" applyBorder="1" applyAlignment="1">
      <alignment horizontal="center" vertical="center"/>
    </xf>
    <xf numFmtId="41" fontId="123" fillId="0" borderId="31" xfId="0" quotePrefix="1" applyNumberFormat="1" applyFont="1" applyBorder="1" applyAlignment="1">
      <alignment horizontal="left" vertical="center"/>
    </xf>
    <xf numFmtId="0" fontId="123" fillId="0" borderId="17" xfId="0" applyFont="1" applyBorder="1" applyAlignment="1">
      <alignment horizontal="center" vertical="center"/>
    </xf>
    <xf numFmtId="41" fontId="123" fillId="0" borderId="74" xfId="0" quotePrefix="1" applyNumberFormat="1" applyFont="1" applyBorder="1" applyAlignment="1">
      <alignment horizontal="left" vertical="center"/>
    </xf>
    <xf numFmtId="0" fontId="123" fillId="0" borderId="71" xfId="0" applyFont="1" applyBorder="1" applyAlignment="1">
      <alignment horizontal="center" vertical="center"/>
    </xf>
    <xf numFmtId="41" fontId="123" fillId="0" borderId="62" xfId="0" quotePrefix="1" applyNumberFormat="1" applyFont="1" applyBorder="1" applyAlignment="1">
      <alignment horizontal="left" vertical="center"/>
    </xf>
    <xf numFmtId="0" fontId="129" fillId="0" borderId="0" xfId="0" applyFont="1" applyAlignment="1">
      <alignment vertical="center"/>
    </xf>
    <xf numFmtId="0" fontId="129" fillId="0" borderId="26" xfId="0" applyFont="1" applyBorder="1" applyAlignment="1">
      <alignment vertical="center"/>
    </xf>
    <xf numFmtId="169" fontId="54" fillId="21" borderId="9" xfId="0" applyNumberFormat="1" applyFont="1" applyFill="1" applyBorder="1" applyAlignment="1">
      <alignment horizontal="center" vertical="center"/>
    </xf>
    <xf numFmtId="2" fontId="54" fillId="21" borderId="73" xfId="0" applyNumberFormat="1" applyFont="1" applyFill="1" applyBorder="1" applyAlignment="1">
      <alignment horizontal="center" vertical="center"/>
    </xf>
    <xf numFmtId="0" fontId="34" fillId="14" borderId="18" xfId="0" applyFont="1" applyFill="1" applyBorder="1" applyAlignment="1">
      <alignment horizontal="center" vertical="center" wrapText="1"/>
    </xf>
    <xf numFmtId="0" fontId="34" fillId="14" borderId="12" xfId="0" quotePrefix="1" applyFont="1" applyFill="1" applyBorder="1" applyAlignment="1">
      <alignment horizontal="center" vertical="center"/>
    </xf>
    <xf numFmtId="0" fontId="34" fillId="14" borderId="20" xfId="0" applyFont="1" applyFill="1" applyBorder="1" applyAlignment="1">
      <alignment horizontal="center" vertical="center" wrapText="1"/>
    </xf>
    <xf numFmtId="1" fontId="34" fillId="14" borderId="20" xfId="0" quotePrefix="1" applyNumberFormat="1" applyFont="1" applyFill="1" applyBorder="1" applyAlignment="1">
      <alignment horizontal="center" vertical="center"/>
    </xf>
    <xf numFmtId="2" fontId="34" fillId="14" borderId="18" xfId="0" quotePrefix="1" applyNumberFormat="1" applyFont="1" applyFill="1" applyBorder="1" applyAlignment="1">
      <alignment horizontal="center" vertical="center"/>
    </xf>
    <xf numFmtId="2" fontId="34" fillId="14" borderId="21" xfId="0" applyNumberFormat="1" applyFont="1" applyFill="1" applyBorder="1" applyAlignment="1">
      <alignment horizontal="center" vertical="center"/>
    </xf>
    <xf numFmtId="2" fontId="34" fillId="14" borderId="159" xfId="0" applyNumberFormat="1" applyFont="1" applyFill="1" applyBorder="1" applyAlignment="1">
      <alignment horizontal="center" vertical="center"/>
    </xf>
    <xf numFmtId="1" fontId="72" fillId="14" borderId="22" xfId="0" applyNumberFormat="1" applyFont="1" applyFill="1" applyBorder="1" applyAlignment="1">
      <alignment horizontal="center" vertical="center"/>
    </xf>
    <xf numFmtId="168" fontId="72" fillId="14" borderId="12" xfId="0" applyNumberFormat="1" applyFont="1" applyFill="1" applyBorder="1" applyAlignment="1">
      <alignment horizontal="center" vertical="center"/>
    </xf>
    <xf numFmtId="168" fontId="72" fillId="14" borderId="40" xfId="0" applyNumberFormat="1" applyFont="1" applyFill="1" applyBorder="1" applyAlignment="1">
      <alignment horizontal="center" vertical="center"/>
    </xf>
    <xf numFmtId="2" fontId="74" fillId="0" borderId="4" xfId="0" applyNumberFormat="1" applyFont="1" applyBorder="1" applyAlignment="1">
      <alignment horizontal="center" vertical="center"/>
    </xf>
    <xf numFmtId="2" fontId="74" fillId="0" borderId="1" xfId="0" applyNumberFormat="1" applyFont="1" applyBorder="1" applyAlignment="1">
      <alignment horizontal="center" vertical="center"/>
    </xf>
    <xf numFmtId="2" fontId="114" fillId="19" borderId="33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horizontal="center" vertical="center"/>
    </xf>
    <xf numFmtId="1" fontId="138" fillId="19" borderId="63" xfId="0" applyNumberFormat="1" applyFont="1" applyFill="1" applyBorder="1" applyAlignment="1">
      <alignment horizontal="center" vertical="center"/>
    </xf>
    <xf numFmtId="1" fontId="138" fillId="19" borderId="31" xfId="0" applyNumberFormat="1" applyFont="1" applyFill="1" applyBorder="1" applyAlignment="1">
      <alignment horizontal="center" vertical="center"/>
    </xf>
    <xf numFmtId="169" fontId="138" fillId="19" borderId="63" xfId="0" applyNumberFormat="1" applyFont="1" applyFill="1" applyBorder="1" applyAlignment="1">
      <alignment horizontal="center" vertical="center"/>
    </xf>
    <xf numFmtId="0" fontId="138" fillId="19" borderId="32" xfId="0" applyFont="1" applyFill="1" applyBorder="1" applyAlignment="1">
      <alignment horizontal="center" vertical="center"/>
    </xf>
    <xf numFmtId="169" fontId="138" fillId="19" borderId="34" xfId="0" applyNumberFormat="1" applyFont="1" applyFill="1" applyBorder="1" applyAlignment="1">
      <alignment horizontal="center" vertical="center"/>
    </xf>
    <xf numFmtId="169" fontId="138" fillId="19" borderId="32" xfId="0" applyNumberFormat="1" applyFont="1" applyFill="1" applyBorder="1" applyAlignment="1">
      <alignment horizontal="center" vertical="center"/>
    </xf>
    <xf numFmtId="2" fontId="138" fillId="19" borderId="29" xfId="0" applyNumberFormat="1" applyFont="1" applyFill="1" applyBorder="1" applyAlignment="1">
      <alignment horizontal="center" vertical="center"/>
    </xf>
    <xf numFmtId="0" fontId="167" fillId="0" borderId="24" xfId="0" applyFont="1" applyBorder="1"/>
    <xf numFmtId="0" fontId="138" fillId="0" borderId="0" xfId="0" applyFont="1"/>
    <xf numFmtId="2" fontId="138" fillId="0" borderId="55" xfId="0" applyNumberFormat="1" applyFont="1" applyBorder="1" applyAlignment="1">
      <alignment horizontal="center" vertical="center"/>
    </xf>
    <xf numFmtId="0" fontId="54" fillId="19" borderId="62" xfId="0" applyFont="1" applyFill="1" applyBorder="1" applyAlignment="1">
      <alignment horizontal="center" vertical="center"/>
    </xf>
    <xf numFmtId="0" fontId="54" fillId="19" borderId="8" xfId="0" applyFont="1" applyFill="1" applyBorder="1" applyAlignment="1">
      <alignment horizontal="center" vertical="center"/>
    </xf>
    <xf numFmtId="169" fontId="111" fillId="19" borderId="19" xfId="0" applyNumberFormat="1" applyFont="1" applyFill="1" applyBorder="1" applyAlignment="1">
      <alignment horizontal="center" vertical="center"/>
    </xf>
    <xf numFmtId="169" fontId="111" fillId="19" borderId="17" xfId="0" applyNumberFormat="1" applyFont="1" applyFill="1" applyBorder="1" applyAlignment="1">
      <alignment horizontal="center" vertical="center"/>
    </xf>
    <xf numFmtId="169" fontId="111" fillId="19" borderId="72" xfId="0" applyNumberFormat="1" applyFont="1" applyFill="1" applyBorder="1" applyAlignment="1">
      <alignment horizontal="center" vertical="center"/>
    </xf>
    <xf numFmtId="0" fontId="118" fillId="0" borderId="9" xfId="0" applyFont="1" applyBorder="1" applyAlignment="1">
      <alignment horizontal="left" vertical="center"/>
    </xf>
    <xf numFmtId="0" fontId="54" fillId="0" borderId="73" xfId="0" applyFont="1" applyBorder="1" applyAlignment="1">
      <alignment horizontal="center" vertical="center"/>
    </xf>
    <xf numFmtId="0" fontId="118" fillId="0" borderId="74" xfId="0" applyFont="1" applyBorder="1" applyAlignment="1">
      <alignment horizontal="left" vertical="center"/>
    </xf>
    <xf numFmtId="2" fontId="34" fillId="13" borderId="16" xfId="0" quotePrefix="1" applyNumberFormat="1" applyFont="1" applyFill="1" applyBorder="1" applyAlignment="1">
      <alignment horizontal="center" vertical="center"/>
    </xf>
    <xf numFmtId="0" fontId="105" fillId="0" borderId="34" xfId="0" applyFont="1" applyBorder="1" applyAlignment="1">
      <alignment horizontal="left" vertical="center"/>
    </xf>
    <xf numFmtId="0" fontId="105" fillId="0" borderId="31" xfId="0" applyFont="1" applyBorder="1" applyAlignment="1">
      <alignment horizontal="left" vertical="center"/>
    </xf>
    <xf numFmtId="1" fontId="103" fillId="13" borderId="22" xfId="0" quotePrefix="1" applyNumberFormat="1" applyFont="1" applyFill="1" applyBorder="1" applyAlignment="1">
      <alignment horizontal="center" vertical="center"/>
    </xf>
    <xf numFmtId="1" fontId="103" fillId="14" borderId="22" xfId="0" applyNumberFormat="1" applyFont="1" applyFill="1" applyBorder="1" applyAlignment="1">
      <alignment horizontal="center" vertical="center"/>
    </xf>
    <xf numFmtId="2" fontId="34" fillId="14" borderId="16" xfId="0" quotePrefix="1" applyNumberFormat="1" applyFont="1" applyFill="1" applyBorder="1" applyAlignment="1">
      <alignment horizontal="center" vertical="center"/>
    </xf>
    <xf numFmtId="2" fontId="54" fillId="19" borderId="42" xfId="0" applyNumberFormat="1" applyFont="1" applyFill="1" applyBorder="1" applyAlignment="1">
      <alignment horizontal="center" vertical="center"/>
    </xf>
    <xf numFmtId="0" fontId="105" fillId="0" borderId="9" xfId="0" applyFont="1" applyBorder="1" applyAlignment="1">
      <alignment horizontal="left" vertical="center"/>
    </xf>
    <xf numFmtId="1" fontId="103" fillId="13" borderId="12" xfId="0" quotePrefix="1" applyNumberFormat="1" applyFont="1" applyFill="1" applyBorder="1" applyAlignment="1">
      <alignment horizontal="center" vertical="center"/>
    </xf>
    <xf numFmtId="1" fontId="103" fillId="14" borderId="12" xfId="0" applyNumberFormat="1" applyFont="1" applyFill="1" applyBorder="1" applyAlignment="1">
      <alignment horizontal="center" vertical="center"/>
    </xf>
    <xf numFmtId="1" fontId="35" fillId="13" borderId="20" xfId="0" quotePrefix="1" applyNumberFormat="1" applyFont="1" applyFill="1" applyBorder="1" applyAlignment="1">
      <alignment horizontal="center" vertical="center"/>
    </xf>
    <xf numFmtId="1" fontId="138" fillId="0" borderId="3" xfId="0" quotePrefix="1" applyNumberFormat="1" applyFont="1" applyBorder="1" applyAlignment="1">
      <alignment horizontal="center" vertical="center"/>
    </xf>
    <xf numFmtId="2" fontId="134" fillId="19" borderId="53" xfId="0" applyNumberFormat="1" applyFont="1" applyFill="1" applyBorder="1" applyAlignment="1">
      <alignment horizontal="center" vertical="center"/>
    </xf>
    <xf numFmtId="1" fontId="112" fillId="0" borderId="17" xfId="0" applyNumberFormat="1" applyFont="1" applyBorder="1" applyAlignment="1">
      <alignment horizontal="center" vertical="center"/>
    </xf>
    <xf numFmtId="0" fontId="109" fillId="0" borderId="30" xfId="0" applyFont="1" applyBorder="1" applyAlignment="1">
      <alignment horizontal="center" vertical="center"/>
    </xf>
    <xf numFmtId="2" fontId="138" fillId="0" borderId="131" xfId="0" applyNumberFormat="1" applyFont="1" applyBorder="1" applyAlignment="1">
      <alignment horizontal="center" vertical="center"/>
    </xf>
    <xf numFmtId="0" fontId="141" fillId="0" borderId="7" xfId="0" applyFont="1" applyBorder="1" applyAlignment="1">
      <alignment vertical="center"/>
    </xf>
    <xf numFmtId="1" fontId="111" fillId="19" borderId="50" xfId="0" applyNumberFormat="1" applyFont="1" applyFill="1" applyBorder="1" applyAlignment="1">
      <alignment horizontal="center" vertical="center"/>
    </xf>
    <xf numFmtId="2" fontId="111" fillId="19" borderId="54" xfId="0" applyNumberFormat="1" applyFont="1" applyFill="1" applyBorder="1" applyAlignment="1">
      <alignment horizontal="center" vertical="center"/>
    </xf>
    <xf numFmtId="2" fontId="109" fillId="19" borderId="21" xfId="0" applyNumberFormat="1" applyFont="1" applyFill="1" applyBorder="1" applyAlignment="1">
      <alignment horizontal="center" vertical="center"/>
    </xf>
    <xf numFmtId="1" fontId="114" fillId="0" borderId="21" xfId="0" applyNumberFormat="1" applyFont="1" applyBorder="1" applyAlignment="1">
      <alignment horizontal="center" vertical="center"/>
    </xf>
    <xf numFmtId="1" fontId="114" fillId="19" borderId="21" xfId="0" applyNumberFormat="1" applyFont="1" applyFill="1" applyBorder="1" applyAlignment="1">
      <alignment horizontal="center" vertical="center"/>
    </xf>
    <xf numFmtId="1" fontId="125" fillId="0" borderId="32" xfId="0" applyNumberFormat="1" applyFont="1" applyBorder="1" applyAlignment="1">
      <alignment horizontal="center" vertical="center"/>
    </xf>
    <xf numFmtId="169" fontId="125" fillId="21" borderId="17" xfId="0" applyNumberFormat="1" applyFont="1" applyFill="1" applyBorder="1" applyAlignment="1">
      <alignment horizontal="center" vertical="center"/>
    </xf>
    <xf numFmtId="0" fontId="118" fillId="0" borderId="1" xfId="0" applyFont="1" applyBorder="1" applyAlignment="1">
      <alignment horizontal="left" vertical="center" wrapText="1"/>
    </xf>
    <xf numFmtId="2" fontId="112" fillId="19" borderId="11" xfId="0" applyNumberFormat="1" applyFont="1" applyFill="1" applyBorder="1" applyAlignment="1">
      <alignment horizontal="center" vertical="center"/>
    </xf>
    <xf numFmtId="169" fontId="50" fillId="13" borderId="22" xfId="0" applyNumberFormat="1" applyFont="1" applyFill="1" applyBorder="1" applyAlignment="1">
      <alignment horizontal="center" vertical="center"/>
    </xf>
    <xf numFmtId="169" fontId="50" fillId="14" borderId="22" xfId="0" applyNumberFormat="1" applyFont="1" applyFill="1" applyBorder="1" applyAlignment="1">
      <alignment horizontal="center" vertical="center"/>
    </xf>
    <xf numFmtId="169" fontId="111" fillId="19" borderId="58" xfId="0" applyNumberFormat="1" applyFont="1" applyFill="1" applyBorder="1" applyAlignment="1">
      <alignment horizontal="center" vertical="center"/>
    </xf>
    <xf numFmtId="169" fontId="34" fillId="13" borderId="12" xfId="0" quotePrefix="1" applyNumberFormat="1" applyFont="1" applyFill="1" applyBorder="1" applyAlignment="1">
      <alignment horizontal="center" vertical="center"/>
    </xf>
    <xf numFmtId="169" fontId="34" fillId="14" borderId="12" xfId="0" quotePrefix="1" applyNumberFormat="1" applyFont="1" applyFill="1" applyBorder="1" applyAlignment="1">
      <alignment horizontal="center" vertical="center"/>
    </xf>
    <xf numFmtId="1" fontId="111" fillId="0" borderId="31" xfId="0" applyNumberFormat="1" applyFont="1" applyBorder="1" applyAlignment="1">
      <alignment horizontal="center" vertical="center"/>
    </xf>
    <xf numFmtId="0" fontId="0" fillId="0" borderId="31" xfId="0" applyBorder="1" applyAlignment="1">
      <alignment wrapText="1"/>
    </xf>
    <xf numFmtId="0" fontId="113" fillId="0" borderId="62" xfId="0" applyFont="1" applyBorder="1" applyAlignment="1">
      <alignment wrapText="1"/>
    </xf>
    <xf numFmtId="0" fontId="113" fillId="0" borderId="62" xfId="0" applyFont="1" applyBorder="1"/>
    <xf numFmtId="0" fontId="77" fillId="0" borderId="47" xfId="0" applyFont="1" applyBorder="1"/>
    <xf numFmtId="1" fontId="77" fillId="0" borderId="37" xfId="0" applyNumberFormat="1" applyFont="1" applyBorder="1" applyAlignment="1">
      <alignment horizontal="center" vertical="center"/>
    </xf>
    <xf numFmtId="0" fontId="78" fillId="0" borderId="52" xfId="0" applyFont="1" applyBorder="1"/>
    <xf numFmtId="1" fontId="78" fillId="0" borderId="64" xfId="0" applyNumberFormat="1" applyFont="1" applyBorder="1" applyAlignment="1">
      <alignment horizontal="center" vertical="center"/>
    </xf>
    <xf numFmtId="0" fontId="0" fillId="0" borderId="62" xfId="0" applyBorder="1" applyAlignment="1">
      <alignment vertical="center" wrapText="1"/>
    </xf>
    <xf numFmtId="2" fontId="74" fillId="0" borderId="5" xfId="0" applyNumberFormat="1" applyFont="1" applyBorder="1" applyAlignment="1">
      <alignment horizontal="center" vertical="center"/>
    </xf>
    <xf numFmtId="2" fontId="74" fillId="21" borderId="1" xfId="0" applyNumberFormat="1" applyFont="1" applyFill="1" applyBorder="1" applyAlignment="1">
      <alignment horizontal="center" vertical="center"/>
    </xf>
    <xf numFmtId="2" fontId="74" fillId="19" borderId="1" xfId="0" applyNumberFormat="1" applyFont="1" applyFill="1" applyBorder="1" applyAlignment="1">
      <alignment horizontal="center" vertical="center"/>
    </xf>
    <xf numFmtId="0" fontId="170" fillId="0" borderId="1" xfId="0" applyFont="1" applyBorder="1"/>
    <xf numFmtId="169" fontId="74" fillId="21" borderId="1" xfId="0" applyNumberFormat="1" applyFont="1" applyFill="1" applyBorder="1" applyAlignment="1">
      <alignment horizontal="center" vertical="center"/>
    </xf>
    <xf numFmtId="169" fontId="74" fillId="19" borderId="1" xfId="0" applyNumberFormat="1" applyFont="1" applyFill="1" applyBorder="1" applyAlignment="1">
      <alignment horizontal="center" vertical="center"/>
    </xf>
    <xf numFmtId="0" fontId="113" fillId="0" borderId="34" xfId="0" applyFont="1" applyBorder="1"/>
    <xf numFmtId="0" fontId="0" fillId="0" borderId="32" xfId="0" applyBorder="1"/>
    <xf numFmtId="0" fontId="34" fillId="13" borderId="12" xfId="0" quotePrefix="1" applyFont="1" applyFill="1" applyBorder="1" applyAlignment="1">
      <alignment horizontal="center" vertical="center"/>
    </xf>
    <xf numFmtId="0" fontId="35" fillId="13" borderId="20" xfId="0" applyFont="1" applyFill="1" applyBorder="1" applyAlignment="1">
      <alignment horizontal="center" vertical="center" wrapText="1"/>
    </xf>
    <xf numFmtId="2" fontId="72" fillId="14" borderId="52" xfId="0" applyNumberFormat="1" applyFont="1" applyFill="1" applyBorder="1" applyAlignment="1">
      <alignment horizontal="center" vertical="center"/>
    </xf>
    <xf numFmtId="1" fontId="103" fillId="13" borderId="18" xfId="0" applyNumberFormat="1" applyFont="1" applyFill="1" applyBorder="1" applyAlignment="1">
      <alignment horizontal="center" vertical="center"/>
    </xf>
    <xf numFmtId="1" fontId="103" fillId="13" borderId="22" xfId="0" applyNumberFormat="1" applyFont="1" applyFill="1" applyBorder="1" applyAlignment="1">
      <alignment horizontal="center" vertical="center"/>
    </xf>
    <xf numFmtId="1" fontId="35" fillId="14" borderId="20" xfId="0" applyNumberFormat="1" applyFont="1" applyFill="1" applyBorder="1" applyAlignment="1">
      <alignment horizontal="center" vertical="center"/>
    </xf>
    <xf numFmtId="2" fontId="79" fillId="13" borderId="18" xfId="0" applyNumberFormat="1" applyFont="1" applyFill="1" applyBorder="1" applyAlignment="1">
      <alignment horizontal="center" vertical="center"/>
    </xf>
    <xf numFmtId="2" fontId="79" fillId="13" borderId="12" xfId="0" applyNumberFormat="1" applyFont="1" applyFill="1" applyBorder="1" applyAlignment="1">
      <alignment horizontal="center" vertical="center"/>
    </xf>
    <xf numFmtId="2" fontId="79" fillId="13" borderId="40" xfId="0" applyNumberFormat="1" applyFont="1" applyFill="1" applyBorder="1" applyAlignment="1">
      <alignment horizontal="center" vertical="center"/>
    </xf>
    <xf numFmtId="1" fontId="138" fillId="19" borderId="29" xfId="0" applyNumberFormat="1" applyFont="1" applyFill="1" applyBorder="1" applyAlignment="1">
      <alignment horizontal="center" vertical="center"/>
    </xf>
    <xf numFmtId="1" fontId="125" fillId="19" borderId="1" xfId="0" applyNumberFormat="1" applyFont="1" applyFill="1" applyBorder="1" applyAlignment="1">
      <alignment horizontal="center" vertical="center"/>
    </xf>
    <xf numFmtId="1" fontId="138" fillId="19" borderId="32" xfId="0" applyNumberFormat="1" applyFont="1" applyFill="1" applyBorder="1" applyAlignment="1">
      <alignment horizontal="center" vertical="center"/>
    </xf>
    <xf numFmtId="171" fontId="134" fillId="21" borderId="31" xfId="0" applyNumberFormat="1" applyFont="1" applyFill="1" applyBorder="1" applyAlignment="1">
      <alignment horizontal="center" vertical="center"/>
    </xf>
    <xf numFmtId="171" fontId="134" fillId="19" borderId="31" xfId="0" applyNumberFormat="1" applyFont="1" applyFill="1" applyBorder="1" applyAlignment="1">
      <alignment horizontal="center" vertical="center"/>
    </xf>
    <xf numFmtId="169" fontId="125" fillId="19" borderId="1" xfId="0" applyNumberFormat="1" applyFont="1" applyFill="1" applyBorder="1" applyAlignment="1">
      <alignment horizontal="center" vertical="center"/>
    </xf>
    <xf numFmtId="1" fontId="149" fillId="0" borderId="0" xfId="0" applyNumberFormat="1" applyFont="1"/>
    <xf numFmtId="1" fontId="134" fillId="21" borderId="31" xfId="0" applyNumberFormat="1" applyFont="1" applyFill="1" applyBorder="1" applyAlignment="1">
      <alignment horizontal="center" vertical="center"/>
    </xf>
    <xf numFmtId="1" fontId="76" fillId="0" borderId="23" xfId="0" applyNumberFormat="1" applyFont="1" applyBorder="1" applyAlignment="1">
      <alignment horizontal="center" vertical="center"/>
    </xf>
    <xf numFmtId="1" fontId="76" fillId="0" borderId="41" xfId="0" applyNumberFormat="1" applyFont="1" applyBorder="1" applyAlignment="1">
      <alignment horizontal="center" vertical="center"/>
    </xf>
    <xf numFmtId="1" fontId="76" fillId="0" borderId="29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114" fillId="0" borderId="67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169" fontId="138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right" vertical="center"/>
    </xf>
    <xf numFmtId="2" fontId="54" fillId="0" borderId="0" xfId="0" applyNumberFormat="1" applyFont="1" applyAlignment="1">
      <alignment horizontal="right" vertical="center"/>
    </xf>
    <xf numFmtId="1" fontId="125" fillId="0" borderId="69" xfId="0" applyNumberFormat="1" applyFont="1" applyBorder="1" applyAlignment="1">
      <alignment horizontal="center" vertical="center"/>
    </xf>
    <xf numFmtId="1" fontId="114" fillId="21" borderId="21" xfId="0" applyNumberFormat="1" applyFont="1" applyFill="1" applyBorder="1" applyAlignment="1">
      <alignment horizontal="center" vertical="center"/>
    </xf>
    <xf numFmtId="0" fontId="67" fillId="0" borderId="31" xfId="0" applyFont="1" applyBorder="1" applyAlignment="1">
      <alignment vertical="center"/>
    </xf>
    <xf numFmtId="1" fontId="63" fillId="2" borderId="20" xfId="0" applyNumberFormat="1" applyFont="1" applyFill="1" applyBorder="1" applyAlignment="1">
      <alignment horizontal="center" vertical="center"/>
    </xf>
    <xf numFmtId="1" fontId="25" fillId="0" borderId="0" xfId="0" applyNumberFormat="1" applyFont="1"/>
    <xf numFmtId="1" fontId="103" fillId="13" borderId="12" xfId="0" applyNumberFormat="1" applyFont="1" applyFill="1" applyBorder="1" applyAlignment="1">
      <alignment horizontal="center" vertical="center"/>
    </xf>
    <xf numFmtId="2" fontId="125" fillId="0" borderId="38" xfId="0" applyNumberFormat="1" applyFont="1" applyBorder="1" applyAlignment="1">
      <alignment horizontal="center" vertical="center"/>
    </xf>
    <xf numFmtId="2" fontId="138" fillId="21" borderId="34" xfId="0" applyNumberFormat="1" applyFont="1" applyFill="1" applyBorder="1" applyAlignment="1">
      <alignment horizontal="center" vertical="center"/>
    </xf>
    <xf numFmtId="169" fontId="138" fillId="21" borderId="29" xfId="0" applyNumberFormat="1" applyFont="1" applyFill="1" applyBorder="1" applyAlignment="1">
      <alignment horizontal="center" vertical="center"/>
    </xf>
    <xf numFmtId="169" fontId="138" fillId="21" borderId="59" xfId="0" applyNumberFormat="1" applyFont="1" applyFill="1" applyBorder="1" applyAlignment="1">
      <alignment horizontal="center" vertical="center"/>
    </xf>
    <xf numFmtId="0" fontId="167" fillId="0" borderId="24" xfId="0" applyFont="1" applyBorder="1" applyAlignment="1">
      <alignment vertical="center"/>
    </xf>
    <xf numFmtId="1" fontId="134" fillId="21" borderId="1" xfId="0" applyNumberFormat="1" applyFont="1" applyFill="1" applyBorder="1" applyAlignment="1">
      <alignment horizontal="center" vertical="center"/>
    </xf>
    <xf numFmtId="0" fontId="138" fillId="21" borderId="63" xfId="0" applyFont="1" applyFill="1" applyBorder="1" applyAlignment="1">
      <alignment horizontal="center" vertical="center"/>
    </xf>
    <xf numFmtId="169" fontId="138" fillId="21" borderId="9" xfId="0" applyNumberFormat="1" applyFont="1" applyFill="1" applyBorder="1" applyAlignment="1">
      <alignment horizontal="center" vertical="center"/>
    </xf>
    <xf numFmtId="2" fontId="138" fillId="21" borderId="32" xfId="0" applyNumberFormat="1" applyFont="1" applyFill="1" applyBorder="1" applyAlignment="1">
      <alignment horizontal="center" vertical="center"/>
    </xf>
    <xf numFmtId="1" fontId="138" fillId="21" borderId="44" xfId="0" applyNumberFormat="1" applyFont="1" applyFill="1" applyBorder="1" applyAlignment="1">
      <alignment horizontal="center" vertical="center"/>
    </xf>
    <xf numFmtId="169" fontId="138" fillId="21" borderId="62" xfId="0" applyNumberFormat="1" applyFont="1" applyFill="1" applyBorder="1" applyAlignment="1">
      <alignment horizontal="center" vertical="center"/>
    </xf>
    <xf numFmtId="169" fontId="61" fillId="21" borderId="62" xfId="0" applyNumberFormat="1" applyFont="1" applyFill="1" applyBorder="1" applyAlignment="1">
      <alignment horizontal="center" vertical="center"/>
    </xf>
    <xf numFmtId="169" fontId="61" fillId="21" borderId="34" xfId="0" applyNumberFormat="1" applyFont="1" applyFill="1" applyBorder="1" applyAlignment="1">
      <alignment horizontal="center" vertical="center"/>
    </xf>
    <xf numFmtId="2" fontId="125" fillId="21" borderId="1" xfId="0" applyNumberFormat="1" applyFont="1" applyFill="1" applyBorder="1" applyAlignment="1">
      <alignment horizontal="center" vertical="center"/>
    </xf>
    <xf numFmtId="171" fontId="138" fillId="21" borderId="59" xfId="0" applyNumberFormat="1" applyFont="1" applyFill="1" applyBorder="1" applyAlignment="1">
      <alignment horizontal="center" vertical="center"/>
    </xf>
    <xf numFmtId="171" fontId="138" fillId="21" borderId="32" xfId="0" applyNumberFormat="1" applyFont="1" applyFill="1" applyBorder="1" applyAlignment="1">
      <alignment horizontal="center" vertical="center"/>
    </xf>
    <xf numFmtId="2" fontId="138" fillId="21" borderId="59" xfId="0" applyNumberFormat="1" applyFont="1" applyFill="1" applyBorder="1" applyAlignment="1">
      <alignment horizontal="center" vertical="center"/>
    </xf>
    <xf numFmtId="2" fontId="138" fillId="21" borderId="4" xfId="0" applyNumberFormat="1" applyFont="1" applyFill="1" applyBorder="1" applyAlignment="1">
      <alignment horizontal="center" vertical="center"/>
    </xf>
    <xf numFmtId="171" fontId="138" fillId="21" borderId="31" xfId="0" applyNumberFormat="1" applyFont="1" applyFill="1" applyBorder="1" applyAlignment="1">
      <alignment horizontal="center" vertical="center"/>
    </xf>
    <xf numFmtId="1" fontId="138" fillId="21" borderId="3" xfId="0" applyNumberFormat="1" applyFont="1" applyFill="1" applyBorder="1" applyAlignment="1">
      <alignment horizontal="center" vertical="center"/>
    </xf>
    <xf numFmtId="2" fontId="138" fillId="19" borderId="59" xfId="0" applyNumberFormat="1" applyFont="1" applyFill="1" applyBorder="1" applyAlignment="1">
      <alignment horizontal="center" vertical="center"/>
    </xf>
    <xf numFmtId="0" fontId="122" fillId="0" borderId="24" xfId="0" applyFont="1" applyBorder="1"/>
    <xf numFmtId="1" fontId="109" fillId="0" borderId="55" xfId="0" applyNumberFormat="1" applyFont="1" applyBorder="1" applyAlignment="1">
      <alignment vertical="center"/>
    </xf>
    <xf numFmtId="169" fontId="111" fillId="0" borderId="50" xfId="0" applyNumberFormat="1" applyFont="1" applyBorder="1" applyAlignment="1">
      <alignment horizontal="center" vertical="center"/>
    </xf>
    <xf numFmtId="1" fontId="54" fillId="21" borderId="17" xfId="0" quotePrefix="1" applyNumberFormat="1" applyFont="1" applyFill="1" applyBorder="1" applyAlignment="1">
      <alignment horizontal="center" vertical="center"/>
    </xf>
    <xf numFmtId="1" fontId="54" fillId="19" borderId="50" xfId="0" quotePrefix="1" applyNumberFormat="1" applyFont="1" applyFill="1" applyBorder="1" applyAlignment="1">
      <alignment horizontal="center" vertical="center"/>
    </xf>
    <xf numFmtId="1" fontId="54" fillId="21" borderId="50" xfId="0" quotePrefix="1" applyNumberFormat="1" applyFont="1" applyFill="1" applyBorder="1" applyAlignment="1">
      <alignment horizontal="center" vertical="center"/>
    </xf>
    <xf numFmtId="169" fontId="54" fillId="0" borderId="45" xfId="0" quotePrefix="1" applyNumberFormat="1" applyFont="1" applyBorder="1" applyAlignment="1">
      <alignment horizontal="center" vertical="center"/>
    </xf>
    <xf numFmtId="169" fontId="54" fillId="0" borderId="72" xfId="0" quotePrefix="1" applyNumberFormat="1" applyFont="1" applyBorder="1" applyAlignment="1">
      <alignment horizontal="center" vertical="center"/>
    </xf>
    <xf numFmtId="169" fontId="54" fillId="21" borderId="72" xfId="0" quotePrefix="1" applyNumberFormat="1" applyFont="1" applyFill="1" applyBorder="1" applyAlignment="1">
      <alignment horizontal="center" vertical="center"/>
    </xf>
    <xf numFmtId="169" fontId="54" fillId="19" borderId="72" xfId="0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3" fillId="0" borderId="35" xfId="0" quotePrefix="1" applyFont="1" applyBorder="1" applyAlignment="1">
      <alignment horizontal="right" vertical="top"/>
    </xf>
    <xf numFmtId="0" fontId="90" fillId="0" borderId="8" xfId="0" applyFont="1" applyBorder="1" applyAlignment="1">
      <alignment horizontal="right" vertical="center"/>
    </xf>
    <xf numFmtId="1" fontId="90" fillId="0" borderId="30" xfId="0" applyNumberFormat="1" applyFont="1" applyBorder="1" applyAlignment="1">
      <alignment horizontal="center" vertical="center"/>
    </xf>
    <xf numFmtId="1" fontId="90" fillId="13" borderId="22" xfId="0" applyNumberFormat="1" applyFont="1" applyFill="1" applyBorder="1" applyAlignment="1">
      <alignment horizontal="center" vertical="center"/>
    </xf>
    <xf numFmtId="0" fontId="84" fillId="0" borderId="25" xfId="0" applyFont="1" applyBorder="1" applyAlignment="1">
      <alignment vertical="center"/>
    </xf>
    <xf numFmtId="1" fontId="84" fillId="0" borderId="4" xfId="0" applyNumberFormat="1" applyFont="1" applyBorder="1" applyAlignment="1">
      <alignment horizontal="center" vertical="center"/>
    </xf>
    <xf numFmtId="1" fontId="84" fillId="13" borderId="13" xfId="0" applyNumberFormat="1" applyFont="1" applyFill="1" applyBorder="1" applyAlignment="1">
      <alignment horizontal="center" vertical="center"/>
    </xf>
    <xf numFmtId="1" fontId="84" fillId="14" borderId="13" xfId="0" applyNumberFormat="1" applyFont="1" applyFill="1" applyBorder="1" applyAlignment="1">
      <alignment horizontal="center" vertical="center"/>
    </xf>
    <xf numFmtId="169" fontId="138" fillId="0" borderId="23" xfId="0" applyNumberFormat="1" applyFont="1" applyBorder="1" applyAlignment="1">
      <alignment horizontal="center" vertical="center"/>
    </xf>
    <xf numFmtId="1" fontId="67" fillId="14" borderId="18" xfId="0" applyNumberFormat="1" applyFont="1" applyFill="1" applyBorder="1" applyAlignment="1">
      <alignment horizontal="center" vertical="center"/>
    </xf>
    <xf numFmtId="2" fontId="63" fillId="15" borderId="20" xfId="0" applyNumberFormat="1" applyFont="1" applyFill="1" applyBorder="1" applyAlignment="1">
      <alignment horizontal="center" vertical="center"/>
    </xf>
    <xf numFmtId="1" fontId="67" fillId="14" borderId="16" xfId="0" applyNumberFormat="1" applyFont="1" applyFill="1" applyBorder="1" applyAlignment="1">
      <alignment horizontal="center" vertical="center"/>
    </xf>
    <xf numFmtId="1" fontId="67" fillId="14" borderId="20" xfId="0" applyNumberFormat="1" applyFont="1" applyFill="1" applyBorder="1" applyAlignment="1">
      <alignment horizontal="center" vertical="center"/>
    </xf>
    <xf numFmtId="169" fontId="84" fillId="15" borderId="12" xfId="0" applyNumberFormat="1" applyFont="1" applyFill="1" applyBorder="1" applyAlignment="1">
      <alignment horizontal="center" vertical="center"/>
    </xf>
    <xf numFmtId="1" fontId="72" fillId="14" borderId="60" xfId="0" applyNumberFormat="1" applyFont="1" applyFill="1" applyBorder="1" applyAlignment="1">
      <alignment horizontal="center" vertical="center"/>
    </xf>
    <xf numFmtId="1" fontId="72" fillId="14" borderId="40" xfId="0" applyNumberFormat="1" applyFont="1" applyFill="1" applyBorder="1" applyAlignment="1">
      <alignment horizontal="center" vertical="center"/>
    </xf>
    <xf numFmtId="1" fontId="72" fillId="14" borderId="18" xfId="0" applyNumberFormat="1" applyFont="1" applyFill="1" applyBorder="1" applyAlignment="1">
      <alignment horizontal="center" vertical="center"/>
    </xf>
    <xf numFmtId="1" fontId="83" fillId="5" borderId="16" xfId="0" applyNumberFormat="1" applyFont="1" applyFill="1" applyBorder="1" applyAlignment="1">
      <alignment horizontal="center" vertical="center"/>
    </xf>
    <xf numFmtId="1" fontId="89" fillId="5" borderId="18" xfId="0" applyNumberFormat="1" applyFont="1" applyFill="1" applyBorder="1" applyAlignment="1">
      <alignment horizontal="center" vertical="center"/>
    </xf>
    <xf numFmtId="1" fontId="34" fillId="15" borderId="54" xfId="0" applyNumberFormat="1" applyFont="1" applyFill="1" applyBorder="1" applyAlignment="1">
      <alignment horizontal="center" vertical="center"/>
    </xf>
    <xf numFmtId="169" fontId="34" fillId="3" borderId="19" xfId="0" applyNumberFormat="1" applyFont="1" applyFill="1" applyBorder="1" applyAlignment="1">
      <alignment horizontal="center" vertical="center"/>
    </xf>
    <xf numFmtId="0" fontId="35" fillId="0" borderId="50" xfId="0" applyFont="1" applyBorder="1" applyAlignment="1">
      <alignment vertical="center"/>
    </xf>
    <xf numFmtId="169" fontId="34" fillId="15" borderId="22" xfId="0" applyNumberFormat="1" applyFont="1" applyFill="1" applyBorder="1" applyAlignment="1">
      <alignment horizontal="center" vertical="center"/>
    </xf>
    <xf numFmtId="169" fontId="34" fillId="15" borderId="20" xfId="0" applyNumberFormat="1" applyFont="1" applyFill="1" applyBorder="1" applyAlignment="1">
      <alignment horizontal="center" vertical="center"/>
    </xf>
    <xf numFmtId="0" fontId="34" fillId="15" borderId="18" xfId="0" applyFont="1" applyFill="1" applyBorder="1" applyAlignment="1">
      <alignment vertical="center"/>
    </xf>
    <xf numFmtId="2" fontId="35" fillId="14" borderId="22" xfId="0" applyNumberFormat="1" applyFont="1" applyFill="1" applyBorder="1" applyAlignment="1">
      <alignment horizontal="center" vertical="center"/>
    </xf>
    <xf numFmtId="0" fontId="74" fillId="0" borderId="3" xfId="0" applyFont="1" applyBorder="1" applyAlignment="1">
      <alignment horizontal="center" vertical="center"/>
    </xf>
    <xf numFmtId="1" fontId="79" fillId="15" borderId="97" xfId="0" applyNumberFormat="1" applyFont="1" applyFill="1" applyBorder="1" applyAlignment="1">
      <alignment horizontal="center" vertical="center"/>
    </xf>
    <xf numFmtId="1" fontId="79" fillId="15" borderId="18" xfId="0" applyNumberFormat="1" applyFont="1" applyFill="1" applyBorder="1" applyAlignment="1">
      <alignment horizontal="center" vertical="center"/>
    </xf>
    <xf numFmtId="0" fontId="34" fillId="15" borderId="22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1" fontId="34" fillId="14" borderId="47" xfId="0" applyNumberFormat="1" applyFont="1" applyFill="1" applyBorder="1" applyAlignment="1">
      <alignment horizontal="center" vertical="center"/>
    </xf>
    <xf numFmtId="1" fontId="34" fillId="15" borderId="16" xfId="0" quotePrefix="1" applyNumberFormat="1" applyFont="1" applyFill="1" applyBorder="1" applyAlignment="1">
      <alignment horizontal="center" vertical="center"/>
    </xf>
    <xf numFmtId="169" fontId="34" fillId="15" borderId="50" xfId="0" quotePrefix="1" applyNumberFormat="1" applyFont="1" applyFill="1" applyBorder="1" applyAlignment="1">
      <alignment horizontal="center" vertical="center"/>
    </xf>
    <xf numFmtId="2" fontId="34" fillId="15" borderId="16" xfId="0" quotePrefix="1" applyNumberFormat="1" applyFont="1" applyFill="1" applyBorder="1" applyAlignment="1">
      <alignment horizontal="center" vertical="center"/>
    </xf>
    <xf numFmtId="2" fontId="34" fillId="15" borderId="18" xfId="0" quotePrefix="1" applyNumberFormat="1" applyFont="1" applyFill="1" applyBorder="1" applyAlignment="1">
      <alignment horizontal="center" vertical="center"/>
    </xf>
    <xf numFmtId="2" fontId="34" fillId="15" borderId="40" xfId="0" applyNumberFormat="1" applyFont="1" applyFill="1" applyBorder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0" fontId="138" fillId="19" borderId="29" xfId="0" applyFont="1" applyFill="1" applyBorder="1" applyAlignment="1">
      <alignment horizontal="center" vertical="center"/>
    </xf>
    <xf numFmtId="2" fontId="138" fillId="19" borderId="32" xfId="0" applyNumberFormat="1" applyFont="1" applyFill="1" applyBorder="1" applyAlignment="1">
      <alignment horizontal="center" vertical="center"/>
    </xf>
    <xf numFmtId="1" fontId="138" fillId="19" borderId="52" xfId="0" applyNumberFormat="1" applyFont="1" applyFill="1" applyBorder="1" applyAlignment="1">
      <alignment horizontal="center" vertical="center"/>
    </xf>
    <xf numFmtId="0" fontId="125" fillId="0" borderId="6" xfId="0" applyFont="1" applyBorder="1" applyAlignment="1">
      <alignment vertical="center"/>
    </xf>
    <xf numFmtId="169" fontId="61" fillId="19" borderId="62" xfId="0" applyNumberFormat="1" applyFont="1" applyFill="1" applyBorder="1" applyAlignment="1">
      <alignment horizontal="center" vertical="center"/>
    </xf>
    <xf numFmtId="169" fontId="61" fillId="19" borderId="34" xfId="0" applyNumberFormat="1" applyFont="1" applyFill="1" applyBorder="1" applyAlignment="1">
      <alignment horizontal="center" vertical="center"/>
    </xf>
    <xf numFmtId="2" fontId="125" fillId="19" borderId="1" xfId="0" applyNumberFormat="1" applyFont="1" applyFill="1" applyBorder="1" applyAlignment="1">
      <alignment horizontal="center" vertical="center"/>
    </xf>
    <xf numFmtId="1" fontId="134" fillId="19" borderId="29" xfId="0" applyNumberFormat="1" applyFont="1" applyFill="1" applyBorder="1" applyAlignment="1">
      <alignment horizontal="center" vertical="center"/>
    </xf>
    <xf numFmtId="171" fontId="138" fillId="19" borderId="59" xfId="0" applyNumberFormat="1" applyFont="1" applyFill="1" applyBorder="1" applyAlignment="1">
      <alignment horizontal="center" vertical="center"/>
    </xf>
    <xf numFmtId="1" fontId="134" fillId="19" borderId="31" xfId="0" applyNumberFormat="1" applyFont="1" applyFill="1" applyBorder="1" applyAlignment="1">
      <alignment horizontal="center" vertical="center"/>
    </xf>
    <xf numFmtId="2" fontId="138" fillId="19" borderId="31" xfId="0" applyNumberFormat="1" applyFont="1" applyFill="1" applyBorder="1" applyAlignment="1">
      <alignment horizontal="center" vertical="center"/>
    </xf>
    <xf numFmtId="171" fontId="138" fillId="19" borderId="32" xfId="0" applyNumberFormat="1" applyFont="1" applyFill="1" applyBorder="1" applyAlignment="1">
      <alignment horizontal="center" vertical="center"/>
    </xf>
    <xf numFmtId="1" fontId="138" fillId="19" borderId="31" xfId="0" quotePrefix="1" applyNumberFormat="1" applyFont="1" applyFill="1" applyBorder="1" applyAlignment="1">
      <alignment horizontal="center" vertical="center"/>
    </xf>
    <xf numFmtId="2" fontId="138" fillId="19" borderId="4" xfId="0" applyNumberFormat="1" applyFont="1" applyFill="1" applyBorder="1" applyAlignment="1">
      <alignment horizontal="center" vertical="center"/>
    </xf>
    <xf numFmtId="0" fontId="34" fillId="14" borderId="22" xfId="0" applyFont="1" applyFill="1" applyBorder="1" applyAlignment="1">
      <alignment horizontal="center" vertical="center" wrapText="1"/>
    </xf>
    <xf numFmtId="171" fontId="138" fillId="19" borderId="31" xfId="0" applyNumberFormat="1" applyFont="1" applyFill="1" applyBorder="1" applyAlignment="1">
      <alignment horizontal="center" vertical="center"/>
    </xf>
    <xf numFmtId="0" fontId="111" fillId="19" borderId="42" xfId="0" applyFont="1" applyFill="1" applyBorder="1" applyAlignment="1">
      <alignment horizontal="center" vertical="center"/>
    </xf>
    <xf numFmtId="0" fontId="138" fillId="19" borderId="8" xfId="0" quotePrefix="1" applyFont="1" applyFill="1" applyBorder="1" applyAlignment="1">
      <alignment horizontal="center" vertical="center"/>
    </xf>
    <xf numFmtId="169" fontId="138" fillId="19" borderId="51" xfId="0" applyNumberFormat="1" applyFont="1" applyFill="1" applyBorder="1" applyAlignment="1">
      <alignment horizontal="center" vertical="center"/>
    </xf>
    <xf numFmtId="1" fontId="138" fillId="19" borderId="34" xfId="0" quotePrefix="1" applyNumberFormat="1" applyFont="1" applyFill="1" applyBorder="1" applyAlignment="1">
      <alignment horizontal="center" vertical="center"/>
    </xf>
    <xf numFmtId="1" fontId="138" fillId="19" borderId="63" xfId="0" quotePrefix="1" applyNumberFormat="1" applyFont="1" applyFill="1" applyBorder="1" applyAlignment="1">
      <alignment horizontal="center" vertical="center"/>
    </xf>
    <xf numFmtId="2" fontId="138" fillId="0" borderId="34" xfId="0" applyNumberFormat="1" applyFont="1" applyBorder="1" applyAlignment="1">
      <alignment horizontal="center" vertical="center"/>
    </xf>
    <xf numFmtId="1" fontId="138" fillId="19" borderId="69" xfId="0" applyNumberFormat="1" applyFont="1" applyFill="1" applyBorder="1" applyAlignment="1">
      <alignment horizontal="center" vertical="center"/>
    </xf>
    <xf numFmtId="2" fontId="138" fillId="19" borderId="34" xfId="0" applyNumberFormat="1" applyFont="1" applyFill="1" applyBorder="1" applyAlignment="1">
      <alignment horizontal="center" vertical="center"/>
    </xf>
    <xf numFmtId="1" fontId="109" fillId="19" borderId="33" xfId="0" applyNumberFormat="1" applyFont="1" applyFill="1" applyBorder="1" applyAlignment="1">
      <alignment horizontal="center" vertical="center"/>
    </xf>
    <xf numFmtId="2" fontId="138" fillId="19" borderId="63" xfId="0" applyNumberFormat="1" applyFont="1" applyFill="1" applyBorder="1" applyAlignment="1">
      <alignment horizontal="center" vertical="center"/>
    </xf>
    <xf numFmtId="1" fontId="111" fillId="19" borderId="132" xfId="0" applyNumberFormat="1" applyFont="1" applyFill="1" applyBorder="1" applyAlignment="1">
      <alignment horizontal="center" vertical="center"/>
    </xf>
    <xf numFmtId="1" fontId="109" fillId="19" borderId="135" xfId="0" applyNumberFormat="1" applyFont="1" applyFill="1" applyBorder="1" applyAlignment="1">
      <alignment horizontal="center" vertical="center"/>
    </xf>
    <xf numFmtId="0" fontId="138" fillId="19" borderId="62" xfId="0" quotePrefix="1" applyFont="1" applyFill="1" applyBorder="1" applyAlignment="1">
      <alignment horizontal="center" vertical="center"/>
    </xf>
    <xf numFmtId="0" fontId="125" fillId="6" borderId="24" xfId="0" applyFont="1" applyFill="1" applyBorder="1" applyAlignment="1">
      <alignment vertical="center"/>
    </xf>
    <xf numFmtId="171" fontId="125" fillId="19" borderId="1" xfId="0" applyNumberFormat="1" applyFont="1" applyFill="1" applyBorder="1" applyAlignment="1">
      <alignment horizontal="center" vertical="center"/>
    </xf>
    <xf numFmtId="1" fontId="72" fillId="13" borderId="22" xfId="0" applyNumberFormat="1" applyFont="1" applyFill="1" applyBorder="1" applyAlignment="1">
      <alignment horizontal="center" vertical="center"/>
    </xf>
    <xf numFmtId="1" fontId="72" fillId="13" borderId="12" xfId="0" applyNumberFormat="1" applyFont="1" applyFill="1" applyBorder="1" applyAlignment="1">
      <alignment horizontal="center" vertical="center"/>
    </xf>
    <xf numFmtId="169" fontId="138" fillId="19" borderId="6" xfId="0" applyNumberFormat="1" applyFont="1" applyFill="1" applyBorder="1" applyAlignment="1">
      <alignment horizontal="center" vertical="center"/>
    </xf>
    <xf numFmtId="169" fontId="138" fillId="21" borderId="47" xfId="0" applyNumberFormat="1" applyFont="1" applyFill="1" applyBorder="1" applyAlignment="1">
      <alignment horizontal="center" vertical="center"/>
    </xf>
    <xf numFmtId="2" fontId="34" fillId="0" borderId="48" xfId="0" applyNumberFormat="1" applyFont="1" applyBorder="1" applyAlignment="1">
      <alignment horizontal="center" vertical="center"/>
    </xf>
    <xf numFmtId="2" fontId="34" fillId="15" borderId="50" xfId="0" quotePrefix="1" applyNumberFormat="1" applyFont="1" applyFill="1" applyBorder="1" applyAlignment="1">
      <alignment horizontal="center" vertical="center"/>
    </xf>
    <xf numFmtId="1" fontId="34" fillId="15" borderId="27" xfId="0" applyNumberFormat="1" applyFont="1" applyFill="1" applyBorder="1" applyAlignment="1">
      <alignment horizontal="center" vertical="center"/>
    </xf>
    <xf numFmtId="171" fontId="50" fillId="15" borderId="12" xfId="0" applyNumberFormat="1" applyFont="1" applyFill="1" applyBorder="1" applyAlignment="1">
      <alignment horizontal="center" vertical="center"/>
    </xf>
    <xf numFmtId="2" fontId="34" fillId="15" borderId="159" xfId="0" applyNumberFormat="1" applyFont="1" applyFill="1" applyBorder="1" applyAlignment="1">
      <alignment horizontal="center" vertical="center"/>
    </xf>
    <xf numFmtId="2" fontId="34" fillId="15" borderId="21" xfId="0" applyNumberFormat="1" applyFont="1" applyFill="1" applyBorder="1" applyAlignment="1">
      <alignment horizontal="center" vertical="center"/>
    </xf>
    <xf numFmtId="0" fontId="34" fillId="15" borderId="50" xfId="0" applyFont="1" applyFill="1" applyBorder="1" applyAlignment="1">
      <alignment horizontal="center" vertical="center"/>
    </xf>
    <xf numFmtId="0" fontId="34" fillId="15" borderId="19" xfId="0" applyFont="1" applyFill="1" applyBorder="1" applyAlignment="1">
      <alignment horizontal="center" vertical="center"/>
    </xf>
    <xf numFmtId="1" fontId="34" fillId="15" borderId="21" xfId="0" applyNumberFormat="1" applyFont="1" applyFill="1" applyBorder="1" applyAlignment="1">
      <alignment horizontal="center" vertical="center"/>
    </xf>
    <xf numFmtId="169" fontId="34" fillId="15" borderId="54" xfId="0" applyNumberFormat="1" applyFont="1" applyFill="1" applyBorder="1" applyAlignment="1">
      <alignment horizontal="center" vertical="center"/>
    </xf>
    <xf numFmtId="171" fontId="34" fillId="15" borderId="61" xfId="0" applyNumberFormat="1" applyFont="1" applyFill="1" applyBorder="1" applyAlignment="1">
      <alignment horizontal="center" vertical="center"/>
    </xf>
    <xf numFmtId="169" fontId="34" fillId="15" borderId="50" xfId="0" applyNumberFormat="1" applyFont="1" applyFill="1" applyBorder="1" applyAlignment="1">
      <alignment horizontal="center" vertical="center"/>
    </xf>
    <xf numFmtId="1" fontId="134" fillId="19" borderId="1" xfId="0" applyNumberFormat="1" applyFont="1" applyFill="1" applyBorder="1" applyAlignment="1">
      <alignment horizontal="center" vertical="center"/>
    </xf>
    <xf numFmtId="1" fontId="138" fillId="21" borderId="47" xfId="0" applyNumberFormat="1" applyFont="1" applyFill="1" applyBorder="1" applyAlignment="1">
      <alignment horizontal="center" vertical="center"/>
    </xf>
    <xf numFmtId="1" fontId="125" fillId="21" borderId="3" xfId="0" applyNumberFormat="1" applyFont="1" applyFill="1" applyBorder="1" applyAlignment="1">
      <alignment horizontal="center" vertical="center"/>
    </xf>
    <xf numFmtId="0" fontId="111" fillId="21" borderId="50" xfId="0" applyFont="1" applyFill="1" applyBorder="1" applyAlignment="1">
      <alignment horizontal="center" vertical="center"/>
    </xf>
    <xf numFmtId="0" fontId="138" fillId="21" borderId="8" xfId="0" quotePrefix="1" applyFont="1" applyFill="1" applyBorder="1" applyAlignment="1">
      <alignment horizontal="center" vertical="center"/>
    </xf>
    <xf numFmtId="1" fontId="134" fillId="21" borderId="29" xfId="0" applyNumberFormat="1" applyFont="1" applyFill="1" applyBorder="1" applyAlignment="1">
      <alignment horizontal="center" vertical="center"/>
    </xf>
    <xf numFmtId="2" fontId="138" fillId="21" borderId="47" xfId="0" applyNumberFormat="1" applyFont="1" applyFill="1" applyBorder="1" applyAlignment="1">
      <alignment horizontal="center" vertical="center"/>
    </xf>
    <xf numFmtId="169" fontId="138" fillId="21" borderId="51" xfId="0" applyNumberFormat="1" applyFont="1" applyFill="1" applyBorder="1" applyAlignment="1">
      <alignment horizontal="center" vertical="center"/>
    </xf>
    <xf numFmtId="0" fontId="138" fillId="21" borderId="38" xfId="0" applyFont="1" applyFill="1" applyBorder="1" applyAlignment="1">
      <alignment horizontal="center" vertical="center"/>
    </xf>
    <xf numFmtId="0" fontId="34" fillId="13" borderId="50" xfId="0" applyFont="1" applyFill="1" applyBorder="1" applyAlignment="1">
      <alignment horizontal="center" vertical="center" wrapText="1"/>
    </xf>
    <xf numFmtId="169" fontId="111" fillId="19" borderId="53" xfId="0" applyNumberFormat="1" applyFont="1" applyFill="1" applyBorder="1" applyAlignment="1">
      <alignment horizontal="center" vertical="center"/>
    </xf>
    <xf numFmtId="171" fontId="125" fillId="21" borderId="1" xfId="0" applyNumberFormat="1" applyFont="1" applyFill="1" applyBorder="1" applyAlignment="1">
      <alignment horizontal="center" vertical="center"/>
    </xf>
    <xf numFmtId="1" fontId="125" fillId="21" borderId="63" xfId="0" applyNumberFormat="1" applyFont="1" applyFill="1" applyBorder="1" applyAlignment="1">
      <alignment horizontal="center" vertical="center"/>
    </xf>
    <xf numFmtId="1" fontId="74" fillId="21" borderId="76" xfId="0" applyNumberFormat="1" applyFont="1" applyFill="1" applyBorder="1" applyAlignment="1">
      <alignment horizontal="center" vertical="center"/>
    </xf>
    <xf numFmtId="1" fontId="75" fillId="21" borderId="63" xfId="0" applyNumberFormat="1" applyFont="1" applyFill="1" applyBorder="1" applyAlignment="1">
      <alignment horizontal="center" vertical="center"/>
    </xf>
    <xf numFmtId="169" fontId="74" fillId="21" borderId="31" xfId="0" applyNumberFormat="1" applyFont="1" applyFill="1" applyBorder="1" applyAlignment="1">
      <alignment horizontal="center" vertical="center"/>
    </xf>
    <xf numFmtId="1" fontId="125" fillId="0" borderId="55" xfId="0" applyNumberFormat="1" applyFont="1" applyBorder="1" applyAlignment="1">
      <alignment vertical="center"/>
    </xf>
    <xf numFmtId="1" fontId="111" fillId="21" borderId="61" xfId="0" applyNumberFormat="1" applyFont="1" applyFill="1" applyBorder="1" applyAlignment="1">
      <alignment horizontal="center" vertical="center"/>
    </xf>
    <xf numFmtId="0" fontId="138" fillId="21" borderId="62" xfId="0" quotePrefix="1" applyFont="1" applyFill="1" applyBorder="1" applyAlignment="1">
      <alignment horizontal="center" vertical="center"/>
    </xf>
    <xf numFmtId="2" fontId="138" fillId="21" borderId="63" xfId="0" applyNumberFormat="1" applyFont="1" applyFill="1" applyBorder="1" applyAlignment="1">
      <alignment horizontal="center" vertical="center"/>
    </xf>
    <xf numFmtId="1" fontId="111" fillId="0" borderId="19" xfId="0" applyNumberFormat="1" applyFont="1" applyBorder="1" applyAlignment="1">
      <alignment horizontal="center" vertical="center"/>
    </xf>
    <xf numFmtId="1" fontId="111" fillId="19" borderId="19" xfId="0" applyNumberFormat="1" applyFont="1" applyFill="1" applyBorder="1" applyAlignment="1">
      <alignment horizontal="center" vertical="center"/>
    </xf>
    <xf numFmtId="171" fontId="50" fillId="13" borderId="22" xfId="0" applyNumberFormat="1" applyFont="1" applyFill="1" applyBorder="1" applyAlignment="1">
      <alignment horizontal="center" vertical="center"/>
    </xf>
    <xf numFmtId="169" fontId="99" fillId="13" borderId="12" xfId="0" applyNumberFormat="1" applyFont="1" applyFill="1" applyBorder="1" applyAlignment="1">
      <alignment horizontal="center" vertical="center"/>
    </xf>
    <xf numFmtId="1" fontId="34" fillId="13" borderId="52" xfId="0" applyNumberFormat="1" applyFont="1" applyFill="1" applyBorder="1" applyAlignment="1">
      <alignment horizontal="center" vertical="center"/>
    </xf>
    <xf numFmtId="169" fontId="99" fillId="14" borderId="12" xfId="0" applyNumberFormat="1" applyFont="1" applyFill="1" applyBorder="1" applyAlignment="1">
      <alignment horizontal="center" vertical="center"/>
    </xf>
    <xf numFmtId="169" fontId="36" fillId="17" borderId="6" xfId="0" applyNumberFormat="1" applyFont="1" applyFill="1" applyBorder="1" applyAlignment="1">
      <alignment horizontal="center" vertical="center"/>
    </xf>
    <xf numFmtId="1" fontId="43" fillId="14" borderId="18" xfId="0" applyNumberFormat="1" applyFont="1" applyFill="1" applyBorder="1" applyAlignment="1">
      <alignment horizontal="center" vertical="center"/>
    </xf>
    <xf numFmtId="0" fontId="34" fillId="14" borderId="22" xfId="0" applyFont="1" applyFill="1" applyBorder="1" applyAlignment="1">
      <alignment horizontal="center"/>
    </xf>
    <xf numFmtId="1" fontId="103" fillId="14" borderId="18" xfId="0" applyNumberFormat="1" applyFont="1" applyFill="1" applyBorder="1" applyAlignment="1">
      <alignment horizontal="center" vertical="center"/>
    </xf>
    <xf numFmtId="1" fontId="34" fillId="15" borderId="19" xfId="0" applyNumberFormat="1" applyFont="1" applyFill="1" applyBorder="1" applyAlignment="1">
      <alignment horizontal="center" vertical="center"/>
    </xf>
    <xf numFmtId="171" fontId="34" fillId="15" borderId="50" xfId="0" applyNumberFormat="1" applyFont="1" applyFill="1" applyBorder="1" applyAlignment="1">
      <alignment horizontal="center" vertical="center"/>
    </xf>
    <xf numFmtId="2" fontId="34" fillId="15" borderId="156" xfId="0" applyNumberFormat="1" applyFont="1" applyFill="1" applyBorder="1" applyAlignment="1">
      <alignment horizontal="center" vertical="center"/>
    </xf>
    <xf numFmtId="1" fontId="34" fillId="15" borderId="61" xfId="0" applyNumberFormat="1" applyFont="1" applyFill="1" applyBorder="1" applyAlignment="1">
      <alignment horizontal="center" vertical="center"/>
    </xf>
    <xf numFmtId="1" fontId="34" fillId="15" borderId="28" xfId="0" applyNumberFormat="1" applyFont="1" applyFill="1" applyBorder="1" applyAlignment="1">
      <alignment horizontal="center" vertical="center"/>
    </xf>
    <xf numFmtId="0" fontId="24" fillId="0" borderId="24" xfId="0" applyFont="1" applyBorder="1"/>
    <xf numFmtId="169" fontId="138" fillId="19" borderId="62" xfId="0" applyNumberFormat="1" applyFont="1" applyFill="1" applyBorder="1" applyAlignment="1">
      <alignment horizontal="center" vertical="center"/>
    </xf>
    <xf numFmtId="169" fontId="138" fillId="21" borderId="6" xfId="0" applyNumberFormat="1" applyFont="1" applyFill="1" applyBorder="1" applyAlignment="1">
      <alignment horizontal="center" vertical="center"/>
    </xf>
    <xf numFmtId="0" fontId="138" fillId="19" borderId="3" xfId="0" applyFont="1" applyFill="1" applyBorder="1" applyAlignment="1">
      <alignment horizontal="center" vertical="center"/>
    </xf>
    <xf numFmtId="1" fontId="138" fillId="21" borderId="31" xfId="0" quotePrefix="1" applyNumberFormat="1" applyFont="1" applyFill="1" applyBorder="1" applyAlignment="1">
      <alignment horizontal="center" vertical="center"/>
    </xf>
    <xf numFmtId="1" fontId="138" fillId="21" borderId="63" xfId="0" quotePrefix="1" applyNumberFormat="1" applyFont="1" applyFill="1" applyBorder="1" applyAlignment="1">
      <alignment horizontal="center" vertical="center"/>
    </xf>
    <xf numFmtId="1" fontId="42" fillId="14" borderId="60" xfId="0" applyNumberFormat="1" applyFont="1" applyFill="1" applyBorder="1" applyAlignment="1">
      <alignment horizontal="center" vertical="center"/>
    </xf>
    <xf numFmtId="0" fontId="54" fillId="25" borderId="34" xfId="0" applyFont="1" applyFill="1" applyBorder="1" applyAlignment="1">
      <alignment horizontal="center" vertical="center" wrapText="1"/>
    </xf>
    <xf numFmtId="171" fontId="111" fillId="0" borderId="17" xfId="0" applyNumberFormat="1" applyFont="1" applyBorder="1" applyAlignment="1">
      <alignment horizontal="center" vertical="center"/>
    </xf>
    <xf numFmtId="1" fontId="67" fillId="14" borderId="22" xfId="0" applyNumberFormat="1" applyFont="1" applyFill="1" applyBorder="1" applyAlignment="1">
      <alignment horizontal="center" vertical="center"/>
    </xf>
    <xf numFmtId="1" fontId="43" fillId="2" borderId="16" xfId="0" applyNumberFormat="1" applyFont="1" applyFill="1" applyBorder="1" applyAlignment="1">
      <alignment horizontal="center" vertical="center"/>
    </xf>
    <xf numFmtId="1" fontId="54" fillId="21" borderId="62" xfId="0" applyNumberFormat="1" applyFont="1" applyFill="1" applyBorder="1" applyAlignment="1">
      <alignment horizontal="center" vertical="center"/>
    </xf>
    <xf numFmtId="1" fontId="111" fillId="0" borderId="72" xfId="0" applyNumberFormat="1" applyFont="1" applyBorder="1" applyAlignment="1">
      <alignment horizontal="center" vertical="center"/>
    </xf>
    <xf numFmtId="169" fontId="138" fillId="21" borderId="17" xfId="0" applyNumberFormat="1" applyFont="1" applyFill="1" applyBorder="1" applyAlignment="1">
      <alignment horizontal="center" vertical="center"/>
    </xf>
    <xf numFmtId="169" fontId="138" fillId="19" borderId="17" xfId="0" applyNumberFormat="1" applyFont="1" applyFill="1" applyBorder="1" applyAlignment="1">
      <alignment horizontal="center" vertical="center"/>
    </xf>
    <xf numFmtId="169" fontId="111" fillId="21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2" fontId="112" fillId="0" borderId="53" xfId="0" applyNumberFormat="1" applyFont="1" applyBorder="1" applyAlignment="1">
      <alignment horizontal="center" vertical="center"/>
    </xf>
    <xf numFmtId="1" fontId="6" fillId="0" borderId="42" xfId="0" applyNumberFormat="1" applyFont="1" applyBorder="1" applyAlignment="1">
      <alignment horizontal="center" vertical="center"/>
    </xf>
    <xf numFmtId="1" fontId="109" fillId="0" borderId="42" xfId="0" applyNumberFormat="1" applyFont="1" applyBorder="1" applyAlignment="1">
      <alignment horizontal="center" vertical="center"/>
    </xf>
    <xf numFmtId="1" fontId="109" fillId="0" borderId="69" xfId="0" applyNumberFormat="1" applyFont="1" applyBorder="1" applyAlignment="1">
      <alignment horizontal="center" vertical="center"/>
    </xf>
    <xf numFmtId="1" fontId="67" fillId="17" borderId="30" xfId="0" applyNumberFormat="1" applyFont="1" applyFill="1" applyBorder="1" applyAlignment="1">
      <alignment horizontal="center" vertical="center"/>
    </xf>
    <xf numFmtId="1" fontId="36" fillId="17" borderId="19" xfId="0" applyNumberFormat="1" applyFont="1" applyFill="1" applyBorder="1" applyAlignment="1">
      <alignment horizontal="center" vertical="center"/>
    </xf>
    <xf numFmtId="1" fontId="36" fillId="17" borderId="7" xfId="0" applyNumberFormat="1" applyFont="1" applyFill="1" applyBorder="1" applyAlignment="1">
      <alignment horizontal="center" vertical="center"/>
    </xf>
    <xf numFmtId="1" fontId="38" fillId="17" borderId="12" xfId="0" applyNumberFormat="1" applyFont="1" applyFill="1" applyBorder="1" applyAlignment="1">
      <alignment horizontal="center" vertical="center"/>
    </xf>
    <xf numFmtId="171" fontId="38" fillId="17" borderId="6" xfId="0" applyNumberFormat="1" applyFont="1" applyFill="1" applyBorder="1" applyAlignment="1">
      <alignment horizontal="center" vertical="center"/>
    </xf>
    <xf numFmtId="171" fontId="42" fillId="17" borderId="19" xfId="0" applyNumberFormat="1" applyFont="1" applyFill="1" applyBorder="1" applyAlignment="1">
      <alignment horizontal="center" vertical="center"/>
    </xf>
    <xf numFmtId="1" fontId="36" fillId="17" borderId="6" xfId="0" applyNumberFormat="1" applyFont="1" applyFill="1" applyBorder="1" applyAlignment="1">
      <alignment horizontal="center" vertical="center"/>
    </xf>
    <xf numFmtId="1" fontId="36" fillId="17" borderId="75" xfId="0" applyNumberFormat="1" applyFont="1" applyFill="1" applyBorder="1" applyAlignment="1">
      <alignment horizontal="center" vertical="center"/>
    </xf>
    <xf numFmtId="0" fontId="36" fillId="17" borderId="19" xfId="0" applyFont="1" applyFill="1" applyBorder="1" applyAlignment="1">
      <alignment horizontal="center" vertical="center"/>
    </xf>
    <xf numFmtId="0" fontId="66" fillId="0" borderId="0" xfId="0" applyFont="1"/>
    <xf numFmtId="1" fontId="42" fillId="17" borderId="45" xfId="0" applyNumberFormat="1" applyFont="1" applyFill="1" applyBorder="1" applyAlignment="1">
      <alignment horizontal="center" vertical="center"/>
    </xf>
    <xf numFmtId="1" fontId="36" fillId="17" borderId="29" xfId="0" applyNumberFormat="1" applyFont="1" applyFill="1" applyBorder="1" applyAlignment="1">
      <alignment horizontal="center" vertical="center"/>
    </xf>
    <xf numFmtId="1" fontId="36" fillId="17" borderId="0" xfId="0" applyNumberFormat="1" applyFont="1" applyFill="1" applyAlignment="1">
      <alignment horizontal="center" vertical="center"/>
    </xf>
    <xf numFmtId="0" fontId="36" fillId="13" borderId="33" xfId="0" applyFont="1" applyFill="1" applyBorder="1" applyAlignment="1">
      <alignment horizontal="center" vertical="center"/>
    </xf>
    <xf numFmtId="1" fontId="38" fillId="17" borderId="7" xfId="0" applyNumberFormat="1" applyFont="1" applyFill="1" applyBorder="1" applyAlignment="1">
      <alignment horizontal="center" vertical="center"/>
    </xf>
    <xf numFmtId="2" fontId="36" fillId="17" borderId="10" xfId="0" applyNumberFormat="1" applyFont="1" applyFill="1" applyBorder="1" applyAlignment="1">
      <alignment horizontal="center" vertical="center"/>
    </xf>
    <xf numFmtId="2" fontId="67" fillId="17" borderId="37" xfId="0" applyNumberFormat="1" applyFont="1" applyFill="1" applyBorder="1" applyAlignment="1">
      <alignment horizontal="center" vertical="center"/>
    </xf>
    <xf numFmtId="2" fontId="67" fillId="17" borderId="65" xfId="0" applyNumberFormat="1" applyFont="1" applyFill="1" applyBorder="1" applyAlignment="1">
      <alignment horizontal="center" vertical="center"/>
    </xf>
    <xf numFmtId="0" fontId="67" fillId="17" borderId="45" xfId="0" applyFont="1" applyFill="1" applyBorder="1" applyAlignment="1">
      <alignment horizontal="center" vertical="center"/>
    </xf>
    <xf numFmtId="1" fontId="67" fillId="17" borderId="0" xfId="0" applyNumberFormat="1" applyFont="1" applyFill="1" applyAlignment="1">
      <alignment horizontal="center" vertical="center"/>
    </xf>
    <xf numFmtId="1" fontId="67" fillId="17" borderId="17" xfId="0" applyNumberFormat="1" applyFont="1" applyFill="1" applyBorder="1" applyAlignment="1">
      <alignment horizontal="center" vertical="center"/>
    </xf>
    <xf numFmtId="169" fontId="111" fillId="21" borderId="33" xfId="0" applyNumberFormat="1" applyFont="1" applyFill="1" applyBorder="1" applyAlignment="1">
      <alignment horizontal="center" vertical="center"/>
    </xf>
    <xf numFmtId="0" fontId="111" fillId="21" borderId="72" xfId="0" applyFont="1" applyFill="1" applyBorder="1" applyAlignment="1">
      <alignment horizontal="center" vertical="center"/>
    </xf>
    <xf numFmtId="0" fontId="24" fillId="25" borderId="0" xfId="0" applyFont="1" applyFill="1"/>
    <xf numFmtId="0" fontId="54" fillId="0" borderId="14" xfId="0" applyFont="1" applyBorder="1" applyAlignment="1">
      <alignment horizontal="center" vertical="center"/>
    </xf>
    <xf numFmtId="0" fontId="54" fillId="0" borderId="34" xfId="0" applyFont="1" applyBorder="1" applyAlignment="1">
      <alignment horizontal="left"/>
    </xf>
    <xf numFmtId="0" fontId="54" fillId="0" borderId="10" xfId="0" applyFont="1" applyBorder="1" applyAlignment="1">
      <alignment horizontal="left"/>
    </xf>
    <xf numFmtId="1" fontId="138" fillId="25" borderId="31" xfId="0" applyNumberFormat="1" applyFont="1" applyFill="1" applyBorder="1" applyAlignment="1">
      <alignment horizontal="center" vertical="center"/>
    </xf>
    <xf numFmtId="0" fontId="109" fillId="0" borderId="17" xfId="0" applyFont="1" applyBorder="1" applyAlignment="1">
      <alignment horizontal="center" vertical="center"/>
    </xf>
    <xf numFmtId="2" fontId="111" fillId="0" borderId="19" xfId="0" applyNumberFormat="1" applyFont="1" applyBorder="1" applyAlignment="1">
      <alignment horizontal="center" vertical="center"/>
    </xf>
    <xf numFmtId="169" fontId="111" fillId="0" borderId="19" xfId="0" applyNumberFormat="1" applyFont="1" applyBorder="1" applyAlignment="1">
      <alignment horizontal="center" vertical="center"/>
    </xf>
    <xf numFmtId="169" fontId="111" fillId="0" borderId="72" xfId="0" applyNumberFormat="1" applyFont="1" applyBorder="1" applyAlignment="1">
      <alignment horizontal="center" vertical="center"/>
    </xf>
    <xf numFmtId="169" fontId="111" fillId="25" borderId="17" xfId="0" applyNumberFormat="1" applyFont="1" applyFill="1" applyBorder="1" applyAlignment="1">
      <alignment horizontal="center" vertical="center"/>
    </xf>
    <xf numFmtId="169" fontId="111" fillId="0" borderId="33" xfId="0" applyNumberFormat="1" applyFont="1" applyBorder="1" applyAlignment="1">
      <alignment horizontal="center" vertical="center"/>
    </xf>
    <xf numFmtId="2" fontId="111" fillId="0" borderId="33" xfId="0" applyNumberFormat="1" applyFont="1" applyBorder="1" applyAlignment="1">
      <alignment horizontal="center" vertical="center"/>
    </xf>
    <xf numFmtId="1" fontId="6" fillId="0" borderId="67" xfId="0" applyNumberFormat="1" applyFont="1" applyBorder="1" applyAlignment="1">
      <alignment horizontal="center" vertical="center"/>
    </xf>
    <xf numFmtId="1" fontId="111" fillId="25" borderId="48" xfId="0" applyNumberFormat="1" applyFont="1" applyFill="1" applyBorder="1" applyAlignment="1">
      <alignment horizontal="center" vertical="center"/>
    </xf>
    <xf numFmtId="1" fontId="111" fillId="25" borderId="37" xfId="0" applyNumberFormat="1" applyFont="1" applyFill="1" applyBorder="1" applyAlignment="1">
      <alignment horizontal="center" vertical="center"/>
    </xf>
    <xf numFmtId="1" fontId="111" fillId="25" borderId="65" xfId="0" applyNumberFormat="1" applyFont="1" applyFill="1" applyBorder="1" applyAlignment="1">
      <alignment horizontal="center" vertical="center"/>
    </xf>
    <xf numFmtId="0" fontId="3" fillId="0" borderId="83" xfId="0" applyFont="1" applyBorder="1"/>
    <xf numFmtId="0" fontId="3" fillId="0" borderId="117" xfId="0" applyFont="1" applyBorder="1"/>
    <xf numFmtId="1" fontId="6" fillId="0" borderId="53" xfId="0" applyNumberFormat="1" applyFont="1" applyBorder="1" applyAlignment="1">
      <alignment horizontal="center" vertical="center"/>
    </xf>
    <xf numFmtId="171" fontId="111" fillId="0" borderId="48" xfId="0" applyNumberFormat="1" applyFont="1" applyBorder="1" applyAlignment="1">
      <alignment horizontal="center" vertical="center"/>
    </xf>
    <xf numFmtId="169" fontId="111" fillId="0" borderId="49" xfId="0" applyNumberFormat="1" applyFont="1" applyBorder="1" applyAlignment="1">
      <alignment horizontal="center" vertical="center"/>
    </xf>
    <xf numFmtId="1" fontId="109" fillId="0" borderId="55" xfId="0" applyNumberFormat="1" applyFont="1" applyBorder="1" applyAlignment="1">
      <alignment horizontal="center" vertical="center"/>
    </xf>
    <xf numFmtId="2" fontId="138" fillId="19" borderId="10" xfId="0" applyNumberFormat="1" applyFont="1" applyFill="1" applyBorder="1" applyAlignment="1">
      <alignment horizontal="center" vertical="center"/>
    </xf>
    <xf numFmtId="1" fontId="111" fillId="21" borderId="10" xfId="0" applyNumberFormat="1" applyFont="1" applyFill="1" applyBorder="1" applyAlignment="1">
      <alignment horizontal="center" vertical="center"/>
    </xf>
    <xf numFmtId="169" fontId="138" fillId="21" borderId="10" xfId="0" applyNumberFormat="1" applyFont="1" applyFill="1" applyBorder="1" applyAlignment="1">
      <alignment horizontal="center" vertical="center"/>
    </xf>
    <xf numFmtId="2" fontId="138" fillId="21" borderId="10" xfId="0" applyNumberFormat="1" applyFont="1" applyFill="1" applyBorder="1" applyAlignment="1">
      <alignment horizontal="center" vertical="center"/>
    </xf>
    <xf numFmtId="169" fontId="54" fillId="15" borderId="76" xfId="0" applyNumberFormat="1" applyFont="1" applyFill="1" applyBorder="1" applyAlignment="1">
      <alignment horizontal="center" vertical="center"/>
    </xf>
    <xf numFmtId="2" fontId="54" fillId="15" borderId="108" xfId="0" applyNumberFormat="1" applyFont="1" applyFill="1" applyBorder="1" applyAlignment="1">
      <alignment horizontal="center" vertical="center"/>
    </xf>
    <xf numFmtId="169" fontId="54" fillId="15" borderId="10" xfId="0" applyNumberFormat="1" applyFont="1" applyFill="1" applyBorder="1" applyAlignment="1">
      <alignment horizontal="center" vertical="center"/>
    </xf>
    <xf numFmtId="2" fontId="54" fillId="15" borderId="37" xfId="0" applyNumberFormat="1" applyFont="1" applyFill="1" applyBorder="1" applyAlignment="1">
      <alignment horizontal="center" vertical="center"/>
    </xf>
    <xf numFmtId="169" fontId="138" fillId="21" borderId="76" xfId="0" applyNumberFormat="1" applyFont="1" applyFill="1" applyBorder="1" applyAlignment="1">
      <alignment horizontal="center" vertical="center"/>
    </xf>
    <xf numFmtId="2" fontId="54" fillId="21" borderId="108" xfId="0" applyNumberFormat="1" applyFont="1" applyFill="1" applyBorder="1" applyAlignment="1">
      <alignment horizontal="center" vertical="center"/>
    </xf>
    <xf numFmtId="2" fontId="54" fillId="21" borderId="10" xfId="0" applyNumberFormat="1" applyFont="1" applyFill="1" applyBorder="1" applyAlignment="1">
      <alignment horizontal="center" vertical="center"/>
    </xf>
    <xf numFmtId="169" fontId="138" fillId="25" borderId="23" xfId="0" applyNumberFormat="1" applyFont="1" applyFill="1" applyBorder="1" applyAlignment="1">
      <alignment horizontal="center" vertical="center"/>
    </xf>
    <xf numFmtId="1" fontId="109" fillId="0" borderId="53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1" fontId="149" fillId="0" borderId="0" xfId="0" applyNumberFormat="1" applyFont="1" applyAlignment="1">
      <alignment horizontal="center" vertical="center"/>
    </xf>
    <xf numFmtId="1" fontId="112" fillId="0" borderId="11" xfId="0" applyNumberFormat="1" applyFont="1" applyBorder="1" applyAlignment="1">
      <alignment horizontal="center" vertical="center"/>
    </xf>
    <xf numFmtId="1" fontId="112" fillId="0" borderId="67" xfId="0" applyNumberFormat="1" applyFont="1" applyBorder="1" applyAlignment="1">
      <alignment horizontal="center" vertical="center"/>
    </xf>
    <xf numFmtId="169" fontId="110" fillId="0" borderId="17" xfId="0" applyNumberFormat="1" applyFont="1" applyBorder="1" applyAlignment="1">
      <alignment horizontal="center" vertical="center"/>
    </xf>
    <xf numFmtId="169" fontId="110" fillId="0" borderId="72" xfId="0" applyNumberFormat="1" applyFont="1" applyBorder="1" applyAlignment="1">
      <alignment horizontal="center" vertical="center"/>
    </xf>
    <xf numFmtId="169" fontId="109" fillId="0" borderId="4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69" fontId="111" fillId="0" borderId="7" xfId="0" applyNumberFormat="1" applyFont="1" applyBorder="1" applyAlignment="1">
      <alignment horizontal="center" vertical="center"/>
    </xf>
    <xf numFmtId="169" fontId="6" fillId="0" borderId="11" xfId="0" applyNumberFormat="1" applyFont="1" applyBorder="1" applyAlignment="1">
      <alignment horizontal="center" vertical="center"/>
    </xf>
    <xf numFmtId="169" fontId="111" fillId="0" borderId="42" xfId="0" applyNumberFormat="1" applyFont="1" applyBorder="1" applyAlignment="1">
      <alignment horizontal="center" vertical="center"/>
    </xf>
    <xf numFmtId="169" fontId="112" fillId="0" borderId="19" xfId="0" applyNumberFormat="1" applyFont="1" applyBorder="1" applyAlignment="1">
      <alignment horizontal="center" vertical="center"/>
    </xf>
    <xf numFmtId="0" fontId="138" fillId="25" borderId="63" xfId="0" applyFont="1" applyFill="1" applyBorder="1" applyAlignment="1">
      <alignment horizontal="center" vertical="center"/>
    </xf>
    <xf numFmtId="0" fontId="138" fillId="25" borderId="31" xfId="0" applyFont="1" applyFill="1" applyBorder="1" applyAlignment="1">
      <alignment horizontal="center" vertical="center"/>
    </xf>
    <xf numFmtId="169" fontId="125" fillId="25" borderId="1" xfId="0" applyNumberFormat="1" applyFont="1" applyFill="1" applyBorder="1" applyAlignment="1">
      <alignment horizontal="center" vertical="center"/>
    </xf>
    <xf numFmtId="169" fontId="138" fillId="25" borderId="31" xfId="0" applyNumberFormat="1" applyFont="1" applyFill="1" applyBorder="1" applyAlignment="1">
      <alignment horizontal="center" vertical="center"/>
    </xf>
    <xf numFmtId="2" fontId="138" fillId="25" borderId="31" xfId="0" applyNumberFormat="1" applyFont="1" applyFill="1" applyBorder="1" applyAlignment="1">
      <alignment horizontal="center" vertical="center"/>
    </xf>
    <xf numFmtId="1" fontId="125" fillId="25" borderId="4" xfId="0" applyNumberFormat="1" applyFont="1" applyFill="1" applyBorder="1" applyAlignment="1">
      <alignment horizontal="center" vertical="center"/>
    </xf>
    <xf numFmtId="1" fontId="138" fillId="25" borderId="3" xfId="0" applyNumberFormat="1" applyFont="1" applyFill="1" applyBorder="1" applyAlignment="1">
      <alignment horizontal="center" vertical="center"/>
    </xf>
    <xf numFmtId="169" fontId="138" fillId="25" borderId="29" xfId="0" applyNumberFormat="1" applyFont="1" applyFill="1" applyBorder="1" applyAlignment="1">
      <alignment horizontal="center" vertical="center"/>
    </xf>
    <xf numFmtId="169" fontId="138" fillId="25" borderId="59" xfId="0" applyNumberFormat="1" applyFont="1" applyFill="1" applyBorder="1" applyAlignment="1">
      <alignment horizontal="center" vertical="center"/>
    </xf>
    <xf numFmtId="1" fontId="138" fillId="25" borderId="59" xfId="0" applyNumberFormat="1" applyFont="1" applyFill="1" applyBorder="1" applyAlignment="1">
      <alignment horizontal="center" vertical="center"/>
    </xf>
    <xf numFmtId="171" fontId="138" fillId="25" borderId="31" xfId="0" applyNumberFormat="1" applyFont="1" applyFill="1" applyBorder="1" applyAlignment="1">
      <alignment horizontal="center" vertical="center"/>
    </xf>
    <xf numFmtId="171" fontId="138" fillId="25" borderId="29" xfId="0" applyNumberFormat="1" applyFont="1" applyFill="1" applyBorder="1" applyAlignment="1">
      <alignment horizontal="center" vertical="center"/>
    </xf>
    <xf numFmtId="0" fontId="138" fillId="25" borderId="29" xfId="0" applyFont="1" applyFill="1" applyBorder="1" applyAlignment="1">
      <alignment horizontal="center" vertical="center"/>
    </xf>
    <xf numFmtId="171" fontId="138" fillId="25" borderId="62" xfId="0" applyNumberFormat="1" applyFont="1" applyFill="1" applyBorder="1" applyAlignment="1">
      <alignment horizontal="center" vertical="center"/>
    </xf>
    <xf numFmtId="2" fontId="138" fillId="25" borderId="29" xfId="0" applyNumberFormat="1" applyFont="1" applyFill="1" applyBorder="1" applyAlignment="1">
      <alignment horizontal="center" vertical="center"/>
    </xf>
    <xf numFmtId="169" fontId="138" fillId="25" borderId="36" xfId="0" applyNumberFormat="1" applyFont="1" applyFill="1" applyBorder="1" applyAlignment="1">
      <alignment horizontal="center" vertical="center"/>
    </xf>
    <xf numFmtId="1" fontId="125" fillId="25" borderId="29" xfId="0" applyNumberFormat="1" applyFont="1" applyFill="1" applyBorder="1" applyAlignment="1">
      <alignment horizontal="center" vertical="center"/>
    </xf>
    <xf numFmtId="1" fontId="134" fillId="25" borderId="34" xfId="0" applyNumberFormat="1" applyFont="1" applyFill="1" applyBorder="1" applyAlignment="1">
      <alignment horizontal="center" vertical="center"/>
    </xf>
    <xf numFmtId="1" fontId="125" fillId="25" borderId="32" xfId="0" applyNumberFormat="1" applyFont="1" applyFill="1" applyBorder="1" applyAlignment="1">
      <alignment horizontal="center" vertical="center"/>
    </xf>
    <xf numFmtId="2" fontId="125" fillId="25" borderId="1" xfId="0" applyNumberFormat="1" applyFont="1" applyFill="1" applyBorder="1" applyAlignment="1">
      <alignment horizontal="center" vertical="center"/>
    </xf>
    <xf numFmtId="0" fontId="7" fillId="25" borderId="6" xfId="0" applyFont="1" applyFill="1" applyBorder="1" applyAlignment="1">
      <alignment vertical="center"/>
    </xf>
    <xf numFmtId="2" fontId="138" fillId="25" borderId="34" xfId="0" applyNumberFormat="1" applyFont="1" applyFill="1" applyBorder="1" applyAlignment="1">
      <alignment horizontal="center" vertical="center"/>
    </xf>
    <xf numFmtId="2" fontId="63" fillId="15" borderId="7" xfId="0" applyNumberFormat="1" applyFont="1" applyFill="1" applyBorder="1" applyAlignment="1">
      <alignment horizontal="center" vertical="center"/>
    </xf>
    <xf numFmtId="2" fontId="63" fillId="15" borderId="75" xfId="0" applyNumberFormat="1" applyFont="1" applyFill="1" applyBorder="1" applyAlignment="1">
      <alignment horizontal="center" vertical="center"/>
    </xf>
    <xf numFmtId="0" fontId="79" fillId="0" borderId="3" xfId="0" applyFont="1" applyBorder="1" applyAlignment="1">
      <alignment vertical="center"/>
    </xf>
    <xf numFmtId="2" fontId="72" fillId="25" borderId="6" xfId="0" applyNumberFormat="1" applyFont="1" applyFill="1" applyBorder="1" applyAlignment="1">
      <alignment vertical="center"/>
    </xf>
    <xf numFmtId="0" fontId="96" fillId="25" borderId="6" xfId="0" applyFont="1" applyFill="1" applyBorder="1" applyAlignment="1">
      <alignment vertical="center"/>
    </xf>
    <xf numFmtId="0" fontId="72" fillId="17" borderId="29" xfId="0" applyFont="1" applyFill="1" applyBorder="1" applyAlignment="1">
      <alignment horizontal="center" vertical="center"/>
    </xf>
    <xf numFmtId="1" fontId="72" fillId="17" borderId="8" xfId="0" applyNumberFormat="1" applyFont="1" applyFill="1" applyBorder="1" applyAlignment="1">
      <alignment horizontal="center" vertical="center"/>
    </xf>
    <xf numFmtId="0" fontId="14" fillId="25" borderId="6" xfId="0" applyFont="1" applyFill="1" applyBorder="1" applyAlignment="1">
      <alignment vertical="center"/>
    </xf>
    <xf numFmtId="1" fontId="35" fillId="13" borderId="52" xfId="0" applyNumberFormat="1" applyFont="1" applyFill="1" applyBorder="1" applyAlignment="1">
      <alignment horizontal="center" vertical="center"/>
    </xf>
    <xf numFmtId="1" fontId="63" fillId="2" borderId="160" xfId="0" applyNumberFormat="1" applyFont="1" applyFill="1" applyBorder="1" applyAlignment="1">
      <alignment horizontal="center" vertical="center"/>
    </xf>
    <xf numFmtId="1" fontId="76" fillId="15" borderId="43" xfId="0" applyNumberFormat="1" applyFont="1" applyFill="1" applyBorder="1" applyAlignment="1">
      <alignment horizontal="center" vertical="center"/>
    </xf>
    <xf numFmtId="1" fontId="76" fillId="13" borderId="43" xfId="0" applyNumberFormat="1" applyFont="1" applyFill="1" applyBorder="1" applyAlignment="1">
      <alignment horizontal="center" vertical="center"/>
    </xf>
    <xf numFmtId="1" fontId="76" fillId="15" borderId="10" xfId="0" applyNumberFormat="1" applyFont="1" applyFill="1" applyBorder="1" applyAlignment="1">
      <alignment horizontal="center" vertical="center"/>
    </xf>
    <xf numFmtId="1" fontId="76" fillId="13" borderId="10" xfId="0" applyNumberFormat="1" applyFont="1" applyFill="1" applyBorder="1" applyAlignment="1">
      <alignment horizontal="center" vertical="center"/>
    </xf>
    <xf numFmtId="1" fontId="35" fillId="13" borderId="44" xfId="0" applyNumberFormat="1" applyFont="1" applyFill="1" applyBorder="1" applyAlignment="1">
      <alignment horizontal="center" vertical="center"/>
    </xf>
    <xf numFmtId="1" fontId="76" fillId="14" borderId="56" xfId="0" applyNumberFormat="1" applyFont="1" applyFill="1" applyBorder="1" applyAlignment="1">
      <alignment horizontal="center" vertical="center"/>
    </xf>
    <xf numFmtId="1" fontId="79" fillId="14" borderId="105" xfId="0" applyNumberFormat="1" applyFont="1" applyFill="1" applyBorder="1" applyAlignment="1">
      <alignment horizontal="center" vertical="center"/>
    </xf>
    <xf numFmtId="1" fontId="79" fillId="15" borderId="105" xfId="0" applyNumberFormat="1" applyFont="1" applyFill="1" applyBorder="1" applyAlignment="1">
      <alignment horizontal="center" vertical="center"/>
    </xf>
    <xf numFmtId="1" fontId="43" fillId="14" borderId="37" xfId="0" applyNumberFormat="1" applyFont="1" applyFill="1" applyBorder="1" applyAlignment="1">
      <alignment horizontal="center" vertical="center"/>
    </xf>
    <xf numFmtId="2" fontId="34" fillId="13" borderId="44" xfId="0" quotePrefix="1" applyNumberFormat="1" applyFont="1" applyFill="1" applyBorder="1" applyAlignment="1">
      <alignment horizontal="center" vertical="center"/>
    </xf>
    <xf numFmtId="2" fontId="34" fillId="13" borderId="47" xfId="0" quotePrefix="1" applyNumberFormat="1" applyFont="1" applyFill="1" applyBorder="1" applyAlignment="1">
      <alignment horizontal="center" vertical="center"/>
    </xf>
    <xf numFmtId="2" fontId="34" fillId="13" borderId="57" xfId="0" quotePrefix="1" applyNumberFormat="1" applyFont="1" applyFill="1" applyBorder="1" applyAlignment="1">
      <alignment horizontal="center" vertical="center"/>
    </xf>
    <xf numFmtId="0" fontId="103" fillId="13" borderId="2" xfId="0" applyFont="1" applyFill="1" applyBorder="1" applyAlignment="1">
      <alignment horizontal="center" vertical="center"/>
    </xf>
    <xf numFmtId="1" fontId="36" fillId="17" borderId="10" xfId="0" applyNumberFormat="1" applyFont="1" applyFill="1" applyBorder="1" applyAlignment="1">
      <alignment horizontal="center" vertical="center"/>
    </xf>
    <xf numFmtId="1" fontId="34" fillId="13" borderId="51" xfId="0" applyNumberFormat="1" applyFont="1" applyFill="1" applyBorder="1" applyAlignment="1">
      <alignment horizontal="center" vertical="center"/>
    </xf>
    <xf numFmtId="0" fontId="76" fillId="25" borderId="29" xfId="0" applyFont="1" applyFill="1" applyBorder="1" applyAlignment="1">
      <alignment horizontal="right" vertical="center"/>
    </xf>
    <xf numFmtId="0" fontId="18" fillId="25" borderId="29" xfId="0" applyFont="1" applyFill="1" applyBorder="1" applyAlignment="1">
      <alignment horizontal="right" vertical="center"/>
    </xf>
    <xf numFmtId="0" fontId="19" fillId="25" borderId="59" xfId="0" applyFont="1" applyFill="1" applyBorder="1" applyAlignment="1">
      <alignment horizontal="right" vertical="center"/>
    </xf>
    <xf numFmtId="0" fontId="18" fillId="25" borderId="8" xfId="0" applyFont="1" applyFill="1" applyBorder="1" applyAlignment="1">
      <alignment horizontal="right" vertical="center"/>
    </xf>
    <xf numFmtId="0" fontId="76" fillId="25" borderId="59" xfId="0" applyFont="1" applyFill="1" applyBorder="1" applyAlignment="1">
      <alignment horizontal="right" vertical="center"/>
    </xf>
    <xf numFmtId="2" fontId="63" fillId="17" borderId="10" xfId="0" applyNumberFormat="1" applyFont="1" applyFill="1" applyBorder="1" applyAlignment="1">
      <alignment horizontal="center" vertical="center"/>
    </xf>
    <xf numFmtId="2" fontId="63" fillId="17" borderId="14" xfId="0" applyNumberFormat="1" applyFont="1" applyFill="1" applyBorder="1" applyAlignment="1">
      <alignment horizontal="center" vertical="center"/>
    </xf>
    <xf numFmtId="2" fontId="63" fillId="17" borderId="5" xfId="0" applyNumberFormat="1" applyFont="1" applyFill="1" applyBorder="1" applyAlignment="1">
      <alignment horizontal="center" vertical="center"/>
    </xf>
    <xf numFmtId="1" fontId="67" fillId="17" borderId="37" xfId="0" applyNumberFormat="1" applyFont="1" applyFill="1" applyBorder="1" applyAlignment="1">
      <alignment horizontal="center" vertical="center"/>
    </xf>
    <xf numFmtId="1" fontId="86" fillId="17" borderId="42" xfId="0" applyNumberFormat="1" applyFont="1" applyFill="1" applyBorder="1" applyAlignment="1">
      <alignment horizontal="center" vertical="center"/>
    </xf>
    <xf numFmtId="169" fontId="54" fillId="25" borderId="17" xfId="0" applyNumberFormat="1" applyFont="1" applyFill="1" applyBorder="1" applyAlignment="1">
      <alignment horizontal="center" vertical="center"/>
    </xf>
    <xf numFmtId="169" fontId="54" fillId="25" borderId="10" xfId="0" applyNumberFormat="1" applyFont="1" applyFill="1" applyBorder="1" applyAlignment="1">
      <alignment horizontal="center" vertical="center"/>
    </xf>
    <xf numFmtId="1" fontId="138" fillId="25" borderId="32" xfId="0" applyNumberFormat="1" applyFont="1" applyFill="1" applyBorder="1" applyAlignment="1">
      <alignment horizontal="center" vertical="center"/>
    </xf>
    <xf numFmtId="1" fontId="72" fillId="25" borderId="6" xfId="0" applyNumberFormat="1" applyFont="1" applyFill="1" applyBorder="1" applyAlignment="1">
      <alignment vertical="center"/>
    </xf>
    <xf numFmtId="0" fontId="34" fillId="13" borderId="6" xfId="0" applyFont="1" applyFill="1" applyBorder="1" applyAlignment="1">
      <alignment horizontal="center" vertical="center" wrapText="1"/>
    </xf>
    <xf numFmtId="0" fontId="34" fillId="13" borderId="59" xfId="0" applyFont="1" applyFill="1" applyBorder="1" applyAlignment="1">
      <alignment horizontal="center" vertical="center" wrapText="1"/>
    </xf>
    <xf numFmtId="0" fontId="34" fillId="13" borderId="24" xfId="0" applyFont="1" applyFill="1" applyBorder="1" applyAlignment="1">
      <alignment horizontal="center" vertical="center" wrapText="1"/>
    </xf>
    <xf numFmtId="1" fontId="83" fillId="14" borderId="21" xfId="0" applyNumberFormat="1" applyFont="1" applyFill="1" applyBorder="1" applyAlignment="1">
      <alignment horizontal="center" vertical="center"/>
    </xf>
    <xf numFmtId="1" fontId="36" fillId="17" borderId="49" xfId="0" applyNumberFormat="1" applyFont="1" applyFill="1" applyBorder="1" applyAlignment="1">
      <alignment horizontal="center" vertical="center"/>
    </xf>
    <xf numFmtId="1" fontId="35" fillId="13" borderId="47" xfId="0" applyNumberFormat="1" applyFont="1" applyFill="1" applyBorder="1" applyAlignment="1">
      <alignment horizontal="center" vertical="center"/>
    </xf>
    <xf numFmtId="1" fontId="103" fillId="13" borderId="47" xfId="0" applyNumberFormat="1" applyFont="1" applyFill="1" applyBorder="1" applyAlignment="1">
      <alignment horizontal="center" vertical="center"/>
    </xf>
    <xf numFmtId="1" fontId="34" fillId="13" borderId="47" xfId="0" applyNumberFormat="1" applyFont="1" applyFill="1" applyBorder="1" applyAlignment="1">
      <alignment horizontal="center" vertical="center"/>
    </xf>
    <xf numFmtId="1" fontId="34" fillId="14" borderId="27" xfId="0" applyNumberFormat="1" applyFont="1" applyFill="1" applyBorder="1" applyAlignment="1">
      <alignment horizontal="center" vertical="center"/>
    </xf>
    <xf numFmtId="1" fontId="34" fillId="14" borderId="18" xfId="0" quotePrefix="1" applyNumberFormat="1" applyFont="1" applyFill="1" applyBorder="1" applyAlignment="1">
      <alignment horizontal="center" vertical="center"/>
    </xf>
    <xf numFmtId="1" fontId="125" fillId="25" borderId="1" xfId="0" applyNumberFormat="1" applyFont="1" applyFill="1" applyBorder="1" applyAlignment="1">
      <alignment horizontal="center" vertical="center"/>
    </xf>
    <xf numFmtId="1" fontId="138" fillId="25" borderId="63" xfId="0" applyNumberFormat="1" applyFont="1" applyFill="1" applyBorder="1" applyAlignment="1">
      <alignment horizontal="center" vertical="center"/>
    </xf>
    <xf numFmtId="0" fontId="7" fillId="25" borderId="24" xfId="0" applyFont="1" applyFill="1" applyBorder="1" applyAlignment="1">
      <alignment vertical="center"/>
    </xf>
    <xf numFmtId="0" fontId="67" fillId="17" borderId="30" xfId="0" applyFont="1" applyFill="1" applyBorder="1" applyAlignment="1">
      <alignment horizontal="center" vertical="center"/>
    </xf>
    <xf numFmtId="2" fontId="63" fillId="17" borderId="30" xfId="0" applyNumberFormat="1" applyFont="1" applyFill="1" applyBorder="1" applyAlignment="1">
      <alignment horizontal="center" vertical="center"/>
    </xf>
    <xf numFmtId="1" fontId="67" fillId="17" borderId="10" xfId="0" applyNumberFormat="1" applyFont="1" applyFill="1" applyBorder="1" applyAlignment="1">
      <alignment horizontal="center" vertical="center"/>
    </xf>
    <xf numFmtId="1" fontId="86" fillId="17" borderId="10" xfId="3" applyNumberFormat="1" applyFont="1" applyFill="1" applyBorder="1" applyAlignment="1">
      <alignment horizontal="center" vertical="center"/>
    </xf>
    <xf numFmtId="1" fontId="86" fillId="17" borderId="46" xfId="0" applyNumberFormat="1" applyFont="1" applyFill="1" applyBorder="1" applyAlignment="1">
      <alignment horizontal="center" vertical="center"/>
    </xf>
    <xf numFmtId="1" fontId="89" fillId="17" borderId="10" xfId="0" applyNumberFormat="1" applyFont="1" applyFill="1" applyBorder="1" applyAlignment="1">
      <alignment horizontal="center" vertical="center"/>
    </xf>
    <xf numFmtId="1" fontId="89" fillId="17" borderId="45" xfId="0" applyNumberFormat="1" applyFont="1" applyFill="1" applyBorder="1" applyAlignment="1">
      <alignment horizontal="center" vertical="center"/>
    </xf>
    <xf numFmtId="1" fontId="89" fillId="17" borderId="46" xfId="0" applyNumberFormat="1" applyFont="1" applyFill="1" applyBorder="1" applyAlignment="1">
      <alignment horizontal="center" vertical="center"/>
    </xf>
    <xf numFmtId="1" fontId="72" fillId="17" borderId="38" xfId="0" applyNumberFormat="1" applyFont="1" applyFill="1" applyBorder="1" applyAlignment="1">
      <alignment horizontal="center" vertical="center"/>
    </xf>
    <xf numFmtId="1" fontId="89" fillId="17" borderId="30" xfId="0" applyNumberFormat="1" applyFont="1" applyFill="1" applyBorder="1" applyAlignment="1">
      <alignment horizontal="center" vertical="center"/>
    </xf>
    <xf numFmtId="1" fontId="89" fillId="17" borderId="41" xfId="0" applyNumberFormat="1" applyFont="1" applyFill="1" applyBorder="1" applyAlignment="1">
      <alignment horizontal="center" vertical="center"/>
    </xf>
    <xf numFmtId="2" fontId="83" fillId="17" borderId="10" xfId="3" quotePrefix="1" applyNumberFormat="1" applyFont="1" applyFill="1" applyBorder="1" applyAlignment="1">
      <alignment horizontal="center" vertical="center"/>
    </xf>
    <xf numFmtId="2" fontId="83" fillId="17" borderId="23" xfId="3" quotePrefix="1" applyNumberFormat="1" applyFont="1" applyFill="1" applyBorder="1" applyAlignment="1">
      <alignment horizontal="center" vertical="center"/>
    </xf>
    <xf numFmtId="0" fontId="72" fillId="17" borderId="10" xfId="0" applyFont="1" applyFill="1" applyBorder="1" applyAlignment="1">
      <alignment horizontal="center" vertical="center"/>
    </xf>
    <xf numFmtId="169" fontId="72" fillId="17" borderId="10" xfId="0" applyNumberFormat="1" applyFont="1" applyFill="1" applyBorder="1" applyAlignment="1">
      <alignment horizontal="center" vertical="center"/>
    </xf>
    <xf numFmtId="169" fontId="72" fillId="17" borderId="30" xfId="0" applyNumberFormat="1" applyFont="1" applyFill="1" applyBorder="1" applyAlignment="1">
      <alignment horizontal="center" vertical="center"/>
    </xf>
    <xf numFmtId="2" fontId="72" fillId="17" borderId="10" xfId="0" applyNumberFormat="1" applyFont="1" applyFill="1" applyBorder="1" applyAlignment="1">
      <alignment horizontal="center" vertical="center"/>
    </xf>
    <xf numFmtId="0" fontId="76" fillId="25" borderId="6" xfId="0" applyFont="1" applyFill="1" applyBorder="1" applyAlignment="1">
      <alignment vertical="center"/>
    </xf>
    <xf numFmtId="2" fontId="72" fillId="17" borderId="30" xfId="0" applyNumberFormat="1" applyFont="1" applyFill="1" applyBorder="1" applyAlignment="1">
      <alignment horizontal="center" vertical="center"/>
    </xf>
    <xf numFmtId="0" fontId="72" fillId="17" borderId="23" xfId="0" applyFont="1" applyFill="1" applyBorder="1" applyAlignment="1">
      <alignment horizontal="center" vertical="center"/>
    </xf>
    <xf numFmtId="1" fontId="72" fillId="17" borderId="30" xfId="0" applyNumberFormat="1" applyFont="1" applyFill="1" applyBorder="1" applyAlignment="1">
      <alignment horizontal="center" vertical="center"/>
    </xf>
    <xf numFmtId="1" fontId="72" fillId="17" borderId="14" xfId="0" applyNumberFormat="1" applyFont="1" applyFill="1" applyBorder="1" applyAlignment="1">
      <alignment horizontal="center" vertical="center"/>
    </xf>
    <xf numFmtId="1" fontId="72" fillId="17" borderId="46" xfId="0" applyNumberFormat="1" applyFont="1" applyFill="1" applyBorder="1" applyAlignment="1">
      <alignment horizontal="center" vertical="center"/>
    </xf>
    <xf numFmtId="171" fontId="72" fillId="17" borderId="23" xfId="0" applyNumberFormat="1" applyFont="1" applyFill="1" applyBorder="1" applyAlignment="1">
      <alignment horizontal="center" vertical="center"/>
    </xf>
    <xf numFmtId="1" fontId="38" fillId="17" borderId="30" xfId="0" quotePrefix="1" applyNumberFormat="1" applyFont="1" applyFill="1" applyBorder="1" applyAlignment="1">
      <alignment horizontal="center" vertical="center"/>
    </xf>
    <xf numFmtId="1" fontId="38" fillId="17" borderId="30" xfId="0" applyNumberFormat="1" applyFont="1" applyFill="1" applyBorder="1" applyAlignment="1">
      <alignment horizontal="center" vertical="center"/>
    </xf>
    <xf numFmtId="1" fontId="38" fillId="17" borderId="45" xfId="0" applyNumberFormat="1" applyFont="1" applyFill="1" applyBorder="1" applyAlignment="1">
      <alignment horizontal="center" vertical="center"/>
    </xf>
    <xf numFmtId="1" fontId="38" fillId="17" borderId="46" xfId="0" applyNumberFormat="1" applyFont="1" applyFill="1" applyBorder="1" applyAlignment="1">
      <alignment horizontal="center" vertical="center"/>
    </xf>
    <xf numFmtId="1" fontId="38" fillId="17" borderId="10" xfId="0" applyNumberFormat="1" applyFont="1" applyFill="1" applyBorder="1" applyAlignment="1">
      <alignment horizontal="center" vertical="center"/>
    </xf>
    <xf numFmtId="1" fontId="38" fillId="17" borderId="10" xfId="0" quotePrefix="1" applyNumberFormat="1" applyFont="1" applyFill="1" applyBorder="1" applyAlignment="1">
      <alignment horizontal="center" vertical="center"/>
    </xf>
    <xf numFmtId="1" fontId="36" fillId="17" borderId="30" xfId="0" applyNumberFormat="1" applyFont="1" applyFill="1" applyBorder="1" applyAlignment="1">
      <alignment horizontal="center" vertical="center"/>
    </xf>
    <xf numFmtId="171" fontId="36" fillId="17" borderId="10" xfId="0" applyNumberFormat="1" applyFont="1" applyFill="1" applyBorder="1" applyAlignment="1">
      <alignment horizontal="center" vertical="center"/>
    </xf>
    <xf numFmtId="169" fontId="36" fillId="17" borderId="10" xfId="0" applyNumberFormat="1" applyFont="1" applyFill="1" applyBorder="1" applyAlignment="1">
      <alignment horizontal="center" vertical="center"/>
    </xf>
    <xf numFmtId="1" fontId="36" fillId="17" borderId="45" xfId="0" applyNumberFormat="1" applyFont="1" applyFill="1" applyBorder="1" applyAlignment="1">
      <alignment horizontal="center" vertical="center"/>
    </xf>
    <xf numFmtId="171" fontId="38" fillId="17" borderId="10" xfId="0" applyNumberFormat="1" applyFont="1" applyFill="1" applyBorder="1" applyAlignment="1">
      <alignment horizontal="center" vertical="center"/>
    </xf>
    <xf numFmtId="1" fontId="36" fillId="17" borderId="46" xfId="0" applyNumberFormat="1" applyFont="1" applyFill="1" applyBorder="1" applyAlignment="1">
      <alignment horizontal="center" vertical="center"/>
    </xf>
    <xf numFmtId="0" fontId="36" fillId="17" borderId="10" xfId="0" applyFont="1" applyFill="1" applyBorder="1" applyAlignment="1">
      <alignment horizontal="center" vertical="center"/>
    </xf>
    <xf numFmtId="0" fontId="36" fillId="17" borderId="45" xfId="0" applyFont="1" applyFill="1" applyBorder="1" applyAlignment="1">
      <alignment horizontal="center" vertical="center"/>
    </xf>
    <xf numFmtId="1" fontId="36" fillId="17" borderId="4" xfId="0" applyNumberFormat="1" applyFont="1" applyFill="1" applyBorder="1" applyAlignment="1">
      <alignment horizontal="center" vertical="center"/>
    </xf>
    <xf numFmtId="1" fontId="49" fillId="17" borderId="10" xfId="0" applyNumberFormat="1" applyFont="1" applyFill="1" applyBorder="1" applyAlignment="1">
      <alignment horizontal="center" vertical="center"/>
    </xf>
    <xf numFmtId="171" fontId="36" fillId="17" borderId="29" xfId="0" applyNumberFormat="1" applyFont="1" applyFill="1" applyBorder="1" applyAlignment="1">
      <alignment horizontal="center" vertical="center"/>
    </xf>
    <xf numFmtId="1" fontId="38" fillId="17" borderId="8" xfId="0" applyNumberFormat="1" applyFont="1" applyFill="1" applyBorder="1" applyAlignment="1">
      <alignment horizontal="center" vertical="center"/>
    </xf>
    <xf numFmtId="0" fontId="38" fillId="17" borderId="8" xfId="0" applyFont="1" applyFill="1" applyBorder="1" applyAlignment="1">
      <alignment horizontal="center" vertical="center"/>
    </xf>
    <xf numFmtId="171" fontId="38" fillId="17" borderId="8" xfId="0" applyNumberFormat="1" applyFont="1" applyFill="1" applyBorder="1" applyAlignment="1">
      <alignment horizontal="center" vertical="center"/>
    </xf>
    <xf numFmtId="1" fontId="42" fillId="17" borderId="4" xfId="0" applyNumberFormat="1" applyFont="1" applyFill="1" applyBorder="1" applyAlignment="1">
      <alignment horizontal="center" vertical="center"/>
    </xf>
    <xf numFmtId="1" fontId="42" fillId="17" borderId="41" xfId="0" applyNumberFormat="1" applyFont="1" applyFill="1" applyBorder="1" applyAlignment="1">
      <alignment horizontal="center" vertical="center"/>
    </xf>
    <xf numFmtId="1" fontId="42" fillId="17" borderId="8" xfId="0" applyNumberFormat="1" applyFont="1" applyFill="1" applyBorder="1" applyAlignment="1">
      <alignment horizontal="center" vertical="center"/>
    </xf>
    <xf numFmtId="1" fontId="42" fillId="17" borderId="69" xfId="0" applyNumberFormat="1" applyFont="1" applyFill="1" applyBorder="1" applyAlignment="1">
      <alignment horizontal="center" vertical="center"/>
    </xf>
    <xf numFmtId="1" fontId="63" fillId="17" borderId="69" xfId="0" applyNumberFormat="1" applyFont="1" applyFill="1" applyBorder="1" applyAlignment="1">
      <alignment horizontal="center" vertical="center"/>
    </xf>
    <xf numFmtId="0" fontId="42" fillId="25" borderId="114" xfId="0" applyFont="1" applyFill="1" applyBorder="1" applyAlignment="1">
      <alignment horizontal="center" vertical="center"/>
    </xf>
    <xf numFmtId="0" fontId="34" fillId="17" borderId="30" xfId="0" applyFont="1" applyFill="1" applyBorder="1" applyAlignment="1">
      <alignment horizontal="center" vertical="center"/>
    </xf>
    <xf numFmtId="0" fontId="36" fillId="17" borderId="30" xfId="0" applyFont="1" applyFill="1" applyBorder="1" applyAlignment="1">
      <alignment horizontal="center" vertical="center"/>
    </xf>
    <xf numFmtId="0" fontId="36" fillId="17" borderId="14" xfId="0" applyFont="1" applyFill="1" applyBorder="1" applyAlignment="1">
      <alignment horizontal="center" vertical="center"/>
    </xf>
    <xf numFmtId="1" fontId="34" fillId="17" borderId="5" xfId="0" applyNumberFormat="1" applyFont="1" applyFill="1" applyBorder="1" applyAlignment="1">
      <alignment horizontal="center" vertical="center"/>
    </xf>
    <xf numFmtId="1" fontId="78" fillId="17" borderId="41" xfId="0" applyNumberFormat="1" applyFont="1" applyFill="1" applyBorder="1" applyAlignment="1">
      <alignment horizontal="center" vertical="center"/>
    </xf>
    <xf numFmtId="1" fontId="78" fillId="17" borderId="45" xfId="0" applyNumberFormat="1" applyFont="1" applyFill="1" applyBorder="1" applyAlignment="1">
      <alignment horizontal="center" vertical="center"/>
    </xf>
    <xf numFmtId="1" fontId="78" fillId="17" borderId="30" xfId="0" applyNumberFormat="1" applyFont="1" applyFill="1" applyBorder="1" applyAlignment="1">
      <alignment horizontal="center" vertical="center"/>
    </xf>
    <xf numFmtId="0" fontId="49" fillId="17" borderId="30" xfId="0" applyFont="1" applyFill="1" applyBorder="1" applyAlignment="1">
      <alignment horizontal="center" vertical="center"/>
    </xf>
    <xf numFmtId="0" fontId="49" fillId="17" borderId="10" xfId="0" applyFont="1" applyFill="1" applyBorder="1" applyAlignment="1">
      <alignment horizontal="center" vertical="center"/>
    </xf>
    <xf numFmtId="0" fontId="49" fillId="17" borderId="10" xfId="0" quotePrefix="1" applyFont="1" applyFill="1" applyBorder="1" applyAlignment="1">
      <alignment horizontal="center" vertical="center"/>
    </xf>
    <xf numFmtId="169" fontId="49" fillId="17" borderId="10" xfId="0" applyNumberFormat="1" applyFont="1" applyFill="1" applyBorder="1" applyAlignment="1">
      <alignment horizontal="center" vertical="center"/>
    </xf>
    <xf numFmtId="1" fontId="49" fillId="17" borderId="45" xfId="0" applyNumberFormat="1" applyFont="1" applyFill="1" applyBorder="1" applyAlignment="1">
      <alignment horizontal="center" vertical="center"/>
    </xf>
    <xf numFmtId="1" fontId="49" fillId="17" borderId="41" xfId="0" applyNumberFormat="1" applyFont="1" applyFill="1" applyBorder="1" applyAlignment="1">
      <alignment horizontal="center" vertical="center"/>
    </xf>
    <xf numFmtId="0" fontId="17" fillId="25" borderId="29" xfId="0" applyFont="1" applyFill="1" applyBorder="1" applyAlignment="1">
      <alignment vertical="center"/>
    </xf>
    <xf numFmtId="1" fontId="36" fillId="17" borderId="8" xfId="0" quotePrefix="1" applyNumberFormat="1" applyFont="1" applyFill="1" applyBorder="1" applyAlignment="1">
      <alignment horizontal="center" vertical="center"/>
    </xf>
    <xf numFmtId="1" fontId="36" fillId="17" borderId="10" xfId="0" quotePrefix="1" applyNumberFormat="1" applyFont="1" applyFill="1" applyBorder="1" applyAlignment="1">
      <alignment horizontal="center" vertical="center"/>
    </xf>
    <xf numFmtId="1" fontId="36" fillId="17" borderId="38" xfId="0" quotePrefix="1" applyNumberFormat="1" applyFont="1" applyFill="1" applyBorder="1" applyAlignment="1">
      <alignment horizontal="center" vertical="center"/>
    </xf>
    <xf numFmtId="1" fontId="36" fillId="17" borderId="29" xfId="0" quotePrefix="1" applyNumberFormat="1" applyFont="1" applyFill="1" applyBorder="1" applyAlignment="1">
      <alignment horizontal="center" vertical="center"/>
    </xf>
    <xf numFmtId="1" fontId="36" fillId="17" borderId="69" xfId="0" quotePrefix="1" applyNumberFormat="1" applyFont="1" applyFill="1" applyBorder="1" applyAlignment="1">
      <alignment horizontal="center" vertical="center"/>
    </xf>
    <xf numFmtId="2" fontId="36" fillId="17" borderId="3" xfId="0" quotePrefix="1" applyNumberFormat="1" applyFont="1" applyFill="1" applyBorder="1" applyAlignment="1">
      <alignment horizontal="center" vertical="center"/>
    </xf>
    <xf numFmtId="2" fontId="36" fillId="17" borderId="29" xfId="0" quotePrefix="1" applyNumberFormat="1" applyFont="1" applyFill="1" applyBorder="1" applyAlignment="1">
      <alignment horizontal="center" vertical="center"/>
    </xf>
    <xf numFmtId="2" fontId="36" fillId="17" borderId="69" xfId="0" quotePrefix="1" applyNumberFormat="1" applyFont="1" applyFill="1" applyBorder="1" applyAlignment="1">
      <alignment horizontal="center" vertical="center"/>
    </xf>
    <xf numFmtId="1" fontId="77" fillId="25" borderId="5" xfId="0" applyNumberFormat="1" applyFont="1" applyFill="1" applyBorder="1" applyAlignment="1">
      <alignment horizontal="center" vertical="center"/>
    </xf>
    <xf numFmtId="0" fontId="77" fillId="25" borderId="47" xfId="0" applyFont="1" applyFill="1" applyBorder="1"/>
    <xf numFmtId="0" fontId="77" fillId="25" borderId="70" xfId="0" applyFont="1" applyFill="1" applyBorder="1"/>
    <xf numFmtId="0" fontId="100" fillId="25" borderId="25" xfId="0" applyFont="1" applyFill="1" applyBorder="1"/>
    <xf numFmtId="0" fontId="125" fillId="25" borderId="4" xfId="0" applyFont="1" applyFill="1" applyBorder="1" applyAlignment="1">
      <alignment horizontal="center" vertical="center"/>
    </xf>
    <xf numFmtId="0" fontId="138" fillId="25" borderId="32" xfId="0" applyFont="1" applyFill="1" applyBorder="1" applyAlignment="1">
      <alignment horizontal="center" vertical="center"/>
    </xf>
    <xf numFmtId="169" fontId="61" fillId="25" borderId="31" xfId="0" applyNumberFormat="1" applyFont="1" applyFill="1" applyBorder="1" applyAlignment="1">
      <alignment horizontal="center" vertical="center"/>
    </xf>
    <xf numFmtId="169" fontId="61" fillId="25" borderId="62" xfId="0" applyNumberFormat="1" applyFont="1" applyFill="1" applyBorder="1" applyAlignment="1">
      <alignment horizontal="center" vertical="center"/>
    </xf>
    <xf numFmtId="169" fontId="61" fillId="25" borderId="34" xfId="0" applyNumberFormat="1" applyFont="1" applyFill="1" applyBorder="1" applyAlignment="1">
      <alignment horizontal="center" vertical="center"/>
    </xf>
    <xf numFmtId="169" fontId="54" fillId="25" borderId="23" xfId="0" applyNumberFormat="1" applyFont="1" applyFill="1" applyBorder="1" applyAlignment="1">
      <alignment horizontal="center" vertical="center"/>
    </xf>
    <xf numFmtId="0" fontId="112" fillId="21" borderId="4" xfId="0" applyFont="1" applyFill="1" applyBorder="1" applyAlignment="1">
      <alignment horizontal="center" vertical="center"/>
    </xf>
    <xf numFmtId="0" fontId="165" fillId="0" borderId="0" xfId="0" applyFont="1" applyAlignment="1">
      <alignment horizontal="center" vertical="center"/>
    </xf>
    <xf numFmtId="1" fontId="154" fillId="0" borderId="0" xfId="0" applyNumberFormat="1" applyFont="1" applyAlignment="1">
      <alignment horizontal="center" vertical="center"/>
    </xf>
    <xf numFmtId="0" fontId="154" fillId="0" borderId="0" xfId="0" applyFont="1" applyAlignment="1">
      <alignment horizontal="center" vertical="center"/>
    </xf>
    <xf numFmtId="2" fontId="138" fillId="0" borderId="10" xfId="0" applyNumberFormat="1" applyFont="1" applyBorder="1" applyAlignment="1">
      <alignment horizontal="center" vertical="center"/>
    </xf>
    <xf numFmtId="0" fontId="172" fillId="0" borderId="0" xfId="0" applyFont="1"/>
    <xf numFmtId="0" fontId="172" fillId="25" borderId="0" xfId="0" applyFont="1" applyFill="1"/>
    <xf numFmtId="0" fontId="0" fillId="25" borderId="0" xfId="0" applyFill="1"/>
    <xf numFmtId="169" fontId="138" fillId="25" borderId="47" xfId="0" applyNumberFormat="1" applyFont="1" applyFill="1" applyBorder="1" applyAlignment="1">
      <alignment horizontal="center" vertical="center"/>
    </xf>
    <xf numFmtId="169" fontId="135" fillId="25" borderId="7" xfId="0" applyNumberFormat="1" applyFont="1" applyFill="1" applyBorder="1" applyAlignment="1">
      <alignment horizontal="center" vertical="center"/>
    </xf>
    <xf numFmtId="0" fontId="0" fillId="25" borderId="0" xfId="0" applyFill="1" applyAlignment="1">
      <alignment horizontal="center" vertical="center"/>
    </xf>
    <xf numFmtId="1" fontId="87" fillId="25" borderId="49" xfId="0" applyNumberFormat="1" applyFont="1" applyFill="1" applyBorder="1"/>
    <xf numFmtId="2" fontId="72" fillId="25" borderId="10" xfId="0" applyNumberFormat="1" applyFont="1" applyFill="1" applyBorder="1" applyAlignment="1">
      <alignment horizontal="center" vertical="center"/>
    </xf>
    <xf numFmtId="0" fontId="96" fillId="25" borderId="6" xfId="0" applyFont="1" applyFill="1" applyBorder="1"/>
    <xf numFmtId="2" fontId="36" fillId="25" borderId="10" xfId="0" applyNumberFormat="1" applyFont="1" applyFill="1" applyBorder="1" applyAlignment="1">
      <alignment horizontal="center" vertical="center"/>
    </xf>
    <xf numFmtId="1" fontId="72" fillId="25" borderId="10" xfId="0" applyNumberFormat="1" applyFont="1" applyFill="1" applyBorder="1" applyAlignment="1">
      <alignment horizontal="center" vertical="center"/>
    </xf>
    <xf numFmtId="0" fontId="13" fillId="25" borderId="6" xfId="0" applyFont="1" applyFill="1" applyBorder="1" applyAlignment="1">
      <alignment vertical="center"/>
    </xf>
    <xf numFmtId="0" fontId="36" fillId="25" borderId="29" xfId="0" applyFont="1" applyFill="1" applyBorder="1" applyAlignment="1">
      <alignment vertical="center"/>
    </xf>
    <xf numFmtId="2" fontId="36" fillId="17" borderId="30" xfId="0" applyNumberFormat="1" applyFont="1" applyFill="1" applyBorder="1" applyAlignment="1">
      <alignment horizontal="center" vertical="center"/>
    </xf>
    <xf numFmtId="0" fontId="96" fillId="25" borderId="75" xfId="0" applyFont="1" applyFill="1" applyBorder="1"/>
    <xf numFmtId="0" fontId="96" fillId="25" borderId="7" xfId="0" applyFont="1" applyFill="1" applyBorder="1"/>
    <xf numFmtId="0" fontId="79" fillId="25" borderId="6" xfId="0" applyFont="1" applyFill="1" applyBorder="1" applyAlignment="1">
      <alignment vertical="center"/>
    </xf>
    <xf numFmtId="1" fontId="54" fillId="25" borderId="10" xfId="0" applyNumberFormat="1" applyFont="1" applyFill="1" applyBorder="1" applyAlignment="1">
      <alignment horizontal="center" vertical="center"/>
    </xf>
    <xf numFmtId="169" fontId="6" fillId="0" borderId="10" xfId="0" applyNumberFormat="1" applyFont="1" applyBorder="1" applyAlignment="1">
      <alignment horizontal="center" vertical="center"/>
    </xf>
    <xf numFmtId="169" fontId="76" fillId="17" borderId="59" xfId="0" applyNumberFormat="1" applyFont="1" applyFill="1" applyBorder="1" applyAlignment="1">
      <alignment horizontal="center" vertical="center"/>
    </xf>
    <xf numFmtId="0" fontId="13" fillId="25" borderId="29" xfId="0" applyFont="1" applyFill="1" applyBorder="1" applyAlignment="1">
      <alignment vertical="center"/>
    </xf>
    <xf numFmtId="169" fontId="36" fillId="17" borderId="10" xfId="0" quotePrefix="1" applyNumberFormat="1" applyFont="1" applyFill="1" applyBorder="1" applyAlignment="1">
      <alignment horizontal="center" vertical="center"/>
    </xf>
    <xf numFmtId="1" fontId="54" fillId="25" borderId="41" xfId="0" applyNumberFormat="1" applyFont="1" applyFill="1" applyBorder="1" applyAlignment="1">
      <alignment horizontal="center" vertical="center"/>
    </xf>
    <xf numFmtId="0" fontId="89" fillId="17" borderId="10" xfId="0" applyFont="1" applyFill="1" applyBorder="1" applyAlignment="1">
      <alignment horizontal="center" vertical="center"/>
    </xf>
    <xf numFmtId="0" fontId="168" fillId="25" borderId="0" xfId="0" applyFont="1" applyFill="1" applyAlignment="1">
      <alignment horizontal="center" vertical="center"/>
    </xf>
    <xf numFmtId="169" fontId="138" fillId="19" borderId="33" xfId="0" applyNumberFormat="1" applyFont="1" applyFill="1" applyBorder="1" applyAlignment="1">
      <alignment horizontal="center" vertical="center"/>
    </xf>
    <xf numFmtId="0" fontId="175" fillId="0" borderId="0" xfId="0" applyFont="1"/>
    <xf numFmtId="0" fontId="176" fillId="0" borderId="0" xfId="0" applyFont="1"/>
    <xf numFmtId="1" fontId="67" fillId="25" borderId="46" xfId="0" applyNumberFormat="1" applyFont="1" applyFill="1" applyBorder="1" applyAlignment="1">
      <alignment horizontal="center" vertical="center"/>
    </xf>
    <xf numFmtId="1" fontId="76" fillId="25" borderId="8" xfId="0" applyNumberFormat="1" applyFont="1" applyFill="1" applyBorder="1" applyAlignment="1">
      <alignment horizontal="center" vertical="center"/>
    </xf>
    <xf numFmtId="1" fontId="72" fillId="25" borderId="8" xfId="0" applyNumberFormat="1" applyFont="1" applyFill="1" applyBorder="1" applyAlignment="1">
      <alignment horizontal="center" vertical="center"/>
    </xf>
    <xf numFmtId="0" fontId="72" fillId="25" borderId="29" xfId="0" applyFont="1" applyFill="1" applyBorder="1" applyAlignment="1">
      <alignment horizontal="center" vertical="center"/>
    </xf>
    <xf numFmtId="2" fontId="36" fillId="17" borderId="10" xfId="0" quotePrefix="1" applyNumberFormat="1" applyFont="1" applyFill="1" applyBorder="1" applyAlignment="1">
      <alignment horizontal="center" vertical="center"/>
    </xf>
    <xf numFmtId="0" fontId="38" fillId="25" borderId="10" xfId="0" applyFont="1" applyFill="1" applyBorder="1" applyAlignment="1">
      <alignment horizontal="center" vertical="center"/>
    </xf>
    <xf numFmtId="1" fontId="36" fillId="25" borderId="10" xfId="0" applyNumberFormat="1" applyFont="1" applyFill="1" applyBorder="1" applyAlignment="1">
      <alignment horizontal="center" vertical="center"/>
    </xf>
    <xf numFmtId="1" fontId="49" fillId="25" borderId="10" xfId="0" applyNumberFormat="1" applyFont="1" applyFill="1" applyBorder="1" applyAlignment="1">
      <alignment horizontal="center" vertical="center"/>
    </xf>
    <xf numFmtId="1" fontId="36" fillId="25" borderId="8" xfId="0" applyNumberFormat="1" applyFont="1" applyFill="1" applyBorder="1" applyAlignment="1">
      <alignment horizontal="center" vertical="center"/>
    </xf>
    <xf numFmtId="1" fontId="38" fillId="25" borderId="8" xfId="0" applyNumberFormat="1" applyFont="1" applyFill="1" applyBorder="1" applyAlignment="1">
      <alignment horizontal="center" vertical="center"/>
    </xf>
    <xf numFmtId="1" fontId="77" fillId="25" borderId="45" xfId="0" applyNumberFormat="1" applyFont="1" applyFill="1" applyBorder="1" applyAlignment="1">
      <alignment horizontal="center" vertical="center"/>
    </xf>
    <xf numFmtId="169" fontId="77" fillId="25" borderId="67" xfId="0" applyNumberFormat="1" applyFont="1" applyFill="1" applyBorder="1" applyAlignment="1">
      <alignment horizontal="center" vertical="center"/>
    </xf>
    <xf numFmtId="169" fontId="67" fillId="17" borderId="37" xfId="0" applyNumberFormat="1" applyFont="1" applyFill="1" applyBorder="1" applyAlignment="1">
      <alignment horizontal="center" vertical="center"/>
    </xf>
    <xf numFmtId="0" fontId="76" fillId="0" borderId="75" xfId="0" applyFont="1" applyBorder="1" applyAlignment="1">
      <alignment horizontal="center" vertical="center"/>
    </xf>
    <xf numFmtId="1" fontId="34" fillId="17" borderId="6" xfId="0" applyNumberFormat="1" applyFont="1" applyFill="1" applyBorder="1" applyAlignment="1">
      <alignment horizontal="center" vertical="center" wrapText="1"/>
    </xf>
    <xf numFmtId="0" fontId="13" fillId="25" borderId="7" xfId="0" applyFont="1" applyFill="1" applyBorder="1" applyAlignment="1">
      <alignment vertical="center"/>
    </xf>
    <xf numFmtId="169" fontId="61" fillId="25" borderId="29" xfId="0" applyNumberFormat="1" applyFont="1" applyFill="1" applyBorder="1" applyAlignment="1">
      <alignment horizontal="center" vertical="center"/>
    </xf>
    <xf numFmtId="169" fontId="61" fillId="25" borderId="36" xfId="0" applyNumberFormat="1" applyFont="1" applyFill="1" applyBorder="1" applyAlignment="1">
      <alignment horizontal="center" vertical="center"/>
    </xf>
    <xf numFmtId="169" fontId="125" fillId="25" borderId="4" xfId="0" applyNumberFormat="1" applyFont="1" applyFill="1" applyBorder="1" applyAlignment="1">
      <alignment horizontal="center" vertical="center"/>
    </xf>
    <xf numFmtId="2" fontId="89" fillId="17" borderId="10" xfId="0" quotePrefix="1" applyNumberFormat="1" applyFont="1" applyFill="1" applyBorder="1" applyAlignment="1">
      <alignment horizontal="center" vertical="center"/>
    </xf>
    <xf numFmtId="169" fontId="89" fillId="17" borderId="10" xfId="0" applyNumberFormat="1" applyFont="1" applyFill="1" applyBorder="1" applyAlignment="1">
      <alignment horizontal="center" vertical="center"/>
    </xf>
    <xf numFmtId="1" fontId="42" fillId="17" borderId="26" xfId="0" applyNumberFormat="1" applyFont="1" applyFill="1" applyBorder="1" applyAlignment="1">
      <alignment horizontal="center" vertical="center"/>
    </xf>
    <xf numFmtId="1" fontId="42" fillId="17" borderId="66" xfId="0" applyNumberFormat="1" applyFont="1" applyFill="1" applyBorder="1" applyAlignment="1">
      <alignment horizontal="center" vertical="center"/>
    </xf>
    <xf numFmtId="1" fontId="36" fillId="17" borderId="37" xfId="0" applyNumberFormat="1" applyFont="1" applyFill="1" applyBorder="1" applyAlignment="1">
      <alignment horizontal="center" vertical="center"/>
    </xf>
    <xf numFmtId="0" fontId="38" fillId="17" borderId="7" xfId="0" applyFont="1" applyFill="1" applyBorder="1" applyAlignment="1">
      <alignment horizontal="center" vertical="center"/>
    </xf>
    <xf numFmtId="1" fontId="86" fillId="17" borderId="15" xfId="0" applyNumberFormat="1" applyFont="1" applyFill="1" applyBorder="1" applyAlignment="1">
      <alignment horizontal="center" vertical="center"/>
    </xf>
    <xf numFmtId="1" fontId="77" fillId="17" borderId="37" xfId="0" applyNumberFormat="1" applyFont="1" applyFill="1" applyBorder="1" applyAlignment="1">
      <alignment horizontal="center" vertical="center"/>
    </xf>
    <xf numFmtId="0" fontId="67" fillId="17" borderId="42" xfId="0" applyFont="1" applyFill="1" applyBorder="1" applyAlignment="1">
      <alignment horizontal="center" vertical="center"/>
    </xf>
    <xf numFmtId="0" fontId="67" fillId="17" borderId="17" xfId="0" applyFont="1" applyFill="1" applyBorder="1" applyAlignment="1">
      <alignment horizontal="center" vertical="center"/>
    </xf>
    <xf numFmtId="0" fontId="166" fillId="25" borderId="24" xfId="0" applyFont="1" applyFill="1" applyBorder="1" applyAlignment="1">
      <alignment vertical="center"/>
    </xf>
    <xf numFmtId="169" fontId="138" fillId="25" borderId="6" xfId="0" applyNumberFormat="1" applyFont="1" applyFill="1" applyBorder="1" applyAlignment="1">
      <alignment horizontal="center" vertical="center"/>
    </xf>
    <xf numFmtId="2" fontId="135" fillId="25" borderId="6" xfId="0" applyNumberFormat="1" applyFont="1" applyFill="1" applyBorder="1" applyAlignment="1">
      <alignment vertical="center"/>
    </xf>
    <xf numFmtId="2" fontId="138" fillId="25" borderId="6" xfId="0" applyNumberFormat="1" applyFont="1" applyFill="1" applyBorder="1" applyAlignment="1">
      <alignment vertical="center"/>
    </xf>
    <xf numFmtId="169" fontId="135" fillId="25" borderId="6" xfId="0" applyNumberFormat="1" applyFont="1" applyFill="1" applyBorder="1" applyAlignment="1">
      <alignment vertical="center"/>
    </xf>
    <xf numFmtId="1" fontId="138" fillId="25" borderId="6" xfId="0" applyNumberFormat="1" applyFont="1" applyFill="1" applyBorder="1" applyAlignment="1">
      <alignment vertical="center"/>
    </xf>
    <xf numFmtId="169" fontId="135" fillId="25" borderId="6" xfId="0" applyNumberFormat="1" applyFont="1" applyFill="1" applyBorder="1" applyAlignment="1">
      <alignment horizontal="center" vertical="center"/>
    </xf>
    <xf numFmtId="2" fontId="138" fillId="25" borderId="8" xfId="0" applyNumberFormat="1" applyFont="1" applyFill="1" applyBorder="1" applyAlignment="1">
      <alignment horizontal="center" vertical="center"/>
    </xf>
    <xf numFmtId="0" fontId="54" fillId="25" borderId="17" xfId="0" applyFont="1" applyFill="1" applyBorder="1" applyAlignment="1">
      <alignment horizontal="center" vertical="center"/>
    </xf>
    <xf numFmtId="1" fontId="134" fillId="25" borderId="3" xfId="0" applyNumberFormat="1" applyFont="1" applyFill="1" applyBorder="1" applyAlignment="1">
      <alignment horizontal="center" vertical="center"/>
    </xf>
    <xf numFmtId="1" fontId="54" fillId="21" borderId="36" xfId="0" applyNumberFormat="1" applyFont="1" applyFill="1" applyBorder="1" applyAlignment="1">
      <alignment horizontal="center" vertical="center"/>
    </xf>
    <xf numFmtId="1" fontId="54" fillId="19" borderId="9" xfId="0" applyNumberFormat="1" applyFont="1" applyFill="1" applyBorder="1" applyAlignment="1">
      <alignment horizontal="center" vertical="center"/>
    </xf>
    <xf numFmtId="169" fontId="19" fillId="0" borderId="40" xfId="0" applyNumberFormat="1" applyFont="1" applyBorder="1" applyAlignment="1">
      <alignment vertical="top"/>
    </xf>
    <xf numFmtId="1" fontId="83" fillId="0" borderId="74" xfId="0" quotePrefix="1" applyNumberFormat="1" applyFont="1" applyBorder="1" applyAlignment="1">
      <alignment horizontal="right" vertical="top"/>
    </xf>
    <xf numFmtId="1" fontId="125" fillId="25" borderId="59" xfId="0" applyNumberFormat="1" applyFont="1" applyFill="1" applyBorder="1" applyAlignment="1">
      <alignment horizontal="center" vertical="center"/>
    </xf>
    <xf numFmtId="0" fontId="125" fillId="25" borderId="59" xfId="0" applyFont="1" applyFill="1" applyBorder="1" applyAlignment="1">
      <alignment horizontal="center" vertical="center"/>
    </xf>
    <xf numFmtId="2" fontId="138" fillId="25" borderId="10" xfId="0" applyNumberFormat="1" applyFont="1" applyFill="1" applyBorder="1" applyAlignment="1">
      <alignment horizontal="center" vertical="center"/>
    </xf>
    <xf numFmtId="0" fontId="154" fillId="25" borderId="10" xfId="0" applyFont="1" applyFill="1" applyBorder="1" applyAlignment="1">
      <alignment horizontal="center" vertical="center"/>
    </xf>
    <xf numFmtId="0" fontId="149" fillId="25" borderId="0" xfId="0" applyFont="1" applyFill="1"/>
    <xf numFmtId="0" fontId="110" fillId="25" borderId="34" xfId="0" applyFont="1" applyFill="1" applyBorder="1" applyAlignment="1">
      <alignment horizontal="right"/>
    </xf>
    <xf numFmtId="0" fontId="110" fillId="25" borderId="53" xfId="0" applyFont="1" applyFill="1" applyBorder="1" applyAlignment="1">
      <alignment horizontal="center" vertical="center"/>
    </xf>
    <xf numFmtId="2" fontId="110" fillId="25" borderId="30" xfId="0" applyNumberFormat="1" applyFont="1" applyFill="1" applyBorder="1" applyAlignment="1">
      <alignment horizontal="center" vertical="center"/>
    </xf>
    <xf numFmtId="0" fontId="127" fillId="25" borderId="0" xfId="0" applyFont="1" applyFill="1"/>
    <xf numFmtId="0" fontId="54" fillId="25" borderId="0" xfId="0" applyFont="1" applyFill="1"/>
    <xf numFmtId="170" fontId="118" fillId="25" borderId="31" xfId="0" applyNumberFormat="1" applyFont="1" applyFill="1" applyBorder="1" applyAlignment="1">
      <alignment horizontal="left"/>
    </xf>
    <xf numFmtId="1" fontId="72" fillId="25" borderId="30" xfId="0" applyNumberFormat="1" applyFont="1" applyFill="1" applyBorder="1" applyAlignment="1">
      <alignment horizontal="center" vertical="center"/>
    </xf>
    <xf numFmtId="1" fontId="72" fillId="25" borderId="7" xfId="0" applyNumberFormat="1" applyFont="1" applyFill="1" applyBorder="1" applyAlignment="1">
      <alignment horizontal="center" vertical="center"/>
    </xf>
    <xf numFmtId="1" fontId="72" fillId="25" borderId="75" xfId="0" applyNumberFormat="1" applyFont="1" applyFill="1" applyBorder="1" applyAlignment="1">
      <alignment horizontal="center" vertical="center"/>
    </xf>
    <xf numFmtId="1" fontId="38" fillId="25" borderId="30" xfId="0" applyNumberFormat="1" applyFont="1" applyFill="1" applyBorder="1" applyAlignment="1">
      <alignment horizontal="center" vertical="center"/>
    </xf>
    <xf numFmtId="1" fontId="36" fillId="25" borderId="23" xfId="0" applyNumberFormat="1" applyFont="1" applyFill="1" applyBorder="1" applyAlignment="1">
      <alignment horizontal="center" vertical="center"/>
    </xf>
    <xf numFmtId="0" fontId="38" fillId="25" borderId="8" xfId="0" applyFont="1" applyFill="1" applyBorder="1" applyAlignment="1">
      <alignment horizontal="center" vertical="center"/>
    </xf>
    <xf numFmtId="2" fontId="74" fillId="25" borderId="69" xfId="0" applyNumberFormat="1" applyFont="1" applyFill="1" applyBorder="1" applyAlignment="1">
      <alignment horizontal="center" vertical="center"/>
    </xf>
    <xf numFmtId="2" fontId="134" fillId="25" borderId="29" xfId="0" applyNumberFormat="1" applyFont="1" applyFill="1" applyBorder="1" applyAlignment="1">
      <alignment horizontal="center" vertical="center"/>
    </xf>
    <xf numFmtId="2" fontId="134" fillId="25" borderId="36" xfId="0" applyNumberFormat="1" applyFont="1" applyFill="1" applyBorder="1" applyAlignment="1">
      <alignment horizontal="center" vertical="center"/>
    </xf>
    <xf numFmtId="1" fontId="99" fillId="25" borderId="58" xfId="0" applyNumberFormat="1" applyFont="1" applyFill="1" applyBorder="1" applyAlignment="1">
      <alignment horizontal="center" vertical="center"/>
    </xf>
    <xf numFmtId="0" fontId="24" fillId="14" borderId="0" xfId="0" applyFont="1" applyFill="1"/>
    <xf numFmtId="0" fontId="67" fillId="14" borderId="43" xfId="0" applyFont="1" applyFill="1" applyBorder="1"/>
    <xf numFmtId="0" fontId="67" fillId="14" borderId="12" xfId="0" applyFont="1" applyFill="1" applyBorder="1" applyAlignment="1">
      <alignment horizontal="center" vertical="center"/>
    </xf>
    <xf numFmtId="0" fontId="67" fillId="14" borderId="22" xfId="0" applyFont="1" applyFill="1" applyBorder="1" applyAlignment="1">
      <alignment horizontal="center" vertical="center"/>
    </xf>
    <xf numFmtId="1" fontId="67" fillId="14" borderId="40" xfId="0" applyNumberFormat="1" applyFont="1" applyFill="1" applyBorder="1" applyAlignment="1">
      <alignment horizontal="center" vertical="center"/>
    </xf>
    <xf numFmtId="1" fontId="63" fillId="14" borderId="11" xfId="0" applyNumberFormat="1" applyFont="1" applyFill="1" applyBorder="1" applyAlignment="1">
      <alignment horizontal="center" vertical="center"/>
    </xf>
    <xf numFmtId="0" fontId="76" fillId="14" borderId="12" xfId="0" applyFont="1" applyFill="1" applyBorder="1" applyAlignment="1">
      <alignment horizontal="center" vertical="center"/>
    </xf>
    <xf numFmtId="1" fontId="90" fillId="14" borderId="22" xfId="0" applyNumberFormat="1" applyFont="1" applyFill="1" applyBorder="1" applyAlignment="1">
      <alignment horizontal="center" vertical="center"/>
    </xf>
    <xf numFmtId="1" fontId="90" fillId="14" borderId="12" xfId="0" applyNumberFormat="1" applyFont="1" applyFill="1" applyBorder="1" applyAlignment="1">
      <alignment horizontal="center" vertical="center"/>
    </xf>
    <xf numFmtId="1" fontId="84" fillId="14" borderId="16" xfId="0" applyNumberFormat="1" applyFont="1" applyFill="1" applyBorder="1" applyAlignment="1">
      <alignment horizontal="center" vertical="center"/>
    </xf>
    <xf numFmtId="1" fontId="72" fillId="14" borderId="20" xfId="0" applyNumberFormat="1" applyFont="1" applyFill="1" applyBorder="1" applyAlignment="1">
      <alignment horizontal="center" vertical="center"/>
    </xf>
    <xf numFmtId="1" fontId="72" fillId="14" borderId="16" xfId="0" applyNumberFormat="1" applyFont="1" applyFill="1" applyBorder="1" applyAlignment="1">
      <alignment horizontal="center" vertical="center"/>
    </xf>
    <xf numFmtId="2" fontId="72" fillId="14" borderId="20" xfId="0" applyNumberFormat="1" applyFont="1" applyFill="1" applyBorder="1" applyAlignment="1">
      <alignment horizontal="center" vertical="center"/>
    </xf>
    <xf numFmtId="2" fontId="72" fillId="14" borderId="16" xfId="0" applyNumberFormat="1" applyFont="1" applyFill="1" applyBorder="1" applyAlignment="1">
      <alignment horizontal="center" vertical="center"/>
    </xf>
    <xf numFmtId="0" fontId="76" fillId="14" borderId="20" xfId="0" applyFont="1" applyFill="1" applyBorder="1" applyAlignment="1">
      <alignment horizontal="center" vertical="center"/>
    </xf>
    <xf numFmtId="0" fontId="98" fillId="14" borderId="18" xfId="0" applyFont="1" applyFill="1" applyBorder="1" applyAlignment="1">
      <alignment horizontal="center" vertical="center"/>
    </xf>
    <xf numFmtId="0" fontId="72" fillId="14" borderId="22" xfId="0" applyFont="1" applyFill="1" applyBorder="1" applyAlignment="1">
      <alignment horizontal="center" vertical="center"/>
    </xf>
    <xf numFmtId="0" fontId="72" fillId="14" borderId="60" xfId="0" applyFont="1" applyFill="1" applyBorder="1" applyAlignment="1">
      <alignment horizontal="center" vertical="center"/>
    </xf>
    <xf numFmtId="1" fontId="72" fillId="14" borderId="53" xfId="0" applyNumberFormat="1" applyFont="1" applyFill="1" applyBorder="1" applyAlignment="1">
      <alignment horizontal="center" vertical="center"/>
    </xf>
    <xf numFmtId="1" fontId="72" fillId="14" borderId="71" xfId="0" applyNumberFormat="1" applyFont="1" applyFill="1" applyBorder="1" applyAlignment="1">
      <alignment horizontal="center" vertical="center"/>
    </xf>
    <xf numFmtId="1" fontId="72" fillId="14" borderId="54" xfId="0" applyNumberFormat="1" applyFont="1" applyFill="1" applyBorder="1" applyAlignment="1">
      <alignment horizontal="center" vertical="center"/>
    </xf>
    <xf numFmtId="0" fontId="72" fillId="14" borderId="6" xfId="0" applyFont="1" applyFill="1" applyBorder="1" applyAlignment="1">
      <alignment vertical="center"/>
    </xf>
    <xf numFmtId="0" fontId="72" fillId="14" borderId="7" xfId="0" applyFont="1" applyFill="1" applyBorder="1" applyAlignment="1">
      <alignment horizontal="center" vertical="center"/>
    </xf>
    <xf numFmtId="0" fontId="76" fillId="14" borderId="18" xfId="0" applyFont="1" applyFill="1" applyBorder="1" applyAlignment="1">
      <alignment horizontal="center" vertical="center"/>
    </xf>
    <xf numFmtId="1" fontId="72" fillId="14" borderId="13" xfId="0" applyNumberFormat="1" applyFont="1" applyFill="1" applyBorder="1" applyAlignment="1">
      <alignment horizontal="center" vertical="center"/>
    </xf>
    <xf numFmtId="0" fontId="34" fillId="14" borderId="81" xfId="0" applyFont="1" applyFill="1" applyBorder="1" applyAlignment="1">
      <alignment horizontal="center" vertical="center"/>
    </xf>
    <xf numFmtId="0" fontId="39" fillId="14" borderId="0" xfId="0" applyFont="1" applyFill="1" applyAlignment="1">
      <alignment horizontal="center" vertical="center"/>
    </xf>
    <xf numFmtId="1" fontId="35" fillId="14" borderId="101" xfId="3" applyNumberFormat="1" applyFont="1" applyFill="1" applyBorder="1" applyAlignment="1">
      <alignment horizontal="center" vertical="center"/>
    </xf>
    <xf numFmtId="1" fontId="34" fillId="14" borderId="17" xfId="0" applyNumberFormat="1" applyFont="1" applyFill="1" applyBorder="1" applyAlignment="1">
      <alignment horizontal="center" vertical="center"/>
    </xf>
    <xf numFmtId="1" fontId="34" fillId="14" borderId="58" xfId="0" applyNumberFormat="1" applyFont="1" applyFill="1" applyBorder="1" applyAlignment="1">
      <alignment horizontal="center" vertical="center"/>
    </xf>
    <xf numFmtId="1" fontId="34" fillId="14" borderId="43" xfId="0" applyNumberFormat="1" applyFont="1" applyFill="1" applyBorder="1" applyAlignment="1">
      <alignment horizontal="center" vertical="center"/>
    </xf>
    <xf numFmtId="0" fontId="34" fillId="14" borderId="43" xfId="0" applyFont="1" applyFill="1" applyBorder="1" applyAlignment="1">
      <alignment horizontal="center" vertical="center"/>
    </xf>
    <xf numFmtId="0" fontId="162" fillId="14" borderId="24" xfId="0" applyFont="1" applyFill="1" applyBorder="1" applyAlignment="1">
      <alignment horizontal="center" vertical="center"/>
    </xf>
    <xf numFmtId="170" fontId="35" fillId="14" borderId="12" xfId="4" applyFont="1" applyFill="1" applyBorder="1" applyAlignment="1">
      <alignment horizontal="center" vertical="center"/>
    </xf>
    <xf numFmtId="169" fontId="77" fillId="14" borderId="13" xfId="0" applyNumberFormat="1" applyFont="1" applyFill="1" applyBorder="1" applyAlignment="1">
      <alignment horizontal="center" vertical="center"/>
    </xf>
    <xf numFmtId="0" fontId="67" fillId="13" borderId="43" xfId="0" applyFont="1" applyFill="1" applyBorder="1"/>
    <xf numFmtId="0" fontId="67" fillId="13" borderId="12" xfId="0" applyFont="1" applyFill="1" applyBorder="1" applyAlignment="1">
      <alignment horizontal="center" vertical="center"/>
    </xf>
    <xf numFmtId="0" fontId="67" fillId="13" borderId="22" xfId="0" applyFont="1" applyFill="1" applyBorder="1" applyAlignment="1">
      <alignment horizontal="center" vertical="center"/>
    </xf>
    <xf numFmtId="1" fontId="67" fillId="13" borderId="22" xfId="0" applyNumberFormat="1" applyFont="1" applyFill="1" applyBorder="1" applyAlignment="1">
      <alignment horizontal="center" vertical="center"/>
    </xf>
    <xf numFmtId="0" fontId="79" fillId="13" borderId="24" xfId="0" applyFont="1" applyFill="1" applyBorder="1" applyAlignment="1">
      <alignment vertical="center"/>
    </xf>
    <xf numFmtId="1" fontId="67" fillId="13" borderId="40" xfId="0" applyNumberFormat="1" applyFont="1" applyFill="1" applyBorder="1" applyAlignment="1">
      <alignment horizontal="center" vertical="center"/>
    </xf>
    <xf numFmtId="1" fontId="63" fillId="13" borderId="71" xfId="0" applyNumberFormat="1" applyFont="1" applyFill="1" applyBorder="1" applyAlignment="1">
      <alignment horizontal="center" vertical="center"/>
    </xf>
    <xf numFmtId="1" fontId="63" fillId="13" borderId="11" xfId="0" applyNumberFormat="1" applyFont="1" applyFill="1" applyBorder="1" applyAlignment="1">
      <alignment horizontal="center" vertical="center"/>
    </xf>
    <xf numFmtId="0" fontId="76" fillId="13" borderId="12" xfId="0" applyFont="1" applyFill="1" applyBorder="1" applyAlignment="1">
      <alignment horizontal="center" vertical="center"/>
    </xf>
    <xf numFmtId="1" fontId="72" fillId="13" borderId="60" xfId="0" applyNumberFormat="1" applyFont="1" applyFill="1" applyBorder="1" applyAlignment="1">
      <alignment horizontal="center" vertical="center"/>
    </xf>
    <xf numFmtId="1" fontId="84" fillId="13" borderId="16" xfId="0" applyNumberFormat="1" applyFont="1" applyFill="1" applyBorder="1" applyAlignment="1">
      <alignment horizontal="center" vertical="center"/>
    </xf>
    <xf numFmtId="1" fontId="72" fillId="13" borderId="20" xfId="0" applyNumberFormat="1" applyFont="1" applyFill="1" applyBorder="1" applyAlignment="1">
      <alignment horizontal="center" vertical="center"/>
    </xf>
    <xf numFmtId="1" fontId="72" fillId="13" borderId="16" xfId="0" applyNumberFormat="1" applyFont="1" applyFill="1" applyBorder="1" applyAlignment="1">
      <alignment horizontal="center" vertical="center"/>
    </xf>
    <xf numFmtId="2" fontId="89" fillId="13" borderId="20" xfId="0" applyNumberFormat="1" applyFont="1" applyFill="1" applyBorder="1" applyAlignment="1">
      <alignment horizontal="center" vertical="center"/>
    </xf>
    <xf numFmtId="2" fontId="89" fillId="13" borderId="16" xfId="0" applyNumberFormat="1" applyFont="1" applyFill="1" applyBorder="1" applyAlignment="1">
      <alignment horizontal="center" vertical="center"/>
    </xf>
    <xf numFmtId="0" fontId="76" fillId="13" borderId="20" xfId="0" applyFont="1" applyFill="1" applyBorder="1" applyAlignment="1">
      <alignment horizontal="center" vertical="center"/>
    </xf>
    <xf numFmtId="0" fontId="76" fillId="13" borderId="33" xfId="0" applyFont="1" applyFill="1" applyBorder="1" applyAlignment="1">
      <alignment horizontal="center" vertical="center"/>
    </xf>
    <xf numFmtId="0" fontId="97" fillId="13" borderId="18" xfId="0" applyFont="1" applyFill="1" applyBorder="1" applyAlignment="1">
      <alignment horizontal="center" vertical="center"/>
    </xf>
    <xf numFmtId="168" fontId="72" fillId="13" borderId="12" xfId="0" applyNumberFormat="1" applyFont="1" applyFill="1" applyBorder="1" applyAlignment="1">
      <alignment horizontal="center" vertical="center"/>
    </xf>
    <xf numFmtId="168" fontId="72" fillId="13" borderId="40" xfId="0" applyNumberFormat="1" applyFont="1" applyFill="1" applyBorder="1" applyAlignment="1">
      <alignment horizontal="center" vertical="center"/>
    </xf>
    <xf numFmtId="0" fontId="72" fillId="13" borderId="12" xfId="0" applyFont="1" applyFill="1" applyBorder="1" applyAlignment="1">
      <alignment horizontal="center" vertical="center"/>
    </xf>
    <xf numFmtId="0" fontId="72" fillId="13" borderId="60" xfId="0" applyFont="1" applyFill="1" applyBorder="1" applyAlignment="1">
      <alignment horizontal="center" vertical="center"/>
    </xf>
    <xf numFmtId="1" fontId="72" fillId="13" borderId="17" xfId="0" applyNumberFormat="1" applyFont="1" applyFill="1" applyBorder="1" applyAlignment="1">
      <alignment horizontal="center" vertical="center"/>
    </xf>
    <xf numFmtId="1" fontId="72" fillId="13" borderId="53" xfId="0" applyNumberFormat="1" applyFont="1" applyFill="1" applyBorder="1" applyAlignment="1">
      <alignment horizontal="center" vertical="center"/>
    </xf>
    <xf numFmtId="1" fontId="72" fillId="13" borderId="72" xfId="0" applyNumberFormat="1" applyFont="1" applyFill="1" applyBorder="1" applyAlignment="1">
      <alignment horizontal="center" vertical="center"/>
    </xf>
    <xf numFmtId="1" fontId="72" fillId="13" borderId="18" xfId="0" applyNumberFormat="1" applyFont="1" applyFill="1" applyBorder="1" applyAlignment="1">
      <alignment horizontal="center" vertical="center"/>
    </xf>
    <xf numFmtId="0" fontId="76" fillId="13" borderId="16" xfId="0" applyFont="1" applyFill="1" applyBorder="1" applyAlignment="1">
      <alignment horizontal="center" vertical="center"/>
    </xf>
    <xf numFmtId="167" fontId="76" fillId="13" borderId="18" xfId="0" applyNumberFormat="1" applyFont="1" applyFill="1" applyBorder="1" applyAlignment="1">
      <alignment horizontal="center" vertical="center"/>
    </xf>
    <xf numFmtId="167" fontId="76" fillId="13" borderId="12" xfId="0" applyNumberFormat="1" applyFont="1" applyFill="1" applyBorder="1" applyAlignment="1">
      <alignment horizontal="center" vertical="center"/>
    </xf>
    <xf numFmtId="167" fontId="76" fillId="13" borderId="22" xfId="0" applyNumberFormat="1" applyFont="1" applyFill="1" applyBorder="1" applyAlignment="1">
      <alignment horizontal="center" vertical="center"/>
    </xf>
    <xf numFmtId="0" fontId="76" fillId="13" borderId="17" xfId="0" applyFont="1" applyFill="1" applyBorder="1" applyAlignment="1">
      <alignment horizontal="center" vertical="center"/>
    </xf>
    <xf numFmtId="1" fontId="72" fillId="13" borderId="71" xfId="0" applyNumberFormat="1" applyFont="1" applyFill="1" applyBorder="1" applyAlignment="1">
      <alignment horizontal="center" vertical="center"/>
    </xf>
    <xf numFmtId="1" fontId="72" fillId="13" borderId="54" xfId="0" applyNumberFormat="1" applyFont="1" applyFill="1" applyBorder="1" applyAlignment="1">
      <alignment horizontal="center" vertical="center"/>
    </xf>
    <xf numFmtId="1" fontId="89" fillId="13" borderId="22" xfId="0" applyNumberFormat="1" applyFont="1" applyFill="1" applyBorder="1" applyAlignment="1">
      <alignment horizontal="center" vertical="center"/>
    </xf>
    <xf numFmtId="169" fontId="72" fillId="13" borderId="12" xfId="0" applyNumberFormat="1" applyFont="1" applyFill="1" applyBorder="1" applyAlignment="1">
      <alignment horizontal="center" vertical="center"/>
    </xf>
    <xf numFmtId="171" fontId="72" fillId="13" borderId="12" xfId="0" applyNumberFormat="1" applyFont="1" applyFill="1" applyBorder="1" applyAlignment="1">
      <alignment horizontal="center" vertical="center"/>
    </xf>
    <xf numFmtId="0" fontId="72" fillId="13" borderId="6" xfId="0" applyFont="1" applyFill="1" applyBorder="1" applyAlignment="1">
      <alignment vertical="center"/>
    </xf>
    <xf numFmtId="0" fontId="76" fillId="13" borderId="18" xfId="0" applyFont="1" applyFill="1" applyBorder="1" applyAlignment="1">
      <alignment horizontal="center" vertical="center"/>
    </xf>
    <xf numFmtId="0" fontId="91" fillId="13" borderId="22" xfId="0" applyFont="1" applyFill="1" applyBorder="1" applyAlignment="1">
      <alignment horizontal="center" vertical="center"/>
    </xf>
    <xf numFmtId="0" fontId="91" fillId="13" borderId="12" xfId="0" applyFont="1" applyFill="1" applyBorder="1" applyAlignment="1">
      <alignment horizontal="center" vertical="center"/>
    </xf>
    <xf numFmtId="1" fontId="91" fillId="13" borderId="12" xfId="0" applyNumberFormat="1" applyFont="1" applyFill="1" applyBorder="1" applyAlignment="1">
      <alignment horizontal="center" vertical="center"/>
    </xf>
    <xf numFmtId="1" fontId="91" fillId="13" borderId="13" xfId="0" applyNumberFormat="1" applyFont="1" applyFill="1" applyBorder="1" applyAlignment="1">
      <alignment horizontal="center" vertical="center"/>
    </xf>
    <xf numFmtId="1" fontId="72" fillId="13" borderId="50" xfId="0" applyNumberFormat="1" applyFont="1" applyFill="1" applyBorder="1" applyAlignment="1">
      <alignment horizontal="center" vertical="center"/>
    </xf>
    <xf numFmtId="1" fontId="72" fillId="13" borderId="19" xfId="0" applyNumberFormat="1" applyFont="1" applyFill="1" applyBorder="1" applyAlignment="1">
      <alignment horizontal="center" vertical="center"/>
    </xf>
    <xf numFmtId="1" fontId="72" fillId="13" borderId="27" xfId="0" applyNumberFormat="1" applyFont="1" applyFill="1" applyBorder="1" applyAlignment="1">
      <alignment horizontal="center" vertical="center"/>
    </xf>
    <xf numFmtId="0" fontId="34" fillId="13" borderId="79" xfId="0" applyFont="1" applyFill="1" applyBorder="1" applyAlignment="1">
      <alignment horizontal="center" vertical="center"/>
    </xf>
    <xf numFmtId="0" fontId="39" fillId="13" borderId="0" xfId="0" applyFont="1" applyFill="1" applyAlignment="1">
      <alignment horizontal="center" vertical="center"/>
    </xf>
    <xf numFmtId="1" fontId="34" fillId="13" borderId="21" xfId="0" applyNumberFormat="1" applyFont="1" applyFill="1" applyBorder="1" applyAlignment="1">
      <alignment horizontal="center" vertical="center"/>
    </xf>
    <xf numFmtId="1" fontId="34" fillId="13" borderId="28" xfId="0" applyNumberFormat="1" applyFont="1" applyFill="1" applyBorder="1" applyAlignment="1">
      <alignment horizontal="center" vertical="center"/>
    </xf>
    <xf numFmtId="1" fontId="34" fillId="13" borderId="61" xfId="0" applyNumberFormat="1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vertical="center"/>
    </xf>
    <xf numFmtId="1" fontId="35" fillId="13" borderId="101" xfId="3" applyNumberFormat="1" applyFont="1" applyFill="1" applyBorder="1" applyAlignment="1">
      <alignment horizontal="center" vertical="center"/>
    </xf>
    <xf numFmtId="1" fontId="34" fillId="13" borderId="72" xfId="0" applyNumberFormat="1" applyFont="1" applyFill="1" applyBorder="1" applyAlignment="1">
      <alignment horizontal="center" vertical="center"/>
    </xf>
    <xf numFmtId="0" fontId="34" fillId="13" borderId="61" xfId="0" applyFont="1" applyFill="1" applyBorder="1" applyAlignment="1">
      <alignment horizontal="center" vertical="center"/>
    </xf>
    <xf numFmtId="0" fontId="34" fillId="13" borderId="43" xfId="0" applyFont="1" applyFill="1" applyBorder="1" applyAlignment="1">
      <alignment horizontal="center" vertical="center"/>
    </xf>
    <xf numFmtId="0" fontId="34" fillId="13" borderId="24" xfId="0" applyFont="1" applyFill="1" applyBorder="1" applyAlignment="1">
      <alignment vertical="center"/>
    </xf>
    <xf numFmtId="0" fontId="161" fillId="13" borderId="61" xfId="0" applyFont="1" applyFill="1" applyBorder="1" applyAlignment="1">
      <alignment horizontal="center" vertical="center"/>
    </xf>
    <xf numFmtId="0" fontId="43" fillId="13" borderId="43" xfId="0" applyFont="1" applyFill="1" applyBorder="1" applyAlignment="1">
      <alignment horizontal="center" vertical="center"/>
    </xf>
    <xf numFmtId="1" fontId="63" fillId="13" borderId="43" xfId="0" applyNumberFormat="1" applyFont="1" applyFill="1" applyBorder="1" applyAlignment="1">
      <alignment horizontal="center" vertical="center"/>
    </xf>
    <xf numFmtId="170" fontId="35" fillId="13" borderId="12" xfId="4" applyFont="1" applyFill="1" applyBorder="1" applyAlignment="1">
      <alignment horizontal="center" vertical="center"/>
    </xf>
    <xf numFmtId="169" fontId="77" fillId="13" borderId="13" xfId="0" applyNumberFormat="1" applyFont="1" applyFill="1" applyBorder="1" applyAlignment="1">
      <alignment horizontal="center" vertical="center"/>
    </xf>
    <xf numFmtId="0" fontId="67" fillId="13" borderId="18" xfId="0" applyFont="1" applyFill="1" applyBorder="1"/>
    <xf numFmtId="0" fontId="86" fillId="13" borderId="12" xfId="0" applyFont="1" applyFill="1" applyBorder="1" applyAlignment="1">
      <alignment horizontal="center" vertical="center"/>
    </xf>
    <xf numFmtId="0" fontId="86" fillId="13" borderId="22" xfId="0" applyFont="1" applyFill="1" applyBorder="1" applyAlignment="1">
      <alignment horizontal="center" vertical="center"/>
    </xf>
    <xf numFmtId="1" fontId="86" fillId="13" borderId="22" xfId="0" applyNumberFormat="1" applyFont="1" applyFill="1" applyBorder="1" applyAlignment="1">
      <alignment horizontal="center" vertical="center"/>
    </xf>
    <xf numFmtId="1" fontId="86" fillId="13" borderId="40" xfId="0" applyNumberFormat="1" applyFont="1" applyFill="1" applyBorder="1" applyAlignment="1">
      <alignment horizontal="center" vertical="center"/>
    </xf>
    <xf numFmtId="0" fontId="79" fillId="13" borderId="13" xfId="0" applyFont="1" applyFill="1" applyBorder="1" applyAlignment="1">
      <alignment horizontal="center" vertical="center"/>
    </xf>
    <xf numFmtId="1" fontId="79" fillId="13" borderId="12" xfId="0" applyNumberFormat="1" applyFont="1" applyFill="1" applyBorder="1" applyAlignment="1">
      <alignment horizontal="center" vertical="center"/>
    </xf>
    <xf numFmtId="1" fontId="89" fillId="13" borderId="20" xfId="0" applyNumberFormat="1" applyFont="1" applyFill="1" applyBorder="1" applyAlignment="1">
      <alignment horizontal="center" vertical="center"/>
    </xf>
    <xf numFmtId="0" fontId="98" fillId="13" borderId="18" xfId="0" applyFont="1" applyFill="1" applyBorder="1" applyAlignment="1">
      <alignment horizontal="center" vertical="center"/>
    </xf>
    <xf numFmtId="0" fontId="89" fillId="13" borderId="12" xfId="0" applyFont="1" applyFill="1" applyBorder="1" applyAlignment="1">
      <alignment horizontal="center" vertical="center"/>
    </xf>
    <xf numFmtId="0" fontId="89" fillId="13" borderId="60" xfId="0" applyFont="1" applyFill="1" applyBorder="1" applyAlignment="1">
      <alignment horizontal="center" vertical="center"/>
    </xf>
    <xf numFmtId="1" fontId="89" fillId="13" borderId="60" xfId="0" applyNumberFormat="1" applyFont="1" applyFill="1" applyBorder="1" applyAlignment="1">
      <alignment horizontal="center" vertical="center"/>
    </xf>
    <xf numFmtId="167" fontId="76" fillId="13" borderId="40" xfId="0" applyNumberFormat="1" applyFont="1" applyFill="1" applyBorder="1" applyAlignment="1">
      <alignment horizontal="center" vertical="center"/>
    </xf>
    <xf numFmtId="167" fontId="76" fillId="13" borderId="13" xfId="0" applyNumberFormat="1" applyFont="1" applyFill="1" applyBorder="1" applyAlignment="1">
      <alignment horizontal="center" vertical="center"/>
    </xf>
    <xf numFmtId="1" fontId="89" fillId="13" borderId="17" xfId="0" applyNumberFormat="1" applyFont="1" applyFill="1" applyBorder="1" applyAlignment="1">
      <alignment horizontal="center" vertical="center"/>
    </xf>
    <xf numFmtId="1" fontId="89" fillId="13" borderId="72" xfId="0" applyNumberFormat="1" applyFont="1" applyFill="1" applyBorder="1" applyAlignment="1">
      <alignment horizontal="center" vertical="center"/>
    </xf>
    <xf numFmtId="1" fontId="89" fillId="13" borderId="16" xfId="0" applyNumberFormat="1" applyFont="1" applyFill="1" applyBorder="1" applyAlignment="1">
      <alignment horizontal="center" vertical="center"/>
    </xf>
    <xf numFmtId="1" fontId="89" fillId="13" borderId="71" xfId="0" applyNumberFormat="1" applyFont="1" applyFill="1" applyBorder="1" applyAlignment="1">
      <alignment horizontal="center" vertical="center"/>
    </xf>
    <xf numFmtId="1" fontId="89" fillId="13" borderId="54" xfId="0" applyNumberFormat="1" applyFont="1" applyFill="1" applyBorder="1" applyAlignment="1">
      <alignment horizontal="center" vertical="center"/>
    </xf>
    <xf numFmtId="1" fontId="72" fillId="13" borderId="40" xfId="0" applyNumberFormat="1" applyFont="1" applyFill="1" applyBorder="1" applyAlignment="1">
      <alignment horizontal="center" vertical="center"/>
    </xf>
    <xf numFmtId="1" fontId="72" fillId="13" borderId="13" xfId="0" applyNumberFormat="1" applyFont="1" applyFill="1" applyBorder="1" applyAlignment="1">
      <alignment horizontal="center" vertical="center"/>
    </xf>
    <xf numFmtId="0" fontId="34" fillId="13" borderId="81" xfId="0" applyFont="1" applyFill="1" applyBorder="1" applyAlignment="1">
      <alignment horizontal="center" vertical="center"/>
    </xf>
    <xf numFmtId="1" fontId="35" fillId="13" borderId="16" xfId="0" applyNumberFormat="1" applyFont="1" applyFill="1" applyBorder="1" applyAlignment="1">
      <alignment horizontal="center" vertical="center"/>
    </xf>
    <xf numFmtId="1" fontId="35" fillId="13" borderId="60" xfId="0" applyNumberFormat="1" applyFont="1" applyFill="1" applyBorder="1" applyAlignment="1">
      <alignment horizontal="center" vertical="center"/>
    </xf>
    <xf numFmtId="0" fontId="162" fillId="13" borderId="24" xfId="0" applyFont="1" applyFill="1" applyBorder="1" applyAlignment="1">
      <alignment horizontal="center" vertical="center"/>
    </xf>
    <xf numFmtId="0" fontId="72" fillId="25" borderId="75" xfId="0" applyFont="1" applyFill="1" applyBorder="1"/>
    <xf numFmtId="0" fontId="96" fillId="25" borderId="7" xfId="0" applyFont="1" applyFill="1" applyBorder="1" applyAlignment="1">
      <alignment vertical="center"/>
    </xf>
    <xf numFmtId="1" fontId="76" fillId="25" borderId="13" xfId="0" applyNumberFormat="1" applyFont="1" applyFill="1" applyBorder="1" applyAlignment="1">
      <alignment horizontal="center" vertical="center"/>
    </xf>
    <xf numFmtId="0" fontId="96" fillId="25" borderId="24" xfId="0" applyFont="1" applyFill="1" applyBorder="1" applyAlignment="1">
      <alignment vertical="center"/>
    </xf>
    <xf numFmtId="0" fontId="88" fillId="25" borderId="24" xfId="0" applyFont="1" applyFill="1" applyBorder="1" applyAlignment="1">
      <alignment vertical="center"/>
    </xf>
    <xf numFmtId="0" fontId="88" fillId="25" borderId="24" xfId="0" applyFont="1" applyFill="1" applyBorder="1" applyAlignment="1">
      <alignment horizontal="center" vertical="center"/>
    </xf>
    <xf numFmtId="1" fontId="76" fillId="25" borderId="24" xfId="0" applyNumberFormat="1" applyFont="1" applyFill="1" applyBorder="1" applyAlignment="1">
      <alignment vertical="center"/>
    </xf>
    <xf numFmtId="0" fontId="83" fillId="25" borderId="6" xfId="0" applyFont="1" applyFill="1" applyBorder="1"/>
    <xf numFmtId="0" fontId="83" fillId="25" borderId="7" xfId="0" applyFont="1" applyFill="1" applyBorder="1"/>
    <xf numFmtId="0" fontId="88" fillId="25" borderId="6" xfId="0" applyFont="1" applyFill="1" applyBorder="1" applyAlignment="1">
      <alignment vertical="center"/>
    </xf>
    <xf numFmtId="0" fontId="87" fillId="25" borderId="6" xfId="0" applyFont="1" applyFill="1" applyBorder="1"/>
    <xf numFmtId="0" fontId="79" fillId="25" borderId="24" xfId="0" applyFont="1" applyFill="1" applyBorder="1" applyAlignment="1">
      <alignment vertical="center"/>
    </xf>
    <xf numFmtId="0" fontId="79" fillId="25" borderId="7" xfId="0" applyFont="1" applyFill="1" applyBorder="1" applyAlignment="1">
      <alignment vertical="center"/>
    </xf>
    <xf numFmtId="1" fontId="83" fillId="25" borderId="24" xfId="0" applyNumberFormat="1" applyFont="1" applyFill="1" applyBorder="1" applyAlignment="1">
      <alignment vertical="center"/>
    </xf>
    <xf numFmtId="0" fontId="91" fillId="25" borderId="7" xfId="0" applyFont="1" applyFill="1" applyBorder="1"/>
    <xf numFmtId="0" fontId="91" fillId="25" borderId="24" xfId="0" applyFont="1" applyFill="1" applyBorder="1" applyAlignment="1">
      <alignment vertical="top" wrapText="1"/>
    </xf>
    <xf numFmtId="0" fontId="84" fillId="25" borderId="24" xfId="0" applyFont="1" applyFill="1" applyBorder="1" applyAlignment="1">
      <alignment vertical="center"/>
    </xf>
    <xf numFmtId="0" fontId="75" fillId="25" borderId="24" xfId="0" applyFont="1" applyFill="1" applyBorder="1" applyAlignment="1">
      <alignment horizontal="center" vertical="center"/>
    </xf>
    <xf numFmtId="0" fontId="96" fillId="25" borderId="55" xfId="0" applyFont="1" applyFill="1" applyBorder="1" applyAlignment="1">
      <alignment vertical="center"/>
    </xf>
    <xf numFmtId="0" fontId="76" fillId="25" borderId="55" xfId="0" applyFont="1" applyFill="1" applyBorder="1" applyAlignment="1">
      <alignment vertical="center"/>
    </xf>
    <xf numFmtId="1" fontId="76" fillId="25" borderId="7" xfId="0" applyNumberFormat="1" applyFont="1" applyFill="1" applyBorder="1" applyAlignment="1">
      <alignment vertical="center"/>
    </xf>
    <xf numFmtId="2" fontId="76" fillId="25" borderId="13" xfId="0" applyNumberFormat="1" applyFont="1" applyFill="1" applyBorder="1" applyAlignment="1">
      <alignment horizontal="center" vertical="center"/>
    </xf>
    <xf numFmtId="2" fontId="100" fillId="25" borderId="13" xfId="0" applyNumberFormat="1" applyFont="1" applyFill="1" applyBorder="1" applyAlignment="1">
      <alignment horizontal="center" vertical="center"/>
    </xf>
    <xf numFmtId="1" fontId="96" fillId="25" borderId="24" xfId="0" applyNumberFormat="1" applyFont="1" applyFill="1" applyBorder="1" applyAlignment="1">
      <alignment vertical="center"/>
    </xf>
    <xf numFmtId="1" fontId="96" fillId="25" borderId="61" xfId="0" applyNumberFormat="1" applyFont="1" applyFill="1" applyBorder="1" applyAlignment="1">
      <alignment vertical="center"/>
    </xf>
    <xf numFmtId="41" fontId="76" fillId="25" borderId="24" xfId="0" applyNumberFormat="1" applyFont="1" applyFill="1" applyBorder="1" applyAlignment="1">
      <alignment vertical="center"/>
    </xf>
    <xf numFmtId="41" fontId="76" fillId="25" borderId="61" xfId="0" applyNumberFormat="1" applyFont="1" applyFill="1" applyBorder="1" applyAlignment="1">
      <alignment vertical="center"/>
    </xf>
    <xf numFmtId="0" fontId="83" fillId="25" borderId="7" xfId="0" applyFont="1" applyFill="1" applyBorder="1" applyAlignment="1">
      <alignment vertical="center"/>
    </xf>
    <xf numFmtId="0" fontId="83" fillId="25" borderId="6" xfId="0" applyFont="1" applyFill="1" applyBorder="1" applyAlignment="1">
      <alignment vertical="center"/>
    </xf>
    <xf numFmtId="0" fontId="76" fillId="25" borderId="24" xfId="0" applyFont="1" applyFill="1" applyBorder="1" applyAlignment="1">
      <alignment vertical="center"/>
    </xf>
    <xf numFmtId="0" fontId="72" fillId="25" borderId="0" xfId="0" applyFont="1" applyFill="1" applyAlignment="1">
      <alignment horizontal="center"/>
    </xf>
    <xf numFmtId="0" fontId="72" fillId="25" borderId="55" xfId="0" applyFont="1" applyFill="1" applyBorder="1"/>
    <xf numFmtId="2" fontId="72" fillId="25" borderId="7" xfId="0" applyNumberFormat="1" applyFont="1" applyFill="1" applyBorder="1" applyAlignment="1">
      <alignment vertical="center"/>
    </xf>
    <xf numFmtId="0" fontId="17" fillId="25" borderId="6" xfId="0" applyFont="1" applyFill="1" applyBorder="1" applyAlignment="1">
      <alignment horizontal="center" vertical="center"/>
    </xf>
    <xf numFmtId="0" fontId="17" fillId="25" borderId="6" xfId="0" applyFont="1" applyFill="1" applyBorder="1" applyAlignment="1">
      <alignment vertical="center"/>
    </xf>
    <xf numFmtId="0" fontId="14" fillId="25" borderId="29" xfId="0" applyFont="1" applyFill="1" applyBorder="1" applyAlignment="1">
      <alignment vertical="center"/>
    </xf>
    <xf numFmtId="0" fontId="13" fillId="25" borderId="61" xfId="0" applyFont="1" applyFill="1" applyBorder="1" applyAlignment="1">
      <alignment vertical="center"/>
    </xf>
    <xf numFmtId="0" fontId="13" fillId="25" borderId="24" xfId="0" applyFont="1" applyFill="1" applyBorder="1" applyAlignment="1">
      <alignment vertical="center"/>
    </xf>
    <xf numFmtId="0" fontId="34" fillId="25" borderId="7" xfId="0" applyFont="1" applyFill="1" applyBorder="1" applyAlignment="1">
      <alignment vertical="center"/>
    </xf>
    <xf numFmtId="0" fontId="34" fillId="25" borderId="6" xfId="0" applyFont="1" applyFill="1" applyBorder="1" applyAlignment="1">
      <alignment vertical="center"/>
    </xf>
    <xf numFmtId="1" fontId="69" fillId="25" borderId="6" xfId="0" applyNumberFormat="1" applyFont="1" applyFill="1" applyBorder="1" applyAlignment="1">
      <alignment vertical="center"/>
    </xf>
    <xf numFmtId="1" fontId="69" fillId="25" borderId="7" xfId="0" applyNumberFormat="1" applyFont="1" applyFill="1" applyBorder="1" applyAlignment="1">
      <alignment horizontal="center" vertical="center"/>
    </xf>
    <xf numFmtId="0" fontId="96" fillId="25" borderId="75" xfId="0" applyFont="1" applyFill="1" applyBorder="1" applyAlignment="1">
      <alignment vertical="center"/>
    </xf>
    <xf numFmtId="0" fontId="72" fillId="25" borderId="19" xfId="0" applyFont="1" applyFill="1" applyBorder="1" applyAlignment="1">
      <alignment horizontal="center" vertical="center"/>
    </xf>
    <xf numFmtId="2" fontId="72" fillId="25" borderId="7" xfId="0" applyNumberFormat="1" applyFont="1" applyFill="1" applyBorder="1" applyAlignment="1">
      <alignment horizontal="center" vertical="center"/>
    </xf>
    <xf numFmtId="171" fontId="72" fillId="25" borderId="10" xfId="0" applyNumberFormat="1" applyFont="1" applyFill="1" applyBorder="1" applyAlignment="1">
      <alignment horizontal="center" vertical="center"/>
    </xf>
    <xf numFmtId="1" fontId="13" fillId="25" borderId="7" xfId="0" applyNumberFormat="1" applyFont="1" applyFill="1" applyBorder="1" applyAlignment="1">
      <alignment vertical="center"/>
    </xf>
    <xf numFmtId="1" fontId="36" fillId="25" borderId="26" xfId="0" applyNumberFormat="1" applyFont="1" applyFill="1" applyBorder="1" applyAlignment="1">
      <alignment horizontal="center" vertical="center"/>
    </xf>
    <xf numFmtId="0" fontId="74" fillId="25" borderId="61" xfId="0" applyFont="1" applyFill="1" applyBorder="1" applyAlignment="1">
      <alignment horizontal="center" vertical="center"/>
    </xf>
    <xf numFmtId="0" fontId="74" fillId="25" borderId="24" xfId="0" applyFont="1" applyFill="1" applyBorder="1" applyAlignment="1">
      <alignment horizontal="center" vertical="center"/>
    </xf>
    <xf numFmtId="1" fontId="13" fillId="25" borderId="6" xfId="0" applyNumberFormat="1" applyFont="1" applyFill="1" applyBorder="1" applyAlignment="1">
      <alignment vertical="center"/>
    </xf>
    <xf numFmtId="1" fontId="36" fillId="25" borderId="46" xfId="0" applyNumberFormat="1" applyFont="1" applyFill="1" applyBorder="1" applyAlignment="1">
      <alignment horizontal="center" vertical="center"/>
    </xf>
    <xf numFmtId="2" fontId="36" fillId="25" borderId="46" xfId="0" applyNumberFormat="1" applyFont="1" applyFill="1" applyBorder="1" applyAlignment="1">
      <alignment horizontal="center" vertical="center"/>
    </xf>
    <xf numFmtId="0" fontId="80" fillId="25" borderId="61" xfId="0" applyFont="1" applyFill="1" applyBorder="1" applyAlignment="1">
      <alignment horizontal="center" vertical="center"/>
    </xf>
    <xf numFmtId="0" fontId="160" fillId="25" borderId="24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80" fillId="25" borderId="24" xfId="0" applyFont="1" applyFill="1" applyBorder="1" applyAlignment="1">
      <alignment horizontal="center" vertical="center"/>
    </xf>
    <xf numFmtId="0" fontId="13" fillId="25" borderId="19" xfId="0" applyFont="1" applyFill="1" applyBorder="1" applyAlignment="1">
      <alignment vertical="center"/>
    </xf>
    <xf numFmtId="0" fontId="80" fillId="25" borderId="21" xfId="0" applyFont="1" applyFill="1" applyBorder="1" applyAlignment="1">
      <alignment horizontal="center" vertical="center"/>
    </xf>
    <xf numFmtId="0" fontId="42" fillId="25" borderId="13" xfId="0" applyFont="1" applyFill="1" applyBorder="1" applyAlignment="1">
      <alignment horizontal="center" vertical="center"/>
    </xf>
    <xf numFmtId="0" fontId="80" fillId="25" borderId="55" xfId="0" applyFont="1" applyFill="1" applyBorder="1" applyAlignment="1">
      <alignment horizontal="center" vertical="center"/>
    </xf>
    <xf numFmtId="0" fontId="42" fillId="25" borderId="55" xfId="0" applyFont="1" applyFill="1" applyBorder="1" applyAlignment="1">
      <alignment horizontal="center" vertical="center"/>
    </xf>
    <xf numFmtId="0" fontId="42" fillId="25" borderId="39" xfId="0" applyFont="1" applyFill="1" applyBorder="1" applyAlignment="1">
      <alignment horizontal="center" vertical="center"/>
    </xf>
    <xf numFmtId="0" fontId="35" fillId="25" borderId="24" xfId="0" applyFont="1" applyFill="1" applyBorder="1" applyAlignment="1">
      <alignment horizontal="center" vertical="center"/>
    </xf>
    <xf numFmtId="0" fontId="35" fillId="25" borderId="24" xfId="0" applyFont="1" applyFill="1" applyBorder="1" applyAlignment="1">
      <alignment vertical="center"/>
    </xf>
    <xf numFmtId="0" fontId="42" fillId="25" borderId="26" xfId="0" applyFont="1" applyFill="1" applyBorder="1" applyAlignment="1">
      <alignment horizontal="center" vertical="center"/>
    </xf>
    <xf numFmtId="0" fontId="36" fillId="25" borderId="55" xfId="0" applyFont="1" applyFill="1" applyBorder="1" applyAlignment="1">
      <alignment horizontal="center" vertical="center"/>
    </xf>
    <xf numFmtId="2" fontId="34" fillId="25" borderId="0" xfId="0" applyNumberFormat="1" applyFont="1" applyFill="1" applyAlignment="1">
      <alignment horizontal="center" vertical="center"/>
    </xf>
    <xf numFmtId="0" fontId="42" fillId="25" borderId="11" xfId="0" applyFont="1" applyFill="1" applyBorder="1" applyAlignment="1">
      <alignment horizontal="center" vertical="center"/>
    </xf>
    <xf numFmtId="0" fontId="42" fillId="25" borderId="5" xfId="0" applyFont="1" applyFill="1" applyBorder="1" applyAlignment="1">
      <alignment horizontal="center" vertical="center"/>
    </xf>
    <xf numFmtId="0" fontId="42" fillId="25" borderId="7" xfId="0" applyFont="1" applyFill="1" applyBorder="1" applyAlignment="1">
      <alignment horizontal="center" vertical="center"/>
    </xf>
    <xf numFmtId="0" fontId="35" fillId="25" borderId="7" xfId="0" applyFont="1" applyFill="1" applyBorder="1" applyAlignment="1">
      <alignment horizontal="center" vertical="center"/>
    </xf>
    <xf numFmtId="0" fontId="42" fillId="25" borderId="115" xfId="0" applyFont="1" applyFill="1" applyBorder="1" applyAlignment="1">
      <alignment horizontal="center" vertical="center"/>
    </xf>
    <xf numFmtId="0" fontId="42" fillId="25" borderId="16" xfId="0" applyFont="1" applyFill="1" applyBorder="1" applyAlignment="1">
      <alignment horizontal="center" vertical="center"/>
    </xf>
    <xf numFmtId="0" fontId="42" fillId="25" borderId="153" xfId="0" applyFont="1" applyFill="1" applyBorder="1" applyAlignment="1">
      <alignment horizontal="center" vertical="center"/>
    </xf>
    <xf numFmtId="0" fontId="25" fillId="25" borderId="0" xfId="0" applyFont="1" applyFill="1"/>
    <xf numFmtId="0" fontId="34" fillId="25" borderId="89" xfId="0" applyFont="1" applyFill="1" applyBorder="1" applyAlignment="1">
      <alignment horizontal="center" vertical="center"/>
    </xf>
    <xf numFmtId="0" fontId="34" fillId="25" borderId="80" xfId="0" applyFont="1" applyFill="1" applyBorder="1" applyAlignment="1">
      <alignment horizontal="center" vertical="center"/>
    </xf>
    <xf numFmtId="0" fontId="71" fillId="25" borderId="24" xfId="0" applyFont="1" applyFill="1" applyBorder="1" applyAlignment="1">
      <alignment vertical="center"/>
    </xf>
    <xf numFmtId="0" fontId="71" fillId="25" borderId="3" xfId="0" applyFont="1" applyFill="1" applyBorder="1" applyAlignment="1">
      <alignment vertical="center"/>
    </xf>
    <xf numFmtId="1" fontId="103" fillId="25" borderId="24" xfId="0" applyNumberFormat="1" applyFont="1" applyFill="1" applyBorder="1" applyAlignment="1">
      <alignment vertical="center"/>
    </xf>
    <xf numFmtId="0" fontId="42" fillId="25" borderId="46" xfId="0" applyFont="1" applyFill="1" applyBorder="1" applyAlignment="1">
      <alignment horizontal="center" vertical="center"/>
    </xf>
    <xf numFmtId="0" fontId="56" fillId="25" borderId="24" xfId="0" applyFont="1" applyFill="1" applyBorder="1" applyAlignment="1">
      <alignment vertical="center"/>
    </xf>
    <xf numFmtId="0" fontId="25" fillId="25" borderId="7" xfId="0" applyFont="1" applyFill="1" applyBorder="1"/>
    <xf numFmtId="1" fontId="38" fillId="0" borderId="8" xfId="0" quotePrefix="1" applyNumberFormat="1" applyFont="1" applyBorder="1" applyAlignment="1">
      <alignment horizontal="center" vertical="center"/>
    </xf>
    <xf numFmtId="0" fontId="38" fillId="17" borderId="47" xfId="0" applyFont="1" applyFill="1" applyBorder="1" applyAlignment="1">
      <alignment horizontal="center" vertical="center"/>
    </xf>
    <xf numFmtId="0" fontId="19" fillId="25" borderId="7" xfId="0" applyFont="1" applyFill="1" applyBorder="1" applyAlignment="1">
      <alignment vertical="center"/>
    </xf>
    <xf numFmtId="0" fontId="19" fillId="25" borderId="29" xfId="0" applyFont="1" applyFill="1" applyBorder="1" applyAlignment="1">
      <alignment vertical="center"/>
    </xf>
    <xf numFmtId="0" fontId="75" fillId="25" borderId="83" xfId="0" applyFont="1" applyFill="1" applyBorder="1" applyAlignment="1">
      <alignment horizontal="center" vertical="center"/>
    </xf>
    <xf numFmtId="0" fontId="34" fillId="25" borderId="16" xfId="0" applyFont="1" applyFill="1" applyBorder="1" applyAlignment="1">
      <alignment horizontal="center" vertical="center"/>
    </xf>
    <xf numFmtId="0" fontId="34" fillId="25" borderId="12" xfId="0" applyFont="1" applyFill="1" applyBorder="1" applyAlignment="1">
      <alignment horizontal="center" vertical="center"/>
    </xf>
    <xf numFmtId="0" fontId="63" fillId="25" borderId="6" xfId="0" applyFont="1" applyFill="1" applyBorder="1" applyAlignment="1">
      <alignment vertical="center"/>
    </xf>
    <xf numFmtId="0" fontId="34" fillId="25" borderId="22" xfId="0" applyFont="1" applyFill="1" applyBorder="1" applyAlignment="1">
      <alignment horizontal="center" vertical="center"/>
    </xf>
    <xf numFmtId="0" fontId="63" fillId="25" borderId="6" xfId="0" applyFont="1" applyFill="1" applyBorder="1" applyAlignment="1">
      <alignment horizontal="center" vertical="center"/>
    </xf>
    <xf numFmtId="0" fontId="36" fillId="25" borderId="6" xfId="0" applyFont="1" applyFill="1" applyBorder="1" applyAlignment="1">
      <alignment vertical="center"/>
    </xf>
    <xf numFmtId="0" fontId="34" fillId="25" borderId="0" xfId="0" applyFont="1" applyFill="1" applyAlignment="1">
      <alignment horizontal="center" vertical="center"/>
    </xf>
    <xf numFmtId="0" fontId="24" fillId="25" borderId="7" xfId="0" applyFont="1" applyFill="1" applyBorder="1"/>
    <xf numFmtId="0" fontId="13" fillId="25" borderId="8" xfId="0" applyFont="1" applyFill="1" applyBorder="1"/>
    <xf numFmtId="2" fontId="34" fillId="25" borderId="21" xfId="0" applyNumberFormat="1" applyFont="1" applyFill="1" applyBorder="1" applyAlignment="1">
      <alignment horizontal="center" vertical="center"/>
    </xf>
    <xf numFmtId="2" fontId="34" fillId="25" borderId="5" xfId="0" applyNumberFormat="1" applyFont="1" applyFill="1" applyBorder="1" applyAlignment="1">
      <alignment horizontal="center" vertical="center"/>
    </xf>
    <xf numFmtId="0" fontId="24" fillId="25" borderId="6" xfId="0" applyFont="1" applyFill="1" applyBorder="1"/>
    <xf numFmtId="0" fontId="13" fillId="25" borderId="29" xfId="0" applyFont="1" applyFill="1" applyBorder="1"/>
    <xf numFmtId="2" fontId="34" fillId="25" borderId="159" xfId="0" applyNumberFormat="1" applyFont="1" applyFill="1" applyBorder="1" applyAlignment="1">
      <alignment horizontal="center" vertical="center"/>
    </xf>
    <xf numFmtId="2" fontId="34" fillId="25" borderId="96" xfId="0" applyNumberFormat="1" applyFont="1" applyFill="1" applyBorder="1" applyAlignment="1">
      <alignment horizontal="center" vertical="center"/>
    </xf>
    <xf numFmtId="0" fontId="24" fillId="25" borderId="0" xfId="0" applyFont="1" applyFill="1" applyAlignment="1">
      <alignment vertical="center"/>
    </xf>
    <xf numFmtId="0" fontId="34" fillId="25" borderId="18" xfId="0" applyFont="1" applyFill="1" applyBorder="1" applyAlignment="1">
      <alignment horizontal="center" vertical="center"/>
    </xf>
    <xf numFmtId="0" fontId="63" fillId="25" borderId="6" xfId="0" applyFont="1" applyFill="1" applyBorder="1"/>
    <xf numFmtId="0" fontId="77" fillId="25" borderId="6" xfId="0" applyFont="1" applyFill="1" applyBorder="1"/>
    <xf numFmtId="2" fontId="77" fillId="25" borderId="24" xfId="0" applyNumberFormat="1" applyFont="1" applyFill="1" applyBorder="1" applyAlignment="1">
      <alignment horizontal="center" vertical="center"/>
    </xf>
    <xf numFmtId="0" fontId="10" fillId="25" borderId="0" xfId="0" applyFont="1" applyFill="1"/>
    <xf numFmtId="0" fontId="34" fillId="25" borderId="19" xfId="0" applyFont="1" applyFill="1" applyBorder="1"/>
    <xf numFmtId="0" fontId="34" fillId="25" borderId="6" xfId="0" applyFont="1" applyFill="1" applyBorder="1"/>
    <xf numFmtId="1" fontId="76" fillId="25" borderId="0" xfId="0" applyNumberFormat="1" applyFont="1" applyFill="1" applyAlignment="1">
      <alignment horizontal="center" vertical="center"/>
    </xf>
    <xf numFmtId="0" fontId="24" fillId="25" borderId="39" xfId="0" applyFont="1" applyFill="1" applyBorder="1"/>
    <xf numFmtId="0" fontId="76" fillId="25" borderId="13" xfId="0" applyFont="1" applyFill="1" applyBorder="1" applyAlignment="1">
      <alignment horizontal="center" vertical="center"/>
    </xf>
    <xf numFmtId="0" fontId="76" fillId="25" borderId="55" xfId="0" applyFont="1" applyFill="1" applyBorder="1" applyAlignment="1">
      <alignment horizontal="center" vertical="center"/>
    </xf>
    <xf numFmtId="0" fontId="76" fillId="25" borderId="21" xfId="0" applyFont="1" applyFill="1" applyBorder="1" applyAlignment="1">
      <alignment horizontal="center" vertical="center"/>
    </xf>
    <xf numFmtId="170" fontId="35" fillId="25" borderId="6" xfId="4" applyFont="1" applyFill="1" applyBorder="1" applyAlignment="1">
      <alignment vertical="center"/>
    </xf>
    <xf numFmtId="0" fontId="34" fillId="25" borderId="24" xfId="0" applyFont="1" applyFill="1" applyBorder="1" applyAlignment="1">
      <alignment vertical="center"/>
    </xf>
    <xf numFmtId="0" fontId="34" fillId="25" borderId="61" xfId="0" applyFont="1" applyFill="1" applyBorder="1" applyAlignment="1">
      <alignment horizontal="center" vertical="center"/>
    </xf>
    <xf numFmtId="0" fontId="35" fillId="25" borderId="16" xfId="0" applyFont="1" applyFill="1" applyBorder="1" applyAlignment="1">
      <alignment horizontal="center" vertical="center"/>
    </xf>
    <xf numFmtId="0" fontId="34" fillId="25" borderId="57" xfId="0" applyFont="1" applyFill="1" applyBorder="1" applyAlignment="1">
      <alignment horizontal="center" vertical="center"/>
    </xf>
    <xf numFmtId="0" fontId="34" fillId="25" borderId="20" xfId="0" applyFont="1" applyFill="1" applyBorder="1" applyAlignment="1">
      <alignment horizontal="center" vertical="center"/>
    </xf>
    <xf numFmtId="0" fontId="34" fillId="25" borderId="28" xfId="0" applyFont="1" applyFill="1" applyBorder="1" applyAlignment="1">
      <alignment horizontal="center" vertical="center"/>
    </xf>
    <xf numFmtId="14" fontId="43" fillId="25" borderId="16" xfId="0" applyNumberFormat="1" applyFont="1" applyFill="1" applyBorder="1" applyAlignment="1">
      <alignment horizontal="center" vertical="center"/>
    </xf>
    <xf numFmtId="0" fontId="76" fillId="25" borderId="28" xfId="0" applyFont="1" applyFill="1" applyBorder="1" applyAlignment="1">
      <alignment horizontal="center" vertical="center"/>
    </xf>
    <xf numFmtId="0" fontId="76" fillId="25" borderId="16" xfId="0" applyFont="1" applyFill="1" applyBorder="1" applyAlignment="1">
      <alignment horizontal="center" vertical="center"/>
    </xf>
    <xf numFmtId="0" fontId="76" fillId="25" borderId="24" xfId="0" applyFont="1" applyFill="1" applyBorder="1"/>
    <xf numFmtId="0" fontId="76" fillId="25" borderId="61" xfId="0" applyFont="1" applyFill="1" applyBorder="1"/>
    <xf numFmtId="0" fontId="74" fillId="25" borderId="7" xfId="0" applyFont="1" applyFill="1" applyBorder="1" applyAlignment="1">
      <alignment horizontal="center" vertical="center"/>
    </xf>
    <xf numFmtId="2" fontId="64" fillId="25" borderId="55" xfId="0" applyNumberFormat="1" applyFont="1" applyFill="1" applyBorder="1" applyAlignment="1">
      <alignment vertical="center"/>
    </xf>
    <xf numFmtId="2" fontId="64" fillId="25" borderId="55" xfId="0" applyNumberFormat="1" applyFont="1" applyFill="1" applyBorder="1" applyAlignment="1">
      <alignment horizontal="center" vertical="center"/>
    </xf>
    <xf numFmtId="0" fontId="159" fillId="25" borderId="61" xfId="0" applyFont="1" applyFill="1" applyBorder="1" applyAlignment="1">
      <alignment horizontal="center" vertical="center"/>
    </xf>
    <xf numFmtId="0" fontId="158" fillId="25" borderId="61" xfId="0" applyFont="1" applyFill="1" applyBorder="1" applyAlignment="1">
      <alignment horizontal="center" vertical="center"/>
    </xf>
    <xf numFmtId="0" fontId="158" fillId="25" borderId="24" xfId="0" applyFont="1" applyFill="1" applyBorder="1" applyAlignment="1">
      <alignment horizontal="center" vertical="center"/>
    </xf>
    <xf numFmtId="0" fontId="34" fillId="25" borderId="19" xfId="0" applyFont="1" applyFill="1" applyBorder="1" applyAlignment="1">
      <alignment horizontal="center" vertical="center"/>
    </xf>
    <xf numFmtId="0" fontId="72" fillId="25" borderId="6" xfId="0" applyFont="1" applyFill="1" applyBorder="1" applyAlignment="1">
      <alignment horizontal="center" vertical="center"/>
    </xf>
    <xf numFmtId="0" fontId="35" fillId="25" borderId="7" xfId="0" applyFont="1" applyFill="1" applyBorder="1" applyAlignment="1">
      <alignment vertical="center"/>
    </xf>
    <xf numFmtId="0" fontId="35" fillId="25" borderId="29" xfId="0" applyFont="1" applyFill="1" applyBorder="1" applyAlignment="1">
      <alignment vertical="center"/>
    </xf>
    <xf numFmtId="0" fontId="34" fillId="25" borderId="26" xfId="0" applyFont="1" applyFill="1" applyBorder="1" applyAlignment="1">
      <alignment vertical="center"/>
    </xf>
    <xf numFmtId="0" fontId="34" fillId="25" borderId="0" xfId="0" applyFont="1" applyFill="1" applyAlignment="1">
      <alignment vertical="center"/>
    </xf>
    <xf numFmtId="0" fontId="34" fillId="25" borderId="42" xfId="0" applyFont="1" applyFill="1" applyBorder="1" applyAlignment="1">
      <alignment horizontal="center" vertical="center"/>
    </xf>
    <xf numFmtId="0" fontId="34" fillId="25" borderId="21" xfId="0" applyFont="1" applyFill="1" applyBorder="1" applyAlignment="1">
      <alignment horizontal="center" vertical="center"/>
    </xf>
    <xf numFmtId="0" fontId="34" fillId="25" borderId="13" xfId="0" applyFont="1" applyFill="1" applyBorder="1" applyAlignment="1">
      <alignment horizontal="center" vertical="center"/>
    </xf>
    <xf numFmtId="0" fontId="35" fillId="25" borderId="18" xfId="0" applyFont="1" applyFill="1" applyBorder="1" applyAlignment="1">
      <alignment horizontal="center" vertical="center"/>
    </xf>
    <xf numFmtId="14" fontId="43" fillId="25" borderId="13" xfId="0" applyNumberFormat="1" applyFont="1" applyFill="1" applyBorder="1" applyAlignment="1">
      <alignment horizontal="center" vertical="center"/>
    </xf>
    <xf numFmtId="0" fontId="91" fillId="25" borderId="50" xfId="0" applyFont="1" applyFill="1" applyBorder="1"/>
    <xf numFmtId="1" fontId="34" fillId="25" borderId="24" xfId="0" applyNumberFormat="1" applyFont="1" applyFill="1" applyBorder="1" applyAlignment="1">
      <alignment vertical="center"/>
    </xf>
    <xf numFmtId="0" fontId="62" fillId="25" borderId="27" xfId="0" applyFont="1" applyFill="1" applyBorder="1" applyAlignment="1">
      <alignment horizontal="center" vertical="center"/>
    </xf>
    <xf numFmtId="0" fontId="62" fillId="25" borderId="49" xfId="0" applyFont="1" applyFill="1" applyBorder="1" applyAlignment="1">
      <alignment horizontal="center" vertical="center"/>
    </xf>
    <xf numFmtId="169" fontId="138" fillId="0" borderId="37" xfId="0" applyNumberFormat="1" applyFont="1" applyBorder="1" applyAlignment="1">
      <alignment horizontal="center" vertical="center"/>
    </xf>
    <xf numFmtId="1" fontId="54" fillId="25" borderId="23" xfId="0" applyNumberFormat="1" applyFont="1" applyFill="1" applyBorder="1" applyAlignment="1">
      <alignment horizontal="center" vertical="center"/>
    </xf>
    <xf numFmtId="1" fontId="111" fillId="25" borderId="31" xfId="0" applyNumberFormat="1" applyFont="1" applyFill="1" applyBorder="1" applyAlignment="1">
      <alignment horizontal="center" vertical="center"/>
    </xf>
    <xf numFmtId="0" fontId="34" fillId="25" borderId="47" xfId="0" applyFont="1" applyFill="1" applyBorder="1" applyAlignment="1">
      <alignment horizontal="center" vertical="center"/>
    </xf>
    <xf numFmtId="0" fontId="75" fillId="25" borderId="10" xfId="0" applyFont="1" applyFill="1" applyBorder="1" applyAlignment="1">
      <alignment horizontal="center" vertical="center"/>
    </xf>
    <xf numFmtId="0" fontId="75" fillId="0" borderId="10" xfId="0" applyFont="1" applyBorder="1" applyAlignment="1">
      <alignment horizontal="center" vertical="center"/>
    </xf>
    <xf numFmtId="0" fontId="34" fillId="25" borderId="10" xfId="0" applyFont="1" applyFill="1" applyBorder="1" applyAlignment="1">
      <alignment horizontal="center" vertical="center"/>
    </xf>
    <xf numFmtId="0" fontId="36" fillId="25" borderId="10" xfId="0" quotePrefix="1" applyFont="1" applyFill="1" applyBorder="1" applyAlignment="1">
      <alignment horizontal="center" vertical="center"/>
    </xf>
    <xf numFmtId="169" fontId="34" fillId="25" borderId="10" xfId="0" applyNumberFormat="1" applyFont="1" applyFill="1" applyBorder="1" applyAlignment="1">
      <alignment horizontal="center" vertical="center"/>
    </xf>
    <xf numFmtId="1" fontId="34" fillId="25" borderId="10" xfId="0" applyNumberFormat="1" applyFont="1" applyFill="1" applyBorder="1" applyAlignment="1">
      <alignment horizontal="center" vertical="center"/>
    </xf>
    <xf numFmtId="1" fontId="78" fillId="25" borderId="5" xfId="0" applyNumberFormat="1" applyFont="1" applyFill="1" applyBorder="1" applyAlignment="1">
      <alignment horizontal="center" vertical="center"/>
    </xf>
    <xf numFmtId="0" fontId="87" fillId="25" borderId="49" xfId="0" applyFont="1" applyFill="1" applyBorder="1"/>
    <xf numFmtId="1" fontId="83" fillId="17" borderId="10" xfId="0" applyNumberFormat="1" applyFont="1" applyFill="1" applyBorder="1" applyAlignment="1">
      <alignment horizontal="center" vertical="center"/>
    </xf>
    <xf numFmtId="1" fontId="89" fillId="25" borderId="45" xfId="0" applyNumberFormat="1" applyFont="1" applyFill="1" applyBorder="1" applyAlignment="1">
      <alignment horizontal="center" vertical="center"/>
    </xf>
    <xf numFmtId="1" fontId="76" fillId="25" borderId="55" xfId="0" applyNumberFormat="1" applyFont="1" applyFill="1" applyBorder="1"/>
    <xf numFmtId="0" fontId="96" fillId="25" borderId="44" xfId="0" applyFont="1" applyFill="1" applyBorder="1" applyAlignment="1">
      <alignment vertical="center"/>
    </xf>
    <xf numFmtId="0" fontId="80" fillId="25" borderId="49" xfId="0" applyFont="1" applyFill="1" applyBorder="1" applyAlignment="1">
      <alignment horizontal="center" vertical="center"/>
    </xf>
    <xf numFmtId="0" fontId="13" fillId="25" borderId="7" xfId="0" applyFont="1" applyFill="1" applyBorder="1"/>
    <xf numFmtId="0" fontId="13" fillId="25" borderId="6" xfId="0" applyFont="1" applyFill="1" applyBorder="1" applyAlignment="1">
      <alignment horizontal="center" vertical="center"/>
    </xf>
    <xf numFmtId="0" fontId="74" fillId="25" borderId="6" xfId="0" applyFont="1" applyFill="1" applyBorder="1" applyAlignment="1">
      <alignment vertical="center"/>
    </xf>
    <xf numFmtId="0" fontId="74" fillId="25" borderId="6" xfId="0" applyFont="1" applyFill="1" applyBorder="1" applyAlignment="1">
      <alignment horizontal="center" vertical="center"/>
    </xf>
    <xf numFmtId="0" fontId="74" fillId="25" borderId="29" xfId="0" applyFont="1" applyFill="1" applyBorder="1" applyAlignment="1">
      <alignment horizontal="center" vertical="center"/>
    </xf>
    <xf numFmtId="0" fontId="13" fillId="25" borderId="75" xfId="0" applyFont="1" applyFill="1" applyBorder="1" applyAlignment="1">
      <alignment vertical="center"/>
    </xf>
    <xf numFmtId="0" fontId="13" fillId="25" borderId="0" xfId="0" applyFont="1" applyFill="1" applyAlignment="1">
      <alignment vertical="center"/>
    </xf>
    <xf numFmtId="0" fontId="13" fillId="25" borderId="38" xfId="0" applyFont="1" applyFill="1" applyBorder="1" applyAlignment="1">
      <alignment vertical="center"/>
    </xf>
    <xf numFmtId="0" fontId="13" fillId="25" borderId="8" xfId="0" applyFont="1" applyFill="1" applyBorder="1" applyAlignment="1">
      <alignment vertical="center"/>
    </xf>
    <xf numFmtId="0" fontId="36" fillId="25" borderId="50" xfId="0" applyFont="1" applyFill="1" applyBorder="1" applyAlignment="1">
      <alignment horizontal="center" vertical="center"/>
    </xf>
    <xf numFmtId="0" fontId="36" fillId="25" borderId="7" xfId="0" applyFont="1" applyFill="1" applyBorder="1" applyAlignment="1">
      <alignment vertical="center"/>
    </xf>
    <xf numFmtId="0" fontId="83" fillId="25" borderId="29" xfId="0" applyFont="1" applyFill="1" applyBorder="1"/>
    <xf numFmtId="1" fontId="83" fillId="25" borderId="6" xfId="0" applyNumberFormat="1" applyFont="1" applyFill="1" applyBorder="1"/>
    <xf numFmtId="0" fontId="72" fillId="25" borderId="49" xfId="0" applyFont="1" applyFill="1" applyBorder="1"/>
    <xf numFmtId="0" fontId="178" fillId="0" borderId="47" xfId="0" applyFont="1" applyBorder="1"/>
    <xf numFmtId="0" fontId="35" fillId="25" borderId="6" xfId="0" applyFont="1" applyFill="1" applyBorder="1" applyAlignment="1">
      <alignment vertical="center"/>
    </xf>
    <xf numFmtId="1" fontId="14" fillId="25" borderId="6" xfId="0" applyNumberFormat="1" applyFont="1" applyFill="1" applyBorder="1" applyAlignment="1">
      <alignment vertical="center"/>
    </xf>
    <xf numFmtId="2" fontId="110" fillId="21" borderId="53" xfId="0" applyNumberFormat="1" applyFont="1" applyFill="1" applyBorder="1" applyAlignment="1">
      <alignment horizontal="center" vertical="center"/>
    </xf>
    <xf numFmtId="1" fontId="138" fillId="19" borderId="70" xfId="0" applyNumberFormat="1" applyFont="1" applyFill="1" applyBorder="1" applyAlignment="1">
      <alignment horizontal="center" vertical="center"/>
    </xf>
    <xf numFmtId="169" fontId="138" fillId="19" borderId="52" xfId="0" applyNumberFormat="1" applyFont="1" applyFill="1" applyBorder="1" applyAlignment="1">
      <alignment horizontal="center" vertical="center"/>
    </xf>
    <xf numFmtId="169" fontId="138" fillId="19" borderId="47" xfId="0" applyNumberFormat="1" applyFont="1" applyFill="1" applyBorder="1" applyAlignment="1">
      <alignment horizontal="center" vertical="center"/>
    </xf>
    <xf numFmtId="0" fontId="54" fillId="0" borderId="63" xfId="0" applyFont="1" applyBorder="1" applyAlignment="1">
      <alignment horizontal="right"/>
    </xf>
    <xf numFmtId="1" fontId="76" fillId="25" borderId="21" xfId="0" applyNumberFormat="1" applyFont="1" applyFill="1" applyBorder="1" applyAlignment="1">
      <alignment horizontal="center" vertical="center"/>
    </xf>
    <xf numFmtId="0" fontId="72" fillId="25" borderId="69" xfId="0" applyFont="1" applyFill="1" applyBorder="1" applyAlignment="1">
      <alignment horizontal="center" vertical="center"/>
    </xf>
    <xf numFmtId="0" fontId="36" fillId="25" borderId="30" xfId="0" applyFont="1" applyFill="1" applyBorder="1" applyAlignment="1">
      <alignment horizontal="center" vertical="center"/>
    </xf>
    <xf numFmtId="2" fontId="36" fillId="17" borderId="30" xfId="0" quotePrefix="1" applyNumberFormat="1" applyFont="1" applyFill="1" applyBorder="1" applyAlignment="1">
      <alignment horizontal="center" vertical="center"/>
    </xf>
    <xf numFmtId="2" fontId="110" fillId="19" borderId="53" xfId="0" applyNumberFormat="1" applyFont="1" applyFill="1" applyBorder="1" applyAlignment="1">
      <alignment horizontal="center" vertical="center"/>
    </xf>
    <xf numFmtId="169" fontId="138" fillId="25" borderId="8" xfId="0" applyNumberFormat="1" applyFont="1" applyFill="1" applyBorder="1" applyAlignment="1">
      <alignment horizontal="center" vertical="center"/>
    </xf>
    <xf numFmtId="1" fontId="89" fillId="17" borderId="30" xfId="3" quotePrefix="1" applyNumberFormat="1" applyFont="1" applyFill="1" applyBorder="1" applyAlignment="1">
      <alignment horizontal="center" vertical="center"/>
    </xf>
    <xf numFmtId="1" fontId="89" fillId="17" borderId="10" xfId="3" quotePrefix="1" applyNumberFormat="1" applyFont="1" applyFill="1" applyBorder="1" applyAlignment="1">
      <alignment horizontal="center" vertical="center"/>
    </xf>
    <xf numFmtId="1" fontId="138" fillId="25" borderId="91" xfId="0" applyNumberFormat="1" applyFont="1" applyFill="1" applyBorder="1" applyAlignment="1">
      <alignment horizontal="center" vertical="center"/>
    </xf>
    <xf numFmtId="1" fontId="138" fillId="0" borderId="91" xfId="0" applyNumberFormat="1" applyFont="1" applyBorder="1" applyAlignment="1">
      <alignment horizontal="center" vertical="center"/>
    </xf>
    <xf numFmtId="1" fontId="138" fillId="21" borderId="99" xfId="0" applyNumberFormat="1" applyFont="1" applyFill="1" applyBorder="1" applyAlignment="1">
      <alignment horizontal="center" vertical="center"/>
    </xf>
    <xf numFmtId="1" fontId="54" fillId="19" borderId="99" xfId="0" applyNumberFormat="1" applyFont="1" applyFill="1" applyBorder="1" applyAlignment="1">
      <alignment horizontal="center" vertical="center"/>
    </xf>
    <xf numFmtId="1" fontId="54" fillId="15" borderId="32" xfId="0" applyNumberFormat="1" applyFont="1" applyFill="1" applyBorder="1" applyAlignment="1">
      <alignment horizontal="center" vertical="center"/>
    </xf>
    <xf numFmtId="1" fontId="111" fillId="25" borderId="33" xfId="0" applyNumberFormat="1" applyFont="1" applyFill="1" applyBorder="1" applyAlignment="1">
      <alignment horizontal="center" vertical="center"/>
    </xf>
    <xf numFmtId="2" fontId="61" fillId="21" borderId="53" xfId="0" applyNumberFormat="1" applyFont="1" applyFill="1" applyBorder="1" applyAlignment="1">
      <alignment horizontal="center" vertical="center"/>
    </xf>
    <xf numFmtId="0" fontId="36" fillId="25" borderId="41" xfId="0" quotePrefix="1" applyFont="1" applyFill="1" applyBorder="1" applyAlignment="1">
      <alignment horizontal="center" vertical="center" wrapText="1"/>
    </xf>
    <xf numFmtId="0" fontId="63" fillId="25" borderId="23" xfId="0" quotePrefix="1" applyFont="1" applyFill="1" applyBorder="1" applyAlignment="1">
      <alignment horizontal="center" vertical="center"/>
    </xf>
    <xf numFmtId="169" fontId="72" fillId="17" borderId="46" xfId="0" applyNumberFormat="1" applyFont="1" applyFill="1" applyBorder="1" applyAlignment="1">
      <alignment horizontal="center" vertical="center"/>
    </xf>
    <xf numFmtId="1" fontId="67" fillId="17" borderId="65" xfId="0" applyNumberFormat="1" applyFont="1" applyFill="1" applyBorder="1" applyAlignment="1">
      <alignment horizontal="center" vertical="center"/>
    </xf>
    <xf numFmtId="1" fontId="38" fillId="0" borderId="10" xfId="0" applyNumberFormat="1" applyFont="1" applyBorder="1" applyAlignment="1">
      <alignment horizontal="center" vertical="center"/>
    </xf>
    <xf numFmtId="170" fontId="35" fillId="23" borderId="75" xfId="4" applyFont="1" applyFill="1" applyBorder="1" applyAlignment="1">
      <alignment vertical="center"/>
    </xf>
    <xf numFmtId="171" fontId="35" fillId="17" borderId="18" xfId="5" applyNumberFormat="1" applyFont="1" applyFill="1" applyBorder="1" applyAlignment="1">
      <alignment horizontal="center" vertical="center"/>
    </xf>
    <xf numFmtId="171" fontId="83" fillId="22" borderId="13" xfId="4" applyNumberFormat="1" applyFont="1" applyFill="1" applyBorder="1" applyAlignment="1">
      <alignment horizontal="center" vertical="center"/>
    </xf>
    <xf numFmtId="171" fontId="35" fillId="15" borderId="61" xfId="0" applyNumberFormat="1" applyFont="1" applyFill="1" applyBorder="1" applyAlignment="1">
      <alignment horizontal="center" vertical="center"/>
    </xf>
    <xf numFmtId="171" fontId="35" fillId="15" borderId="27" xfId="0" applyNumberFormat="1" applyFont="1" applyFill="1" applyBorder="1" applyAlignment="1">
      <alignment horizontal="center" vertical="center"/>
    </xf>
    <xf numFmtId="171" fontId="35" fillId="13" borderId="18" xfId="0" applyNumberFormat="1" applyFont="1" applyFill="1" applyBorder="1" applyAlignment="1">
      <alignment horizontal="center" vertical="center"/>
    </xf>
    <xf numFmtId="171" fontId="35" fillId="13" borderId="20" xfId="0" applyNumberFormat="1" applyFont="1" applyFill="1" applyBorder="1" applyAlignment="1">
      <alignment horizontal="center" vertical="center"/>
    </xf>
    <xf numFmtId="1" fontId="35" fillId="15" borderId="7" xfId="0" applyNumberFormat="1" applyFont="1" applyFill="1" applyBorder="1" applyAlignment="1">
      <alignment horizontal="center" vertical="center"/>
    </xf>
    <xf numFmtId="1" fontId="35" fillId="13" borderId="19" xfId="0" applyNumberFormat="1" applyFont="1" applyFill="1" applyBorder="1" applyAlignment="1">
      <alignment horizontal="center" vertical="center"/>
    </xf>
    <xf numFmtId="3" fontId="36" fillId="17" borderId="19" xfId="0" applyNumberFormat="1" applyFont="1" applyFill="1" applyBorder="1" applyAlignment="1">
      <alignment horizontal="center" vertical="center"/>
    </xf>
    <xf numFmtId="1" fontId="89" fillId="27" borderId="45" xfId="0" applyNumberFormat="1" applyFont="1" applyFill="1" applyBorder="1" applyAlignment="1">
      <alignment horizontal="center" vertical="center"/>
    </xf>
    <xf numFmtId="169" fontId="72" fillId="27" borderId="10" xfId="0" applyNumberFormat="1" applyFont="1" applyFill="1" applyBorder="1" applyAlignment="1">
      <alignment horizontal="center" vertical="center"/>
    </xf>
    <xf numFmtId="2" fontId="36" fillId="27" borderId="10" xfId="0" applyNumberFormat="1" applyFont="1" applyFill="1" applyBorder="1" applyAlignment="1">
      <alignment horizontal="center" vertical="center"/>
    </xf>
    <xf numFmtId="169" fontId="36" fillId="27" borderId="10" xfId="0" applyNumberFormat="1" applyFont="1" applyFill="1" applyBorder="1" applyAlignment="1">
      <alignment horizontal="center" vertical="center"/>
    </xf>
    <xf numFmtId="1" fontId="36" fillId="27" borderId="10" xfId="0" applyNumberFormat="1" applyFont="1" applyFill="1" applyBorder="1" applyAlignment="1">
      <alignment horizontal="center" vertical="center"/>
    </xf>
    <xf numFmtId="2" fontId="42" fillId="27" borderId="45" xfId="0" applyNumberFormat="1" applyFont="1" applyFill="1" applyBorder="1" applyAlignment="1">
      <alignment horizontal="center" vertical="center"/>
    </xf>
    <xf numFmtId="1" fontId="49" fillId="27" borderId="75" xfId="0" applyNumberFormat="1" applyFont="1" applyFill="1" applyBorder="1" applyAlignment="1">
      <alignment horizontal="center" vertical="center"/>
    </xf>
    <xf numFmtId="2" fontId="49" fillId="27" borderId="58" xfId="0" applyNumberFormat="1" applyFont="1" applyFill="1" applyBorder="1" applyAlignment="1">
      <alignment horizontal="center" vertical="center"/>
    </xf>
    <xf numFmtId="2" fontId="49" fillId="27" borderId="27" xfId="0" applyNumberFormat="1" applyFont="1" applyFill="1" applyBorder="1" applyAlignment="1">
      <alignment horizontal="center" vertical="center"/>
    </xf>
    <xf numFmtId="2" fontId="42" fillId="27" borderId="20" xfId="0" applyNumberFormat="1" applyFont="1" applyFill="1" applyBorder="1" applyAlignment="1">
      <alignment horizontal="center" vertical="center"/>
    </xf>
    <xf numFmtId="2" fontId="49" fillId="27" borderId="10" xfId="0" applyNumberFormat="1" applyFont="1" applyFill="1" applyBorder="1" applyAlignment="1">
      <alignment horizontal="center" vertical="center"/>
    </xf>
    <xf numFmtId="2" fontId="36" fillId="27" borderId="45" xfId="0" applyNumberFormat="1" applyFont="1" applyFill="1" applyBorder="1" applyAlignment="1">
      <alignment horizontal="center" vertical="center"/>
    </xf>
    <xf numFmtId="2" fontId="36" fillId="27" borderId="30" xfId="0" applyNumberFormat="1" applyFont="1" applyFill="1" applyBorder="1" applyAlignment="1">
      <alignment horizontal="center" vertical="center"/>
    </xf>
    <xf numFmtId="1" fontId="36" fillId="27" borderId="30" xfId="0" applyNumberFormat="1" applyFont="1" applyFill="1" applyBorder="1" applyAlignment="1">
      <alignment horizontal="center" vertical="center"/>
    </xf>
    <xf numFmtId="2" fontId="61" fillId="19" borderId="53" xfId="0" applyNumberFormat="1" applyFont="1" applyFill="1" applyBorder="1" applyAlignment="1">
      <alignment horizontal="center" vertical="center"/>
    </xf>
    <xf numFmtId="0" fontId="135" fillId="25" borderId="6" xfId="0" applyFont="1" applyFill="1" applyBorder="1"/>
    <xf numFmtId="2" fontId="138" fillId="0" borderId="3" xfId="0" applyNumberFormat="1" applyFont="1" applyBorder="1" applyAlignment="1">
      <alignment horizontal="center" vertical="center"/>
    </xf>
    <xf numFmtId="169" fontId="138" fillId="21" borderId="52" xfId="0" applyNumberFormat="1" applyFont="1" applyFill="1" applyBorder="1" applyAlignment="1">
      <alignment horizontal="center" vertical="center"/>
    </xf>
    <xf numFmtId="2" fontId="138" fillId="0" borderId="41" xfId="0" applyNumberFormat="1" applyFont="1" applyBorder="1" applyAlignment="1">
      <alignment horizontal="center" vertical="center"/>
    </xf>
    <xf numFmtId="169" fontId="138" fillId="0" borderId="10" xfId="0" applyNumberFormat="1" applyFont="1" applyBorder="1" applyAlignment="1">
      <alignment horizontal="center" vertical="center"/>
    </xf>
    <xf numFmtId="169" fontId="138" fillId="0" borderId="45" xfId="0" applyNumberFormat="1" applyFont="1" applyBorder="1" applyAlignment="1">
      <alignment horizontal="center" vertical="center"/>
    </xf>
    <xf numFmtId="2" fontId="138" fillId="0" borderId="30" xfId="0" applyNumberFormat="1" applyFont="1" applyBorder="1" applyAlignment="1">
      <alignment horizontal="center" vertical="center"/>
    </xf>
    <xf numFmtId="0" fontId="138" fillId="0" borderId="45" xfId="0" applyFont="1" applyBorder="1" applyAlignment="1">
      <alignment horizontal="center" vertical="center"/>
    </xf>
    <xf numFmtId="0" fontId="112" fillId="0" borderId="69" xfId="0" applyFont="1" applyBorder="1" applyAlignment="1">
      <alignment horizontal="center" vertical="center"/>
    </xf>
    <xf numFmtId="1" fontId="111" fillId="0" borderId="41" xfId="0" applyNumberFormat="1" applyFont="1" applyBorder="1" applyAlignment="1">
      <alignment horizontal="center" vertical="center"/>
    </xf>
    <xf numFmtId="0" fontId="111" fillId="0" borderId="10" xfId="0" applyFont="1" applyBorder="1" applyAlignment="1">
      <alignment horizontal="center" vertical="center"/>
    </xf>
    <xf numFmtId="2" fontId="111" fillId="0" borderId="30" xfId="0" applyNumberFormat="1" applyFont="1" applyBorder="1" applyAlignment="1">
      <alignment horizontal="center" vertical="center"/>
    </xf>
    <xf numFmtId="2" fontId="111" fillId="0" borderId="23" xfId="0" applyNumberFormat="1" applyFont="1" applyBorder="1" applyAlignment="1">
      <alignment horizontal="center" vertical="center"/>
    </xf>
    <xf numFmtId="1" fontId="112" fillId="0" borderId="5" xfId="0" applyNumberFormat="1" applyFont="1" applyBorder="1" applyAlignment="1">
      <alignment horizontal="center" vertical="center"/>
    </xf>
    <xf numFmtId="0" fontId="112" fillId="0" borderId="111" xfId="0" applyFont="1" applyBorder="1" applyAlignment="1">
      <alignment horizontal="center" vertical="center"/>
    </xf>
    <xf numFmtId="169" fontId="111" fillId="0" borderId="41" xfId="0" applyNumberFormat="1" applyFont="1" applyBorder="1" applyAlignment="1">
      <alignment horizontal="center" vertical="center"/>
    </xf>
    <xf numFmtId="169" fontId="111" fillId="0" borderId="45" xfId="0" applyNumberFormat="1" applyFont="1" applyBorder="1" applyAlignment="1">
      <alignment horizontal="center" vertical="center"/>
    </xf>
    <xf numFmtId="169" fontId="110" fillId="0" borderId="10" xfId="0" applyNumberFormat="1" applyFont="1" applyBorder="1" applyAlignment="1">
      <alignment horizontal="center" vertical="center"/>
    </xf>
    <xf numFmtId="169" fontId="110" fillId="0" borderId="45" xfId="0" applyNumberFormat="1" applyFont="1" applyBorder="1" applyAlignment="1">
      <alignment horizontal="center" vertical="center"/>
    </xf>
    <xf numFmtId="2" fontId="109" fillId="0" borderId="5" xfId="0" applyNumberFormat="1" applyFont="1" applyBorder="1" applyAlignment="1">
      <alignment horizontal="center" vertical="center"/>
    </xf>
    <xf numFmtId="1" fontId="111" fillId="0" borderId="3" xfId="0" applyNumberFormat="1" applyFont="1" applyBorder="1" applyAlignment="1">
      <alignment horizontal="center" vertical="center"/>
    </xf>
    <xf numFmtId="169" fontId="112" fillId="0" borderId="29" xfId="0" applyNumberFormat="1" applyFont="1" applyBorder="1" applyAlignment="1">
      <alignment horizontal="center" vertical="center"/>
    </xf>
    <xf numFmtId="2" fontId="111" fillId="0" borderId="10" xfId="0" applyNumberFormat="1" applyFont="1" applyBorder="1" applyAlignment="1">
      <alignment horizontal="center" vertical="center"/>
    </xf>
    <xf numFmtId="171" fontId="111" fillId="0" borderId="23" xfId="0" applyNumberFormat="1" applyFont="1" applyBorder="1" applyAlignment="1">
      <alignment horizontal="center" vertical="center"/>
    </xf>
    <xf numFmtId="169" fontId="111" fillId="0" borderId="8" xfId="0" applyNumberFormat="1" applyFont="1" applyBorder="1" applyAlignment="1">
      <alignment horizontal="center" vertical="center"/>
    </xf>
    <xf numFmtId="2" fontId="111" fillId="0" borderId="29" xfId="0" applyNumberFormat="1" applyFont="1" applyBorder="1" applyAlignment="1">
      <alignment horizontal="center" vertical="center"/>
    </xf>
    <xf numFmtId="2" fontId="111" fillId="25" borderId="10" xfId="0" applyNumberFormat="1" applyFont="1" applyFill="1" applyBorder="1" applyAlignment="1">
      <alignment horizontal="center" vertical="center"/>
    </xf>
    <xf numFmtId="2" fontId="111" fillId="0" borderId="5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2" fontId="111" fillId="0" borderId="41" xfId="0" applyNumberFormat="1" applyFont="1" applyBorder="1" applyAlignment="1">
      <alignment horizontal="center" vertical="center"/>
    </xf>
    <xf numFmtId="0" fontId="111" fillId="0" borderId="45" xfId="0" applyFont="1" applyBorder="1" applyAlignment="1">
      <alignment horizontal="center" vertical="center"/>
    </xf>
    <xf numFmtId="0" fontId="112" fillId="0" borderId="26" xfId="0" applyFont="1" applyBorder="1" applyAlignment="1">
      <alignment horizontal="center" vertical="center"/>
    </xf>
    <xf numFmtId="169" fontId="109" fillId="0" borderId="67" xfId="0" applyNumberFormat="1" applyFont="1" applyBorder="1" applyAlignment="1">
      <alignment horizontal="center" vertical="center"/>
    </xf>
    <xf numFmtId="0" fontId="128" fillId="0" borderId="6" xfId="0" applyFont="1" applyBorder="1" applyAlignment="1">
      <alignment horizontal="center" vertical="center"/>
    </xf>
    <xf numFmtId="2" fontId="111" fillId="0" borderId="7" xfId="0" applyNumberFormat="1" applyFont="1" applyBorder="1" applyAlignment="1">
      <alignment horizontal="center" vertical="center"/>
    </xf>
    <xf numFmtId="2" fontId="111" fillId="0" borderId="6" xfId="0" applyNumberFormat="1" applyFont="1" applyBorder="1" applyAlignment="1">
      <alignment horizontal="center" vertical="center"/>
    </xf>
    <xf numFmtId="2" fontId="111" fillId="25" borderId="17" xfId="0" applyNumberFormat="1" applyFont="1" applyFill="1" applyBorder="1" applyAlignment="1">
      <alignment horizontal="center" vertical="center"/>
    </xf>
    <xf numFmtId="2" fontId="6" fillId="0" borderId="67" xfId="0" applyNumberFormat="1" applyFont="1" applyBorder="1" applyAlignment="1">
      <alignment horizontal="center" vertical="center"/>
    </xf>
    <xf numFmtId="2" fontId="111" fillId="0" borderId="66" xfId="0" applyNumberFormat="1" applyFont="1" applyBorder="1" applyAlignment="1">
      <alignment horizontal="center" vertical="center"/>
    </xf>
    <xf numFmtId="169" fontId="111" fillId="0" borderId="65" xfId="0" applyNumberFormat="1" applyFont="1" applyBorder="1" applyAlignment="1">
      <alignment horizontal="center" vertical="center"/>
    </xf>
    <xf numFmtId="0" fontId="111" fillId="0" borderId="65" xfId="0" applyFont="1" applyBorder="1" applyAlignment="1">
      <alignment horizontal="center" vertical="center"/>
    </xf>
    <xf numFmtId="0" fontId="112" fillId="21" borderId="28" xfId="0" applyFont="1" applyFill="1" applyBorder="1" applyAlignment="1">
      <alignment horizontal="center" vertical="center"/>
    </xf>
    <xf numFmtId="0" fontId="111" fillId="21" borderId="17" xfId="0" applyFont="1" applyFill="1" applyBorder="1" applyAlignment="1">
      <alignment horizontal="center" vertical="center"/>
    </xf>
    <xf numFmtId="2" fontId="111" fillId="21" borderId="33" xfId="0" applyNumberFormat="1" applyFont="1" applyFill="1" applyBorder="1" applyAlignment="1">
      <alignment horizontal="center" vertical="center"/>
    </xf>
    <xf numFmtId="1" fontId="112" fillId="21" borderId="11" xfId="0" applyNumberFormat="1" applyFont="1" applyFill="1" applyBorder="1" applyAlignment="1">
      <alignment horizontal="center" vertical="center"/>
    </xf>
    <xf numFmtId="1" fontId="111" fillId="21" borderId="72" xfId="0" applyNumberFormat="1" applyFont="1" applyFill="1" applyBorder="1" applyAlignment="1">
      <alignment horizontal="center" vertical="center"/>
    </xf>
    <xf numFmtId="169" fontId="111" fillId="21" borderId="42" xfId="0" applyNumberFormat="1" applyFont="1" applyFill="1" applyBorder="1" applyAlignment="1">
      <alignment horizontal="center" vertical="center"/>
    </xf>
    <xf numFmtId="169" fontId="110" fillId="21" borderId="17" xfId="0" applyNumberFormat="1" applyFont="1" applyFill="1" applyBorder="1" applyAlignment="1">
      <alignment horizontal="center" vertical="center"/>
    </xf>
    <xf numFmtId="169" fontId="110" fillId="21" borderId="72" xfId="0" applyNumberFormat="1" applyFont="1" applyFill="1" applyBorder="1" applyAlignment="1">
      <alignment horizontal="center" vertical="center"/>
    </xf>
    <xf numFmtId="169" fontId="109" fillId="21" borderId="21" xfId="0" applyNumberFormat="1" applyFont="1" applyFill="1" applyBorder="1" applyAlignment="1">
      <alignment horizontal="center" vertical="center"/>
    </xf>
    <xf numFmtId="169" fontId="110" fillId="21" borderId="53" xfId="0" applyNumberFormat="1" applyFont="1" applyFill="1" applyBorder="1" applyAlignment="1">
      <alignment horizontal="center" vertical="center"/>
    </xf>
    <xf numFmtId="169" fontId="111" fillId="21" borderId="50" xfId="0" applyNumberFormat="1" applyFont="1" applyFill="1" applyBorder="1" applyAlignment="1">
      <alignment horizontal="center" vertical="center"/>
    </xf>
    <xf numFmtId="169" fontId="112" fillId="21" borderId="19" xfId="0" applyNumberFormat="1" applyFont="1" applyFill="1" applyBorder="1" applyAlignment="1">
      <alignment horizontal="center" vertical="center"/>
    </xf>
    <xf numFmtId="0" fontId="111" fillId="0" borderId="39" xfId="0" applyFont="1" applyBorder="1"/>
    <xf numFmtId="2" fontId="111" fillId="21" borderId="11" xfId="0" applyNumberFormat="1" applyFont="1" applyFill="1" applyBorder="1" applyAlignment="1">
      <alignment horizontal="center" vertical="center"/>
    </xf>
    <xf numFmtId="2" fontId="6" fillId="21" borderId="11" xfId="0" applyNumberFormat="1" applyFont="1" applyFill="1" applyBorder="1" applyAlignment="1">
      <alignment horizontal="center" vertical="center"/>
    </xf>
    <xf numFmtId="169" fontId="6" fillId="21" borderId="11" xfId="0" applyNumberFormat="1" applyFont="1" applyFill="1" applyBorder="1" applyAlignment="1">
      <alignment horizontal="center" vertical="center"/>
    </xf>
    <xf numFmtId="2" fontId="111" fillId="21" borderId="42" xfId="0" applyNumberFormat="1" applyFont="1" applyFill="1" applyBorder="1" applyAlignment="1">
      <alignment horizontal="center" vertical="center"/>
    </xf>
    <xf numFmtId="2" fontId="111" fillId="25" borderId="19" xfId="0" applyNumberFormat="1" applyFont="1" applyFill="1" applyBorder="1" applyAlignment="1">
      <alignment horizontal="center" vertical="center"/>
    </xf>
    <xf numFmtId="0" fontId="128" fillId="25" borderId="6" xfId="0" applyFont="1" applyFill="1" applyBorder="1"/>
    <xf numFmtId="2" fontId="111" fillId="25" borderId="7" xfId="0" applyNumberFormat="1" applyFont="1" applyFill="1" applyBorder="1" applyAlignment="1">
      <alignment horizontal="center" vertical="center"/>
    </xf>
    <xf numFmtId="2" fontId="111" fillId="25" borderId="6" xfId="0" applyNumberFormat="1" applyFont="1" applyFill="1" applyBorder="1" applyAlignment="1">
      <alignment horizontal="center" vertical="center"/>
    </xf>
    <xf numFmtId="2" fontId="111" fillId="17" borderId="17" xfId="0" applyNumberFormat="1" applyFont="1" applyFill="1" applyBorder="1" applyAlignment="1">
      <alignment horizontal="center" vertical="center"/>
    </xf>
    <xf numFmtId="0" fontId="112" fillId="19" borderId="28" xfId="0" applyFont="1" applyFill="1" applyBorder="1" applyAlignment="1">
      <alignment horizontal="center" vertical="center"/>
    </xf>
    <xf numFmtId="0" fontId="111" fillId="19" borderId="17" xfId="0" applyFont="1" applyFill="1" applyBorder="1" applyAlignment="1">
      <alignment horizontal="center" vertical="center"/>
    </xf>
    <xf numFmtId="2" fontId="111" fillId="19" borderId="33" xfId="0" applyNumberFormat="1" applyFont="1" applyFill="1" applyBorder="1" applyAlignment="1">
      <alignment horizontal="center" vertical="center"/>
    </xf>
    <xf numFmtId="1" fontId="112" fillId="19" borderId="11" xfId="0" applyNumberFormat="1" applyFont="1" applyFill="1" applyBorder="1" applyAlignment="1">
      <alignment horizontal="center" vertical="center"/>
    </xf>
    <xf numFmtId="1" fontId="111" fillId="19" borderId="72" xfId="0" applyNumberFormat="1" applyFont="1" applyFill="1" applyBorder="1" applyAlignment="1">
      <alignment horizontal="center" vertical="center"/>
    </xf>
    <xf numFmtId="169" fontId="111" fillId="19" borderId="42" xfId="0" applyNumberFormat="1" applyFont="1" applyFill="1" applyBorder="1" applyAlignment="1">
      <alignment horizontal="center" vertical="center"/>
    </xf>
    <xf numFmtId="169" fontId="110" fillId="19" borderId="17" xfId="0" applyNumberFormat="1" applyFont="1" applyFill="1" applyBorder="1" applyAlignment="1">
      <alignment horizontal="center" vertical="center"/>
    </xf>
    <xf numFmtId="169" fontId="110" fillId="19" borderId="72" xfId="0" applyNumberFormat="1" applyFont="1" applyFill="1" applyBorder="1" applyAlignment="1">
      <alignment horizontal="center" vertical="center"/>
    </xf>
    <xf numFmtId="169" fontId="109" fillId="19" borderId="21" xfId="0" applyNumberFormat="1" applyFont="1" applyFill="1" applyBorder="1" applyAlignment="1">
      <alignment horizontal="center" vertical="center"/>
    </xf>
    <xf numFmtId="169" fontId="110" fillId="19" borderId="53" xfId="0" applyNumberFormat="1" applyFont="1" applyFill="1" applyBorder="1" applyAlignment="1">
      <alignment horizontal="center" vertical="center"/>
    </xf>
    <xf numFmtId="1" fontId="111" fillId="19" borderId="61" xfId="0" applyNumberFormat="1" applyFont="1" applyFill="1" applyBorder="1" applyAlignment="1">
      <alignment horizontal="center" vertical="center"/>
    </xf>
    <xf numFmtId="169" fontId="111" fillId="19" borderId="50" xfId="0" applyNumberFormat="1" applyFont="1" applyFill="1" applyBorder="1" applyAlignment="1">
      <alignment horizontal="center" vertical="center"/>
    </xf>
    <xf numFmtId="169" fontId="112" fillId="19" borderId="19" xfId="0" applyNumberFormat="1" applyFont="1" applyFill="1" applyBorder="1" applyAlignment="1">
      <alignment horizontal="center" vertical="center"/>
    </xf>
    <xf numFmtId="2" fontId="111" fillId="19" borderId="19" xfId="0" applyNumberFormat="1" applyFont="1" applyFill="1" applyBorder="1" applyAlignment="1">
      <alignment horizontal="center" vertical="center"/>
    </xf>
    <xf numFmtId="2" fontId="111" fillId="19" borderId="72" xfId="0" applyNumberFormat="1" applyFont="1" applyFill="1" applyBorder="1" applyAlignment="1">
      <alignment horizontal="center" vertical="center"/>
    </xf>
    <xf numFmtId="2" fontId="111" fillId="19" borderId="58" xfId="0" applyNumberFormat="1" applyFont="1" applyFill="1" applyBorder="1" applyAlignment="1">
      <alignment horizontal="center" vertical="center"/>
    </xf>
    <xf numFmtId="169" fontId="111" fillId="19" borderId="33" xfId="0" applyNumberFormat="1" applyFont="1" applyFill="1" applyBorder="1" applyAlignment="1">
      <alignment horizontal="center" vertical="center"/>
    </xf>
    <xf numFmtId="2" fontId="111" fillId="19" borderId="11" xfId="0" applyNumberFormat="1" applyFont="1" applyFill="1" applyBorder="1" applyAlignment="1">
      <alignment horizontal="center" vertical="center"/>
    </xf>
    <xf numFmtId="2" fontId="6" fillId="19" borderId="11" xfId="0" applyNumberFormat="1" applyFont="1" applyFill="1" applyBorder="1" applyAlignment="1">
      <alignment horizontal="center" vertical="center"/>
    </xf>
    <xf numFmtId="169" fontId="6" fillId="19" borderId="11" xfId="0" applyNumberFormat="1" applyFont="1" applyFill="1" applyBorder="1" applyAlignment="1">
      <alignment horizontal="center" vertical="center"/>
    </xf>
    <xf numFmtId="0" fontId="111" fillId="19" borderId="72" xfId="0" applyFont="1" applyFill="1" applyBorder="1" applyAlignment="1">
      <alignment horizontal="center" vertical="center"/>
    </xf>
    <xf numFmtId="0" fontId="112" fillId="0" borderId="28" xfId="0" applyFont="1" applyBorder="1" applyAlignment="1">
      <alignment horizontal="center" vertical="center"/>
    </xf>
    <xf numFmtId="0" fontId="112" fillId="0" borderId="1" xfId="0" applyFont="1" applyBorder="1" applyAlignment="1">
      <alignment horizontal="center" vertical="center"/>
    </xf>
    <xf numFmtId="0" fontId="180" fillId="0" borderId="0" xfId="0" applyFont="1"/>
    <xf numFmtId="1" fontId="138" fillId="21" borderId="17" xfId="0" applyNumberFormat="1" applyFont="1" applyFill="1" applyBorder="1" applyAlignment="1">
      <alignment horizontal="center" vertical="center"/>
    </xf>
    <xf numFmtId="171" fontId="111" fillId="0" borderId="10" xfId="0" applyNumberFormat="1" applyFont="1" applyBorder="1" applyAlignment="1">
      <alignment horizontal="center" vertical="center"/>
    </xf>
    <xf numFmtId="1" fontId="109" fillId="0" borderId="30" xfId="0" applyNumberFormat="1" applyFont="1" applyBorder="1" applyAlignment="1">
      <alignment horizontal="center" vertical="center"/>
    </xf>
    <xf numFmtId="169" fontId="111" fillId="0" borderId="59" xfId="0" applyNumberFormat="1" applyFont="1" applyBorder="1" applyAlignment="1">
      <alignment horizontal="center" vertical="center"/>
    </xf>
    <xf numFmtId="169" fontId="111" fillId="21" borderId="27" xfId="0" applyNumberFormat="1" applyFont="1" applyFill="1" applyBorder="1" applyAlignment="1">
      <alignment horizontal="center" vertical="center"/>
    </xf>
    <xf numFmtId="169" fontId="111" fillId="19" borderId="27" xfId="0" applyNumberFormat="1" applyFont="1" applyFill="1" applyBorder="1" applyAlignment="1">
      <alignment horizontal="center" vertical="center"/>
    </xf>
    <xf numFmtId="1" fontId="111" fillId="25" borderId="17" xfId="0" applyNumberFormat="1" applyFont="1" applyFill="1" applyBorder="1" applyAlignment="1">
      <alignment horizontal="center" vertical="center"/>
    </xf>
    <xf numFmtId="1" fontId="109" fillId="21" borderId="17" xfId="0" applyNumberFormat="1" applyFont="1" applyFill="1" applyBorder="1" applyAlignment="1">
      <alignment horizontal="center" vertical="center"/>
    </xf>
    <xf numFmtId="1" fontId="109" fillId="0" borderId="17" xfId="0" applyNumberFormat="1" applyFont="1" applyBorder="1" applyAlignment="1">
      <alignment horizontal="center" vertical="center"/>
    </xf>
    <xf numFmtId="2" fontId="109" fillId="0" borderId="38" xfId="0" applyNumberFormat="1" applyFont="1" applyBorder="1" applyAlignment="1">
      <alignment horizontal="center" vertical="center"/>
    </xf>
    <xf numFmtId="169" fontId="77" fillId="0" borderId="92" xfId="0" applyNumberFormat="1" applyFont="1" applyBorder="1" applyAlignment="1">
      <alignment horizontal="center" vertical="center"/>
    </xf>
    <xf numFmtId="169" fontId="72" fillId="17" borderId="19" xfId="0" applyNumberFormat="1" applyFont="1" applyFill="1" applyBorder="1" applyAlignment="1">
      <alignment horizontal="center" vertical="center"/>
    </xf>
    <xf numFmtId="41" fontId="34" fillId="25" borderId="29" xfId="0" quotePrefix="1" applyNumberFormat="1" applyFont="1" applyFill="1" applyBorder="1" applyAlignment="1">
      <alignment horizontal="left" vertical="center"/>
    </xf>
    <xf numFmtId="169" fontId="63" fillId="17" borderId="14" xfId="0" applyNumberFormat="1" applyFont="1" applyFill="1" applyBorder="1" applyAlignment="1">
      <alignment horizontal="center" vertical="center"/>
    </xf>
    <xf numFmtId="2" fontId="89" fillId="0" borderId="10" xfId="0" applyNumberFormat="1" applyFont="1" applyBorder="1"/>
    <xf numFmtId="0" fontId="96" fillId="25" borderId="10" xfId="0" applyFont="1" applyFill="1" applyBorder="1"/>
    <xf numFmtId="41" fontId="118" fillId="25" borderId="31" xfId="0" quotePrefix="1" applyNumberFormat="1" applyFont="1" applyFill="1" applyBorder="1" applyAlignment="1">
      <alignment horizontal="left" vertical="center"/>
    </xf>
    <xf numFmtId="0" fontId="19" fillId="25" borderId="34" xfId="0" applyFont="1" applyFill="1" applyBorder="1" applyAlignment="1">
      <alignment horizontal="left" vertical="center"/>
    </xf>
    <xf numFmtId="0" fontId="19" fillId="25" borderId="74" xfId="0" applyFont="1" applyFill="1" applyBorder="1" applyAlignment="1">
      <alignment horizontal="left" vertical="center"/>
    </xf>
    <xf numFmtId="0" fontId="19" fillId="25" borderId="31" xfId="0" applyFont="1" applyFill="1" applyBorder="1" applyAlignment="1">
      <alignment horizontal="left" vertical="center"/>
    </xf>
    <xf numFmtId="0" fontId="19" fillId="25" borderId="9" xfId="0" applyFont="1" applyFill="1" applyBorder="1" applyAlignment="1">
      <alignment horizontal="left" vertical="center"/>
    </xf>
    <xf numFmtId="0" fontId="118" fillId="25" borderId="31" xfId="0" applyFont="1" applyFill="1" applyBorder="1"/>
    <xf numFmtId="3" fontId="36" fillId="17" borderId="10" xfId="0" applyNumberFormat="1" applyFont="1" applyFill="1" applyBorder="1" applyAlignment="1">
      <alignment horizontal="center" vertical="center"/>
    </xf>
    <xf numFmtId="3" fontId="67" fillId="17" borderId="45" xfId="0" applyNumberFormat="1" applyFont="1" applyFill="1" applyBorder="1" applyAlignment="1">
      <alignment horizontal="center" vertical="center"/>
    </xf>
    <xf numFmtId="3" fontId="67" fillId="17" borderId="10" xfId="0" applyNumberFormat="1" applyFont="1" applyFill="1" applyBorder="1" applyAlignment="1">
      <alignment horizontal="center" vertical="center"/>
    </xf>
    <xf numFmtId="3" fontId="36" fillId="17" borderId="45" xfId="0" applyNumberFormat="1" applyFont="1" applyFill="1" applyBorder="1" applyAlignment="1">
      <alignment horizontal="center" vertical="center"/>
    </xf>
    <xf numFmtId="0" fontId="0" fillId="0" borderId="10" xfId="0" applyBorder="1"/>
    <xf numFmtId="174" fontId="50" fillId="14" borderId="12" xfId="0" applyNumberFormat="1" applyFont="1" applyFill="1" applyBorder="1" applyAlignment="1">
      <alignment horizontal="center" vertical="center"/>
    </xf>
    <xf numFmtId="174" fontId="50" fillId="13" borderId="12" xfId="0" applyNumberFormat="1" applyFont="1" applyFill="1" applyBorder="1" applyAlignment="1">
      <alignment horizontal="center" vertical="center"/>
    </xf>
    <xf numFmtId="0" fontId="83" fillId="0" borderId="31" xfId="0" applyFont="1" applyBorder="1" applyAlignment="1">
      <alignment horizontal="left" vertical="center"/>
    </xf>
    <xf numFmtId="175" fontId="0" fillId="0" borderId="0" xfId="25" applyNumberFormat="1" applyFont="1"/>
    <xf numFmtId="169" fontId="57" fillId="0" borderId="0" xfId="0" applyNumberFormat="1" applyFont="1" applyAlignment="1">
      <alignment vertical="top"/>
    </xf>
    <xf numFmtId="171" fontId="49" fillId="17" borderId="70" xfId="0" applyNumberFormat="1" applyFont="1" applyFill="1" applyBorder="1" applyAlignment="1">
      <alignment horizontal="center" vertical="center"/>
    </xf>
    <xf numFmtId="0" fontId="67" fillId="0" borderId="10" xfId="0" applyFont="1" applyBorder="1" applyAlignment="1">
      <alignment vertical="center"/>
    </xf>
    <xf numFmtId="171" fontId="50" fillId="13" borderId="10" xfId="0" applyNumberFormat="1" applyFont="1" applyFill="1" applyBorder="1" applyAlignment="1">
      <alignment horizontal="center" vertical="center"/>
    </xf>
    <xf numFmtId="171" fontId="50" fillId="14" borderId="10" xfId="0" applyNumberFormat="1" applyFont="1" applyFill="1" applyBorder="1" applyAlignment="1">
      <alignment horizontal="center" vertical="center"/>
    </xf>
    <xf numFmtId="171" fontId="50" fillId="15" borderId="10" xfId="0" applyNumberFormat="1" applyFont="1" applyFill="1" applyBorder="1" applyAlignment="1">
      <alignment horizontal="center" vertical="center"/>
    </xf>
    <xf numFmtId="171" fontId="100" fillId="15" borderId="10" xfId="0" applyNumberFormat="1" applyFont="1" applyFill="1" applyBorder="1" applyAlignment="1">
      <alignment horizontal="center" vertical="center"/>
    </xf>
    <xf numFmtId="171" fontId="100" fillId="13" borderId="10" xfId="0" applyNumberFormat="1" applyFont="1" applyFill="1" applyBorder="1" applyAlignment="1">
      <alignment horizontal="center" vertical="center"/>
    </xf>
    <xf numFmtId="41" fontId="34" fillId="25" borderId="29" xfId="0" applyNumberFormat="1" applyFont="1" applyFill="1" applyBorder="1" applyAlignment="1">
      <alignment horizontal="left" vertical="center"/>
    </xf>
    <xf numFmtId="41" fontId="35" fillId="25" borderId="29" xfId="0" quotePrefix="1" applyNumberFormat="1" applyFont="1" applyFill="1" applyBorder="1" applyAlignment="1">
      <alignment horizontal="left" vertical="center"/>
    </xf>
    <xf numFmtId="41" fontId="34" fillId="25" borderId="31" xfId="0" quotePrefix="1" applyNumberFormat="1" applyFont="1" applyFill="1" applyBorder="1" applyAlignment="1">
      <alignment horizontal="left" vertical="center"/>
    </xf>
    <xf numFmtId="41" fontId="34" fillId="25" borderId="38" xfId="0" quotePrefix="1" applyNumberFormat="1" applyFont="1" applyFill="1" applyBorder="1" applyAlignment="1">
      <alignment horizontal="left" vertical="center"/>
    </xf>
    <xf numFmtId="41" fontId="34" fillId="25" borderId="4" xfId="0" applyNumberFormat="1" applyFont="1" applyFill="1" applyBorder="1" applyAlignment="1">
      <alignment horizontal="right" vertical="center"/>
    </xf>
    <xf numFmtId="0" fontId="34" fillId="25" borderId="4" xfId="0" applyFont="1" applyFill="1" applyBorder="1" applyAlignment="1">
      <alignment vertical="center"/>
    </xf>
    <xf numFmtId="0" fontId="34" fillId="25" borderId="31" xfId="0" applyFont="1" applyFill="1" applyBorder="1" applyAlignment="1">
      <alignment vertical="center"/>
    </xf>
    <xf numFmtId="0" fontId="34" fillId="25" borderId="32" xfId="0" applyFont="1" applyFill="1" applyBorder="1" applyAlignment="1">
      <alignment vertical="center"/>
    </xf>
    <xf numFmtId="0" fontId="34" fillId="25" borderId="9" xfId="0" applyFont="1" applyFill="1" applyBorder="1" applyAlignment="1">
      <alignment horizontal="right" vertical="center"/>
    </xf>
    <xf numFmtId="0" fontId="34" fillId="25" borderId="7" xfId="0" quotePrefix="1" applyFont="1" applyFill="1" applyBorder="1" applyAlignment="1">
      <alignment vertical="center"/>
    </xf>
    <xf numFmtId="169" fontId="34" fillId="0" borderId="40" xfId="0" applyNumberFormat="1" applyFont="1" applyBorder="1" applyAlignment="1">
      <alignment vertical="top"/>
    </xf>
    <xf numFmtId="1" fontId="49" fillId="17" borderId="23" xfId="0" applyNumberFormat="1" applyFont="1" applyFill="1" applyBorder="1" applyAlignment="1">
      <alignment horizontal="center" vertical="center"/>
    </xf>
    <xf numFmtId="0" fontId="72" fillId="0" borderId="35" xfId="0" applyFont="1" applyBorder="1" applyAlignment="1">
      <alignment vertical="center"/>
    </xf>
    <xf numFmtId="0" fontId="76" fillId="0" borderId="76" xfId="0" applyFont="1" applyBorder="1" applyAlignment="1">
      <alignment vertical="center"/>
    </xf>
    <xf numFmtId="1" fontId="76" fillId="14" borderId="43" xfId="0" applyNumberFormat="1" applyFont="1" applyFill="1" applyBorder="1" applyAlignment="1">
      <alignment horizontal="center" vertical="center"/>
    </xf>
    <xf numFmtId="0" fontId="72" fillId="0" borderId="10" xfId="0" applyFont="1" applyBorder="1" applyAlignment="1">
      <alignment vertical="center"/>
    </xf>
    <xf numFmtId="1" fontId="89" fillId="14" borderId="10" xfId="0" applyNumberFormat="1" applyFont="1" applyFill="1" applyBorder="1" applyAlignment="1">
      <alignment horizontal="center" vertical="center"/>
    </xf>
    <xf numFmtId="1" fontId="89" fillId="15" borderId="10" xfId="0" applyNumberFormat="1" applyFont="1" applyFill="1" applyBorder="1" applyAlignment="1">
      <alignment horizontal="center" vertical="center"/>
    </xf>
    <xf numFmtId="1" fontId="89" fillId="13" borderId="10" xfId="0" applyNumberFormat="1" applyFont="1" applyFill="1" applyBorder="1" applyAlignment="1">
      <alignment horizontal="center" vertical="center"/>
    </xf>
    <xf numFmtId="1" fontId="89" fillId="14" borderId="45" xfId="0" applyNumberFormat="1" applyFont="1" applyFill="1" applyBorder="1" applyAlignment="1">
      <alignment horizontal="center" vertical="center"/>
    </xf>
    <xf numFmtId="1" fontId="89" fillId="15" borderId="45" xfId="0" applyNumberFormat="1" applyFont="1" applyFill="1" applyBorder="1" applyAlignment="1">
      <alignment horizontal="center" vertical="center"/>
    </xf>
    <xf numFmtId="1" fontId="89" fillId="13" borderId="45" xfId="0" applyNumberFormat="1" applyFont="1" applyFill="1" applyBorder="1" applyAlignment="1">
      <alignment horizontal="center" vertical="center"/>
    </xf>
    <xf numFmtId="1" fontId="89" fillId="2" borderId="70" xfId="0" applyNumberFormat="1" applyFont="1" applyFill="1" applyBorder="1" applyAlignment="1">
      <alignment horizontal="center" vertical="center"/>
    </xf>
    <xf numFmtId="1" fontId="83" fillId="14" borderId="16" xfId="0" applyNumberFormat="1" applyFont="1" applyFill="1" applyBorder="1" applyAlignment="1">
      <alignment horizontal="center" vertical="center"/>
    </xf>
    <xf numFmtId="1" fontId="72" fillId="5" borderId="10" xfId="0" applyNumberFormat="1" applyFont="1" applyFill="1" applyBorder="1" applyAlignment="1">
      <alignment horizontal="center" vertical="center"/>
    </xf>
    <xf numFmtId="1" fontId="72" fillId="3" borderId="10" xfId="0" applyNumberFormat="1" applyFont="1" applyFill="1" applyBorder="1" applyAlignment="1">
      <alignment horizontal="center" vertical="center"/>
    </xf>
    <xf numFmtId="1" fontId="89" fillId="2" borderId="10" xfId="0" applyNumberFormat="1" applyFont="1" applyFill="1" applyBorder="1" applyAlignment="1">
      <alignment horizontal="center" vertical="center"/>
    </xf>
    <xf numFmtId="1" fontId="36" fillId="25" borderId="45" xfId="0" applyNumberFormat="1" applyFont="1" applyFill="1" applyBorder="1" applyAlignment="1">
      <alignment horizontal="center" vertical="center"/>
    </xf>
    <xf numFmtId="1" fontId="34" fillId="13" borderId="10" xfId="0" applyNumberFormat="1" applyFont="1" applyFill="1" applyBorder="1" applyAlignment="1">
      <alignment horizontal="center" vertical="center"/>
    </xf>
    <xf numFmtId="1" fontId="34" fillId="14" borderId="10" xfId="0" applyNumberFormat="1" applyFont="1" applyFill="1" applyBorder="1" applyAlignment="1">
      <alignment horizontal="center" vertical="center"/>
    </xf>
    <xf numFmtId="1" fontId="35" fillId="13" borderId="10" xfId="0" applyNumberFormat="1" applyFont="1" applyFill="1" applyBorder="1" applyAlignment="1">
      <alignment horizontal="center" vertical="center"/>
    </xf>
    <xf numFmtId="1" fontId="35" fillId="2" borderId="10" xfId="0" applyNumberFormat="1" applyFont="1" applyFill="1" applyBorder="1" applyAlignment="1">
      <alignment horizontal="center" vertical="center"/>
    </xf>
    <xf numFmtId="1" fontId="35" fillId="15" borderId="10" xfId="0" applyNumberFormat="1" applyFont="1" applyFill="1" applyBorder="1" applyAlignment="1">
      <alignment horizontal="center" vertical="center"/>
    </xf>
    <xf numFmtId="41" fontId="35" fillId="0" borderId="34" xfId="0" quotePrefix="1" applyNumberFormat="1" applyFont="1" applyBorder="1" applyAlignment="1">
      <alignment horizontal="left" vertical="center"/>
    </xf>
    <xf numFmtId="41" fontId="35" fillId="0" borderId="38" xfId="0" quotePrefix="1" applyNumberFormat="1" applyFont="1" applyBorder="1" applyAlignment="1">
      <alignment horizontal="left" vertical="center"/>
    </xf>
    <xf numFmtId="1" fontId="34" fillId="2" borderId="52" xfId="0" applyNumberFormat="1" applyFont="1" applyFill="1" applyBorder="1" applyAlignment="1">
      <alignment horizontal="center" vertical="center"/>
    </xf>
    <xf numFmtId="1" fontId="34" fillId="5" borderId="19" xfId="0" applyNumberFormat="1" applyFont="1" applyFill="1" applyBorder="1" applyAlignment="1">
      <alignment horizontal="center" vertical="center"/>
    </xf>
    <xf numFmtId="169" fontId="38" fillId="24" borderId="10" xfId="0" applyNumberFormat="1" applyFont="1" applyFill="1" applyBorder="1" applyAlignment="1">
      <alignment horizontal="center" vertical="center"/>
    </xf>
    <xf numFmtId="1" fontId="38" fillId="24" borderId="10" xfId="0" quotePrefix="1" applyNumberFormat="1" applyFont="1" applyFill="1" applyBorder="1" applyAlignment="1">
      <alignment horizontal="center" vertical="center"/>
    </xf>
    <xf numFmtId="171" fontId="36" fillId="0" borderId="59" xfId="0" applyNumberFormat="1" applyFont="1" applyBorder="1" applyAlignment="1">
      <alignment horizontal="center" vertical="center"/>
    </xf>
    <xf numFmtId="0" fontId="36" fillId="0" borderId="4" xfId="0" applyFont="1" applyBorder="1" applyAlignment="1">
      <alignment vertical="center"/>
    </xf>
    <xf numFmtId="169" fontId="36" fillId="25" borderId="10" xfId="0" applyNumberFormat="1" applyFont="1" applyFill="1" applyBorder="1" applyAlignment="1">
      <alignment horizontal="center" vertical="center"/>
    </xf>
    <xf numFmtId="1" fontId="177" fillId="0" borderId="0" xfId="0" applyNumberFormat="1" applyFont="1"/>
    <xf numFmtId="0" fontId="114" fillId="0" borderId="73" xfId="0" applyFont="1" applyBorder="1" applyAlignment="1">
      <alignment horizontal="center" vertical="center"/>
    </xf>
    <xf numFmtId="0" fontId="137" fillId="0" borderId="31" xfId="0" applyFont="1" applyBorder="1" applyAlignment="1">
      <alignment horizontal="right" vertical="center"/>
    </xf>
    <xf numFmtId="0" fontId="137" fillId="0" borderId="17" xfId="0" applyFont="1" applyBorder="1" applyAlignment="1">
      <alignment horizontal="center" vertical="center"/>
    </xf>
    <xf numFmtId="0" fontId="137" fillId="0" borderId="53" xfId="0" applyFont="1" applyBorder="1" applyAlignment="1">
      <alignment horizontal="center" vertical="center"/>
    </xf>
    <xf numFmtId="0" fontId="137" fillId="0" borderId="62" xfId="0" applyFont="1" applyBorder="1" applyAlignment="1">
      <alignment horizontal="right" vertical="center"/>
    </xf>
    <xf numFmtId="0" fontId="137" fillId="0" borderId="72" xfId="0" applyFont="1" applyBorder="1" applyAlignment="1">
      <alignment horizontal="center" vertical="center"/>
    </xf>
    <xf numFmtId="0" fontId="11" fillId="0" borderId="63" xfId="0" applyFont="1" applyBorder="1" applyAlignment="1">
      <alignment horizontal="left" vertical="center" wrapText="1"/>
    </xf>
    <xf numFmtId="0" fontId="137" fillId="0" borderId="42" xfId="0" applyFont="1" applyBorder="1" applyAlignment="1">
      <alignment horizontal="center" vertical="center"/>
    </xf>
    <xf numFmtId="0" fontId="75" fillId="0" borderId="3" xfId="0" quotePrefix="1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 wrapText="1"/>
    </xf>
    <xf numFmtId="0" fontId="75" fillId="0" borderId="29" xfId="0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center" wrapText="1"/>
    </xf>
    <xf numFmtId="0" fontId="137" fillId="0" borderId="33" xfId="0" applyFont="1" applyBorder="1" applyAlignment="1">
      <alignment horizontal="center" vertical="center"/>
    </xf>
    <xf numFmtId="0" fontId="75" fillId="0" borderId="59" xfId="0" applyFont="1" applyBorder="1" applyAlignment="1">
      <alignment horizontal="center" vertical="center"/>
    </xf>
    <xf numFmtId="0" fontId="137" fillId="0" borderId="66" xfId="0" applyFont="1" applyBorder="1" applyAlignment="1">
      <alignment horizontal="center" vertical="center"/>
    </xf>
    <xf numFmtId="0" fontId="75" fillId="19" borderId="63" xfId="0" applyFont="1" applyFill="1" applyBorder="1" applyAlignment="1">
      <alignment horizontal="center" vertical="center" wrapText="1"/>
    </xf>
    <xf numFmtId="0" fontId="137" fillId="0" borderId="37" xfId="0" applyFont="1" applyBorder="1" applyAlignment="1">
      <alignment horizontal="center" vertical="center"/>
    </xf>
    <xf numFmtId="0" fontId="75" fillId="19" borderId="31" xfId="0" applyFont="1" applyFill="1" applyBorder="1" applyAlignment="1">
      <alignment horizontal="center" vertical="center" wrapText="1"/>
    </xf>
    <xf numFmtId="0" fontId="137" fillId="0" borderId="68" xfId="0" applyFont="1" applyBorder="1" applyAlignment="1">
      <alignment horizontal="center" vertical="center"/>
    </xf>
    <xf numFmtId="0" fontId="75" fillId="19" borderId="32" xfId="0" applyFont="1" applyFill="1" applyBorder="1" applyAlignment="1">
      <alignment horizontal="center" vertical="center" wrapText="1"/>
    </xf>
    <xf numFmtId="0" fontId="10" fillId="0" borderId="34" xfId="0" applyFont="1" applyBorder="1" applyAlignment="1">
      <alignment vertical="center"/>
    </xf>
    <xf numFmtId="1" fontId="75" fillId="0" borderId="31" xfId="0" applyNumberFormat="1" applyFont="1" applyBorder="1" applyAlignment="1">
      <alignment horizontal="center" vertical="center"/>
    </xf>
    <xf numFmtId="0" fontId="10" fillId="0" borderId="62" xfId="0" applyFont="1" applyBorder="1" applyAlignment="1">
      <alignment vertical="center"/>
    </xf>
    <xf numFmtId="1" fontId="75" fillId="0" borderId="32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1" fontId="74" fillId="25" borderId="1" xfId="0" applyNumberFormat="1" applyFont="1" applyFill="1" applyBorder="1" applyAlignment="1">
      <alignment horizontal="center" vertical="center"/>
    </xf>
    <xf numFmtId="0" fontId="5" fillId="0" borderId="74" xfId="0" applyFont="1" applyBorder="1" applyAlignment="1">
      <alignment vertical="center"/>
    </xf>
    <xf numFmtId="0" fontId="114" fillId="0" borderId="71" xfId="0" applyFont="1" applyBorder="1" applyAlignment="1">
      <alignment horizontal="center" vertical="center"/>
    </xf>
    <xf numFmtId="0" fontId="74" fillId="0" borderId="55" xfId="0" applyFont="1" applyBorder="1" applyAlignment="1">
      <alignment vertical="center"/>
    </xf>
    <xf numFmtId="0" fontId="11" fillId="0" borderId="6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1" fillId="0" borderId="34" xfId="0" applyFont="1" applyBorder="1" applyAlignment="1">
      <alignment horizontal="left" vertical="center" wrapText="1"/>
    </xf>
    <xf numFmtId="0" fontId="74" fillId="0" borderId="34" xfId="0" applyFont="1" applyBorder="1" applyAlignment="1">
      <alignment horizontal="left" vertical="center" wrapText="1"/>
    </xf>
    <xf numFmtId="0" fontId="74" fillId="0" borderId="62" xfId="0" applyFont="1" applyBorder="1" applyAlignment="1">
      <alignment horizontal="left" vertical="center" wrapText="1"/>
    </xf>
    <xf numFmtId="0" fontId="74" fillId="0" borderId="72" xfId="0" applyFont="1" applyBorder="1" applyAlignment="1">
      <alignment horizontal="center" vertical="center"/>
    </xf>
    <xf numFmtId="0" fontId="11" fillId="0" borderId="74" xfId="0" applyFont="1" applyBorder="1" applyAlignment="1">
      <alignment horizontal="left" vertical="center" wrapText="1"/>
    </xf>
    <xf numFmtId="0" fontId="137" fillId="0" borderId="71" xfId="0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169" fontId="75" fillId="0" borderId="29" xfId="0" applyNumberFormat="1" applyFont="1" applyBorder="1" applyAlignment="1">
      <alignment horizontal="center" vertical="center"/>
    </xf>
    <xf numFmtId="169" fontId="75" fillId="21" borderId="34" xfId="0" applyNumberFormat="1" applyFont="1" applyFill="1" applyBorder="1" applyAlignment="1">
      <alignment horizontal="center" vertical="center"/>
    </xf>
    <xf numFmtId="169" fontId="75" fillId="19" borderId="34" xfId="0" applyNumberFormat="1" applyFont="1" applyFill="1" applyBorder="1" applyAlignment="1">
      <alignment horizontal="center" vertical="center"/>
    </xf>
    <xf numFmtId="169" fontId="75" fillId="25" borderId="29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right" vertical="center"/>
    </xf>
    <xf numFmtId="1" fontId="75" fillId="25" borderId="29" xfId="0" applyNumberFormat="1" applyFont="1" applyFill="1" applyBorder="1" applyAlignment="1">
      <alignment horizontal="center" vertical="center"/>
    </xf>
    <xf numFmtId="1" fontId="75" fillId="19" borderId="29" xfId="0" applyNumberFormat="1" applyFont="1" applyFill="1" applyBorder="1" applyAlignment="1">
      <alignment horizontal="center" vertical="center"/>
    </xf>
    <xf numFmtId="1" fontId="75" fillId="25" borderId="29" xfId="0" quotePrefix="1" applyNumberFormat="1" applyFont="1" applyFill="1" applyBorder="1" applyAlignment="1">
      <alignment horizontal="center" vertical="center"/>
    </xf>
    <xf numFmtId="169" fontId="75" fillId="0" borderId="34" xfId="0" applyNumberFormat="1" applyFont="1" applyBorder="1" applyAlignment="1">
      <alignment horizontal="center" vertical="center"/>
    </xf>
    <xf numFmtId="169" fontId="75" fillId="21" borderId="29" xfId="0" applyNumberFormat="1" applyFont="1" applyFill="1" applyBorder="1" applyAlignment="1">
      <alignment horizontal="center" vertical="center"/>
    </xf>
    <xf numFmtId="169" fontId="75" fillId="19" borderId="29" xfId="0" applyNumberFormat="1" applyFont="1" applyFill="1" applyBorder="1" applyAlignment="1">
      <alignment horizontal="center" vertical="center"/>
    </xf>
    <xf numFmtId="169" fontId="75" fillId="0" borderId="31" xfId="0" applyNumberFormat="1" applyFont="1" applyBorder="1" applyAlignment="1">
      <alignment horizontal="center" vertical="center"/>
    </xf>
    <xf numFmtId="169" fontId="75" fillId="25" borderId="31" xfId="0" applyNumberFormat="1" applyFont="1" applyFill="1" applyBorder="1" applyAlignment="1">
      <alignment horizontal="center" vertical="center"/>
    </xf>
    <xf numFmtId="2" fontId="75" fillId="19" borderId="29" xfId="0" applyNumberFormat="1" applyFont="1" applyFill="1" applyBorder="1" applyAlignment="1">
      <alignment horizontal="center" vertical="center"/>
    </xf>
    <xf numFmtId="2" fontId="75" fillId="21" borderId="29" xfId="0" applyNumberFormat="1" applyFont="1" applyFill="1" applyBorder="1" applyAlignment="1">
      <alignment horizontal="center" vertical="center"/>
    </xf>
    <xf numFmtId="1" fontId="75" fillId="25" borderId="31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left" vertical="center"/>
    </xf>
    <xf numFmtId="0" fontId="10" fillId="0" borderId="62" xfId="0" applyFont="1" applyBorder="1" applyAlignment="1">
      <alignment horizontal="left" vertical="center"/>
    </xf>
    <xf numFmtId="0" fontId="75" fillId="0" borderId="6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0" fillId="0" borderId="63" xfId="0" applyFont="1" applyBorder="1" applyAlignment="1">
      <alignment horizontal="left" vertical="center"/>
    </xf>
    <xf numFmtId="1" fontId="75" fillId="0" borderId="3" xfId="0" applyNumberFormat="1" applyFont="1" applyBorder="1" applyAlignment="1">
      <alignment horizontal="center" vertical="center"/>
    </xf>
    <xf numFmtId="1" fontId="75" fillId="21" borderId="3" xfId="0" applyNumberFormat="1" applyFont="1" applyFill="1" applyBorder="1" applyAlignment="1">
      <alignment horizontal="center" vertical="center"/>
    </xf>
    <xf numFmtId="1" fontId="75" fillId="19" borderId="3" xfId="0" applyNumberFormat="1" applyFont="1" applyFill="1" applyBorder="1" applyAlignment="1">
      <alignment horizontal="center" vertical="center"/>
    </xf>
    <xf numFmtId="1" fontId="75" fillId="19" borderId="63" xfId="0" applyNumberFormat="1" applyFont="1" applyFill="1" applyBorder="1" applyAlignment="1">
      <alignment horizontal="center" vertical="center"/>
    </xf>
    <xf numFmtId="0" fontId="75" fillId="19" borderId="29" xfId="0" applyFont="1" applyFill="1" applyBorder="1" applyAlignment="1">
      <alignment horizontal="center" vertical="center"/>
    </xf>
    <xf numFmtId="0" fontId="75" fillId="21" borderId="29" xfId="0" applyFont="1" applyFill="1" applyBorder="1" applyAlignment="1">
      <alignment horizontal="center" vertical="center"/>
    </xf>
    <xf numFmtId="171" fontId="75" fillId="21" borderId="29" xfId="0" applyNumberFormat="1" applyFont="1" applyFill="1" applyBorder="1" applyAlignment="1">
      <alignment horizontal="center" vertical="center"/>
    </xf>
    <xf numFmtId="171" fontId="75" fillId="19" borderId="29" xfId="0" applyNumberFormat="1" applyFont="1" applyFill="1" applyBorder="1" applyAlignment="1">
      <alignment horizontal="center" vertical="center"/>
    </xf>
    <xf numFmtId="171" fontId="75" fillId="21" borderId="36" xfId="0" applyNumberFormat="1" applyFont="1" applyFill="1" applyBorder="1" applyAlignment="1">
      <alignment horizontal="center" vertical="center"/>
    </xf>
    <xf numFmtId="171" fontId="75" fillId="19" borderId="36" xfId="0" applyNumberFormat="1" applyFont="1" applyFill="1" applyBorder="1" applyAlignment="1">
      <alignment horizontal="center" vertical="center"/>
    </xf>
    <xf numFmtId="0" fontId="10" fillId="25" borderId="62" xfId="0" applyFont="1" applyFill="1" applyBorder="1" applyAlignment="1">
      <alignment vertical="center"/>
    </xf>
    <xf numFmtId="0" fontId="52" fillId="0" borderId="72" xfId="0" applyFont="1" applyBorder="1" applyAlignment="1">
      <alignment horizontal="center" vertical="center"/>
    </xf>
    <xf numFmtId="0" fontId="10" fillId="25" borderId="32" xfId="0" applyFont="1" applyFill="1" applyBorder="1" applyAlignment="1">
      <alignment vertical="center"/>
    </xf>
    <xf numFmtId="0" fontId="52" fillId="0" borderId="33" xfId="0" applyFont="1" applyBorder="1" applyAlignment="1">
      <alignment horizontal="center" vertical="center"/>
    </xf>
    <xf numFmtId="2" fontId="75" fillId="25" borderId="59" xfId="0" applyNumberFormat="1" applyFont="1" applyFill="1" applyBorder="1" applyAlignment="1">
      <alignment horizontal="center" vertical="center"/>
    </xf>
    <xf numFmtId="0" fontId="6" fillId="0" borderId="63" xfId="0" applyFont="1" applyBorder="1" applyAlignment="1">
      <alignment horizontal="right" vertical="center"/>
    </xf>
    <xf numFmtId="0" fontId="114" fillId="0" borderId="42" xfId="0" applyFont="1" applyBorder="1" applyAlignment="1">
      <alignment horizontal="center" vertical="center"/>
    </xf>
    <xf numFmtId="0" fontId="6" fillId="0" borderId="31" xfId="0" applyFont="1" applyBorder="1" applyAlignment="1">
      <alignment horizontal="right" vertical="center"/>
    </xf>
    <xf numFmtId="0" fontId="114" fillId="0" borderId="17" xfId="0" applyFont="1" applyBorder="1" applyAlignment="1">
      <alignment horizontal="center" vertical="center"/>
    </xf>
    <xf numFmtId="0" fontId="6" fillId="0" borderId="9" xfId="0" applyFont="1" applyBorder="1" applyAlignment="1">
      <alignment horizontal="right" vertical="center"/>
    </xf>
    <xf numFmtId="0" fontId="74" fillId="21" borderId="3" xfId="0" applyFont="1" applyFill="1" applyBorder="1" applyAlignment="1">
      <alignment horizontal="center" vertical="center"/>
    </xf>
    <xf numFmtId="0" fontId="74" fillId="19" borderId="3" xfId="0" applyFont="1" applyFill="1" applyBorder="1" applyAlignment="1">
      <alignment horizontal="center" vertical="center"/>
    </xf>
    <xf numFmtId="0" fontId="74" fillId="21" borderId="29" xfId="0" applyFont="1" applyFill="1" applyBorder="1" applyAlignment="1">
      <alignment horizontal="center" vertical="center"/>
    </xf>
    <xf numFmtId="0" fontId="74" fillId="19" borderId="29" xfId="0" applyFont="1" applyFill="1" applyBorder="1" applyAlignment="1">
      <alignment horizontal="center" vertical="center"/>
    </xf>
    <xf numFmtId="0" fontId="74" fillId="0" borderId="69" xfId="0" applyFont="1" applyBorder="1" applyAlignment="1">
      <alignment horizontal="center" vertical="center"/>
    </xf>
    <xf numFmtId="0" fontId="74" fillId="21" borderId="69" xfId="0" applyFont="1" applyFill="1" applyBorder="1" applyAlignment="1">
      <alignment horizontal="center" vertical="center"/>
    </xf>
    <xf numFmtId="0" fontId="10" fillId="0" borderId="63" xfId="0" applyFont="1" applyBorder="1"/>
    <xf numFmtId="0" fontId="137" fillId="0" borderId="41" xfId="0" applyFont="1" applyBorder="1" applyAlignment="1">
      <alignment horizontal="center" vertical="center"/>
    </xf>
    <xf numFmtId="0" fontId="75" fillId="0" borderId="92" xfId="0" applyFont="1" applyBorder="1" applyAlignment="1">
      <alignment vertical="center"/>
    </xf>
    <xf numFmtId="0" fontId="10" fillId="0" borderId="31" xfId="0" applyFont="1" applyBorder="1"/>
    <xf numFmtId="0" fontId="137" fillId="0" borderId="10" xfId="0" applyFont="1" applyBorder="1" applyAlignment="1">
      <alignment horizontal="center" vertical="center"/>
    </xf>
    <xf numFmtId="0" fontId="75" fillId="0" borderId="46" xfId="0" applyFont="1" applyBorder="1" applyAlignment="1">
      <alignment vertical="center"/>
    </xf>
    <xf numFmtId="1" fontId="137" fillId="0" borderId="37" xfId="0" applyNumberFormat="1" applyFont="1" applyBorder="1" applyAlignment="1">
      <alignment horizontal="center" vertical="center"/>
    </xf>
    <xf numFmtId="0" fontId="10" fillId="0" borderId="32" xfId="0" applyFont="1" applyBorder="1"/>
    <xf numFmtId="0" fontId="137" fillId="0" borderId="23" xfId="0" applyFont="1" applyBorder="1" applyAlignment="1">
      <alignment horizontal="center" vertical="center"/>
    </xf>
    <xf numFmtId="0" fontId="75" fillId="0" borderId="14" xfId="0" applyFont="1" applyBorder="1" applyAlignment="1">
      <alignment vertical="center"/>
    </xf>
    <xf numFmtId="169" fontId="72" fillId="5" borderId="20" xfId="0" applyNumberFormat="1" applyFont="1" applyFill="1" applyBorder="1" applyAlignment="1">
      <alignment horizontal="center" vertical="center"/>
    </xf>
    <xf numFmtId="169" fontId="72" fillId="3" borderId="20" xfId="0" applyNumberFormat="1" applyFont="1" applyFill="1" applyBorder="1" applyAlignment="1">
      <alignment horizontal="center" vertical="center"/>
    </xf>
    <xf numFmtId="169" fontId="201" fillId="0" borderId="0" xfId="0" applyNumberFormat="1" applyFont="1" applyAlignment="1">
      <alignment horizontal="center" vertical="center"/>
    </xf>
    <xf numFmtId="169" fontId="69" fillId="0" borderId="0" xfId="0" applyNumberFormat="1" applyFont="1" applyAlignment="1">
      <alignment horizontal="center" vertical="center"/>
    </xf>
    <xf numFmtId="1" fontId="201" fillId="0" borderId="0" xfId="0" applyNumberFormat="1" applyFont="1" applyAlignment="1">
      <alignment horizontal="center" vertical="center"/>
    </xf>
    <xf numFmtId="1" fontId="69" fillId="0" borderId="0" xfId="0" applyNumberFormat="1" applyFont="1" applyAlignment="1">
      <alignment horizontal="center" vertical="center"/>
    </xf>
    <xf numFmtId="0" fontId="114" fillId="25" borderId="2" xfId="0" applyFont="1" applyFill="1" applyBorder="1" applyAlignment="1">
      <alignment vertical="center"/>
    </xf>
    <xf numFmtId="0" fontId="114" fillId="25" borderId="39" xfId="0" applyFont="1" applyFill="1" applyBorder="1" applyAlignment="1">
      <alignment horizontal="center" vertical="center"/>
    </xf>
    <xf numFmtId="0" fontId="74" fillId="25" borderId="39" xfId="0" applyFont="1" applyFill="1" applyBorder="1" applyAlignment="1">
      <alignment horizontal="center" vertical="center"/>
    </xf>
    <xf numFmtId="0" fontId="6" fillId="25" borderId="111" xfId="0" applyFont="1" applyFill="1" applyBorder="1" applyAlignment="1">
      <alignment horizontal="center" vertical="center"/>
    </xf>
    <xf numFmtId="0" fontId="6" fillId="25" borderId="39" xfId="0" applyFont="1" applyFill="1" applyBorder="1" applyAlignment="1">
      <alignment horizontal="center" vertical="center"/>
    </xf>
    <xf numFmtId="0" fontId="74" fillId="25" borderId="39" xfId="0" applyFont="1" applyFill="1" applyBorder="1" applyAlignment="1">
      <alignment vertical="center"/>
    </xf>
    <xf numFmtId="0" fontId="6" fillId="25" borderId="39" xfId="0" applyFont="1" applyFill="1" applyBorder="1" applyAlignment="1">
      <alignment vertical="center"/>
    </xf>
    <xf numFmtId="0" fontId="54" fillId="0" borderId="63" xfId="0" applyFont="1" applyBorder="1" applyAlignment="1">
      <alignment vertical="center"/>
    </xf>
    <xf numFmtId="0" fontId="75" fillId="21" borderId="62" xfId="0" applyFont="1" applyFill="1" applyBorder="1" applyAlignment="1">
      <alignment horizontal="center" vertical="center"/>
    </xf>
    <xf numFmtId="0" fontId="119" fillId="0" borderId="10" xfId="0" applyFont="1" applyBorder="1" applyAlignment="1">
      <alignment horizontal="center" vertical="center"/>
    </xf>
    <xf numFmtId="169" fontId="119" fillId="0" borderId="10" xfId="0" applyNumberFormat="1" applyFont="1" applyBorder="1" applyAlignment="1">
      <alignment horizontal="center" vertical="center"/>
    </xf>
    <xf numFmtId="0" fontId="114" fillId="0" borderId="28" xfId="0" applyFont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19" fillId="21" borderId="10" xfId="0" applyFont="1" applyFill="1" applyBorder="1" applyAlignment="1">
      <alignment horizontal="center" vertical="center"/>
    </xf>
    <xf numFmtId="0" fontId="119" fillId="21" borderId="10" xfId="0" applyFont="1" applyFill="1" applyBorder="1" applyAlignment="1">
      <alignment horizontal="center"/>
    </xf>
    <xf numFmtId="0" fontId="119" fillId="0" borderId="10" xfId="0" applyFont="1" applyBorder="1" applyAlignment="1">
      <alignment horizontal="center"/>
    </xf>
    <xf numFmtId="0" fontId="114" fillId="19" borderId="28" xfId="0" applyFont="1" applyFill="1" applyBorder="1" applyAlignment="1">
      <alignment horizontal="center" vertical="center"/>
    </xf>
    <xf numFmtId="0" fontId="119" fillId="19" borderId="10" xfId="0" applyFont="1" applyFill="1" applyBorder="1" applyAlignment="1">
      <alignment horizontal="center" vertical="center"/>
    </xf>
    <xf numFmtId="0" fontId="119" fillId="19" borderId="10" xfId="0" applyFont="1" applyFill="1" applyBorder="1" applyAlignment="1">
      <alignment horizontal="center"/>
    </xf>
    <xf numFmtId="169" fontId="119" fillId="21" borderId="10" xfId="0" applyNumberFormat="1" applyFont="1" applyFill="1" applyBorder="1" applyAlignment="1">
      <alignment horizontal="center" vertical="center"/>
    </xf>
    <xf numFmtId="0" fontId="137" fillId="21" borderId="33" xfId="0" quotePrefix="1" applyFont="1" applyFill="1" applyBorder="1" applyAlignment="1">
      <alignment horizontal="left" vertical="center" wrapText="1"/>
    </xf>
    <xf numFmtId="0" fontId="137" fillId="25" borderId="17" xfId="0" quotePrefix="1" applyFont="1" applyFill="1" applyBorder="1" applyAlignment="1">
      <alignment horizontal="left" vertical="center" wrapText="1"/>
    </xf>
    <xf numFmtId="0" fontId="137" fillId="25" borderId="33" xfId="0" quotePrefix="1" applyFont="1" applyFill="1" applyBorder="1" applyAlignment="1">
      <alignment horizontal="left" vertical="center" wrapText="1"/>
    </xf>
    <xf numFmtId="0" fontId="137" fillId="21" borderId="17" xfId="0" quotePrefix="1" applyFont="1" applyFill="1" applyBorder="1" applyAlignment="1">
      <alignment horizontal="left" vertical="center" wrapText="1"/>
    </xf>
    <xf numFmtId="0" fontId="137" fillId="21" borderId="42" xfId="0" applyFont="1" applyFill="1" applyBorder="1" applyAlignment="1">
      <alignment horizontal="left" vertical="center" wrapText="1"/>
    </xf>
    <xf numFmtId="0" fontId="114" fillId="0" borderId="4" xfId="0" applyFont="1" applyBorder="1" applyAlignment="1">
      <alignment horizontal="center" vertical="center"/>
    </xf>
    <xf numFmtId="0" fontId="114" fillId="0" borderId="1" xfId="0" applyFont="1" applyBorder="1" applyAlignment="1">
      <alignment horizontal="left" vertical="center"/>
    </xf>
    <xf numFmtId="0" fontId="72" fillId="25" borderId="40" xfId="0" quotePrefix="1" applyFont="1" applyFill="1" applyBorder="1" applyAlignment="1">
      <alignment vertical="center"/>
    </xf>
    <xf numFmtId="0" fontId="178" fillId="25" borderId="70" xfId="0" applyFont="1" applyFill="1" applyBorder="1"/>
    <xf numFmtId="0" fontId="101" fillId="25" borderId="6" xfId="0" applyFont="1" applyFill="1" applyBorder="1"/>
    <xf numFmtId="0" fontId="101" fillId="25" borderId="29" xfId="0" applyFont="1" applyFill="1" applyBorder="1"/>
    <xf numFmtId="0" fontId="178" fillId="25" borderId="47" xfId="0" applyFont="1" applyFill="1" applyBorder="1"/>
    <xf numFmtId="2" fontId="89" fillId="25" borderId="6" xfId="0" applyNumberFormat="1" applyFont="1" applyFill="1" applyBorder="1" applyAlignment="1">
      <alignment horizontal="center"/>
    </xf>
    <xf numFmtId="2" fontId="89" fillId="25" borderId="6" xfId="0" applyNumberFormat="1" applyFont="1" applyFill="1" applyBorder="1"/>
    <xf numFmtId="169" fontId="72" fillId="25" borderId="6" xfId="0" applyNumberFormat="1" applyFont="1" applyFill="1" applyBorder="1" applyAlignment="1">
      <alignment vertical="center"/>
    </xf>
    <xf numFmtId="0" fontId="178" fillId="25" borderId="47" xfId="0" applyFont="1" applyFill="1" applyBorder="1" applyAlignment="1">
      <alignment horizontal="left"/>
    </xf>
    <xf numFmtId="1" fontId="89" fillId="25" borderId="6" xfId="0" applyNumberFormat="1" applyFont="1" applyFill="1" applyBorder="1" applyAlignment="1">
      <alignment vertical="center"/>
    </xf>
    <xf numFmtId="2" fontId="89" fillId="25" borderId="6" xfId="0" applyNumberFormat="1" applyFont="1" applyFill="1" applyBorder="1" applyAlignment="1">
      <alignment vertical="center"/>
    </xf>
    <xf numFmtId="2" fontId="72" fillId="25" borderId="22" xfId="0" applyNumberFormat="1" applyFont="1" applyFill="1" applyBorder="1" applyAlignment="1">
      <alignment horizontal="center" vertical="center"/>
    </xf>
    <xf numFmtId="2" fontId="72" fillId="13" borderId="50" xfId="0" applyNumberFormat="1" applyFont="1" applyFill="1" applyBorder="1" applyAlignment="1">
      <alignment horizontal="center" vertical="center"/>
    </xf>
    <xf numFmtId="0" fontId="96" fillId="25" borderId="47" xfId="0" applyFont="1" applyFill="1" applyBorder="1"/>
    <xf numFmtId="169" fontId="49" fillId="17" borderId="30" xfId="0" applyNumberFormat="1" applyFont="1" applyFill="1" applyBorder="1" applyAlignment="1">
      <alignment horizontal="center" vertical="center"/>
    </xf>
    <xf numFmtId="1" fontId="17" fillId="0" borderId="6" xfId="0" applyNumberFormat="1" applyFont="1" applyBorder="1"/>
    <xf numFmtId="169" fontId="36" fillId="17" borderId="20" xfId="0" quotePrefix="1" applyNumberFormat="1" applyFont="1" applyFill="1" applyBorder="1" applyAlignment="1">
      <alignment horizontal="center" vertical="center"/>
    </xf>
    <xf numFmtId="1" fontId="138" fillId="21" borderId="74" xfId="0" quotePrefix="1" applyNumberFormat="1" applyFont="1" applyFill="1" applyBorder="1" applyAlignment="1">
      <alignment horizontal="center" vertical="center"/>
    </xf>
    <xf numFmtId="1" fontId="138" fillId="19" borderId="17" xfId="0" applyNumberFormat="1" applyFont="1" applyFill="1" applyBorder="1" applyAlignment="1">
      <alignment horizontal="center" vertical="center"/>
    </xf>
    <xf numFmtId="2" fontId="138" fillId="19" borderId="47" xfId="0" applyNumberFormat="1" applyFont="1" applyFill="1" applyBorder="1" applyAlignment="1">
      <alignment horizontal="center" vertical="center"/>
    </xf>
    <xf numFmtId="0" fontId="138" fillId="19" borderId="38" xfId="0" applyFont="1" applyFill="1" applyBorder="1" applyAlignment="1">
      <alignment horizontal="center" vertical="center"/>
    </xf>
    <xf numFmtId="1" fontId="134" fillId="19" borderId="1" xfId="0" quotePrefix="1" applyNumberFormat="1" applyFont="1" applyFill="1" applyBorder="1" applyAlignment="1">
      <alignment horizontal="center" vertical="center"/>
    </xf>
    <xf numFmtId="171" fontId="112" fillId="0" borderId="30" xfId="0" applyNumberFormat="1" applyFont="1" applyBorder="1" applyAlignment="1">
      <alignment horizontal="center" vertical="center"/>
    </xf>
    <xf numFmtId="169" fontId="111" fillId="25" borderId="10" xfId="0" applyNumberFormat="1" applyFont="1" applyFill="1" applyBorder="1" applyAlignment="1">
      <alignment horizontal="center" vertical="center"/>
    </xf>
    <xf numFmtId="169" fontId="111" fillId="25" borderId="23" xfId="0" applyNumberFormat="1" applyFont="1" applyFill="1" applyBorder="1" applyAlignment="1">
      <alignment horizontal="center" vertical="center"/>
    </xf>
    <xf numFmtId="2" fontId="111" fillId="25" borderId="41" xfId="0" applyNumberFormat="1" applyFont="1" applyFill="1" applyBorder="1" applyAlignment="1">
      <alignment horizontal="center" vertical="center"/>
    </xf>
    <xf numFmtId="2" fontId="111" fillId="25" borderId="30" xfId="0" applyNumberFormat="1" applyFont="1" applyFill="1" applyBorder="1" applyAlignment="1">
      <alignment horizontal="center" vertical="center"/>
    </xf>
    <xf numFmtId="0" fontId="109" fillId="21" borderId="53" xfId="0" applyFont="1" applyFill="1" applyBorder="1" applyAlignment="1">
      <alignment horizontal="center" vertical="center"/>
    </xf>
    <xf numFmtId="0" fontId="111" fillId="21" borderId="42" xfId="0" applyFont="1" applyFill="1" applyBorder="1" applyAlignment="1">
      <alignment horizontal="center" vertical="center"/>
    </xf>
    <xf numFmtId="171" fontId="112" fillId="21" borderId="50" xfId="0" applyNumberFormat="1" applyFont="1" applyFill="1" applyBorder="1" applyAlignment="1">
      <alignment horizontal="center" vertical="center"/>
    </xf>
    <xf numFmtId="171" fontId="111" fillId="21" borderId="19" xfId="0" applyNumberFormat="1" applyFont="1" applyFill="1" applyBorder="1" applyAlignment="1">
      <alignment horizontal="center" vertical="center"/>
    </xf>
    <xf numFmtId="0" fontId="111" fillId="0" borderId="33" xfId="0" applyFont="1" applyBorder="1" applyAlignment="1">
      <alignment horizontal="center" vertical="center"/>
    </xf>
    <xf numFmtId="2" fontId="112" fillId="0" borderId="11" xfId="0" applyNumberFormat="1" applyFont="1" applyBorder="1" applyAlignment="1">
      <alignment horizontal="center" vertical="center"/>
    </xf>
    <xf numFmtId="0" fontId="109" fillId="19" borderId="53" xfId="0" applyFont="1" applyFill="1" applyBorder="1" applyAlignment="1">
      <alignment horizontal="center" vertical="center"/>
    </xf>
    <xf numFmtId="171" fontId="112" fillId="19" borderId="50" xfId="0" applyNumberFormat="1" applyFont="1" applyFill="1" applyBorder="1" applyAlignment="1">
      <alignment horizontal="center" vertical="center"/>
    </xf>
    <xf numFmtId="2" fontId="112" fillId="19" borderId="53" xfId="0" applyNumberFormat="1" applyFont="1" applyFill="1" applyBorder="1" applyAlignment="1">
      <alignment horizontal="center" vertical="center"/>
    </xf>
    <xf numFmtId="171" fontId="111" fillId="19" borderId="19" xfId="0" applyNumberFormat="1" applyFont="1" applyFill="1" applyBorder="1" applyAlignment="1">
      <alignment horizontal="center" vertical="center"/>
    </xf>
    <xf numFmtId="1" fontId="111" fillId="21" borderId="73" xfId="0" applyNumberFormat="1" applyFont="1" applyFill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0" fontId="6" fillId="0" borderId="53" xfId="0" applyFont="1" applyBorder="1" applyAlignment="1">
      <alignment horizontal="center" vertical="center"/>
    </xf>
    <xf numFmtId="1" fontId="76" fillId="17" borderId="21" xfId="0" applyNumberFormat="1" applyFont="1" applyFill="1" applyBorder="1" applyAlignment="1">
      <alignment horizontal="center" vertical="center"/>
    </xf>
    <xf numFmtId="172" fontId="138" fillId="21" borderId="31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1" fontId="72" fillId="17" borderId="10" xfId="0" quotePrefix="1" applyNumberFormat="1" applyFont="1" applyFill="1" applyBorder="1" applyAlignment="1">
      <alignment horizontal="center" vertical="center"/>
    </xf>
    <xf numFmtId="1" fontId="72" fillId="13" borderId="45" xfId="0" applyNumberFormat="1" applyFont="1" applyFill="1" applyBorder="1" applyAlignment="1">
      <alignment horizontal="center" vertical="center"/>
    </xf>
    <xf numFmtId="1" fontId="72" fillId="14" borderId="45" xfId="0" applyNumberFormat="1" applyFont="1" applyFill="1" applyBorder="1" applyAlignment="1">
      <alignment horizontal="center" vertical="center"/>
    </xf>
    <xf numFmtId="1" fontId="72" fillId="17" borderId="111" xfId="0" applyNumberFormat="1" applyFont="1" applyFill="1" applyBorder="1" applyAlignment="1">
      <alignment horizontal="center" vertical="center"/>
    </xf>
    <xf numFmtId="1" fontId="72" fillId="13" borderId="10" xfId="0" applyNumberFormat="1" applyFont="1" applyFill="1" applyBorder="1" applyAlignment="1">
      <alignment horizontal="center" vertical="center"/>
    </xf>
    <xf numFmtId="1" fontId="72" fillId="14" borderId="10" xfId="0" applyNumberFormat="1" applyFont="1" applyFill="1" applyBorder="1" applyAlignment="1">
      <alignment horizontal="center" vertical="center"/>
    </xf>
    <xf numFmtId="1" fontId="89" fillId="13" borderId="53" xfId="0" applyNumberFormat="1" applyFont="1" applyFill="1" applyBorder="1" applyAlignment="1">
      <alignment horizontal="center" vertical="center"/>
    </xf>
    <xf numFmtId="1" fontId="89" fillId="2" borderId="71" xfId="0" applyNumberFormat="1" applyFont="1" applyFill="1" applyBorder="1" applyAlignment="1">
      <alignment horizontal="center" vertical="center"/>
    </xf>
    <xf numFmtId="1" fontId="89" fillId="17" borderId="10" xfId="0" quotePrefix="1" applyNumberFormat="1" applyFont="1" applyFill="1" applyBorder="1" applyAlignment="1">
      <alignment horizontal="center" vertical="center"/>
    </xf>
    <xf numFmtId="1" fontId="96" fillId="25" borderId="6" xfId="0" applyNumberFormat="1" applyFont="1" applyFill="1" applyBorder="1"/>
    <xf numFmtId="0" fontId="54" fillId="0" borderId="25" xfId="0" applyFont="1" applyBorder="1"/>
    <xf numFmtId="0" fontId="68" fillId="0" borderId="13" xfId="0" applyFont="1" applyBorder="1" applyAlignment="1">
      <alignment horizontal="center" vertical="center"/>
    </xf>
    <xf numFmtId="0" fontId="79" fillId="0" borderId="34" xfId="0" quotePrefix="1" applyFont="1" applyBorder="1" applyAlignment="1">
      <alignment horizontal="right" vertical="center"/>
    </xf>
    <xf numFmtId="0" fontId="0" fillId="0" borderId="0" xfId="0"/>
    <xf numFmtId="1" fontId="76" fillId="25" borderId="52" xfId="0" applyNumberFormat="1" applyFont="1" applyFill="1" applyBorder="1" applyAlignment="1">
      <alignment vertical="center"/>
    </xf>
    <xf numFmtId="1" fontId="19" fillId="25" borderId="7" xfId="0" applyNumberFormat="1" applyFont="1" applyFill="1" applyBorder="1" applyAlignment="1">
      <alignment vertical="center"/>
    </xf>
    <xf numFmtId="1" fontId="19" fillId="25" borderId="24" xfId="0" applyNumberFormat="1" applyFont="1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0" fontId="138" fillId="0" borderId="111" xfId="0" applyFont="1" applyBorder="1" applyAlignment="1">
      <alignment horizontal="center" vertical="center"/>
    </xf>
    <xf numFmtId="0" fontId="79" fillId="25" borderId="9" xfId="0" quotePrefix="1" applyFont="1" applyFill="1" applyBorder="1" applyAlignment="1">
      <alignment horizontal="right" vertical="center"/>
    </xf>
    <xf numFmtId="0" fontId="79" fillId="25" borderId="23" xfId="0" applyFont="1" applyFill="1" applyBorder="1" applyAlignment="1">
      <alignment horizontal="left" vertical="center"/>
    </xf>
    <xf numFmtId="169" fontId="63" fillId="25" borderId="23" xfId="0" applyNumberFormat="1" applyFont="1" applyFill="1" applyBorder="1" applyAlignment="1">
      <alignment horizontal="center" vertical="center"/>
    </xf>
    <xf numFmtId="169" fontId="63" fillId="25" borderId="20" xfId="0" applyNumberFormat="1" applyFont="1" applyFill="1" applyBorder="1" applyAlignment="1">
      <alignment horizontal="center" vertical="center"/>
    </xf>
    <xf numFmtId="169" fontId="67" fillId="25" borderId="20" xfId="0" applyNumberFormat="1" applyFont="1" applyFill="1" applyBorder="1" applyAlignment="1">
      <alignment horizontal="center" vertical="center"/>
    </xf>
    <xf numFmtId="169" fontId="67" fillId="25" borderId="51" xfId="0" applyNumberFormat="1" applyFont="1" applyFill="1" applyBorder="1" applyAlignment="1">
      <alignment horizontal="center" vertical="center"/>
    </xf>
    <xf numFmtId="169" fontId="86" fillId="25" borderId="20" xfId="0" applyNumberFormat="1" applyFont="1" applyFill="1" applyBorder="1" applyAlignment="1">
      <alignment horizontal="center" vertical="center"/>
    </xf>
    <xf numFmtId="2" fontId="67" fillId="25" borderId="20" xfId="0" applyNumberFormat="1" applyFont="1" applyFill="1" applyBorder="1" applyAlignment="1">
      <alignment horizontal="center" vertical="center"/>
    </xf>
    <xf numFmtId="2" fontId="86" fillId="25" borderId="20" xfId="0" applyNumberFormat="1" applyFont="1" applyFill="1" applyBorder="1" applyAlignment="1">
      <alignment horizontal="center" vertical="center"/>
    </xf>
    <xf numFmtId="169" fontId="86" fillId="25" borderId="51" xfId="0" applyNumberFormat="1" applyFont="1" applyFill="1" applyBorder="1" applyAlignment="1">
      <alignment horizontal="center" vertical="center"/>
    </xf>
    <xf numFmtId="0" fontId="79" fillId="25" borderId="23" xfId="0" applyFont="1" applyFill="1" applyBorder="1" applyAlignment="1">
      <alignment horizontal="right" vertical="center"/>
    </xf>
    <xf numFmtId="169" fontId="79" fillId="25" borderId="20" xfId="0" applyNumberFormat="1" applyFont="1" applyFill="1" applyBorder="1" applyAlignment="1">
      <alignment horizontal="center" vertical="center"/>
    </xf>
    <xf numFmtId="169" fontId="79" fillId="25" borderId="51" xfId="0" applyNumberFormat="1" applyFont="1" applyFill="1" applyBorder="1" applyAlignment="1">
      <alignment horizontal="center" vertical="center"/>
    </xf>
    <xf numFmtId="1" fontId="111" fillId="0" borderId="32" xfId="0" applyNumberFormat="1" applyFont="1" applyBorder="1" applyAlignment="1">
      <alignment horizontal="center" vertical="center"/>
    </xf>
    <xf numFmtId="1" fontId="112" fillId="0" borderId="1" xfId="0" applyNumberFormat="1" applyFont="1" applyBorder="1" applyAlignment="1">
      <alignment horizontal="center" vertical="center"/>
    </xf>
    <xf numFmtId="0" fontId="54" fillId="0" borderId="48" xfId="0" applyFont="1" applyBorder="1" applyAlignment="1">
      <alignment horizontal="center"/>
    </xf>
    <xf numFmtId="0" fontId="54" fillId="0" borderId="65" xfId="0" applyFont="1" applyBorder="1" applyAlignment="1">
      <alignment horizontal="center"/>
    </xf>
    <xf numFmtId="0" fontId="68" fillId="0" borderId="67" xfId="0" applyFont="1" applyBorder="1" applyAlignment="1">
      <alignment horizontal="center"/>
    </xf>
    <xf numFmtId="1" fontId="111" fillId="0" borderId="36" xfId="0" applyNumberFormat="1" applyFont="1" applyBorder="1" applyAlignment="1">
      <alignment horizontal="center" vertical="center"/>
    </xf>
    <xf numFmtId="1" fontId="138" fillId="25" borderId="60" xfId="0" applyNumberFormat="1" applyFont="1" applyFill="1" applyBorder="1" applyAlignment="1">
      <alignment horizontal="center" vertical="center"/>
    </xf>
    <xf numFmtId="1" fontId="138" fillId="0" borderId="20" xfId="0" applyNumberFormat="1" applyFont="1" applyBorder="1" applyAlignment="1">
      <alignment horizontal="center" vertical="center"/>
    </xf>
    <xf numFmtId="1" fontId="138" fillId="25" borderId="40" xfId="0" applyNumberFormat="1" applyFont="1" applyFill="1" applyBorder="1" applyAlignment="1">
      <alignment horizontal="center" vertical="center"/>
    </xf>
    <xf numFmtId="1" fontId="125" fillId="0" borderId="13" xfId="0" applyNumberFormat="1" applyFont="1" applyBorder="1" applyAlignment="1">
      <alignment horizontal="center" vertical="center"/>
    </xf>
    <xf numFmtId="0" fontId="149" fillId="0" borderId="0" xfId="0" quotePrefix="1" applyFont="1"/>
    <xf numFmtId="1" fontId="138" fillId="25" borderId="8" xfId="0" quotePrefix="1" applyNumberFormat="1" applyFont="1" applyFill="1" applyBorder="1" applyAlignment="1">
      <alignment horizontal="center" vertical="center"/>
    </xf>
    <xf numFmtId="0" fontId="138" fillId="25" borderId="63" xfId="0" quotePrefix="1" applyFont="1" applyFill="1" applyBorder="1" applyAlignment="1">
      <alignment horizontal="center" vertical="center"/>
    </xf>
    <xf numFmtId="1" fontId="138" fillId="25" borderId="63" xfId="0" quotePrefix="1" applyNumberFormat="1" applyFont="1" applyFill="1" applyBorder="1" applyAlignment="1">
      <alignment horizontal="center" vertical="center"/>
    </xf>
    <xf numFmtId="1" fontId="138" fillId="25" borderId="13" xfId="0" quotePrefix="1" applyNumberFormat="1" applyFont="1" applyFill="1" applyBorder="1" applyAlignment="1">
      <alignment horizontal="center" vertical="center"/>
    </xf>
    <xf numFmtId="1" fontId="75" fillId="25" borderId="32" xfId="0" applyNumberFormat="1" applyFont="1" applyFill="1" applyBorder="1" applyAlignment="1">
      <alignment horizontal="center" vertical="center"/>
    </xf>
    <xf numFmtId="0" fontId="42" fillId="0" borderId="40" xfId="0" applyFont="1" applyBorder="1" applyAlignment="1">
      <alignment vertical="top"/>
    </xf>
    <xf numFmtId="0" fontId="24" fillId="25" borderId="84" xfId="0" applyFont="1" applyFill="1" applyBorder="1"/>
    <xf numFmtId="0" fontId="35" fillId="25" borderId="7" xfId="0" applyFont="1" applyFill="1" applyBorder="1" applyAlignment="1">
      <alignment horizontal="right" vertical="center"/>
    </xf>
    <xf numFmtId="1" fontId="35" fillId="25" borderId="12" xfId="0" applyNumberFormat="1" applyFont="1" applyFill="1" applyBorder="1" applyAlignment="1">
      <alignment horizontal="center" vertical="center"/>
    </xf>
    <xf numFmtId="1" fontId="76" fillId="25" borderId="22" xfId="0" applyNumberFormat="1" applyFont="1" applyFill="1" applyBorder="1" applyAlignment="1">
      <alignment horizontal="center" vertical="center"/>
    </xf>
    <xf numFmtId="1" fontId="83" fillId="25" borderId="12" xfId="0" applyNumberFormat="1" applyFont="1" applyFill="1" applyBorder="1" applyAlignment="1">
      <alignment horizontal="center" vertical="center"/>
    </xf>
    <xf numFmtId="0" fontId="14" fillId="25" borderId="7" xfId="0" applyFont="1" applyFill="1" applyBorder="1" applyAlignment="1">
      <alignment vertical="center"/>
    </xf>
    <xf numFmtId="1" fontId="22" fillId="25" borderId="8" xfId="0" applyNumberFormat="1" applyFont="1" applyFill="1" applyBorder="1" applyAlignment="1">
      <alignment horizontal="center" vertical="center"/>
    </xf>
    <xf numFmtId="1" fontId="35" fillId="25" borderId="6" xfId="0" applyNumberFormat="1" applyFont="1" applyFill="1" applyBorder="1" applyAlignment="1">
      <alignment vertical="center"/>
    </xf>
    <xf numFmtId="1" fontId="72" fillId="25" borderId="19" xfId="0" applyNumberFormat="1" applyFont="1" applyFill="1" applyBorder="1" applyAlignment="1">
      <alignment vertical="center"/>
    </xf>
    <xf numFmtId="0" fontId="67" fillId="0" borderId="63" xfId="0" applyFont="1" applyBorder="1" applyAlignment="1">
      <alignment wrapText="1"/>
    </xf>
    <xf numFmtId="0" fontId="0" fillId="0" borderId="0" xfId="0" quotePrefix="1"/>
    <xf numFmtId="1" fontId="89" fillId="24" borderId="38" xfId="3" applyNumberFormat="1" applyFont="1" applyFill="1" applyBorder="1" applyAlignment="1">
      <alignment horizontal="center" vertical="center"/>
    </xf>
    <xf numFmtId="1" fontId="35" fillId="0" borderId="69" xfId="0" applyNumberFormat="1" applyFont="1" applyBorder="1" applyAlignment="1">
      <alignment horizontal="center" vertical="center"/>
    </xf>
    <xf numFmtId="1" fontId="34" fillId="17" borderId="10" xfId="0" applyNumberFormat="1" applyFont="1" applyFill="1" applyBorder="1" applyAlignment="1">
      <alignment horizontal="center" vertical="center"/>
    </xf>
    <xf numFmtId="169" fontId="109" fillId="25" borderId="17" xfId="0" applyNumberFormat="1" applyFont="1" applyFill="1" applyBorder="1" applyAlignment="1">
      <alignment horizontal="center" vertical="center"/>
    </xf>
    <xf numFmtId="168" fontId="76" fillId="13" borderId="55" xfId="0" applyNumberFormat="1" applyFont="1" applyFill="1" applyBorder="1" applyAlignment="1">
      <alignment horizontal="center" vertical="center"/>
    </xf>
    <xf numFmtId="0" fontId="63" fillId="25" borderId="24" xfId="0" applyFont="1" applyFill="1" applyBorder="1" applyAlignment="1">
      <alignment vertical="center"/>
    </xf>
    <xf numFmtId="0" fontId="24" fillId="25" borderId="94" xfId="0" applyFont="1" applyFill="1" applyBorder="1"/>
    <xf numFmtId="0" fontId="25" fillId="25" borderId="54" xfId="0" applyFont="1" applyFill="1" applyBorder="1"/>
    <xf numFmtId="0" fontId="55" fillId="25" borderId="44" xfId="0" applyFont="1" applyFill="1" applyBorder="1" applyAlignment="1">
      <alignment vertical="center"/>
    </xf>
    <xf numFmtId="0" fontId="63" fillId="25" borderId="7" xfId="0" applyFont="1" applyFill="1" applyBorder="1" applyAlignment="1">
      <alignment vertical="center"/>
    </xf>
    <xf numFmtId="0" fontId="22" fillId="25" borderId="7" xfId="0" applyFont="1" applyFill="1" applyBorder="1" applyAlignment="1">
      <alignment horizontal="center" vertical="center"/>
    </xf>
    <xf numFmtId="0" fontId="14" fillId="25" borderId="24" xfId="0" applyFont="1" applyFill="1" applyBorder="1" applyAlignment="1">
      <alignment vertical="center"/>
    </xf>
    <xf numFmtId="0" fontId="88" fillId="25" borderId="7" xfId="0" applyFont="1" applyFill="1" applyBorder="1" applyAlignment="1">
      <alignment vertical="center"/>
    </xf>
    <xf numFmtId="0" fontId="88" fillId="25" borderId="50" xfId="0" applyFont="1" applyFill="1" applyBorder="1" applyAlignment="1">
      <alignment vertical="center"/>
    </xf>
    <xf numFmtId="1" fontId="14" fillId="25" borderId="7" xfId="0" applyNumberFormat="1" applyFont="1" applyFill="1" applyBorder="1" applyAlignment="1">
      <alignment vertical="center"/>
    </xf>
    <xf numFmtId="1" fontId="14" fillId="25" borderId="19" xfId="0" applyNumberFormat="1" applyFont="1" applyFill="1" applyBorder="1" applyAlignment="1">
      <alignment vertical="center"/>
    </xf>
    <xf numFmtId="1" fontId="88" fillId="25" borderId="7" xfId="0" applyNumberFormat="1" applyFont="1" applyFill="1" applyBorder="1" applyAlignment="1">
      <alignment vertical="center"/>
    </xf>
    <xf numFmtId="1" fontId="88" fillId="25" borderId="50" xfId="0" applyNumberFormat="1" applyFont="1" applyFill="1" applyBorder="1" applyAlignment="1">
      <alignment vertical="center"/>
    </xf>
    <xf numFmtId="0" fontId="35" fillId="25" borderId="70" xfId="0" applyFont="1" applyFill="1" applyBorder="1" applyAlignment="1">
      <alignment vertical="center"/>
    </xf>
    <xf numFmtId="0" fontId="35" fillId="25" borderId="75" xfId="0" applyFont="1" applyFill="1" applyBorder="1" applyAlignment="1">
      <alignment vertical="center"/>
    </xf>
    <xf numFmtId="0" fontId="72" fillId="25" borderId="6" xfId="0" applyFont="1" applyFill="1" applyBorder="1" applyAlignment="1">
      <alignment vertical="center"/>
    </xf>
    <xf numFmtId="0" fontId="50" fillId="25" borderId="47" xfId="0" applyFont="1" applyFill="1" applyBorder="1" applyAlignment="1">
      <alignment vertical="center"/>
    </xf>
    <xf numFmtId="0" fontId="50" fillId="25" borderId="29" xfId="0" applyFont="1" applyFill="1" applyBorder="1" applyAlignment="1">
      <alignment vertical="center"/>
    </xf>
    <xf numFmtId="0" fontId="22" fillId="25" borderId="7" xfId="0" applyFont="1" applyFill="1" applyBorder="1" applyAlignment="1">
      <alignment vertical="top"/>
    </xf>
    <xf numFmtId="2" fontId="36" fillId="25" borderId="6" xfId="0" applyNumberFormat="1" applyFont="1" applyFill="1" applyBorder="1" applyAlignment="1">
      <alignment vertical="center"/>
    </xf>
    <xf numFmtId="0" fontId="14" fillId="25" borderId="47" xfId="0" applyFont="1" applyFill="1" applyBorder="1" applyAlignment="1">
      <alignment vertical="center"/>
    </xf>
    <xf numFmtId="2" fontId="14" fillId="25" borderId="29" xfId="0" applyNumberFormat="1" applyFont="1" applyFill="1" applyBorder="1" applyAlignment="1">
      <alignment vertical="center"/>
    </xf>
    <xf numFmtId="2" fontId="38" fillId="25" borderId="7" xfId="0" applyNumberFormat="1" applyFont="1" applyFill="1" applyBorder="1" applyAlignment="1">
      <alignment horizontal="center" vertical="center"/>
    </xf>
    <xf numFmtId="2" fontId="38" fillId="25" borderId="6" xfId="0" applyNumberFormat="1" applyFont="1" applyFill="1" applyBorder="1" applyAlignment="1">
      <alignment vertical="center"/>
    </xf>
    <xf numFmtId="2" fontId="38" fillId="25" borderId="7" xfId="0" applyNumberFormat="1" applyFont="1" applyFill="1" applyBorder="1" applyAlignment="1">
      <alignment vertical="center"/>
    </xf>
    <xf numFmtId="0" fontId="35" fillId="25" borderId="47" xfId="0" applyFont="1" applyFill="1" applyBorder="1" applyAlignment="1">
      <alignment vertical="center"/>
    </xf>
    <xf numFmtId="1" fontId="35" fillId="25" borderId="29" xfId="0" applyNumberFormat="1" applyFont="1" applyFill="1" applyBorder="1" applyAlignment="1">
      <alignment vertical="center"/>
    </xf>
    <xf numFmtId="2" fontId="38" fillId="25" borderId="6" xfId="0" applyNumberFormat="1" applyFont="1" applyFill="1" applyBorder="1" applyAlignment="1">
      <alignment horizontal="center" vertical="center"/>
    </xf>
    <xf numFmtId="0" fontId="14" fillId="25" borderId="2" xfId="0" applyFont="1" applyFill="1" applyBorder="1" applyAlignment="1">
      <alignment vertical="center"/>
    </xf>
    <xf numFmtId="0" fontId="58" fillId="25" borderId="55" xfId="0" applyFont="1" applyFill="1" applyBorder="1" applyAlignment="1">
      <alignment vertical="center"/>
    </xf>
    <xf numFmtId="2" fontId="35" fillId="25" borderId="55" xfId="0" applyNumberFormat="1" applyFont="1" applyFill="1" applyBorder="1" applyAlignment="1">
      <alignment horizontal="center" vertical="center"/>
    </xf>
    <xf numFmtId="0" fontId="14" fillId="25" borderId="55" xfId="0" applyFont="1" applyFill="1" applyBorder="1" applyAlignment="1">
      <alignment vertical="center"/>
    </xf>
    <xf numFmtId="2" fontId="35" fillId="25" borderId="55" xfId="0" applyNumberFormat="1" applyFont="1" applyFill="1" applyBorder="1" applyAlignment="1">
      <alignment vertical="center"/>
    </xf>
    <xf numFmtId="0" fontId="85" fillId="25" borderId="35" xfId="0" applyFont="1" applyFill="1" applyBorder="1" applyAlignment="1">
      <alignment horizontal="center" vertical="center"/>
    </xf>
    <xf numFmtId="0" fontId="91" fillId="25" borderId="0" xfId="0" applyFont="1" applyFill="1" applyAlignment="1">
      <alignment vertical="center"/>
    </xf>
    <xf numFmtId="0" fontId="101" fillId="25" borderId="0" xfId="0" applyFont="1" applyFill="1"/>
    <xf numFmtId="0" fontId="101" fillId="25" borderId="54" xfId="0" applyFont="1" applyFill="1" applyBorder="1"/>
    <xf numFmtId="0" fontId="101" fillId="25" borderId="49" xfId="0" applyFont="1" applyFill="1" applyBorder="1"/>
    <xf numFmtId="0" fontId="101" fillId="25" borderId="26" xfId="0" applyFont="1" applyFill="1" applyBorder="1"/>
    <xf numFmtId="1" fontId="91" fillId="25" borderId="49" xfId="0" applyNumberFormat="1" applyFont="1" applyFill="1" applyBorder="1" applyAlignment="1">
      <alignment vertical="center"/>
    </xf>
    <xf numFmtId="0" fontId="72" fillId="25" borderId="26" xfId="0" applyFont="1" applyFill="1" applyBorder="1"/>
    <xf numFmtId="1" fontId="72" fillId="25" borderId="0" xfId="0" applyNumberFormat="1" applyFont="1" applyFill="1"/>
    <xf numFmtId="0" fontId="76" fillId="25" borderId="0" xfId="0" applyFont="1" applyFill="1" applyAlignment="1">
      <alignment horizontal="right" vertical="center"/>
    </xf>
    <xf numFmtId="1" fontId="76" fillId="25" borderId="0" xfId="0" applyNumberFormat="1" applyFont="1" applyFill="1" applyAlignment="1">
      <alignment vertical="center"/>
    </xf>
    <xf numFmtId="1" fontId="76" fillId="25" borderId="54" xfId="0" applyNumberFormat="1" applyFont="1" applyFill="1" applyBorder="1" applyAlignment="1">
      <alignment vertical="center"/>
    </xf>
    <xf numFmtId="1" fontId="76" fillId="25" borderId="26" xfId="0" applyNumberFormat="1" applyFont="1" applyFill="1" applyBorder="1" applyAlignment="1">
      <alignment vertical="center"/>
    </xf>
    <xf numFmtId="1" fontId="76" fillId="25" borderId="55" xfId="0" applyNumberFormat="1" applyFont="1" applyFill="1" applyBorder="1" applyAlignment="1">
      <alignment vertical="center"/>
    </xf>
    <xf numFmtId="0" fontId="85" fillId="25" borderId="25" xfId="0" applyFont="1" applyFill="1" applyBorder="1" applyAlignment="1">
      <alignment horizontal="center" vertical="center"/>
    </xf>
    <xf numFmtId="0" fontId="72" fillId="25" borderId="0" xfId="0" applyFont="1" applyFill="1" applyAlignment="1">
      <alignment horizontal="left" vertical="center"/>
    </xf>
    <xf numFmtId="0" fontId="91" fillId="25" borderId="54" xfId="0" applyFont="1" applyFill="1" applyBorder="1" applyAlignment="1">
      <alignment vertical="center"/>
    </xf>
    <xf numFmtId="0" fontId="91" fillId="25" borderId="26" xfId="0" applyFont="1" applyFill="1" applyBorder="1" applyAlignment="1">
      <alignment vertical="center"/>
    </xf>
    <xf numFmtId="0" fontId="72" fillId="25" borderId="26" xfId="0" applyFont="1" applyFill="1" applyBorder="1" applyAlignment="1">
      <alignment vertical="center"/>
    </xf>
    <xf numFmtId="0" fontId="72" fillId="25" borderId="0" xfId="0" applyFont="1" applyFill="1"/>
    <xf numFmtId="169" fontId="72" fillId="25" borderId="35" xfId="0" applyNumberFormat="1" applyFont="1" applyFill="1" applyBorder="1" applyAlignment="1">
      <alignment vertical="center"/>
    </xf>
    <xf numFmtId="0" fontId="102" fillId="25" borderId="111" xfId="0" applyFont="1" applyFill="1" applyBorder="1"/>
    <xf numFmtId="0" fontId="91" fillId="25" borderId="55" xfId="0" applyFont="1" applyFill="1" applyBorder="1" applyAlignment="1">
      <alignment vertical="center"/>
    </xf>
    <xf numFmtId="0" fontId="101" fillId="25" borderId="55" xfId="0" applyFont="1" applyFill="1" applyBorder="1"/>
    <xf numFmtId="0" fontId="36" fillId="25" borderId="0" xfId="0" applyFont="1" applyFill="1"/>
    <xf numFmtId="169" fontId="76" fillId="25" borderId="40" xfId="0" quotePrefix="1" applyNumberFormat="1" applyFont="1" applyFill="1" applyBorder="1" applyAlignment="1">
      <alignment horizontal="center" vertical="center"/>
    </xf>
    <xf numFmtId="0" fontId="96" fillId="25" borderId="70" xfId="0" applyFont="1" applyFill="1" applyBorder="1" applyAlignment="1">
      <alignment vertical="center"/>
    </xf>
    <xf numFmtId="0" fontId="96" fillId="25" borderId="0" xfId="0" applyFont="1" applyFill="1" applyAlignment="1">
      <alignment vertical="center"/>
    </xf>
    <xf numFmtId="0" fontId="18" fillId="25" borderId="0" xfId="0" applyFont="1" applyFill="1"/>
    <xf numFmtId="0" fontId="72" fillId="25" borderId="40" xfId="0" applyFont="1" applyFill="1" applyBorder="1" applyAlignment="1">
      <alignment vertical="center"/>
    </xf>
    <xf numFmtId="0" fontId="96" fillId="25" borderId="52" xfId="0" applyFont="1" applyFill="1" applyBorder="1" applyAlignment="1">
      <alignment vertical="center"/>
    </xf>
    <xf numFmtId="1" fontId="76" fillId="25" borderId="44" xfId="0" applyNumberFormat="1" applyFont="1" applyFill="1" applyBorder="1" applyAlignment="1">
      <alignment vertical="center"/>
    </xf>
    <xf numFmtId="0" fontId="56" fillId="25" borderId="47" xfId="0" applyFont="1" applyFill="1" applyBorder="1"/>
    <xf numFmtId="0" fontId="103" fillId="25" borderId="6" xfId="0" applyFont="1" applyFill="1" applyBorder="1" applyAlignment="1">
      <alignment horizontal="center" vertical="center"/>
    </xf>
    <xf numFmtId="0" fontId="105" fillId="25" borderId="6" xfId="0" applyFont="1" applyFill="1" applyBorder="1" applyAlignment="1">
      <alignment vertical="center"/>
    </xf>
    <xf numFmtId="0" fontId="17" fillId="25" borderId="19" xfId="0" applyFont="1" applyFill="1" applyBorder="1" applyAlignment="1">
      <alignment vertical="center"/>
    </xf>
    <xf numFmtId="0" fontId="17" fillId="25" borderId="19" xfId="0" applyFont="1" applyFill="1" applyBorder="1" applyAlignment="1">
      <alignment horizontal="center" vertical="center"/>
    </xf>
    <xf numFmtId="0" fontId="96" fillId="25" borderId="50" xfId="0" applyFont="1" applyFill="1" applyBorder="1"/>
    <xf numFmtId="169" fontId="76" fillId="25" borderId="18" xfId="0" quotePrefix="1" applyNumberFormat="1" applyFont="1" applyFill="1" applyBorder="1" applyAlignment="1">
      <alignment horizontal="center" vertical="center"/>
    </xf>
    <xf numFmtId="0" fontId="76" fillId="25" borderId="44" xfId="0" applyFont="1" applyFill="1" applyBorder="1" applyAlignment="1">
      <alignment vertical="center"/>
    </xf>
    <xf numFmtId="0" fontId="72" fillId="25" borderId="7" xfId="0" applyFont="1" applyFill="1" applyBorder="1"/>
    <xf numFmtId="0" fontId="72" fillId="25" borderId="60" xfId="0" quotePrefix="1" applyFont="1" applyFill="1" applyBorder="1" applyAlignment="1">
      <alignment vertical="center"/>
    </xf>
    <xf numFmtId="0" fontId="96" fillId="25" borderId="47" xfId="0" applyFont="1" applyFill="1" applyBorder="1" applyAlignment="1">
      <alignment vertical="center"/>
    </xf>
    <xf numFmtId="0" fontId="72" fillId="25" borderId="6" xfId="0" applyFont="1" applyFill="1" applyBorder="1"/>
    <xf numFmtId="1" fontId="83" fillId="25" borderId="24" xfId="0" applyNumberFormat="1" applyFont="1" applyFill="1" applyBorder="1"/>
    <xf numFmtId="1" fontId="83" fillId="25" borderId="24" xfId="0" applyNumberFormat="1" applyFont="1" applyFill="1" applyBorder="1" applyAlignment="1">
      <alignment horizontal="center"/>
    </xf>
    <xf numFmtId="0" fontId="101" fillId="25" borderId="24" xfId="0" applyFont="1" applyFill="1" applyBorder="1"/>
    <xf numFmtId="0" fontId="101" fillId="25" borderId="7" xfId="0" applyFont="1" applyFill="1" applyBorder="1"/>
    <xf numFmtId="0" fontId="72" fillId="25" borderId="40" xfId="0" applyFont="1" applyFill="1" applyBorder="1"/>
    <xf numFmtId="0" fontId="72" fillId="25" borderId="70" xfId="0" applyFont="1" applyFill="1" applyBorder="1"/>
    <xf numFmtId="0" fontId="76" fillId="25" borderId="13" xfId="0" applyFont="1" applyFill="1" applyBorder="1" applyAlignment="1">
      <alignment horizontal="center" vertical="top"/>
    </xf>
    <xf numFmtId="0" fontId="76" fillId="25" borderId="55" xfId="0" applyFont="1" applyFill="1" applyBorder="1" applyAlignment="1">
      <alignment horizontal="right" vertical="center"/>
    </xf>
    <xf numFmtId="1" fontId="83" fillId="25" borderId="55" xfId="0" applyNumberFormat="1" applyFont="1" applyFill="1" applyBorder="1"/>
    <xf numFmtId="1" fontId="19" fillId="25" borderId="55" xfId="0" applyNumberFormat="1" applyFont="1" applyFill="1" applyBorder="1"/>
    <xf numFmtId="0" fontId="34" fillId="25" borderId="47" xfId="0" applyFont="1" applyFill="1" applyBorder="1" applyAlignment="1">
      <alignment vertical="center"/>
    </xf>
    <xf numFmtId="1" fontId="89" fillId="25" borderId="24" xfId="0" applyNumberFormat="1" applyFont="1" applyFill="1" applyBorder="1" applyAlignment="1">
      <alignment vertical="center"/>
    </xf>
    <xf numFmtId="0" fontId="72" fillId="25" borderId="24" xfId="0" applyFont="1" applyFill="1" applyBorder="1"/>
    <xf numFmtId="0" fontId="13" fillId="25" borderId="25" xfId="0" applyFont="1" applyFill="1" applyBorder="1" applyAlignment="1">
      <alignment vertical="center"/>
    </xf>
    <xf numFmtId="1" fontId="96" fillId="25" borderId="55" xfId="0" applyNumberFormat="1" applyFont="1" applyFill="1" applyBorder="1" applyAlignment="1">
      <alignment vertical="center"/>
    </xf>
    <xf numFmtId="0" fontId="16" fillId="25" borderId="55" xfId="0" applyFont="1" applyFill="1" applyBorder="1" applyAlignment="1">
      <alignment vertical="center"/>
    </xf>
    <xf numFmtId="0" fontId="35" fillId="25" borderId="35" xfId="0" applyFont="1" applyFill="1" applyBorder="1" applyAlignment="1">
      <alignment horizontal="center"/>
    </xf>
    <xf numFmtId="1" fontId="34" fillId="25" borderId="44" xfId="0" applyNumberFormat="1" applyFont="1" applyFill="1" applyBorder="1" applyAlignment="1">
      <alignment vertical="center"/>
    </xf>
    <xf numFmtId="1" fontId="19" fillId="25" borderId="39" xfId="0" applyNumberFormat="1" applyFont="1" applyFill="1" applyBorder="1" applyAlignment="1">
      <alignment vertical="center"/>
    </xf>
    <xf numFmtId="0" fontId="13" fillId="25" borderId="44" xfId="0" applyFont="1" applyFill="1" applyBorder="1" applyAlignment="1">
      <alignment vertical="center"/>
    </xf>
    <xf numFmtId="0" fontId="18" fillId="25" borderId="24" xfId="0" applyFont="1" applyFill="1" applyBorder="1"/>
    <xf numFmtId="0" fontId="14" fillId="25" borderId="44" xfId="0" applyFont="1" applyFill="1" applyBorder="1" applyAlignment="1">
      <alignment vertical="center"/>
    </xf>
    <xf numFmtId="1" fontId="88" fillId="25" borderId="24" xfId="0" applyNumberFormat="1" applyFont="1" applyFill="1" applyBorder="1" applyAlignment="1">
      <alignment vertical="center"/>
    </xf>
    <xf numFmtId="0" fontId="83" fillId="25" borderId="74" xfId="0" quotePrefix="1" applyFont="1" applyFill="1" applyBorder="1" applyAlignment="1">
      <alignment horizontal="right" vertical="top"/>
    </xf>
    <xf numFmtId="0" fontId="88" fillId="25" borderId="48" xfId="0" applyFont="1" applyFill="1" applyBorder="1"/>
    <xf numFmtId="0" fontId="14" fillId="25" borderId="24" xfId="0" applyFont="1" applyFill="1" applyBorder="1"/>
    <xf numFmtId="0" fontId="88" fillId="25" borderId="7" xfId="0" applyFont="1" applyFill="1" applyBorder="1"/>
    <xf numFmtId="0" fontId="88" fillId="25" borderId="24" xfId="0" applyFont="1" applyFill="1" applyBorder="1"/>
    <xf numFmtId="0" fontId="21" fillId="25" borderId="7" xfId="0" applyFont="1" applyFill="1" applyBorder="1"/>
    <xf numFmtId="0" fontId="21" fillId="25" borderId="24" xfId="0" applyFont="1" applyFill="1" applyBorder="1"/>
    <xf numFmtId="0" fontId="88" fillId="25" borderId="66" xfId="0" applyFont="1" applyFill="1" applyBorder="1" applyAlignment="1">
      <alignment vertical="center"/>
    </xf>
    <xf numFmtId="0" fontId="88" fillId="25" borderId="3" xfId="0" applyFont="1" applyFill="1" applyBorder="1" applyAlignment="1">
      <alignment vertical="center"/>
    </xf>
    <xf numFmtId="0" fontId="88" fillId="25" borderId="61" xfId="0" applyFont="1" applyFill="1" applyBorder="1" applyAlignment="1">
      <alignment vertical="center"/>
    </xf>
    <xf numFmtId="0" fontId="88" fillId="25" borderId="41" xfId="0" applyFont="1" applyFill="1" applyBorder="1" applyAlignment="1">
      <alignment vertical="center"/>
    </xf>
    <xf numFmtId="0" fontId="91" fillId="25" borderId="7" xfId="0" applyFont="1" applyFill="1" applyBorder="1" applyAlignment="1">
      <alignment horizontal="center" vertical="top" wrapText="1"/>
    </xf>
    <xf numFmtId="1" fontId="20" fillId="25" borderId="24" xfId="0" applyNumberFormat="1" applyFont="1" applyFill="1" applyBorder="1" applyAlignment="1">
      <alignment vertical="center"/>
    </xf>
    <xf numFmtId="0" fontId="84" fillId="25" borderId="7" xfId="0" applyFont="1" applyFill="1" applyBorder="1" applyAlignment="1">
      <alignment vertical="center"/>
    </xf>
    <xf numFmtId="1" fontId="79" fillId="25" borderId="24" xfId="0" applyNumberFormat="1" applyFont="1" applyFill="1" applyBorder="1" applyAlignment="1">
      <alignment vertical="center"/>
    </xf>
    <xf numFmtId="0" fontId="83" fillId="25" borderId="24" xfId="0" applyFont="1" applyFill="1" applyBorder="1"/>
    <xf numFmtId="1" fontId="88" fillId="25" borderId="6" xfId="0" applyNumberFormat="1" applyFont="1" applyFill="1" applyBorder="1" applyAlignment="1">
      <alignment vertical="center"/>
    </xf>
    <xf numFmtId="1" fontId="87" fillId="25" borderId="6" xfId="0" applyNumberFormat="1" applyFont="1" applyFill="1" applyBorder="1" applyAlignment="1">
      <alignment vertical="center"/>
    </xf>
    <xf numFmtId="1" fontId="79" fillId="25" borderId="7" xfId="0" applyNumberFormat="1" applyFont="1" applyFill="1" applyBorder="1" applyAlignment="1">
      <alignment vertical="center"/>
    </xf>
    <xf numFmtId="1" fontId="83" fillId="25" borderId="7" xfId="0" applyNumberFormat="1" applyFont="1" applyFill="1" applyBorder="1" applyAlignment="1">
      <alignment vertical="center"/>
    </xf>
    <xf numFmtId="1" fontId="83" fillId="25" borderId="6" xfId="0" applyNumberFormat="1" applyFont="1" applyFill="1" applyBorder="1" applyAlignment="1">
      <alignment vertical="center"/>
    </xf>
    <xf numFmtId="1" fontId="29" fillId="25" borderId="6" xfId="0" applyNumberFormat="1" applyFont="1" applyFill="1" applyBorder="1" applyAlignment="1">
      <alignment vertical="center"/>
    </xf>
    <xf numFmtId="169" fontId="24" fillId="25" borderId="0" xfId="0" applyNumberFormat="1" applyFont="1" applyFill="1"/>
    <xf numFmtId="0" fontId="17" fillId="25" borderId="24" xfId="0" applyFont="1" applyFill="1" applyBorder="1" applyAlignment="1">
      <alignment vertical="center"/>
    </xf>
    <xf numFmtId="1" fontId="138" fillId="0" borderId="34" xfId="0" applyNumberFormat="1" applyFont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21" borderId="31" xfId="0" applyNumberFormat="1" applyFont="1" applyFill="1" applyBorder="1" applyAlignment="1">
      <alignment horizontal="center" vertical="center"/>
    </xf>
    <xf numFmtId="1" fontId="138" fillId="0" borderId="8" xfId="0" applyNumberFormat="1" applyFont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38" fillId="0" borderId="9" xfId="0" applyNumberFormat="1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1" fontId="138" fillId="21" borderId="70" xfId="0" applyNumberFormat="1" applyFont="1" applyFill="1" applyBorder="1" applyAlignment="1">
      <alignment horizontal="center" vertical="center"/>
    </xf>
    <xf numFmtId="1" fontId="138" fillId="21" borderId="52" xfId="0" applyNumberFormat="1" applyFont="1" applyFill="1" applyBorder="1" applyAlignment="1">
      <alignment horizontal="center" vertical="center"/>
    </xf>
    <xf numFmtId="1" fontId="138" fillId="21" borderId="74" xfId="0" quotePrefix="1" applyNumberFormat="1" applyFont="1" applyFill="1" applyBorder="1" applyAlignment="1">
      <alignment horizontal="center" vertical="center"/>
    </xf>
    <xf numFmtId="0" fontId="138" fillId="0" borderId="8" xfId="0" applyFont="1" applyBorder="1" applyAlignment="1">
      <alignment horizontal="center" vertical="center"/>
    </xf>
    <xf numFmtId="0" fontId="115" fillId="25" borderId="47" xfId="0" applyFont="1" applyFill="1" applyBorder="1"/>
    <xf numFmtId="0" fontId="115" fillId="25" borderId="6" xfId="0" applyFont="1" applyFill="1" applyBorder="1" applyAlignment="1">
      <alignment horizontal="center" vertical="center"/>
    </xf>
    <xf numFmtId="2" fontId="135" fillId="25" borderId="6" xfId="0" applyNumberFormat="1" applyFont="1" applyFill="1" applyBorder="1" applyAlignment="1">
      <alignment horizontal="center" vertical="center"/>
    </xf>
    <xf numFmtId="2" fontId="128" fillId="25" borderId="29" xfId="0" applyNumberFormat="1" applyFont="1" applyFill="1" applyBorder="1" applyAlignment="1">
      <alignment horizontal="center" vertical="center"/>
    </xf>
    <xf numFmtId="2" fontId="128" fillId="25" borderId="6" xfId="0" applyNumberFormat="1" applyFont="1" applyFill="1" applyBorder="1" applyAlignment="1">
      <alignment vertical="center"/>
    </xf>
    <xf numFmtId="169" fontId="128" fillId="25" borderId="6" xfId="0" applyNumberFormat="1" applyFont="1" applyFill="1" applyBorder="1" applyAlignment="1">
      <alignment vertical="center"/>
    </xf>
    <xf numFmtId="0" fontId="115" fillId="25" borderId="47" xfId="0" applyFont="1" applyFill="1" applyBorder="1" applyAlignment="1">
      <alignment vertical="center"/>
    </xf>
    <xf numFmtId="0" fontId="54" fillId="25" borderId="6" xfId="0" applyFont="1" applyFill="1" applyBorder="1" applyAlignment="1">
      <alignment horizontal="center" vertical="center"/>
    </xf>
    <xf numFmtId="2" fontId="111" fillId="25" borderId="6" xfId="0" applyNumberFormat="1" applyFont="1" applyFill="1" applyBorder="1" applyAlignment="1">
      <alignment vertical="center"/>
    </xf>
    <xf numFmtId="169" fontId="111" fillId="25" borderId="6" xfId="0" applyNumberFormat="1" applyFont="1" applyFill="1" applyBorder="1" applyAlignment="1">
      <alignment vertical="center"/>
    </xf>
    <xf numFmtId="169" fontId="138" fillId="25" borderId="6" xfId="0" applyNumberFormat="1" applyFont="1" applyFill="1" applyBorder="1" applyAlignment="1">
      <alignment vertical="center"/>
    </xf>
    <xf numFmtId="169" fontId="111" fillId="25" borderId="75" xfId="0" applyNumberFormat="1" applyFont="1" applyFill="1" applyBorder="1" applyAlignment="1">
      <alignment vertical="center"/>
    </xf>
    <xf numFmtId="0" fontId="115" fillId="25" borderId="6" xfId="0" applyFont="1" applyFill="1" applyBorder="1"/>
    <xf numFmtId="169" fontId="128" fillId="25" borderId="29" xfId="0" applyNumberFormat="1" applyFont="1" applyFill="1" applyBorder="1" applyAlignment="1">
      <alignment horizontal="center" vertical="center"/>
    </xf>
    <xf numFmtId="169" fontId="128" fillId="25" borderId="7" xfId="0" applyNumberFormat="1" applyFont="1" applyFill="1" applyBorder="1" applyAlignment="1">
      <alignment vertical="center"/>
    </xf>
    <xf numFmtId="169" fontId="135" fillId="25" borderId="7" xfId="0" applyNumberFormat="1" applyFont="1" applyFill="1" applyBorder="1" applyAlignment="1">
      <alignment vertical="center"/>
    </xf>
    <xf numFmtId="1" fontId="111" fillId="25" borderId="6" xfId="0" applyNumberFormat="1" applyFont="1" applyFill="1" applyBorder="1" applyAlignment="1">
      <alignment vertical="center"/>
    </xf>
    <xf numFmtId="1" fontId="138" fillId="25" borderId="47" xfId="0" applyNumberFormat="1" applyFont="1" applyFill="1" applyBorder="1" applyAlignment="1">
      <alignment vertical="center"/>
    </xf>
    <xf numFmtId="1" fontId="111" fillId="25" borderId="29" xfId="0" applyNumberFormat="1" applyFont="1" applyFill="1" applyBorder="1" applyAlignment="1">
      <alignment vertical="center"/>
    </xf>
    <xf numFmtId="169" fontId="128" fillId="25" borderId="6" xfId="0" applyNumberFormat="1" applyFont="1" applyFill="1" applyBorder="1" applyAlignment="1">
      <alignment vertical="center" wrapText="1"/>
    </xf>
    <xf numFmtId="169" fontId="135" fillId="25" borderId="6" xfId="0" applyNumberFormat="1" applyFont="1" applyFill="1" applyBorder="1" applyAlignment="1">
      <alignment vertical="center" wrapText="1"/>
    </xf>
    <xf numFmtId="0" fontId="115" fillId="25" borderId="52" xfId="0" applyFont="1" applyFill="1" applyBorder="1"/>
    <xf numFmtId="0" fontId="115" fillId="25" borderId="7" xfId="0" applyFont="1" applyFill="1" applyBorder="1" applyAlignment="1">
      <alignment horizontal="center" vertical="center"/>
    </xf>
    <xf numFmtId="169" fontId="128" fillId="25" borderId="8" xfId="0" applyNumberFormat="1" applyFont="1" applyFill="1" applyBorder="1" applyAlignment="1">
      <alignment horizontal="center" vertical="center"/>
    </xf>
    <xf numFmtId="169" fontId="138" fillId="21" borderId="3" xfId="0" applyNumberFormat="1" applyFont="1" applyFill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109" fillId="0" borderId="10" xfId="0" applyNumberFormat="1" applyFont="1" applyBorder="1" applyAlignment="1">
      <alignment horizontal="center" vertical="center"/>
    </xf>
    <xf numFmtId="1" fontId="109" fillId="0" borderId="45" xfId="0" applyNumberFormat="1" applyFont="1" applyBorder="1" applyAlignment="1">
      <alignment horizontal="center" vertical="center"/>
    </xf>
    <xf numFmtId="2" fontId="6" fillId="0" borderId="23" xfId="0" applyNumberFormat="1" applyFont="1" applyBorder="1" applyAlignment="1">
      <alignment horizontal="center" vertical="center"/>
    </xf>
    <xf numFmtId="2" fontId="6" fillId="0" borderId="59" xfId="0" applyNumberFormat="1" applyFont="1" applyBorder="1" applyAlignment="1">
      <alignment horizontal="center" vertical="center"/>
    </xf>
    <xf numFmtId="1" fontId="111" fillId="25" borderId="45" xfId="0" quotePrefix="1" applyNumberFormat="1" applyFont="1" applyFill="1" applyBorder="1" applyAlignment="1">
      <alignment horizontal="center" vertical="center" wrapText="1"/>
    </xf>
    <xf numFmtId="1" fontId="6" fillId="21" borderId="11" xfId="0" applyNumberFormat="1" applyFont="1" applyFill="1" applyBorder="1" applyAlignment="1">
      <alignment horizontal="center" vertical="center"/>
    </xf>
    <xf numFmtId="1" fontId="109" fillId="21" borderId="72" xfId="0" applyNumberFormat="1" applyFont="1" applyFill="1" applyBorder="1" applyAlignment="1">
      <alignment horizontal="center" vertical="center"/>
    </xf>
    <xf numFmtId="2" fontId="6" fillId="21" borderId="33" xfId="0" applyNumberFormat="1" applyFont="1" applyFill="1" applyBorder="1" applyAlignment="1">
      <alignment horizontal="center" vertical="center"/>
    </xf>
    <xf numFmtId="1" fontId="149" fillId="0" borderId="69" xfId="0" applyNumberFormat="1" applyFont="1" applyBorder="1" applyAlignment="1">
      <alignment horizontal="center" vertical="center"/>
    </xf>
    <xf numFmtId="0" fontId="138" fillId="0" borderId="0" xfId="0" applyFont="1" applyAlignment="1">
      <alignment horizontal="center" vertical="center"/>
    </xf>
    <xf numFmtId="171" fontId="109" fillId="0" borderId="30" xfId="0" applyNumberFormat="1" applyFont="1" applyBorder="1" applyAlignment="1">
      <alignment horizontal="center" vertical="center"/>
    </xf>
    <xf numFmtId="1" fontId="111" fillId="25" borderId="10" xfId="0" applyNumberFormat="1" applyFont="1" applyFill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54" fillId="25" borderId="0" xfId="0" applyFont="1" applyFill="1"/>
    <xf numFmtId="1" fontId="6" fillId="0" borderId="21" xfId="0" applyNumberFormat="1" applyFont="1" applyBorder="1" applyAlignment="1">
      <alignment horizontal="center" vertical="center"/>
    </xf>
    <xf numFmtId="1" fontId="6" fillId="21" borderId="21" xfId="0" applyNumberFormat="1" applyFont="1" applyFill="1" applyBorder="1" applyAlignment="1">
      <alignment horizontal="center" vertical="center"/>
    </xf>
    <xf numFmtId="1" fontId="111" fillId="0" borderId="47" xfId="0" applyNumberFormat="1" applyFont="1" applyBorder="1" applyAlignment="1">
      <alignment horizontal="center" vertical="center"/>
    </xf>
    <xf numFmtId="2" fontId="138" fillId="21" borderId="44" xfId="0" applyNumberFormat="1" applyFont="1" applyFill="1" applyBorder="1" applyAlignment="1">
      <alignment horizontal="center" vertical="center"/>
    </xf>
    <xf numFmtId="2" fontId="138" fillId="21" borderId="70" xfId="0" applyNumberFormat="1" applyFont="1" applyFill="1" applyBorder="1" applyAlignment="1">
      <alignment horizontal="center" vertical="center"/>
    </xf>
    <xf numFmtId="2" fontId="138" fillId="21" borderId="51" xfId="0" applyNumberFormat="1" applyFont="1" applyFill="1" applyBorder="1" applyAlignment="1">
      <alignment horizontal="center" vertical="center"/>
    </xf>
    <xf numFmtId="0" fontId="109" fillId="0" borderId="5" xfId="0" applyFont="1" applyBorder="1" applyAlignment="1">
      <alignment horizontal="center" vertical="center"/>
    </xf>
    <xf numFmtId="1" fontId="109" fillId="0" borderId="41" xfId="0" applyNumberFormat="1" applyFont="1" applyBorder="1" applyAlignment="1">
      <alignment horizontal="center" vertical="center"/>
    </xf>
    <xf numFmtId="0" fontId="111" fillId="0" borderId="8" xfId="0" applyFont="1" applyBorder="1" applyAlignment="1">
      <alignment horizontal="center" vertical="center"/>
    </xf>
    <xf numFmtId="0" fontId="111" fillId="25" borderId="41" xfId="0" applyFont="1" applyFill="1" applyBorder="1" applyAlignment="1">
      <alignment horizontal="center" vertical="center"/>
    </xf>
    <xf numFmtId="0" fontId="111" fillId="25" borderId="10" xfId="0" applyFont="1" applyFill="1" applyBorder="1" applyAlignment="1">
      <alignment horizontal="center" vertical="center"/>
    </xf>
    <xf numFmtId="0" fontId="111" fillId="25" borderId="45" xfId="0" applyFont="1" applyFill="1" applyBorder="1" applyAlignment="1">
      <alignment horizontal="center" vertical="center"/>
    </xf>
    <xf numFmtId="0" fontId="111" fillId="25" borderId="23" xfId="0" applyFont="1" applyFill="1" applyBorder="1" applyAlignment="1">
      <alignment horizontal="center" vertical="center"/>
    </xf>
    <xf numFmtId="0" fontId="111" fillId="0" borderId="7" xfId="0" applyFont="1" applyBorder="1" applyAlignment="1">
      <alignment horizontal="center" vertical="center"/>
    </xf>
    <xf numFmtId="1" fontId="109" fillId="21" borderId="42" xfId="0" applyNumberFormat="1" applyFont="1" applyFill="1" applyBorder="1" applyAlignment="1">
      <alignment horizontal="center" vertical="center"/>
    </xf>
    <xf numFmtId="0" fontId="109" fillId="21" borderId="17" xfId="0" applyFont="1" applyFill="1" applyBorder="1" applyAlignment="1">
      <alignment horizontal="center" vertical="center"/>
    </xf>
    <xf numFmtId="172" fontId="111" fillId="21" borderId="19" xfId="0" applyNumberFormat="1" applyFont="1" applyFill="1" applyBorder="1" applyAlignment="1">
      <alignment horizontal="center" vertical="center"/>
    </xf>
    <xf numFmtId="0" fontId="125" fillId="21" borderId="8" xfId="0" applyFont="1" applyFill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1" fontId="11" fillId="0" borderId="41" xfId="0" applyNumberFormat="1" applyFont="1" applyBorder="1" applyAlignment="1">
      <alignment horizontal="center" vertical="center"/>
    </xf>
    <xf numFmtId="1" fontId="11" fillId="0" borderId="30" xfId="0" applyNumberFormat="1" applyFont="1" applyBorder="1" applyAlignment="1">
      <alignment horizontal="center" vertical="center"/>
    </xf>
    <xf numFmtId="1" fontId="6" fillId="0" borderId="41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1" fontId="11" fillId="0" borderId="45" xfId="0" applyNumberFormat="1" applyFont="1" applyBorder="1" applyAlignment="1">
      <alignment horizontal="center" vertical="center"/>
    </xf>
    <xf numFmtId="169" fontId="11" fillId="0" borderId="10" xfId="0" applyNumberFormat="1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71" fontId="11" fillId="0" borderId="10" xfId="0" applyNumberFormat="1" applyFont="1" applyBorder="1" applyAlignment="1">
      <alignment horizontal="center" vertical="center"/>
    </xf>
    <xf numFmtId="171" fontId="11" fillId="0" borderId="45" xfId="0" applyNumberFormat="1" applyFont="1" applyBorder="1" applyAlignment="1">
      <alignment horizontal="center" vertical="center"/>
    </xf>
    <xf numFmtId="2" fontId="6" fillId="25" borderId="41" xfId="0" applyNumberFormat="1" applyFont="1" applyFill="1" applyBorder="1" applyAlignment="1">
      <alignment horizontal="center" vertical="center"/>
    </xf>
    <xf numFmtId="2" fontId="6" fillId="25" borderId="10" xfId="0" applyNumberFormat="1" applyFont="1" applyFill="1" applyBorder="1" applyAlignment="1">
      <alignment horizontal="center" vertical="center"/>
    </xf>
    <xf numFmtId="2" fontId="6" fillId="25" borderId="14" xfId="0" applyNumberFormat="1" applyFont="1" applyFill="1" applyBorder="1" applyAlignment="1">
      <alignment horizontal="center" vertical="center"/>
    </xf>
    <xf numFmtId="2" fontId="11" fillId="0" borderId="23" xfId="0" applyNumberFormat="1" applyFont="1" applyBorder="1" applyAlignment="1">
      <alignment horizontal="center" vertical="center"/>
    </xf>
    <xf numFmtId="169" fontId="112" fillId="0" borderId="10" xfId="0" applyNumberFormat="1" applyFont="1" applyBorder="1" applyAlignment="1">
      <alignment horizontal="center" vertical="center"/>
    </xf>
    <xf numFmtId="1" fontId="203" fillId="0" borderId="0" xfId="0" applyNumberFormat="1" applyFont="1" applyAlignment="1">
      <alignment horizontal="center" vertical="center"/>
    </xf>
    <xf numFmtId="169" fontId="203" fillId="0" borderId="0" xfId="0" applyNumberFormat="1" applyFont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1" fontId="11" fillId="0" borderId="53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" fontId="11" fillId="0" borderId="72" xfId="0" applyNumberFormat="1" applyFont="1" applyBorder="1" applyAlignment="1">
      <alignment horizontal="center" vertical="center"/>
    </xf>
    <xf numFmtId="171" fontId="11" fillId="0" borderId="17" xfId="0" applyNumberFormat="1" applyFont="1" applyBorder="1" applyAlignment="1">
      <alignment horizontal="center" vertical="center"/>
    </xf>
    <xf numFmtId="1" fontId="11" fillId="0" borderId="37" xfId="0" applyNumberFormat="1" applyFont="1" applyBorder="1" applyAlignment="1">
      <alignment horizontal="center" vertical="center"/>
    </xf>
    <xf numFmtId="0" fontId="155" fillId="0" borderId="0" xfId="0" applyFont="1"/>
    <xf numFmtId="0" fontId="112" fillId="25" borderId="10" xfId="0" applyFont="1" applyFill="1" applyBorder="1" applyAlignment="1">
      <alignment horizontal="center" vertical="center"/>
    </xf>
    <xf numFmtId="169" fontId="112" fillId="25" borderId="10" xfId="0" applyNumberFormat="1" applyFont="1" applyFill="1" applyBorder="1" applyAlignment="1">
      <alignment horizontal="center" vertical="center"/>
    </xf>
    <xf numFmtId="0" fontId="112" fillId="25" borderId="10" xfId="0" applyFont="1" applyFill="1" applyBorder="1" applyAlignment="1">
      <alignment horizontal="center"/>
    </xf>
    <xf numFmtId="0" fontId="155" fillId="25" borderId="10" xfId="0" applyFont="1" applyFill="1" applyBorder="1" applyAlignment="1">
      <alignment horizontal="center"/>
    </xf>
    <xf numFmtId="0" fontId="6" fillId="21" borderId="28" xfId="0" applyFont="1" applyFill="1" applyBorder="1" applyAlignment="1">
      <alignment horizontal="center" vertical="center"/>
    </xf>
    <xf numFmtId="1" fontId="11" fillId="21" borderId="53" xfId="0" applyNumberFormat="1" applyFont="1" applyFill="1" applyBorder="1" applyAlignment="1">
      <alignment horizontal="center" vertical="center"/>
    </xf>
    <xf numFmtId="1" fontId="6" fillId="21" borderId="73" xfId="0" applyNumberFormat="1" applyFont="1" applyFill="1" applyBorder="1" applyAlignment="1">
      <alignment horizontal="center" vertical="center"/>
    </xf>
    <xf numFmtId="1" fontId="11" fillId="21" borderId="72" xfId="0" applyNumberFormat="1" applyFont="1" applyFill="1" applyBorder="1" applyAlignment="1">
      <alignment horizontal="center" vertical="center"/>
    </xf>
    <xf numFmtId="1" fontId="11" fillId="21" borderId="17" xfId="0" applyNumberFormat="1" applyFont="1" applyFill="1" applyBorder="1" applyAlignment="1">
      <alignment horizontal="center" vertical="center"/>
    </xf>
    <xf numFmtId="171" fontId="11" fillId="21" borderId="17" xfId="0" applyNumberFormat="1" applyFont="1" applyFill="1" applyBorder="1" applyAlignment="1">
      <alignment horizontal="center" vertical="center"/>
    </xf>
    <xf numFmtId="0" fontId="155" fillId="0" borderId="0" xfId="0" applyFont="1" applyAlignment="1">
      <alignment horizontal="center" vertical="center"/>
    </xf>
    <xf numFmtId="0" fontId="112" fillId="21" borderId="10" xfId="0" applyFont="1" applyFill="1" applyBorder="1" applyAlignment="1">
      <alignment horizontal="center" vertical="center"/>
    </xf>
    <xf numFmtId="0" fontId="112" fillId="21" borderId="10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21" borderId="4" xfId="0" applyFont="1" applyFill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1" fontId="138" fillId="21" borderId="31" xfId="0" applyNumberFormat="1" applyFont="1" applyFill="1" applyBorder="1" applyAlignment="1">
      <alignment horizontal="center" vertical="center"/>
    </xf>
    <xf numFmtId="0" fontId="138" fillId="21" borderId="8" xfId="0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0" fontId="138" fillId="21" borderId="62" xfId="0" applyFont="1" applyFill="1" applyBorder="1" applyAlignment="1">
      <alignment horizontal="center" vertical="center"/>
    </xf>
    <xf numFmtId="0" fontId="125" fillId="0" borderId="10" xfId="0" applyFont="1" applyBorder="1" applyAlignment="1">
      <alignment horizontal="center" vertical="center"/>
    </xf>
    <xf numFmtId="169" fontId="125" fillId="25" borderId="10" xfId="0" applyNumberFormat="1" applyFont="1" applyFill="1" applyBorder="1" applyAlignment="1">
      <alignment horizontal="center" vertical="center"/>
    </xf>
    <xf numFmtId="169" fontId="125" fillId="21" borderId="10" xfId="0" applyNumberFormat="1" applyFont="1" applyFill="1" applyBorder="1" applyAlignment="1">
      <alignment horizontal="center" vertical="center"/>
    </xf>
    <xf numFmtId="169" fontId="125" fillId="0" borderId="10" xfId="0" applyNumberFormat="1" applyFont="1" applyBorder="1" applyAlignment="1">
      <alignment horizontal="center" vertical="center"/>
    </xf>
    <xf numFmtId="0" fontId="122" fillId="0" borderId="3" xfId="0" applyFont="1" applyBorder="1"/>
    <xf numFmtId="1" fontId="109" fillId="0" borderId="111" xfId="0" applyNumberFormat="1" applyFont="1" applyBorder="1" applyAlignment="1">
      <alignment horizontal="center" vertical="center"/>
    </xf>
    <xf numFmtId="1" fontId="111" fillId="0" borderId="100" xfId="0" applyNumberFormat="1" applyFont="1" applyBorder="1" applyAlignment="1">
      <alignment horizontal="center" vertical="center"/>
    </xf>
    <xf numFmtId="2" fontId="112" fillId="0" borderId="10" xfId="0" applyNumberFormat="1" applyFont="1" applyBorder="1" applyAlignment="1">
      <alignment horizontal="center" vertical="center"/>
    </xf>
    <xf numFmtId="2" fontId="111" fillId="0" borderId="27" xfId="0" applyNumberFormat="1" applyFont="1" applyBorder="1" applyAlignment="1">
      <alignment horizontal="center" vertical="center"/>
    </xf>
    <xf numFmtId="1" fontId="6" fillId="0" borderId="50" xfId="0" applyNumberFormat="1" applyFont="1" applyBorder="1" applyAlignment="1">
      <alignment horizontal="center" vertical="center"/>
    </xf>
    <xf numFmtId="2" fontId="6" fillId="0" borderId="27" xfId="0" applyNumberFormat="1" applyFont="1" applyBorder="1" applyAlignment="1">
      <alignment horizontal="center" vertical="center"/>
    </xf>
    <xf numFmtId="0" fontId="130" fillId="0" borderId="7" xfId="0" applyFont="1" applyBorder="1"/>
    <xf numFmtId="0" fontId="130" fillId="0" borderId="24" xfId="0" applyFont="1" applyBorder="1"/>
    <xf numFmtId="0" fontId="3" fillId="0" borderId="7" xfId="0" applyFont="1" applyBorder="1"/>
    <xf numFmtId="1" fontId="109" fillId="0" borderId="39" xfId="0" applyNumberFormat="1" applyFont="1" applyBorder="1" applyAlignment="1">
      <alignment horizontal="center" vertical="center"/>
    </xf>
    <xf numFmtId="1" fontId="110" fillId="0" borderId="42" xfId="0" applyNumberFormat="1" applyFont="1" applyBorder="1" applyAlignment="1">
      <alignment horizontal="center" vertical="center"/>
    </xf>
    <xf numFmtId="2" fontId="111" fillId="0" borderId="59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2" fontId="6" fillId="0" borderId="91" xfId="0" applyNumberFormat="1" applyFont="1" applyBorder="1" applyAlignment="1">
      <alignment horizontal="center" vertical="center"/>
    </xf>
    <xf numFmtId="0" fontId="112" fillId="21" borderId="102" xfId="0" applyFont="1" applyFill="1" applyBorder="1" applyAlignment="1">
      <alignment horizontal="center" vertical="center"/>
    </xf>
    <xf numFmtId="0" fontId="111" fillId="21" borderId="132" xfId="0" applyFont="1" applyFill="1" applyBorder="1" applyAlignment="1">
      <alignment horizontal="center" vertical="center"/>
    </xf>
    <xf numFmtId="0" fontId="111" fillId="21" borderId="104" xfId="0" applyFont="1" applyFill="1" applyBorder="1" applyAlignment="1">
      <alignment horizontal="center" vertical="center"/>
    </xf>
    <xf numFmtId="1" fontId="111" fillId="21" borderId="104" xfId="0" applyNumberFormat="1" applyFont="1" applyFill="1" applyBorder="1" applyAlignment="1">
      <alignment horizontal="center" vertical="center"/>
    </xf>
    <xf numFmtId="1" fontId="109" fillId="21" borderId="135" xfId="0" applyNumberFormat="1" applyFont="1" applyFill="1" applyBorder="1" applyAlignment="1">
      <alignment horizontal="center" vertical="center"/>
    </xf>
    <xf numFmtId="1" fontId="111" fillId="21" borderId="132" xfId="0" applyNumberFormat="1" applyFont="1" applyFill="1" applyBorder="1" applyAlignment="1">
      <alignment horizontal="center" vertical="center"/>
    </xf>
    <xf numFmtId="2" fontId="111" fillId="21" borderId="104" xfId="0" applyNumberFormat="1" applyFont="1" applyFill="1" applyBorder="1" applyAlignment="1">
      <alignment horizontal="center" vertical="center"/>
    </xf>
    <xf numFmtId="2" fontId="111" fillId="21" borderId="124" xfId="0" applyNumberFormat="1" applyFont="1" applyFill="1" applyBorder="1" applyAlignment="1">
      <alignment horizontal="center" vertical="center"/>
    </xf>
    <xf numFmtId="2" fontId="109" fillId="21" borderId="135" xfId="0" applyNumberFormat="1" applyFont="1" applyFill="1" applyBorder="1" applyAlignment="1">
      <alignment horizontal="center" vertical="center"/>
    </xf>
    <xf numFmtId="1" fontId="111" fillId="21" borderId="98" xfId="0" applyNumberFormat="1" applyFont="1" applyFill="1" applyBorder="1" applyAlignment="1">
      <alignment horizontal="center" vertical="center"/>
    </xf>
    <xf numFmtId="1" fontId="111" fillId="21" borderId="123" xfId="0" applyNumberFormat="1" applyFont="1" applyFill="1" applyBorder="1" applyAlignment="1">
      <alignment horizontal="center" vertical="center"/>
    </xf>
    <xf numFmtId="1" fontId="111" fillId="21" borderId="126" xfId="0" applyNumberFormat="1" applyFont="1" applyFill="1" applyBorder="1" applyAlignment="1">
      <alignment horizontal="center" vertical="center"/>
    </xf>
    <xf numFmtId="1" fontId="109" fillId="21" borderId="142" xfId="0" applyNumberFormat="1" applyFont="1" applyFill="1" applyBorder="1" applyAlignment="1">
      <alignment horizontal="center" vertical="center"/>
    </xf>
    <xf numFmtId="1" fontId="109" fillId="21" borderId="102" xfId="0" applyNumberFormat="1" applyFont="1" applyFill="1" applyBorder="1" applyAlignment="1">
      <alignment horizontal="center" vertical="center"/>
    </xf>
    <xf numFmtId="171" fontId="111" fillId="21" borderId="104" xfId="0" applyNumberFormat="1" applyFont="1" applyFill="1" applyBorder="1" applyAlignment="1">
      <alignment horizontal="center" vertical="center"/>
    </xf>
    <xf numFmtId="1" fontId="111" fillId="21" borderId="139" xfId="0" applyNumberFormat="1" applyFont="1" applyFill="1" applyBorder="1" applyAlignment="1">
      <alignment horizontal="center" vertical="center"/>
    </xf>
    <xf numFmtId="2" fontId="111" fillId="21" borderId="126" xfId="0" applyNumberFormat="1" applyFont="1" applyFill="1" applyBorder="1" applyAlignment="1">
      <alignment horizontal="center" vertical="center"/>
    </xf>
    <xf numFmtId="1" fontId="6" fillId="21" borderId="98" xfId="0" applyNumberFormat="1" applyFont="1" applyFill="1" applyBorder="1" applyAlignment="1">
      <alignment horizontal="center" vertical="center"/>
    </xf>
    <xf numFmtId="2" fontId="6" fillId="21" borderId="125" xfId="0" applyNumberFormat="1" applyFont="1" applyFill="1" applyBorder="1" applyAlignment="1">
      <alignment horizontal="center" vertical="center"/>
    </xf>
    <xf numFmtId="0" fontId="138" fillId="25" borderId="0" xfId="0" applyFont="1" applyFill="1"/>
    <xf numFmtId="0" fontId="39" fillId="25" borderId="0" xfId="0" applyFont="1" applyFill="1"/>
    <xf numFmtId="0" fontId="89" fillId="25" borderId="10" xfId="0" applyFont="1" applyFill="1" applyBorder="1" applyAlignment="1">
      <alignment horizontal="right" vertical="center"/>
    </xf>
    <xf numFmtId="2" fontId="89" fillId="13" borderId="60" xfId="0" applyNumberFormat="1" applyFont="1" applyFill="1" applyBorder="1" applyAlignment="1">
      <alignment horizontal="center" vertical="center"/>
    </xf>
    <xf numFmtId="1" fontId="89" fillId="0" borderId="30" xfId="0" applyNumberFormat="1" applyFont="1" applyBorder="1" applyAlignment="1">
      <alignment horizontal="center" vertical="center"/>
    </xf>
    <xf numFmtId="1" fontId="72" fillId="15" borderId="40" xfId="0" applyNumberFormat="1" applyFont="1" applyFill="1" applyBorder="1" applyAlignment="1">
      <alignment horizontal="center" vertical="center"/>
    </xf>
    <xf numFmtId="0" fontId="104" fillId="0" borderId="44" xfId="0" applyFont="1" applyBorder="1" applyAlignment="1">
      <alignment vertical="center"/>
    </xf>
    <xf numFmtId="1" fontId="89" fillId="25" borderId="41" xfId="0" applyNumberFormat="1" applyFont="1" applyFill="1" applyBorder="1" applyAlignment="1">
      <alignment horizontal="center" vertical="center"/>
    </xf>
    <xf numFmtId="0" fontId="24" fillId="0" borderId="56" xfId="0" applyFont="1" applyBorder="1"/>
    <xf numFmtId="0" fontId="83" fillId="0" borderId="52" xfId="0" applyFont="1" applyBorder="1" applyAlignment="1">
      <alignment vertical="center"/>
    </xf>
    <xf numFmtId="0" fontId="24" fillId="0" borderId="0" xfId="0" applyFont="1" applyBorder="1"/>
    <xf numFmtId="0" fontId="89" fillId="0" borderId="47" xfId="0" quotePrefix="1" applyFont="1" applyBorder="1" applyAlignment="1">
      <alignment horizontal="right" vertical="center"/>
    </xf>
    <xf numFmtId="2" fontId="89" fillId="13" borderId="23" xfId="0" applyNumberFormat="1" applyFont="1" applyFill="1" applyBorder="1" applyAlignment="1">
      <alignment horizontal="center" vertical="center"/>
    </xf>
    <xf numFmtId="0" fontId="24" fillId="0" borderId="28" xfId="0" applyFont="1" applyBorder="1"/>
    <xf numFmtId="0" fontId="83" fillId="0" borderId="57" xfId="0" applyFont="1" applyBorder="1" applyAlignment="1">
      <alignment vertical="center"/>
    </xf>
    <xf numFmtId="1" fontId="76" fillId="15" borderId="0" xfId="0" applyNumberFormat="1" applyFont="1" applyFill="1" applyBorder="1" applyAlignment="1">
      <alignment horizontal="center" vertical="center"/>
    </xf>
    <xf numFmtId="1" fontId="83" fillId="0" borderId="92" xfId="0" applyNumberFormat="1" applyFont="1" applyBorder="1" applyAlignment="1">
      <alignment horizontal="center" vertical="center"/>
    </xf>
    <xf numFmtId="0" fontId="84" fillId="0" borderId="39" xfId="0" applyFont="1" applyBorder="1" applyAlignment="1">
      <alignment vertical="center"/>
    </xf>
    <xf numFmtId="1" fontId="83" fillId="17" borderId="45" xfId="0" applyNumberFormat="1" applyFont="1" applyFill="1" applyBorder="1" applyAlignment="1">
      <alignment horizontal="center" vertical="center"/>
    </xf>
    <xf numFmtId="1" fontId="83" fillId="15" borderId="40" xfId="0" applyNumberFormat="1" applyFont="1" applyFill="1" applyBorder="1" applyAlignment="1">
      <alignment horizontal="center" vertical="center"/>
    </xf>
    <xf numFmtId="1" fontId="83" fillId="13" borderId="43" xfId="0" applyNumberFormat="1" applyFont="1" applyFill="1" applyBorder="1" applyAlignment="1">
      <alignment horizontal="center" vertical="center"/>
    </xf>
    <xf numFmtId="1" fontId="83" fillId="2" borderId="70" xfId="0" applyNumberFormat="1" applyFont="1" applyFill="1" applyBorder="1" applyAlignment="1">
      <alignment horizontal="center" vertical="center"/>
    </xf>
    <xf numFmtId="0" fontId="88" fillId="25" borderId="48" xfId="0" applyFont="1" applyFill="1" applyBorder="1" applyAlignment="1">
      <alignment vertical="center"/>
    </xf>
    <xf numFmtId="0" fontId="75" fillId="25" borderId="8" xfId="0" applyFont="1" applyFill="1" applyBorder="1" applyAlignment="1">
      <alignment horizontal="center" vertical="center"/>
    </xf>
    <xf numFmtId="0" fontId="75" fillId="25" borderId="7" xfId="0" applyFont="1" applyFill="1" applyBorder="1" applyAlignment="1">
      <alignment horizontal="center" vertical="center"/>
    </xf>
    <xf numFmtId="1" fontId="75" fillId="25" borderId="7" xfId="0" applyNumberFormat="1" applyFont="1" applyFill="1" applyBorder="1" applyAlignment="1">
      <alignment horizontal="center" vertical="center"/>
    </xf>
    <xf numFmtId="1" fontId="74" fillId="25" borderId="7" xfId="0" applyNumberFormat="1" applyFont="1" applyFill="1" applyBorder="1" applyAlignment="1">
      <alignment horizontal="center" vertical="center"/>
    </xf>
    <xf numFmtId="0" fontId="74" fillId="25" borderId="50" xfId="0" applyFont="1" applyFill="1" applyBorder="1" applyAlignment="1">
      <alignment horizontal="center" vertical="center"/>
    </xf>
    <xf numFmtId="0" fontId="107" fillId="25" borderId="7" xfId="0" applyFont="1" applyFill="1" applyBorder="1" applyAlignment="1">
      <alignment horizontal="center" vertical="center"/>
    </xf>
    <xf numFmtId="0" fontId="83" fillId="0" borderId="44" xfId="0" applyFont="1" applyBorder="1" applyAlignment="1">
      <alignment vertical="center"/>
    </xf>
    <xf numFmtId="0" fontId="89" fillId="0" borderId="31" xfId="0" applyFont="1" applyBorder="1" applyAlignment="1">
      <alignment horizontal="right" vertical="center"/>
    </xf>
    <xf numFmtId="0" fontId="89" fillId="0" borderId="62" xfId="0" applyFont="1" applyBorder="1" applyAlignment="1">
      <alignment horizontal="right" vertical="center"/>
    </xf>
    <xf numFmtId="0" fontId="83" fillId="0" borderId="74" xfId="0" applyFont="1" applyBorder="1" applyAlignment="1">
      <alignment horizontal="left" vertical="center" wrapText="1"/>
    </xf>
    <xf numFmtId="0" fontId="89" fillId="25" borderId="31" xfId="0" applyFont="1" applyFill="1" applyBorder="1" applyAlignment="1">
      <alignment horizontal="right" vertical="center"/>
    </xf>
    <xf numFmtId="0" fontId="83" fillId="25" borderId="31" xfId="0" applyFont="1" applyFill="1" applyBorder="1" applyAlignment="1">
      <alignment vertical="center"/>
    </xf>
    <xf numFmtId="0" fontId="89" fillId="25" borderId="62" xfId="0" applyFont="1" applyFill="1" applyBorder="1" applyAlignment="1">
      <alignment horizontal="right" vertical="center"/>
    </xf>
    <xf numFmtId="0" fontId="83" fillId="0" borderId="47" xfId="0" applyFont="1" applyBorder="1" applyAlignment="1">
      <alignment vertical="center"/>
    </xf>
    <xf numFmtId="0" fontId="83" fillId="0" borderId="62" xfId="0" applyFont="1" applyBorder="1" applyAlignment="1">
      <alignment vertical="center"/>
    </xf>
    <xf numFmtId="43" fontId="89" fillId="0" borderId="52" xfId="2" applyFont="1" applyBorder="1" applyAlignment="1">
      <alignment horizontal="left" vertical="center"/>
    </xf>
    <xf numFmtId="0" fontId="89" fillId="0" borderId="47" xfId="0" quotePrefix="1" applyFont="1" applyBorder="1" applyAlignment="1">
      <alignment horizontal="left" vertical="center"/>
    </xf>
    <xf numFmtId="1" fontId="89" fillId="15" borderId="40" xfId="0" applyNumberFormat="1" applyFont="1" applyFill="1" applyBorder="1" applyAlignment="1">
      <alignment horizontal="center" vertical="center"/>
    </xf>
    <xf numFmtId="1" fontId="83" fillId="15" borderId="60" xfId="0" applyNumberFormat="1" applyFont="1" applyFill="1" applyBorder="1" applyAlignment="1">
      <alignment horizontal="center" vertical="center"/>
    </xf>
    <xf numFmtId="1" fontId="89" fillId="15" borderId="2" xfId="0" applyNumberFormat="1" applyFont="1" applyFill="1" applyBorder="1" applyAlignment="1">
      <alignment horizontal="center" vertical="center"/>
    </xf>
    <xf numFmtId="1" fontId="89" fillId="4" borderId="10" xfId="0" applyNumberFormat="1" applyFont="1" applyFill="1" applyBorder="1" applyAlignment="1">
      <alignment horizontal="center" vertical="center"/>
    </xf>
    <xf numFmtId="1" fontId="72" fillId="4" borderId="10" xfId="0" applyNumberFormat="1" applyFont="1" applyFill="1" applyBorder="1" applyAlignment="1">
      <alignment horizontal="center" vertical="center"/>
    </xf>
    <xf numFmtId="0" fontId="24" fillId="0" borderId="10" xfId="0" applyFont="1" applyBorder="1"/>
    <xf numFmtId="43" fontId="89" fillId="0" borderId="35" xfId="2" applyFont="1" applyBorder="1" applyAlignment="1">
      <alignment horizontal="left" vertical="center"/>
    </xf>
    <xf numFmtId="1" fontId="72" fillId="3" borderId="40" xfId="0" applyNumberFormat="1" applyFont="1" applyFill="1" applyBorder="1" applyAlignment="1">
      <alignment horizontal="center" vertical="center"/>
    </xf>
    <xf numFmtId="1" fontId="76" fillId="14" borderId="10" xfId="0" applyNumberFormat="1" applyFont="1" applyFill="1" applyBorder="1" applyAlignment="1">
      <alignment horizontal="center" vertical="center"/>
    </xf>
    <xf numFmtId="1" fontId="89" fillId="5" borderId="10" xfId="0" applyNumberFormat="1" applyFont="1" applyFill="1" applyBorder="1" applyAlignment="1">
      <alignment horizontal="center" vertical="center"/>
    </xf>
    <xf numFmtId="1" fontId="76" fillId="13" borderId="41" xfId="0" applyNumberFormat="1" applyFont="1" applyFill="1" applyBorder="1" applyAlignment="1">
      <alignment horizontal="center" vertical="center"/>
    </xf>
    <xf numFmtId="1" fontId="76" fillId="14" borderId="41" xfId="0" applyNumberFormat="1" applyFont="1" applyFill="1" applyBorder="1" applyAlignment="1">
      <alignment horizontal="center" vertical="center"/>
    </xf>
    <xf numFmtId="1" fontId="89" fillId="2" borderId="41" xfId="0" applyNumberFormat="1" applyFont="1" applyFill="1" applyBorder="1" applyAlignment="1">
      <alignment horizontal="center" vertical="center"/>
    </xf>
    <xf numFmtId="1" fontId="72" fillId="14" borderId="41" xfId="0" applyNumberFormat="1" applyFont="1" applyFill="1" applyBorder="1" applyAlignment="1">
      <alignment horizontal="center" vertical="center"/>
    </xf>
    <xf numFmtId="1" fontId="72" fillId="3" borderId="41" xfId="0" applyNumberFormat="1" applyFont="1" applyFill="1" applyBorder="1" applyAlignment="1">
      <alignment horizontal="center" vertical="center"/>
    </xf>
    <xf numFmtId="2" fontId="89" fillId="2" borderId="41" xfId="0" applyNumberFormat="1" applyFont="1" applyFill="1" applyBorder="1" applyAlignment="1">
      <alignment horizontal="center" vertical="center"/>
    </xf>
    <xf numFmtId="0" fontId="24" fillId="0" borderId="41" xfId="0" applyFont="1" applyBorder="1"/>
    <xf numFmtId="0" fontId="24" fillId="0" borderId="42" xfId="0" applyFont="1" applyBorder="1"/>
    <xf numFmtId="43" fontId="89" fillId="0" borderId="31" xfId="2" applyFont="1" applyBorder="1" applyAlignment="1">
      <alignment horizontal="left" vertical="center"/>
    </xf>
    <xf numFmtId="0" fontId="24" fillId="0" borderId="17" xfId="0" applyFont="1" applyBorder="1"/>
    <xf numFmtId="43" fontId="89" fillId="0" borderId="32" xfId="2" applyFont="1" applyBorder="1" applyAlignment="1">
      <alignment horizontal="left" vertical="center"/>
    </xf>
    <xf numFmtId="1" fontId="76" fillId="13" borderId="23" xfId="0" applyNumberFormat="1" applyFont="1" applyFill="1" applyBorder="1" applyAlignment="1">
      <alignment horizontal="center" vertical="center"/>
    </xf>
    <xf numFmtId="1" fontId="76" fillId="14" borderId="23" xfId="0" applyNumberFormat="1" applyFont="1" applyFill="1" applyBorder="1" applyAlignment="1">
      <alignment horizontal="center" vertical="center"/>
    </xf>
    <xf numFmtId="0" fontId="24" fillId="0" borderId="23" xfId="0" applyFont="1" applyBorder="1"/>
    <xf numFmtId="0" fontId="24" fillId="0" borderId="33" xfId="0" applyFont="1" applyBorder="1"/>
    <xf numFmtId="43" fontId="89" fillId="0" borderId="62" xfId="2" applyFont="1" applyBorder="1" applyAlignment="1">
      <alignment horizontal="left" vertical="center"/>
    </xf>
    <xf numFmtId="1" fontId="76" fillId="13" borderId="45" xfId="0" applyNumberFormat="1" applyFont="1" applyFill="1" applyBorder="1" applyAlignment="1">
      <alignment horizontal="center" vertical="center"/>
    </xf>
    <xf numFmtId="0" fontId="24" fillId="0" borderId="45" xfId="0" applyFont="1" applyBorder="1"/>
    <xf numFmtId="0" fontId="24" fillId="0" borderId="72" xfId="0" applyFont="1" applyBorder="1"/>
    <xf numFmtId="0" fontId="104" fillId="0" borderId="63" xfId="0" applyFont="1" applyBorder="1" applyAlignment="1">
      <alignment vertical="center"/>
    </xf>
    <xf numFmtId="1" fontId="76" fillId="25" borderId="41" xfId="0" applyNumberFormat="1" applyFont="1" applyFill="1" applyBorder="1" applyAlignment="1">
      <alignment horizontal="center" vertical="center"/>
    </xf>
    <xf numFmtId="1" fontId="72" fillId="25" borderId="41" xfId="0" applyNumberFormat="1" applyFont="1" applyFill="1" applyBorder="1" applyAlignment="1">
      <alignment horizontal="center" vertical="center"/>
    </xf>
    <xf numFmtId="2" fontId="89" fillId="25" borderId="41" xfId="0" applyNumberFormat="1" applyFont="1" applyFill="1" applyBorder="1" applyAlignment="1">
      <alignment horizontal="center" vertical="center"/>
    </xf>
    <xf numFmtId="0" fontId="24" fillId="25" borderId="41" xfId="0" applyFont="1" applyFill="1" applyBorder="1"/>
    <xf numFmtId="0" fontId="24" fillId="25" borderId="42" xfId="0" applyFont="1" applyFill="1" applyBorder="1"/>
    <xf numFmtId="2" fontId="89" fillId="17" borderId="23" xfId="0" applyNumberFormat="1" applyFont="1" applyFill="1" applyBorder="1" applyAlignment="1">
      <alignment horizontal="center" vertical="center"/>
    </xf>
    <xf numFmtId="0" fontId="34" fillId="0" borderId="51" xfId="0" applyFont="1" applyBorder="1" applyAlignment="1">
      <alignment vertical="center"/>
    </xf>
    <xf numFmtId="1" fontId="63" fillId="13" borderId="28" xfId="0" applyNumberFormat="1" applyFont="1" applyFill="1" applyBorder="1" applyAlignment="1">
      <alignment horizontal="center" vertical="center"/>
    </xf>
    <xf numFmtId="1" fontId="36" fillId="17" borderId="48" xfId="0" applyNumberFormat="1" applyFont="1" applyFill="1" applyBorder="1" applyAlignment="1">
      <alignment horizontal="center" vertical="center"/>
    </xf>
    <xf numFmtId="1" fontId="42" fillId="17" borderId="10" xfId="0" applyNumberFormat="1" applyFont="1" applyFill="1" applyBorder="1" applyAlignment="1">
      <alignment horizontal="center" vertical="center"/>
    </xf>
    <xf numFmtId="1" fontId="63" fillId="17" borderId="10" xfId="0" applyNumberFormat="1" applyFont="1" applyFill="1" applyBorder="1" applyAlignment="1">
      <alignment horizontal="center" vertical="center"/>
    </xf>
    <xf numFmtId="1" fontId="30" fillId="0" borderId="0" xfId="0" applyNumberFormat="1" applyFont="1"/>
    <xf numFmtId="1" fontId="36" fillId="17" borderId="23" xfId="0" applyNumberFormat="1" applyFont="1" applyFill="1" applyBorder="1" applyAlignment="1">
      <alignment horizontal="center" vertical="center"/>
    </xf>
    <xf numFmtId="1" fontId="72" fillId="17" borderId="23" xfId="0" applyNumberFormat="1" applyFont="1" applyFill="1" applyBorder="1" applyAlignment="1">
      <alignment horizontal="center" vertical="center"/>
    </xf>
    <xf numFmtId="0" fontId="75" fillId="25" borderId="44" xfId="0" applyFont="1" applyFill="1" applyBorder="1" applyAlignment="1">
      <alignment horizontal="center" vertical="center" wrapText="1"/>
    </xf>
    <xf numFmtId="0" fontId="75" fillId="25" borderId="47" xfId="0" quotePrefix="1" applyFont="1" applyFill="1" applyBorder="1" applyAlignment="1">
      <alignment horizontal="center" vertical="center"/>
    </xf>
    <xf numFmtId="0" fontId="75" fillId="25" borderId="51" xfId="0" quotePrefix="1" applyFont="1" applyFill="1" applyBorder="1" applyAlignment="1">
      <alignment horizontal="center" vertical="center"/>
    </xf>
    <xf numFmtId="1" fontId="73" fillId="0" borderId="0" xfId="0" applyNumberFormat="1" applyFont="1"/>
    <xf numFmtId="41" fontId="34" fillId="0" borderId="6" xfId="0" quotePrefix="1" applyNumberFormat="1" applyFont="1" applyBorder="1" applyAlignment="1">
      <alignment horizontal="left" vertical="center"/>
    </xf>
    <xf numFmtId="41" fontId="35" fillId="0" borderId="6" xfId="0" quotePrefix="1" applyNumberFormat="1" applyFont="1" applyBorder="1" applyAlignment="1">
      <alignment horizontal="left" vertical="center"/>
    </xf>
    <xf numFmtId="41" fontId="34" fillId="25" borderId="6" xfId="0" quotePrefix="1" applyNumberFormat="1" applyFont="1" applyFill="1" applyBorder="1" applyAlignment="1">
      <alignment horizontal="left" vertical="center"/>
    </xf>
    <xf numFmtId="41" fontId="34" fillId="0" borderId="47" xfId="0" quotePrefix="1" applyNumberFormat="1" applyFont="1" applyBorder="1" applyAlignment="1">
      <alignment horizontal="left" vertical="center"/>
    </xf>
    <xf numFmtId="41" fontId="34" fillId="0" borderId="47" xfId="0" applyNumberFormat="1" applyFont="1" applyBorder="1" applyAlignment="1">
      <alignment horizontal="left" vertical="center"/>
    </xf>
    <xf numFmtId="41" fontId="34" fillId="0" borderId="0" xfId="0" quotePrefix="1" applyNumberFormat="1" applyFont="1" applyBorder="1" applyAlignment="1">
      <alignment horizontal="left" vertical="center"/>
    </xf>
    <xf numFmtId="41" fontId="35" fillId="0" borderId="47" xfId="0" quotePrefix="1" applyNumberFormat="1" applyFont="1" applyBorder="1" applyAlignment="1">
      <alignment horizontal="left" vertical="center"/>
    </xf>
    <xf numFmtId="41" fontId="35" fillId="0" borderId="75" xfId="0" quotePrefix="1" applyNumberFormat="1" applyFont="1" applyBorder="1" applyAlignment="1">
      <alignment horizontal="left" vertical="center"/>
    </xf>
    <xf numFmtId="41" fontId="34" fillId="0" borderId="75" xfId="0" quotePrefix="1" applyNumberFormat="1" applyFont="1" applyBorder="1" applyAlignment="1">
      <alignment horizontal="left" vertical="center"/>
    </xf>
    <xf numFmtId="2" fontId="34" fillId="0" borderId="55" xfId="0" quotePrefix="1" applyNumberFormat="1" applyFont="1" applyBorder="1" applyAlignment="1">
      <alignment horizontal="center" vertical="center"/>
    </xf>
    <xf numFmtId="0" fontId="34" fillId="0" borderId="0" xfId="0" applyFont="1" applyBorder="1" applyAlignment="1">
      <alignment vertical="center"/>
    </xf>
    <xf numFmtId="2" fontId="44" fillId="0" borderId="54" xfId="0" applyNumberFormat="1" applyFont="1" applyBorder="1" applyAlignment="1">
      <alignment horizontal="center" vertical="center"/>
    </xf>
    <xf numFmtId="2" fontId="34" fillId="13" borderId="40" xfId="0" applyNumberFormat="1" applyFont="1" applyFill="1" applyBorder="1" applyAlignment="1">
      <alignment horizontal="center" vertical="center"/>
    </xf>
    <xf numFmtId="1" fontId="89" fillId="25" borderId="14" xfId="1" applyNumberFormat="1" applyFont="1" applyFill="1" applyBorder="1" applyAlignment="1">
      <alignment horizontal="center" vertical="center"/>
    </xf>
    <xf numFmtId="2" fontId="111" fillId="25" borderId="42" xfId="0" applyNumberFormat="1" applyFont="1" applyFill="1" applyBorder="1" applyAlignment="1">
      <alignment horizontal="center" vertical="center"/>
    </xf>
    <xf numFmtId="0" fontId="111" fillId="25" borderId="17" xfId="0" applyFont="1" applyFill="1" applyBorder="1" applyAlignment="1">
      <alignment horizontal="center" vertical="center"/>
    </xf>
    <xf numFmtId="0" fontId="111" fillId="25" borderId="72" xfId="0" applyFont="1" applyFill="1" applyBorder="1" applyAlignment="1">
      <alignment horizontal="center" vertical="center"/>
    </xf>
    <xf numFmtId="0" fontId="111" fillId="25" borderId="33" xfId="0" applyFont="1" applyFill="1" applyBorder="1" applyAlignment="1">
      <alignment horizontal="center" vertical="center"/>
    </xf>
    <xf numFmtId="1" fontId="125" fillId="25" borderId="10" xfId="0" applyNumberFormat="1" applyFont="1" applyFill="1" applyBorder="1" applyAlignment="1">
      <alignment horizontal="center" vertical="center"/>
    </xf>
    <xf numFmtId="1" fontId="138" fillId="25" borderId="29" xfId="0" applyNumberFormat="1" applyFont="1" applyFill="1" applyBorder="1" applyAlignment="1">
      <alignment horizontal="center" vertical="center" wrapText="1"/>
    </xf>
    <xf numFmtId="1" fontId="111" fillId="25" borderId="72" xfId="0" applyNumberFormat="1" applyFont="1" applyFill="1" applyBorder="1" applyAlignment="1">
      <alignment horizontal="center" vertical="center" wrapText="1"/>
    </xf>
    <xf numFmtId="1" fontId="111" fillId="25" borderId="45" xfId="0" applyNumberFormat="1" applyFont="1" applyFill="1" applyBorder="1" applyAlignment="1">
      <alignment horizontal="center" vertical="center"/>
    </xf>
    <xf numFmtId="0" fontId="36" fillId="25" borderId="3" xfId="0" applyFont="1" applyFill="1" applyBorder="1" applyAlignment="1">
      <alignment vertical="center"/>
    </xf>
    <xf numFmtId="0" fontId="36" fillId="25" borderId="24" xfId="0" applyFont="1" applyFill="1" applyBorder="1" applyAlignment="1">
      <alignment vertical="center"/>
    </xf>
    <xf numFmtId="0" fontId="72" fillId="25" borderId="61" xfId="0" applyFont="1" applyFill="1" applyBorder="1"/>
    <xf numFmtId="2" fontId="34" fillId="51" borderId="18" xfId="0" applyNumberFormat="1" applyFont="1" applyFill="1" applyBorder="1" applyAlignment="1">
      <alignment horizontal="center" vertical="center"/>
    </xf>
    <xf numFmtId="0" fontId="83" fillId="25" borderId="35" xfId="0" quotePrefix="1" applyFont="1" applyFill="1" applyBorder="1" applyAlignment="1">
      <alignment horizontal="right" vertical="top"/>
    </xf>
    <xf numFmtId="0" fontId="204" fillId="25" borderId="63" xfId="0" applyFont="1" applyFill="1" applyBorder="1" applyAlignment="1">
      <alignment vertical="center" wrapText="1"/>
    </xf>
    <xf numFmtId="1" fontId="83" fillId="25" borderId="24" xfId="0" applyNumberFormat="1" applyFont="1" applyFill="1" applyBorder="1" applyAlignment="1">
      <alignment horizontal="center" vertical="center"/>
    </xf>
    <xf numFmtId="1" fontId="76" fillId="25" borderId="24" xfId="0" applyNumberFormat="1" applyFont="1" applyFill="1" applyBorder="1" applyAlignment="1">
      <alignment horizontal="center" vertical="center"/>
    </xf>
    <xf numFmtId="1" fontId="83" fillId="25" borderId="39" xfId="0" applyNumberFormat="1" applyFont="1" applyFill="1" applyBorder="1" applyAlignment="1">
      <alignment horizontal="center" vertical="center"/>
    </xf>
    <xf numFmtId="1" fontId="76" fillId="25" borderId="39" xfId="0" applyNumberFormat="1" applyFont="1" applyFill="1" applyBorder="1" applyAlignment="1">
      <alignment horizontal="center" vertical="center"/>
    </xf>
    <xf numFmtId="0" fontId="24" fillId="25" borderId="56" xfId="0" applyFont="1" applyFill="1" applyBorder="1"/>
    <xf numFmtId="0" fontId="13" fillId="25" borderId="47" xfId="0" applyFont="1" applyFill="1" applyBorder="1" applyAlignment="1">
      <alignment vertical="center"/>
    </xf>
    <xf numFmtId="0" fontId="23" fillId="25" borderId="29" xfId="0" applyFont="1" applyFill="1" applyBorder="1" applyAlignment="1">
      <alignment horizontal="center" vertical="center"/>
    </xf>
    <xf numFmtId="0" fontId="23" fillId="25" borderId="6" xfId="0" applyFont="1" applyFill="1" applyBorder="1" applyAlignment="1">
      <alignment horizontal="center" vertical="center"/>
    </xf>
    <xf numFmtId="2" fontId="34" fillId="25" borderId="7" xfId="0" applyNumberFormat="1" applyFont="1" applyFill="1" applyBorder="1" applyAlignment="1">
      <alignment horizontal="center" vertical="center"/>
    </xf>
    <xf numFmtId="2" fontId="34" fillId="25" borderId="6" xfId="0" applyNumberFormat="1" applyFont="1" applyFill="1" applyBorder="1" applyAlignment="1">
      <alignment vertical="center"/>
    </xf>
    <xf numFmtId="2" fontId="34" fillId="25" borderId="7" xfId="0" applyNumberFormat="1" applyFont="1" applyFill="1" applyBorder="1" applyAlignment="1">
      <alignment vertical="center"/>
    </xf>
    <xf numFmtId="2" fontId="76" fillId="25" borderId="7" xfId="0" applyNumberFormat="1" applyFont="1" applyFill="1" applyBorder="1" applyAlignment="1">
      <alignment vertical="center"/>
    </xf>
    <xf numFmtId="2" fontId="76" fillId="25" borderId="50" xfId="0" applyNumberFormat="1" applyFont="1" applyFill="1" applyBorder="1" applyAlignment="1">
      <alignment vertical="center"/>
    </xf>
    <xf numFmtId="1" fontId="34" fillId="14" borderId="12" xfId="0" quotePrefix="1" applyNumberFormat="1" applyFont="1" applyFill="1" applyBorder="1" applyAlignment="1">
      <alignment horizontal="center" vertical="center"/>
    </xf>
    <xf numFmtId="1" fontId="138" fillId="0" borderId="9" xfId="0" applyNumberFormat="1" applyFont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38" fillId="25" borderId="29" xfId="0" applyNumberFormat="1" applyFont="1" applyFill="1" applyBorder="1" applyAlignment="1">
      <alignment horizontal="center" vertical="center"/>
    </xf>
    <xf numFmtId="1" fontId="138" fillId="25" borderId="38" xfId="0" applyNumberFormat="1" applyFont="1" applyFill="1" applyBorder="1" applyAlignment="1">
      <alignment horizontal="center" vertical="center"/>
    </xf>
    <xf numFmtId="1" fontId="125" fillId="19" borderId="76" xfId="0" applyNumberFormat="1" applyFont="1" applyFill="1" applyBorder="1" applyAlignment="1">
      <alignment horizontal="center" vertical="center"/>
    </xf>
    <xf numFmtId="1" fontId="125" fillId="21" borderId="76" xfId="0" applyNumberFormat="1" applyFont="1" applyFill="1" applyBorder="1" applyAlignment="1">
      <alignment horizontal="center" vertical="center"/>
    </xf>
    <xf numFmtId="1" fontId="138" fillId="25" borderId="20" xfId="0" applyNumberFormat="1" applyFont="1" applyFill="1" applyBorder="1" applyAlignment="1">
      <alignment horizontal="center" vertical="center"/>
    </xf>
    <xf numFmtId="1" fontId="109" fillId="19" borderId="17" xfId="0" applyNumberFormat="1" applyFont="1" applyFill="1" applyBorder="1" applyAlignment="1">
      <alignment horizontal="center" vertical="center"/>
    </xf>
    <xf numFmtId="0" fontId="125" fillId="0" borderId="23" xfId="0" applyFont="1" applyBorder="1" applyAlignment="1">
      <alignment horizontal="center" vertical="center"/>
    </xf>
    <xf numFmtId="0" fontId="119" fillId="25" borderId="1" xfId="0" applyFont="1" applyFill="1" applyBorder="1" applyAlignment="1">
      <alignment horizontal="center" vertical="center"/>
    </xf>
    <xf numFmtId="0" fontId="112" fillId="25" borderId="4" xfId="0" applyFont="1" applyFill="1" applyBorder="1" applyAlignment="1">
      <alignment horizontal="center" vertical="center"/>
    </xf>
    <xf numFmtId="0" fontId="119" fillId="25" borderId="4" xfId="0" applyFont="1" applyFill="1" applyBorder="1" applyAlignment="1">
      <alignment horizontal="center" vertical="center"/>
    </xf>
    <xf numFmtId="1" fontId="34" fillId="25" borderId="92" xfId="0" applyNumberFormat="1" applyFont="1" applyFill="1" applyBorder="1" applyAlignment="1">
      <alignment horizontal="center" vertical="center"/>
    </xf>
    <xf numFmtId="0" fontId="27" fillId="25" borderId="84" xfId="0" applyFont="1" applyFill="1" applyBorder="1"/>
    <xf numFmtId="0" fontId="27" fillId="25" borderId="0" xfId="0" applyFont="1" applyFill="1"/>
    <xf numFmtId="1" fontId="34" fillId="25" borderId="14" xfId="0" applyNumberFormat="1" applyFont="1" applyFill="1" applyBorder="1" applyAlignment="1">
      <alignment horizontal="center" vertical="center"/>
    </xf>
    <xf numFmtId="1" fontId="34" fillId="25" borderId="5" xfId="0" applyNumberFormat="1" applyFont="1" applyFill="1" applyBorder="1" applyAlignment="1">
      <alignment horizontal="center" vertical="center"/>
    </xf>
    <xf numFmtId="0" fontId="63" fillId="25" borderId="1" xfId="0" applyFont="1" applyFill="1" applyBorder="1" applyAlignment="1">
      <alignment vertical="center"/>
    </xf>
    <xf numFmtId="0" fontId="42" fillId="0" borderId="40" xfId="0" applyFont="1" applyBorder="1" applyAlignment="1">
      <alignment vertical="top"/>
    </xf>
    <xf numFmtId="169" fontId="72" fillId="25" borderId="40" xfId="0" applyNumberFormat="1" applyFont="1" applyFill="1" applyBorder="1" applyAlignment="1">
      <alignment vertical="center"/>
    </xf>
    <xf numFmtId="0" fontId="72" fillId="25" borderId="59" xfId="0" applyFont="1" applyFill="1" applyBorder="1" applyAlignment="1">
      <alignment horizontal="center" vertical="center"/>
    </xf>
    <xf numFmtId="0" fontId="72" fillId="25" borderId="49" xfId="0" applyFont="1" applyFill="1" applyBorder="1" applyAlignment="1">
      <alignment vertical="center"/>
    </xf>
    <xf numFmtId="2" fontId="72" fillId="25" borderId="75" xfId="0" applyNumberFormat="1" applyFont="1" applyFill="1" applyBorder="1" applyAlignment="1">
      <alignment horizontal="center" vertical="center"/>
    </xf>
    <xf numFmtId="0" fontId="72" fillId="25" borderId="0" xfId="0" applyFont="1" applyFill="1" applyAlignment="1">
      <alignment horizontal="center" vertical="center"/>
    </xf>
    <xf numFmtId="0" fontId="72" fillId="25" borderId="75" xfId="0" applyFont="1" applyFill="1" applyBorder="1" applyAlignment="1">
      <alignment horizontal="center" vertical="center"/>
    </xf>
    <xf numFmtId="0" fontId="34" fillId="0" borderId="70" xfId="0" applyFont="1" applyBorder="1" applyAlignment="1">
      <alignment vertical="center"/>
    </xf>
    <xf numFmtId="0" fontId="35" fillId="0" borderId="31" xfId="0" applyFont="1" applyBorder="1" applyAlignment="1">
      <alignment horizontal="left" vertical="center"/>
    </xf>
    <xf numFmtId="171" fontId="35" fillId="17" borderId="47" xfId="5" applyNumberFormat="1" applyFont="1" applyFill="1" applyBorder="1" applyAlignment="1">
      <alignment horizontal="center" vertical="center"/>
    </xf>
    <xf numFmtId="171" fontId="35" fillId="17" borderId="70" xfId="5" applyNumberFormat="1" applyFont="1" applyFill="1" applyBorder="1" applyAlignment="1">
      <alignment horizontal="center" vertical="center"/>
    </xf>
    <xf numFmtId="171" fontId="83" fillId="13" borderId="43" xfId="0" applyNumberFormat="1" applyFont="1" applyFill="1" applyBorder="1" applyAlignment="1">
      <alignment horizontal="center" vertical="center"/>
    </xf>
    <xf numFmtId="171" fontId="83" fillId="13" borderId="16" xfId="0" applyNumberFormat="1" applyFont="1" applyFill="1" applyBorder="1" applyAlignment="1">
      <alignment horizontal="center" vertical="center"/>
    </xf>
    <xf numFmtId="171" fontId="83" fillId="13" borderId="10" xfId="0" applyNumberFormat="1" applyFont="1" applyFill="1" applyBorder="1" applyAlignment="1">
      <alignment horizontal="center" vertical="center"/>
    </xf>
    <xf numFmtId="0" fontId="10" fillId="25" borderId="67" xfId="0" applyFont="1" applyFill="1" applyBorder="1" applyAlignment="1">
      <alignment horizontal="center" vertical="center"/>
    </xf>
    <xf numFmtId="2" fontId="13" fillId="25" borderId="6" xfId="0" applyNumberFormat="1" applyFont="1" applyFill="1" applyBorder="1" applyAlignment="1">
      <alignment vertical="center"/>
    </xf>
    <xf numFmtId="2" fontId="13" fillId="25" borderId="6" xfId="0" applyNumberFormat="1" applyFont="1" applyFill="1" applyBorder="1" applyAlignment="1">
      <alignment horizontal="center" vertical="center"/>
    </xf>
    <xf numFmtId="0" fontId="96" fillId="25" borderId="19" xfId="0" applyFont="1" applyFill="1" applyBorder="1" applyAlignment="1">
      <alignment vertical="center"/>
    </xf>
    <xf numFmtId="2" fontId="67" fillId="25" borderId="66" xfId="0" applyNumberFormat="1" applyFont="1" applyFill="1" applyBorder="1" applyAlignment="1">
      <alignment horizontal="center" vertical="center"/>
    </xf>
    <xf numFmtId="2" fontId="67" fillId="25" borderId="37" xfId="0" applyNumberFormat="1" applyFont="1" applyFill="1" applyBorder="1" applyAlignment="1">
      <alignment horizontal="center" vertical="center"/>
    </xf>
    <xf numFmtId="0" fontId="177" fillId="0" borderId="0" xfId="0" applyFont="1"/>
    <xf numFmtId="1" fontId="138" fillId="19" borderId="62" xfId="0" applyNumberFormat="1" applyFont="1" applyFill="1" applyBorder="1" applyAlignment="1">
      <alignment horizontal="center" vertical="center"/>
    </xf>
    <xf numFmtId="1" fontId="138" fillId="21" borderId="62" xfId="0" applyNumberFormat="1" applyFont="1" applyFill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1" fontId="138" fillId="21" borderId="31" xfId="0" applyNumberFormat="1" applyFont="1" applyFill="1" applyBorder="1" applyAlignment="1">
      <alignment horizontal="center" vertical="center"/>
    </xf>
    <xf numFmtId="1" fontId="138" fillId="19" borderId="34" xfId="0" applyNumberFormat="1" applyFont="1" applyFill="1" applyBorder="1" applyAlignment="1">
      <alignment horizontal="center" vertical="center"/>
    </xf>
    <xf numFmtId="0" fontId="138" fillId="19" borderId="34" xfId="0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1" fontId="138" fillId="19" borderId="31" xfId="0" applyNumberFormat="1" applyFont="1" applyFill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1" fontId="138" fillId="21" borderId="62" xfId="0" quotePrefix="1" applyNumberFormat="1" applyFont="1" applyFill="1" applyBorder="1" applyAlignment="1">
      <alignment horizontal="center" vertical="center"/>
    </xf>
    <xf numFmtId="1" fontId="138" fillId="19" borderId="62" xfId="0" quotePrefix="1" applyNumberFormat="1" applyFont="1" applyFill="1" applyBorder="1" applyAlignment="1">
      <alignment horizontal="center" vertical="center"/>
    </xf>
    <xf numFmtId="1" fontId="111" fillId="25" borderId="23" xfId="0" applyNumberFormat="1" applyFont="1" applyFill="1" applyBorder="1" applyAlignment="1">
      <alignment horizontal="center" vertical="center"/>
    </xf>
    <xf numFmtId="1" fontId="111" fillId="25" borderId="100" xfId="0" applyNumberFormat="1" applyFont="1" applyFill="1" applyBorder="1" applyAlignment="1">
      <alignment horizontal="center" vertical="center"/>
    </xf>
    <xf numFmtId="0" fontId="111" fillId="25" borderId="30" xfId="0" applyFont="1" applyFill="1" applyBorder="1" applyAlignment="1">
      <alignment horizontal="center" vertical="center"/>
    </xf>
    <xf numFmtId="1" fontId="75" fillId="25" borderId="63" xfId="0" quotePrefix="1" applyNumberFormat="1" applyFont="1" applyFill="1" applyBorder="1" applyAlignment="1">
      <alignment horizontal="center" vertical="center"/>
    </xf>
    <xf numFmtId="2" fontId="74" fillId="25" borderId="9" xfId="0" quotePrefix="1" applyNumberFormat="1" applyFont="1" applyFill="1" applyBorder="1" applyAlignment="1">
      <alignment horizontal="center" vertical="center"/>
    </xf>
    <xf numFmtId="1" fontId="138" fillId="25" borderId="34" xfId="0" quotePrefix="1" applyNumberFormat="1" applyFont="1" applyFill="1" applyBorder="1" applyAlignment="1">
      <alignment horizontal="center" vertical="center"/>
    </xf>
    <xf numFmtId="2" fontId="134" fillId="25" borderId="31" xfId="0" quotePrefix="1" applyNumberFormat="1" applyFont="1" applyFill="1" applyBorder="1" applyAlignment="1">
      <alignment horizontal="center" vertical="center"/>
    </xf>
    <xf numFmtId="1" fontId="138" fillId="25" borderId="31" xfId="0" quotePrefix="1" applyNumberFormat="1" applyFont="1" applyFill="1" applyBorder="1" applyAlignment="1">
      <alignment horizontal="center" vertical="center"/>
    </xf>
    <xf numFmtId="2" fontId="134" fillId="25" borderId="62" xfId="0" quotePrefix="1" applyNumberFormat="1" applyFont="1" applyFill="1" applyBorder="1" applyAlignment="1">
      <alignment horizontal="center" vertical="center"/>
    </xf>
    <xf numFmtId="1" fontId="125" fillId="25" borderId="63" xfId="0" quotePrefix="1" applyNumberFormat="1" applyFont="1" applyFill="1" applyBorder="1" applyAlignment="1">
      <alignment horizontal="center" vertical="center"/>
    </xf>
    <xf numFmtId="2" fontId="125" fillId="25" borderId="32" xfId="0" quotePrefix="1" applyNumberFormat="1" applyFont="1" applyFill="1" applyBorder="1" applyAlignment="1">
      <alignment horizontal="center" vertical="center"/>
    </xf>
    <xf numFmtId="1" fontId="138" fillId="25" borderId="29" xfId="0" quotePrefix="1" applyNumberFormat="1" applyFont="1" applyFill="1" applyBorder="1" applyAlignment="1">
      <alignment horizontal="center" vertical="center"/>
    </xf>
    <xf numFmtId="1" fontId="109" fillId="25" borderId="5" xfId="0" applyNumberFormat="1" applyFont="1" applyFill="1" applyBorder="1" applyAlignment="1">
      <alignment horizontal="center" vertical="center"/>
    </xf>
    <xf numFmtId="2" fontId="125" fillId="25" borderId="32" xfId="0" applyNumberFormat="1" applyFont="1" applyFill="1" applyBorder="1" applyAlignment="1">
      <alignment horizontal="center" vertical="center"/>
    </xf>
    <xf numFmtId="1" fontId="74" fillId="21" borderId="69" xfId="0" applyNumberFormat="1" applyFont="1" applyFill="1" applyBorder="1" applyAlignment="1">
      <alignment horizontal="center" vertical="center"/>
    </xf>
    <xf numFmtId="0" fontId="205" fillId="0" borderId="0" xfId="189" applyFill="1" applyBorder="1" applyAlignment="1">
      <alignment horizontal="left" vertical="center"/>
    </xf>
    <xf numFmtId="0" fontId="205" fillId="0" borderId="0" xfId="189" applyFill="1" applyBorder="1" applyAlignment="1">
      <alignment horizontal="left" vertical="top"/>
    </xf>
    <xf numFmtId="17" fontId="206" fillId="0" borderId="18" xfId="189" applyNumberFormat="1" applyFont="1" applyFill="1" applyBorder="1" applyAlignment="1">
      <alignment horizontal="left" vertical="center"/>
    </xf>
    <xf numFmtId="17" fontId="206" fillId="0" borderId="20" xfId="189" applyNumberFormat="1" applyFont="1" applyFill="1" applyBorder="1" applyAlignment="1">
      <alignment horizontal="left" vertical="center"/>
    </xf>
    <xf numFmtId="0" fontId="206" fillId="0" borderId="22" xfId="189" applyFont="1" applyFill="1" applyBorder="1" applyAlignment="1">
      <alignment horizontal="left" vertical="center"/>
    </xf>
    <xf numFmtId="0" fontId="206" fillId="0" borderId="12" xfId="189" applyFont="1" applyFill="1" applyBorder="1" applyAlignment="1">
      <alignment horizontal="left" vertical="center"/>
    </xf>
    <xf numFmtId="1" fontId="207" fillId="0" borderId="31" xfId="189" applyNumberFormat="1" applyFont="1" applyFill="1" applyBorder="1" applyAlignment="1">
      <alignment horizontal="center" vertical="center"/>
    </xf>
    <xf numFmtId="1" fontId="207" fillId="0" borderId="10" xfId="189" applyNumberFormat="1" applyFont="1" applyFill="1" applyBorder="1" applyAlignment="1">
      <alignment horizontal="center" vertical="center"/>
    </xf>
    <xf numFmtId="1" fontId="206" fillId="21" borderId="17" xfId="189" applyNumberFormat="1" applyFont="1" applyFill="1" applyBorder="1" applyAlignment="1">
      <alignment horizontal="center" vertical="center"/>
    </xf>
    <xf numFmtId="1" fontId="207" fillId="0" borderId="29" xfId="189" applyNumberFormat="1" applyFont="1" applyFill="1" applyBorder="1" applyAlignment="1">
      <alignment horizontal="center" vertical="center"/>
    </xf>
    <xf numFmtId="0" fontId="206" fillId="0" borderId="60" xfId="189" applyFont="1" applyFill="1" applyBorder="1" applyAlignment="1">
      <alignment horizontal="left" vertical="center"/>
    </xf>
    <xf numFmtId="1" fontId="207" fillId="0" borderId="45" xfId="189" applyNumberFormat="1" applyFont="1" applyFill="1" applyBorder="1" applyAlignment="1">
      <alignment horizontal="center" vertical="center"/>
    </xf>
    <xf numFmtId="1" fontId="207" fillId="0" borderId="36" xfId="189" applyNumberFormat="1" applyFont="1" applyFill="1" applyBorder="1" applyAlignment="1">
      <alignment horizontal="center" vertical="center"/>
    </xf>
    <xf numFmtId="1" fontId="205" fillId="0" borderId="0" xfId="189" applyNumberFormat="1" applyFill="1" applyBorder="1" applyAlignment="1">
      <alignment horizontal="left" vertical="top"/>
    </xf>
    <xf numFmtId="1" fontId="207" fillId="25" borderId="10" xfId="189" applyNumberFormat="1" applyFont="1" applyFill="1" applyBorder="1" applyAlignment="1">
      <alignment horizontal="center" vertical="center"/>
    </xf>
    <xf numFmtId="0" fontId="54" fillId="0" borderId="51" xfId="0" applyFont="1" applyBorder="1" applyAlignment="1">
      <alignment wrapText="1"/>
    </xf>
    <xf numFmtId="0" fontId="54" fillId="0" borderId="27" xfId="0" applyFont="1" applyBorder="1" applyAlignment="1">
      <alignment wrapText="1"/>
    </xf>
    <xf numFmtId="0" fontId="125" fillId="0" borderId="47" xfId="0" applyFont="1" applyBorder="1" applyAlignment="1"/>
    <xf numFmtId="0" fontId="125" fillId="0" borderId="19" xfId="0" applyFont="1" applyBorder="1" applyAlignment="1"/>
    <xf numFmtId="0" fontId="119" fillId="0" borderId="44" xfId="0" applyFont="1" applyBorder="1" applyAlignment="1"/>
    <xf numFmtId="0" fontId="119" fillId="0" borderId="61" xfId="0" applyFont="1" applyBorder="1" applyAlignment="1"/>
    <xf numFmtId="0" fontId="68" fillId="0" borderId="50" xfId="0" applyFont="1" applyBorder="1" applyAlignment="1">
      <alignment horizontal="center" vertical="center"/>
    </xf>
    <xf numFmtId="0" fontId="68" fillId="0" borderId="19" xfId="0" applyFont="1" applyBorder="1" applyAlignment="1">
      <alignment horizontal="center" vertical="center"/>
    </xf>
    <xf numFmtId="0" fontId="68" fillId="0" borderId="58" xfId="0" applyFont="1" applyBorder="1" applyAlignment="1">
      <alignment horizontal="center" vertical="center"/>
    </xf>
    <xf numFmtId="0" fontId="0" fillId="0" borderId="12" xfId="0" applyBorder="1"/>
    <xf numFmtId="0" fontId="0" fillId="0" borderId="20" xfId="0" applyBorder="1"/>
    <xf numFmtId="0" fontId="210" fillId="0" borderId="0" xfId="0" applyFont="1"/>
    <xf numFmtId="0" fontId="165" fillId="0" borderId="0" xfId="0" applyFont="1"/>
    <xf numFmtId="0" fontId="0" fillId="0" borderId="22" xfId="0" applyBorder="1"/>
    <xf numFmtId="0" fontId="170" fillId="0" borderId="13" xfId="0" applyFont="1" applyBorder="1"/>
    <xf numFmtId="0" fontId="0" fillId="0" borderId="40" xfId="0" applyBorder="1"/>
    <xf numFmtId="0" fontId="68" fillId="0" borderId="54" xfId="0" applyFont="1" applyBorder="1" applyAlignment="1">
      <alignment horizontal="center" vertical="center"/>
    </xf>
    <xf numFmtId="0" fontId="68" fillId="0" borderId="61" xfId="0" applyFont="1" applyBorder="1" applyAlignment="1">
      <alignment horizontal="center" vertical="center"/>
    </xf>
    <xf numFmtId="0" fontId="211" fillId="0" borderId="18" xfId="0" applyFont="1" applyBorder="1"/>
    <xf numFmtId="0" fontId="138" fillId="25" borderId="36" xfId="0" quotePrefix="1" applyFont="1" applyFill="1" applyBorder="1" applyAlignment="1">
      <alignment horizontal="center" vertical="center"/>
    </xf>
    <xf numFmtId="2" fontId="54" fillId="25" borderId="45" xfId="0" applyNumberFormat="1" applyFont="1" applyFill="1" applyBorder="1" applyAlignment="1">
      <alignment horizontal="center" vertical="center"/>
    </xf>
    <xf numFmtId="1" fontId="5" fillId="25" borderId="5" xfId="0" applyNumberFormat="1" applyFont="1" applyFill="1" applyBorder="1" applyAlignment="1">
      <alignment horizontal="center" vertical="center"/>
    </xf>
    <xf numFmtId="1" fontId="74" fillId="25" borderId="4" xfId="0" applyNumberFormat="1" applyFont="1" applyFill="1" applyBorder="1" applyAlignment="1">
      <alignment horizontal="center" vertical="center"/>
    </xf>
    <xf numFmtId="0" fontId="125" fillId="25" borderId="24" xfId="0" applyFont="1" applyFill="1" applyBorder="1" applyAlignment="1">
      <alignment vertical="center"/>
    </xf>
    <xf numFmtId="0" fontId="109" fillId="25" borderId="24" xfId="0" applyFont="1" applyFill="1" applyBorder="1" applyAlignment="1">
      <alignment vertical="center"/>
    </xf>
    <xf numFmtId="1" fontId="138" fillId="21" borderId="31" xfId="0" applyNumberFormat="1" applyFont="1" applyFill="1" applyBorder="1" applyAlignment="1">
      <alignment horizontal="center" vertical="center"/>
    </xf>
    <xf numFmtId="1" fontId="125" fillId="21" borderId="17" xfId="0" applyNumberFormat="1" applyFont="1" applyFill="1" applyBorder="1" applyAlignment="1">
      <alignment horizontal="center" vertical="center"/>
    </xf>
    <xf numFmtId="0" fontId="138" fillId="21" borderId="8" xfId="0" applyFont="1" applyFill="1" applyBorder="1" applyAlignment="1">
      <alignment horizontal="center" vertical="center"/>
    </xf>
    <xf numFmtId="0" fontId="0" fillId="0" borderId="0" xfId="0"/>
    <xf numFmtId="0" fontId="35" fillId="25" borderId="35" xfId="0" quotePrefix="1" applyFont="1" applyFill="1" applyBorder="1" applyAlignment="1">
      <alignment horizontal="center" vertical="center"/>
    </xf>
    <xf numFmtId="0" fontId="14" fillId="25" borderId="26" xfId="0" applyFont="1" applyFill="1" applyBorder="1" applyAlignment="1">
      <alignment vertical="center"/>
    </xf>
    <xf numFmtId="0" fontId="21" fillId="25" borderId="55" xfId="0" applyFont="1" applyFill="1" applyBorder="1" applyAlignment="1">
      <alignment vertical="center"/>
    </xf>
    <xf numFmtId="0" fontId="88" fillId="25" borderId="26" xfId="0" applyFont="1" applyFill="1" applyBorder="1" applyAlignment="1">
      <alignment vertical="center"/>
    </xf>
    <xf numFmtId="0" fontId="88" fillId="25" borderId="55" xfId="0" applyFont="1" applyFill="1" applyBorder="1" applyAlignment="1">
      <alignment vertical="center"/>
    </xf>
    <xf numFmtId="1" fontId="88" fillId="25" borderId="55" xfId="0" applyNumberFormat="1" applyFont="1" applyFill="1" applyBorder="1" applyAlignment="1">
      <alignment vertical="center"/>
    </xf>
    <xf numFmtId="0" fontId="91" fillId="25" borderId="26" xfId="0" applyFont="1" applyFill="1" applyBorder="1"/>
    <xf numFmtId="1" fontId="36" fillId="25" borderId="50" xfId="0" applyNumberFormat="1" applyFont="1" applyFill="1" applyBorder="1" applyAlignment="1">
      <alignment horizontal="center" vertical="center"/>
    </xf>
    <xf numFmtId="0" fontId="42" fillId="0" borderId="40" xfId="0" applyFont="1" applyBorder="1" applyAlignment="1">
      <alignment vertical="top"/>
    </xf>
    <xf numFmtId="0" fontId="119" fillId="25" borderId="28" xfId="0" applyFont="1" applyFill="1" applyBorder="1" applyAlignment="1">
      <alignment horizontal="center" vertical="center"/>
    </xf>
    <xf numFmtId="0" fontId="119" fillId="25" borderId="26" xfId="0" applyFont="1" applyFill="1" applyBorder="1" applyAlignment="1">
      <alignment horizontal="center" vertical="center"/>
    </xf>
    <xf numFmtId="0" fontId="112" fillId="19" borderId="102" xfId="0" applyFont="1" applyFill="1" applyBorder="1" applyAlignment="1">
      <alignment horizontal="center" vertical="center"/>
    </xf>
    <xf numFmtId="1" fontId="111" fillId="19" borderId="104" xfId="0" applyNumberFormat="1" applyFont="1" applyFill="1" applyBorder="1" applyAlignment="1">
      <alignment horizontal="center" vertical="center"/>
    </xf>
    <xf numFmtId="2" fontId="111" fillId="19" borderId="136" xfId="0" applyNumberFormat="1" applyFont="1" applyFill="1" applyBorder="1" applyAlignment="1">
      <alignment horizontal="center" vertical="center"/>
    </xf>
    <xf numFmtId="2" fontId="109" fillId="19" borderId="135" xfId="0" applyNumberFormat="1" applyFont="1" applyFill="1" applyBorder="1" applyAlignment="1">
      <alignment horizontal="center" vertical="center"/>
    </xf>
    <xf numFmtId="1" fontId="111" fillId="19" borderId="98" xfId="0" applyNumberFormat="1" applyFont="1" applyFill="1" applyBorder="1" applyAlignment="1">
      <alignment horizontal="center" vertical="center"/>
    </xf>
    <xf numFmtId="1" fontId="111" fillId="19" borderId="123" xfId="0" applyNumberFormat="1" applyFont="1" applyFill="1" applyBorder="1" applyAlignment="1">
      <alignment horizontal="center" vertical="center"/>
    </xf>
    <xf numFmtId="1" fontId="111" fillId="19" borderId="126" xfId="0" applyNumberFormat="1" applyFont="1" applyFill="1" applyBorder="1" applyAlignment="1">
      <alignment horizontal="center" vertical="center"/>
    </xf>
    <xf numFmtId="169" fontId="111" fillId="19" borderId="34" xfId="0" applyNumberFormat="1" applyFont="1" applyFill="1" applyBorder="1" applyAlignment="1">
      <alignment horizontal="center" vertical="center"/>
    </xf>
    <xf numFmtId="1" fontId="109" fillId="19" borderId="142" xfId="0" applyNumberFormat="1" applyFont="1" applyFill="1" applyBorder="1" applyAlignment="1">
      <alignment horizontal="center" vertical="center"/>
    </xf>
    <xf numFmtId="1" fontId="109" fillId="19" borderId="102" xfId="0" applyNumberFormat="1" applyFont="1" applyFill="1" applyBorder="1" applyAlignment="1">
      <alignment horizontal="center" vertical="center"/>
    </xf>
    <xf numFmtId="171" fontId="111" fillId="19" borderId="104" xfId="0" applyNumberFormat="1" applyFont="1" applyFill="1" applyBorder="1" applyAlignment="1">
      <alignment horizontal="center" vertical="center"/>
    </xf>
    <xf numFmtId="0" fontId="111" fillId="19" borderId="104" xfId="0" applyFont="1" applyFill="1" applyBorder="1" applyAlignment="1">
      <alignment horizontal="center" vertical="center"/>
    </xf>
    <xf numFmtId="1" fontId="111" fillId="19" borderId="148" xfId="0" applyNumberFormat="1" applyFont="1" applyFill="1" applyBorder="1" applyAlignment="1">
      <alignment horizontal="center" vertical="center"/>
    </xf>
    <xf numFmtId="2" fontId="111" fillId="19" borderId="149" xfId="0" applyNumberFormat="1" applyFont="1" applyFill="1" applyBorder="1" applyAlignment="1">
      <alignment horizontal="center" vertical="center"/>
    </xf>
    <xf numFmtId="1" fontId="6" fillId="19" borderId="150" xfId="0" applyNumberFormat="1" applyFont="1" applyFill="1" applyBorder="1" applyAlignment="1">
      <alignment horizontal="center" vertical="center"/>
    </xf>
    <xf numFmtId="2" fontId="6" fillId="19" borderId="151" xfId="0" applyNumberFormat="1" applyFont="1" applyFill="1" applyBorder="1" applyAlignment="1">
      <alignment horizontal="center" vertical="center"/>
    </xf>
    <xf numFmtId="2" fontId="111" fillId="21" borderId="136" xfId="0" applyNumberFormat="1" applyFont="1" applyFill="1" applyBorder="1" applyAlignment="1">
      <alignment horizontal="center" vertical="center"/>
    </xf>
    <xf numFmtId="0" fontId="83" fillId="25" borderId="4" xfId="0" applyFont="1" applyFill="1" applyBorder="1" applyAlignment="1">
      <alignment horizontal="right" vertical="center"/>
    </xf>
    <xf numFmtId="1" fontId="83" fillId="25" borderId="5" xfId="0" applyNumberFormat="1" applyFont="1" applyFill="1" applyBorder="1" applyAlignment="1">
      <alignment horizontal="center" vertical="center"/>
    </xf>
    <xf numFmtId="1" fontId="83" fillId="25" borderId="13" xfId="0" applyNumberFormat="1" applyFont="1" applyFill="1" applyBorder="1" applyAlignment="1">
      <alignment horizontal="center" vertical="center"/>
    </xf>
    <xf numFmtId="1" fontId="76" fillId="25" borderId="55" xfId="0" applyNumberFormat="1" applyFont="1" applyFill="1" applyBorder="1" applyAlignment="1">
      <alignment horizontal="center" vertical="center"/>
    </xf>
    <xf numFmtId="1" fontId="76" fillId="25" borderId="25" xfId="0" applyNumberFormat="1" applyFont="1" applyFill="1" applyBorder="1" applyAlignment="1">
      <alignment horizontal="center" vertical="center"/>
    </xf>
    <xf numFmtId="1" fontId="83" fillId="25" borderId="25" xfId="0" applyNumberFormat="1" applyFont="1" applyFill="1" applyBorder="1" applyAlignment="1">
      <alignment horizontal="center" vertical="center"/>
    </xf>
    <xf numFmtId="0" fontId="42" fillId="0" borderId="40" xfId="0" applyFont="1" applyBorder="1" applyAlignment="1">
      <alignment vertical="top"/>
    </xf>
    <xf numFmtId="1" fontId="138" fillId="19" borderId="31" xfId="0" applyNumberFormat="1" applyFont="1" applyFill="1" applyBorder="1" applyAlignment="1">
      <alignment horizontal="center" vertical="center"/>
    </xf>
    <xf numFmtId="0" fontId="206" fillId="26" borderId="18" xfId="189" applyFont="1" applyFill="1" applyBorder="1" applyAlignment="1">
      <alignment horizontal="center" vertical="center"/>
    </xf>
    <xf numFmtId="0" fontId="206" fillId="26" borderId="20" xfId="189" applyFont="1" applyFill="1" applyBorder="1" applyAlignment="1">
      <alignment horizontal="center" vertical="center"/>
    </xf>
    <xf numFmtId="1" fontId="206" fillId="26" borderId="10" xfId="189" applyNumberFormat="1" applyFont="1" applyFill="1" applyBorder="1" applyAlignment="1">
      <alignment horizontal="center" vertical="center"/>
    </xf>
    <xf numFmtId="0" fontId="206" fillId="0" borderId="40" xfId="189" applyFont="1" applyFill="1" applyBorder="1" applyAlignment="1">
      <alignment horizontal="left" vertical="center"/>
    </xf>
    <xf numFmtId="17" fontId="22" fillId="20" borderId="40" xfId="189" applyNumberFormat="1" applyFont="1" applyFill="1" applyBorder="1" applyAlignment="1">
      <alignment horizontal="left" vertical="center"/>
    </xf>
    <xf numFmtId="1" fontId="207" fillId="25" borderId="45" xfId="189" applyNumberFormat="1" applyFont="1" applyFill="1" applyBorder="1" applyAlignment="1">
      <alignment horizontal="center" vertical="center"/>
    </xf>
    <xf numFmtId="17" fontId="80" fillId="54" borderId="13" xfId="189" applyNumberFormat="1" applyFont="1" applyFill="1" applyBorder="1" applyAlignment="1">
      <alignment horizontal="left" vertical="center"/>
    </xf>
    <xf numFmtId="1" fontId="212" fillId="54" borderId="4" xfId="189" applyNumberFormat="1" applyFont="1" applyFill="1" applyBorder="1" applyAlignment="1">
      <alignment horizontal="center" vertical="center"/>
    </xf>
    <xf numFmtId="17" fontId="22" fillId="20" borderId="13" xfId="189" applyNumberFormat="1" applyFont="1" applyFill="1" applyBorder="1" applyAlignment="1">
      <alignment horizontal="left" vertical="center"/>
    </xf>
    <xf numFmtId="1" fontId="207" fillId="25" borderId="46" xfId="189" applyNumberFormat="1" applyFont="1" applyFill="1" applyBorder="1" applyAlignment="1">
      <alignment horizontal="center" vertical="center"/>
    </xf>
    <xf numFmtId="1" fontId="206" fillId="26" borderId="17" xfId="189" applyNumberFormat="1" applyFont="1" applyFill="1" applyBorder="1" applyAlignment="1">
      <alignment horizontal="center" vertical="center"/>
    </xf>
    <xf numFmtId="170" fontId="1" fillId="0" borderId="38" xfId="4" applyBorder="1"/>
    <xf numFmtId="170" fontId="1" fillId="0" borderId="46" xfId="4" applyBorder="1"/>
    <xf numFmtId="170" fontId="1" fillId="0" borderId="71" xfId="4" applyBorder="1"/>
    <xf numFmtId="0" fontId="212" fillId="53" borderId="13" xfId="189" applyFont="1" applyFill="1" applyBorder="1" applyAlignment="1">
      <alignment horizontal="left" vertical="center"/>
    </xf>
    <xf numFmtId="1" fontId="22" fillId="53" borderId="4" xfId="4" applyNumberFormat="1" applyFont="1" applyFill="1" applyBorder="1" applyAlignment="1">
      <alignment horizontal="center" vertical="center"/>
    </xf>
    <xf numFmtId="1" fontId="138" fillId="21" borderId="31" xfId="0" applyNumberFormat="1" applyFont="1" applyFill="1" applyBorder="1" applyAlignment="1">
      <alignment horizontal="center" vertical="center"/>
    </xf>
    <xf numFmtId="1" fontId="138" fillId="25" borderId="36" xfId="0" applyNumberFormat="1" applyFont="1" applyFill="1" applyBorder="1" applyAlignment="1">
      <alignment horizontal="center" vertical="center"/>
    </xf>
    <xf numFmtId="1" fontId="138" fillId="25" borderId="29" xfId="0" applyNumberFormat="1" applyFont="1" applyFill="1" applyBorder="1" applyAlignment="1">
      <alignment horizontal="center" vertical="center"/>
    </xf>
    <xf numFmtId="0" fontId="114" fillId="1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1" fillId="0" borderId="31" xfId="0" applyFont="1" applyBorder="1" applyAlignment="1">
      <alignment horizontal="right" vertical="center"/>
    </xf>
    <xf numFmtId="1" fontId="74" fillId="0" borderId="31" xfId="0" applyNumberFormat="1" applyFont="1" applyBorder="1" applyAlignment="1">
      <alignment horizontal="center" vertical="center"/>
    </xf>
    <xf numFmtId="1" fontId="74" fillId="21" borderId="31" xfId="0" applyNumberFormat="1" applyFont="1" applyFill="1" applyBorder="1" applyAlignment="1">
      <alignment horizontal="center" vertical="center"/>
    </xf>
    <xf numFmtId="1" fontId="74" fillId="19" borderId="31" xfId="0" applyNumberFormat="1" applyFont="1" applyFill="1" applyBorder="1" applyAlignment="1">
      <alignment horizontal="center" vertical="center"/>
    </xf>
    <xf numFmtId="0" fontId="11" fillId="0" borderId="62" xfId="0" applyFont="1" applyBorder="1" applyAlignment="1">
      <alignment horizontal="right" vertical="center"/>
    </xf>
    <xf numFmtId="0" fontId="137" fillId="0" borderId="65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1" fontId="74" fillId="0" borderId="1" xfId="0" applyNumberFormat="1" applyFont="1" applyBorder="1" applyAlignment="1">
      <alignment horizontal="center"/>
    </xf>
    <xf numFmtId="1" fontId="11" fillId="21" borderId="33" xfId="0" applyNumberFormat="1" applyFont="1" applyFill="1" applyBorder="1" applyAlignment="1">
      <alignment horizontal="center" vertical="center"/>
    </xf>
    <xf numFmtId="1" fontId="74" fillId="25" borderId="62" xfId="0" applyNumberFormat="1" applyFont="1" applyFill="1" applyBorder="1" applyAlignment="1">
      <alignment horizontal="center"/>
    </xf>
    <xf numFmtId="0" fontId="214" fillId="0" borderId="31" xfId="0" applyFont="1" applyBorder="1" applyAlignment="1">
      <alignment horizontal="right" vertical="center"/>
    </xf>
    <xf numFmtId="0" fontId="214" fillId="0" borderId="37" xfId="0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1" fontId="6" fillId="21" borderId="17" xfId="0" applyNumberFormat="1" applyFont="1" applyFill="1" applyBorder="1" applyAlignment="1">
      <alignment horizontal="center" vertical="center"/>
    </xf>
    <xf numFmtId="0" fontId="214" fillId="0" borderId="62" xfId="0" applyFont="1" applyBorder="1" applyAlignment="1">
      <alignment horizontal="right" vertical="center"/>
    </xf>
    <xf numFmtId="0" fontId="214" fillId="0" borderId="65" xfId="0" applyFont="1" applyBorder="1" applyAlignment="1">
      <alignment horizontal="center" vertical="center"/>
    </xf>
    <xf numFmtId="1" fontId="6" fillId="0" borderId="72" xfId="0" applyNumberFormat="1" applyFont="1" applyBorder="1" applyAlignment="1">
      <alignment horizontal="center" vertical="center"/>
    </xf>
    <xf numFmtId="1" fontId="6" fillId="21" borderId="72" xfId="0" applyNumberFormat="1" applyFont="1" applyFill="1" applyBorder="1" applyAlignment="1">
      <alignment horizontal="center" vertical="center"/>
    </xf>
    <xf numFmtId="0" fontId="214" fillId="0" borderId="1" xfId="0" applyFont="1" applyBorder="1" applyAlignment="1">
      <alignment horizontal="right" vertical="center"/>
    </xf>
    <xf numFmtId="0" fontId="214" fillId="0" borderId="67" xfId="0" applyFont="1" applyBorder="1" applyAlignment="1">
      <alignment horizontal="center" vertical="center"/>
    </xf>
    <xf numFmtId="1" fontId="74" fillId="0" borderId="9" xfId="0" quotePrefix="1" applyNumberFormat="1" applyFont="1" applyBorder="1" applyAlignment="1">
      <alignment horizontal="center" vertical="center"/>
    </xf>
    <xf numFmtId="169" fontId="6" fillId="0" borderId="73" xfId="0" applyNumberFormat="1" applyFont="1" applyBorder="1" applyAlignment="1">
      <alignment horizontal="center" vertical="center"/>
    </xf>
    <xf numFmtId="1" fontId="74" fillId="21" borderId="1" xfId="0" quotePrefix="1" applyNumberFormat="1" applyFont="1" applyFill="1" applyBorder="1" applyAlignment="1">
      <alignment horizontal="center" vertical="center"/>
    </xf>
    <xf numFmtId="169" fontId="6" fillId="21" borderId="73" xfId="0" applyNumberFormat="1" applyFont="1" applyFill="1" applyBorder="1" applyAlignment="1">
      <alignment horizontal="center" vertical="center"/>
    </xf>
    <xf numFmtId="0" fontId="137" fillId="0" borderId="48" xfId="0" applyFont="1" applyBorder="1" applyAlignment="1">
      <alignment horizontal="center" vertical="center"/>
    </xf>
    <xf numFmtId="1" fontId="6" fillId="21" borderId="19" xfId="0" applyNumberFormat="1" applyFont="1" applyFill="1" applyBorder="1" applyAlignment="1">
      <alignment horizontal="center" vertical="center"/>
    </xf>
    <xf numFmtId="1" fontId="74" fillId="0" borderId="9" xfId="0" applyNumberFormat="1" applyFont="1" applyBorder="1" applyAlignment="1">
      <alignment vertical="center"/>
    </xf>
    <xf numFmtId="0" fontId="74" fillId="21" borderId="9" xfId="0" applyFont="1" applyFill="1" applyBorder="1" applyAlignment="1">
      <alignment horizontal="center" vertical="center"/>
    </xf>
    <xf numFmtId="0" fontId="74" fillId="19" borderId="9" xfId="0" applyFont="1" applyFill="1" applyBorder="1" applyAlignment="1">
      <alignment horizontal="center" vertical="center"/>
    </xf>
    <xf numFmtId="1" fontId="11" fillId="21" borderId="10" xfId="0" applyNumberFormat="1" applyFont="1" applyFill="1" applyBorder="1" applyAlignment="1">
      <alignment horizontal="center" vertical="center"/>
    </xf>
    <xf numFmtId="41" fontId="10" fillId="0" borderId="31" xfId="0" quotePrefix="1" applyNumberFormat="1" applyFont="1" applyBorder="1" applyAlignment="1">
      <alignment horizontal="left" vertical="center"/>
    </xf>
    <xf numFmtId="41" fontId="10" fillId="0" borderId="74" xfId="0" quotePrefix="1" applyNumberFormat="1" applyFont="1" applyBorder="1" applyAlignment="1">
      <alignment horizontal="left" vertical="center"/>
    </xf>
    <xf numFmtId="0" fontId="52" fillId="25" borderId="41" xfId="0" applyFont="1" applyFill="1" applyBorder="1"/>
    <xf numFmtId="0" fontId="199" fillId="25" borderId="41" xfId="0" applyFont="1" applyFill="1" applyBorder="1"/>
    <xf numFmtId="0" fontId="202" fillId="25" borderId="42" xfId="0" applyFont="1" applyFill="1" applyBorder="1"/>
    <xf numFmtId="1" fontId="6" fillId="25" borderId="39" xfId="0" applyNumberFormat="1" applyFont="1" applyFill="1" applyBorder="1" applyAlignment="1">
      <alignment horizontal="center" vertical="center"/>
    </xf>
    <xf numFmtId="1" fontId="74" fillId="25" borderId="39" xfId="0" applyNumberFormat="1" applyFont="1" applyFill="1" applyBorder="1" applyAlignment="1">
      <alignment horizontal="center" vertical="center"/>
    </xf>
    <xf numFmtId="0" fontId="52" fillId="25" borderId="0" xfId="0" applyFont="1" applyFill="1"/>
    <xf numFmtId="1" fontId="11" fillId="25" borderId="17" xfId="0" applyNumberFormat="1" applyFont="1" applyFill="1" applyBorder="1" applyAlignment="1">
      <alignment horizontal="center" vertical="center"/>
    </xf>
    <xf numFmtId="1" fontId="11" fillId="19" borderId="17" xfId="0" applyNumberFormat="1" applyFont="1" applyFill="1" applyBorder="1" applyAlignment="1">
      <alignment horizontal="center" vertical="center"/>
    </xf>
    <xf numFmtId="41" fontId="5" fillId="0" borderId="31" xfId="0" quotePrefix="1" applyNumberFormat="1" applyFont="1" applyBorder="1" applyAlignment="1">
      <alignment horizontal="left" vertical="center"/>
    </xf>
    <xf numFmtId="1" fontId="6" fillId="25" borderId="33" xfId="0" applyNumberFormat="1" applyFont="1" applyFill="1" applyBorder="1" applyAlignment="1">
      <alignment horizontal="center" vertical="center"/>
    </xf>
    <xf numFmtId="1" fontId="6" fillId="25" borderId="33" xfId="0" applyNumberFormat="1" applyFont="1" applyFill="1" applyBorder="1" applyAlignment="1">
      <alignment horizontal="center"/>
    </xf>
    <xf numFmtId="0" fontId="199" fillId="25" borderId="0" xfId="0" applyFont="1" applyFill="1"/>
    <xf numFmtId="1" fontId="75" fillId="25" borderId="29" xfId="0" applyNumberFormat="1" applyFont="1" applyFill="1" applyBorder="1" applyAlignment="1">
      <alignment horizontal="center"/>
    </xf>
    <xf numFmtId="41" fontId="10" fillId="25" borderId="31" xfId="0" quotePrefix="1" applyNumberFormat="1" applyFont="1" applyFill="1" applyBorder="1" applyAlignment="1">
      <alignment horizontal="left" vertical="center"/>
    </xf>
    <xf numFmtId="41" fontId="11" fillId="0" borderId="31" xfId="0" quotePrefix="1" applyNumberFormat="1" applyFont="1" applyBorder="1" applyAlignment="1">
      <alignment horizontal="left" vertical="center"/>
    </xf>
    <xf numFmtId="1" fontId="137" fillId="0" borderId="68" xfId="0" applyNumberFormat="1" applyFont="1" applyBorder="1" applyAlignment="1">
      <alignment horizontal="center" vertical="center"/>
    </xf>
    <xf numFmtId="0" fontId="215" fillId="25" borderId="1" xfId="0" applyFont="1" applyFill="1" applyBorder="1" applyAlignment="1">
      <alignment horizontal="left" vertical="center"/>
    </xf>
    <xf numFmtId="0" fontId="137" fillId="25" borderId="67" xfId="0" applyFont="1" applyFill="1" applyBorder="1" applyAlignment="1">
      <alignment horizontal="center" vertical="center"/>
    </xf>
    <xf numFmtId="1" fontId="11" fillId="25" borderId="10" xfId="0" applyNumberFormat="1" applyFont="1" applyFill="1" applyBorder="1" applyAlignment="1">
      <alignment horizontal="center" vertical="center"/>
    </xf>
    <xf numFmtId="0" fontId="215" fillId="25" borderId="34" xfId="0" applyFont="1" applyFill="1" applyBorder="1" applyAlignment="1">
      <alignment vertical="center"/>
    </xf>
    <xf numFmtId="0" fontId="137" fillId="25" borderId="48" xfId="0" applyFont="1" applyFill="1" applyBorder="1" applyAlignment="1">
      <alignment horizontal="center" vertical="center"/>
    </xf>
    <xf numFmtId="0" fontId="10" fillId="0" borderId="62" xfId="0" applyFont="1" applyBorder="1" applyAlignment="1">
      <alignment horizontal="right" vertical="center"/>
    </xf>
    <xf numFmtId="1" fontId="11" fillId="21" borderId="41" xfId="0" applyNumberFormat="1" applyFont="1" applyFill="1" applyBorder="1" applyAlignment="1">
      <alignment horizontal="center" vertical="center"/>
    </xf>
    <xf numFmtId="0" fontId="215" fillId="25" borderId="31" xfId="0" applyFont="1" applyFill="1" applyBorder="1" applyAlignment="1">
      <alignment horizontal="left" vertical="center"/>
    </xf>
    <xf numFmtId="0" fontId="8" fillId="25" borderId="10" xfId="0" applyFont="1" applyFill="1" applyBorder="1" applyAlignment="1">
      <alignment vertical="center"/>
    </xf>
    <xf numFmtId="0" fontId="10" fillId="25" borderId="31" xfId="0" applyFont="1" applyFill="1" applyBorder="1" applyAlignment="1">
      <alignment horizontal="right" vertical="center"/>
    </xf>
    <xf numFmtId="1" fontId="11" fillId="0" borderId="23" xfId="0" applyNumberFormat="1" applyFont="1" applyBorder="1" applyAlignment="1">
      <alignment horizontal="center" vertical="center"/>
    </xf>
    <xf numFmtId="1" fontId="11" fillId="21" borderId="23" xfId="0" applyNumberFormat="1" applyFont="1" applyFill="1" applyBorder="1" applyAlignment="1">
      <alignment horizontal="center" vertical="center"/>
    </xf>
    <xf numFmtId="0" fontId="114" fillId="0" borderId="1" xfId="0" applyFont="1" applyBorder="1" applyAlignment="1">
      <alignment horizontal="right" vertical="center"/>
    </xf>
    <xf numFmtId="0" fontId="114" fillId="0" borderId="34" xfId="0" applyFont="1" applyBorder="1" applyAlignment="1">
      <alignment vertical="center"/>
    </xf>
    <xf numFmtId="0" fontId="114" fillId="25" borderId="31" xfId="0" applyFont="1" applyFill="1" applyBorder="1" applyAlignment="1">
      <alignment vertical="center"/>
    </xf>
    <xf numFmtId="0" fontId="114" fillId="0" borderId="1" xfId="0" applyFont="1" applyBorder="1" applyAlignment="1">
      <alignment horizontal="left" vertical="center" wrapText="1"/>
    </xf>
    <xf numFmtId="1" fontId="11" fillId="19" borderId="10" xfId="0" applyNumberFormat="1" applyFont="1" applyFill="1" applyBorder="1" applyAlignment="1">
      <alignment horizontal="center" vertical="center"/>
    </xf>
    <xf numFmtId="0" fontId="5" fillId="25" borderId="63" xfId="0" applyFont="1" applyFill="1" applyBorder="1" applyAlignment="1">
      <alignment horizontal="left" vertical="center"/>
    </xf>
    <xf numFmtId="0" fontId="52" fillId="25" borderId="0" xfId="0" applyFont="1" applyFill="1" applyAlignment="1">
      <alignment horizontal="left"/>
    </xf>
    <xf numFmtId="0" fontId="10" fillId="0" borderId="52" xfId="0" applyFont="1" applyBorder="1" applyAlignment="1">
      <alignment horizontal="left" vertical="center"/>
    </xf>
    <xf numFmtId="0" fontId="10" fillId="0" borderId="31" xfId="0" quotePrefix="1" applyFont="1" applyBorder="1" applyAlignment="1">
      <alignment horizontal="left" vertical="center" wrapText="1"/>
    </xf>
    <xf numFmtId="41" fontId="10" fillId="0" borderId="31" xfId="0" quotePrefix="1" applyNumberFormat="1" applyFont="1" applyBorder="1" applyAlignment="1">
      <alignment horizontal="left" vertical="center" wrapText="1"/>
    </xf>
    <xf numFmtId="41" fontId="10" fillId="0" borderId="74" xfId="0" quotePrefix="1" applyNumberFormat="1" applyFont="1" applyBorder="1" applyAlignment="1">
      <alignment horizontal="left" vertical="center" wrapText="1"/>
    </xf>
    <xf numFmtId="1" fontId="138" fillId="0" borderId="29" xfId="0" applyNumberFormat="1" applyFont="1" applyBorder="1" applyAlignment="1">
      <alignment horizontal="center" vertical="center"/>
    </xf>
    <xf numFmtId="169" fontId="138" fillId="0" borderId="48" xfId="0" applyNumberFormat="1" applyFont="1" applyBorder="1" applyAlignment="1">
      <alignment horizontal="center" vertical="center"/>
    </xf>
    <xf numFmtId="0" fontId="138" fillId="25" borderId="8" xfId="0" applyFont="1" applyFill="1" applyBorder="1" applyAlignment="1">
      <alignment horizontal="center" vertical="center"/>
    </xf>
    <xf numFmtId="0" fontId="118" fillId="0" borderId="63" xfId="0" applyFont="1" applyBorder="1" applyAlignment="1">
      <alignment horizontal="right"/>
    </xf>
    <xf numFmtId="1" fontId="74" fillId="21" borderId="34" xfId="0" applyNumberFormat="1" applyFont="1" applyFill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0" fontId="138" fillId="21" borderId="62" xfId="0" applyFont="1" applyFill="1" applyBorder="1" applyAlignment="1">
      <alignment horizontal="center" vertical="center"/>
    </xf>
    <xf numFmtId="0" fontId="83" fillId="25" borderId="39" xfId="0" applyFont="1" applyFill="1" applyBorder="1" applyAlignment="1">
      <alignment horizontal="right" vertical="center"/>
    </xf>
    <xf numFmtId="1" fontId="83" fillId="25" borderId="92" xfId="0" applyNumberFormat="1" applyFont="1" applyFill="1" applyBorder="1" applyAlignment="1">
      <alignment horizontal="center" vertical="center"/>
    </xf>
    <xf numFmtId="1" fontId="83" fillId="25" borderId="43" xfId="0" applyNumberFormat="1" applyFont="1" applyFill="1" applyBorder="1" applyAlignment="1">
      <alignment horizontal="center" vertical="center"/>
    </xf>
    <xf numFmtId="1" fontId="76" fillId="0" borderId="59" xfId="0" applyNumberFormat="1" applyFont="1" applyBorder="1" applyAlignment="1">
      <alignment horizontal="center" vertical="center"/>
    </xf>
    <xf numFmtId="169" fontId="89" fillId="17" borderId="10" xfId="0" quotePrefix="1" applyNumberFormat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1" fontId="74" fillId="0" borderId="69" xfId="0" applyNumberFormat="1" applyFont="1" applyBorder="1" applyAlignment="1">
      <alignment horizontal="center" vertical="center"/>
    </xf>
    <xf numFmtId="0" fontId="6" fillId="25" borderId="24" xfId="0" applyFont="1" applyFill="1" applyBorder="1" applyAlignment="1">
      <alignment vertical="center"/>
    </xf>
    <xf numFmtId="1" fontId="207" fillId="25" borderId="41" xfId="189" applyNumberFormat="1" applyFont="1" applyFill="1" applyBorder="1" applyAlignment="1">
      <alignment horizontal="center" vertical="center"/>
    </xf>
    <xf numFmtId="1" fontId="206" fillId="25" borderId="42" xfId="189" applyNumberFormat="1" applyFont="1" applyFill="1" applyBorder="1" applyAlignment="1">
      <alignment horizontal="center" vertical="center"/>
    </xf>
    <xf numFmtId="1" fontId="207" fillId="25" borderId="38" xfId="189" applyNumberFormat="1" applyFont="1" applyFill="1" applyBorder="1" applyAlignment="1">
      <alignment horizontal="center" vertical="center"/>
    </xf>
    <xf numFmtId="1" fontId="206" fillId="25" borderId="71" xfId="189" applyNumberFormat="1" applyFont="1" applyFill="1" applyBorder="1" applyAlignment="1">
      <alignment horizontal="center" vertical="center"/>
    </xf>
    <xf numFmtId="1" fontId="206" fillId="25" borderId="46" xfId="189" applyNumberFormat="1" applyFont="1" applyFill="1" applyBorder="1" applyAlignment="1">
      <alignment horizontal="center" vertical="center"/>
    </xf>
    <xf numFmtId="1" fontId="207" fillId="25" borderId="3" xfId="189" applyNumberFormat="1" applyFont="1" applyFill="1" applyBorder="1" applyAlignment="1">
      <alignment horizontal="center" vertical="center"/>
    </xf>
    <xf numFmtId="1" fontId="207" fillId="25" borderId="29" xfId="189" applyNumberFormat="1" applyFont="1" applyFill="1" applyBorder="1" applyAlignment="1">
      <alignment horizontal="center" vertical="center"/>
    </xf>
    <xf numFmtId="1" fontId="206" fillId="25" borderId="17" xfId="189" applyNumberFormat="1" applyFont="1" applyFill="1" applyBorder="1" applyAlignment="1">
      <alignment horizontal="center" vertical="center"/>
    </xf>
    <xf numFmtId="1" fontId="206" fillId="25" borderId="10" xfId="189" applyNumberFormat="1" applyFont="1" applyFill="1" applyBorder="1" applyAlignment="1">
      <alignment horizontal="center" vertical="center"/>
    </xf>
    <xf numFmtId="1" fontId="54" fillId="25" borderId="2" xfId="0" applyNumberFormat="1" applyFont="1" applyFill="1" applyBorder="1" applyAlignment="1">
      <alignment horizontal="center" vertical="center"/>
    </xf>
    <xf numFmtId="1" fontId="54" fillId="25" borderId="56" xfId="0" applyNumberFormat="1" applyFont="1" applyFill="1" applyBorder="1" applyAlignment="1">
      <alignment horizontal="center" vertical="center"/>
    </xf>
    <xf numFmtId="168" fontId="76" fillId="14" borderId="55" xfId="0" applyNumberFormat="1" applyFont="1" applyFill="1" applyBorder="1" applyAlignment="1">
      <alignment horizontal="center" vertical="center"/>
    </xf>
    <xf numFmtId="168" fontId="76" fillId="15" borderId="55" xfId="0" applyNumberFormat="1" applyFont="1" applyFill="1" applyBorder="1" applyAlignment="1">
      <alignment horizontal="center" vertical="center"/>
    </xf>
    <xf numFmtId="1" fontId="100" fillId="14" borderId="13" xfId="0" applyNumberFormat="1" applyFont="1" applyFill="1" applyBorder="1" applyAlignment="1">
      <alignment horizontal="center" vertical="center"/>
    </xf>
    <xf numFmtId="1" fontId="99" fillId="15" borderId="40" xfId="0" applyNumberFormat="1" applyFont="1" applyFill="1" applyBorder="1" applyAlignment="1">
      <alignment horizontal="center" vertical="center"/>
    </xf>
    <xf numFmtId="0" fontId="65" fillId="25" borderId="19" xfId="0" applyFont="1" applyFill="1" applyBorder="1" applyAlignment="1">
      <alignment horizontal="center" vertical="center"/>
    </xf>
    <xf numFmtId="0" fontId="125" fillId="25" borderId="6" xfId="0" applyFont="1" applyFill="1" applyBorder="1" applyAlignment="1">
      <alignment horizontal="center" vertical="center"/>
    </xf>
    <xf numFmtId="0" fontId="109" fillId="25" borderId="6" xfId="0" applyFont="1" applyFill="1" applyBorder="1" applyAlignment="1">
      <alignment vertical="center"/>
    </xf>
    <xf numFmtId="0" fontId="109" fillId="25" borderId="6" xfId="0" applyFont="1" applyFill="1" applyBorder="1" applyAlignment="1">
      <alignment horizontal="center" vertical="center"/>
    </xf>
    <xf numFmtId="0" fontId="125" fillId="25" borderId="6" xfId="0" applyFont="1" applyFill="1" applyBorder="1" applyAlignment="1">
      <alignment vertical="center"/>
    </xf>
    <xf numFmtId="1" fontId="38" fillId="55" borderId="10" xfId="0" quotePrefix="1" applyNumberFormat="1" applyFont="1" applyFill="1" applyBorder="1" applyAlignment="1">
      <alignment horizontal="center" vertical="center"/>
    </xf>
    <xf numFmtId="169" fontId="38" fillId="55" borderId="10" xfId="0" applyNumberFormat="1" applyFont="1" applyFill="1" applyBorder="1" applyAlignment="1">
      <alignment horizontal="center" vertical="center"/>
    </xf>
    <xf numFmtId="1" fontId="42" fillId="55" borderId="45" xfId="0" applyNumberFormat="1" applyFont="1" applyFill="1" applyBorder="1" applyAlignment="1">
      <alignment horizontal="center" vertical="center"/>
    </xf>
    <xf numFmtId="0" fontId="42" fillId="0" borderId="40" xfId="0" applyFont="1" applyBorder="1" applyAlignment="1">
      <alignment vertical="top"/>
    </xf>
    <xf numFmtId="169" fontId="76" fillId="0" borderId="10" xfId="0" applyNumberFormat="1" applyFont="1" applyBorder="1" applyAlignment="1">
      <alignment horizontal="center" vertical="center"/>
    </xf>
    <xf numFmtId="170" fontId="35" fillId="25" borderId="75" xfId="4" applyFont="1" applyFill="1" applyBorder="1" applyAlignment="1">
      <alignment vertical="center"/>
    </xf>
    <xf numFmtId="171" fontId="35" fillId="14" borderId="18" xfId="0" applyNumberFormat="1" applyFont="1" applyFill="1" applyBorder="1" applyAlignment="1">
      <alignment horizontal="center" vertical="center"/>
    </xf>
    <xf numFmtId="1" fontId="11" fillId="19" borderId="33" xfId="0" applyNumberFormat="1" applyFont="1" applyFill="1" applyBorder="1" applyAlignment="1">
      <alignment horizontal="center" vertical="center"/>
    </xf>
    <xf numFmtId="1" fontId="75" fillId="21" borderId="10" xfId="0" applyNumberFormat="1" applyFont="1" applyFill="1" applyBorder="1" applyAlignment="1">
      <alignment vertical="center"/>
    </xf>
    <xf numFmtId="0" fontId="206" fillId="0" borderId="47" xfId="189" applyFont="1" applyFill="1" applyBorder="1" applyAlignment="1">
      <alignment horizontal="left" vertical="center"/>
    </xf>
    <xf numFmtId="1" fontId="138" fillId="19" borderId="47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0" fontId="74" fillId="25" borderId="6" xfId="0" applyFont="1" applyFill="1" applyBorder="1"/>
    <xf numFmtId="0" fontId="166" fillId="0" borderId="10" xfId="0" applyFont="1" applyBorder="1" applyAlignment="1">
      <alignment vertical="center"/>
    </xf>
    <xf numFmtId="0" fontId="166" fillId="21" borderId="10" xfId="0" applyFont="1" applyFill="1" applyBorder="1" applyAlignment="1">
      <alignment vertical="center"/>
    </xf>
    <xf numFmtId="1" fontId="89" fillId="17" borderId="65" xfId="0" applyNumberFormat="1" applyFont="1" applyFill="1" applyBorder="1" applyAlignment="1">
      <alignment horizontal="center" vertical="center"/>
    </xf>
    <xf numFmtId="1" fontId="89" fillId="25" borderId="66" xfId="0" applyNumberFormat="1" applyFont="1" applyFill="1" applyBorder="1" applyAlignment="1">
      <alignment horizontal="center" vertical="center"/>
    </xf>
    <xf numFmtId="1" fontId="89" fillId="17" borderId="75" xfId="0" applyNumberFormat="1" applyFont="1" applyFill="1" applyBorder="1" applyAlignment="1">
      <alignment horizontal="center" vertical="center"/>
    </xf>
    <xf numFmtId="1" fontId="89" fillId="25" borderId="24" xfId="0" applyNumberFormat="1" applyFont="1" applyFill="1" applyBorder="1" applyAlignment="1">
      <alignment horizontal="center" vertical="center"/>
    </xf>
    <xf numFmtId="1" fontId="83" fillId="0" borderId="13" xfId="0" applyNumberFormat="1" applyFont="1" applyBorder="1" applyAlignment="1">
      <alignment horizontal="center" vertical="center"/>
    </xf>
    <xf numFmtId="1" fontId="72" fillId="3" borderId="20" xfId="0" applyNumberFormat="1" applyFont="1" applyFill="1" applyBorder="1" applyAlignment="1">
      <alignment horizontal="center" vertical="center"/>
    </xf>
    <xf numFmtId="169" fontId="72" fillId="14" borderId="10" xfId="0" applyNumberFormat="1" applyFont="1" applyFill="1" applyBorder="1" applyAlignment="1">
      <alignment horizontal="center" vertical="center"/>
    </xf>
    <xf numFmtId="169" fontId="72" fillId="14" borderId="22" xfId="0" applyNumberFormat="1" applyFont="1" applyFill="1" applyBorder="1" applyAlignment="1">
      <alignment horizontal="center" vertical="center"/>
    </xf>
    <xf numFmtId="169" fontId="72" fillId="14" borderId="40" xfId="0" applyNumberFormat="1" applyFont="1" applyFill="1" applyBorder="1" applyAlignment="1">
      <alignment horizontal="center" vertical="center"/>
    </xf>
    <xf numFmtId="169" fontId="72" fillId="14" borderId="13" xfId="0" applyNumberFormat="1" applyFont="1" applyFill="1" applyBorder="1" applyAlignment="1">
      <alignment horizontal="center" vertical="center"/>
    </xf>
    <xf numFmtId="169" fontId="72" fillId="3" borderId="16" xfId="0" applyNumberFormat="1" applyFont="1" applyFill="1" applyBorder="1" applyAlignment="1">
      <alignment horizontal="center" vertical="center"/>
    </xf>
    <xf numFmtId="1" fontId="99" fillId="13" borderId="22" xfId="0" applyNumberFormat="1" applyFont="1" applyFill="1" applyBorder="1" applyAlignment="1">
      <alignment horizontal="center" vertical="center"/>
    </xf>
    <xf numFmtId="1" fontId="99" fillId="13" borderId="60" xfId="0" applyNumberFormat="1" applyFont="1" applyFill="1" applyBorder="1" applyAlignment="1">
      <alignment horizontal="center" vertical="center"/>
    </xf>
    <xf numFmtId="1" fontId="99" fillId="13" borderId="40" xfId="0" applyNumberFormat="1" applyFont="1" applyFill="1" applyBorder="1" applyAlignment="1">
      <alignment horizontal="center" vertical="center"/>
    </xf>
    <xf numFmtId="169" fontId="76" fillId="0" borderId="6" xfId="0" applyNumberFormat="1" applyFont="1" applyBorder="1" applyAlignment="1">
      <alignment vertical="center"/>
    </xf>
    <xf numFmtId="169" fontId="72" fillId="25" borderId="49" xfId="0" applyNumberFormat="1" applyFont="1" applyFill="1" applyBorder="1" applyAlignment="1">
      <alignment vertical="center"/>
    </xf>
    <xf numFmtId="2" fontId="34" fillId="27" borderId="12" xfId="0" applyNumberFormat="1" applyFont="1" applyFill="1" applyBorder="1" applyAlignment="1">
      <alignment horizontal="center" vertical="center"/>
    </xf>
    <xf numFmtId="1" fontId="111" fillId="25" borderId="53" xfId="0" applyNumberFormat="1" applyFont="1" applyFill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19" borderId="4" xfId="0" applyFont="1" applyFill="1" applyBorder="1" applyAlignment="1">
      <alignment horizontal="center" vertical="center"/>
    </xf>
    <xf numFmtId="0" fontId="42" fillId="0" borderId="40" xfId="0" applyFont="1" applyBorder="1" applyAlignment="1">
      <alignment vertical="top"/>
    </xf>
    <xf numFmtId="0" fontId="7" fillId="25" borderId="47" xfId="0" applyFont="1" applyFill="1" applyBorder="1" applyAlignment="1">
      <alignment vertical="center"/>
    </xf>
    <xf numFmtId="1" fontId="67" fillId="55" borderId="30" xfId="0" applyNumberFormat="1" applyFont="1" applyFill="1" applyBorder="1" applyAlignment="1">
      <alignment horizontal="center" vertical="center"/>
    </xf>
    <xf numFmtId="0" fontId="138" fillId="0" borderId="8" xfId="0" applyFont="1" applyBorder="1" applyAlignment="1">
      <alignment horizontal="center" vertical="center"/>
    </xf>
    <xf numFmtId="1" fontId="34" fillId="17" borderId="22" xfId="0" applyNumberFormat="1" applyFont="1" applyFill="1" applyBorder="1" applyAlignment="1">
      <alignment horizontal="center" vertical="center"/>
    </xf>
    <xf numFmtId="0" fontId="42" fillId="0" borderId="40" xfId="0" applyFont="1" applyBorder="1" applyAlignment="1">
      <alignment vertical="top"/>
    </xf>
    <xf numFmtId="0" fontId="206" fillId="0" borderId="52" xfId="189" applyFont="1" applyFill="1" applyBorder="1" applyAlignment="1">
      <alignment horizontal="left" vertical="center"/>
    </xf>
    <xf numFmtId="0" fontId="206" fillId="0" borderId="70" xfId="189" applyFont="1" applyFill="1" applyBorder="1" applyAlignment="1">
      <alignment horizontal="left" vertical="center"/>
    </xf>
    <xf numFmtId="0" fontId="206" fillId="52" borderId="62" xfId="189" applyFont="1" applyFill="1" applyBorder="1" applyAlignment="1">
      <alignment horizontal="center" vertical="center"/>
    </xf>
    <xf numFmtId="0" fontId="206" fillId="52" borderId="45" xfId="189" applyFont="1" applyFill="1" applyBorder="1" applyAlignment="1">
      <alignment horizontal="center" vertical="center"/>
    </xf>
    <xf numFmtId="0" fontId="206" fillId="52" borderId="72" xfId="189" applyFont="1" applyFill="1" applyBorder="1" applyAlignment="1">
      <alignment horizontal="center" vertical="center"/>
    </xf>
    <xf numFmtId="1" fontId="207" fillId="0" borderId="41" xfId="189" applyNumberFormat="1" applyFont="1" applyFill="1" applyBorder="1" applyAlignment="1">
      <alignment horizontal="center" vertical="center"/>
    </xf>
    <xf numFmtId="1" fontId="207" fillId="0" borderId="42" xfId="189" applyNumberFormat="1" applyFont="1" applyFill="1" applyBorder="1" applyAlignment="1">
      <alignment horizontal="center" vertical="center"/>
    </xf>
    <xf numFmtId="1" fontId="207" fillId="0" borderId="17" xfId="189" applyNumberFormat="1" applyFont="1" applyFill="1" applyBorder="1" applyAlignment="1">
      <alignment horizontal="center" vertical="center"/>
    </xf>
    <xf numFmtId="0" fontId="79" fillId="56" borderId="29" xfId="0" applyFont="1" applyFill="1" applyBorder="1" applyAlignment="1">
      <alignment horizontal="right" vertical="center"/>
    </xf>
    <xf numFmtId="0" fontId="63" fillId="56" borderId="22" xfId="0" applyFont="1" applyFill="1" applyBorder="1" applyAlignment="1">
      <alignment horizontal="center" vertical="center"/>
    </xf>
    <xf numFmtId="1" fontId="67" fillId="56" borderId="10" xfId="0" applyNumberFormat="1" applyFont="1" applyFill="1" applyBorder="1" applyAlignment="1">
      <alignment horizontal="center" vertical="center"/>
    </xf>
    <xf numFmtId="1" fontId="63" fillId="56" borderId="22" xfId="0" applyNumberFormat="1" applyFont="1" applyFill="1" applyBorder="1" applyAlignment="1">
      <alignment horizontal="center" vertical="center"/>
    </xf>
    <xf numFmtId="1" fontId="63" fillId="56" borderId="12" xfId="0" applyNumberFormat="1" applyFont="1" applyFill="1" applyBorder="1" applyAlignment="1">
      <alignment horizontal="center" vertical="center"/>
    </xf>
    <xf numFmtId="1" fontId="86" fillId="56" borderId="12" xfId="0" applyNumberFormat="1" applyFont="1" applyFill="1" applyBorder="1" applyAlignment="1">
      <alignment horizontal="center" vertical="center"/>
    </xf>
    <xf numFmtId="0" fontId="79" fillId="56" borderId="59" xfId="0" applyFont="1" applyFill="1" applyBorder="1" applyAlignment="1">
      <alignment horizontal="right" vertical="center" wrapText="1"/>
    </xf>
    <xf numFmtId="0" fontId="67" fillId="56" borderId="46" xfId="0" applyFont="1" applyFill="1" applyBorder="1" applyAlignment="1">
      <alignment horizontal="center" vertical="center"/>
    </xf>
    <xf numFmtId="1" fontId="79" fillId="56" borderId="22" xfId="0" applyNumberFormat="1" applyFont="1" applyFill="1" applyBorder="1" applyAlignment="1">
      <alignment horizontal="center" vertical="center"/>
    </xf>
    <xf numFmtId="1" fontId="79" fillId="56" borderId="20" xfId="0" applyNumberFormat="1" applyFont="1" applyFill="1" applyBorder="1" applyAlignment="1">
      <alignment horizontal="center" vertical="center"/>
    </xf>
    <xf numFmtId="1" fontId="63" fillId="56" borderId="16" xfId="0" applyNumberFormat="1" applyFont="1" applyFill="1" applyBorder="1" applyAlignment="1">
      <alignment horizontal="center" vertical="center"/>
    </xf>
    <xf numFmtId="0" fontId="86" fillId="56" borderId="12" xfId="0" applyFont="1" applyFill="1" applyBorder="1" applyAlignment="1">
      <alignment horizontal="center" vertical="center"/>
    </xf>
    <xf numFmtId="0" fontId="79" fillId="56" borderId="4" xfId="0" applyFont="1" applyFill="1" applyBorder="1" applyAlignment="1">
      <alignment horizontal="right" vertical="center"/>
    </xf>
    <xf numFmtId="1" fontId="63" fillId="56" borderId="5" xfId="0" applyNumberFormat="1" applyFont="1" applyFill="1" applyBorder="1" applyAlignment="1">
      <alignment horizontal="center" vertical="center"/>
    </xf>
    <xf numFmtId="1" fontId="63" fillId="56" borderId="13" xfId="0" applyNumberFormat="1" applyFont="1" applyFill="1" applyBorder="1" applyAlignment="1">
      <alignment horizontal="center" vertical="center"/>
    </xf>
    <xf numFmtId="0" fontId="79" fillId="56" borderId="41" xfId="0" applyFont="1" applyFill="1" applyBorder="1" applyAlignment="1">
      <alignment horizontal="left" vertical="center" wrapText="1"/>
    </xf>
    <xf numFmtId="1" fontId="67" fillId="56" borderId="41" xfId="0" applyNumberFormat="1" applyFont="1" applyFill="1" applyBorder="1" applyAlignment="1">
      <alignment horizontal="center" vertical="center"/>
    </xf>
    <xf numFmtId="1" fontId="63" fillId="56" borderId="18" xfId="0" applyNumberFormat="1" applyFont="1" applyFill="1" applyBorder="1" applyAlignment="1">
      <alignment horizontal="center" vertical="center"/>
    </xf>
    <xf numFmtId="0" fontId="42" fillId="0" borderId="40" xfId="0" applyFont="1" applyBorder="1" applyAlignment="1">
      <alignment vertical="top"/>
    </xf>
    <xf numFmtId="168" fontId="72" fillId="50" borderId="16" xfId="0" applyNumberFormat="1" applyFont="1" applyFill="1" applyBorder="1" applyAlignment="1">
      <alignment horizontal="center" vertical="center"/>
    </xf>
    <xf numFmtId="1" fontId="72" fillId="25" borderId="69" xfId="0" applyNumberFormat="1" applyFont="1" applyFill="1" applyBorder="1" applyAlignment="1">
      <alignment horizontal="center" vertical="center"/>
    </xf>
    <xf numFmtId="0" fontId="34" fillId="25" borderId="25" xfId="0" applyFont="1" applyFill="1" applyBorder="1" applyAlignment="1">
      <alignment vertical="center"/>
    </xf>
    <xf numFmtId="0" fontId="48" fillId="25" borderId="52" xfId="0" applyFont="1" applyFill="1" applyBorder="1" applyAlignment="1">
      <alignment vertical="center"/>
    </xf>
    <xf numFmtId="0" fontId="50" fillId="25" borderId="0" xfId="0" applyFont="1" applyFill="1" applyAlignment="1">
      <alignment vertical="center"/>
    </xf>
    <xf numFmtId="0" fontId="43" fillId="25" borderId="47" xfId="0" applyFont="1" applyFill="1" applyBorder="1" applyAlignment="1">
      <alignment vertical="center"/>
    </xf>
    <xf numFmtId="0" fontId="43" fillId="25" borderId="31" xfId="0" applyFont="1" applyFill="1" applyBorder="1" applyAlignment="1">
      <alignment vertical="center"/>
    </xf>
    <xf numFmtId="0" fontId="43" fillId="25" borderId="32" xfId="0" applyFont="1" applyFill="1" applyBorder="1" applyAlignment="1">
      <alignment vertical="center"/>
    </xf>
    <xf numFmtId="171" fontId="34" fillId="57" borderId="12" xfId="0" applyNumberFormat="1" applyFont="1" applyFill="1" applyBorder="1" applyAlignment="1">
      <alignment horizontal="center" vertical="center"/>
    </xf>
    <xf numFmtId="169" fontId="63" fillId="0" borderId="67" xfId="0" applyNumberFormat="1" applyFont="1" applyBorder="1" applyAlignment="1">
      <alignment horizontal="center" vertical="center"/>
    </xf>
    <xf numFmtId="1" fontId="67" fillId="56" borderId="46" xfId="0" applyNumberFormat="1" applyFont="1" applyFill="1" applyBorder="1" applyAlignment="1">
      <alignment horizontal="center" vertical="center"/>
    </xf>
    <xf numFmtId="169" fontId="35" fillId="13" borderId="19" xfId="0" applyNumberFormat="1" applyFont="1" applyFill="1" applyBorder="1" applyAlignment="1">
      <alignment horizontal="center" vertical="center"/>
    </xf>
    <xf numFmtId="1" fontId="99" fillId="14" borderId="22" xfId="0" applyNumberFormat="1" applyFont="1" applyFill="1" applyBorder="1" applyAlignment="1">
      <alignment horizontal="center" vertical="center"/>
    </xf>
    <xf numFmtId="1" fontId="99" fillId="14" borderId="60" xfId="0" applyNumberFormat="1" applyFont="1" applyFill="1" applyBorder="1" applyAlignment="1">
      <alignment horizontal="center" vertical="center"/>
    </xf>
    <xf numFmtId="2" fontId="34" fillId="17" borderId="12" xfId="0" applyNumberFormat="1" applyFont="1" applyFill="1" applyBorder="1" applyAlignment="1">
      <alignment horizontal="center" vertical="center"/>
    </xf>
    <xf numFmtId="1" fontId="89" fillId="17" borderId="48" xfId="0" applyNumberFormat="1" applyFont="1" applyFill="1" applyBorder="1" applyAlignment="1">
      <alignment horizontal="center" vertical="center"/>
    </xf>
    <xf numFmtId="1" fontId="89" fillId="17" borderId="64" xfId="0" applyNumberFormat="1" applyFont="1" applyFill="1" applyBorder="1" applyAlignment="1">
      <alignment horizontal="center" vertical="center"/>
    </xf>
    <xf numFmtId="1" fontId="89" fillId="17" borderId="66" xfId="0" applyNumberFormat="1" applyFont="1" applyFill="1" applyBorder="1" applyAlignment="1">
      <alignment horizontal="center" vertical="center"/>
    </xf>
    <xf numFmtId="1" fontId="89" fillId="17" borderId="37" xfId="0" applyNumberFormat="1" applyFont="1" applyFill="1" applyBorder="1" applyAlignment="1">
      <alignment horizontal="center" vertical="center"/>
    </xf>
    <xf numFmtId="0" fontId="166" fillId="19" borderId="10" xfId="0" applyFont="1" applyFill="1" applyBorder="1" applyAlignment="1">
      <alignment vertical="center"/>
    </xf>
    <xf numFmtId="1" fontId="11" fillId="19" borderId="23" xfId="0" applyNumberFormat="1" applyFont="1" applyFill="1" applyBorder="1" applyAlignment="1">
      <alignment horizontal="center" vertical="center"/>
    </xf>
    <xf numFmtId="0" fontId="166" fillId="21" borderId="30" xfId="0" applyFont="1" applyFill="1" applyBorder="1" applyAlignment="1">
      <alignment vertical="center"/>
    </xf>
    <xf numFmtId="1" fontId="11" fillId="21" borderId="30" xfId="0" applyNumberFormat="1" applyFont="1" applyFill="1" applyBorder="1" applyAlignment="1">
      <alignment horizontal="center" vertical="center"/>
    </xf>
    <xf numFmtId="0" fontId="166" fillId="0" borderId="30" xfId="0" applyFont="1" applyBorder="1" applyAlignment="1">
      <alignment vertical="center"/>
    </xf>
    <xf numFmtId="0" fontId="166" fillId="19" borderId="30" xfId="0" applyFont="1" applyFill="1" applyBorder="1" applyAlignment="1">
      <alignment vertical="center"/>
    </xf>
    <xf numFmtId="0" fontId="5" fillId="25" borderId="9" xfId="0" applyFont="1" applyFill="1" applyBorder="1" applyAlignment="1">
      <alignment horizontal="right" vertical="center"/>
    </xf>
    <xf numFmtId="0" fontId="114" fillId="25" borderId="15" xfId="0" applyFont="1" applyFill="1" applyBorder="1" applyAlignment="1">
      <alignment horizontal="center" vertical="center"/>
    </xf>
    <xf numFmtId="1" fontId="6" fillId="25" borderId="73" xfId="0" applyNumberFormat="1" applyFont="1" applyFill="1" applyBorder="1" applyAlignment="1">
      <alignment horizontal="center" vertical="center"/>
    </xf>
    <xf numFmtId="0" fontId="166" fillId="25" borderId="44" xfId="0" applyFont="1" applyFill="1" applyBorder="1" applyAlignment="1">
      <alignment vertical="center" wrapText="1"/>
    </xf>
    <xf numFmtId="1" fontId="6" fillId="25" borderId="17" xfId="0" applyNumberFormat="1" applyFont="1" applyFill="1" applyBorder="1" applyAlignment="1">
      <alignment horizontal="center" vertical="center"/>
    </xf>
    <xf numFmtId="0" fontId="74" fillId="25" borderId="57" xfId="0" applyFont="1" applyFill="1" applyBorder="1" applyAlignment="1">
      <alignment horizontal="left" vertical="center"/>
    </xf>
    <xf numFmtId="0" fontId="74" fillId="25" borderId="15" xfId="0" applyFont="1" applyFill="1" applyBorder="1" applyAlignment="1">
      <alignment horizontal="center" vertical="center"/>
    </xf>
    <xf numFmtId="1" fontId="6" fillId="25" borderId="21" xfId="0" applyNumberFormat="1" applyFont="1" applyFill="1" applyBorder="1" applyAlignment="1">
      <alignment horizontal="center" vertical="center"/>
    </xf>
    <xf numFmtId="1" fontId="74" fillId="25" borderId="76" xfId="0" applyNumberFormat="1" applyFont="1" applyFill="1" applyBorder="1" applyAlignment="1">
      <alignment horizontal="center" vertical="center"/>
    </xf>
    <xf numFmtId="1" fontId="6" fillId="25" borderId="11" xfId="0" applyNumberFormat="1" applyFont="1" applyFill="1" applyBorder="1" applyAlignment="1">
      <alignment horizontal="center" vertical="center"/>
    </xf>
    <xf numFmtId="1" fontId="63" fillId="17" borderId="14" xfId="0" applyNumberFormat="1" applyFont="1" applyFill="1" applyBorder="1" applyAlignment="1">
      <alignment horizontal="center" vertical="center"/>
    </xf>
    <xf numFmtId="1" fontId="111" fillId="19" borderId="10" xfId="0" applyNumberFormat="1" applyFont="1" applyFill="1" applyBorder="1" applyAlignment="1">
      <alignment horizontal="center" vertical="center"/>
    </xf>
    <xf numFmtId="1" fontId="109" fillId="19" borderId="73" xfId="0" applyNumberFormat="1" applyFont="1" applyFill="1" applyBorder="1" applyAlignment="1">
      <alignment horizontal="center" vertical="center"/>
    </xf>
    <xf numFmtId="1" fontId="63" fillId="0" borderId="67" xfId="0" applyNumberFormat="1" applyFont="1" applyBorder="1" applyAlignment="1">
      <alignment horizontal="center" vertical="center"/>
    </xf>
    <xf numFmtId="0" fontId="76" fillId="25" borderId="52" xfId="0" applyFont="1" applyFill="1" applyBorder="1" applyAlignment="1">
      <alignment vertical="center"/>
    </xf>
    <xf numFmtId="41" fontId="76" fillId="25" borderId="31" xfId="0" quotePrefix="1" applyNumberFormat="1" applyFont="1" applyFill="1" applyBorder="1" applyAlignment="1">
      <alignment horizontal="left" vertical="center"/>
    </xf>
    <xf numFmtId="0" fontId="206" fillId="25" borderId="38" xfId="189" applyFont="1" applyFill="1" applyBorder="1" applyAlignment="1">
      <alignment horizontal="center" vertical="center"/>
    </xf>
    <xf numFmtId="0" fontId="206" fillId="25" borderId="46" xfId="189" applyFont="1" applyFill="1" applyBorder="1" applyAlignment="1">
      <alignment horizontal="center" vertical="center"/>
    </xf>
    <xf numFmtId="0" fontId="206" fillId="25" borderId="71" xfId="189" applyFont="1" applyFill="1" applyBorder="1" applyAlignment="1">
      <alignment horizontal="center" vertical="center"/>
    </xf>
    <xf numFmtId="1" fontId="207" fillId="0" borderId="3" xfId="189" applyNumberFormat="1" applyFont="1" applyFill="1" applyBorder="1" applyAlignment="1">
      <alignment horizontal="center" vertical="center"/>
    </xf>
    <xf numFmtId="1" fontId="206" fillId="21" borderId="10" xfId="189" applyNumberFormat="1" applyFont="1" applyFill="1" applyBorder="1" applyAlignment="1">
      <alignment horizontal="center" vertical="center"/>
    </xf>
    <xf numFmtId="0" fontId="206" fillId="52" borderId="13" xfId="189" applyFont="1" applyFill="1" applyBorder="1" applyAlignment="1">
      <alignment horizontal="center" vertical="center"/>
    </xf>
    <xf numFmtId="169" fontId="205" fillId="0" borderId="0" xfId="189" applyNumberFormat="1" applyFill="1" applyBorder="1" applyAlignment="1">
      <alignment horizontal="left" vertical="top"/>
    </xf>
    <xf numFmtId="0" fontId="109" fillId="0" borderId="137" xfId="0" applyFont="1" applyBorder="1"/>
    <xf numFmtId="0" fontId="111" fillId="0" borderId="131" xfId="0" applyFont="1" applyBorder="1" applyAlignment="1">
      <alignment horizontal="right"/>
    </xf>
    <xf numFmtId="1" fontId="112" fillId="0" borderId="10" xfId="0" applyNumberFormat="1" applyFont="1" applyBorder="1" applyAlignment="1">
      <alignment horizontal="center" vertical="center"/>
    </xf>
    <xf numFmtId="2" fontId="35" fillId="13" borderId="22" xfId="0" applyNumberFormat="1" applyFont="1" applyFill="1" applyBorder="1" applyAlignment="1">
      <alignment horizontal="center" vertical="center"/>
    </xf>
    <xf numFmtId="0" fontId="7" fillId="25" borderId="25" xfId="0" applyFont="1" applyFill="1" applyBorder="1" applyAlignment="1">
      <alignment horizontal="left" vertical="center"/>
    </xf>
    <xf numFmtId="0" fontId="7" fillId="25" borderId="55" xfId="0" applyFont="1" applyFill="1" applyBorder="1" applyAlignment="1">
      <alignment vertical="center"/>
    </xf>
    <xf numFmtId="0" fontId="166" fillId="25" borderId="25" xfId="0" applyFont="1" applyFill="1" applyBorder="1" applyAlignment="1">
      <alignment vertical="center"/>
    </xf>
    <xf numFmtId="0" fontId="8" fillId="25" borderId="21" xfId="0" applyFont="1" applyFill="1" applyBorder="1" applyAlignment="1">
      <alignment vertical="center"/>
    </xf>
    <xf numFmtId="0" fontId="166" fillId="25" borderId="39" xfId="0" applyFont="1" applyFill="1" applyBorder="1" applyAlignment="1">
      <alignment vertical="center"/>
    </xf>
    <xf numFmtId="0" fontId="8" fillId="25" borderId="39" xfId="0" applyFont="1" applyFill="1" applyBorder="1" applyAlignment="1">
      <alignment vertical="center"/>
    </xf>
    <xf numFmtId="0" fontId="7" fillId="25" borderId="39" xfId="0" applyFont="1" applyFill="1" applyBorder="1" applyAlignment="1">
      <alignment vertical="center"/>
    </xf>
    <xf numFmtId="0" fontId="7" fillId="25" borderId="44" xfId="0" applyFont="1" applyFill="1" applyBorder="1" applyAlignment="1">
      <alignment vertical="center"/>
    </xf>
    <xf numFmtId="0" fontId="5" fillId="25" borderId="1" xfId="0" applyFont="1" applyFill="1" applyBorder="1" applyAlignment="1">
      <alignment horizontal="right" vertical="center"/>
    </xf>
    <xf numFmtId="0" fontId="114" fillId="25" borderId="67" xfId="0" applyFont="1" applyFill="1" applyBorder="1" applyAlignment="1">
      <alignment horizontal="center" vertical="center"/>
    </xf>
    <xf numFmtId="0" fontId="166" fillId="25" borderId="2" xfId="0" applyFont="1" applyFill="1" applyBorder="1" applyAlignment="1">
      <alignment vertical="center"/>
    </xf>
    <xf numFmtId="0" fontId="114" fillId="25" borderId="6" xfId="0" applyFont="1" applyFill="1" applyBorder="1" applyAlignment="1">
      <alignment vertical="center"/>
    </xf>
    <xf numFmtId="0" fontId="114" fillId="25" borderId="24" xfId="0" applyFont="1" applyFill="1" applyBorder="1" applyAlignment="1">
      <alignment vertical="center"/>
    </xf>
    <xf numFmtId="0" fontId="112" fillId="21" borderId="54" xfId="0" applyFont="1" applyFill="1" applyBorder="1" applyAlignment="1">
      <alignment horizontal="center" vertical="center"/>
    </xf>
    <xf numFmtId="1" fontId="109" fillId="21" borderId="10" xfId="0" applyNumberFormat="1" applyFont="1" applyFill="1" applyBorder="1" applyAlignment="1">
      <alignment horizontal="center" vertical="center"/>
    </xf>
    <xf numFmtId="172" fontId="36" fillId="17" borderId="6" xfId="0" applyNumberFormat="1" applyFont="1" applyFill="1" applyBorder="1" applyAlignment="1">
      <alignment horizontal="center" vertical="center"/>
    </xf>
    <xf numFmtId="1" fontId="74" fillId="25" borderId="31" xfId="0" applyNumberFormat="1" applyFont="1" applyFill="1" applyBorder="1" applyAlignment="1">
      <alignment horizontal="center" vertical="center"/>
    </xf>
    <xf numFmtId="0" fontId="109" fillId="25" borderId="8" xfId="0" applyFont="1" applyFill="1" applyBorder="1" applyAlignment="1">
      <alignment horizontal="center" vertical="center"/>
    </xf>
    <xf numFmtId="0" fontId="138" fillId="25" borderId="59" xfId="0" applyFont="1" applyFill="1" applyBorder="1" applyAlignment="1">
      <alignment horizontal="center" vertical="center"/>
    </xf>
    <xf numFmtId="0" fontId="137" fillId="25" borderId="42" xfId="0" applyFont="1" applyFill="1" applyBorder="1" applyAlignment="1">
      <alignment horizontal="left" vertical="center" wrapText="1"/>
    </xf>
    <xf numFmtId="41" fontId="10" fillId="25" borderId="31" xfId="0" quotePrefix="1" applyNumberFormat="1" applyFont="1" applyFill="1" applyBorder="1" applyAlignment="1">
      <alignment horizontal="left" vertical="center" wrapText="1"/>
    </xf>
    <xf numFmtId="41" fontId="10" fillId="25" borderId="34" xfId="0" quotePrefix="1" applyNumberFormat="1" applyFont="1" applyFill="1" applyBorder="1" applyAlignment="1">
      <alignment horizontal="left" vertical="center"/>
    </xf>
    <xf numFmtId="41" fontId="10" fillId="25" borderId="10" xfId="0" quotePrefix="1" applyNumberFormat="1" applyFont="1" applyFill="1" applyBorder="1" applyAlignment="1">
      <alignment horizontal="left" vertical="center"/>
    </xf>
    <xf numFmtId="41" fontId="11" fillId="25" borderId="31" xfId="0" quotePrefix="1" applyNumberFormat="1" applyFont="1" applyFill="1" applyBorder="1" applyAlignment="1">
      <alignment horizontal="left" vertical="center"/>
    </xf>
    <xf numFmtId="2" fontId="63" fillId="25" borderId="23" xfId="0" applyNumberFormat="1" applyFont="1" applyFill="1" applyBorder="1" applyAlignment="1">
      <alignment horizontal="center" vertical="center"/>
    </xf>
    <xf numFmtId="0" fontId="170" fillId="25" borderId="0" xfId="0" applyFont="1" applyFill="1" applyAlignment="1"/>
    <xf numFmtId="0" fontId="0" fillId="25" borderId="0" xfId="0" applyFill="1" applyAlignment="1"/>
    <xf numFmtId="169" fontId="63" fillId="17" borderId="30" xfId="0" applyNumberFormat="1" applyFont="1" applyFill="1" applyBorder="1" applyAlignment="1">
      <alignment horizontal="center" vertical="center"/>
    </xf>
    <xf numFmtId="169" fontId="36" fillId="0" borderId="19" xfId="0" applyNumberFormat="1" applyFont="1" applyBorder="1" applyAlignment="1">
      <alignment horizontal="center" vertical="center"/>
    </xf>
    <xf numFmtId="169" fontId="36" fillId="17" borderId="19" xfId="0" applyNumberFormat="1" applyFont="1" applyFill="1" applyBorder="1" applyAlignment="1">
      <alignment horizontal="center" vertical="center"/>
    </xf>
    <xf numFmtId="1" fontId="134" fillId="25" borderId="63" xfId="0" applyNumberFormat="1" applyFont="1" applyFill="1" applyBorder="1" applyAlignment="1">
      <alignment horizontal="center" vertical="center"/>
    </xf>
    <xf numFmtId="0" fontId="206" fillId="25" borderId="47" xfId="189" applyFont="1" applyFill="1" applyBorder="1" applyAlignment="1">
      <alignment horizontal="left" vertical="center"/>
    </xf>
    <xf numFmtId="1" fontId="89" fillId="0" borderId="48" xfId="0" applyNumberFormat="1" applyFont="1" applyBorder="1" applyAlignment="1">
      <alignment horizontal="center" vertical="center"/>
    </xf>
    <xf numFmtId="1" fontId="89" fillId="2" borderId="75" xfId="0" applyNumberFormat="1" applyFont="1" applyFill="1" applyBorder="1" applyAlignment="1">
      <alignment horizontal="center" vertical="center"/>
    </xf>
    <xf numFmtId="2" fontId="83" fillId="2" borderId="7" xfId="0" applyNumberFormat="1" applyFont="1" applyFill="1" applyBorder="1" applyAlignment="1">
      <alignment horizontal="center" vertical="center"/>
    </xf>
    <xf numFmtId="1" fontId="72" fillId="15" borderId="10" xfId="0" applyNumberFormat="1" applyFont="1" applyFill="1" applyBorder="1" applyAlignment="1">
      <alignment horizontal="center" vertical="center"/>
    </xf>
    <xf numFmtId="2" fontId="83" fillId="5" borderId="10" xfId="0" applyNumberFormat="1" applyFont="1" applyFill="1" applyBorder="1" applyAlignment="1">
      <alignment horizontal="center" vertical="center"/>
    </xf>
    <xf numFmtId="2" fontId="83" fillId="15" borderId="10" xfId="0" applyNumberFormat="1" applyFont="1" applyFill="1" applyBorder="1" applyAlignment="1">
      <alignment horizontal="center" vertical="center"/>
    </xf>
    <xf numFmtId="1" fontId="72" fillId="25" borderId="22" xfId="0" applyNumberFormat="1" applyFont="1" applyFill="1" applyBorder="1" applyAlignment="1">
      <alignment horizontal="center" vertical="center"/>
    </xf>
    <xf numFmtId="1" fontId="89" fillId="25" borderId="52" xfId="0" applyNumberFormat="1" applyFont="1" applyFill="1" applyBorder="1" applyAlignment="1">
      <alignment horizontal="center" vertical="center"/>
    </xf>
    <xf numFmtId="168" fontId="72" fillId="0" borderId="6" xfId="0" applyNumberFormat="1" applyFont="1" applyBorder="1" applyAlignment="1">
      <alignment horizontal="center" vertical="center"/>
    </xf>
    <xf numFmtId="168" fontId="72" fillId="0" borderId="26" xfId="0" applyNumberFormat="1" applyFont="1" applyBorder="1" applyAlignment="1">
      <alignment horizontal="center" vertical="center"/>
    </xf>
    <xf numFmtId="168" fontId="72" fillId="5" borderId="10" xfId="0" applyNumberFormat="1" applyFont="1" applyFill="1" applyBorder="1" applyAlignment="1">
      <alignment horizontal="center"/>
    </xf>
    <xf numFmtId="168" fontId="72" fillId="3" borderId="10" xfId="0" applyNumberFormat="1" applyFont="1" applyFill="1" applyBorder="1" applyAlignment="1">
      <alignment horizontal="center" vertical="center"/>
    </xf>
    <xf numFmtId="168" fontId="72" fillId="2" borderId="10" xfId="0" applyNumberFormat="1" applyFont="1" applyFill="1" applyBorder="1" applyAlignment="1">
      <alignment horizontal="center"/>
    </xf>
    <xf numFmtId="41" fontId="5" fillId="25" borderId="1" xfId="0" applyNumberFormat="1" applyFont="1" applyFill="1" applyBorder="1" applyAlignment="1">
      <alignment horizontal="left" vertical="center"/>
    </xf>
    <xf numFmtId="1" fontId="138" fillId="25" borderId="9" xfId="0" applyNumberFormat="1" applyFont="1" applyFill="1" applyBorder="1" applyAlignment="1">
      <alignment horizontal="center" vertical="center"/>
    </xf>
    <xf numFmtId="1" fontId="138" fillId="0" borderId="9" xfId="0" applyNumberFormat="1" applyFont="1" applyBorder="1" applyAlignment="1">
      <alignment horizontal="center" vertical="center"/>
    </xf>
    <xf numFmtId="41" fontId="5" fillId="25" borderId="32" xfId="0" quotePrefix="1" applyNumberFormat="1" applyFont="1" applyFill="1" applyBorder="1" applyAlignment="1">
      <alignment horizontal="left" vertical="center"/>
    </xf>
    <xf numFmtId="0" fontId="114" fillId="25" borderId="23" xfId="0" applyFont="1" applyFill="1" applyBorder="1" applyAlignment="1">
      <alignment horizontal="center" vertical="center"/>
    </xf>
    <xf numFmtId="1" fontId="125" fillId="0" borderId="69" xfId="0" applyNumberFormat="1" applyFont="1" applyBorder="1" applyAlignment="1">
      <alignment horizontal="center" vertical="center"/>
    </xf>
    <xf numFmtId="0" fontId="5" fillId="25" borderId="25" xfId="0" applyFont="1" applyFill="1" applyBorder="1" applyAlignment="1">
      <alignment horizontal="right" vertical="center"/>
    </xf>
    <xf numFmtId="0" fontId="114" fillId="25" borderId="55" xfId="0" applyFont="1" applyFill="1" applyBorder="1" applyAlignment="1">
      <alignment horizontal="center" vertical="center"/>
    </xf>
    <xf numFmtId="1" fontId="74" fillId="25" borderId="25" xfId="0" applyNumberFormat="1" applyFont="1" applyFill="1" applyBorder="1" applyAlignment="1">
      <alignment horizontal="center" vertical="center"/>
    </xf>
    <xf numFmtId="1" fontId="6" fillId="25" borderId="55" xfId="0" applyNumberFormat="1" applyFont="1" applyFill="1" applyBorder="1" applyAlignment="1">
      <alignment horizontal="center" vertical="center"/>
    </xf>
    <xf numFmtId="1" fontId="207" fillId="0" borderId="30" xfId="189" applyNumberFormat="1" applyFont="1" applyFill="1" applyBorder="1" applyAlignment="1">
      <alignment horizontal="center" vertical="center"/>
    </xf>
    <xf numFmtId="1" fontId="207" fillId="0" borderId="7" xfId="189" applyNumberFormat="1" applyFont="1" applyFill="1" applyBorder="1" applyAlignment="1">
      <alignment horizontal="center" vertical="center"/>
    </xf>
    <xf numFmtId="1" fontId="206" fillId="26" borderId="50" xfId="189" applyNumberFormat="1" applyFont="1" applyFill="1" applyBorder="1" applyAlignment="1">
      <alignment horizontal="center" vertical="center"/>
    </xf>
    <xf numFmtId="0" fontId="206" fillId="52" borderId="43" xfId="189" applyFont="1" applyFill="1" applyBorder="1" applyAlignment="1">
      <alignment horizontal="center" vertical="center"/>
    </xf>
    <xf numFmtId="0" fontId="206" fillId="52" borderId="30" xfId="189" applyFont="1" applyFill="1" applyBorder="1" applyAlignment="1">
      <alignment horizontal="center" vertical="center"/>
    </xf>
    <xf numFmtId="1" fontId="207" fillId="19" borderId="10" xfId="189" applyNumberFormat="1" applyFont="1" applyFill="1" applyBorder="1" applyAlignment="1">
      <alignment horizontal="center" vertical="center"/>
    </xf>
    <xf numFmtId="1" fontId="207" fillId="19" borderId="30" xfId="189" applyNumberFormat="1" applyFont="1" applyFill="1" applyBorder="1" applyAlignment="1">
      <alignment horizontal="center" vertical="center"/>
    </xf>
    <xf numFmtId="1" fontId="207" fillId="15" borderId="30" xfId="189" applyNumberFormat="1" applyFont="1" applyFill="1" applyBorder="1" applyAlignment="1">
      <alignment horizontal="center" vertical="center"/>
    </xf>
    <xf numFmtId="1" fontId="207" fillId="0" borderId="34" xfId="189" applyNumberFormat="1" applyFont="1" applyFill="1" applyBorder="1" applyAlignment="1">
      <alignment horizontal="center" vertical="center"/>
    </xf>
    <xf numFmtId="1" fontId="206" fillId="21" borderId="30" xfId="189" applyNumberFormat="1" applyFont="1" applyFill="1" applyBorder="1" applyAlignment="1">
      <alignment horizontal="center" vertical="center"/>
    </xf>
    <xf numFmtId="0" fontId="206" fillId="52" borderId="1" xfId="189" applyFont="1" applyFill="1" applyBorder="1" applyAlignment="1">
      <alignment horizontal="center" vertical="center"/>
    </xf>
    <xf numFmtId="0" fontId="206" fillId="52" borderId="5" xfId="189" applyFont="1" applyFill="1" applyBorder="1" applyAlignment="1">
      <alignment horizontal="center" vertical="center"/>
    </xf>
    <xf numFmtId="0" fontId="206" fillId="19" borderId="67" xfId="189" applyFont="1" applyFill="1" applyBorder="1" applyAlignment="1">
      <alignment horizontal="center" vertical="center"/>
    </xf>
    <xf numFmtId="0" fontId="206" fillId="52" borderId="11" xfId="189" applyFont="1" applyFill="1" applyBorder="1" applyAlignment="1">
      <alignment horizontal="center" vertical="center"/>
    </xf>
    <xf numFmtId="0" fontId="206" fillId="15" borderId="67" xfId="189" applyFont="1" applyFill="1" applyBorder="1" applyAlignment="1">
      <alignment horizontal="center" vertical="center"/>
    </xf>
    <xf numFmtId="0" fontId="206" fillId="25" borderId="13" xfId="189" applyFont="1" applyFill="1" applyBorder="1" applyAlignment="1">
      <alignment horizontal="left" vertical="center"/>
    </xf>
    <xf numFmtId="1" fontId="206" fillId="25" borderId="1" xfId="189" applyNumberFormat="1" applyFont="1" applyFill="1" applyBorder="1" applyAlignment="1">
      <alignment horizontal="center" vertical="center"/>
    </xf>
    <xf numFmtId="1" fontId="206" fillId="25" borderId="5" xfId="189" applyNumberFormat="1" applyFont="1" applyFill="1" applyBorder="1" applyAlignment="1">
      <alignment horizontal="center" vertical="center"/>
    </xf>
    <xf numFmtId="1" fontId="206" fillId="25" borderId="15" xfId="189" applyNumberFormat="1" applyFont="1" applyFill="1" applyBorder="1" applyAlignment="1">
      <alignment horizontal="center" vertical="center"/>
    </xf>
    <xf numFmtId="1" fontId="206" fillId="25" borderId="13" xfId="189" applyNumberFormat="1" applyFont="1" applyFill="1" applyBorder="1" applyAlignment="1">
      <alignment horizontal="center" vertical="center"/>
    </xf>
    <xf numFmtId="0" fontId="205" fillId="25" borderId="0" xfId="189" applyFill="1" applyBorder="1" applyAlignment="1">
      <alignment horizontal="left" vertical="top"/>
    </xf>
    <xf numFmtId="0" fontId="42" fillId="0" borderId="40" xfId="0" applyFont="1" applyBorder="1" applyAlignment="1">
      <alignment vertical="top"/>
    </xf>
    <xf numFmtId="0" fontId="0" fillId="0" borderId="0" xfId="0"/>
    <xf numFmtId="0" fontId="0" fillId="0" borderId="0" xfId="0"/>
    <xf numFmtId="1" fontId="67" fillId="17" borderId="42" xfId="0" applyNumberFormat="1" applyFont="1" applyFill="1" applyBorder="1" applyAlignment="1">
      <alignment horizontal="center" vertical="center"/>
    </xf>
    <xf numFmtId="1" fontId="54" fillId="25" borderId="37" xfId="0" applyNumberFormat="1" applyFont="1" applyFill="1" applyBorder="1" applyAlignment="1">
      <alignment horizontal="center" vertical="center"/>
    </xf>
    <xf numFmtId="0" fontId="0" fillId="0" borderId="0" xfId="0"/>
    <xf numFmtId="1" fontId="75" fillId="19" borderId="10" xfId="0" applyNumberFormat="1" applyFont="1" applyFill="1" applyBorder="1" applyAlignment="1">
      <alignment horizontal="center" vertical="center"/>
    </xf>
    <xf numFmtId="2" fontId="36" fillId="17" borderId="7" xfId="0" applyNumberFormat="1" applyFont="1" applyFill="1" applyBorder="1" applyAlignment="1">
      <alignment horizontal="center" vertical="center"/>
    </xf>
    <xf numFmtId="2" fontId="36" fillId="17" borderId="19" xfId="0" applyNumberFormat="1" applyFont="1" applyFill="1" applyBorder="1" applyAlignment="1">
      <alignment horizontal="center" vertical="center"/>
    </xf>
    <xf numFmtId="2" fontId="34" fillId="0" borderId="67" xfId="0" applyNumberFormat="1" applyFont="1" applyBorder="1" applyAlignment="1">
      <alignment horizontal="center" vertical="center"/>
    </xf>
    <xf numFmtId="2" fontId="34" fillId="17" borderId="10" xfId="0" applyNumberFormat="1" applyFont="1" applyFill="1" applyBorder="1" applyAlignment="1">
      <alignment horizontal="center" vertical="center"/>
    </xf>
    <xf numFmtId="2" fontId="35" fillId="0" borderId="69" xfId="0" applyNumberFormat="1" applyFont="1" applyBorder="1" applyAlignment="1">
      <alignment horizontal="center" vertical="center"/>
    </xf>
    <xf numFmtId="2" fontId="34" fillId="17" borderId="6" xfId="0" applyNumberFormat="1" applyFont="1" applyFill="1" applyBorder="1" applyAlignment="1">
      <alignment horizontal="center" vertical="center" wrapText="1"/>
    </xf>
    <xf numFmtId="2" fontId="13" fillId="25" borderId="7" xfId="0" applyNumberFormat="1" applyFont="1" applyFill="1" applyBorder="1" applyAlignment="1">
      <alignment vertical="center"/>
    </xf>
    <xf numFmtId="2" fontId="36" fillId="17" borderId="6" xfId="0" applyNumberFormat="1" applyFont="1" applyFill="1" applyBorder="1" applyAlignment="1">
      <alignment horizontal="center" vertical="center"/>
    </xf>
    <xf numFmtId="2" fontId="35" fillId="0" borderId="5" xfId="0" applyNumberFormat="1" applyFont="1" applyBorder="1" applyAlignment="1">
      <alignment horizontal="center" vertical="center"/>
    </xf>
    <xf numFmtId="2" fontId="35" fillId="0" borderId="67" xfId="0" applyNumberFormat="1" applyFont="1" applyBorder="1" applyAlignment="1">
      <alignment horizontal="center" vertical="center"/>
    </xf>
    <xf numFmtId="171" fontId="36" fillId="17" borderId="6" xfId="0" applyNumberFormat="1" applyFont="1" applyFill="1" applyBorder="1" applyAlignment="1">
      <alignment horizontal="center" vertical="center"/>
    </xf>
    <xf numFmtId="169" fontId="54" fillId="25" borderId="41" xfId="0" applyNumberFormat="1" applyFont="1" applyFill="1" applyBorder="1" applyAlignment="1">
      <alignment horizontal="center" vertical="center"/>
    </xf>
    <xf numFmtId="0" fontId="24" fillId="17" borderId="84" xfId="0" applyFont="1" applyFill="1" applyBorder="1"/>
    <xf numFmtId="0" fontId="24" fillId="17" borderId="0" xfId="0" applyFont="1" applyFill="1"/>
    <xf numFmtId="1" fontId="89" fillId="5" borderId="7" xfId="0" applyNumberFormat="1" applyFont="1" applyFill="1" applyBorder="1" applyAlignment="1">
      <alignment horizontal="center" vertical="center"/>
    </xf>
    <xf numFmtId="1" fontId="89" fillId="2" borderId="7" xfId="0" applyNumberFormat="1" applyFont="1" applyFill="1" applyBorder="1" applyAlignment="1">
      <alignment horizontal="center" vertical="center"/>
    </xf>
    <xf numFmtId="0" fontId="34" fillId="50" borderId="47" xfId="0" applyFont="1" applyFill="1" applyBorder="1" applyAlignment="1">
      <alignment vertical="center"/>
    </xf>
    <xf numFmtId="0" fontId="0" fillId="0" borderId="0" xfId="0"/>
    <xf numFmtId="0" fontId="111" fillId="25" borderId="53" xfId="0" applyFont="1" applyFill="1" applyBorder="1" applyAlignment="1">
      <alignment horizontal="center" vertical="center"/>
    </xf>
    <xf numFmtId="1" fontId="43" fillId="25" borderId="50" xfId="0" applyNumberFormat="1" applyFont="1" applyFill="1" applyBorder="1" applyAlignment="1">
      <alignment horizontal="center" vertical="center"/>
    </xf>
    <xf numFmtId="171" fontId="166" fillId="0" borderId="6" xfId="0" applyNumberFormat="1" applyFont="1" applyBorder="1" applyAlignment="1">
      <alignment vertical="center"/>
    </xf>
    <xf numFmtId="169" fontId="166" fillId="0" borderId="6" xfId="0" applyNumberFormat="1" applyFont="1" applyBorder="1" applyAlignment="1">
      <alignment vertical="center"/>
    </xf>
    <xf numFmtId="169" fontId="166" fillId="25" borderId="24" xfId="0" applyNumberFormat="1" applyFont="1" applyFill="1" applyBorder="1" applyAlignment="1">
      <alignment vertical="center"/>
    </xf>
    <xf numFmtId="1" fontId="207" fillId="25" borderId="30" xfId="189" applyNumberFormat="1" applyFont="1" applyFill="1" applyBorder="1" applyAlignment="1">
      <alignment horizontal="center" vertical="center"/>
    </xf>
    <xf numFmtId="0" fontId="206" fillId="25" borderId="11" xfId="189" applyFont="1" applyFill="1" applyBorder="1" applyAlignment="1">
      <alignment horizontal="center" vertical="center"/>
    </xf>
    <xf numFmtId="1" fontId="205" fillId="25" borderId="0" xfId="189" applyNumberFormat="1" applyFill="1" applyBorder="1" applyAlignment="1">
      <alignment horizontal="left" vertical="top"/>
    </xf>
    <xf numFmtId="1" fontId="207" fillId="25" borderId="42" xfId="189" applyNumberFormat="1" applyFont="1" applyFill="1" applyBorder="1" applyAlignment="1">
      <alignment horizontal="center" vertical="center"/>
    </xf>
    <xf numFmtId="1" fontId="207" fillId="25" borderId="37" xfId="189" applyNumberFormat="1" applyFont="1" applyFill="1" applyBorder="1" applyAlignment="1">
      <alignment horizontal="center" vertical="center"/>
    </xf>
    <xf numFmtId="1" fontId="207" fillId="25" borderId="17" xfId="189" applyNumberFormat="1" applyFont="1" applyFill="1" applyBorder="1" applyAlignment="1">
      <alignment horizontal="center" vertical="center"/>
    </xf>
    <xf numFmtId="1" fontId="207" fillId="25" borderId="6" xfId="189" applyNumberFormat="1" applyFont="1" applyFill="1" applyBorder="1" applyAlignment="1">
      <alignment horizontal="center" vertical="center"/>
    </xf>
    <xf numFmtId="0" fontId="24" fillId="58" borderId="84" xfId="0" applyFont="1" applyFill="1" applyBorder="1"/>
    <xf numFmtId="0" fontId="0" fillId="58" borderId="0" xfId="0" applyFill="1"/>
    <xf numFmtId="0" fontId="24" fillId="58" borderId="0" xfId="0" applyFont="1" applyFill="1"/>
    <xf numFmtId="1" fontId="24" fillId="58" borderId="84" xfId="0" applyNumberFormat="1" applyFont="1" applyFill="1" applyBorder="1"/>
    <xf numFmtId="1" fontId="202" fillId="25" borderId="0" xfId="0" applyNumberFormat="1" applyFont="1" applyFill="1"/>
    <xf numFmtId="170" fontId="19" fillId="0" borderId="29" xfId="0" applyNumberFormat="1" applyFont="1" applyBorder="1" applyAlignment="1">
      <alignment horizontal="left" vertical="center" wrapText="1"/>
    </xf>
    <xf numFmtId="0" fontId="0" fillId="0" borderId="0" xfId="0"/>
    <xf numFmtId="1" fontId="54" fillId="21" borderId="61" xfId="0" applyNumberFormat="1" applyFont="1" applyFill="1" applyBorder="1" applyAlignment="1">
      <alignment horizontal="center" vertical="center"/>
    </xf>
    <xf numFmtId="1" fontId="54" fillId="25" borderId="44" xfId="0" applyNumberFormat="1" applyFont="1" applyFill="1" applyBorder="1" applyAlignment="1">
      <alignment horizontal="center" vertical="center"/>
    </xf>
    <xf numFmtId="1" fontId="54" fillId="25" borderId="61" xfId="0" applyNumberFormat="1" applyFont="1" applyFill="1" applyBorder="1" applyAlignment="1">
      <alignment horizontal="center" vertical="center"/>
    </xf>
    <xf numFmtId="1" fontId="54" fillId="25" borderId="52" xfId="0" applyNumberFormat="1" applyFont="1" applyFill="1" applyBorder="1" applyAlignment="1">
      <alignment horizontal="center" vertical="center"/>
    </xf>
    <xf numFmtId="1" fontId="54" fillId="25" borderId="50" xfId="0" applyNumberFormat="1" applyFont="1" applyFill="1" applyBorder="1" applyAlignment="1">
      <alignment horizontal="center" vertical="center"/>
    </xf>
    <xf numFmtId="0" fontId="119" fillId="21" borderId="4" xfId="0" applyFont="1" applyFill="1" applyBorder="1" applyAlignment="1">
      <alignment horizontal="center" vertical="center"/>
    </xf>
    <xf numFmtId="0" fontId="119" fillId="19" borderId="4" xfId="0" applyFont="1" applyFill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1" fontId="138" fillId="19" borderId="9" xfId="0" applyNumberFormat="1" applyFont="1" applyFill="1" applyBorder="1" applyAlignment="1">
      <alignment horizontal="center" vertical="center"/>
    </xf>
    <xf numFmtId="1" fontId="138" fillId="21" borderId="9" xfId="0" applyNumberFormat="1" applyFont="1" applyFill="1" applyBorder="1" applyAlignment="1">
      <alignment horizontal="center" vertical="center"/>
    </xf>
    <xf numFmtId="0" fontId="114" fillId="0" borderId="73" xfId="0" applyFont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1" fontId="125" fillId="0" borderId="62" xfId="0" applyNumberFormat="1" applyFont="1" applyBorder="1" applyAlignment="1">
      <alignment horizontal="center" vertical="center"/>
    </xf>
    <xf numFmtId="1" fontId="125" fillId="21" borderId="62" xfId="0" applyNumberFormat="1" applyFont="1" applyFill="1" applyBorder="1" applyAlignment="1">
      <alignment horizontal="center" vertical="center"/>
    </xf>
    <xf numFmtId="1" fontId="125" fillId="19" borderId="62" xfId="0" applyNumberFormat="1" applyFont="1" applyFill="1" applyBorder="1" applyAlignment="1">
      <alignment horizontal="center" vertical="center"/>
    </xf>
    <xf numFmtId="1" fontId="138" fillId="19" borderId="29" xfId="0" applyNumberFormat="1" applyFont="1" applyFill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0" fontId="138" fillId="25" borderId="36" xfId="0" applyFont="1" applyFill="1" applyBorder="1" applyAlignment="1">
      <alignment horizontal="center" vertical="center"/>
    </xf>
    <xf numFmtId="0" fontId="119" fillId="0" borderId="28" xfId="0" applyFont="1" applyBorder="1" applyAlignment="1">
      <alignment horizontal="center" vertical="center"/>
    </xf>
    <xf numFmtId="0" fontId="54" fillId="0" borderId="31" xfId="0" applyFont="1" applyBorder="1" applyAlignment="1">
      <alignment horizontal="left" vertical="center"/>
    </xf>
    <xf numFmtId="0" fontId="111" fillId="0" borderId="31" xfId="0" applyFont="1" applyBorder="1" applyAlignment="1">
      <alignment horizontal="left" vertical="center"/>
    </xf>
    <xf numFmtId="0" fontId="111" fillId="0" borderId="10" xfId="0" applyFont="1" applyBorder="1" applyAlignment="1">
      <alignment horizontal="left" vertical="center"/>
    </xf>
    <xf numFmtId="0" fontId="112" fillId="0" borderId="10" xfId="0" applyFont="1" applyBorder="1" applyAlignment="1">
      <alignment horizontal="left" vertical="center"/>
    </xf>
    <xf numFmtId="1" fontId="134" fillId="25" borderId="10" xfId="0" applyNumberFormat="1" applyFont="1" applyFill="1" applyBorder="1" applyAlignment="1">
      <alignment horizontal="center" vertical="center"/>
    </xf>
    <xf numFmtId="0" fontId="6" fillId="0" borderId="32" xfId="0" applyFont="1" applyBorder="1" applyAlignment="1">
      <alignment horizontal="right" vertical="center"/>
    </xf>
    <xf numFmtId="1" fontId="74" fillId="25" borderId="32" xfId="0" applyNumberFormat="1" applyFont="1" applyFill="1" applyBorder="1" applyAlignment="1">
      <alignment horizontal="center" vertical="center"/>
    </xf>
    <xf numFmtId="0" fontId="134" fillId="25" borderId="24" xfId="0" applyFont="1" applyFill="1" applyBorder="1" applyAlignment="1">
      <alignment vertical="center"/>
    </xf>
    <xf numFmtId="0" fontId="112" fillId="25" borderId="24" xfId="0" applyFont="1" applyFill="1" applyBorder="1" applyAlignment="1">
      <alignment vertical="center"/>
    </xf>
    <xf numFmtId="0" fontId="134" fillId="25" borderId="7" xfId="0" applyFont="1" applyFill="1" applyBorder="1" applyAlignment="1">
      <alignment horizontal="center" vertical="center"/>
    </xf>
    <xf numFmtId="1" fontId="125" fillId="0" borderId="76" xfId="0" applyNumberFormat="1" applyFont="1" applyBorder="1" applyAlignment="1">
      <alignment horizontal="center" vertical="center"/>
    </xf>
    <xf numFmtId="171" fontId="76" fillId="17" borderId="21" xfId="0" applyNumberFormat="1" applyFont="1" applyFill="1" applyBorder="1" applyAlignment="1">
      <alignment horizontal="center" vertical="center"/>
    </xf>
    <xf numFmtId="1" fontId="64" fillId="0" borderId="0" xfId="0" applyNumberFormat="1" applyFont="1"/>
    <xf numFmtId="1" fontId="49" fillId="17" borderId="3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5" fillId="0" borderId="62" xfId="0" applyNumberFormat="1" applyFont="1" applyBorder="1" applyAlignment="1">
      <alignment horizontal="center" vertical="center"/>
    </xf>
    <xf numFmtId="1" fontId="75" fillId="0" borderId="10" xfId="0" applyNumberFormat="1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25" fillId="0" borderId="10" xfId="0" applyNumberFormat="1" applyFont="1" applyBorder="1" applyAlignment="1">
      <alignment horizontal="center" vertical="center"/>
    </xf>
    <xf numFmtId="169" fontId="24" fillId="0" borderId="0" xfId="0" applyNumberFormat="1" applyFont="1" applyAlignment="1">
      <alignment horizontal="center" vertical="center"/>
    </xf>
    <xf numFmtId="1" fontId="69" fillId="0" borderId="0" xfId="0" applyNumberFormat="1" applyFont="1"/>
    <xf numFmtId="0" fontId="0" fillId="0" borderId="0" xfId="0"/>
    <xf numFmtId="1" fontId="138" fillId="0" borderId="34" xfId="0" applyNumberFormat="1" applyFont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1" fontId="75" fillId="0" borderId="29" xfId="0" applyNumberFormat="1" applyFont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0" fontId="138" fillId="25" borderId="36" xfId="0" applyFont="1" applyFill="1" applyBorder="1" applyAlignment="1">
      <alignment horizontal="center" vertical="center"/>
    </xf>
    <xf numFmtId="169" fontId="138" fillId="25" borderId="62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12" fillId="0" borderId="38" xfId="0" applyFont="1" applyBorder="1" applyAlignment="1">
      <alignment horizontal="center" vertical="center"/>
    </xf>
    <xf numFmtId="0" fontId="110" fillId="0" borderId="10" xfId="0" applyFont="1" applyBorder="1" applyAlignment="1">
      <alignment horizontal="center" vertical="center"/>
    </xf>
    <xf numFmtId="0" fontId="111" fillId="0" borderId="41" xfId="0" applyFont="1" applyBorder="1" applyAlignment="1">
      <alignment horizontal="center" vertical="center"/>
    </xf>
    <xf numFmtId="0" fontId="219" fillId="0" borderId="31" xfId="0" applyFont="1" applyBorder="1" applyAlignment="1">
      <alignment horizontal="left" vertical="center"/>
    </xf>
    <xf numFmtId="0" fontId="112" fillId="0" borderId="31" xfId="0" applyFont="1" applyBorder="1" applyAlignment="1">
      <alignment horizontal="left" vertical="center"/>
    </xf>
    <xf numFmtId="0" fontId="110" fillId="0" borderId="45" xfId="0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0" fontId="110" fillId="0" borderId="5" xfId="0" applyFont="1" applyBorder="1" applyAlignment="1">
      <alignment horizontal="center" vertical="center"/>
    </xf>
    <xf numFmtId="41" fontId="10" fillId="0" borderId="31" xfId="0" quotePrefix="1" applyNumberFormat="1" applyFont="1" applyBorder="1" applyAlignment="1">
      <alignment horizontal="right" vertical="center"/>
    </xf>
    <xf numFmtId="0" fontId="5" fillId="25" borderId="1" xfId="0" applyFont="1" applyFill="1" applyBorder="1" applyAlignment="1">
      <alignment horizontal="left" vertical="center"/>
    </xf>
    <xf numFmtId="41" fontId="10" fillId="25" borderId="31" xfId="0" quotePrefix="1" applyNumberFormat="1" applyFont="1" applyFill="1" applyBorder="1" applyAlignment="1">
      <alignment horizontal="right" vertical="center"/>
    </xf>
    <xf numFmtId="1" fontId="74" fillId="25" borderId="73" xfId="0" applyNumberFormat="1" applyFont="1" applyFill="1" applyBorder="1" applyAlignment="1">
      <alignment horizontal="center" vertical="center"/>
    </xf>
    <xf numFmtId="1" fontId="74" fillId="25" borderId="17" xfId="0" applyNumberFormat="1" applyFont="1" applyFill="1" applyBorder="1" applyAlignment="1">
      <alignment horizontal="center" vertical="center"/>
    </xf>
    <xf numFmtId="0" fontId="151" fillId="0" borderId="10" xfId="0" applyFont="1" applyBorder="1" applyAlignment="1">
      <alignment vertical="center"/>
    </xf>
    <xf numFmtId="0" fontId="109" fillId="25" borderId="17" xfId="0" applyFont="1" applyFill="1" applyBorder="1" applyAlignment="1">
      <alignment horizontal="center" vertical="center"/>
    </xf>
    <xf numFmtId="1" fontId="109" fillId="25" borderId="17" xfId="0" applyNumberFormat="1" applyFont="1" applyFill="1" applyBorder="1" applyAlignment="1">
      <alignment horizontal="center" vertical="center"/>
    </xf>
    <xf numFmtId="0" fontId="220" fillId="0" borderId="31" xfId="0" applyFont="1" applyFill="1" applyBorder="1" applyAlignment="1">
      <alignment horizontal="right" wrapText="1"/>
    </xf>
    <xf numFmtId="0" fontId="220" fillId="0" borderId="17" xfId="0" applyFont="1" applyBorder="1" applyAlignment="1">
      <alignment horizontal="center"/>
    </xf>
    <xf numFmtId="0" fontId="220" fillId="0" borderId="32" xfId="0" applyFont="1" applyBorder="1" applyAlignment="1">
      <alignment horizontal="right"/>
    </xf>
    <xf numFmtId="0" fontId="220" fillId="0" borderId="33" xfId="0" applyFont="1" applyBorder="1" applyAlignment="1">
      <alignment horizontal="center"/>
    </xf>
    <xf numFmtId="0" fontId="151" fillId="0" borderId="34" xfId="0" applyFont="1" applyBorder="1" applyAlignment="1">
      <alignment vertical="center"/>
    </xf>
    <xf numFmtId="0" fontId="151" fillId="0" borderId="30" xfId="0" applyFont="1" applyBorder="1" applyAlignment="1">
      <alignment vertical="center"/>
    </xf>
    <xf numFmtId="0" fontId="151" fillId="25" borderId="53" xfId="0" applyFont="1" applyFill="1" applyBorder="1" applyAlignment="1">
      <alignment vertical="center"/>
    </xf>
    <xf numFmtId="169" fontId="138" fillId="25" borderId="10" xfId="0" applyNumberFormat="1" applyFont="1" applyFill="1" applyBorder="1" applyAlignment="1">
      <alignment horizontal="center" vertical="center"/>
    </xf>
    <xf numFmtId="0" fontId="151" fillId="0" borderId="31" xfId="0" applyFont="1" applyBorder="1" applyAlignment="1">
      <alignment vertical="center"/>
    </xf>
    <xf numFmtId="0" fontId="220" fillId="0" borderId="31" xfId="0" applyFont="1" applyBorder="1" applyAlignment="1">
      <alignment horizontal="right"/>
    </xf>
    <xf numFmtId="0" fontId="220" fillId="0" borderId="31" xfId="0" applyFont="1" applyFill="1" applyBorder="1" applyAlignment="1">
      <alignment horizontal="right"/>
    </xf>
    <xf numFmtId="0" fontId="220" fillId="0" borderId="32" xfId="0" applyFont="1" applyFill="1" applyBorder="1" applyAlignment="1">
      <alignment horizontal="right" wrapText="1"/>
    </xf>
    <xf numFmtId="1" fontId="109" fillId="25" borderId="33" xfId="0" applyNumberFormat="1" applyFont="1" applyFill="1" applyBorder="1" applyAlignment="1">
      <alignment horizontal="center" vertical="center"/>
    </xf>
    <xf numFmtId="1" fontId="111" fillId="25" borderId="30" xfId="0" applyNumberFormat="1" applyFont="1" applyFill="1" applyBorder="1" applyAlignment="1">
      <alignment horizontal="center" vertical="center"/>
    </xf>
    <xf numFmtId="0" fontId="149" fillId="0" borderId="0" xfId="0" applyFont="1" applyAlignment="1">
      <alignment horizontal="center"/>
    </xf>
    <xf numFmtId="2" fontId="138" fillId="0" borderId="0" xfId="0" applyNumberFormat="1" applyFont="1" applyAlignment="1">
      <alignment horizontal="center" vertical="center"/>
    </xf>
    <xf numFmtId="2" fontId="111" fillId="0" borderId="38" xfId="0" applyNumberFormat="1" applyFont="1" applyBorder="1" applyAlignment="1">
      <alignment horizontal="center"/>
    </xf>
    <xf numFmtId="1" fontId="74" fillId="0" borderId="92" xfId="0" applyNumberFormat="1" applyFont="1" applyBorder="1" applyAlignment="1">
      <alignment horizontal="center" vertical="center"/>
    </xf>
    <xf numFmtId="1" fontId="134" fillId="25" borderId="29" xfId="0" applyNumberFormat="1" applyFont="1" applyFill="1" applyBorder="1" applyAlignment="1">
      <alignment horizontal="center" vertical="center"/>
    </xf>
    <xf numFmtId="2" fontId="134" fillId="25" borderId="8" xfId="0" applyNumberFormat="1" applyFont="1" applyFill="1" applyBorder="1" applyAlignment="1">
      <alignment horizontal="center" vertical="center"/>
    </xf>
    <xf numFmtId="171" fontId="111" fillId="25" borderId="10" xfId="0" applyNumberFormat="1" applyFont="1" applyFill="1" applyBorder="1" applyAlignment="1">
      <alignment horizontal="center" vertical="center"/>
    </xf>
    <xf numFmtId="0" fontId="138" fillId="25" borderId="10" xfId="0" applyFont="1" applyFill="1" applyBorder="1" applyAlignment="1">
      <alignment horizontal="center" vertical="center"/>
    </xf>
    <xf numFmtId="169" fontId="11" fillId="0" borderId="30" xfId="0" applyNumberFormat="1" applyFont="1" applyBorder="1" applyAlignment="1">
      <alignment horizontal="center" vertical="center"/>
    </xf>
    <xf numFmtId="2" fontId="75" fillId="25" borderId="0" xfId="0" applyNumberFormat="1" applyFont="1" applyFill="1" applyBorder="1" applyAlignment="1">
      <alignment horizontal="center" vertical="center"/>
    </xf>
    <xf numFmtId="0" fontId="10" fillId="25" borderId="0" xfId="0" applyFont="1" applyFill="1" applyBorder="1" applyAlignment="1">
      <alignment vertical="center"/>
    </xf>
    <xf numFmtId="2" fontId="75" fillId="25" borderId="10" xfId="0" applyNumberFormat="1" applyFont="1" applyFill="1" applyBorder="1" applyAlignment="1">
      <alignment horizontal="center" vertical="center"/>
    </xf>
    <xf numFmtId="0" fontId="52" fillId="0" borderId="41" xfId="0" applyFont="1" applyBorder="1" applyAlignment="1">
      <alignment horizontal="center" vertical="center"/>
    </xf>
    <xf numFmtId="2" fontId="75" fillId="25" borderId="41" xfId="0" applyNumberFormat="1" applyFont="1" applyFill="1" applyBorder="1" applyAlignment="1">
      <alignment horizontal="center" vertical="center"/>
    </xf>
    <xf numFmtId="171" fontId="11" fillId="0" borderId="42" xfId="0" applyNumberFormat="1" applyFont="1" applyBorder="1" applyAlignment="1">
      <alignment horizontal="center" vertical="center"/>
    </xf>
    <xf numFmtId="0" fontId="10" fillId="25" borderId="31" xfId="0" applyFont="1" applyFill="1" applyBorder="1" applyAlignment="1">
      <alignment vertical="center"/>
    </xf>
    <xf numFmtId="0" fontId="75" fillId="0" borderId="23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171" fontId="11" fillId="0" borderId="23" xfId="0" applyNumberFormat="1" applyFont="1" applyBorder="1" applyAlignment="1">
      <alignment horizontal="center" vertical="center"/>
    </xf>
    <xf numFmtId="0" fontId="118" fillId="25" borderId="131" xfId="0" applyFont="1" applyFill="1" applyBorder="1" applyAlignment="1">
      <alignment vertical="center"/>
    </xf>
    <xf numFmtId="169" fontId="118" fillId="25" borderId="17" xfId="0" applyNumberFormat="1" applyFont="1" applyFill="1" applyBorder="1" applyAlignment="1">
      <alignment horizontal="center" vertical="center"/>
    </xf>
    <xf numFmtId="0" fontId="130" fillId="25" borderId="7" xfId="0" applyFont="1" applyFill="1" applyBorder="1"/>
    <xf numFmtId="0" fontId="135" fillId="25" borderId="6" xfId="0" applyFont="1" applyFill="1" applyBorder="1" applyAlignment="1">
      <alignment vertical="center"/>
    </xf>
    <xf numFmtId="0" fontId="114" fillId="25" borderId="6" xfId="0" applyFont="1" applyFill="1" applyBorder="1"/>
    <xf numFmtId="0" fontId="116" fillId="25" borderId="24" xfId="0" applyFont="1" applyFill="1" applyBorder="1"/>
    <xf numFmtId="1" fontId="68" fillId="25" borderId="55" xfId="0" applyNumberFormat="1" applyFont="1" applyFill="1" applyBorder="1" applyAlignment="1">
      <alignment vertical="center"/>
    </xf>
    <xf numFmtId="0" fontId="130" fillId="25" borderId="83" xfId="0" applyFont="1" applyFill="1" applyBorder="1"/>
    <xf numFmtId="1" fontId="61" fillId="25" borderId="63" xfId="0" applyNumberFormat="1" applyFont="1" applyFill="1" applyBorder="1" applyAlignment="1">
      <alignment horizontal="center" vertical="center"/>
    </xf>
    <xf numFmtId="1" fontId="74" fillId="25" borderId="63" xfId="0" applyNumberFormat="1" applyFont="1" applyFill="1" applyBorder="1" applyAlignment="1">
      <alignment horizontal="center" vertical="center"/>
    </xf>
    <xf numFmtId="2" fontId="74" fillId="25" borderId="32" xfId="0" applyNumberFormat="1" applyFont="1" applyFill="1" applyBorder="1" applyAlignment="1">
      <alignment horizontal="center" vertical="center"/>
    </xf>
    <xf numFmtId="0" fontId="167" fillId="25" borderId="24" xfId="0" applyFont="1" applyFill="1" applyBorder="1" applyAlignment="1">
      <alignment vertical="center"/>
    </xf>
    <xf numFmtId="1" fontId="125" fillId="25" borderId="63" xfId="0" applyNumberFormat="1" applyFont="1" applyFill="1" applyBorder="1" applyAlignment="1">
      <alignment horizontal="center" vertical="center"/>
    </xf>
    <xf numFmtId="169" fontId="125" fillId="25" borderId="32" xfId="0" applyNumberFormat="1" applyFont="1" applyFill="1" applyBorder="1" applyAlignment="1">
      <alignment horizontal="center" vertical="center"/>
    </xf>
    <xf numFmtId="0" fontId="121" fillId="25" borderId="24" xfId="0" applyFont="1" applyFill="1" applyBorder="1" applyAlignment="1">
      <alignment vertical="center"/>
    </xf>
    <xf numFmtId="169" fontId="74" fillId="25" borderId="1" xfId="0" applyNumberFormat="1" applyFont="1" applyFill="1" applyBorder="1" applyAlignment="1">
      <alignment horizontal="center" vertical="center"/>
    </xf>
    <xf numFmtId="169" fontId="74" fillId="25" borderId="31" xfId="0" applyNumberFormat="1" applyFont="1" applyFill="1" applyBorder="1" applyAlignment="1">
      <alignment horizontal="center" vertical="center"/>
    </xf>
    <xf numFmtId="171" fontId="166" fillId="25" borderId="6" xfId="0" applyNumberFormat="1" applyFont="1" applyFill="1" applyBorder="1" applyAlignment="1">
      <alignment vertical="center"/>
    </xf>
    <xf numFmtId="0" fontId="167" fillId="25" borderId="6" xfId="0" applyFont="1" applyFill="1" applyBorder="1" applyAlignment="1">
      <alignment vertical="center"/>
    </xf>
    <xf numFmtId="0" fontId="130" fillId="25" borderId="117" xfId="0" applyFont="1" applyFill="1" applyBorder="1"/>
    <xf numFmtId="2" fontId="138" fillId="25" borderId="32" xfId="0" applyNumberFormat="1" applyFont="1" applyFill="1" applyBorder="1" applyAlignment="1">
      <alignment horizontal="center" vertical="center"/>
    </xf>
    <xf numFmtId="1" fontId="74" fillId="25" borderId="34" xfId="0" applyNumberFormat="1" applyFont="1" applyFill="1" applyBorder="1" applyAlignment="1">
      <alignment horizontal="center" vertical="center"/>
    </xf>
    <xf numFmtId="169" fontId="138" fillId="25" borderId="3" xfId="0" applyNumberFormat="1" applyFont="1" applyFill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1" fontId="138" fillId="21" borderId="45" xfId="0" applyNumberFormat="1" applyFont="1" applyFill="1" applyBorder="1" applyAlignment="1">
      <alignment horizontal="center" vertical="center"/>
    </xf>
    <xf numFmtId="1" fontId="138" fillId="21" borderId="30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25" fillId="0" borderId="62" xfId="0" applyNumberFormat="1" applyFont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0" fontId="138" fillId="25" borderId="36" xfId="0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125" fillId="0" borderId="10" xfId="0" applyFont="1" applyBorder="1" applyAlignment="1">
      <alignment horizontal="center" vertical="center"/>
    </xf>
    <xf numFmtId="0" fontId="0" fillId="0" borderId="0" xfId="0"/>
    <xf numFmtId="0" fontId="6" fillId="25" borderId="24" xfId="0" applyFont="1" applyFill="1" applyBorder="1" applyAlignment="1">
      <alignment horizontal="center" vertical="center"/>
    </xf>
    <xf numFmtId="0" fontId="114" fillId="25" borderId="44" xfId="0" applyFont="1" applyFill="1" applyBorder="1" applyAlignment="1">
      <alignment vertical="center"/>
    </xf>
    <xf numFmtId="0" fontId="74" fillId="25" borderId="24" xfId="0" applyFont="1" applyFill="1" applyBorder="1" applyAlignment="1">
      <alignment vertical="center"/>
    </xf>
    <xf numFmtId="0" fontId="6" fillId="25" borderId="3" xfId="0" applyFont="1" applyFill="1" applyBorder="1" applyAlignment="1">
      <alignment vertical="center"/>
    </xf>
    <xf numFmtId="0" fontId="109" fillId="25" borderId="7" xfId="0" applyFont="1" applyFill="1" applyBorder="1" applyAlignment="1">
      <alignment horizontal="center" vertical="center"/>
    </xf>
    <xf numFmtId="0" fontId="125" fillId="25" borderId="7" xfId="0" applyFont="1" applyFill="1" applyBorder="1" applyAlignment="1">
      <alignment horizontal="center" vertical="center"/>
    </xf>
    <xf numFmtId="0" fontId="109" fillId="25" borderId="7" xfId="0" applyFont="1" applyFill="1" applyBorder="1" applyAlignment="1">
      <alignment vertical="center"/>
    </xf>
    <xf numFmtId="169" fontId="111" fillId="21" borderId="10" xfId="0" applyNumberFormat="1" applyFont="1" applyFill="1" applyBorder="1" applyAlignment="1">
      <alignment horizontal="center" vertical="center"/>
    </xf>
    <xf numFmtId="0" fontId="112" fillId="59" borderId="4" xfId="0" applyFont="1" applyFill="1" applyBorder="1" applyAlignment="1">
      <alignment horizontal="center" vertical="center"/>
    </xf>
    <xf numFmtId="0" fontId="112" fillId="59" borderId="28" xfId="0" applyFont="1" applyFill="1" applyBorder="1" applyAlignment="1">
      <alignment horizontal="center" vertical="center"/>
    </xf>
    <xf numFmtId="1" fontId="111" fillId="59" borderId="29" xfId="0" applyNumberFormat="1" applyFont="1" applyFill="1" applyBorder="1" applyAlignment="1">
      <alignment horizontal="center" vertical="center"/>
    </xf>
    <xf numFmtId="1" fontId="111" fillId="59" borderId="17" xfId="0" applyNumberFormat="1" applyFont="1" applyFill="1" applyBorder="1" applyAlignment="1">
      <alignment horizontal="center" vertical="center"/>
    </xf>
    <xf numFmtId="1" fontId="109" fillId="59" borderId="1" xfId="0" applyNumberFormat="1" applyFont="1" applyFill="1" applyBorder="1" applyAlignment="1">
      <alignment horizontal="center" vertical="center"/>
    </xf>
    <xf numFmtId="1" fontId="109" fillId="59" borderId="11" xfId="0" applyNumberFormat="1" applyFont="1" applyFill="1" applyBorder="1" applyAlignment="1">
      <alignment horizontal="center" vertical="center"/>
    </xf>
    <xf numFmtId="1" fontId="111" fillId="59" borderId="31" xfId="0" applyNumberFormat="1" applyFont="1" applyFill="1" applyBorder="1" applyAlignment="1">
      <alignment horizontal="center" vertical="center"/>
    </xf>
    <xf numFmtId="0" fontId="6" fillId="25" borderId="52" xfId="0" applyFont="1" applyFill="1" applyBorder="1" applyAlignment="1">
      <alignment vertical="center"/>
    </xf>
    <xf numFmtId="0" fontId="6" fillId="25" borderId="7" xfId="0" applyFont="1" applyFill="1" applyBorder="1" applyAlignment="1">
      <alignment horizontal="center" vertical="center"/>
    </xf>
    <xf numFmtId="1" fontId="109" fillId="25" borderId="8" xfId="0" applyNumberFormat="1" applyFont="1" applyFill="1" applyBorder="1" applyAlignment="1">
      <alignment horizontal="center" vertical="center"/>
    </xf>
    <xf numFmtId="171" fontId="6" fillId="25" borderId="7" xfId="0" applyNumberFormat="1" applyFont="1" applyFill="1" applyBorder="1" applyAlignment="1">
      <alignment horizontal="center" vertical="center"/>
    </xf>
    <xf numFmtId="1" fontId="6" fillId="25" borderId="7" xfId="0" applyNumberFormat="1" applyFont="1" applyFill="1" applyBorder="1" applyAlignment="1">
      <alignment horizontal="center" vertical="center"/>
    </xf>
    <xf numFmtId="0" fontId="6" fillId="25" borderId="44" xfId="0" applyFont="1" applyFill="1" applyBorder="1" applyAlignment="1">
      <alignment vertical="center"/>
    </xf>
    <xf numFmtId="0" fontId="65" fillId="25" borderId="2" xfId="0" applyFont="1" applyFill="1" applyBorder="1" applyAlignment="1">
      <alignment vertical="center"/>
    </xf>
    <xf numFmtId="0" fontId="65" fillId="25" borderId="39" xfId="0" applyFont="1" applyFill="1" applyBorder="1" applyAlignment="1">
      <alignment vertical="center"/>
    </xf>
    <xf numFmtId="0" fontId="125" fillId="25" borderId="39" xfId="0" applyFont="1" applyFill="1" applyBorder="1" applyAlignment="1">
      <alignment vertical="center"/>
    </xf>
    <xf numFmtId="0" fontId="109" fillId="25" borderId="111" xfId="0" applyFont="1" applyFill="1" applyBorder="1" applyAlignment="1">
      <alignment vertical="center"/>
    </xf>
    <xf numFmtId="0" fontId="109" fillId="25" borderId="52" xfId="0" applyFont="1" applyFill="1" applyBorder="1" applyAlignment="1">
      <alignment vertical="center"/>
    </xf>
    <xf numFmtId="0" fontId="125" fillId="25" borderId="7" xfId="0" applyFont="1" applyFill="1" applyBorder="1" applyAlignment="1">
      <alignment vertical="center"/>
    </xf>
    <xf numFmtId="0" fontId="6" fillId="25" borderId="61" xfId="0" applyFont="1" applyFill="1" applyBorder="1" applyAlignment="1">
      <alignment vertical="center"/>
    </xf>
    <xf numFmtId="0" fontId="111" fillId="0" borderId="34" xfId="0" applyFont="1" applyBorder="1" applyAlignment="1">
      <alignment horizontal="right" vertical="center"/>
    </xf>
    <xf numFmtId="1" fontId="110" fillId="21" borderId="30" xfId="0" applyNumberFormat="1" applyFont="1" applyFill="1" applyBorder="1" applyAlignment="1">
      <alignment horizontal="center" vertical="center"/>
    </xf>
    <xf numFmtId="1" fontId="125" fillId="21" borderId="5" xfId="0" applyNumberFormat="1" applyFont="1" applyFill="1" applyBorder="1" applyAlignment="1">
      <alignment horizontal="center" vertical="center"/>
    </xf>
    <xf numFmtId="1" fontId="109" fillId="21" borderId="5" xfId="0" applyNumberFormat="1" applyFont="1" applyFill="1" applyBorder="1" applyAlignment="1">
      <alignment horizontal="center" vertical="center"/>
    </xf>
    <xf numFmtId="1" fontId="110" fillId="21" borderId="45" xfId="0" applyNumberFormat="1" applyFont="1" applyFill="1" applyBorder="1" applyAlignment="1">
      <alignment horizontal="center" vertical="center"/>
    </xf>
    <xf numFmtId="171" fontId="74" fillId="25" borderId="7" xfId="0" applyNumberFormat="1" applyFont="1" applyFill="1" applyBorder="1" applyAlignment="1">
      <alignment horizontal="center" vertical="center"/>
    </xf>
    <xf numFmtId="0" fontId="6" fillId="25" borderId="7" xfId="0" applyFont="1" applyFill="1" applyBorder="1" applyAlignment="1">
      <alignment vertical="center"/>
    </xf>
    <xf numFmtId="0" fontId="74" fillId="25" borderId="7" xfId="0" applyFont="1" applyFill="1" applyBorder="1" applyAlignment="1">
      <alignment vertical="center"/>
    </xf>
    <xf numFmtId="0" fontId="125" fillId="0" borderId="10" xfId="0" applyFont="1" applyBorder="1" applyAlignment="1">
      <alignment horizontal="right" vertical="center"/>
    </xf>
    <xf numFmtId="1" fontId="109" fillId="59" borderId="10" xfId="0" applyNumberFormat="1" applyFont="1" applyFill="1" applyBorder="1" applyAlignment="1">
      <alignment horizontal="center" vertical="center"/>
    </xf>
    <xf numFmtId="0" fontId="221" fillId="0" borderId="0" xfId="0" applyFont="1" applyAlignment="1">
      <alignment horizontal="center" vertical="center"/>
    </xf>
    <xf numFmtId="0" fontId="146" fillId="0" borderId="0" xfId="0" applyFont="1" applyAlignment="1">
      <alignment horizontal="center" vertical="center"/>
    </xf>
    <xf numFmtId="1" fontId="221" fillId="0" borderId="0" xfId="0" applyNumberFormat="1" applyFont="1" applyAlignment="1">
      <alignment horizontal="center" vertical="center"/>
    </xf>
    <xf numFmtId="1" fontId="146" fillId="0" borderId="0" xfId="0" applyNumberFormat="1" applyFont="1" applyAlignment="1">
      <alignment horizontal="center" vertical="center"/>
    </xf>
    <xf numFmtId="1" fontId="111" fillId="59" borderId="32" xfId="0" applyNumberFormat="1" applyFont="1" applyFill="1" applyBorder="1" applyAlignment="1">
      <alignment horizontal="center" vertical="center"/>
    </xf>
    <xf numFmtId="0" fontId="6" fillId="25" borderId="10" xfId="0" applyFont="1" applyFill="1" applyBorder="1" applyAlignment="1">
      <alignment vertical="center"/>
    </xf>
    <xf numFmtId="0" fontId="6" fillId="25" borderId="10" xfId="0" applyFont="1" applyFill="1" applyBorder="1" applyAlignment="1">
      <alignment horizontal="center" vertical="center"/>
    </xf>
    <xf numFmtId="0" fontId="149" fillId="0" borderId="10" xfId="0" applyFont="1" applyBorder="1"/>
    <xf numFmtId="2" fontId="6" fillId="59" borderId="10" xfId="0" applyNumberFormat="1" applyFont="1" applyFill="1" applyBorder="1" applyAlignment="1">
      <alignment horizontal="center" vertical="center"/>
    </xf>
    <xf numFmtId="0" fontId="155" fillId="0" borderId="10" xfId="0" applyFont="1" applyBorder="1"/>
    <xf numFmtId="169" fontId="109" fillId="59" borderId="11" xfId="0" applyNumberFormat="1" applyFont="1" applyFill="1" applyBorder="1" applyAlignment="1">
      <alignment horizontal="center" vertical="center"/>
    </xf>
    <xf numFmtId="1" fontId="111" fillId="59" borderId="63" xfId="0" applyNumberFormat="1" applyFont="1" applyFill="1" applyBorder="1" applyAlignment="1">
      <alignment horizontal="center" vertical="center"/>
    </xf>
    <xf numFmtId="0" fontId="6" fillId="25" borderId="61" xfId="0" applyFont="1" applyFill="1" applyBorder="1" applyAlignment="1">
      <alignment horizontal="center" vertical="center"/>
    </xf>
    <xf numFmtId="0" fontId="6" fillId="25" borderId="3" xfId="0" applyFont="1" applyFill="1" applyBorder="1" applyAlignment="1">
      <alignment horizontal="center" vertical="center"/>
    </xf>
    <xf numFmtId="0" fontId="0" fillId="0" borderId="0" xfId="0"/>
    <xf numFmtId="1" fontId="111" fillId="59" borderId="10" xfId="0" applyNumberFormat="1" applyFont="1" applyFill="1" applyBorder="1" applyAlignment="1">
      <alignment horizontal="center" vertical="center"/>
    </xf>
    <xf numFmtId="1" fontId="111" fillId="21" borderId="9" xfId="0" applyNumberFormat="1" applyFont="1" applyFill="1" applyBorder="1" applyAlignment="1">
      <alignment horizontal="center" vertical="center"/>
    </xf>
    <xf numFmtId="1" fontId="111" fillId="59" borderId="42" xfId="0" applyNumberFormat="1" applyFont="1" applyFill="1" applyBorder="1" applyAlignment="1">
      <alignment horizontal="center" vertical="center"/>
    </xf>
    <xf numFmtId="1" fontId="111" fillId="59" borderId="34" xfId="0" applyNumberFormat="1" applyFont="1" applyFill="1" applyBorder="1" applyAlignment="1">
      <alignment horizontal="center" vertical="center"/>
    </xf>
    <xf numFmtId="0" fontId="6" fillId="25" borderId="0" xfId="0" applyFont="1" applyFill="1" applyBorder="1" applyAlignment="1">
      <alignment horizontal="center" vertical="center"/>
    </xf>
    <xf numFmtId="0" fontId="6" fillId="25" borderId="0" xfId="0" applyFont="1" applyFill="1" applyBorder="1" applyAlignment="1">
      <alignment vertical="center"/>
    </xf>
    <xf numFmtId="1" fontId="111" fillId="59" borderId="30" xfId="0" applyNumberFormat="1" applyFont="1" applyFill="1" applyBorder="1" applyAlignment="1">
      <alignment horizontal="center" vertical="center"/>
    </xf>
    <xf numFmtId="169" fontId="112" fillId="59" borderId="5" xfId="0" applyNumberFormat="1" applyFont="1" applyFill="1" applyBorder="1" applyAlignment="1">
      <alignment horizontal="center" vertical="center"/>
    </xf>
    <xf numFmtId="1" fontId="111" fillId="59" borderId="53" xfId="0" applyNumberFormat="1" applyFont="1" applyFill="1" applyBorder="1" applyAlignment="1">
      <alignment horizontal="center" vertical="center"/>
    </xf>
    <xf numFmtId="1" fontId="111" fillId="59" borderId="61" xfId="0" applyNumberFormat="1" applyFont="1" applyFill="1" applyBorder="1" applyAlignment="1">
      <alignment horizontal="center" vertical="center"/>
    </xf>
    <xf numFmtId="1" fontId="111" fillId="59" borderId="28" xfId="0" applyNumberFormat="1" applyFont="1" applyFill="1" applyBorder="1" applyAlignment="1">
      <alignment horizontal="center" vertical="center"/>
    </xf>
    <xf numFmtId="1" fontId="111" fillId="59" borderId="9" xfId="0" applyNumberFormat="1" applyFont="1" applyFill="1" applyBorder="1" applyAlignment="1">
      <alignment horizontal="center" vertical="center"/>
    </xf>
    <xf numFmtId="1" fontId="111" fillId="59" borderId="62" xfId="0" applyNumberFormat="1" applyFont="1" applyFill="1" applyBorder="1" applyAlignment="1">
      <alignment horizontal="center" vertical="center"/>
    </xf>
    <xf numFmtId="1" fontId="111" fillId="59" borderId="72" xfId="0" applyNumberFormat="1" applyFont="1" applyFill="1" applyBorder="1" applyAlignment="1">
      <alignment horizontal="center" vertical="center"/>
    </xf>
    <xf numFmtId="0" fontId="112" fillId="59" borderId="32" xfId="0" applyFont="1" applyFill="1" applyBorder="1" applyAlignment="1">
      <alignment horizontal="center" vertical="center"/>
    </xf>
    <xf numFmtId="0" fontId="112" fillId="59" borderId="33" xfId="0" applyFont="1" applyFill="1" applyBorder="1" applyAlignment="1">
      <alignment horizontal="center" vertical="center"/>
    </xf>
    <xf numFmtId="0" fontId="6" fillId="25" borderId="46" xfId="0" applyFont="1" applyFill="1" applyBorder="1" applyAlignment="1">
      <alignment vertical="center"/>
    </xf>
    <xf numFmtId="0" fontId="109" fillId="25" borderId="30" xfId="0" applyFont="1" applyFill="1" applyBorder="1" applyAlignment="1">
      <alignment horizontal="center" vertical="center"/>
    </xf>
    <xf numFmtId="0" fontId="109" fillId="25" borderId="30" xfId="0" applyFont="1" applyFill="1" applyBorder="1" applyAlignment="1">
      <alignment vertical="center"/>
    </xf>
    <xf numFmtId="1" fontId="111" fillId="59" borderId="45" xfId="0" applyNumberFormat="1" applyFont="1" applyFill="1" applyBorder="1" applyAlignment="1">
      <alignment horizontal="center" vertical="center"/>
    </xf>
    <xf numFmtId="1" fontId="109" fillId="59" borderId="34" xfId="0" applyNumberFormat="1" applyFont="1" applyFill="1" applyBorder="1" applyAlignment="1">
      <alignment horizontal="center" vertical="center"/>
    </xf>
    <xf numFmtId="1" fontId="109" fillId="59" borderId="53" xfId="0" applyNumberFormat="1" applyFont="1" applyFill="1" applyBorder="1" applyAlignment="1">
      <alignment horizontal="center" vertical="center"/>
    </xf>
    <xf numFmtId="1" fontId="109" fillId="59" borderId="62" xfId="0" applyNumberFormat="1" applyFont="1" applyFill="1" applyBorder="1" applyAlignment="1">
      <alignment horizontal="center" vertical="center"/>
    </xf>
    <xf numFmtId="1" fontId="109" fillId="59" borderId="72" xfId="0" applyNumberFormat="1" applyFont="1" applyFill="1" applyBorder="1" applyAlignment="1">
      <alignment horizontal="center" vertical="center"/>
    </xf>
    <xf numFmtId="1" fontId="6" fillId="59" borderId="1" xfId="0" applyNumberFormat="1" applyFont="1" applyFill="1" applyBorder="1" applyAlignment="1">
      <alignment horizontal="center" vertical="center"/>
    </xf>
    <xf numFmtId="1" fontId="6" fillId="59" borderId="11" xfId="0" applyNumberFormat="1" applyFont="1" applyFill="1" applyBorder="1" applyAlignment="1">
      <alignment horizontal="center" vertical="center"/>
    </xf>
    <xf numFmtId="169" fontId="111" fillId="59" borderId="63" xfId="0" applyNumberFormat="1" applyFont="1" applyFill="1" applyBorder="1" applyAlignment="1">
      <alignment horizontal="center" vertical="center"/>
    </xf>
    <xf numFmtId="169" fontId="111" fillId="59" borderId="61" xfId="0" applyNumberFormat="1" applyFont="1" applyFill="1" applyBorder="1" applyAlignment="1">
      <alignment horizontal="center" vertical="center"/>
    </xf>
    <xf numFmtId="169" fontId="111" fillId="59" borderId="53" xfId="0" applyNumberFormat="1" applyFont="1" applyFill="1" applyBorder="1" applyAlignment="1">
      <alignment horizontal="center" vertical="center"/>
    </xf>
    <xf numFmtId="169" fontId="111" fillId="59" borderId="33" xfId="0" applyNumberFormat="1" applyFont="1" applyFill="1" applyBorder="1" applyAlignment="1">
      <alignment horizontal="center" vertical="center"/>
    </xf>
    <xf numFmtId="169" fontId="109" fillId="59" borderId="21" xfId="0" applyNumberFormat="1" applyFont="1" applyFill="1" applyBorder="1" applyAlignment="1">
      <alignment horizontal="center" vertical="center"/>
    </xf>
    <xf numFmtId="171" fontId="111" fillId="59" borderId="31" xfId="0" applyNumberFormat="1" applyFont="1" applyFill="1" applyBorder="1" applyAlignment="1">
      <alignment horizontal="center" vertical="center"/>
    </xf>
    <xf numFmtId="171" fontId="109" fillId="59" borderId="42" xfId="0" applyNumberFormat="1" applyFont="1" applyFill="1" applyBorder="1" applyAlignment="1">
      <alignment horizontal="center" vertical="center"/>
    </xf>
    <xf numFmtId="1" fontId="111" fillId="59" borderId="19" xfId="0" applyNumberFormat="1" applyFont="1" applyFill="1" applyBorder="1" applyAlignment="1">
      <alignment horizontal="center" vertical="center"/>
    </xf>
    <xf numFmtId="0" fontId="109" fillId="59" borderId="1" xfId="0" applyFont="1" applyFill="1" applyBorder="1" applyAlignment="1">
      <alignment horizontal="center" vertical="center"/>
    </xf>
    <xf numFmtId="1" fontId="109" fillId="59" borderId="21" xfId="0" applyNumberFormat="1" applyFont="1" applyFill="1" applyBorder="1" applyAlignment="1">
      <alignment horizontal="center" vertical="center"/>
    </xf>
    <xf numFmtId="2" fontId="111" fillId="59" borderId="34" xfId="0" applyNumberFormat="1" applyFont="1" applyFill="1" applyBorder="1" applyAlignment="1">
      <alignment horizontal="center" vertical="center"/>
    </xf>
    <xf numFmtId="169" fontId="111" fillId="59" borderId="17" xfId="0" applyNumberFormat="1" applyFont="1" applyFill="1" applyBorder="1" applyAlignment="1">
      <alignment horizontal="center" vertical="center"/>
    </xf>
    <xf numFmtId="2" fontId="111" fillId="59" borderId="17" xfId="0" applyNumberFormat="1" applyFont="1" applyFill="1" applyBorder="1" applyAlignment="1">
      <alignment horizontal="center" vertical="center"/>
    </xf>
    <xf numFmtId="171" fontId="111" fillId="59" borderId="34" xfId="0" applyNumberFormat="1" applyFont="1" applyFill="1" applyBorder="1" applyAlignment="1">
      <alignment horizontal="center" vertical="center"/>
    </xf>
    <xf numFmtId="172" fontId="111" fillId="59" borderId="31" xfId="0" applyNumberFormat="1" applyFont="1" applyFill="1" applyBorder="1" applyAlignment="1">
      <alignment horizontal="center" vertical="center"/>
    </xf>
    <xf numFmtId="169" fontId="111" fillId="59" borderId="19" xfId="0" applyNumberFormat="1" applyFont="1" applyFill="1" applyBorder="1" applyAlignment="1">
      <alignment horizontal="center" vertical="center"/>
    </xf>
    <xf numFmtId="1" fontId="111" fillId="59" borderId="27" xfId="0" applyNumberFormat="1" applyFont="1" applyFill="1" applyBorder="1" applyAlignment="1">
      <alignment horizontal="center" vertical="center"/>
    </xf>
    <xf numFmtId="0" fontId="6" fillId="25" borderId="44" xfId="0" applyFont="1" applyFill="1" applyBorder="1"/>
    <xf numFmtId="0" fontId="6" fillId="25" borderId="24" xfId="0" applyFont="1" applyFill="1" applyBorder="1"/>
    <xf numFmtId="0" fontId="6" fillId="25" borderId="3" xfId="0" applyFont="1" applyFill="1" applyBorder="1"/>
    <xf numFmtId="0" fontId="74" fillId="25" borderId="24" xfId="0" applyFont="1" applyFill="1" applyBorder="1"/>
    <xf numFmtId="0" fontId="6" fillId="25" borderId="61" xfId="0" applyFont="1" applyFill="1" applyBorder="1"/>
    <xf numFmtId="0" fontId="112" fillId="25" borderId="47" xfId="0" applyFont="1" applyFill="1" applyBorder="1" applyAlignment="1">
      <alignment vertical="center"/>
    </xf>
    <xf numFmtId="0" fontId="112" fillId="25" borderId="6" xfId="0" applyFont="1" applyFill="1" applyBorder="1" applyAlignment="1">
      <alignment vertical="center"/>
    </xf>
    <xf numFmtId="0" fontId="112" fillId="25" borderId="29" xfId="0" applyFont="1" applyFill="1" applyBorder="1" applyAlignment="1">
      <alignment vertical="center"/>
    </xf>
    <xf numFmtId="0" fontId="134" fillId="25" borderId="6" xfId="0" applyFont="1" applyFill="1" applyBorder="1" applyAlignment="1">
      <alignment vertical="center"/>
    </xf>
    <xf numFmtId="0" fontId="6" fillId="25" borderId="39" xfId="0" applyFont="1" applyFill="1" applyBorder="1"/>
    <xf numFmtId="2" fontId="111" fillId="59" borderId="44" xfId="0" applyNumberFormat="1" applyFont="1" applyFill="1" applyBorder="1" applyAlignment="1">
      <alignment horizontal="center" vertical="center"/>
    </xf>
    <xf numFmtId="2" fontId="111" fillId="59" borderId="42" xfId="0" applyNumberFormat="1" applyFont="1" applyFill="1" applyBorder="1" applyAlignment="1">
      <alignment horizontal="center" vertical="center"/>
    </xf>
    <xf numFmtId="2" fontId="111" fillId="59" borderId="52" xfId="0" applyNumberFormat="1" applyFont="1" applyFill="1" applyBorder="1" applyAlignment="1">
      <alignment horizontal="center" vertical="center"/>
    </xf>
    <xf numFmtId="2" fontId="111" fillId="59" borderId="53" xfId="0" applyNumberFormat="1" applyFont="1" applyFill="1" applyBorder="1" applyAlignment="1">
      <alignment horizontal="center" vertical="center"/>
    </xf>
    <xf numFmtId="2" fontId="111" fillId="59" borderId="51" xfId="0" applyNumberFormat="1" applyFont="1" applyFill="1" applyBorder="1" applyAlignment="1">
      <alignment horizontal="center" vertical="center"/>
    </xf>
    <xf numFmtId="2" fontId="111" fillId="59" borderId="33" xfId="0" applyNumberFormat="1" applyFont="1" applyFill="1" applyBorder="1" applyAlignment="1">
      <alignment horizontal="center" vertical="center"/>
    </xf>
    <xf numFmtId="169" fontId="111" fillId="21" borderId="32" xfId="0" applyNumberFormat="1" applyFont="1" applyFill="1" applyBorder="1" applyAlignment="1">
      <alignment horizontal="center" vertical="center"/>
    </xf>
    <xf numFmtId="0" fontId="0" fillId="0" borderId="0" xfId="0"/>
    <xf numFmtId="171" fontId="112" fillId="21" borderId="31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11" fillId="0" borderId="10" xfId="0" applyFont="1" applyBorder="1" applyAlignment="1">
      <alignment horizontal="right" vertical="center"/>
    </xf>
    <xf numFmtId="0" fontId="111" fillId="0" borderId="45" xfId="0" applyFont="1" applyBorder="1" applyAlignment="1">
      <alignment horizontal="right" vertical="center"/>
    </xf>
    <xf numFmtId="0" fontId="22" fillId="0" borderId="5" xfId="0" applyFont="1" applyBorder="1" applyAlignment="1">
      <alignment horizontal="center" vertical="center"/>
    </xf>
    <xf numFmtId="0" fontId="170" fillId="25" borderId="10" xfId="0" applyFont="1" applyFill="1" applyBorder="1" applyAlignment="1"/>
    <xf numFmtId="0" fontId="0" fillId="0" borderId="0" xfId="0"/>
    <xf numFmtId="1" fontId="111" fillId="25" borderId="41" xfId="0" applyNumberFormat="1" applyFont="1" applyFill="1" applyBorder="1" applyAlignment="1">
      <alignment horizontal="center" vertical="center"/>
    </xf>
    <xf numFmtId="171" fontId="109" fillId="25" borderId="30" xfId="0" applyNumberFormat="1" applyFont="1" applyFill="1" applyBorder="1" applyAlignment="1">
      <alignment horizontal="center" vertical="center"/>
    </xf>
    <xf numFmtId="1" fontId="111" fillId="21" borderId="45" xfId="0" applyNumberFormat="1" applyFont="1" applyFill="1" applyBorder="1" applyAlignment="1">
      <alignment horizontal="center" vertical="center"/>
    </xf>
    <xf numFmtId="0" fontId="0" fillId="0" borderId="0" xfId="0"/>
    <xf numFmtId="1" fontId="111" fillId="25" borderId="42" xfId="0" applyNumberFormat="1" applyFont="1" applyFill="1" applyBorder="1" applyAlignment="1">
      <alignment horizontal="center" vertical="center"/>
    </xf>
    <xf numFmtId="0" fontId="54" fillId="0" borderId="0" xfId="0" applyFont="1" applyAlignment="1">
      <alignment horizontal="left" wrapText="1"/>
    </xf>
    <xf numFmtId="0" fontId="111" fillId="0" borderId="31" xfId="0" applyFont="1" applyBorder="1" applyAlignment="1">
      <alignment horizontal="left" vertical="center" wrapText="1"/>
    </xf>
    <xf numFmtId="0" fontId="111" fillId="0" borderId="62" xfId="0" applyFont="1" applyBorder="1" applyAlignment="1">
      <alignment horizontal="left" vertical="center" wrapText="1"/>
    </xf>
    <xf numFmtId="0" fontId="109" fillId="0" borderId="1" xfId="0" applyFont="1" applyBorder="1" applyAlignment="1">
      <alignment horizontal="left" vertical="center" wrapText="1"/>
    </xf>
    <xf numFmtId="0" fontId="6" fillId="25" borderId="44" xfId="0" applyFont="1" applyFill="1" applyBorder="1" applyAlignment="1">
      <alignment horizontal="left" vertical="center" wrapText="1"/>
    </xf>
    <xf numFmtId="0" fontId="111" fillId="0" borderId="52" xfId="0" applyFont="1" applyBorder="1" applyAlignment="1">
      <alignment horizontal="left" vertical="center" wrapText="1"/>
    </xf>
    <xf numFmtId="0" fontId="111" fillId="0" borderId="32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16" fillId="0" borderId="0" xfId="0" applyFont="1" applyAlignment="1">
      <alignment horizontal="left" vertical="center" wrapText="1"/>
    </xf>
    <xf numFmtId="0" fontId="112" fillId="0" borderId="0" xfId="0" applyFont="1" applyAlignment="1">
      <alignment horizontal="left" vertical="center" wrapText="1"/>
    </xf>
    <xf numFmtId="0" fontId="0" fillId="0" borderId="0" xfId="0"/>
    <xf numFmtId="0" fontId="127" fillId="0" borderId="0" xfId="0" applyFont="1" applyAlignment="1">
      <alignment horizontal="left"/>
    </xf>
    <xf numFmtId="0" fontId="0" fillId="0" borderId="0" xfId="0"/>
    <xf numFmtId="0" fontId="112" fillId="21" borderId="13" xfId="0" applyFont="1" applyFill="1" applyBorder="1" applyAlignment="1">
      <alignment horizontal="center" vertical="center"/>
    </xf>
    <xf numFmtId="0" fontId="112" fillId="0" borderId="0" xfId="0" applyFont="1" applyBorder="1" applyAlignment="1">
      <alignment horizontal="center" vertical="center"/>
    </xf>
    <xf numFmtId="1" fontId="202" fillId="25" borderId="42" xfId="0" applyNumberFormat="1" applyFont="1" applyFill="1" applyBorder="1"/>
    <xf numFmtId="0" fontId="0" fillId="0" borderId="0" xfId="0"/>
    <xf numFmtId="1" fontId="138" fillId="25" borderId="62" xfId="0" applyNumberFormat="1" applyFont="1" applyFill="1" applyBorder="1" applyAlignment="1">
      <alignment horizontal="center" vertical="center"/>
    </xf>
    <xf numFmtId="0" fontId="119" fillId="21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138" fillId="21" borderId="10" xfId="0" applyNumberFormat="1" applyFont="1" applyFill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25" fillId="21" borderId="10" xfId="0" applyNumberFormat="1" applyFont="1" applyFill="1" applyBorder="1" applyAlignment="1">
      <alignment horizontal="center" vertical="center"/>
    </xf>
    <xf numFmtId="1" fontId="125" fillId="0" borderId="10" xfId="0" applyNumberFormat="1" applyFont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0" fontId="138" fillId="25" borderId="36" xfId="0" applyFont="1" applyFill="1" applyBorder="1" applyAlignment="1">
      <alignment horizontal="center" vertical="center"/>
    </xf>
    <xf numFmtId="169" fontId="138" fillId="25" borderId="62" xfId="0" applyNumberFormat="1" applyFont="1" applyFill="1" applyBorder="1" applyAlignment="1">
      <alignment horizontal="center" vertical="center"/>
    </xf>
    <xf numFmtId="2" fontId="138" fillId="25" borderId="9" xfId="0" applyNumberFormat="1" applyFont="1" applyFill="1" applyBorder="1" applyAlignment="1">
      <alignment horizontal="center" vertical="center"/>
    </xf>
    <xf numFmtId="2" fontId="111" fillId="0" borderId="0" xfId="0" applyNumberFormat="1" applyFont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169" fontId="125" fillId="25" borderId="10" xfId="0" applyNumberFormat="1" applyFont="1" applyFill="1" applyBorder="1" applyAlignment="1">
      <alignment horizontal="center" vertical="center"/>
    </xf>
    <xf numFmtId="169" fontId="49" fillId="27" borderId="75" xfId="0" applyNumberFormat="1" applyFont="1" applyFill="1" applyBorder="1" applyAlignment="1">
      <alignment horizontal="center" vertical="center"/>
    </xf>
    <xf numFmtId="0" fontId="63" fillId="0" borderId="25" xfId="0" applyFont="1" applyBorder="1" applyAlignment="1">
      <alignment vertical="center"/>
    </xf>
    <xf numFmtId="0" fontId="42" fillId="25" borderId="170" xfId="0" applyFont="1" applyFill="1" applyBorder="1" applyAlignment="1">
      <alignment horizontal="center" vertical="center"/>
    </xf>
    <xf numFmtId="1" fontId="63" fillId="0" borderId="171" xfId="0" applyNumberFormat="1" applyFont="1" applyBorder="1" applyAlignment="1">
      <alignment horizontal="center" vertical="center"/>
    </xf>
    <xf numFmtId="0" fontId="69" fillId="0" borderId="0" xfId="0" applyFont="1"/>
    <xf numFmtId="0" fontId="150" fillId="0" borderId="63" xfId="0" applyFont="1" applyBorder="1" applyAlignment="1">
      <alignment vertical="center"/>
    </xf>
    <xf numFmtId="1" fontId="63" fillId="25" borderId="42" xfId="0" applyNumberFormat="1" applyFont="1" applyFill="1" applyBorder="1" applyAlignment="1">
      <alignment horizontal="center" vertical="center"/>
    </xf>
    <xf numFmtId="1" fontId="67" fillId="25" borderId="17" xfId="0" applyNumberFormat="1" applyFont="1" applyFill="1" applyBorder="1" applyAlignment="1">
      <alignment horizontal="center" vertical="center"/>
    </xf>
    <xf numFmtId="1" fontId="76" fillId="25" borderId="54" xfId="0" applyNumberFormat="1" applyFont="1" applyFill="1" applyBorder="1" applyAlignment="1">
      <alignment horizontal="center" vertical="center"/>
    </xf>
    <xf numFmtId="1" fontId="76" fillId="13" borderId="54" xfId="0" applyNumberFormat="1" applyFont="1" applyFill="1" applyBorder="1" applyAlignment="1">
      <alignment horizontal="center" vertical="center"/>
    </xf>
    <xf numFmtId="1" fontId="76" fillId="14" borderId="0" xfId="0" applyNumberFormat="1" applyFont="1" applyFill="1" applyBorder="1" applyAlignment="1">
      <alignment horizontal="center" vertical="center"/>
    </xf>
    <xf numFmtId="1" fontId="222" fillId="14" borderId="17" xfId="0" applyNumberFormat="1" applyFont="1" applyFill="1" applyBorder="1" applyAlignment="1">
      <alignment horizontal="center" vertical="center"/>
    </xf>
    <xf numFmtId="1" fontId="223" fillId="14" borderId="109" xfId="0" applyNumberFormat="1" applyFont="1" applyFill="1" applyBorder="1" applyAlignment="1">
      <alignment horizontal="center" vertical="center"/>
    </xf>
    <xf numFmtId="0" fontId="0" fillId="0" borderId="0" xfId="0"/>
    <xf numFmtId="1" fontId="138" fillId="0" borderId="34" xfId="0" applyNumberFormat="1" applyFont="1" applyBorder="1" applyAlignment="1">
      <alignment horizontal="center" vertical="center"/>
    </xf>
    <xf numFmtId="1" fontId="75" fillId="0" borderId="29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1" borderId="29" xfId="0" applyNumberFormat="1" applyFont="1" applyFill="1" applyBorder="1" applyAlignment="1">
      <alignment horizontal="center" vertical="center"/>
    </xf>
    <xf numFmtId="0" fontId="75" fillId="0" borderId="62" xfId="0" applyFont="1" applyBorder="1" applyAlignment="1">
      <alignment horizontal="center" vertical="center"/>
    </xf>
    <xf numFmtId="1" fontId="75" fillId="21" borderId="31" xfId="0" applyNumberFormat="1" applyFont="1" applyFill="1" applyBorder="1" applyAlignment="1">
      <alignment horizontal="center" vertical="center"/>
    </xf>
    <xf numFmtId="1" fontId="75" fillId="25" borderId="29" xfId="0" applyNumberFormat="1" applyFont="1" applyFill="1" applyBorder="1" applyAlignment="1">
      <alignment horizontal="center" vertical="center"/>
    </xf>
    <xf numFmtId="1" fontId="138" fillId="0" borderId="8" xfId="0" applyNumberFormat="1" applyFont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0" fontId="151" fillId="21" borderId="24" xfId="0" applyFont="1" applyFill="1" applyBorder="1" applyAlignment="1">
      <alignment vertical="center"/>
    </xf>
    <xf numFmtId="0" fontId="151" fillId="21" borderId="61" xfId="0" applyFont="1" applyFill="1" applyBorder="1" applyAlignment="1">
      <alignment vertical="center"/>
    </xf>
    <xf numFmtId="169" fontId="109" fillId="21" borderId="17" xfId="0" applyNumberFormat="1" applyFont="1" applyFill="1" applyBorder="1" applyAlignment="1">
      <alignment horizontal="center" vertical="center"/>
    </xf>
    <xf numFmtId="1" fontId="109" fillId="21" borderId="33" xfId="0" applyNumberFormat="1" applyFont="1" applyFill="1" applyBorder="1" applyAlignment="1">
      <alignment horizontal="center" vertical="center"/>
    </xf>
    <xf numFmtId="0" fontId="151" fillId="21" borderId="30" xfId="0" applyFont="1" applyFill="1" applyBorder="1" applyAlignment="1">
      <alignment vertical="center"/>
    </xf>
    <xf numFmtId="0" fontId="151" fillId="21" borderId="53" xfId="0" applyFont="1" applyFill="1" applyBorder="1" applyAlignment="1">
      <alignment vertical="center"/>
    </xf>
    <xf numFmtId="169" fontId="109" fillId="21" borderId="10" xfId="0" applyNumberFormat="1" applyFont="1" applyFill="1" applyBorder="1" applyAlignment="1">
      <alignment horizontal="center" vertical="center"/>
    </xf>
    <xf numFmtId="1" fontId="220" fillId="21" borderId="10" xfId="0" applyNumberFormat="1" applyFont="1" applyFill="1" applyBorder="1" applyAlignment="1">
      <alignment horizontal="center"/>
    </xf>
    <xf numFmtId="0" fontId="138" fillId="21" borderId="111" xfId="0" applyFont="1" applyFill="1" applyBorder="1" applyAlignment="1">
      <alignment horizontal="center" vertical="center"/>
    </xf>
    <xf numFmtId="1" fontId="125" fillId="21" borderId="59" xfId="0" applyNumberFormat="1" applyFont="1" applyFill="1" applyBorder="1" applyAlignment="1">
      <alignment horizontal="center" vertical="center"/>
    </xf>
    <xf numFmtId="0" fontId="125" fillId="21" borderId="59" xfId="0" applyFont="1" applyFill="1" applyBorder="1" applyAlignment="1">
      <alignment horizontal="center" vertical="center"/>
    </xf>
    <xf numFmtId="169" fontId="111" fillId="0" borderId="100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49" fillId="0" borderId="0" xfId="0" applyFont="1" applyFill="1"/>
    <xf numFmtId="0" fontId="133" fillId="0" borderId="0" xfId="0" applyFont="1" applyAlignment="1">
      <alignment horizontal="right" vertical="center"/>
    </xf>
    <xf numFmtId="0" fontId="143" fillId="0" borderId="24" xfId="0" applyFont="1" applyBorder="1" applyAlignment="1">
      <alignment vertical="center"/>
    </xf>
    <xf numFmtId="0" fontId="119" fillId="0" borderId="10" xfId="0" applyFont="1" applyBorder="1" applyAlignment="1">
      <alignment horizontal="right" vertical="center"/>
    </xf>
    <xf numFmtId="0" fontId="119" fillId="0" borderId="37" xfId="0" applyFont="1" applyBorder="1" applyAlignment="1">
      <alignment horizontal="right" vertical="center"/>
    </xf>
    <xf numFmtId="0" fontId="0" fillId="0" borderId="63" xfId="0" applyBorder="1" applyAlignment="1">
      <alignment horizontal="left"/>
    </xf>
    <xf numFmtId="0" fontId="143" fillId="0" borderId="41" xfId="0" applyFont="1" applyBorder="1" applyAlignment="1">
      <alignment vertical="center"/>
    </xf>
    <xf numFmtId="0" fontId="117" fillId="0" borderId="49" xfId="0" applyFont="1" applyBorder="1"/>
    <xf numFmtId="0" fontId="0" fillId="0" borderId="31" xfId="0" applyBorder="1" applyAlignment="1">
      <alignment horizontal="left"/>
    </xf>
    <xf numFmtId="0" fontId="118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113" fillId="0" borderId="31" xfId="0" applyFont="1" applyBorder="1" applyAlignment="1">
      <alignment horizontal="left"/>
    </xf>
    <xf numFmtId="0" fontId="113" fillId="0" borderId="10" xfId="0" applyFont="1" applyBorder="1"/>
    <xf numFmtId="0" fontId="118" fillId="0" borderId="29" xfId="0" applyFont="1" applyBorder="1"/>
    <xf numFmtId="1" fontId="0" fillId="0" borderId="10" xfId="0" applyNumberFormat="1" applyFill="1" applyBorder="1" applyAlignment="1">
      <alignment horizontal="right" vertical="center"/>
    </xf>
    <xf numFmtId="1" fontId="0" fillId="0" borderId="37" xfId="0" applyNumberFormat="1" applyFill="1" applyBorder="1" applyAlignment="1">
      <alignment horizontal="right" vertical="center"/>
    </xf>
    <xf numFmtId="0" fontId="118" fillId="25" borderId="29" xfId="0" applyFont="1" applyFill="1" applyBorder="1"/>
    <xf numFmtId="0" fontId="118" fillId="0" borderId="36" xfId="0" applyFont="1" applyBorder="1"/>
    <xf numFmtId="0" fontId="65" fillId="0" borderId="4" xfId="0" applyFont="1" applyBorder="1"/>
    <xf numFmtId="0" fontId="109" fillId="0" borderId="10" xfId="0" applyFont="1" applyFill="1" applyBorder="1" applyAlignment="1">
      <alignment horizontal="right" vertical="center"/>
    </xf>
    <xf numFmtId="0" fontId="109" fillId="0" borderId="37" xfId="0" applyFont="1" applyFill="1" applyBorder="1" applyAlignment="1">
      <alignment horizontal="right" vertical="center"/>
    </xf>
    <xf numFmtId="0" fontId="118" fillId="0" borderId="38" xfId="0" applyFont="1" applyBorder="1"/>
    <xf numFmtId="0" fontId="65" fillId="0" borderId="111" xfId="0" applyFont="1" applyBorder="1"/>
    <xf numFmtId="1" fontId="109" fillId="0" borderId="10" xfId="0" applyNumberFormat="1" applyFont="1" applyFill="1" applyBorder="1" applyAlignment="1">
      <alignment horizontal="right" vertical="center"/>
    </xf>
    <xf numFmtId="1" fontId="109" fillId="0" borderId="37" xfId="0" applyNumberFormat="1" applyFont="1" applyFill="1" applyBorder="1" applyAlignment="1">
      <alignment horizontal="right" vertical="center"/>
    </xf>
    <xf numFmtId="0" fontId="125" fillId="0" borderId="31" xfId="0" applyFont="1" applyBorder="1" applyAlignment="1">
      <alignment horizontal="left" vertical="center"/>
    </xf>
    <xf numFmtId="0" fontId="125" fillId="0" borderId="10" xfId="0" applyFont="1" applyBorder="1" applyAlignment="1">
      <alignment vertical="center"/>
    </xf>
    <xf numFmtId="0" fontId="108" fillId="0" borderId="31" xfId="0" applyFont="1" applyBorder="1" applyAlignment="1">
      <alignment horizontal="left"/>
    </xf>
    <xf numFmtId="0" fontId="108" fillId="0" borderId="10" xfId="0" applyFont="1" applyBorder="1"/>
    <xf numFmtId="0" fontId="0" fillId="0" borderId="29" xfId="0" applyBorder="1"/>
    <xf numFmtId="0" fontId="65" fillId="0" borderId="10" xfId="0" applyFont="1" applyBorder="1" applyAlignment="1">
      <alignment horizontal="left" vertical="center"/>
    </xf>
    <xf numFmtId="0" fontId="80" fillId="0" borderId="4" xfId="0" applyFont="1" applyBorder="1" applyAlignment="1">
      <alignment vertical="center"/>
    </xf>
    <xf numFmtId="0" fontId="110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172" fillId="25" borderId="0" xfId="0" applyFont="1" applyFill="1" applyAlignment="1">
      <alignment horizontal="center" vertical="center"/>
    </xf>
    <xf numFmtId="0" fontId="65" fillId="0" borderId="0" xfId="0" applyFont="1" applyBorder="1"/>
    <xf numFmtId="0" fontId="173" fillId="25" borderId="0" xfId="0" applyFont="1" applyFill="1" applyBorder="1" applyAlignment="1">
      <alignment horizontal="center" vertical="center"/>
    </xf>
    <xf numFmtId="0" fontId="172" fillId="25" borderId="0" xfId="0" applyFont="1" applyFill="1" applyAlignment="1">
      <alignment horizontal="right"/>
    </xf>
    <xf numFmtId="0" fontId="174" fillId="25" borderId="0" xfId="0" applyFont="1" applyFill="1" applyAlignment="1">
      <alignment horizontal="center"/>
    </xf>
    <xf numFmtId="0" fontId="0" fillId="0" borderId="32" xfId="0" applyBorder="1" applyAlignment="1">
      <alignment horizontal="left"/>
    </xf>
    <xf numFmtId="0" fontId="0" fillId="0" borderId="23" xfId="0" applyBorder="1"/>
    <xf numFmtId="2" fontId="111" fillId="0" borderId="8" xfId="0" applyNumberFormat="1" applyFont="1" applyBorder="1" applyAlignment="1">
      <alignment horizontal="right" vertical="center"/>
    </xf>
    <xf numFmtId="2" fontId="112" fillId="0" borderId="8" xfId="0" applyNumberFormat="1" applyFont="1" applyBorder="1" applyAlignment="1">
      <alignment horizontal="right" vertical="center"/>
    </xf>
    <xf numFmtId="0" fontId="65" fillId="0" borderId="76" xfId="0" applyFont="1" applyBorder="1"/>
    <xf numFmtId="0" fontId="109" fillId="0" borderId="108" xfId="0" applyFont="1" applyBorder="1" applyAlignment="1">
      <alignment horizontal="center" vertical="center"/>
    </xf>
    <xf numFmtId="0" fontId="65" fillId="0" borderId="63" xfId="0" applyFont="1" applyBorder="1"/>
    <xf numFmtId="0" fontId="113" fillId="0" borderId="10" xfId="0" applyFont="1" applyBorder="1" applyAlignment="1">
      <alignment horizontal="center"/>
    </xf>
    <xf numFmtId="0" fontId="113" fillId="0" borderId="17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113" fillId="0" borderId="10" xfId="0" applyNumberFormat="1" applyFont="1" applyBorder="1" applyAlignment="1">
      <alignment horizontal="center"/>
    </xf>
    <xf numFmtId="1" fontId="113" fillId="0" borderId="17" xfId="0" applyNumberFormat="1" applyFont="1" applyBorder="1" applyAlignment="1">
      <alignment horizontal="center"/>
    </xf>
    <xf numFmtId="1" fontId="125" fillId="0" borderId="17" xfId="0" applyNumberFormat="1" applyFont="1" applyBorder="1" applyAlignment="1">
      <alignment horizontal="center" vertical="center"/>
    </xf>
    <xf numFmtId="1" fontId="108" fillId="0" borderId="10" xfId="0" applyNumberFormat="1" applyFont="1" applyBorder="1" applyAlignment="1">
      <alignment horizontal="center"/>
    </xf>
    <xf numFmtId="1" fontId="108" fillId="0" borderId="17" xfId="0" applyNumberFormat="1" applyFon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113" fillId="0" borderId="10" xfId="0" applyNumberFormat="1" applyFont="1" applyBorder="1" applyAlignment="1">
      <alignment horizontal="center"/>
    </xf>
    <xf numFmtId="2" fontId="113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125" fillId="0" borderId="10" xfId="0" applyNumberFormat="1" applyFont="1" applyBorder="1" applyAlignment="1">
      <alignment horizontal="center" vertical="center"/>
    </xf>
    <xf numFmtId="2" fontId="125" fillId="0" borderId="17" xfId="0" applyNumberFormat="1" applyFont="1" applyBorder="1" applyAlignment="1">
      <alignment horizontal="center" vertical="center"/>
    </xf>
    <xf numFmtId="2" fontId="108" fillId="0" borderId="10" xfId="0" applyNumberFormat="1" applyFont="1" applyBorder="1" applyAlignment="1">
      <alignment horizontal="center"/>
    </xf>
    <xf numFmtId="2" fontId="108" fillId="0" borderId="17" xfId="0" applyNumberFormat="1" applyFon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119" fillId="21" borderId="17" xfId="0" applyFont="1" applyFill="1" applyBorder="1" applyAlignment="1">
      <alignment horizontal="center" vertical="center"/>
    </xf>
    <xf numFmtId="0" fontId="113" fillId="21" borderId="17" xfId="0" applyFont="1" applyFill="1" applyBorder="1" applyAlignment="1">
      <alignment horizontal="center"/>
    </xf>
    <xf numFmtId="0" fontId="0" fillId="21" borderId="17" xfId="0" applyFill="1" applyBorder="1" applyAlignment="1">
      <alignment horizontal="center"/>
    </xf>
    <xf numFmtId="1" fontId="0" fillId="21" borderId="17" xfId="0" applyNumberFormat="1" applyFill="1" applyBorder="1" applyAlignment="1">
      <alignment horizontal="center"/>
    </xf>
    <xf numFmtId="1" fontId="113" fillId="21" borderId="17" xfId="0" applyNumberFormat="1" applyFont="1" applyFill="1" applyBorder="1" applyAlignment="1">
      <alignment horizontal="center"/>
    </xf>
    <xf numFmtId="1" fontId="108" fillId="21" borderId="17" xfId="0" applyNumberFormat="1" applyFont="1" applyFill="1" applyBorder="1" applyAlignment="1">
      <alignment horizontal="center"/>
    </xf>
    <xf numFmtId="1" fontId="0" fillId="21" borderId="33" xfId="0" applyNumberFormat="1" applyFill="1" applyBorder="1" applyAlignment="1">
      <alignment horizontal="center"/>
    </xf>
    <xf numFmtId="2" fontId="113" fillId="21" borderId="17" xfId="0" applyNumberFormat="1" applyFont="1" applyFill="1" applyBorder="1" applyAlignment="1">
      <alignment horizontal="center"/>
    </xf>
    <xf numFmtId="2" fontId="0" fillId="21" borderId="17" xfId="0" applyNumberFormat="1" applyFill="1" applyBorder="1" applyAlignment="1">
      <alignment horizontal="center"/>
    </xf>
    <xf numFmtId="2" fontId="125" fillId="21" borderId="17" xfId="0" applyNumberFormat="1" applyFont="1" applyFill="1" applyBorder="1" applyAlignment="1">
      <alignment horizontal="center" vertical="center"/>
    </xf>
    <xf numFmtId="2" fontId="108" fillId="21" borderId="17" xfId="0" applyNumberFormat="1" applyFont="1" applyFill="1" applyBorder="1" applyAlignment="1">
      <alignment horizontal="center"/>
    </xf>
    <xf numFmtId="2" fontId="0" fillId="21" borderId="33" xfId="0" applyNumberFormat="1" applyFill="1" applyBorder="1" applyAlignment="1">
      <alignment horizontal="center"/>
    </xf>
    <xf numFmtId="0" fontId="144" fillId="25" borderId="0" xfId="0" applyFont="1" applyFill="1" applyAlignment="1">
      <alignment horizontal="center" vertical="center"/>
    </xf>
    <xf numFmtId="0" fontId="118" fillId="25" borderId="0" xfId="0" applyFont="1" applyFill="1"/>
    <xf numFmtId="0" fontId="54" fillId="25" borderId="0" xfId="0" applyFont="1" applyFill="1" applyAlignment="1">
      <alignment horizontal="center" vertical="center"/>
    </xf>
    <xf numFmtId="0" fontId="133" fillId="25" borderId="0" xfId="0" applyFont="1" applyFill="1" applyAlignment="1">
      <alignment horizontal="right" vertical="center"/>
    </xf>
    <xf numFmtId="0" fontId="0" fillId="25" borderId="0" xfId="0" applyFill="1" applyAlignment="1">
      <alignment horizontal="left"/>
    </xf>
    <xf numFmtId="0" fontId="0" fillId="25" borderId="0" xfId="0" applyFill="1" applyAlignment="1">
      <alignment horizontal="center"/>
    </xf>
    <xf numFmtId="0" fontId="119" fillId="25" borderId="0" xfId="0" applyFont="1" applyFill="1" applyAlignment="1">
      <alignment horizontal="center" vertical="center"/>
    </xf>
    <xf numFmtId="0" fontId="143" fillId="25" borderId="44" xfId="0" applyFont="1" applyFill="1" applyBorder="1" applyAlignment="1">
      <alignment vertical="center"/>
    </xf>
    <xf numFmtId="0" fontId="119" fillId="25" borderId="0" xfId="0" applyFont="1" applyFill="1" applyAlignment="1">
      <alignment horizontal="right" vertical="center"/>
    </xf>
    <xf numFmtId="0" fontId="117" fillId="25" borderId="51" xfId="0" applyFont="1" applyFill="1" applyBorder="1"/>
    <xf numFmtId="0" fontId="119" fillId="25" borderId="10" xfId="0" applyFont="1" applyFill="1" applyBorder="1" applyAlignment="1">
      <alignment horizontal="right" vertical="center"/>
    </xf>
    <xf numFmtId="171" fontId="111" fillId="25" borderId="0" xfId="0" applyNumberFormat="1" applyFont="1" applyFill="1" applyAlignment="1">
      <alignment horizontal="center" vertical="center"/>
    </xf>
    <xf numFmtId="0" fontId="118" fillId="25" borderId="34" xfId="0" applyFont="1" applyFill="1" applyBorder="1"/>
    <xf numFmtId="2" fontId="111" fillId="25" borderId="8" xfId="0" applyNumberFormat="1" applyFont="1" applyFill="1" applyBorder="1" applyAlignment="1">
      <alignment horizontal="right" vertical="center"/>
    </xf>
    <xf numFmtId="2" fontId="111" fillId="25" borderId="0" xfId="0" applyNumberFormat="1" applyFont="1" applyFill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49" fillId="0" borderId="0" xfId="0" applyFont="1" applyFill="1" applyAlignment="1">
      <alignment horizontal="center" vertical="center"/>
    </xf>
    <xf numFmtId="169" fontId="111" fillId="25" borderId="59" xfId="0" applyNumberFormat="1" applyFont="1" applyFill="1" applyBorder="1" applyAlignment="1">
      <alignment horizontal="center" vertical="center"/>
    </xf>
    <xf numFmtId="1" fontId="111" fillId="25" borderId="29" xfId="0" applyNumberFormat="1" applyFont="1" applyFill="1" applyBorder="1" applyAlignment="1">
      <alignment horizontal="center" vertical="center"/>
    </xf>
    <xf numFmtId="1" fontId="111" fillId="21" borderId="58" xfId="0" applyNumberFormat="1" applyFont="1" applyFill="1" applyBorder="1" applyAlignment="1">
      <alignment horizontal="center" vertical="center"/>
    </xf>
    <xf numFmtId="0" fontId="118" fillId="0" borderId="62" xfId="0" applyFont="1" applyBorder="1" applyAlignment="1">
      <alignment horizontal="right" vertical="center"/>
    </xf>
    <xf numFmtId="171" fontId="138" fillId="25" borderId="10" xfId="0" applyNumberFormat="1" applyFont="1" applyFill="1" applyBorder="1" applyAlignment="1">
      <alignment horizontal="center" vertical="center"/>
    </xf>
    <xf numFmtId="0" fontId="134" fillId="0" borderId="62" xfId="0" applyFont="1" applyBorder="1" applyAlignment="1">
      <alignment horizontal="left" vertical="center"/>
    </xf>
    <xf numFmtId="0" fontId="134" fillId="0" borderId="72" xfId="0" applyFont="1" applyBorder="1" applyAlignment="1">
      <alignment horizontal="center" vertical="center"/>
    </xf>
    <xf numFmtId="169" fontId="111" fillId="21" borderId="30" xfId="0" applyNumberFormat="1" applyFont="1" applyFill="1" applyBorder="1" applyAlignment="1">
      <alignment horizontal="center" vertical="center"/>
    </xf>
    <xf numFmtId="2" fontId="61" fillId="25" borderId="30" xfId="0" applyNumberFormat="1" applyFont="1" applyFill="1" applyBorder="1" applyAlignment="1">
      <alignment horizontal="center" vertical="center"/>
    </xf>
    <xf numFmtId="2" fontId="111" fillId="21" borderId="38" xfId="0" applyNumberFormat="1" applyFont="1" applyFill="1" applyBorder="1" applyAlignment="1">
      <alignment horizontal="center"/>
    </xf>
    <xf numFmtId="1" fontId="6" fillId="21" borderId="5" xfId="0" applyNumberFormat="1" applyFont="1" applyFill="1" applyBorder="1" applyAlignment="1">
      <alignment horizontal="center" vertical="center"/>
    </xf>
    <xf numFmtId="0" fontId="11" fillId="21" borderId="10" xfId="0" applyFont="1" applyFill="1" applyBorder="1" applyAlignment="1">
      <alignment horizontal="center" vertical="center"/>
    </xf>
    <xf numFmtId="0" fontId="6" fillId="21" borderId="5" xfId="0" applyFont="1" applyFill="1" applyBorder="1" applyAlignment="1">
      <alignment horizontal="center" vertical="center"/>
    </xf>
    <xf numFmtId="0" fontId="75" fillId="21" borderId="3" xfId="0" quotePrefix="1" applyFont="1" applyFill="1" applyBorder="1" applyAlignment="1">
      <alignment horizontal="center" vertical="center"/>
    </xf>
    <xf numFmtId="0" fontId="11" fillId="21" borderId="41" xfId="0" applyFont="1" applyFill="1" applyBorder="1" applyAlignment="1">
      <alignment horizontal="center" vertical="center"/>
    </xf>
    <xf numFmtId="0" fontId="75" fillId="21" borderId="59" xfId="0" applyFont="1" applyFill="1" applyBorder="1" applyAlignment="1">
      <alignment horizontal="center" vertical="center"/>
    </xf>
    <xf numFmtId="0" fontId="11" fillId="21" borderId="23" xfId="0" applyFont="1" applyFill="1" applyBorder="1" applyAlignment="1">
      <alignment horizontal="center" vertical="center"/>
    </xf>
    <xf numFmtId="0" fontId="75" fillId="21" borderId="44" xfId="0" applyFont="1" applyFill="1" applyBorder="1" applyAlignment="1">
      <alignment horizontal="center" vertical="center" wrapText="1"/>
    </xf>
    <xf numFmtId="0" fontId="75" fillId="21" borderId="47" xfId="0" quotePrefix="1" applyFont="1" applyFill="1" applyBorder="1" applyAlignment="1">
      <alignment horizontal="center" vertical="center"/>
    </xf>
    <xf numFmtId="0" fontId="75" fillId="21" borderId="51" xfId="0" quotePrefix="1" applyFont="1" applyFill="1" applyBorder="1" applyAlignment="1">
      <alignment horizontal="center" vertical="center"/>
    </xf>
    <xf numFmtId="0" fontId="11" fillId="21" borderId="30" xfId="0" applyFont="1" applyFill="1" applyBorder="1" applyAlignment="1">
      <alignment horizontal="center" vertical="center"/>
    </xf>
    <xf numFmtId="1" fontId="75" fillId="21" borderId="32" xfId="0" applyNumberFormat="1" applyFont="1" applyFill="1" applyBorder="1" applyAlignment="1">
      <alignment horizontal="center" vertical="center"/>
    </xf>
    <xf numFmtId="1" fontId="74" fillId="21" borderId="5" xfId="0" applyNumberFormat="1" applyFont="1" applyFill="1" applyBorder="1" applyAlignment="1">
      <alignment horizontal="center" vertical="center"/>
    </xf>
    <xf numFmtId="1" fontId="6" fillId="21" borderId="41" xfId="0" applyNumberFormat="1" applyFont="1" applyFill="1" applyBorder="1" applyAlignment="1">
      <alignment horizontal="center" vertical="center"/>
    </xf>
    <xf numFmtId="1" fontId="6" fillId="21" borderId="14" xfId="0" applyNumberFormat="1" applyFont="1" applyFill="1" applyBorder="1" applyAlignment="1">
      <alignment horizontal="center" vertical="center"/>
    </xf>
    <xf numFmtId="1" fontId="11" fillId="21" borderId="45" xfId="0" applyNumberFormat="1" applyFont="1" applyFill="1" applyBorder="1" applyAlignment="1">
      <alignment horizontal="center" vertical="center"/>
    </xf>
    <xf numFmtId="169" fontId="11" fillId="21" borderId="10" xfId="0" applyNumberFormat="1" applyFont="1" applyFill="1" applyBorder="1" applyAlignment="1">
      <alignment horizontal="center" vertical="center"/>
    </xf>
    <xf numFmtId="1" fontId="75" fillId="21" borderId="29" xfId="0" quotePrefix="1" applyNumberFormat="1" applyFont="1" applyFill="1" applyBorder="1" applyAlignment="1">
      <alignment horizontal="center" vertical="center"/>
    </xf>
    <xf numFmtId="169" fontId="11" fillId="21" borderId="30" xfId="0" applyNumberFormat="1" applyFont="1" applyFill="1" applyBorder="1" applyAlignment="1">
      <alignment horizontal="center" vertical="center"/>
    </xf>
    <xf numFmtId="2" fontId="11" fillId="21" borderId="10" xfId="0" applyNumberFormat="1" applyFont="1" applyFill="1" applyBorder="1" applyAlignment="1">
      <alignment horizontal="center" vertical="center"/>
    </xf>
    <xf numFmtId="2" fontId="11" fillId="21" borderId="29" xfId="0" applyNumberFormat="1" applyFont="1" applyFill="1" applyBorder="1" applyAlignment="1">
      <alignment horizontal="center" vertical="center"/>
    </xf>
    <xf numFmtId="171" fontId="11" fillId="21" borderId="45" xfId="0" applyNumberFormat="1" applyFont="1" applyFill="1" applyBorder="1" applyAlignment="1">
      <alignment horizontal="center" vertical="center"/>
    </xf>
    <xf numFmtId="171" fontId="11" fillId="21" borderId="23" xfId="0" applyNumberFormat="1" applyFont="1" applyFill="1" applyBorder="1" applyAlignment="1">
      <alignment horizontal="center" vertical="center"/>
    </xf>
    <xf numFmtId="171" fontId="11" fillId="21" borderId="42" xfId="0" applyNumberFormat="1" applyFont="1" applyFill="1" applyBorder="1" applyAlignment="1">
      <alignment horizontal="center" vertical="center"/>
    </xf>
    <xf numFmtId="0" fontId="11" fillId="21" borderId="33" xfId="0" applyFont="1" applyFill="1" applyBorder="1" applyAlignment="1">
      <alignment vertical="center"/>
    </xf>
    <xf numFmtId="2" fontId="6" fillId="21" borderId="41" xfId="0" applyNumberFormat="1" applyFont="1" applyFill="1" applyBorder="1" applyAlignment="1">
      <alignment horizontal="center" vertical="center"/>
    </xf>
    <xf numFmtId="2" fontId="6" fillId="21" borderId="10" xfId="0" applyNumberFormat="1" applyFont="1" applyFill="1" applyBorder="1" applyAlignment="1">
      <alignment horizontal="center" vertical="center"/>
    </xf>
    <xf numFmtId="2" fontId="6" fillId="21" borderId="14" xfId="0" applyNumberFormat="1" applyFont="1" applyFill="1" applyBorder="1" applyAlignment="1">
      <alignment horizontal="center" vertical="center"/>
    </xf>
    <xf numFmtId="0" fontId="75" fillId="21" borderId="92" xfId="0" applyFont="1" applyFill="1" applyBorder="1" applyAlignment="1">
      <alignment vertical="center"/>
    </xf>
    <xf numFmtId="0" fontId="75" fillId="21" borderId="46" xfId="0" applyFont="1" applyFill="1" applyBorder="1" applyAlignment="1">
      <alignment vertical="center"/>
    </xf>
    <xf numFmtId="0" fontId="75" fillId="21" borderId="14" xfId="0" applyFont="1" applyFill="1" applyBorder="1" applyAlignment="1">
      <alignment vertical="center"/>
    </xf>
    <xf numFmtId="2" fontId="11" fillId="21" borderId="23" xfId="0" applyNumberFormat="1" applyFont="1" applyFill="1" applyBorder="1" applyAlignment="1">
      <alignment horizontal="center" vertical="center"/>
    </xf>
    <xf numFmtId="1" fontId="11" fillId="25" borderId="29" xfId="0" applyNumberFormat="1" applyFont="1" applyFill="1" applyBorder="1" applyAlignment="1">
      <alignment horizontal="center" vertical="center"/>
    </xf>
    <xf numFmtId="0" fontId="6" fillId="25" borderId="44" xfId="0" applyFont="1" applyFill="1" applyBorder="1" applyAlignment="1">
      <alignment vertical="center" wrapText="1"/>
    </xf>
    <xf numFmtId="0" fontId="6" fillId="25" borderId="24" xfId="0" applyFont="1" applyFill="1" applyBorder="1" applyAlignment="1">
      <alignment vertical="center" wrapText="1"/>
    </xf>
    <xf numFmtId="0" fontId="74" fillId="25" borderId="24" xfId="0" applyFont="1" applyFill="1" applyBorder="1" applyAlignment="1">
      <alignment vertical="center" wrapText="1"/>
    </xf>
    <xf numFmtId="0" fontId="166" fillId="25" borderId="6" xfId="0" applyFont="1" applyFill="1" applyBorder="1" applyAlignment="1">
      <alignment vertical="center"/>
    </xf>
    <xf numFmtId="0" fontId="8" fillId="25" borderId="29" xfId="0" applyFont="1" applyFill="1" applyBorder="1" applyAlignment="1">
      <alignment vertical="center"/>
    </xf>
    <xf numFmtId="0" fontId="166" fillId="25" borderId="47" xfId="0" applyFont="1" applyFill="1" applyBorder="1" applyAlignment="1">
      <alignment vertical="center"/>
    </xf>
    <xf numFmtId="0" fontId="8" fillId="25" borderId="6" xfId="0" applyFont="1" applyFill="1" applyBorder="1" applyAlignment="1">
      <alignment vertical="center"/>
    </xf>
    <xf numFmtId="0" fontId="52" fillId="25" borderId="0" xfId="0" applyFont="1" applyFill="1" applyBorder="1" applyAlignment="1">
      <alignment horizontal="center" vertical="center"/>
    </xf>
    <xf numFmtId="171" fontId="11" fillId="25" borderId="0" xfId="0" applyNumberFormat="1" applyFont="1" applyFill="1" applyBorder="1" applyAlignment="1">
      <alignment horizontal="center" vertical="center"/>
    </xf>
    <xf numFmtId="1" fontId="11" fillId="21" borderId="29" xfId="0" applyNumberFormat="1" applyFont="1" applyFill="1" applyBorder="1" applyAlignment="1">
      <alignment horizontal="center" vertical="center"/>
    </xf>
    <xf numFmtId="0" fontId="175" fillId="25" borderId="0" xfId="0" applyFont="1" applyFill="1"/>
    <xf numFmtId="0" fontId="74" fillId="25" borderId="44" xfId="0" applyFont="1" applyFill="1" applyBorder="1" applyAlignment="1">
      <alignment vertical="center"/>
    </xf>
    <xf numFmtId="0" fontId="74" fillId="25" borderId="63" xfId="0" applyFont="1" applyFill="1" applyBorder="1" applyAlignment="1">
      <alignment vertical="center"/>
    </xf>
    <xf numFmtId="0" fontId="170" fillId="0" borderId="63" xfId="0" applyFont="1" applyBorder="1" applyAlignment="1">
      <alignment horizontal="left"/>
    </xf>
    <xf numFmtId="0" fontId="170" fillId="0" borderId="41" xfId="0" applyFont="1" applyBorder="1" applyAlignment="1">
      <alignment horizontal="center"/>
    </xf>
    <xf numFmtId="0" fontId="10" fillId="0" borderId="32" xfId="0" applyFont="1" applyBorder="1" applyAlignment="1">
      <alignment horizontal="left" vertical="center"/>
    </xf>
    <xf numFmtId="0" fontId="170" fillId="25" borderId="0" xfId="0" applyFont="1" applyFill="1" applyAlignment="1">
      <alignment horizontal="center"/>
    </xf>
    <xf numFmtId="0" fontId="170" fillId="25" borderId="0" xfId="0" applyFont="1" applyFill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16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18" borderId="0" xfId="0" applyFill="1" applyAlignment="1">
      <alignment wrapText="1"/>
    </xf>
    <xf numFmtId="0" fontId="0" fillId="25" borderId="0" xfId="0" applyFill="1" applyAlignment="1">
      <alignment wrapText="1"/>
    </xf>
    <xf numFmtId="0" fontId="151" fillId="0" borderId="53" xfId="0" applyFont="1" applyBorder="1" applyAlignment="1">
      <alignment vertical="center"/>
    </xf>
    <xf numFmtId="0" fontId="119" fillId="25" borderId="32" xfId="0" applyFont="1" applyFill="1" applyBorder="1" applyAlignment="1">
      <alignment horizontal="center" vertical="center"/>
    </xf>
    <xf numFmtId="0" fontId="119" fillId="25" borderId="3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1" fontId="54" fillId="25" borderId="44" xfId="0" applyNumberFormat="1" applyFont="1" applyFill="1" applyBorder="1" applyAlignment="1">
      <alignment horizontal="center" vertical="center"/>
    </xf>
    <xf numFmtId="1" fontId="54" fillId="25" borderId="61" xfId="0" applyNumberFormat="1" applyFont="1" applyFill="1" applyBorder="1" applyAlignment="1">
      <alignment horizontal="center" vertical="center"/>
    </xf>
    <xf numFmtId="1" fontId="54" fillId="25" borderId="52" xfId="0" applyNumberFormat="1" applyFont="1" applyFill="1" applyBorder="1" applyAlignment="1">
      <alignment horizontal="center" vertical="center"/>
    </xf>
    <xf numFmtId="1" fontId="54" fillId="25" borderId="50" xfId="0" applyNumberFormat="1" applyFont="1" applyFill="1" applyBorder="1" applyAlignment="1">
      <alignment horizontal="center" vertical="center"/>
    </xf>
    <xf numFmtId="0" fontId="206" fillId="52" borderId="109" xfId="189" applyFont="1" applyFill="1" applyBorder="1" applyAlignment="1">
      <alignment horizontal="center" vertical="center"/>
    </xf>
    <xf numFmtId="0" fontId="206" fillId="52" borderId="39" xfId="189" applyFont="1" applyFill="1" applyBorder="1" applyAlignment="1">
      <alignment horizontal="center" vertical="center"/>
    </xf>
    <xf numFmtId="0" fontId="206" fillId="52" borderId="56" xfId="189" applyFont="1" applyFill="1" applyBorder="1" applyAlignment="1">
      <alignment horizontal="center" vertical="center"/>
    </xf>
    <xf numFmtId="0" fontId="206" fillId="52" borderId="21" xfId="189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1" fontId="34" fillId="25" borderId="12" xfId="0" applyNumberFormat="1" applyFont="1" applyFill="1" applyBorder="1" applyAlignment="1">
      <alignment horizontal="center" vertical="center"/>
    </xf>
    <xf numFmtId="0" fontId="0" fillId="18" borderId="0" xfId="0" applyFill="1" applyAlignment="1">
      <alignment horizontal="left" wrapText="1"/>
    </xf>
    <xf numFmtId="0" fontId="165" fillId="0" borderId="0" xfId="0" applyFont="1" applyAlignment="1">
      <alignment horizontal="left" wrapText="1"/>
    </xf>
    <xf numFmtId="0" fontId="0" fillId="18" borderId="0" xfId="0" applyFill="1" applyAlignment="1">
      <alignment horizontal="left"/>
    </xf>
    <xf numFmtId="1" fontId="0" fillId="14" borderId="10" xfId="0" applyNumberFormat="1" applyFill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1" fontId="138" fillId="19" borderId="9" xfId="0" applyNumberFormat="1" applyFont="1" applyFill="1" applyBorder="1" applyAlignment="1">
      <alignment horizontal="center" vertical="center"/>
    </xf>
    <xf numFmtId="1" fontId="138" fillId="19" borderId="36" xfId="0" applyNumberFormat="1" applyFont="1" applyFill="1" applyBorder="1" applyAlignment="1">
      <alignment horizontal="center" vertical="center"/>
    </xf>
    <xf numFmtId="1" fontId="138" fillId="19" borderId="8" xfId="0" applyNumberFormat="1" applyFont="1" applyFill="1" applyBorder="1" applyAlignment="1">
      <alignment horizontal="center" vertical="center"/>
    </xf>
    <xf numFmtId="1" fontId="125" fillId="0" borderId="62" xfId="0" applyNumberFormat="1" applyFont="1" applyBorder="1" applyAlignment="1">
      <alignment horizontal="center" vertical="center"/>
    </xf>
    <xf numFmtId="1" fontId="138" fillId="19" borderId="29" xfId="0" applyNumberFormat="1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0" fontId="138" fillId="25" borderId="36" xfId="0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1" fontId="207" fillId="0" borderId="8" xfId="189" applyNumberFormat="1" applyFont="1" applyFill="1" applyBorder="1" applyAlignment="1">
      <alignment horizontal="center" vertical="center"/>
    </xf>
    <xf numFmtId="1" fontId="206" fillId="25" borderId="4" xfId="189" applyNumberFormat="1" applyFont="1" applyFill="1" applyBorder="1" applyAlignment="1">
      <alignment horizontal="center" vertical="center"/>
    </xf>
    <xf numFmtId="0" fontId="206" fillId="52" borderId="74" xfId="189" applyFont="1" applyFill="1" applyBorder="1" applyAlignment="1">
      <alignment horizontal="center" vertical="center"/>
    </xf>
    <xf numFmtId="0" fontId="206" fillId="52" borderId="46" xfId="189" applyFont="1" applyFill="1" applyBorder="1" applyAlignment="1">
      <alignment horizontal="center" vertical="center"/>
    </xf>
    <xf numFmtId="0" fontId="206" fillId="52" borderId="64" xfId="189" applyFont="1" applyFill="1" applyBorder="1" applyAlignment="1">
      <alignment horizontal="center" vertical="center"/>
    </xf>
    <xf numFmtId="17" fontId="206" fillId="0" borderId="40" xfId="189" applyNumberFormat="1" applyFont="1" applyFill="1" applyBorder="1" applyAlignment="1">
      <alignment horizontal="left" vertical="center"/>
    </xf>
    <xf numFmtId="0" fontId="206" fillId="26" borderId="40" xfId="189" applyFont="1" applyFill="1" applyBorder="1" applyAlignment="1">
      <alignment horizontal="center" vertical="center"/>
    </xf>
    <xf numFmtId="0" fontId="206" fillId="52" borderId="55" xfId="189" applyFont="1" applyFill="1" applyBorder="1" applyAlignment="1">
      <alignment vertical="center"/>
    </xf>
    <xf numFmtId="0" fontId="206" fillId="52" borderId="4" xfId="189" applyFont="1" applyFill="1" applyBorder="1" applyAlignment="1">
      <alignment horizontal="center" vertical="center" wrapText="1"/>
    </xf>
    <xf numFmtId="1" fontId="207" fillId="0" borderId="38" xfId="189" applyNumberFormat="1" applyFont="1" applyFill="1" applyBorder="1" applyAlignment="1">
      <alignment horizontal="center" vertical="center"/>
    </xf>
    <xf numFmtId="1" fontId="138" fillId="19" borderId="3" xfId="0" applyNumberFormat="1" applyFont="1" applyFill="1" applyBorder="1" applyAlignment="1">
      <alignment horizontal="center" vertical="center"/>
    </xf>
    <xf numFmtId="169" fontId="111" fillId="19" borderId="10" xfId="0" applyNumberFormat="1" applyFont="1" applyFill="1" applyBorder="1" applyAlignment="1">
      <alignment horizontal="center" vertical="center"/>
    </xf>
    <xf numFmtId="1" fontId="112" fillId="25" borderId="6" xfId="0" applyNumberFormat="1" applyFont="1" applyFill="1" applyBorder="1" applyAlignment="1">
      <alignment vertical="center"/>
    </xf>
    <xf numFmtId="1" fontId="109" fillId="19" borderId="1" xfId="0" applyNumberFormat="1" applyFont="1" applyFill="1" applyBorder="1" applyAlignment="1">
      <alignment horizontal="center" vertical="center"/>
    </xf>
    <xf numFmtId="1" fontId="134" fillId="25" borderId="6" xfId="0" applyNumberFormat="1" applyFont="1" applyFill="1" applyBorder="1" applyAlignment="1">
      <alignment vertical="center"/>
    </xf>
    <xf numFmtId="171" fontId="112" fillId="19" borderId="31" xfId="0" applyNumberFormat="1" applyFont="1" applyFill="1" applyBorder="1" applyAlignment="1">
      <alignment horizontal="center" vertical="center"/>
    </xf>
    <xf numFmtId="169" fontId="138" fillId="19" borderId="10" xfId="0" applyNumberFormat="1" applyFont="1" applyFill="1" applyBorder="1" applyAlignment="1">
      <alignment horizontal="center" vertical="center"/>
    </xf>
    <xf numFmtId="1" fontId="111" fillId="19" borderId="9" xfId="0" applyNumberFormat="1" applyFont="1" applyFill="1" applyBorder="1" applyAlignment="1">
      <alignment horizontal="center" vertical="center"/>
    </xf>
    <xf numFmtId="2" fontId="138" fillId="19" borderId="17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138" fillId="25" borderId="62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2" fontId="36" fillId="27" borderId="46" xfId="0" applyNumberFormat="1" applyFont="1" applyFill="1" applyBorder="1" applyAlignment="1">
      <alignment horizontal="center" vertical="center"/>
    </xf>
    <xf numFmtId="2" fontId="34" fillId="14" borderId="40" xfId="0" applyNumberFormat="1" applyFont="1" applyFill="1" applyBorder="1" applyAlignment="1">
      <alignment horizontal="center" vertical="center"/>
    </xf>
    <xf numFmtId="2" fontId="34" fillId="14" borderId="35" xfId="0" applyNumberFormat="1" applyFont="1" applyFill="1" applyBorder="1" applyAlignment="1">
      <alignment horizontal="center" vertical="center"/>
    </xf>
    <xf numFmtId="2" fontId="138" fillId="0" borderId="36" xfId="0" applyNumberFormat="1" applyFont="1" applyBorder="1" applyAlignment="1">
      <alignment horizontal="center" vertical="center"/>
    </xf>
    <xf numFmtId="1" fontId="38" fillId="17" borderId="22" xfId="0" applyNumberFormat="1" applyFont="1" applyFill="1" applyBorder="1" applyAlignment="1">
      <alignment horizontal="center" vertical="center"/>
    </xf>
    <xf numFmtId="0" fontId="0" fillId="0" borderId="0" xfId="0"/>
    <xf numFmtId="1" fontId="125" fillId="0" borderId="10" xfId="0" applyNumberFormat="1" applyFont="1" applyBorder="1" applyAlignment="1">
      <alignment horizontal="center" vertical="center"/>
    </xf>
    <xf numFmtId="169" fontId="111" fillId="21" borderId="48" xfId="0" applyNumberFormat="1" applyFont="1" applyFill="1" applyBorder="1" applyAlignment="1">
      <alignment horizontal="center" vertical="center"/>
    </xf>
    <xf numFmtId="1" fontId="74" fillId="21" borderId="92" xfId="0" applyNumberFormat="1" applyFont="1" applyFill="1" applyBorder="1" applyAlignment="1">
      <alignment horizontal="center" vertical="center"/>
    </xf>
    <xf numFmtId="169" fontId="6" fillId="21" borderId="67" xfId="0" applyNumberFormat="1" applyFont="1" applyFill="1" applyBorder="1" applyAlignment="1">
      <alignment horizontal="center" vertical="center"/>
    </xf>
    <xf numFmtId="169" fontId="111" fillId="21" borderId="37" xfId="0" applyNumberFormat="1" applyFont="1" applyFill="1" applyBorder="1" applyAlignment="1">
      <alignment horizontal="center" vertical="center"/>
    </xf>
    <xf numFmtId="169" fontId="111" fillId="19" borderId="48" xfId="0" applyNumberFormat="1" applyFont="1" applyFill="1" applyBorder="1" applyAlignment="1">
      <alignment horizontal="center" vertical="center"/>
    </xf>
    <xf numFmtId="1" fontId="74" fillId="19" borderId="92" xfId="0" applyNumberFormat="1" applyFont="1" applyFill="1" applyBorder="1" applyAlignment="1">
      <alignment horizontal="center" vertical="center"/>
    </xf>
    <xf numFmtId="169" fontId="6" fillId="19" borderId="67" xfId="0" applyNumberFormat="1" applyFont="1" applyFill="1" applyBorder="1" applyAlignment="1">
      <alignment horizontal="center" vertical="center"/>
    </xf>
    <xf numFmtId="169" fontId="111" fillId="19" borderId="37" xfId="0" applyNumberFormat="1" applyFont="1" applyFill="1" applyBorder="1" applyAlignment="1">
      <alignment horizontal="center" vertical="center"/>
    </xf>
    <xf numFmtId="1" fontId="74" fillId="19" borderId="5" xfId="0" applyNumberFormat="1" applyFont="1" applyFill="1" applyBorder="1" applyAlignment="1">
      <alignment horizontal="center" vertical="center"/>
    </xf>
    <xf numFmtId="1" fontId="6" fillId="25" borderId="68" xfId="0" applyNumberFormat="1" applyFont="1" applyFill="1" applyBorder="1" applyAlignment="1">
      <alignment horizontal="center"/>
    </xf>
    <xf numFmtId="1" fontId="11" fillId="19" borderId="72" xfId="0" applyNumberFormat="1" applyFont="1" applyFill="1" applyBorder="1" applyAlignment="1">
      <alignment horizontal="center" vertical="center"/>
    </xf>
    <xf numFmtId="1" fontId="6" fillId="19" borderId="11" xfId="0" applyNumberFormat="1" applyFont="1" applyFill="1" applyBorder="1" applyAlignment="1">
      <alignment horizontal="center" vertical="center"/>
    </xf>
    <xf numFmtId="1" fontId="6" fillId="19" borderId="73" xfId="0" applyNumberFormat="1" applyFont="1" applyFill="1" applyBorder="1" applyAlignment="1">
      <alignment horizontal="center" vertical="center"/>
    </xf>
    <xf numFmtId="1" fontId="11" fillId="19" borderId="53" xfId="0" applyNumberFormat="1" applyFont="1" applyFill="1" applyBorder="1" applyAlignment="1">
      <alignment horizontal="center" vertical="center"/>
    </xf>
    <xf numFmtId="1" fontId="6" fillId="19" borderId="17" xfId="0" applyNumberFormat="1" applyFont="1" applyFill="1" applyBorder="1" applyAlignment="1">
      <alignment horizontal="center" vertical="center"/>
    </xf>
    <xf numFmtId="1" fontId="6" fillId="19" borderId="72" xfId="0" applyNumberFormat="1" applyFont="1" applyFill="1" applyBorder="1" applyAlignment="1">
      <alignment horizontal="center" vertical="center"/>
    </xf>
    <xf numFmtId="1" fontId="6" fillId="19" borderId="21" xfId="0" applyNumberFormat="1" applyFont="1" applyFill="1" applyBorder="1" applyAlignment="1">
      <alignment horizontal="center" vertical="center"/>
    </xf>
    <xf numFmtId="1" fontId="74" fillId="19" borderId="1" xfId="0" quotePrefix="1" applyNumberFormat="1" applyFont="1" applyFill="1" applyBorder="1" applyAlignment="1">
      <alignment horizontal="center" vertical="center"/>
    </xf>
    <xf numFmtId="169" fontId="6" fillId="19" borderId="73" xfId="0" applyNumberFormat="1" applyFont="1" applyFill="1" applyBorder="1" applyAlignment="1">
      <alignment horizontal="center" vertical="center"/>
    </xf>
    <xf numFmtId="1" fontId="6" fillId="19" borderId="19" xfId="0" applyNumberFormat="1" applyFont="1" applyFill="1" applyBorder="1" applyAlignment="1">
      <alignment horizontal="center" vertical="center"/>
    </xf>
    <xf numFmtId="1" fontId="75" fillId="19" borderId="10" xfId="0" applyNumberFormat="1" applyFont="1" applyFill="1" applyBorder="1" applyAlignment="1">
      <alignment vertical="center"/>
    </xf>
    <xf numFmtId="1" fontId="74" fillId="19" borderId="39" xfId="0" applyNumberFormat="1" applyFont="1" applyFill="1" applyBorder="1" applyAlignment="1">
      <alignment horizontal="center" vertical="center"/>
    </xf>
    <xf numFmtId="1" fontId="202" fillId="19" borderId="42" xfId="0" applyNumberFormat="1" applyFont="1" applyFill="1" applyBorder="1"/>
    <xf numFmtId="1" fontId="6" fillId="19" borderId="33" xfId="0" applyNumberFormat="1" applyFont="1" applyFill="1" applyBorder="1" applyAlignment="1">
      <alignment horizontal="center"/>
    </xf>
    <xf numFmtId="1" fontId="11" fillId="19" borderId="41" xfId="0" applyNumberFormat="1" applyFont="1" applyFill="1" applyBorder="1" applyAlignment="1">
      <alignment horizontal="center" vertical="center"/>
    </xf>
    <xf numFmtId="0" fontId="166" fillId="25" borderId="44" xfId="0" applyFont="1" applyFill="1" applyBorder="1" applyAlignment="1">
      <alignment vertical="center"/>
    </xf>
    <xf numFmtId="1" fontId="8" fillId="25" borderId="24" xfId="0" applyNumberFormat="1" applyFont="1" applyFill="1" applyBorder="1" applyAlignment="1">
      <alignment vertical="center"/>
    </xf>
    <xf numFmtId="0" fontId="8" fillId="25" borderId="24" xfId="0" applyFont="1" applyFill="1" applyBorder="1" applyAlignment="1">
      <alignment vertical="center"/>
    </xf>
    <xf numFmtId="0" fontId="114" fillId="25" borderId="47" xfId="0" applyFont="1" applyFill="1" applyBorder="1" applyAlignment="1">
      <alignment vertical="center"/>
    </xf>
    <xf numFmtId="0" fontId="74" fillId="25" borderId="47" xfId="0" applyFont="1" applyFill="1" applyBorder="1" applyAlignment="1">
      <alignment vertical="center"/>
    </xf>
    <xf numFmtId="1" fontId="74" fillId="25" borderId="44" xfId="0" applyNumberFormat="1" applyFont="1" applyFill="1" applyBorder="1" applyAlignment="1">
      <alignment vertical="center"/>
    </xf>
    <xf numFmtId="0" fontId="7" fillId="25" borderId="25" xfId="0" applyFont="1" applyFill="1" applyBorder="1" applyAlignment="1">
      <alignment vertical="center"/>
    </xf>
    <xf numFmtId="0" fontId="8" fillId="25" borderId="55" xfId="0" applyFont="1" applyFill="1" applyBorder="1" applyAlignment="1">
      <alignment vertical="center"/>
    </xf>
    <xf numFmtId="0" fontId="166" fillId="25" borderId="55" xfId="0" applyFont="1" applyFill="1" applyBorder="1" applyAlignment="1">
      <alignment vertical="center"/>
    </xf>
    <xf numFmtId="0" fontId="215" fillId="25" borderId="47" xfId="0" applyFont="1" applyFill="1" applyBorder="1" applyAlignment="1">
      <alignment vertical="center"/>
    </xf>
    <xf numFmtId="0" fontId="202" fillId="25" borderId="0" xfId="0" applyFont="1" applyFill="1"/>
    <xf numFmtId="0" fontId="7" fillId="25" borderId="44" xfId="0" applyFont="1" applyFill="1" applyBorder="1" applyAlignment="1">
      <alignment horizontal="left" vertical="center" wrapText="1"/>
    </xf>
    <xf numFmtId="0" fontId="74" fillId="25" borderId="44" xfId="0" applyFont="1" applyFill="1" applyBorder="1"/>
    <xf numFmtId="0" fontId="8" fillId="25" borderId="44" xfId="0" applyFont="1" applyFill="1" applyBorder="1" applyAlignment="1">
      <alignment vertical="center"/>
    </xf>
    <xf numFmtId="0" fontId="166" fillId="25" borderId="44" xfId="0" applyFont="1" applyFill="1" applyBorder="1"/>
    <xf numFmtId="0" fontId="8" fillId="25" borderId="24" xfId="0" applyFont="1" applyFill="1" applyBorder="1"/>
    <xf numFmtId="0" fontId="166" fillId="25" borderId="24" xfId="0" applyFont="1" applyFill="1" applyBorder="1"/>
    <xf numFmtId="0" fontId="8" fillId="25" borderId="47" xfId="0" applyFont="1" applyFill="1" applyBorder="1" applyAlignment="1">
      <alignment vertical="center"/>
    </xf>
    <xf numFmtId="0" fontId="0" fillId="0" borderId="0" xfId="0"/>
    <xf numFmtId="1" fontId="138" fillId="0" borderId="34" xfId="0" applyNumberFormat="1" applyFont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1" fontId="75" fillId="0" borderId="29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1" fontId="75" fillId="25" borderId="31" xfId="0" applyNumberFormat="1" applyFont="1" applyFill="1" applyBorder="1" applyAlignment="1">
      <alignment horizontal="center" vertical="center"/>
    </xf>
    <xf numFmtId="0" fontId="75" fillId="0" borderId="62" xfId="0" applyFont="1" applyBorder="1" applyAlignment="1">
      <alignment horizontal="center" vertical="center"/>
    </xf>
    <xf numFmtId="1" fontId="75" fillId="25" borderId="2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38" fillId="0" borderId="8" xfId="0" applyNumberFormat="1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19" borderId="10" xfId="0" applyNumberFormat="1" applyFont="1" applyFill="1" applyBorder="1" applyAlignment="1">
      <alignment horizontal="center" vertical="center"/>
    </xf>
    <xf numFmtId="1" fontId="125" fillId="0" borderId="10" xfId="0" applyNumberFormat="1" applyFont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25" fillId="19" borderId="10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0" fontId="138" fillId="25" borderId="36" xfId="0" applyFont="1" applyFill="1" applyBorder="1" applyAlignment="1">
      <alignment horizontal="center" vertical="center"/>
    </xf>
    <xf numFmtId="169" fontId="138" fillId="25" borderId="62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169" fontId="125" fillId="25" borderId="10" xfId="0" applyNumberFormat="1" applyFont="1" applyFill="1" applyBorder="1" applyAlignment="1">
      <alignment horizontal="center" vertical="center"/>
    </xf>
    <xf numFmtId="2" fontId="138" fillId="21" borderId="38" xfId="0" applyNumberFormat="1" applyFont="1" applyFill="1" applyBorder="1" applyAlignment="1">
      <alignment horizontal="center"/>
    </xf>
    <xf numFmtId="2" fontId="36" fillId="17" borderId="8" xfId="0" quotePrefix="1" applyNumberFormat="1" applyFont="1" applyFill="1" applyBorder="1" applyAlignment="1">
      <alignment horizontal="center" vertical="center"/>
    </xf>
    <xf numFmtId="0" fontId="112" fillId="19" borderId="13" xfId="0" applyFont="1" applyFill="1" applyBorder="1" applyAlignment="1">
      <alignment horizontal="center" vertical="center"/>
    </xf>
    <xf numFmtId="1" fontId="6" fillId="0" borderId="37" xfId="0" applyNumberFormat="1" applyFont="1" applyBorder="1" applyAlignment="1">
      <alignment horizontal="center" vertical="center"/>
    </xf>
    <xf numFmtId="0" fontId="112" fillId="19" borderId="54" xfId="0" applyFont="1" applyFill="1" applyBorder="1" applyAlignment="1">
      <alignment horizontal="center" vertical="center"/>
    </xf>
    <xf numFmtId="1" fontId="109" fillId="0" borderId="7" xfId="0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119" fillId="19" borderId="17" xfId="0" applyFont="1" applyFill="1" applyBorder="1" applyAlignment="1">
      <alignment horizontal="center" vertical="center"/>
    </xf>
    <xf numFmtId="0" fontId="113" fillId="19" borderId="17" xfId="0" applyFont="1" applyFill="1" applyBorder="1" applyAlignment="1">
      <alignment horizontal="center"/>
    </xf>
    <xf numFmtId="0" fontId="0" fillId="19" borderId="17" xfId="0" applyFill="1" applyBorder="1" applyAlignment="1">
      <alignment horizontal="center"/>
    </xf>
    <xf numFmtId="1" fontId="0" fillId="19" borderId="17" xfId="0" applyNumberFormat="1" applyFill="1" applyBorder="1" applyAlignment="1">
      <alignment horizontal="center"/>
    </xf>
    <xf numFmtId="1" fontId="113" fillId="19" borderId="17" xfId="0" applyNumberFormat="1" applyFont="1" applyFill="1" applyBorder="1" applyAlignment="1">
      <alignment horizontal="center"/>
    </xf>
    <xf numFmtId="1" fontId="125" fillId="19" borderId="17" xfId="0" applyNumberFormat="1" applyFont="1" applyFill="1" applyBorder="1" applyAlignment="1">
      <alignment horizontal="center" vertical="center"/>
    </xf>
    <xf numFmtId="1" fontId="108" fillId="19" borderId="17" xfId="0" applyNumberFormat="1" applyFont="1" applyFill="1" applyBorder="1" applyAlignment="1">
      <alignment horizontal="center"/>
    </xf>
    <xf numFmtId="1" fontId="0" fillId="19" borderId="33" xfId="0" applyNumberFormat="1" applyFill="1" applyBorder="1" applyAlignment="1">
      <alignment horizontal="center"/>
    </xf>
    <xf numFmtId="2" fontId="113" fillId="19" borderId="17" xfId="0" applyNumberFormat="1" applyFont="1" applyFill="1" applyBorder="1" applyAlignment="1">
      <alignment horizontal="center"/>
    </xf>
    <xf numFmtId="2" fontId="0" fillId="19" borderId="17" xfId="0" applyNumberFormat="1" applyFill="1" applyBorder="1" applyAlignment="1">
      <alignment horizontal="center"/>
    </xf>
    <xf numFmtId="2" fontId="125" fillId="19" borderId="17" xfId="0" applyNumberFormat="1" applyFont="1" applyFill="1" applyBorder="1" applyAlignment="1">
      <alignment horizontal="center" vertical="center"/>
    </xf>
    <xf numFmtId="2" fontId="108" fillId="19" borderId="17" xfId="0" applyNumberFormat="1" applyFont="1" applyFill="1" applyBorder="1" applyAlignment="1">
      <alignment horizontal="center"/>
    </xf>
    <xf numFmtId="2" fontId="0" fillId="19" borderId="33" xfId="0" applyNumberFormat="1" applyFill="1" applyBorder="1" applyAlignment="1">
      <alignment horizontal="center"/>
    </xf>
    <xf numFmtId="0" fontId="118" fillId="25" borderId="26" xfId="0" applyFont="1" applyFill="1" applyBorder="1" applyAlignment="1">
      <alignment horizontal="center" vertical="center"/>
    </xf>
    <xf numFmtId="0" fontId="149" fillId="25" borderId="26" xfId="0" applyFont="1" applyFill="1" applyBorder="1" applyAlignment="1">
      <alignment horizontal="center" vertical="center"/>
    </xf>
    <xf numFmtId="1" fontId="0" fillId="25" borderId="0" xfId="0" applyNumberFormat="1" applyFill="1" applyAlignment="1">
      <alignment horizontal="center"/>
    </xf>
    <xf numFmtId="169" fontId="111" fillId="0" borderId="11" xfId="0" applyNumberFormat="1" applyFont="1" applyBorder="1" applyAlignment="1">
      <alignment horizontal="center" vertical="center"/>
    </xf>
    <xf numFmtId="2" fontId="111" fillId="25" borderId="53" xfId="0" applyNumberFormat="1" applyFont="1" applyFill="1" applyBorder="1" applyAlignment="1">
      <alignment horizontal="center" vertical="center"/>
    </xf>
    <xf numFmtId="0" fontId="109" fillId="25" borderId="67" xfId="0" applyFont="1" applyFill="1" applyBorder="1" applyAlignment="1">
      <alignment horizontal="center" vertical="center"/>
    </xf>
    <xf numFmtId="1" fontId="113" fillId="25" borderId="17" xfId="0" applyNumberFormat="1" applyFont="1" applyFill="1" applyBorder="1" applyAlignment="1">
      <alignment horizontal="center"/>
    </xf>
    <xf numFmtId="171" fontId="11" fillId="19" borderId="42" xfId="0" applyNumberFormat="1" applyFont="1" applyFill="1" applyBorder="1" applyAlignment="1">
      <alignment horizontal="center" vertical="center"/>
    </xf>
    <xf numFmtId="171" fontId="11" fillId="19" borderId="17" xfId="0" applyNumberFormat="1" applyFont="1" applyFill="1" applyBorder="1" applyAlignment="1">
      <alignment horizontal="center" vertical="center"/>
    </xf>
    <xf numFmtId="0" fontId="11" fillId="19" borderId="33" xfId="0" applyFont="1" applyFill="1" applyBorder="1" applyAlignment="1">
      <alignment vertical="center"/>
    </xf>
    <xf numFmtId="0" fontId="11" fillId="19" borderId="63" xfId="0" applyFont="1" applyFill="1" applyBorder="1" applyAlignment="1">
      <alignment horizontal="left" vertical="center" wrapText="1"/>
    </xf>
    <xf numFmtId="0" fontId="11" fillId="19" borderId="31" xfId="0" applyFont="1" applyFill="1" applyBorder="1" applyAlignment="1">
      <alignment horizontal="left" vertical="center" wrapText="1"/>
    </xf>
    <xf numFmtId="0" fontId="11" fillId="19" borderId="32" xfId="0" applyFont="1" applyFill="1" applyBorder="1" applyAlignment="1">
      <alignment horizontal="left" vertical="center" wrapText="1"/>
    </xf>
    <xf numFmtId="1" fontId="138" fillId="25" borderId="62" xfId="0" quotePrefix="1" applyNumberFormat="1" applyFont="1" applyFill="1" applyBorder="1" applyAlignment="1">
      <alignment vertical="center"/>
    </xf>
    <xf numFmtId="1" fontId="138" fillId="25" borderId="74" xfId="0" quotePrefix="1" applyNumberFormat="1" applyFont="1" applyFill="1" applyBorder="1" applyAlignment="1">
      <alignment vertical="center"/>
    </xf>
    <xf numFmtId="169" fontId="138" fillId="25" borderId="62" xfId="0" applyNumberFormat="1" applyFont="1" applyFill="1" applyBorder="1" applyAlignment="1">
      <alignment vertical="center"/>
    </xf>
    <xf numFmtId="169" fontId="138" fillId="25" borderId="74" xfId="0" applyNumberFormat="1" applyFont="1" applyFill="1" applyBorder="1" applyAlignment="1">
      <alignment vertical="center"/>
    </xf>
    <xf numFmtId="169" fontId="138" fillId="25" borderId="152" xfId="0" applyNumberFormat="1" applyFont="1" applyFill="1" applyBorder="1" applyAlignment="1">
      <alignment vertical="center"/>
    </xf>
    <xf numFmtId="0" fontId="130" fillId="0" borderId="117" xfId="0" applyFont="1" applyBorder="1" applyAlignment="1"/>
    <xf numFmtId="2" fontId="138" fillId="21" borderId="76" xfId="0" applyNumberFormat="1" applyFont="1" applyFill="1" applyBorder="1" applyAlignment="1">
      <alignment horizontal="center" vertical="center"/>
    </xf>
    <xf numFmtId="0" fontId="109" fillId="19" borderId="17" xfId="0" applyFont="1" applyFill="1" applyBorder="1" applyAlignment="1">
      <alignment horizontal="center" vertical="center"/>
    </xf>
    <xf numFmtId="169" fontId="125" fillId="19" borderId="10" xfId="0" applyNumberFormat="1" applyFont="1" applyFill="1" applyBorder="1" applyAlignment="1">
      <alignment horizontal="center" vertical="center"/>
    </xf>
    <xf numFmtId="169" fontId="109" fillId="19" borderId="17" xfId="0" applyNumberFormat="1" applyFont="1" applyFill="1" applyBorder="1" applyAlignment="1">
      <alignment horizontal="center" vertical="center"/>
    </xf>
    <xf numFmtId="0" fontId="151" fillId="19" borderId="30" xfId="0" applyFont="1" applyFill="1" applyBorder="1" applyAlignment="1">
      <alignment vertical="center"/>
    </xf>
    <xf numFmtId="0" fontId="151" fillId="19" borderId="53" xfId="0" applyFont="1" applyFill="1" applyBorder="1" applyAlignment="1">
      <alignment vertical="center"/>
    </xf>
    <xf numFmtId="0" fontId="54" fillId="25" borderId="0" xfId="0" applyFont="1" applyFill="1" applyAlignment="1">
      <alignment vertical="center"/>
    </xf>
    <xf numFmtId="1" fontId="220" fillId="19" borderId="10" xfId="0" applyNumberFormat="1" applyFont="1" applyFill="1" applyBorder="1" applyAlignment="1">
      <alignment horizontal="center"/>
    </xf>
    <xf numFmtId="1" fontId="138" fillId="19" borderId="44" xfId="0" applyNumberFormat="1" applyFont="1" applyFill="1" applyBorder="1" applyAlignment="1">
      <alignment horizontal="center" vertical="center"/>
    </xf>
    <xf numFmtId="1" fontId="6" fillId="19" borderId="67" xfId="0" applyNumberFormat="1" applyFont="1" applyFill="1" applyBorder="1" applyAlignment="1">
      <alignment horizontal="center" vertical="center"/>
    </xf>
    <xf numFmtId="0" fontId="205" fillId="0" borderId="0" xfId="189" applyFill="1" applyBorder="1" applyAlignment="1">
      <alignment horizontal="center" vertical="top"/>
    </xf>
    <xf numFmtId="0" fontId="68" fillId="25" borderId="25" xfId="0" applyFont="1" applyFill="1" applyBorder="1" applyAlignment="1">
      <alignment vertical="center"/>
    </xf>
    <xf numFmtId="0" fontId="68" fillId="25" borderId="67" xfId="0" applyFont="1" applyFill="1" applyBorder="1" applyAlignment="1">
      <alignment horizontal="center" vertical="center"/>
    </xf>
    <xf numFmtId="169" fontId="109" fillId="25" borderId="4" xfId="0" applyNumberFormat="1" applyFont="1" applyFill="1" applyBorder="1" applyAlignment="1">
      <alignment horizontal="center" vertical="center"/>
    </xf>
    <xf numFmtId="0" fontId="120" fillId="25" borderId="52" xfId="0" applyFont="1" applyFill="1" applyBorder="1" applyAlignment="1">
      <alignment vertical="center"/>
    </xf>
    <xf numFmtId="0" fontId="120" fillId="25" borderId="48" xfId="0" applyFont="1" applyFill="1" applyBorder="1" applyAlignment="1">
      <alignment horizontal="center" vertical="center"/>
    </xf>
    <xf numFmtId="169" fontId="110" fillId="25" borderId="30" xfId="0" applyNumberFormat="1" applyFont="1" applyFill="1" applyBorder="1" applyAlignment="1">
      <alignment horizontal="center" vertical="center"/>
    </xf>
    <xf numFmtId="169" fontId="110" fillId="25" borderId="53" xfId="0" applyNumberFormat="1" applyFont="1" applyFill="1" applyBorder="1" applyAlignment="1">
      <alignment horizontal="center" vertical="center"/>
    </xf>
    <xf numFmtId="169" fontId="61" fillId="25" borderId="8" xfId="0" applyNumberFormat="1" applyFont="1" applyFill="1" applyBorder="1" applyAlignment="1">
      <alignment horizontal="center" vertical="center"/>
    </xf>
    <xf numFmtId="0" fontId="120" fillId="25" borderId="35" xfId="0" applyFont="1" applyFill="1" applyBorder="1" applyAlignment="1">
      <alignment vertical="center"/>
    </xf>
    <xf numFmtId="0" fontId="120" fillId="25" borderId="65" xfId="0" applyFont="1" applyFill="1" applyBorder="1" applyAlignment="1">
      <alignment horizontal="center" vertical="center"/>
    </xf>
    <xf numFmtId="169" fontId="110" fillId="25" borderId="45" xfId="0" applyNumberFormat="1" applyFont="1" applyFill="1" applyBorder="1" applyAlignment="1">
      <alignment horizontal="center" vertical="center"/>
    </xf>
    <xf numFmtId="169" fontId="110" fillId="25" borderId="72" xfId="0" applyNumberFormat="1" applyFont="1" applyFill="1" applyBorder="1" applyAlignment="1">
      <alignment horizontal="center" vertical="center"/>
    </xf>
    <xf numFmtId="169" fontId="109" fillId="25" borderId="1" xfId="0" applyNumberFormat="1" applyFont="1" applyFill="1" applyBorder="1" applyAlignment="1">
      <alignment horizontal="center" vertical="center"/>
    </xf>
    <xf numFmtId="0" fontId="68" fillId="25" borderId="1" xfId="0" applyFont="1" applyFill="1" applyBorder="1" applyAlignment="1">
      <alignment horizontal="left"/>
    </xf>
    <xf numFmtId="0" fontId="68" fillId="25" borderId="11" xfId="0" applyFont="1" applyFill="1" applyBorder="1" applyAlignment="1">
      <alignment horizontal="center" vertical="center"/>
    </xf>
    <xf numFmtId="2" fontId="109" fillId="25" borderId="5" xfId="0" applyNumberFormat="1" applyFont="1" applyFill="1" applyBorder="1" applyAlignment="1">
      <alignment horizontal="center" vertical="center"/>
    </xf>
    <xf numFmtId="2" fontId="125" fillId="25" borderId="4" xfId="0" applyNumberFormat="1" applyFont="1" applyFill="1" applyBorder="1" applyAlignment="1">
      <alignment horizontal="center" vertical="center"/>
    </xf>
    <xf numFmtId="170" fontId="118" fillId="0" borderId="10" xfId="0" applyNumberFormat="1" applyFont="1" applyBorder="1" applyAlignment="1">
      <alignment horizontal="left" vertical="center"/>
    </xf>
    <xf numFmtId="0" fontId="165" fillId="0" borderId="10" xfId="0" applyFont="1" applyBorder="1" applyAlignment="1">
      <alignment horizontal="center" vertical="center"/>
    </xf>
    <xf numFmtId="0" fontId="155" fillId="0" borderId="10" xfId="0" applyFont="1" applyBorder="1" applyAlignment="1">
      <alignment horizontal="center" vertical="center"/>
    </xf>
    <xf numFmtId="0" fontId="154" fillId="0" borderId="10" xfId="0" applyFont="1" applyBorder="1"/>
    <xf numFmtId="169" fontId="154" fillId="0" borderId="10" xfId="0" applyNumberFormat="1" applyFont="1" applyBorder="1"/>
    <xf numFmtId="1" fontId="149" fillId="0" borderId="10" xfId="0" applyNumberFormat="1" applyFont="1" applyBorder="1" applyAlignment="1">
      <alignment horizontal="center" vertical="center"/>
    </xf>
    <xf numFmtId="1" fontId="149" fillId="21" borderId="10" xfId="0" applyNumberFormat="1" applyFont="1" applyFill="1" applyBorder="1" applyAlignment="1">
      <alignment horizontal="center" vertical="center"/>
    </xf>
    <xf numFmtId="0" fontId="154" fillId="21" borderId="10" xfId="0" applyFont="1" applyFill="1" applyBorder="1"/>
    <xf numFmtId="169" fontId="154" fillId="21" borderId="10" xfId="0" applyNumberFormat="1" applyFont="1" applyFill="1" applyBorder="1"/>
    <xf numFmtId="0" fontId="154" fillId="19" borderId="10" xfId="0" applyFont="1" applyFill="1" applyBorder="1"/>
    <xf numFmtId="169" fontId="154" fillId="19" borderId="10" xfId="0" applyNumberFormat="1" applyFont="1" applyFill="1" applyBorder="1"/>
    <xf numFmtId="0" fontId="0" fillId="0" borderId="0" xfId="0"/>
    <xf numFmtId="0" fontId="216" fillId="25" borderId="6" xfId="0" applyFont="1" applyFill="1" applyBorder="1" applyAlignment="1">
      <alignment horizontal="center" vertical="center"/>
    </xf>
    <xf numFmtId="0" fontId="217" fillId="25" borderId="6" xfId="0" applyFont="1" applyFill="1" applyBorder="1" applyAlignment="1">
      <alignment horizontal="center" vertical="center"/>
    </xf>
    <xf numFmtId="169" fontId="111" fillId="59" borderId="34" xfId="0" applyNumberFormat="1" applyFont="1" applyFill="1" applyBorder="1" applyAlignment="1">
      <alignment horizontal="center" vertical="center"/>
    </xf>
    <xf numFmtId="0" fontId="0" fillId="0" borderId="0" xfId="0"/>
    <xf numFmtId="1" fontId="138" fillId="25" borderId="62" xfId="0" applyNumberFormat="1" applyFont="1" applyFill="1" applyBorder="1" applyAlignment="1">
      <alignment horizontal="center" vertical="center"/>
    </xf>
    <xf numFmtId="1" fontId="54" fillId="25" borderId="44" xfId="0" applyNumberFormat="1" applyFont="1" applyFill="1" applyBorder="1" applyAlignment="1">
      <alignment horizontal="center" vertical="center"/>
    </xf>
    <xf numFmtId="1" fontId="54" fillId="25" borderId="61" xfId="0" applyNumberFormat="1" applyFont="1" applyFill="1" applyBorder="1" applyAlignment="1">
      <alignment horizontal="center" vertical="center"/>
    </xf>
    <xf numFmtId="1" fontId="54" fillId="25" borderId="52" xfId="0" applyNumberFormat="1" applyFont="1" applyFill="1" applyBorder="1" applyAlignment="1">
      <alignment horizontal="center" vertical="center"/>
    </xf>
    <xf numFmtId="1" fontId="54" fillId="25" borderId="50" xfId="0" applyNumberFormat="1" applyFont="1" applyFill="1" applyBorder="1" applyAlignment="1">
      <alignment horizontal="center" vertical="center"/>
    </xf>
    <xf numFmtId="1" fontId="138" fillId="21" borderId="9" xfId="0" applyNumberFormat="1" applyFont="1" applyFill="1" applyBorder="1" applyAlignment="1">
      <alignment horizontal="center" vertical="center"/>
    </xf>
    <xf numFmtId="1" fontId="138" fillId="21" borderId="36" xfId="0" applyNumberFormat="1" applyFont="1" applyFill="1" applyBorder="1" applyAlignment="1">
      <alignment horizontal="center" vertical="center"/>
    </xf>
    <xf numFmtId="1" fontId="138" fillId="21" borderId="8" xfId="0" applyNumberFormat="1" applyFont="1" applyFill="1" applyBorder="1" applyAlignment="1">
      <alignment horizontal="center" vertical="center"/>
    </xf>
    <xf numFmtId="1" fontId="125" fillId="0" borderId="62" xfId="0" applyNumberFormat="1" applyFont="1" applyBorder="1" applyAlignment="1">
      <alignment horizontal="center" vertical="center"/>
    </xf>
    <xf numFmtId="1" fontId="125" fillId="21" borderId="62" xfId="0" applyNumberFormat="1" applyFont="1" applyFill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0" fontId="138" fillId="25" borderId="36" xfId="0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169" fontId="74" fillId="21" borderId="32" xfId="0" applyNumberFormat="1" applyFont="1" applyFill="1" applyBorder="1" applyAlignment="1">
      <alignment horizontal="center" vertical="center"/>
    </xf>
    <xf numFmtId="1" fontId="75" fillId="21" borderId="10" xfId="0" applyNumberFormat="1" applyFont="1" applyFill="1" applyBorder="1" applyAlignment="1">
      <alignment horizontal="center" vertical="center"/>
    </xf>
    <xf numFmtId="1" fontId="138" fillId="21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11" fillId="25" borderId="63" xfId="0" applyNumberFormat="1" applyFont="1" applyFill="1" applyBorder="1" applyAlignment="1">
      <alignment horizontal="center" vertical="center"/>
    </xf>
    <xf numFmtId="1" fontId="111" fillId="25" borderId="9" xfId="0" applyNumberFormat="1" applyFont="1" applyFill="1" applyBorder="1" applyAlignment="1">
      <alignment horizontal="center" vertical="center"/>
    </xf>
    <xf numFmtId="1" fontId="14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 vertical="center"/>
    </xf>
    <xf numFmtId="2" fontId="138" fillId="21" borderId="17" xfId="0" applyNumberFormat="1" applyFont="1" applyFill="1" applyBorder="1" applyAlignment="1">
      <alignment horizontal="center" vertical="center"/>
    </xf>
    <xf numFmtId="1" fontId="111" fillId="21" borderId="12" xfId="0" applyNumberFormat="1" applyFont="1" applyFill="1" applyBorder="1" applyAlignment="1">
      <alignment horizontal="center" vertical="center"/>
    </xf>
    <xf numFmtId="0" fontId="219" fillId="25" borderId="31" xfId="0" applyFont="1" applyFill="1" applyBorder="1" applyAlignment="1">
      <alignment horizontal="left" vertical="center"/>
    </xf>
    <xf numFmtId="0" fontId="11" fillId="25" borderId="30" xfId="0" applyFont="1" applyFill="1" applyBorder="1" applyAlignment="1">
      <alignment vertical="center"/>
    </xf>
    <xf numFmtId="0" fontId="11" fillId="25" borderId="53" xfId="0" applyFont="1" applyFill="1" applyBorder="1" applyAlignment="1">
      <alignment vertical="center"/>
    </xf>
    <xf numFmtId="0" fontId="11" fillId="25" borderId="48" xfId="0" applyFont="1" applyFill="1" applyBorder="1" applyAlignment="1">
      <alignment vertical="center"/>
    </xf>
    <xf numFmtId="0" fontId="11" fillId="25" borderId="7" xfId="0" applyFont="1" applyFill="1" applyBorder="1" applyAlignment="1">
      <alignment vertical="center"/>
    </xf>
    <xf numFmtId="0" fontId="11" fillId="25" borderId="50" xfId="0" applyFont="1" applyFill="1" applyBorder="1" applyAlignment="1">
      <alignment vertical="center"/>
    </xf>
    <xf numFmtId="0" fontId="219" fillId="25" borderId="10" xfId="0" applyFont="1" applyFill="1" applyBorder="1" applyAlignment="1">
      <alignment horizontal="left" vertical="center"/>
    </xf>
    <xf numFmtId="1" fontId="111" fillId="25" borderId="72" xfId="0" applyNumberFormat="1" applyFont="1" applyFill="1" applyBorder="1" applyAlignment="1">
      <alignment horizontal="center" vertical="center"/>
    </xf>
    <xf numFmtId="1" fontId="111" fillId="25" borderId="12" xfId="0" applyNumberFormat="1" applyFont="1" applyFill="1" applyBorder="1" applyAlignment="1">
      <alignment horizontal="center" vertical="center"/>
    </xf>
    <xf numFmtId="0" fontId="218" fillId="25" borderId="1" xfId="0" applyFont="1" applyFill="1" applyBorder="1" applyAlignment="1">
      <alignment horizontal="left" vertical="center"/>
    </xf>
    <xf numFmtId="0" fontId="111" fillId="25" borderId="5" xfId="0" applyFont="1" applyFill="1" applyBorder="1" applyAlignment="1">
      <alignment horizontal="center" vertical="center"/>
    </xf>
    <xf numFmtId="1" fontId="111" fillId="25" borderId="11" xfId="0" applyNumberFormat="1" applyFont="1" applyFill="1" applyBorder="1" applyAlignment="1">
      <alignment horizontal="center" vertical="center"/>
    </xf>
    <xf numFmtId="1" fontId="111" fillId="25" borderId="67" xfId="0" applyNumberFormat="1" applyFont="1" applyFill="1" applyBorder="1" applyAlignment="1">
      <alignment horizontal="center" vertical="center"/>
    </xf>
    <xf numFmtId="0" fontId="11" fillId="25" borderId="41" xfId="0" applyFont="1" applyFill="1" applyBorder="1" applyAlignment="1">
      <alignment vertical="center"/>
    </xf>
    <xf numFmtId="0" fontId="11" fillId="25" borderId="42" xfId="0" applyFont="1" applyFill="1" applyBorder="1" applyAlignment="1">
      <alignment vertical="center"/>
    </xf>
    <xf numFmtId="0" fontId="11" fillId="25" borderId="66" xfId="0" applyFont="1" applyFill="1" applyBorder="1" applyAlignment="1">
      <alignment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21" borderId="10" xfId="0" applyNumberFormat="1" applyFont="1" applyFill="1" applyBorder="1" applyAlignment="1">
      <alignment horizontal="center" vertical="center"/>
    </xf>
    <xf numFmtId="1" fontId="125" fillId="21" borderId="10" xfId="0" applyNumberFormat="1" applyFont="1" applyFill="1" applyBorder="1" applyAlignment="1">
      <alignment horizontal="center" vertical="center"/>
    </xf>
    <xf numFmtId="1" fontId="125" fillId="0" borderId="10" xfId="0" applyNumberFormat="1" applyFont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169" fontId="125" fillId="21" borderId="10" xfId="0" applyNumberFormat="1" applyFont="1" applyFill="1" applyBorder="1" applyAlignment="1">
      <alignment horizontal="center" vertical="center"/>
    </xf>
    <xf numFmtId="0" fontId="206" fillId="52" borderId="76" xfId="189" applyFont="1" applyFill="1" applyBorder="1" applyAlignment="1">
      <alignment horizontal="center" vertical="center"/>
    </xf>
    <xf numFmtId="0" fontId="206" fillId="52" borderId="92" xfId="189" applyFont="1" applyFill="1" applyBorder="1" applyAlignment="1">
      <alignment horizontal="center" vertical="center"/>
    </xf>
    <xf numFmtId="0" fontId="206" fillId="52" borderId="108" xfId="189" applyFont="1" applyFill="1" applyBorder="1" applyAlignment="1">
      <alignment horizontal="center" vertical="center"/>
    </xf>
    <xf numFmtId="1" fontId="206" fillId="25" borderId="9" xfId="189" applyNumberFormat="1" applyFont="1" applyFill="1" applyBorder="1" applyAlignment="1">
      <alignment horizontal="center" vertical="center"/>
    </xf>
    <xf numFmtId="1" fontId="206" fillId="25" borderId="14" xfId="189" applyNumberFormat="1" applyFont="1" applyFill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1" fontId="138" fillId="19" borderId="34" xfId="0" applyNumberFormat="1" applyFont="1" applyFill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0" fontId="114" fillId="0" borderId="15" xfId="0" applyFont="1" applyBorder="1" applyAlignment="1">
      <alignment horizontal="center" vertical="center"/>
    </xf>
    <xf numFmtId="1" fontId="138" fillId="0" borderId="8" xfId="0" applyNumberFormat="1" applyFont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125" fillId="18" borderId="17" xfId="0" applyFont="1" applyFill="1" applyBorder="1" applyAlignment="1">
      <alignment horizontal="center" vertical="center"/>
    </xf>
    <xf numFmtId="0" fontId="125" fillId="18" borderId="33" xfId="0" applyFont="1" applyFill="1" applyBorder="1" applyAlignment="1">
      <alignment horizontal="center" vertical="center"/>
    </xf>
    <xf numFmtId="0" fontId="74" fillId="0" borderId="55" xfId="0" applyFont="1" applyBorder="1"/>
    <xf numFmtId="0" fontId="224" fillId="0" borderId="0" xfId="0" applyFont="1"/>
    <xf numFmtId="2" fontId="138" fillId="21" borderId="62" xfId="0" applyNumberFormat="1" applyFont="1" applyFill="1" applyBorder="1" applyAlignment="1">
      <alignment horizontal="center" vertical="center"/>
    </xf>
    <xf numFmtId="0" fontId="5" fillId="25" borderId="44" xfId="0" applyFont="1" applyFill="1" applyBorder="1"/>
    <xf numFmtId="0" fontId="5" fillId="25" borderId="24" xfId="0" applyFont="1" applyFill="1" applyBorder="1"/>
    <xf numFmtId="0" fontId="65" fillId="25" borderId="70" xfId="0" applyFont="1" applyFill="1" applyBorder="1"/>
    <xf numFmtId="0" fontId="65" fillId="25" borderId="75" xfId="0" applyFont="1" applyFill="1" applyBorder="1"/>
    <xf numFmtId="0" fontId="125" fillId="25" borderId="75" xfId="0" applyFont="1" applyFill="1" applyBorder="1"/>
    <xf numFmtId="0" fontId="65" fillId="25" borderId="52" xfId="0" applyFont="1" applyFill="1" applyBorder="1"/>
    <xf numFmtId="0" fontId="65" fillId="25" borderId="7" xfId="0" applyFont="1" applyFill="1" applyBorder="1"/>
    <xf numFmtId="1" fontId="125" fillId="25" borderId="24" xfId="0" applyNumberFormat="1" applyFont="1" applyFill="1" applyBorder="1"/>
    <xf numFmtId="1" fontId="125" fillId="25" borderId="52" xfId="0" applyNumberFormat="1" applyFont="1" applyFill="1" applyBorder="1"/>
    <xf numFmtId="1" fontId="125" fillId="18" borderId="42" xfId="0" applyNumberFormat="1" applyFont="1" applyFill="1" applyBorder="1" applyAlignment="1">
      <alignment horizontal="center" vertical="center"/>
    </xf>
    <xf numFmtId="1" fontId="125" fillId="18" borderId="54" xfId="0" applyNumberFormat="1" applyFont="1" applyFill="1" applyBorder="1" applyAlignment="1">
      <alignment horizontal="center" vertical="center"/>
    </xf>
    <xf numFmtId="0" fontId="125" fillId="0" borderId="30" xfId="0" applyFont="1" applyBorder="1" applyAlignment="1">
      <alignment horizontal="center" vertical="center"/>
    </xf>
    <xf numFmtId="1" fontId="109" fillId="25" borderId="21" xfId="0" applyNumberFormat="1" applyFont="1" applyFill="1" applyBorder="1" applyAlignment="1">
      <alignment horizontal="center" vertical="center"/>
    </xf>
    <xf numFmtId="1" fontId="109" fillId="25" borderId="55" xfId="0" applyNumberFormat="1" applyFont="1" applyFill="1" applyBorder="1" applyAlignment="1">
      <alignment horizontal="center" vertical="center"/>
    </xf>
    <xf numFmtId="1" fontId="111" fillId="25" borderId="66" xfId="0" applyNumberFormat="1" applyFont="1" applyFill="1" applyBorder="1" applyAlignment="1">
      <alignment horizontal="center" vertical="center"/>
    </xf>
    <xf numFmtId="0" fontId="109" fillId="25" borderId="39" xfId="0" applyFont="1" applyFill="1" applyBorder="1" applyAlignment="1">
      <alignment vertical="center"/>
    </xf>
    <xf numFmtId="0" fontId="109" fillId="25" borderId="46" xfId="0" applyFont="1" applyFill="1" applyBorder="1" applyAlignment="1">
      <alignment vertical="center"/>
    </xf>
    <xf numFmtId="0" fontId="0" fillId="0" borderId="0" xfId="0"/>
    <xf numFmtId="1" fontId="54" fillId="25" borderId="6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" fontId="125" fillId="0" borderId="10" xfId="0" applyNumberFormat="1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1" fontId="138" fillId="0" borderId="76" xfId="0" applyNumberFormat="1" applyFont="1" applyBorder="1" applyAlignment="1">
      <alignment horizontal="center" vertical="center"/>
    </xf>
    <xf numFmtId="1" fontId="134" fillId="0" borderId="36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0" fontId="112" fillId="19" borderId="4" xfId="0" applyFont="1" applyFill="1" applyBorder="1" applyAlignment="1">
      <alignment horizontal="center" vertical="center"/>
    </xf>
    <xf numFmtId="1" fontId="138" fillId="0" borderId="36" xfId="0" applyNumberFormat="1" applyFont="1" applyBorder="1" applyAlignment="1">
      <alignment horizontal="center" vertical="center"/>
    </xf>
    <xf numFmtId="1" fontId="138" fillId="21" borderId="62" xfId="0" applyNumberFormat="1" applyFont="1" applyFill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1" fontId="138" fillId="19" borderId="62" xfId="0" applyNumberFormat="1" applyFont="1" applyFill="1" applyBorder="1" applyAlignment="1">
      <alignment horizontal="center" vertical="center"/>
    </xf>
    <xf numFmtId="1" fontId="138" fillId="21" borderId="10" xfId="0" applyNumberFormat="1" applyFont="1" applyFill="1" applyBorder="1" applyAlignment="1">
      <alignment horizontal="center" vertical="center"/>
    </xf>
    <xf numFmtId="1" fontId="138" fillId="21" borderId="111" xfId="0" applyNumberFormat="1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1" fontId="138" fillId="0" borderId="111" xfId="0" applyNumberFormat="1" applyFont="1" applyBorder="1" applyAlignment="1">
      <alignment horizontal="center" vertical="center"/>
    </xf>
    <xf numFmtId="1" fontId="138" fillId="25" borderId="111" xfId="0" applyNumberFormat="1" applyFont="1" applyFill="1" applyBorder="1" applyAlignment="1">
      <alignment horizontal="center" vertical="center"/>
    </xf>
    <xf numFmtId="1" fontId="54" fillId="25" borderId="28" xfId="0" applyNumberFormat="1" applyFont="1" applyFill="1" applyBorder="1" applyAlignment="1">
      <alignment horizontal="center" vertical="center"/>
    </xf>
    <xf numFmtId="171" fontId="111" fillId="25" borderId="29" xfId="0" applyNumberFormat="1" applyFont="1" applyFill="1" applyBorder="1" applyAlignment="1">
      <alignment horizontal="center" vertical="center"/>
    </xf>
    <xf numFmtId="169" fontId="111" fillId="25" borderId="31" xfId="0" applyNumberFormat="1" applyFont="1" applyFill="1" applyBorder="1" applyAlignment="1">
      <alignment horizontal="center" vertical="center"/>
    </xf>
    <xf numFmtId="0" fontId="0" fillId="0" borderId="0" xfId="0"/>
    <xf numFmtId="1" fontId="0" fillId="0" borderId="17" xfId="0" applyNumberFormat="1" applyBorder="1"/>
    <xf numFmtId="0" fontId="0" fillId="0" borderId="0" xfId="0"/>
    <xf numFmtId="1" fontId="138" fillId="0" borderId="10" xfId="0" applyNumberFormat="1" applyFont="1" applyBorder="1" applyAlignment="1">
      <alignment horizontal="center" vertical="center"/>
    </xf>
    <xf numFmtId="0" fontId="6" fillId="0" borderId="4" xfId="0" applyFont="1" applyBorder="1"/>
    <xf numFmtId="1" fontId="109" fillId="0" borderId="23" xfId="0" applyNumberFormat="1" applyFont="1" applyBorder="1" applyAlignment="1">
      <alignment horizontal="center" vertical="center"/>
    </xf>
    <xf numFmtId="0" fontId="109" fillId="25" borderId="36" xfId="0" applyFont="1" applyFill="1" applyBorder="1"/>
    <xf numFmtId="1" fontId="109" fillId="25" borderId="8" xfId="0" applyNumberFormat="1" applyFont="1" applyFill="1" applyBorder="1"/>
    <xf numFmtId="0" fontId="6" fillId="0" borderId="55" xfId="0" applyFont="1" applyBorder="1"/>
    <xf numFmtId="1" fontId="112" fillId="0" borderId="37" xfId="0" applyNumberFormat="1" applyFont="1" applyBorder="1" applyAlignment="1">
      <alignment horizontal="center" vertical="center"/>
    </xf>
    <xf numFmtId="1" fontId="111" fillId="21" borderId="41" xfId="0" applyNumberFormat="1" applyFont="1" applyFill="1" applyBorder="1" applyAlignment="1">
      <alignment horizontal="center" vertical="center"/>
    </xf>
    <xf numFmtId="1" fontId="109" fillId="21" borderId="23" xfId="0" applyNumberFormat="1" applyFont="1" applyFill="1" applyBorder="1" applyAlignment="1">
      <alignment horizontal="center" vertical="center"/>
    </xf>
    <xf numFmtId="1" fontId="109" fillId="21" borderId="30" xfId="0" applyNumberFormat="1" applyFont="1" applyFill="1" applyBorder="1" applyAlignment="1">
      <alignment horizontal="center" vertical="center"/>
    </xf>
    <xf numFmtId="2" fontId="111" fillId="21" borderId="10" xfId="0" applyNumberFormat="1" applyFont="1" applyFill="1" applyBorder="1" applyAlignment="1">
      <alignment horizontal="center" vertical="center"/>
    </xf>
    <xf numFmtId="1" fontId="112" fillId="21" borderId="10" xfId="0" applyNumberFormat="1" applyFont="1" applyFill="1" applyBorder="1" applyAlignment="1">
      <alignment horizontal="center" vertical="center"/>
    </xf>
    <xf numFmtId="0" fontId="109" fillId="25" borderId="75" xfId="0" applyFont="1" applyFill="1" applyBorder="1"/>
    <xf numFmtId="1" fontId="109" fillId="25" borderId="24" xfId="0" applyNumberFormat="1" applyFont="1" applyFill="1" applyBorder="1"/>
    <xf numFmtId="0" fontId="6" fillId="0" borderId="21" xfId="0" applyFont="1" applyBorder="1"/>
    <xf numFmtId="0" fontId="109" fillId="25" borderId="58" xfId="0" applyFont="1" applyFill="1" applyBorder="1"/>
    <xf numFmtId="2" fontId="111" fillId="19" borderId="10" xfId="0" applyNumberFormat="1" applyFont="1" applyFill="1" applyBorder="1" applyAlignment="1">
      <alignment horizontal="center" vertical="center"/>
    </xf>
    <xf numFmtId="1" fontId="109" fillId="25" borderId="61" xfId="0" applyNumberFormat="1" applyFont="1" applyFill="1" applyBorder="1"/>
    <xf numFmtId="1" fontId="112" fillId="19" borderId="10" xfId="0" applyNumberFormat="1" applyFont="1" applyFill="1" applyBorder="1" applyAlignment="1">
      <alignment horizontal="center" vertical="center"/>
    </xf>
    <xf numFmtId="1" fontId="109" fillId="25" borderId="71" xfId="0" applyNumberFormat="1" applyFont="1" applyFill="1" applyBorder="1" applyAlignment="1">
      <alignment horizontal="center" vertical="center"/>
    </xf>
    <xf numFmtId="1" fontId="109" fillId="25" borderId="7" xfId="0" applyNumberFormat="1" applyFont="1" applyFill="1" applyBorder="1"/>
    <xf numFmtId="1" fontId="112" fillId="21" borderId="71" xfId="0" applyNumberFormat="1" applyFont="1" applyFill="1" applyBorder="1" applyAlignment="1">
      <alignment horizontal="center" vertical="center"/>
    </xf>
    <xf numFmtId="171" fontId="111" fillId="21" borderId="31" xfId="0" applyNumberFormat="1" applyFont="1" applyFill="1" applyBorder="1" applyAlignment="1">
      <alignment horizontal="center" vertical="center"/>
    </xf>
    <xf numFmtId="171" fontId="111" fillId="19" borderId="31" xfId="0" applyNumberFormat="1" applyFont="1" applyFill="1" applyBorder="1" applyAlignment="1">
      <alignment horizontal="center" vertical="center"/>
    </xf>
    <xf numFmtId="1" fontId="134" fillId="25" borderId="59" xfId="0" applyNumberFormat="1" applyFont="1" applyFill="1" applyBorder="1" applyAlignment="1">
      <alignment horizontal="center" vertical="center"/>
    </xf>
    <xf numFmtId="1" fontId="134" fillId="25" borderId="32" xfId="0" applyNumberFormat="1" applyFont="1" applyFill="1" applyBorder="1" applyAlignment="1">
      <alignment horizontal="center" vertical="center"/>
    </xf>
    <xf numFmtId="1" fontId="11" fillId="25" borderId="72" xfId="0" applyNumberFormat="1" applyFont="1" applyFill="1" applyBorder="1" applyAlignment="1">
      <alignment horizontal="center" vertical="center"/>
    </xf>
    <xf numFmtId="41" fontId="74" fillId="25" borderId="31" xfId="0" quotePrefix="1" applyNumberFormat="1" applyFont="1" applyFill="1" applyBorder="1" applyAlignment="1">
      <alignment horizontal="left" vertical="center"/>
    </xf>
    <xf numFmtId="0" fontId="215" fillId="25" borderId="34" xfId="0" applyFont="1" applyFill="1" applyBorder="1" applyAlignment="1">
      <alignment horizontal="left" vertical="center"/>
    </xf>
    <xf numFmtId="0" fontId="11" fillId="25" borderId="31" xfId="0" applyFont="1" applyFill="1" applyBorder="1" applyAlignment="1">
      <alignment horizontal="right" vertical="center"/>
    </xf>
    <xf numFmtId="0" fontId="220" fillId="25" borderId="17" xfId="0" applyFont="1" applyFill="1" applyBorder="1" applyAlignment="1">
      <alignment horizontal="center"/>
    </xf>
    <xf numFmtId="0" fontId="220" fillId="25" borderId="33" xfId="0" applyFont="1" applyFill="1" applyBorder="1" applyAlignment="1">
      <alignment horizontal="center"/>
    </xf>
    <xf numFmtId="0" fontId="170" fillId="25" borderId="0" xfId="0" applyFont="1" applyFill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2" fontId="111" fillId="0" borderId="53" xfId="0" applyNumberFormat="1" applyFont="1" applyBorder="1" applyAlignment="1">
      <alignment horizontal="center" vertical="center"/>
    </xf>
    <xf numFmtId="2" fontId="111" fillId="0" borderId="48" xfId="0" applyNumberFormat="1" applyFont="1" applyBorder="1" applyAlignment="1">
      <alignment horizontal="center" vertical="center"/>
    </xf>
    <xf numFmtId="0" fontId="138" fillId="21" borderId="44" xfId="0" applyFont="1" applyFill="1" applyBorder="1" applyAlignment="1">
      <alignment horizontal="center" vertical="center"/>
    </xf>
    <xf numFmtId="171" fontId="138" fillId="21" borderId="47" xfId="0" applyNumberFormat="1" applyFont="1" applyFill="1" applyBorder="1" applyAlignment="1">
      <alignment horizontal="center" vertical="center"/>
    </xf>
    <xf numFmtId="171" fontId="111" fillId="21" borderId="10" xfId="0" applyNumberFormat="1" applyFont="1" applyFill="1" applyBorder="1" applyAlignment="1">
      <alignment horizontal="center" vertical="center"/>
    </xf>
    <xf numFmtId="0" fontId="138" fillId="19" borderId="44" xfId="0" applyFont="1" applyFill="1" applyBorder="1" applyAlignment="1">
      <alignment horizontal="center" vertical="center"/>
    </xf>
    <xf numFmtId="171" fontId="138" fillId="19" borderId="47" xfId="0" applyNumberFormat="1" applyFont="1" applyFill="1" applyBorder="1" applyAlignment="1">
      <alignment horizontal="center" vertical="center"/>
    </xf>
    <xf numFmtId="171" fontId="111" fillId="19" borderId="10" xfId="0" applyNumberFormat="1" applyFont="1" applyFill="1" applyBorder="1" applyAlignment="1">
      <alignment horizontal="center" vertical="center"/>
    </xf>
    <xf numFmtId="0" fontId="117" fillId="25" borderId="63" xfId="0" applyFont="1" applyFill="1" applyBorder="1" applyAlignment="1">
      <alignment vertical="center"/>
    </xf>
    <xf numFmtId="1" fontId="112" fillId="25" borderId="66" xfId="0" applyNumberFormat="1" applyFont="1" applyFill="1" applyBorder="1" applyAlignment="1">
      <alignment horizontal="center" vertical="center"/>
    </xf>
    <xf numFmtId="1" fontId="112" fillId="25" borderId="42" xfId="0" applyNumberFormat="1" applyFont="1" applyFill="1" applyBorder="1" applyAlignment="1">
      <alignment horizontal="center" vertical="center"/>
    </xf>
    <xf numFmtId="0" fontId="117" fillId="25" borderId="32" xfId="0" applyFont="1" applyFill="1" applyBorder="1" applyAlignment="1">
      <alignment vertical="center"/>
    </xf>
    <xf numFmtId="9" fontId="112" fillId="25" borderId="33" xfId="25" applyFont="1" applyFill="1" applyBorder="1" applyAlignment="1">
      <alignment horizontal="center" vertical="center"/>
    </xf>
    <xf numFmtId="2" fontId="134" fillId="25" borderId="59" xfId="0" applyNumberFormat="1" applyFont="1" applyFill="1" applyBorder="1" applyAlignment="1">
      <alignment horizontal="center" vertical="center"/>
    </xf>
    <xf numFmtId="2" fontId="134" fillId="25" borderId="32" xfId="0" applyNumberFormat="1" applyFont="1" applyFill="1" applyBorder="1" applyAlignment="1">
      <alignment horizontal="center" vertical="center"/>
    </xf>
    <xf numFmtId="9" fontId="112" fillId="25" borderId="27" xfId="25" applyFont="1" applyFill="1" applyBorder="1" applyAlignment="1">
      <alignment horizontal="center" vertical="center"/>
    </xf>
    <xf numFmtId="0" fontId="111" fillId="21" borderId="34" xfId="0" applyFont="1" applyFill="1" applyBorder="1" applyAlignment="1">
      <alignment horizontal="center" vertical="center"/>
    </xf>
    <xf numFmtId="2" fontId="111" fillId="19" borderId="31" xfId="0" applyNumberFormat="1" applyFont="1" applyFill="1" applyBorder="1" applyAlignment="1">
      <alignment horizontal="center" vertical="center"/>
    </xf>
    <xf numFmtId="41" fontId="118" fillId="25" borderId="31" xfId="0" applyNumberFormat="1" applyFont="1" applyFill="1" applyBorder="1" applyAlignment="1">
      <alignment horizontal="left" vertical="center"/>
    </xf>
    <xf numFmtId="41" fontId="123" fillId="25" borderId="62" xfId="0" quotePrefix="1" applyNumberFormat="1" applyFont="1" applyFill="1" applyBorder="1" applyAlignment="1">
      <alignment horizontal="left" vertical="center"/>
    </xf>
    <xf numFmtId="0" fontId="75" fillId="0" borderId="62" xfId="0" applyFont="1" applyBorder="1" applyAlignment="1">
      <alignment horizontal="center" vertical="center"/>
    </xf>
    <xf numFmtId="1" fontId="75" fillId="25" borderId="29" xfId="0" applyNumberFormat="1" applyFont="1" applyFill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2" fontId="0" fillId="25" borderId="10" xfId="0" applyNumberFormat="1" applyFill="1" applyBorder="1" applyAlignment="1">
      <alignment horizontal="center"/>
    </xf>
    <xf numFmtId="2" fontId="108" fillId="25" borderId="10" xfId="0" applyNumberFormat="1" applyFont="1" applyFill="1" applyBorder="1" applyAlignment="1">
      <alignment horizontal="center"/>
    </xf>
    <xf numFmtId="2" fontId="113" fillId="25" borderId="10" xfId="0" applyNumberFormat="1" applyFont="1" applyFill="1" applyBorder="1" applyAlignment="1">
      <alignment horizontal="center"/>
    </xf>
    <xf numFmtId="2" fontId="0" fillId="25" borderId="23" xfId="0" applyNumberFormat="1" applyFill="1" applyBorder="1" applyAlignment="1">
      <alignment horizontal="center"/>
    </xf>
    <xf numFmtId="169" fontId="111" fillId="25" borderId="37" xfId="0" applyNumberFormat="1" applyFont="1" applyFill="1" applyBorder="1" applyAlignment="1">
      <alignment horizontal="center" vertical="center"/>
    </xf>
    <xf numFmtId="169" fontId="111" fillId="25" borderId="48" xfId="0" applyNumberFormat="1" applyFont="1" applyFill="1" applyBorder="1" applyAlignment="1">
      <alignment horizontal="center" vertical="center"/>
    </xf>
    <xf numFmtId="1" fontId="112" fillId="25" borderId="67" xfId="0" applyNumberFormat="1" applyFont="1" applyFill="1" applyBorder="1" applyAlignment="1">
      <alignment horizontal="center" vertical="center"/>
    </xf>
    <xf numFmtId="171" fontId="111" fillId="25" borderId="33" xfId="0" applyNumberFormat="1" applyFont="1" applyFill="1" applyBorder="1" applyAlignment="1">
      <alignment horizontal="center" vertical="center"/>
    </xf>
    <xf numFmtId="2" fontId="125" fillId="19" borderId="11" xfId="0" applyNumberFormat="1" applyFont="1" applyFill="1" applyBorder="1" applyAlignment="1">
      <alignment horizontal="center" vertical="center"/>
    </xf>
    <xf numFmtId="2" fontId="125" fillId="21" borderId="11" xfId="0" applyNumberFormat="1" applyFont="1" applyFill="1" applyBorder="1" applyAlignment="1">
      <alignment horizontal="center" vertical="center"/>
    </xf>
    <xf numFmtId="0" fontId="227" fillId="0" borderId="0" xfId="0" applyFont="1"/>
    <xf numFmtId="169" fontId="111" fillId="21" borderId="29" xfId="0" applyNumberFormat="1" applyFont="1" applyFill="1" applyBorder="1" applyAlignment="1">
      <alignment horizontal="center" vertical="center"/>
    </xf>
    <xf numFmtId="169" fontId="111" fillId="19" borderId="29" xfId="0" applyNumberFormat="1" applyFont="1" applyFill="1" applyBorder="1" applyAlignment="1">
      <alignment horizontal="center" vertical="center"/>
    </xf>
    <xf numFmtId="171" fontId="111" fillId="21" borderId="59" xfId="0" applyNumberFormat="1" applyFont="1" applyFill="1" applyBorder="1" applyAlignment="1">
      <alignment horizontal="center" vertical="center"/>
    </xf>
    <xf numFmtId="171" fontId="111" fillId="19" borderId="59" xfId="0" applyNumberFormat="1" applyFont="1" applyFill="1" applyBorder="1" applyAlignment="1">
      <alignment horizontal="center" vertical="center"/>
    </xf>
    <xf numFmtId="171" fontId="111" fillId="21" borderId="32" xfId="0" applyNumberFormat="1" applyFont="1" applyFill="1" applyBorder="1" applyAlignment="1">
      <alignment horizontal="center" vertical="center"/>
    </xf>
    <xf numFmtId="171" fontId="111" fillId="19" borderId="32" xfId="0" applyNumberFormat="1" applyFont="1" applyFill="1" applyBorder="1" applyAlignment="1">
      <alignment horizontal="center" vertical="center"/>
    </xf>
    <xf numFmtId="169" fontId="111" fillId="25" borderId="6" xfId="0" applyNumberFormat="1" applyFont="1" applyFill="1" applyBorder="1" applyAlignment="1">
      <alignment horizontal="center" vertical="center"/>
    </xf>
    <xf numFmtId="169" fontId="138" fillId="19" borderId="3" xfId="0" applyNumberFormat="1" applyFont="1" applyFill="1" applyBorder="1" applyAlignment="1">
      <alignment horizontal="center" vertical="center"/>
    </xf>
    <xf numFmtId="1" fontId="168" fillId="0" borderId="0" xfId="0" applyNumberFormat="1" applyFont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1" fontId="138" fillId="19" borderId="34" xfId="0" applyNumberFormat="1" applyFont="1" applyFill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1" fontId="54" fillId="19" borderId="52" xfId="0" applyNumberFormat="1" applyFont="1" applyFill="1" applyBorder="1" applyAlignment="1">
      <alignment horizontal="center" vertical="center"/>
    </xf>
    <xf numFmtId="1" fontId="75" fillId="19" borderId="34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1" borderId="31" xfId="0" applyNumberFormat="1" applyFont="1" applyFill="1" applyBorder="1" applyAlignment="1">
      <alignment horizontal="center" vertical="center"/>
    </xf>
    <xf numFmtId="1" fontId="75" fillId="19" borderId="31" xfId="0" applyNumberFormat="1" applyFont="1" applyFill="1" applyBorder="1" applyAlignment="1">
      <alignment horizontal="center" vertical="center"/>
    </xf>
    <xf numFmtId="1" fontId="75" fillId="21" borderId="45" xfId="0" applyNumberFormat="1" applyFont="1" applyFill="1" applyBorder="1" applyAlignment="1">
      <alignment horizontal="center" vertical="center"/>
    </xf>
    <xf numFmtId="1" fontId="75" fillId="19" borderId="45" xfId="0" applyNumberFormat="1" applyFont="1" applyFill="1" applyBorder="1" applyAlignment="1">
      <alignment horizontal="center" vertical="center"/>
    </xf>
    <xf numFmtId="0" fontId="114" fillId="19" borderId="4" xfId="0" applyFont="1" applyFill="1" applyBorder="1" applyAlignment="1">
      <alignment horizontal="center" vertical="center"/>
    </xf>
    <xf numFmtId="0" fontId="206" fillId="52" borderId="21" xfId="189" applyFont="1" applyFill="1" applyBorder="1" applyAlignment="1">
      <alignment horizontal="center" vertical="center"/>
    </xf>
    <xf numFmtId="1" fontId="138" fillId="0" borderId="8" xfId="0" applyNumberFormat="1" applyFont="1" applyBorder="1" applyAlignment="1">
      <alignment horizontal="center" vertical="center"/>
    </xf>
    <xf numFmtId="1" fontId="138" fillId="25" borderId="74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25" fillId="21" borderId="62" xfId="0" applyNumberFormat="1" applyFont="1" applyFill="1" applyBorder="1" applyAlignment="1">
      <alignment horizontal="center" vertical="center"/>
    </xf>
    <xf numFmtId="1" fontId="125" fillId="19" borderId="62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1" fontId="149" fillId="25" borderId="10" xfId="0" applyNumberFormat="1" applyFont="1" applyFill="1" applyBorder="1" applyAlignment="1">
      <alignment horizontal="center" vertical="center"/>
    </xf>
    <xf numFmtId="171" fontId="111" fillId="25" borderId="37" xfId="0" applyNumberFormat="1" applyFont="1" applyFill="1" applyBorder="1" applyAlignment="1">
      <alignment horizontal="center" vertical="center"/>
    </xf>
    <xf numFmtId="2" fontId="111" fillId="25" borderId="37" xfId="0" applyNumberFormat="1" applyFont="1" applyFill="1" applyBorder="1" applyAlignment="1">
      <alignment horizontal="center" vertical="center"/>
    </xf>
    <xf numFmtId="171" fontId="111" fillId="25" borderId="17" xfId="0" applyNumberFormat="1" applyFont="1" applyFill="1" applyBorder="1" applyAlignment="1">
      <alignment horizontal="center" vertical="center"/>
    </xf>
    <xf numFmtId="1" fontId="138" fillId="21" borderId="53" xfId="0" applyNumberFormat="1" applyFont="1" applyFill="1" applyBorder="1" applyAlignment="1">
      <alignment horizontal="center" vertical="center"/>
    </xf>
    <xf numFmtId="1" fontId="138" fillId="19" borderId="53" xfId="0" applyNumberFormat="1" applyFont="1" applyFill="1" applyBorder="1" applyAlignment="1">
      <alignment horizontal="center" vertical="center"/>
    </xf>
    <xf numFmtId="0" fontId="147" fillId="25" borderId="0" xfId="0" applyFont="1" applyFill="1" applyAlignment="1">
      <alignment horizontal="center" vertical="center"/>
    </xf>
    <xf numFmtId="0" fontId="112" fillId="25" borderId="28" xfId="0" applyFont="1" applyFill="1" applyBorder="1" applyAlignment="1">
      <alignment horizontal="center" vertical="center"/>
    </xf>
    <xf numFmtId="1" fontId="109" fillId="25" borderId="11" xfId="0" applyNumberFormat="1" applyFont="1" applyFill="1" applyBorder="1" applyAlignment="1">
      <alignment horizontal="center" vertical="center"/>
    </xf>
    <xf numFmtId="1" fontId="109" fillId="25" borderId="67" xfId="0" applyNumberFormat="1" applyFont="1" applyFill="1" applyBorder="1" applyAlignment="1">
      <alignment horizontal="center" vertical="center"/>
    </xf>
    <xf numFmtId="0" fontId="128" fillId="25" borderId="6" xfId="0" applyFont="1" applyFill="1" applyBorder="1" applyAlignment="1">
      <alignment vertical="center"/>
    </xf>
    <xf numFmtId="0" fontId="125" fillId="25" borderId="0" xfId="0" applyFont="1" applyFill="1" applyBorder="1" applyAlignment="1">
      <alignment vertical="center"/>
    </xf>
    <xf numFmtId="171" fontId="112" fillId="25" borderId="30" xfId="0" applyNumberFormat="1" applyFont="1" applyFill="1" applyBorder="1" applyAlignment="1">
      <alignment horizontal="center" vertical="center"/>
    </xf>
    <xf numFmtId="169" fontId="111" fillId="25" borderId="33" xfId="0" applyNumberFormat="1" applyFont="1" applyFill="1" applyBorder="1" applyAlignment="1">
      <alignment horizontal="center" vertical="center"/>
    </xf>
    <xf numFmtId="0" fontId="128" fillId="25" borderId="24" xfId="0" applyFont="1" applyFill="1" applyBorder="1" applyAlignment="1">
      <alignment vertical="center"/>
    </xf>
    <xf numFmtId="169" fontId="111" fillId="25" borderId="42" xfId="0" applyNumberFormat="1" applyFont="1" applyFill="1" applyBorder="1" applyAlignment="1">
      <alignment horizontal="center" vertical="center"/>
    </xf>
    <xf numFmtId="2" fontId="112" fillId="25" borderId="11" xfId="0" applyNumberFormat="1" applyFont="1" applyFill="1" applyBorder="1" applyAlignment="1">
      <alignment horizontal="center" vertical="center"/>
    </xf>
    <xf numFmtId="2" fontId="112" fillId="25" borderId="53" xfId="0" applyNumberFormat="1" applyFont="1" applyFill="1" applyBorder="1" applyAlignment="1">
      <alignment horizontal="center" vertical="center"/>
    </xf>
    <xf numFmtId="0" fontId="155" fillId="25" borderId="10" xfId="0" applyFont="1" applyFill="1" applyBorder="1" applyAlignment="1">
      <alignment horizontal="center" vertical="center"/>
    </xf>
    <xf numFmtId="1" fontId="134" fillId="21" borderId="25" xfId="0" quotePrefix="1" applyNumberFormat="1" applyFont="1" applyFill="1" applyBorder="1" applyAlignment="1">
      <alignment horizontal="center" vertical="center"/>
    </xf>
    <xf numFmtId="2" fontId="134" fillId="21" borderId="48" xfId="0" applyNumberFormat="1" applyFont="1" applyFill="1" applyBorder="1" applyAlignment="1">
      <alignment horizontal="center" vertical="center"/>
    </xf>
    <xf numFmtId="2" fontId="112" fillId="21" borderId="10" xfId="0" applyNumberFormat="1" applyFont="1" applyFill="1" applyBorder="1" applyAlignment="1">
      <alignment horizontal="center" vertical="center"/>
    </xf>
    <xf numFmtId="1" fontId="138" fillId="25" borderId="21" xfId="0" quotePrefix="1" applyNumberFormat="1" applyFont="1" applyFill="1" applyBorder="1" applyAlignment="1">
      <alignment horizontal="center" vertical="center"/>
    </xf>
    <xf numFmtId="0" fontId="5" fillId="25" borderId="0" xfId="0" applyFont="1" applyFill="1"/>
    <xf numFmtId="0" fontId="75" fillId="25" borderId="0" xfId="0" applyFont="1" applyFill="1" applyBorder="1" applyAlignment="1">
      <alignment vertical="center"/>
    </xf>
    <xf numFmtId="0" fontId="11" fillId="25" borderId="0" xfId="0" applyFont="1" applyFill="1" applyBorder="1" applyAlignment="1">
      <alignment vertical="center"/>
    </xf>
    <xf numFmtId="0" fontId="5" fillId="25" borderId="25" xfId="0" applyFont="1" applyFill="1" applyBorder="1" applyAlignment="1">
      <alignment vertical="center"/>
    </xf>
    <xf numFmtId="0" fontId="5" fillId="25" borderId="55" xfId="0" applyFont="1" applyFill="1" applyBorder="1" applyAlignment="1">
      <alignment vertical="center"/>
    </xf>
    <xf numFmtId="0" fontId="74" fillId="25" borderId="55" xfId="0" applyFont="1" applyFill="1" applyBorder="1" applyAlignment="1">
      <alignment vertical="center"/>
    </xf>
    <xf numFmtId="169" fontId="6" fillId="25" borderId="55" xfId="0" applyNumberFormat="1" applyFont="1" applyFill="1" applyBorder="1" applyAlignment="1">
      <alignment horizontal="center" vertical="center"/>
    </xf>
    <xf numFmtId="0" fontId="6" fillId="25" borderId="4" xfId="0" applyFont="1" applyFill="1" applyBorder="1" applyAlignment="1">
      <alignment horizontal="center" vertical="center"/>
    </xf>
    <xf numFmtId="0" fontId="6" fillId="25" borderId="28" xfId="0" applyFont="1" applyFill="1" applyBorder="1" applyAlignment="1">
      <alignment horizontal="center" vertical="center"/>
    </xf>
    <xf numFmtId="1" fontId="6" fillId="25" borderId="5" xfId="0" applyNumberFormat="1" applyFont="1" applyFill="1" applyBorder="1" applyAlignment="1">
      <alignment horizontal="center" vertical="center"/>
    </xf>
    <xf numFmtId="0" fontId="11" fillId="25" borderId="10" xfId="0" applyFont="1" applyFill="1" applyBorder="1" applyAlignment="1">
      <alignment horizontal="center" vertical="center"/>
    </xf>
    <xf numFmtId="0" fontId="6" fillId="25" borderId="5" xfId="0" applyFont="1" applyFill="1" applyBorder="1" applyAlignment="1">
      <alignment horizontal="center" vertical="center"/>
    </xf>
    <xf numFmtId="0" fontId="75" fillId="25" borderId="3" xfId="0" quotePrefix="1" applyFont="1" applyFill="1" applyBorder="1" applyAlignment="1">
      <alignment horizontal="center" vertical="center"/>
    </xf>
    <xf numFmtId="0" fontId="11" fillId="25" borderId="41" xfId="0" applyFont="1" applyFill="1" applyBorder="1" applyAlignment="1">
      <alignment horizontal="center" vertical="center"/>
    </xf>
    <xf numFmtId="0" fontId="75" fillId="25" borderId="29" xfId="0" applyFont="1" applyFill="1" applyBorder="1" applyAlignment="1">
      <alignment horizontal="center" vertical="center"/>
    </xf>
    <xf numFmtId="0" fontId="75" fillId="25" borderId="59" xfId="0" applyFont="1" applyFill="1" applyBorder="1" applyAlignment="1">
      <alignment horizontal="center" vertical="center"/>
    </xf>
    <xf numFmtId="0" fontId="11" fillId="25" borderId="23" xfId="0" applyFont="1" applyFill="1" applyBorder="1" applyAlignment="1">
      <alignment horizontal="center" vertical="center"/>
    </xf>
    <xf numFmtId="0" fontId="11" fillId="25" borderId="30" xfId="0" applyFont="1" applyFill="1" applyBorder="1" applyAlignment="1">
      <alignment horizontal="center" vertical="center"/>
    </xf>
    <xf numFmtId="1" fontId="11" fillId="25" borderId="30" xfId="0" applyNumberFormat="1" applyFont="1" applyFill="1" applyBorder="1" applyAlignment="1">
      <alignment horizontal="center" vertical="center"/>
    </xf>
    <xf numFmtId="2" fontId="75" fillId="21" borderId="10" xfId="0" applyNumberFormat="1" applyFont="1" applyFill="1" applyBorder="1" applyAlignment="1">
      <alignment horizontal="center" vertical="center"/>
    </xf>
    <xf numFmtId="169" fontId="11" fillId="21" borderId="29" xfId="0" applyNumberFormat="1" applyFont="1" applyFill="1" applyBorder="1" applyAlignment="1">
      <alignment horizontal="center" vertical="center"/>
    </xf>
    <xf numFmtId="171" fontId="11" fillId="21" borderId="29" xfId="0" applyNumberFormat="1" applyFont="1" applyFill="1" applyBorder="1" applyAlignment="1">
      <alignment horizontal="center" vertical="center"/>
    </xf>
    <xf numFmtId="171" fontId="11" fillId="21" borderId="36" xfId="0" applyNumberFormat="1" applyFont="1" applyFill="1" applyBorder="1" applyAlignment="1">
      <alignment horizontal="center" vertical="center"/>
    </xf>
    <xf numFmtId="171" fontId="75" fillId="21" borderId="23" xfId="0" applyNumberFormat="1" applyFont="1" applyFill="1" applyBorder="1" applyAlignment="1">
      <alignment horizontal="center" vertical="center"/>
    </xf>
    <xf numFmtId="1" fontId="6" fillId="19" borderId="5" xfId="0" applyNumberFormat="1" applyFont="1" applyFill="1" applyBorder="1" applyAlignment="1">
      <alignment horizontal="center" vertical="center"/>
    </xf>
    <xf numFmtId="0" fontId="11" fillId="19" borderId="10" xfId="0" applyFont="1" applyFill="1" applyBorder="1" applyAlignment="1">
      <alignment horizontal="center" vertical="center"/>
    </xf>
    <xf numFmtId="0" fontId="6" fillId="19" borderId="5" xfId="0" applyFont="1" applyFill="1" applyBorder="1" applyAlignment="1">
      <alignment horizontal="center" vertical="center"/>
    </xf>
    <xf numFmtId="0" fontId="75" fillId="19" borderId="3" xfId="0" quotePrefix="1" applyFont="1" applyFill="1" applyBorder="1" applyAlignment="1">
      <alignment horizontal="center" vertical="center"/>
    </xf>
    <xf numFmtId="0" fontId="11" fillId="19" borderId="41" xfId="0" applyFont="1" applyFill="1" applyBorder="1" applyAlignment="1">
      <alignment horizontal="center" vertical="center"/>
    </xf>
    <xf numFmtId="0" fontId="75" fillId="19" borderId="59" xfId="0" applyFont="1" applyFill="1" applyBorder="1" applyAlignment="1">
      <alignment horizontal="center" vertical="center"/>
    </xf>
    <xf numFmtId="0" fontId="11" fillId="19" borderId="23" xfId="0" applyFont="1" applyFill="1" applyBorder="1" applyAlignment="1">
      <alignment horizontal="center" vertical="center"/>
    </xf>
    <xf numFmtId="0" fontId="11" fillId="19" borderId="30" xfId="0" applyFont="1" applyFill="1" applyBorder="1" applyAlignment="1">
      <alignment horizontal="center" vertical="center"/>
    </xf>
    <xf numFmtId="1" fontId="75" fillId="19" borderId="32" xfId="0" applyNumberFormat="1" applyFont="1" applyFill="1" applyBorder="1" applyAlignment="1">
      <alignment horizontal="center" vertical="center"/>
    </xf>
    <xf numFmtId="1" fontId="11" fillId="19" borderId="30" xfId="0" applyNumberFormat="1" applyFont="1" applyFill="1" applyBorder="1" applyAlignment="1">
      <alignment horizontal="center" vertical="center"/>
    </xf>
    <xf numFmtId="1" fontId="6" fillId="19" borderId="41" xfId="0" applyNumberFormat="1" applyFont="1" applyFill="1" applyBorder="1" applyAlignment="1">
      <alignment horizontal="center" vertical="center"/>
    </xf>
    <xf numFmtId="1" fontId="6" fillId="19" borderId="14" xfId="0" applyNumberFormat="1" applyFont="1" applyFill="1" applyBorder="1" applyAlignment="1">
      <alignment horizontal="center" vertical="center"/>
    </xf>
    <xf numFmtId="1" fontId="11" fillId="19" borderId="45" xfId="0" applyNumberFormat="1" applyFont="1" applyFill="1" applyBorder="1" applyAlignment="1">
      <alignment horizontal="center" vertical="center"/>
    </xf>
    <xf numFmtId="169" fontId="11" fillId="19" borderId="10" xfId="0" applyNumberFormat="1" applyFont="1" applyFill="1" applyBorder="1" applyAlignment="1">
      <alignment horizontal="center" vertical="center"/>
    </xf>
    <xf numFmtId="1" fontId="75" fillId="19" borderId="29" xfId="0" quotePrefix="1" applyNumberFormat="1" applyFont="1" applyFill="1" applyBorder="1" applyAlignment="1">
      <alignment horizontal="center" vertical="center"/>
    </xf>
    <xf numFmtId="169" fontId="11" fillId="19" borderId="30" xfId="0" applyNumberFormat="1" applyFont="1" applyFill="1" applyBorder="1" applyAlignment="1">
      <alignment horizontal="center" vertical="center"/>
    </xf>
    <xf numFmtId="0" fontId="75" fillId="19" borderId="62" xfId="0" applyFont="1" applyFill="1" applyBorder="1" applyAlignment="1">
      <alignment horizontal="center" vertical="center"/>
    </xf>
    <xf numFmtId="2" fontId="75" fillId="19" borderId="10" xfId="0" applyNumberFormat="1" applyFont="1" applyFill="1" applyBorder="1" applyAlignment="1">
      <alignment horizontal="center" vertical="center"/>
    </xf>
    <xf numFmtId="2" fontId="11" fillId="19" borderId="10" xfId="0" applyNumberFormat="1" applyFont="1" applyFill="1" applyBorder="1" applyAlignment="1">
      <alignment horizontal="center" vertical="center"/>
    </xf>
    <xf numFmtId="2" fontId="11" fillId="19" borderId="29" xfId="0" applyNumberFormat="1" applyFont="1" applyFill="1" applyBorder="1" applyAlignment="1">
      <alignment horizontal="center" vertical="center"/>
    </xf>
    <xf numFmtId="169" fontId="11" fillId="19" borderId="29" xfId="0" applyNumberFormat="1" applyFont="1" applyFill="1" applyBorder="1" applyAlignment="1">
      <alignment horizontal="center" vertical="center"/>
    </xf>
    <xf numFmtId="1" fontId="11" fillId="19" borderId="29" xfId="0" applyNumberFormat="1" applyFont="1" applyFill="1" applyBorder="1" applyAlignment="1">
      <alignment horizontal="center" vertical="center"/>
    </xf>
    <xf numFmtId="171" fontId="11" fillId="19" borderId="29" xfId="0" applyNumberFormat="1" applyFont="1" applyFill="1" applyBorder="1" applyAlignment="1">
      <alignment horizontal="center" vertical="center"/>
    </xf>
    <xf numFmtId="171" fontId="11" fillId="19" borderId="36" xfId="0" applyNumberFormat="1" applyFont="1" applyFill="1" applyBorder="1" applyAlignment="1">
      <alignment horizontal="center" vertical="center"/>
    </xf>
    <xf numFmtId="171" fontId="11" fillId="19" borderId="45" xfId="0" applyNumberFormat="1" applyFont="1" applyFill="1" applyBorder="1" applyAlignment="1">
      <alignment horizontal="center" vertical="center"/>
    </xf>
    <xf numFmtId="171" fontId="75" fillId="19" borderId="23" xfId="0" applyNumberFormat="1" applyFont="1" applyFill="1" applyBorder="1" applyAlignment="1">
      <alignment horizontal="center" vertical="center"/>
    </xf>
    <xf numFmtId="171" fontId="11" fillId="19" borderId="23" xfId="0" applyNumberFormat="1" applyFont="1" applyFill="1" applyBorder="1" applyAlignment="1">
      <alignment horizontal="center" vertical="center"/>
    </xf>
    <xf numFmtId="2" fontId="6" fillId="19" borderId="41" xfId="0" applyNumberFormat="1" applyFont="1" applyFill="1" applyBorder="1" applyAlignment="1">
      <alignment horizontal="center" vertical="center"/>
    </xf>
    <xf numFmtId="2" fontId="6" fillId="19" borderId="10" xfId="0" applyNumberFormat="1" applyFont="1" applyFill="1" applyBorder="1" applyAlignment="1">
      <alignment horizontal="center" vertical="center"/>
    </xf>
    <xf numFmtId="2" fontId="6" fillId="19" borderId="14" xfId="0" applyNumberFormat="1" applyFont="1" applyFill="1" applyBorder="1" applyAlignment="1">
      <alignment horizontal="center" vertical="center"/>
    </xf>
    <xf numFmtId="0" fontId="74" fillId="19" borderId="69" xfId="0" applyFont="1" applyFill="1" applyBorder="1" applyAlignment="1">
      <alignment horizontal="center" vertical="center"/>
    </xf>
    <xf numFmtId="0" fontId="75" fillId="19" borderId="92" xfId="0" applyFont="1" applyFill="1" applyBorder="1" applyAlignment="1">
      <alignment vertical="center"/>
    </xf>
    <xf numFmtId="0" fontId="75" fillId="19" borderId="46" xfId="0" applyFont="1" applyFill="1" applyBorder="1" applyAlignment="1">
      <alignment vertical="center"/>
    </xf>
    <xf numFmtId="0" fontId="75" fillId="19" borderId="14" xfId="0" applyFont="1" applyFill="1" applyBorder="1" applyAlignment="1">
      <alignment vertical="center"/>
    </xf>
    <xf numFmtId="2" fontId="11" fillId="19" borderId="23" xfId="0" applyNumberFormat="1" applyFont="1" applyFill="1" applyBorder="1" applyAlignment="1">
      <alignment horizontal="center" vertical="center"/>
    </xf>
    <xf numFmtId="169" fontId="11" fillId="25" borderId="10" xfId="0" applyNumberFormat="1" applyFont="1" applyFill="1" applyBorder="1" applyAlignment="1">
      <alignment horizontal="center" vertical="center"/>
    </xf>
    <xf numFmtId="1" fontId="11" fillId="25" borderId="45" xfId="0" applyNumberFormat="1" applyFont="1" applyFill="1" applyBorder="1" applyAlignment="1">
      <alignment horizontal="center" vertical="center"/>
    </xf>
    <xf numFmtId="1" fontId="11" fillId="25" borderId="41" xfId="0" applyNumberFormat="1" applyFont="1" applyFill="1" applyBorder="1" applyAlignment="1">
      <alignment horizontal="center" vertical="center"/>
    </xf>
    <xf numFmtId="2" fontId="11" fillId="25" borderId="10" xfId="0" applyNumberFormat="1" applyFont="1" applyFill="1" applyBorder="1" applyAlignment="1">
      <alignment horizontal="center" vertical="center"/>
    </xf>
    <xf numFmtId="171" fontId="11" fillId="25" borderId="10" xfId="0" applyNumberFormat="1" applyFont="1" applyFill="1" applyBorder="1" applyAlignment="1">
      <alignment horizontal="center" vertical="center"/>
    </xf>
    <xf numFmtId="171" fontId="11" fillId="25" borderId="45" xfId="0" applyNumberFormat="1" applyFont="1" applyFill="1" applyBorder="1" applyAlignment="1">
      <alignment horizontal="center" vertical="center"/>
    </xf>
    <xf numFmtId="169" fontId="11" fillId="25" borderId="23" xfId="0" applyNumberFormat="1" applyFont="1" applyFill="1" applyBorder="1" applyAlignment="1">
      <alignment horizontal="center" vertical="center"/>
    </xf>
    <xf numFmtId="1" fontId="6" fillId="25" borderId="41" xfId="0" applyNumberFormat="1" applyFont="1" applyFill="1" applyBorder="1" applyAlignment="1">
      <alignment horizontal="center" vertical="center"/>
    </xf>
    <xf numFmtId="1" fontId="6" fillId="25" borderId="14" xfId="0" applyNumberFormat="1" applyFont="1" applyFill="1" applyBorder="1" applyAlignment="1">
      <alignment horizontal="center" vertical="center"/>
    </xf>
    <xf numFmtId="169" fontId="11" fillId="25" borderId="30" xfId="0" applyNumberFormat="1" applyFont="1" applyFill="1" applyBorder="1" applyAlignment="1">
      <alignment horizontal="center" vertical="center"/>
    </xf>
    <xf numFmtId="169" fontId="75" fillId="21" borderId="10" xfId="0" applyNumberFormat="1" applyFont="1" applyFill="1" applyBorder="1" applyAlignment="1">
      <alignment horizontal="center" vertical="center"/>
    </xf>
    <xf numFmtId="169" fontId="75" fillId="19" borderId="10" xfId="0" applyNumberFormat="1" applyFont="1" applyFill="1" applyBorder="1" applyAlignment="1">
      <alignment horizontal="center" vertical="center"/>
    </xf>
    <xf numFmtId="2" fontId="138" fillId="25" borderId="76" xfId="0" applyNumberFormat="1" applyFont="1" applyFill="1" applyBorder="1" applyAlignment="1">
      <alignment horizontal="center" vertical="center"/>
    </xf>
    <xf numFmtId="2" fontId="138" fillId="21" borderId="9" xfId="0" applyNumberFormat="1" applyFont="1" applyFill="1" applyBorder="1" applyAlignment="1">
      <alignment horizontal="center" vertical="center"/>
    </xf>
    <xf numFmtId="2" fontId="138" fillId="19" borderId="76" xfId="0" applyNumberFormat="1" applyFont="1" applyFill="1" applyBorder="1" applyAlignment="1">
      <alignment horizontal="center" vertical="center"/>
    </xf>
    <xf numFmtId="2" fontId="138" fillId="19" borderId="9" xfId="0" applyNumberFormat="1" applyFont="1" applyFill="1" applyBorder="1" applyAlignment="1">
      <alignment horizontal="center" vertical="center"/>
    </xf>
    <xf numFmtId="1" fontId="134" fillId="19" borderId="34" xfId="0" applyNumberFormat="1" applyFont="1" applyFill="1" applyBorder="1" applyAlignment="1">
      <alignment horizontal="center" vertical="center"/>
    </xf>
    <xf numFmtId="1" fontId="134" fillId="21" borderId="34" xfId="0" applyNumberFormat="1" applyFont="1" applyFill="1" applyBorder="1" applyAlignment="1">
      <alignment horizontal="center" vertical="center"/>
    </xf>
    <xf numFmtId="1" fontId="138" fillId="0" borderId="0" xfId="0" applyNumberFormat="1" applyFont="1" applyAlignment="1">
      <alignment horizontal="center" vertical="center"/>
    </xf>
    <xf numFmtId="1" fontId="138" fillId="0" borderId="0" xfId="0" applyNumberFormat="1" applyFont="1" applyAlignment="1">
      <alignment horizontal="right"/>
    </xf>
    <xf numFmtId="2" fontId="111" fillId="25" borderId="76" xfId="0" applyNumberFormat="1" applyFont="1" applyFill="1" applyBorder="1" applyAlignment="1">
      <alignment horizontal="center" vertical="center"/>
    </xf>
    <xf numFmtId="2" fontId="111" fillId="25" borderId="31" xfId="0" applyNumberFormat="1" applyFont="1" applyFill="1" applyBorder="1" applyAlignment="1">
      <alignment horizontal="center" vertical="center"/>
    </xf>
    <xf numFmtId="2" fontId="111" fillId="25" borderId="9" xfId="0" applyNumberFormat="1" applyFont="1" applyFill="1" applyBorder="1" applyAlignment="1">
      <alignment horizontal="center" vertical="center"/>
    </xf>
    <xf numFmtId="1" fontId="112" fillId="25" borderId="34" xfId="0" applyNumberFormat="1" applyFont="1" applyFill="1" applyBorder="1" applyAlignment="1">
      <alignment horizontal="center" vertical="center"/>
    </xf>
    <xf numFmtId="1" fontId="111" fillId="25" borderId="34" xfId="0" applyNumberFormat="1" applyFont="1" applyFill="1" applyBorder="1" applyAlignment="1">
      <alignment horizontal="center" vertical="center"/>
    </xf>
    <xf numFmtId="1" fontId="109" fillId="0" borderId="36" xfId="0" applyNumberFormat="1" applyFont="1" applyBorder="1" applyAlignment="1">
      <alignment horizontal="center" vertical="center"/>
    </xf>
    <xf numFmtId="169" fontId="6" fillId="0" borderId="55" xfId="0" applyNumberFormat="1" applyFont="1" applyBorder="1" applyAlignment="1">
      <alignment horizontal="center" vertical="center"/>
    </xf>
    <xf numFmtId="1" fontId="109" fillId="25" borderId="45" xfId="0" applyNumberFormat="1" applyFont="1" applyFill="1" applyBorder="1" applyAlignment="1">
      <alignment horizontal="center" vertical="center"/>
    </xf>
    <xf numFmtId="1" fontId="109" fillId="0" borderId="75" xfId="0" applyNumberFormat="1" applyFont="1" applyBorder="1" applyAlignment="1">
      <alignment horizontal="center" vertical="center"/>
    </xf>
    <xf numFmtId="1" fontId="109" fillId="25" borderId="65" xfId="0" applyNumberFormat="1" applyFont="1" applyFill="1" applyBorder="1" applyAlignment="1">
      <alignment horizontal="center" vertical="center"/>
    </xf>
    <xf numFmtId="2" fontId="111" fillId="21" borderId="76" xfId="0" applyNumberFormat="1" applyFont="1" applyFill="1" applyBorder="1" applyAlignment="1">
      <alignment horizontal="center" vertical="center"/>
    </xf>
    <xf numFmtId="2" fontId="111" fillId="21" borderId="9" xfId="0" applyNumberFormat="1" applyFont="1" applyFill="1" applyBorder="1" applyAlignment="1">
      <alignment horizontal="center" vertical="center"/>
    </xf>
    <xf numFmtId="1" fontId="112" fillId="21" borderId="34" xfId="0" applyNumberFormat="1" applyFont="1" applyFill="1" applyBorder="1" applyAlignment="1">
      <alignment horizontal="center" vertical="center"/>
    </xf>
    <xf numFmtId="1" fontId="111" fillId="21" borderId="34" xfId="0" applyNumberFormat="1" applyFont="1" applyFill="1" applyBorder="1" applyAlignment="1">
      <alignment horizontal="center" vertical="center"/>
    </xf>
    <xf numFmtId="2" fontId="6" fillId="21" borderId="21" xfId="0" applyNumberFormat="1" applyFont="1" applyFill="1" applyBorder="1" applyAlignment="1">
      <alignment horizontal="center" vertical="center"/>
    </xf>
    <xf numFmtId="0" fontId="112" fillId="0" borderId="54" xfId="0" applyFont="1" applyBorder="1" applyAlignment="1">
      <alignment horizontal="center" vertical="center"/>
    </xf>
    <xf numFmtId="2" fontId="111" fillId="19" borderId="76" xfId="0" applyNumberFormat="1" applyFont="1" applyFill="1" applyBorder="1" applyAlignment="1">
      <alignment horizontal="center" vertical="center"/>
    </xf>
    <xf numFmtId="2" fontId="111" fillId="19" borderId="9" xfId="0" applyNumberFormat="1" applyFont="1" applyFill="1" applyBorder="1" applyAlignment="1">
      <alignment horizontal="center" vertical="center"/>
    </xf>
    <xf numFmtId="1" fontId="112" fillId="19" borderId="34" xfId="0" applyNumberFormat="1" applyFont="1" applyFill="1" applyBorder="1" applyAlignment="1">
      <alignment horizontal="center" vertical="center"/>
    </xf>
    <xf numFmtId="1" fontId="109" fillId="19" borderId="72" xfId="0" applyNumberFormat="1" applyFont="1" applyFill="1" applyBorder="1" applyAlignment="1">
      <alignment horizontal="center" vertical="center"/>
    </xf>
    <xf numFmtId="2" fontId="6" fillId="19" borderId="21" xfId="0" applyNumberFormat="1" applyFont="1" applyFill="1" applyBorder="1" applyAlignment="1">
      <alignment horizontal="center" vertical="center"/>
    </xf>
    <xf numFmtId="0" fontId="112" fillId="0" borderId="76" xfId="0" applyFont="1" applyBorder="1" applyAlignment="1">
      <alignment horizontal="center" vertical="center"/>
    </xf>
    <xf numFmtId="0" fontId="112" fillId="21" borderId="76" xfId="0" applyFont="1" applyFill="1" applyBorder="1" applyAlignment="1">
      <alignment horizontal="center" vertical="center"/>
    </xf>
    <xf numFmtId="0" fontId="112" fillId="19" borderId="76" xfId="0" applyFont="1" applyFill="1" applyBorder="1" applyAlignment="1">
      <alignment horizontal="center" vertical="center"/>
    </xf>
    <xf numFmtId="1" fontId="138" fillId="21" borderId="12" xfId="0" applyNumberFormat="1" applyFont="1" applyFill="1" applyBorder="1" applyAlignment="1">
      <alignment horizontal="center" vertical="center"/>
    </xf>
    <xf numFmtId="0" fontId="121" fillId="25" borderId="44" xfId="0" applyFont="1" applyFill="1" applyBorder="1" applyAlignment="1">
      <alignment vertical="center"/>
    </xf>
    <xf numFmtId="0" fontId="146" fillId="25" borderId="24" xfId="0" applyFont="1" applyFill="1" applyBorder="1" applyAlignment="1">
      <alignment horizontal="center" vertical="center"/>
    </xf>
    <xf numFmtId="2" fontId="168" fillId="25" borderId="3" xfId="0" applyNumberFormat="1" applyFont="1" applyFill="1" applyBorder="1" applyAlignment="1">
      <alignment horizontal="center" vertical="center"/>
    </xf>
    <xf numFmtId="2" fontId="147" fillId="25" borderId="3" xfId="0" applyNumberFormat="1" applyFont="1" applyFill="1" applyBorder="1" applyAlignment="1">
      <alignment horizontal="center" vertical="center"/>
    </xf>
    <xf numFmtId="2" fontId="147" fillId="25" borderId="24" xfId="0" applyNumberFormat="1" applyFont="1" applyFill="1" applyBorder="1" applyAlignment="1">
      <alignment horizontal="center" vertical="center"/>
    </xf>
    <xf numFmtId="2" fontId="168" fillId="25" borderId="63" xfId="0" applyNumberFormat="1" applyFont="1" applyFill="1" applyBorder="1" applyAlignment="1">
      <alignment horizontal="center" vertical="center"/>
    </xf>
    <xf numFmtId="2" fontId="147" fillId="25" borderId="61" xfId="0" applyNumberFormat="1" applyFont="1" applyFill="1" applyBorder="1" applyAlignment="1">
      <alignment horizontal="center" vertical="center"/>
    </xf>
    <xf numFmtId="0" fontId="147" fillId="25" borderId="24" xfId="0" applyFont="1" applyFill="1" applyBorder="1" applyAlignment="1">
      <alignment horizontal="center" vertical="center"/>
    </xf>
    <xf numFmtId="2" fontId="112" fillId="25" borderId="10" xfId="0" applyNumberFormat="1" applyFont="1" applyFill="1" applyBorder="1" applyAlignment="1">
      <alignment horizontal="center" vertical="center"/>
    </xf>
    <xf numFmtId="2" fontId="6" fillId="25" borderId="33" xfId="0" applyNumberFormat="1" applyFont="1" applyFill="1" applyBorder="1" applyAlignment="1">
      <alignment horizontal="center" vertical="center"/>
    </xf>
    <xf numFmtId="1" fontId="110" fillId="25" borderId="41" xfId="0" applyNumberFormat="1" applyFont="1" applyFill="1" applyBorder="1" applyAlignment="1">
      <alignment horizontal="center" vertical="center"/>
    </xf>
    <xf numFmtId="1" fontId="11" fillId="25" borderId="42" xfId="0" applyNumberFormat="1" applyFont="1" applyFill="1" applyBorder="1" applyAlignment="1">
      <alignment horizontal="center" vertical="center"/>
    </xf>
    <xf numFmtId="169" fontId="111" fillId="25" borderId="53" xfId="0" applyNumberFormat="1" applyFont="1" applyFill="1" applyBorder="1" applyAlignment="1">
      <alignment horizontal="center" vertical="center"/>
    </xf>
    <xf numFmtId="1" fontId="110" fillId="25" borderId="42" xfId="0" applyNumberFormat="1" applyFont="1" applyFill="1" applyBorder="1" applyAlignment="1">
      <alignment horizontal="center" vertical="center"/>
    </xf>
    <xf numFmtId="2" fontId="109" fillId="0" borderId="72" xfId="0" quotePrefix="1" applyNumberFormat="1" applyFont="1" applyBorder="1" applyAlignment="1">
      <alignment horizontal="center" vertical="center"/>
    </xf>
    <xf numFmtId="0" fontId="110" fillId="0" borderId="141" xfId="0" applyFont="1" applyBorder="1" applyAlignment="1">
      <alignment vertical="center"/>
    </xf>
    <xf numFmtId="0" fontId="109" fillId="0" borderId="143" xfId="0" applyFont="1" applyBorder="1" applyAlignment="1">
      <alignment horizontal="left" vertical="center"/>
    </xf>
    <xf numFmtId="2" fontId="109" fillId="0" borderId="33" xfId="0" quotePrefix="1" applyNumberFormat="1" applyFont="1" applyBorder="1" applyAlignment="1">
      <alignment horizontal="center" vertical="center"/>
    </xf>
    <xf numFmtId="0" fontId="6" fillId="0" borderId="141" xfId="0" applyFont="1" applyBorder="1" applyAlignment="1">
      <alignment vertical="center"/>
    </xf>
    <xf numFmtId="0" fontId="6" fillId="0" borderId="143" xfId="0" applyFont="1" applyBorder="1" applyAlignment="1">
      <alignment horizontal="left" vertical="center"/>
    </xf>
    <xf numFmtId="0" fontId="122" fillId="25" borderId="119" xfId="0" applyFont="1" applyFill="1" applyBorder="1" applyAlignment="1">
      <alignment vertical="center"/>
    </xf>
    <xf numFmtId="0" fontId="122" fillId="25" borderId="6" xfId="0" applyFont="1" applyFill="1" applyBorder="1" applyAlignment="1">
      <alignment vertical="center"/>
    </xf>
    <xf numFmtId="169" fontId="125" fillId="25" borderId="59" xfId="0" applyNumberFormat="1" applyFont="1" applyFill="1" applyBorder="1" applyAlignment="1">
      <alignment horizontal="center" vertical="center"/>
    </xf>
    <xf numFmtId="169" fontId="134" fillId="25" borderId="62" xfId="0" quotePrefix="1" applyNumberFormat="1" applyFont="1" applyFill="1" applyBorder="1" applyAlignment="1">
      <alignment horizontal="center" vertical="center"/>
    </xf>
    <xf numFmtId="169" fontId="134" fillId="25" borderId="36" xfId="0" applyNumberFormat="1" applyFont="1" applyFill="1" applyBorder="1" applyAlignment="1">
      <alignment horizontal="center" vertical="center"/>
    </xf>
    <xf numFmtId="169" fontId="134" fillId="25" borderId="31" xfId="0" quotePrefix="1" applyNumberFormat="1" applyFont="1" applyFill="1" applyBorder="1" applyAlignment="1">
      <alignment horizontal="center" vertical="center"/>
    </xf>
    <xf numFmtId="169" fontId="134" fillId="25" borderId="29" xfId="0" applyNumberFormat="1" applyFont="1" applyFill="1" applyBorder="1" applyAlignment="1">
      <alignment horizontal="center" vertical="center"/>
    </xf>
    <xf numFmtId="169" fontId="109" fillId="25" borderId="36" xfId="0" quotePrefix="1" applyNumberFormat="1" applyFont="1" applyFill="1" applyBorder="1" applyAlignment="1">
      <alignment horizontal="center" vertical="center"/>
    </xf>
    <xf numFmtId="169" fontId="125" fillId="25" borderId="32" xfId="0" quotePrefix="1" applyNumberFormat="1" applyFont="1" applyFill="1" applyBorder="1" applyAlignment="1">
      <alignment horizontal="center" vertical="center"/>
    </xf>
    <xf numFmtId="169" fontId="125" fillId="0" borderId="36" xfId="0" quotePrefix="1" applyNumberFormat="1" applyFont="1" applyBorder="1" applyAlignment="1">
      <alignment horizontal="center" vertical="center"/>
    </xf>
    <xf numFmtId="169" fontId="6" fillId="25" borderId="67" xfId="0" applyNumberFormat="1" applyFont="1" applyFill="1" applyBorder="1" applyAlignment="1">
      <alignment horizontal="center" vertical="center"/>
    </xf>
    <xf numFmtId="1" fontId="75" fillId="21" borderId="44" xfId="0" applyNumberFormat="1" applyFont="1" applyFill="1" applyBorder="1" applyAlignment="1">
      <alignment horizontal="center" vertical="center"/>
    </xf>
    <xf numFmtId="2" fontId="74" fillId="21" borderId="57" xfId="0" applyNumberFormat="1" applyFont="1" applyFill="1" applyBorder="1" applyAlignment="1">
      <alignment horizontal="center" vertical="center"/>
    </xf>
    <xf numFmtId="169" fontId="134" fillId="21" borderId="47" xfId="0" applyNumberFormat="1" applyFont="1" applyFill="1" applyBorder="1" applyAlignment="1">
      <alignment horizontal="center" vertical="center"/>
    </xf>
    <xf numFmtId="169" fontId="125" fillId="21" borderId="51" xfId="0" quotePrefix="1" applyNumberFormat="1" applyFont="1" applyFill="1" applyBorder="1" applyAlignment="1">
      <alignment horizontal="center" vertical="center"/>
    </xf>
    <xf numFmtId="2" fontId="74" fillId="21" borderId="51" xfId="0" applyNumberFormat="1" applyFont="1" applyFill="1" applyBorder="1" applyAlignment="1">
      <alignment horizontal="center" vertical="center"/>
    </xf>
    <xf numFmtId="1" fontId="75" fillId="25" borderId="3" xfId="0" quotePrefix="1" applyNumberFormat="1" applyFont="1" applyFill="1" applyBorder="1" applyAlignment="1">
      <alignment horizontal="center" vertical="center"/>
    </xf>
    <xf numFmtId="2" fontId="74" fillId="25" borderId="69" xfId="0" quotePrefix="1" applyNumberFormat="1" applyFont="1" applyFill="1" applyBorder="1" applyAlignment="1">
      <alignment horizontal="center" vertical="center"/>
    </xf>
    <xf numFmtId="169" fontId="134" fillId="25" borderId="29" xfId="0" quotePrefix="1" applyNumberFormat="1" applyFont="1" applyFill="1" applyBorder="1" applyAlignment="1">
      <alignment horizontal="center" vertical="center"/>
    </xf>
    <xf numFmtId="169" fontId="134" fillId="25" borderId="36" xfId="0" quotePrefix="1" applyNumberFormat="1" applyFont="1" applyFill="1" applyBorder="1" applyAlignment="1">
      <alignment horizontal="center" vertical="center"/>
    </xf>
    <xf numFmtId="169" fontId="125" fillId="25" borderId="59" xfId="0" quotePrefix="1" applyNumberFormat="1" applyFont="1" applyFill="1" applyBorder="1" applyAlignment="1">
      <alignment horizontal="center" vertical="center"/>
    </xf>
    <xf numFmtId="1" fontId="61" fillId="25" borderId="3" xfId="0" applyNumberFormat="1" applyFont="1" applyFill="1" applyBorder="1" applyAlignment="1">
      <alignment horizontal="center" vertical="center"/>
    </xf>
    <xf numFmtId="2" fontId="74" fillId="25" borderId="59" xfId="0" applyNumberFormat="1" applyFont="1" applyFill="1" applyBorder="1" applyAlignment="1">
      <alignment horizontal="center" vertical="center"/>
    </xf>
    <xf numFmtId="0" fontId="6" fillId="0" borderId="75" xfId="0" applyFont="1" applyBorder="1" applyAlignment="1">
      <alignment vertical="center"/>
    </xf>
    <xf numFmtId="1" fontId="111" fillId="21" borderId="18" xfId="0" applyNumberFormat="1" applyFont="1" applyFill="1" applyBorder="1" applyAlignment="1">
      <alignment horizontal="center" vertical="center"/>
    </xf>
    <xf numFmtId="2" fontId="112" fillId="21" borderId="12" xfId="0" applyNumberFormat="1" applyFont="1" applyFill="1" applyBorder="1" applyAlignment="1">
      <alignment horizontal="center" vertical="center"/>
    </xf>
    <xf numFmtId="1" fontId="11" fillId="21" borderId="18" xfId="0" applyNumberFormat="1" applyFont="1" applyFill="1" applyBorder="1" applyAlignment="1">
      <alignment horizontal="center" vertical="center"/>
    </xf>
    <xf numFmtId="2" fontId="6" fillId="21" borderId="20" xfId="0" applyNumberFormat="1" applyFont="1" applyFill="1" applyBorder="1" applyAlignment="1">
      <alignment horizontal="center" vertical="center"/>
    </xf>
    <xf numFmtId="169" fontId="112" fillId="21" borderId="12" xfId="0" applyNumberFormat="1" applyFont="1" applyFill="1" applyBorder="1" applyAlignment="1">
      <alignment horizontal="center" vertical="center"/>
    </xf>
    <xf numFmtId="169" fontId="109" fillId="21" borderId="60" xfId="0" quotePrefix="1" applyNumberFormat="1" applyFont="1" applyFill="1" applyBorder="1" applyAlignment="1">
      <alignment horizontal="center" vertical="center"/>
    </xf>
    <xf numFmtId="1" fontId="110" fillId="21" borderId="18" xfId="0" applyNumberFormat="1" applyFont="1" applyFill="1" applyBorder="1" applyAlignment="1">
      <alignment horizontal="center" vertical="center"/>
    </xf>
    <xf numFmtId="169" fontId="110" fillId="21" borderId="22" xfId="0" applyNumberFormat="1" applyFont="1" applyFill="1" applyBorder="1" applyAlignment="1">
      <alignment horizontal="center" vertical="center"/>
    </xf>
    <xf numFmtId="1" fontId="6" fillId="21" borderId="20" xfId="0" applyNumberFormat="1" applyFont="1" applyFill="1" applyBorder="1" applyAlignment="1">
      <alignment horizontal="center" vertical="center"/>
    </xf>
    <xf numFmtId="1" fontId="137" fillId="19" borderId="44" xfId="0" applyNumberFormat="1" applyFont="1" applyFill="1" applyBorder="1" applyAlignment="1">
      <alignment horizontal="center" vertical="center"/>
    </xf>
    <xf numFmtId="2" fontId="114" fillId="19" borderId="57" xfId="0" applyNumberFormat="1" applyFont="1" applyFill="1" applyBorder="1" applyAlignment="1">
      <alignment horizontal="center" vertical="center"/>
    </xf>
    <xf numFmtId="169" fontId="119" fillId="19" borderId="47" xfId="0" applyNumberFormat="1" applyFont="1" applyFill="1" applyBorder="1" applyAlignment="1">
      <alignment horizontal="center" vertical="center"/>
    </xf>
    <xf numFmtId="169" fontId="125" fillId="19" borderId="51" xfId="0" quotePrefix="1" applyNumberFormat="1" applyFont="1" applyFill="1" applyBorder="1" applyAlignment="1">
      <alignment horizontal="center" vertical="center"/>
    </xf>
    <xf numFmtId="2" fontId="74" fillId="19" borderId="51" xfId="0" applyNumberFormat="1" applyFont="1" applyFill="1" applyBorder="1" applyAlignment="1">
      <alignment horizontal="center" vertical="center"/>
    </xf>
    <xf numFmtId="1" fontId="111" fillId="19" borderId="18" xfId="0" applyNumberFormat="1" applyFont="1" applyFill="1" applyBorder="1" applyAlignment="1">
      <alignment horizontal="center" vertical="center"/>
    </xf>
    <xf numFmtId="2" fontId="112" fillId="19" borderId="12" xfId="0" applyNumberFormat="1" applyFont="1" applyFill="1" applyBorder="1" applyAlignment="1">
      <alignment horizontal="center" vertical="center"/>
    </xf>
    <xf numFmtId="1" fontId="111" fillId="19" borderId="12" xfId="0" applyNumberFormat="1" applyFont="1" applyFill="1" applyBorder="1" applyAlignment="1">
      <alignment horizontal="center" vertical="center"/>
    </xf>
    <xf numFmtId="1" fontId="11" fillId="19" borderId="18" xfId="0" applyNumberFormat="1" applyFont="1" applyFill="1" applyBorder="1" applyAlignment="1">
      <alignment horizontal="center" vertical="center"/>
    </xf>
    <xf numFmtId="2" fontId="6" fillId="19" borderId="20" xfId="0" applyNumberFormat="1" applyFont="1" applyFill="1" applyBorder="1" applyAlignment="1">
      <alignment horizontal="center" vertical="center"/>
    </xf>
    <xf numFmtId="169" fontId="112" fillId="19" borderId="12" xfId="0" applyNumberFormat="1" applyFont="1" applyFill="1" applyBorder="1" applyAlignment="1">
      <alignment horizontal="center" vertical="center"/>
    </xf>
    <xf numFmtId="169" fontId="109" fillId="19" borderId="60" xfId="0" quotePrefix="1" applyNumberFormat="1" applyFont="1" applyFill="1" applyBorder="1" applyAlignment="1">
      <alignment horizontal="center" vertical="center"/>
    </xf>
    <xf numFmtId="1" fontId="110" fillId="19" borderId="18" xfId="0" applyNumberFormat="1" applyFont="1" applyFill="1" applyBorder="1" applyAlignment="1">
      <alignment horizontal="center" vertical="center"/>
    </xf>
    <xf numFmtId="169" fontId="110" fillId="19" borderId="22" xfId="0" applyNumberFormat="1" applyFont="1" applyFill="1" applyBorder="1" applyAlignment="1">
      <alignment horizontal="center" vertical="center"/>
    </xf>
    <xf numFmtId="1" fontId="6" fillId="19" borderId="20" xfId="0" applyNumberFormat="1" applyFont="1" applyFill="1" applyBorder="1" applyAlignment="1">
      <alignment horizontal="center" vertical="center"/>
    </xf>
    <xf numFmtId="169" fontId="111" fillId="21" borderId="8" xfId="0" applyNumberFormat="1" applyFont="1" applyFill="1" applyBorder="1" applyAlignment="1">
      <alignment horizontal="center" vertical="center"/>
    </xf>
    <xf numFmtId="169" fontId="111" fillId="19" borderId="8" xfId="0" applyNumberFormat="1" applyFont="1" applyFill="1" applyBorder="1" applyAlignment="1">
      <alignment horizontal="center" vertical="center"/>
    </xf>
    <xf numFmtId="1" fontId="206" fillId="25" borderId="11" xfId="189" applyNumberFormat="1" applyFont="1" applyFill="1" applyBorder="1" applyAlignment="1">
      <alignment horizontal="center" vertical="center"/>
    </xf>
    <xf numFmtId="1" fontId="207" fillId="21" borderId="10" xfId="189" applyNumberFormat="1" applyFont="1" applyFill="1" applyBorder="1" applyAlignment="1">
      <alignment horizontal="center" vertical="center"/>
    </xf>
    <xf numFmtId="0" fontId="206" fillId="25" borderId="43" xfId="189" applyFont="1" applyFill="1" applyBorder="1" applyAlignment="1">
      <alignment horizontal="left" vertical="center"/>
    </xf>
    <xf numFmtId="1" fontId="207" fillId="21" borderId="45" xfId="189" applyNumberFormat="1" applyFont="1" applyFill="1" applyBorder="1" applyAlignment="1">
      <alignment horizontal="center" vertical="center"/>
    </xf>
    <xf numFmtId="0" fontId="206" fillId="19" borderId="13" xfId="189" applyFont="1" applyFill="1" applyBorder="1" applyAlignment="1">
      <alignment horizontal="left" vertical="center"/>
    </xf>
    <xf numFmtId="0" fontId="207" fillId="18" borderId="10" xfId="189" applyFont="1" applyFill="1" applyBorder="1" applyAlignment="1">
      <alignment horizontal="center" vertical="center"/>
    </xf>
    <xf numFmtId="1" fontId="207" fillId="18" borderId="10" xfId="189" applyNumberFormat="1" applyFont="1" applyFill="1" applyBorder="1" applyAlignment="1">
      <alignment horizontal="center" vertical="center"/>
    </xf>
    <xf numFmtId="1" fontId="205" fillId="0" borderId="0" xfId="189" applyNumberFormat="1" applyFill="1" applyBorder="1" applyAlignment="1">
      <alignment horizontal="center" vertical="center"/>
    </xf>
    <xf numFmtId="0" fontId="0" fillId="0" borderId="0" xfId="0"/>
    <xf numFmtId="0" fontId="111" fillId="21" borderId="63" xfId="0" applyFont="1" applyFill="1" applyBorder="1" applyAlignment="1">
      <alignment horizontal="center" vertical="center"/>
    </xf>
    <xf numFmtId="1" fontId="111" fillId="21" borderId="29" xfId="0" applyNumberFormat="1" applyFont="1" applyFill="1" applyBorder="1" applyAlignment="1">
      <alignment horizontal="center" vertical="center"/>
    </xf>
    <xf numFmtId="9" fontId="149" fillId="0" borderId="10" xfId="25" applyFont="1" applyBorder="1" applyAlignment="1">
      <alignment horizontal="center" vertical="center"/>
    </xf>
    <xf numFmtId="9" fontId="149" fillId="21" borderId="10" xfId="25" applyFont="1" applyFill="1" applyBorder="1" applyAlignment="1">
      <alignment horizontal="center" vertical="center"/>
    </xf>
    <xf numFmtId="9" fontId="149" fillId="19" borderId="10" xfId="25" applyFont="1" applyFill="1" applyBorder="1" applyAlignment="1">
      <alignment horizontal="center" vertical="center"/>
    </xf>
    <xf numFmtId="41" fontId="125" fillId="0" borderId="1" xfId="0" applyNumberFormat="1" applyFont="1" applyBorder="1" applyAlignment="1">
      <alignment horizontal="left" vertical="center"/>
    </xf>
    <xf numFmtId="41" fontId="229" fillId="0" borderId="1" xfId="0" applyNumberFormat="1" applyFont="1" applyBorder="1" applyAlignment="1">
      <alignment horizontal="right" vertical="center"/>
    </xf>
    <xf numFmtId="41" fontId="229" fillId="0" borderId="1" xfId="0" applyNumberFormat="1" applyFont="1" applyBorder="1" applyAlignment="1">
      <alignment horizontal="center" vertical="center"/>
    </xf>
    <xf numFmtId="0" fontId="0" fillId="25" borderId="10" xfId="0" applyFill="1" applyBorder="1"/>
    <xf numFmtId="0" fontId="54" fillId="25" borderId="10" xfId="0" applyFont="1" applyFill="1" applyBorder="1" applyAlignment="1">
      <alignment horizontal="center" vertical="center"/>
    </xf>
    <xf numFmtId="0" fontId="154" fillId="25" borderId="10" xfId="0" applyFont="1" applyFill="1" applyBorder="1"/>
    <xf numFmtId="9" fontId="149" fillId="25" borderId="10" xfId="25" applyFont="1" applyFill="1" applyBorder="1" applyAlignment="1">
      <alignment horizontal="center" vertical="center"/>
    </xf>
    <xf numFmtId="1" fontId="149" fillId="25" borderId="10" xfId="25" applyNumberFormat="1" applyFont="1" applyFill="1" applyBorder="1" applyAlignment="1">
      <alignment horizontal="center" vertical="center"/>
    </xf>
    <xf numFmtId="1" fontId="149" fillId="21" borderId="10" xfId="25" applyNumberFormat="1" applyFont="1" applyFill="1" applyBorder="1" applyAlignment="1">
      <alignment horizontal="center" vertical="center"/>
    </xf>
    <xf numFmtId="1" fontId="149" fillId="19" borderId="10" xfId="25" applyNumberFormat="1" applyFont="1" applyFill="1" applyBorder="1" applyAlignment="1">
      <alignment horizontal="center" vertical="center"/>
    </xf>
    <xf numFmtId="1" fontId="149" fillId="19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 vertical="center" wrapText="1"/>
    </xf>
    <xf numFmtId="1" fontId="54" fillId="21" borderId="36" xfId="0" applyNumberFormat="1" applyFont="1" applyFill="1" applyBorder="1" applyAlignment="1">
      <alignment horizontal="center" vertical="center"/>
    </xf>
    <xf numFmtId="1" fontId="138" fillId="25" borderId="36" xfId="0" quotePrefix="1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0" fillId="0" borderId="0" xfId="0"/>
    <xf numFmtId="1" fontId="54" fillId="25" borderId="44" xfId="0" applyNumberFormat="1" applyFont="1" applyFill="1" applyBorder="1" applyAlignment="1">
      <alignment horizontal="center" vertical="center"/>
    </xf>
    <xf numFmtId="1" fontId="54" fillId="25" borderId="61" xfId="0" applyNumberFormat="1" applyFont="1" applyFill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1" fontId="138" fillId="19" borderId="34" xfId="0" applyNumberFormat="1" applyFont="1" applyFill="1" applyBorder="1" applyAlignment="1">
      <alignment horizontal="center" vertical="center"/>
    </xf>
    <xf numFmtId="1" fontId="54" fillId="25" borderId="52" xfId="0" applyNumberFormat="1" applyFont="1" applyFill="1" applyBorder="1" applyAlignment="1">
      <alignment horizontal="center" vertical="center"/>
    </xf>
    <xf numFmtId="1" fontId="54" fillId="25" borderId="50" xfId="0" applyNumberFormat="1" applyFont="1" applyFill="1" applyBorder="1" applyAlignment="1">
      <alignment horizontal="center" vertical="center"/>
    </xf>
    <xf numFmtId="1" fontId="54" fillId="21" borderId="61" xfId="0" applyNumberFormat="1" applyFont="1" applyFill="1" applyBorder="1" applyAlignment="1">
      <alignment horizontal="center" vertical="center"/>
    </xf>
    <xf numFmtId="1" fontId="134" fillId="21" borderId="25" xfId="0" applyNumberFormat="1" applyFont="1" applyFill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1" fontId="134" fillId="19" borderId="25" xfId="0" applyNumberFormat="1" applyFont="1" applyFill="1" applyBorder="1" applyAlignment="1">
      <alignment horizontal="center" vertical="center"/>
    </xf>
    <xf numFmtId="0" fontId="112" fillId="0" borderId="55" xfId="0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21" borderId="1" xfId="0" applyFont="1" applyFill="1" applyBorder="1" applyAlignment="1">
      <alignment horizontal="center" vertical="center"/>
    </xf>
    <xf numFmtId="1" fontId="138" fillId="0" borderId="45" xfId="0" applyNumberFormat="1" applyFont="1" applyBorder="1" applyAlignment="1">
      <alignment horizontal="center" vertical="center"/>
    </xf>
    <xf numFmtId="1" fontId="125" fillId="21" borderId="9" xfId="0" applyNumberFormat="1" applyFont="1" applyFill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1" fontId="138" fillId="0" borderId="38" xfId="0" applyNumberFormat="1" applyFont="1" applyBorder="1" applyAlignment="1">
      <alignment horizontal="center" vertical="center"/>
    </xf>
    <xf numFmtId="1" fontId="138" fillId="0" borderId="8" xfId="0" applyNumberFormat="1" applyFont="1" applyBorder="1" applyAlignment="1">
      <alignment horizontal="center" vertical="center"/>
    </xf>
    <xf numFmtId="1" fontId="138" fillId="21" borderId="36" xfId="0" applyNumberFormat="1" applyFont="1" applyFill="1" applyBorder="1" applyAlignment="1">
      <alignment horizontal="center" vertical="center"/>
    </xf>
    <xf numFmtId="1" fontId="138" fillId="21" borderId="8" xfId="0" applyNumberFormat="1" applyFont="1" applyFill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1" fontId="138" fillId="21" borderId="62" xfId="0" applyNumberFormat="1" applyFont="1" applyFill="1" applyBorder="1" applyAlignment="1">
      <alignment horizontal="center" vertical="center"/>
    </xf>
    <xf numFmtId="1" fontId="138" fillId="0" borderId="30" xfId="0" applyNumberFormat="1" applyFont="1" applyBorder="1" applyAlignment="1">
      <alignment horizontal="center" vertical="center"/>
    </xf>
    <xf numFmtId="1" fontId="138" fillId="21" borderId="30" xfId="0" applyNumberFormat="1" applyFont="1" applyFill="1" applyBorder="1" applyAlignment="1">
      <alignment horizontal="center" vertical="center"/>
    </xf>
    <xf numFmtId="1" fontId="138" fillId="19" borderId="62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25" fillId="19" borderId="9" xfId="0" applyNumberFormat="1" applyFont="1" applyFill="1" applyBorder="1" applyAlignment="1">
      <alignment horizontal="center" vertical="center"/>
    </xf>
    <xf numFmtId="1" fontId="138" fillId="19" borderId="30" xfId="0" applyNumberFormat="1" applyFont="1" applyFill="1" applyBorder="1" applyAlignment="1">
      <alignment horizontal="center" vertical="center"/>
    </xf>
    <xf numFmtId="1" fontId="125" fillId="0" borderId="62" xfId="0" applyNumberFormat="1" applyFont="1" applyBorder="1" applyAlignment="1">
      <alignment horizontal="center" vertical="center"/>
    </xf>
    <xf numFmtId="1" fontId="125" fillId="21" borderId="62" xfId="0" applyNumberFormat="1" applyFont="1" applyFill="1" applyBorder="1" applyAlignment="1">
      <alignment horizontal="center" vertical="center"/>
    </xf>
    <xf numFmtId="1" fontId="138" fillId="19" borderId="29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1" fontId="138" fillId="21" borderId="10" xfId="0" applyNumberFormat="1" applyFont="1" applyFill="1" applyBorder="1" applyAlignment="1">
      <alignment horizontal="center" vertical="center"/>
    </xf>
    <xf numFmtId="0" fontId="138" fillId="25" borderId="36" xfId="0" applyFont="1" applyFill="1" applyBorder="1" applyAlignment="1">
      <alignment horizontal="center" vertical="center"/>
    </xf>
    <xf numFmtId="0" fontId="138" fillId="19" borderId="62" xfId="0" applyFont="1" applyFill="1" applyBorder="1" applyAlignment="1">
      <alignment horizontal="center" vertical="center"/>
    </xf>
    <xf numFmtId="169" fontId="138" fillId="25" borderId="62" xfId="0" applyNumberFormat="1" applyFont="1" applyFill="1" applyBorder="1" applyAlignment="1">
      <alignment horizontal="center" vertical="center"/>
    </xf>
    <xf numFmtId="0" fontId="138" fillId="21" borderId="62" xfId="0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2" fontId="111" fillId="0" borderId="53" xfId="0" applyNumberFormat="1" applyFont="1" applyBorder="1" applyAlignment="1">
      <alignment horizontal="center" vertical="center"/>
    </xf>
    <xf numFmtId="2" fontId="111" fillId="0" borderId="48" xfId="0" applyNumberFormat="1" applyFont="1" applyBorder="1" applyAlignment="1">
      <alignment horizontal="center" vertical="center"/>
    </xf>
    <xf numFmtId="169" fontId="125" fillId="25" borderId="9" xfId="0" applyNumberFormat="1" applyFont="1" applyFill="1" applyBorder="1" applyAlignment="1">
      <alignment horizontal="center" vertical="center"/>
    </xf>
    <xf numFmtId="1" fontId="61" fillId="25" borderId="31" xfId="0" applyNumberFormat="1" applyFont="1" applyFill="1" applyBorder="1" applyAlignment="1">
      <alignment horizontal="center" vertical="center"/>
    </xf>
    <xf numFmtId="1" fontId="61" fillId="25" borderId="62" xfId="0" applyNumberFormat="1" applyFont="1" applyFill="1" applyBorder="1" applyAlignment="1">
      <alignment horizontal="center" vertical="center"/>
    </xf>
    <xf numFmtId="1" fontId="125" fillId="25" borderId="36" xfId="0" applyNumberFormat="1" applyFont="1" applyFill="1" applyBorder="1" applyAlignment="1">
      <alignment horizontal="center" vertical="center"/>
    </xf>
    <xf numFmtId="0" fontId="80" fillId="25" borderId="24" xfId="0" applyFont="1" applyFill="1" applyBorder="1" applyAlignment="1">
      <alignment vertical="center"/>
    </xf>
    <xf numFmtId="171" fontId="125" fillId="25" borderId="1" xfId="0" applyNumberFormat="1" applyFont="1" applyFill="1" applyBorder="1" applyAlignment="1">
      <alignment horizontal="center" vertical="center"/>
    </xf>
    <xf numFmtId="169" fontId="125" fillId="25" borderId="69" xfId="0" applyNumberFormat="1" applyFont="1" applyFill="1" applyBorder="1" applyAlignment="1">
      <alignment horizontal="center" vertical="center"/>
    </xf>
    <xf numFmtId="1" fontId="138" fillId="25" borderId="23" xfId="0" applyNumberFormat="1" applyFont="1" applyFill="1" applyBorder="1" applyAlignment="1">
      <alignment horizontal="center" vertical="center"/>
    </xf>
    <xf numFmtId="1" fontId="74" fillId="25" borderId="14" xfId="0" applyNumberFormat="1" applyFont="1" applyFill="1" applyBorder="1" applyAlignment="1">
      <alignment horizontal="center" vertical="center"/>
    </xf>
    <xf numFmtId="171" fontId="138" fillId="25" borderId="36" xfId="0" applyNumberFormat="1" applyFont="1" applyFill="1" applyBorder="1" applyAlignment="1">
      <alignment horizontal="center" vertical="center"/>
    </xf>
    <xf numFmtId="171" fontId="125" fillId="25" borderId="4" xfId="0" applyNumberFormat="1" applyFont="1" applyFill="1" applyBorder="1" applyAlignment="1">
      <alignment horizontal="center" vertical="center"/>
    </xf>
    <xf numFmtId="0" fontId="133" fillId="25" borderId="0" xfId="0" applyFont="1" applyFill="1" applyAlignment="1">
      <alignment horizontal="center" vertical="center"/>
    </xf>
    <xf numFmtId="0" fontId="149" fillId="0" borderId="0" xfId="0" applyFont="1" applyAlignment="1">
      <alignment horizontal="center" vertical="center"/>
    </xf>
    <xf numFmtId="1" fontId="149" fillId="25" borderId="0" xfId="0" applyNumberFormat="1" applyFont="1" applyFill="1" applyAlignment="1">
      <alignment horizontal="center" vertical="center"/>
    </xf>
    <xf numFmtId="1" fontId="110" fillId="0" borderId="6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" fontId="111" fillId="25" borderId="6" xfId="0" applyNumberFormat="1" applyFont="1" applyFill="1" applyBorder="1" applyAlignment="1">
      <alignment horizontal="center" vertical="center"/>
    </xf>
    <xf numFmtId="1" fontId="111" fillId="25" borderId="75" xfId="0" applyNumberFormat="1" applyFont="1" applyFill="1" applyBorder="1" applyAlignment="1">
      <alignment horizontal="center" vertical="center"/>
    </xf>
    <xf numFmtId="0" fontId="112" fillId="21" borderId="40" xfId="0" applyFont="1" applyFill="1" applyBorder="1" applyAlignment="1">
      <alignment horizontal="center" vertical="center"/>
    </xf>
    <xf numFmtId="1" fontId="6" fillId="21" borderId="12" xfId="0" applyNumberFormat="1" applyFont="1" applyFill="1" applyBorder="1" applyAlignment="1">
      <alignment horizontal="center" vertical="center"/>
    </xf>
    <xf numFmtId="1" fontId="22" fillId="0" borderId="55" xfId="0" applyNumberFormat="1" applyFont="1" applyBorder="1" applyAlignment="1">
      <alignment horizontal="center" vertical="center"/>
    </xf>
    <xf numFmtId="0" fontId="112" fillId="19" borderId="40" xfId="0" applyFont="1" applyFill="1" applyBorder="1" applyAlignment="1">
      <alignment horizontal="center" vertical="center"/>
    </xf>
    <xf numFmtId="1" fontId="6" fillId="19" borderId="12" xfId="0" applyNumberFormat="1" applyFont="1" applyFill="1" applyBorder="1" applyAlignment="1">
      <alignment horizontal="center" vertical="center"/>
    </xf>
    <xf numFmtId="0" fontId="112" fillId="25" borderId="31" xfId="0" applyFont="1" applyFill="1" applyBorder="1" applyAlignment="1">
      <alignment horizontal="left" vertical="center"/>
    </xf>
    <xf numFmtId="0" fontId="11" fillId="25" borderId="37" xfId="0" applyFont="1" applyFill="1" applyBorder="1" applyAlignment="1">
      <alignment horizontal="center" vertical="center"/>
    </xf>
    <xf numFmtId="0" fontId="11" fillId="25" borderId="6" xfId="0" applyFont="1" applyFill="1" applyBorder="1" applyAlignment="1">
      <alignment horizontal="center" vertical="center"/>
    </xf>
    <xf numFmtId="0" fontId="112" fillId="25" borderId="10" xfId="0" applyFont="1" applyFill="1" applyBorder="1" applyAlignment="1">
      <alignment horizontal="left" vertical="center"/>
    </xf>
    <xf numFmtId="0" fontId="110" fillId="25" borderId="10" xfId="0" applyFont="1" applyFill="1" applyBorder="1" applyAlignment="1">
      <alignment horizontal="center" vertical="center"/>
    </xf>
    <xf numFmtId="169" fontId="110" fillId="25" borderId="37" xfId="0" applyNumberFormat="1" applyFont="1" applyFill="1" applyBorder="1" applyAlignment="1">
      <alignment horizontal="center" vertical="center"/>
    </xf>
    <xf numFmtId="169" fontId="110" fillId="25" borderId="6" xfId="0" applyNumberFormat="1" applyFont="1" applyFill="1" applyBorder="1" applyAlignment="1">
      <alignment horizontal="center" vertical="center"/>
    </xf>
    <xf numFmtId="1" fontId="111" fillId="25" borderId="18" xfId="0" applyNumberFormat="1" applyFont="1" applyFill="1" applyBorder="1" applyAlignment="1">
      <alignment horizontal="center" vertical="center"/>
    </xf>
    <xf numFmtId="1" fontId="111" fillId="25" borderId="24" xfId="0" applyNumberFormat="1" applyFont="1" applyFill="1" applyBorder="1" applyAlignment="1">
      <alignment horizontal="center" vertical="center"/>
    </xf>
    <xf numFmtId="0" fontId="231" fillId="0" borderId="0" xfId="0" applyFont="1" applyAlignment="1">
      <alignment horizontal="center" vertical="center"/>
    </xf>
    <xf numFmtId="169" fontId="138" fillId="0" borderId="30" xfId="0" applyNumberFormat="1" applyFont="1" applyBorder="1" applyAlignment="1">
      <alignment horizontal="center" vertical="center"/>
    </xf>
    <xf numFmtId="169" fontId="138" fillId="21" borderId="30" xfId="0" applyNumberFormat="1" applyFont="1" applyFill="1" applyBorder="1" applyAlignment="1">
      <alignment horizontal="center" vertical="center"/>
    </xf>
    <xf numFmtId="169" fontId="138" fillId="19" borderId="30" xfId="0" applyNumberFormat="1" applyFont="1" applyFill="1" applyBorder="1" applyAlignment="1">
      <alignment horizontal="center" vertical="center"/>
    </xf>
    <xf numFmtId="169" fontId="111" fillId="19" borderId="30" xfId="0" applyNumberFormat="1" applyFont="1" applyFill="1" applyBorder="1" applyAlignment="1">
      <alignment horizontal="center" vertical="center"/>
    </xf>
    <xf numFmtId="0" fontId="0" fillId="0" borderId="0" xfId="0"/>
    <xf numFmtId="1" fontId="111" fillId="25" borderId="8" xfId="0" applyNumberFormat="1" applyFont="1" applyFill="1" applyBorder="1" applyAlignment="1">
      <alignment horizontal="center" vertical="center"/>
    </xf>
    <xf numFmtId="1" fontId="111" fillId="25" borderId="59" xfId="0" applyNumberFormat="1" applyFont="1" applyFill="1" applyBorder="1" applyAlignment="1">
      <alignment horizontal="center" vertical="center"/>
    </xf>
    <xf numFmtId="1" fontId="138" fillId="25" borderId="18" xfId="0" applyNumberFormat="1" applyFont="1" applyFill="1" applyBorder="1" applyAlignment="1">
      <alignment horizontal="center" vertical="center"/>
    </xf>
    <xf numFmtId="1" fontId="138" fillId="25" borderId="16" xfId="0" applyNumberFormat="1" applyFont="1" applyFill="1" applyBorder="1" applyAlignment="1">
      <alignment horizontal="center" vertical="center"/>
    </xf>
    <xf numFmtId="0" fontId="138" fillId="25" borderId="36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1" fontId="0" fillId="0" borderId="10" xfId="0" quotePrefix="1" applyNumberFormat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1" fontId="138" fillId="0" borderId="8" xfId="0" applyNumberFormat="1" applyFont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1" fontId="138" fillId="21" borderId="74" xfId="0" quotePrefix="1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169" fontId="61" fillId="21" borderId="17" xfId="0" applyNumberFormat="1" applyFont="1" applyFill="1" applyBorder="1" applyAlignment="1">
      <alignment horizontal="center" vertical="center"/>
    </xf>
    <xf numFmtId="169" fontId="61" fillId="21" borderId="72" xfId="0" applyNumberFormat="1" applyFont="1" applyFill="1" applyBorder="1" applyAlignment="1">
      <alignment horizontal="center" vertical="center"/>
    </xf>
    <xf numFmtId="169" fontId="61" fillId="19" borderId="17" xfId="0" applyNumberFormat="1" applyFont="1" applyFill="1" applyBorder="1" applyAlignment="1">
      <alignment horizontal="center" vertical="center"/>
    </xf>
    <xf numFmtId="169" fontId="61" fillId="19" borderId="72" xfId="0" applyNumberFormat="1" applyFont="1" applyFill="1" applyBorder="1" applyAlignment="1">
      <alignment horizontal="center" vertical="center"/>
    </xf>
    <xf numFmtId="0" fontId="0" fillId="0" borderId="0" xfId="0"/>
    <xf numFmtId="1" fontId="134" fillId="25" borderId="59" xfId="0" applyNumberFormat="1" applyFont="1" applyFill="1" applyBorder="1" applyAlignment="1">
      <alignment horizontal="center" vertical="center"/>
    </xf>
    <xf numFmtId="1" fontId="134" fillId="25" borderId="32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75" fillId="25" borderId="29" xfId="0" applyNumberFormat="1" applyFont="1" applyFill="1" applyBorder="1" applyAlignment="1">
      <alignment horizontal="center" vertical="center"/>
    </xf>
    <xf numFmtId="1" fontId="75" fillId="21" borderId="31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1" borderId="45" xfId="0" applyNumberFormat="1" applyFont="1" applyFill="1" applyBorder="1" applyAlignment="1">
      <alignment horizontal="center" vertical="center"/>
    </xf>
    <xf numFmtId="0" fontId="75" fillId="0" borderId="62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12" fillId="0" borderId="4" xfId="0" applyFont="1" applyBorder="1" applyAlignment="1">
      <alignment horizontal="center" vertical="center"/>
    </xf>
    <xf numFmtId="1" fontId="134" fillId="0" borderId="36" xfId="0" applyNumberFormat="1" applyFont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1" fontId="138" fillId="21" borderId="10" xfId="0" applyNumberFormat="1" applyFont="1" applyFill="1" applyBorder="1" applyAlignment="1">
      <alignment horizontal="center" vertical="center"/>
    </xf>
    <xf numFmtId="1" fontId="138" fillId="25" borderId="111" xfId="0" applyNumberFormat="1" applyFont="1" applyFill="1" applyBorder="1" applyAlignment="1">
      <alignment horizontal="center" vertical="center"/>
    </xf>
    <xf numFmtId="0" fontId="119" fillId="25" borderId="1" xfId="0" applyFont="1" applyFill="1" applyBorder="1" applyAlignment="1">
      <alignment horizontal="center" vertical="center"/>
    </xf>
    <xf numFmtId="1" fontId="125" fillId="25" borderId="10" xfId="0" applyNumberFormat="1" applyFont="1" applyFill="1" applyBorder="1" applyAlignment="1">
      <alignment horizontal="center" vertical="center"/>
    </xf>
    <xf numFmtId="169" fontId="125" fillId="21" borderId="10" xfId="0" applyNumberFormat="1" applyFont="1" applyFill="1" applyBorder="1" applyAlignment="1">
      <alignment horizontal="center" vertical="center"/>
    </xf>
    <xf numFmtId="0" fontId="119" fillId="25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12" fillId="21" borderId="1" xfId="0" applyFont="1" applyFill="1" applyBorder="1" applyAlignment="1">
      <alignment horizontal="center" vertical="center"/>
    </xf>
    <xf numFmtId="0" fontId="119" fillId="0" borderId="4" xfId="0" applyFont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1" fontId="74" fillId="21" borderId="34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38" fillId="0" borderId="36" xfId="0" applyNumberFormat="1" applyFont="1" applyBorder="1" applyAlignment="1">
      <alignment horizontal="center" vertical="center"/>
    </xf>
    <xf numFmtId="1" fontId="138" fillId="0" borderId="8" xfId="0" applyNumberFormat="1" applyFont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54" fillId="21" borderId="62" xfId="0" applyNumberFormat="1" applyFont="1" applyFill="1" applyBorder="1" applyAlignment="1">
      <alignment horizontal="center" vertical="center"/>
    </xf>
    <xf numFmtId="1" fontId="54" fillId="21" borderId="34" xfId="0" applyNumberFormat="1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1" fontId="138" fillId="25" borderId="36" xfId="0" quotePrefix="1" applyNumberFormat="1" applyFont="1" applyFill="1" applyBorder="1" applyAlignment="1">
      <alignment horizontal="center" vertical="center"/>
    </xf>
    <xf numFmtId="0" fontId="138" fillId="21" borderId="62" xfId="0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138" fillId="25" borderId="8" xfId="0" applyFont="1" applyFill="1" applyBorder="1" applyAlignment="1">
      <alignment horizontal="center" vertical="center"/>
    </xf>
    <xf numFmtId="0" fontId="0" fillId="0" borderId="0" xfId="0"/>
    <xf numFmtId="169" fontId="111" fillId="25" borderId="29" xfId="0" applyNumberFormat="1" applyFont="1" applyFill="1" applyBorder="1" applyAlignment="1">
      <alignment horizontal="center" vertical="center"/>
    </xf>
    <xf numFmtId="2" fontId="111" fillId="25" borderId="29" xfId="0" applyNumberFormat="1" applyFont="1" applyFill="1" applyBorder="1" applyAlignment="1">
      <alignment horizontal="center" vertical="center"/>
    </xf>
    <xf numFmtId="1" fontId="134" fillId="0" borderId="62" xfId="0" applyNumberFormat="1" applyFont="1" applyBorder="1" applyAlignment="1"/>
    <xf numFmtId="1" fontId="134" fillId="0" borderId="74" xfId="0" applyNumberFormat="1" applyFont="1" applyBorder="1" applyAlignment="1"/>
    <xf numFmtId="1" fontId="134" fillId="0" borderId="13" xfId="0" applyNumberFormat="1" applyFont="1" applyBorder="1" applyAlignment="1">
      <alignment horizontal="center"/>
    </xf>
    <xf numFmtId="1" fontId="134" fillId="25" borderId="62" xfId="0" applyNumberFormat="1" applyFont="1" applyFill="1" applyBorder="1" applyAlignment="1"/>
    <xf numFmtId="1" fontId="134" fillId="25" borderId="74" xfId="0" applyNumberFormat="1" applyFont="1" applyFill="1" applyBorder="1" applyAlignment="1"/>
    <xf numFmtId="1" fontId="112" fillId="59" borderId="76" xfId="0" applyNumberFormat="1" applyFont="1" applyFill="1" applyBorder="1" applyAlignment="1"/>
    <xf numFmtId="1" fontId="112" fillId="59" borderId="74" xfId="0" applyNumberFormat="1" applyFont="1" applyFill="1" applyBorder="1" applyAlignment="1"/>
    <xf numFmtId="1" fontId="112" fillId="59" borderId="13" xfId="0" applyNumberFormat="1" applyFont="1" applyFill="1" applyBorder="1" applyAlignment="1"/>
    <xf numFmtId="1" fontId="134" fillId="21" borderId="62" xfId="0" applyNumberFormat="1" applyFont="1" applyFill="1" applyBorder="1" applyAlignment="1"/>
    <xf numFmtId="1" fontId="134" fillId="21" borderId="74" xfId="0" applyNumberFormat="1" applyFont="1" applyFill="1" applyBorder="1" applyAlignment="1"/>
    <xf numFmtId="1" fontId="134" fillId="19" borderId="62" xfId="0" applyNumberFormat="1" applyFont="1" applyFill="1" applyBorder="1" applyAlignment="1"/>
    <xf numFmtId="1" fontId="134" fillId="19" borderId="74" xfId="0" applyNumberFormat="1" applyFont="1" applyFill="1" applyBorder="1" applyAlignment="1"/>
    <xf numFmtId="1" fontId="134" fillId="21" borderId="13" xfId="0" applyNumberFormat="1" applyFont="1" applyFill="1" applyBorder="1" applyAlignment="1">
      <alignment horizontal="center" vertical="center"/>
    </xf>
    <xf numFmtId="1" fontId="134" fillId="19" borderId="13" xfId="0" applyNumberFormat="1" applyFont="1" applyFill="1" applyBorder="1" applyAlignment="1">
      <alignment horizontal="center" vertical="center"/>
    </xf>
    <xf numFmtId="0" fontId="7" fillId="25" borderId="2" xfId="0" applyFont="1" applyFill="1" applyBorder="1" applyAlignment="1">
      <alignment vertical="center"/>
    </xf>
    <xf numFmtId="0" fontId="166" fillId="25" borderId="39" xfId="0" applyFont="1" applyFill="1" applyBorder="1" applyAlignment="1">
      <alignment horizontal="center" vertical="center"/>
    </xf>
    <xf numFmtId="0" fontId="8" fillId="25" borderId="111" xfId="0" applyFont="1" applyFill="1" applyBorder="1" applyAlignment="1">
      <alignment horizontal="center" vertical="center"/>
    </xf>
    <xf numFmtId="0" fontId="8" fillId="25" borderId="39" xfId="0" applyFont="1" applyFill="1" applyBorder="1" applyAlignment="1">
      <alignment horizontal="center" vertical="center"/>
    </xf>
    <xf numFmtId="2" fontId="11" fillId="0" borderId="17" xfId="0" applyNumberFormat="1" applyFont="1" applyBorder="1" applyAlignment="1">
      <alignment horizontal="center" vertical="center"/>
    </xf>
    <xf numFmtId="169" fontId="11" fillId="21" borderId="17" xfId="0" applyNumberFormat="1" applyFont="1" applyFill="1" applyBorder="1" applyAlignment="1">
      <alignment horizontal="center" vertical="center"/>
    </xf>
    <xf numFmtId="0" fontId="0" fillId="0" borderId="0" xfId="0"/>
    <xf numFmtId="1" fontId="138" fillId="25" borderId="62" xfId="0" applyNumberFormat="1" applyFont="1" applyFill="1" applyBorder="1" applyAlignment="1">
      <alignment horizontal="center" vertical="center"/>
    </xf>
    <xf numFmtId="1" fontId="54" fillId="25" borderId="44" xfId="0" applyNumberFormat="1" applyFont="1" applyFill="1" applyBorder="1" applyAlignment="1">
      <alignment horizontal="center" vertical="center"/>
    </xf>
    <xf numFmtId="1" fontId="54" fillId="25" borderId="61" xfId="0" applyNumberFormat="1" applyFont="1" applyFill="1" applyBorder="1" applyAlignment="1">
      <alignment horizontal="center" vertical="center"/>
    </xf>
    <xf numFmtId="1" fontId="54" fillId="25" borderId="52" xfId="0" applyNumberFormat="1" applyFont="1" applyFill="1" applyBorder="1" applyAlignment="1">
      <alignment horizontal="center" vertical="center"/>
    </xf>
    <xf numFmtId="1" fontId="54" fillId="25" borderId="50" xfId="0" applyNumberFormat="1" applyFont="1" applyFill="1" applyBorder="1" applyAlignment="1">
      <alignment horizontal="center" vertical="center"/>
    </xf>
    <xf numFmtId="1" fontId="111" fillId="59" borderId="41" xfId="0" applyNumberFormat="1" applyFont="1" applyFill="1" applyBorder="1" applyAlignment="1">
      <alignment horizontal="center" vertical="center"/>
    </xf>
    <xf numFmtId="1" fontId="111" fillId="59" borderId="10" xfId="0" applyNumberFormat="1" applyFont="1" applyFill="1" applyBorder="1" applyAlignment="1">
      <alignment horizontal="center" vertical="center"/>
    </xf>
    <xf numFmtId="1" fontId="138" fillId="19" borderId="8" xfId="0" applyNumberFormat="1" applyFont="1" applyFill="1" applyBorder="1" applyAlignment="1">
      <alignment horizontal="center" vertical="center"/>
    </xf>
    <xf numFmtId="1" fontId="125" fillId="0" borderId="62" xfId="0" applyNumberFormat="1" applyFont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0" fillId="0" borderId="0" xfId="0"/>
    <xf numFmtId="1" fontId="54" fillId="25" borderId="61" xfId="0" applyNumberFormat="1" applyFont="1" applyFill="1" applyBorder="1" applyAlignment="1">
      <alignment horizontal="center" vertical="center"/>
    </xf>
    <xf numFmtId="1" fontId="134" fillId="25" borderId="32" xfId="0" applyNumberFormat="1" applyFont="1" applyFill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1" fontId="112" fillId="21" borderId="31" xfId="0" applyNumberFormat="1" applyFont="1" applyFill="1" applyBorder="1" applyAlignment="1">
      <alignment horizontal="center" vertical="center"/>
    </xf>
    <xf numFmtId="1" fontId="138" fillId="19" borderId="34" xfId="0" applyNumberFormat="1" applyFont="1" applyFill="1" applyBorder="1" applyAlignment="1">
      <alignment horizontal="center" vertical="center"/>
    </xf>
    <xf numFmtId="0" fontId="119" fillId="19" borderId="1" xfId="0" applyFont="1" applyFill="1" applyBorder="1" applyAlignment="1">
      <alignment horizontal="center" vertical="center"/>
    </xf>
    <xf numFmtId="1" fontId="134" fillId="25" borderId="59" xfId="0" applyNumberFormat="1" applyFont="1" applyFill="1" applyBorder="1" applyAlignment="1">
      <alignment horizontal="center" vertical="center"/>
    </xf>
    <xf numFmtId="1" fontId="112" fillId="19" borderId="31" xfId="0" applyNumberFormat="1" applyFont="1" applyFill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59" borderId="1" xfId="0" applyFont="1" applyFill="1" applyBorder="1" applyAlignment="1">
      <alignment horizontal="center" vertical="center"/>
    </xf>
    <xf numFmtId="0" fontId="112" fillId="19" borderId="4" xfId="0" applyFont="1" applyFill="1" applyBorder="1" applyAlignment="1">
      <alignment horizontal="center" vertical="center"/>
    </xf>
    <xf numFmtId="1" fontId="138" fillId="0" borderId="36" xfId="0" applyNumberFormat="1" applyFont="1" applyBorder="1" applyAlignment="1">
      <alignment horizontal="center" vertical="center"/>
    </xf>
    <xf numFmtId="1" fontId="138" fillId="0" borderId="8" xfId="0" applyNumberFormat="1" applyFont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1" fontId="138" fillId="19" borderId="8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19" borderId="29" xfId="0" applyNumberFormat="1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1" fontId="138" fillId="21" borderId="10" xfId="0" applyNumberFormat="1" applyFont="1" applyFill="1" applyBorder="1" applyAlignment="1">
      <alignment horizontal="center" vertical="center"/>
    </xf>
    <xf numFmtId="0" fontId="112" fillId="20" borderId="4" xfId="0" applyFont="1" applyFill="1" applyBorder="1" applyAlignment="1">
      <alignment horizontal="center" vertical="center"/>
    </xf>
    <xf numFmtId="0" fontId="119" fillId="20" borderId="28" xfId="0" applyFont="1" applyFill="1" applyBorder="1" applyAlignment="1">
      <alignment horizontal="center" vertical="center"/>
    </xf>
    <xf numFmtId="1" fontId="138" fillId="20" borderId="17" xfId="0" applyNumberFormat="1" applyFont="1" applyFill="1" applyBorder="1" applyAlignment="1">
      <alignment horizontal="center" vertical="center"/>
    </xf>
    <xf numFmtId="1" fontId="54" fillId="20" borderId="17" xfId="0" applyNumberFormat="1" applyFont="1" applyFill="1" applyBorder="1" applyAlignment="1">
      <alignment horizontal="center" vertical="center"/>
    </xf>
    <xf numFmtId="1" fontId="125" fillId="20" borderId="1" xfId="0" applyNumberFormat="1" applyFont="1" applyFill="1" applyBorder="1" applyAlignment="1">
      <alignment horizontal="center" vertical="center"/>
    </xf>
    <xf numFmtId="1" fontId="68" fillId="20" borderId="11" xfId="0" applyNumberFormat="1" applyFont="1" applyFill="1" applyBorder="1" applyAlignment="1">
      <alignment horizontal="center" vertical="center"/>
    </xf>
    <xf numFmtId="1" fontId="138" fillId="20" borderId="8" xfId="0" applyNumberFormat="1" applyFont="1" applyFill="1" applyBorder="1" applyAlignment="1">
      <alignment horizontal="center" vertical="center"/>
    </xf>
    <xf numFmtId="1" fontId="54" fillId="20" borderId="53" xfId="0" applyNumberFormat="1" applyFont="1" applyFill="1" applyBorder="1" applyAlignment="1">
      <alignment horizontal="center" vertical="center"/>
    </xf>
    <xf numFmtId="1" fontId="138" fillId="20" borderId="36" xfId="0" applyNumberFormat="1" applyFont="1" applyFill="1" applyBorder="1" applyAlignment="1">
      <alignment horizontal="center" vertical="center"/>
    </xf>
    <xf numFmtId="1" fontId="54" fillId="20" borderId="72" xfId="0" applyNumberFormat="1" applyFont="1" applyFill="1" applyBorder="1" applyAlignment="1">
      <alignment horizontal="center" vertical="center"/>
    </xf>
    <xf numFmtId="1" fontId="138" fillId="20" borderId="29" xfId="0" applyNumberFormat="1" applyFont="1" applyFill="1" applyBorder="1" applyAlignment="1">
      <alignment horizontal="center" vertical="center"/>
    </xf>
    <xf numFmtId="1" fontId="138" fillId="20" borderId="63" xfId="0" applyNumberFormat="1" applyFont="1" applyFill="1" applyBorder="1" applyAlignment="1">
      <alignment horizontal="center" vertical="center"/>
    </xf>
    <xf numFmtId="1" fontId="138" fillId="20" borderId="31" xfId="0" applyNumberFormat="1" applyFont="1" applyFill="1" applyBorder="1" applyAlignment="1">
      <alignment horizontal="center" vertical="center"/>
    </xf>
    <xf numFmtId="1" fontId="138" fillId="20" borderId="9" xfId="0" applyNumberFormat="1" applyFont="1" applyFill="1" applyBorder="1" applyAlignment="1">
      <alignment horizontal="center" vertical="center"/>
    </xf>
    <xf numFmtId="1" fontId="74" fillId="20" borderId="1" xfId="0" applyNumberFormat="1" applyFont="1" applyFill="1" applyBorder="1" applyAlignment="1">
      <alignment horizontal="center" vertical="center"/>
    </xf>
    <xf numFmtId="1" fontId="114" fillId="20" borderId="11" xfId="0" applyNumberFormat="1" applyFont="1" applyFill="1" applyBorder="1" applyAlignment="1">
      <alignment horizontal="center" vertical="center"/>
    </xf>
    <xf numFmtId="1" fontId="138" fillId="20" borderId="3" xfId="0" applyNumberFormat="1" applyFont="1" applyFill="1" applyBorder="1" applyAlignment="1">
      <alignment horizontal="center" vertical="center"/>
    </xf>
    <xf numFmtId="1" fontId="138" fillId="20" borderId="69" xfId="0" applyNumberFormat="1" applyFont="1" applyFill="1" applyBorder="1" applyAlignment="1">
      <alignment horizontal="center" vertical="center"/>
    </xf>
    <xf numFmtId="1" fontId="74" fillId="20" borderId="69" xfId="0" applyNumberFormat="1" applyFont="1" applyFill="1" applyBorder="1" applyAlignment="1">
      <alignment horizontal="center" vertical="center"/>
    </xf>
    <xf numFmtId="1" fontId="138" fillId="20" borderId="34" xfId="0" applyNumberFormat="1" applyFont="1" applyFill="1" applyBorder="1" applyAlignment="1">
      <alignment horizontal="center" vertical="center"/>
    </xf>
    <xf numFmtId="1" fontId="138" fillId="20" borderId="32" xfId="0" applyNumberFormat="1" applyFont="1" applyFill="1" applyBorder="1" applyAlignment="1">
      <alignment horizontal="center" vertical="center"/>
    </xf>
    <xf numFmtId="1" fontId="54" fillId="20" borderId="33" xfId="0" applyNumberFormat="1" applyFont="1" applyFill="1" applyBorder="1" applyAlignment="1">
      <alignment horizontal="center" vertical="center"/>
    </xf>
    <xf numFmtId="0" fontId="154" fillId="20" borderId="0" xfId="0" applyFont="1" applyFill="1"/>
    <xf numFmtId="0" fontId="0" fillId="20" borderId="0" xfId="0" applyFill="1"/>
    <xf numFmtId="1" fontId="111" fillId="20" borderId="17" xfId="0" applyNumberFormat="1" applyFont="1" applyFill="1" applyBorder="1" applyAlignment="1">
      <alignment horizontal="center" vertical="center"/>
    </xf>
    <xf numFmtId="1" fontId="125" fillId="20" borderId="31" xfId="0" applyNumberFormat="1" applyFont="1" applyFill="1" applyBorder="1" applyAlignment="1">
      <alignment horizontal="center" vertical="center"/>
    </xf>
    <xf numFmtId="1" fontId="68" fillId="20" borderId="17" xfId="0" applyNumberFormat="1" applyFont="1" applyFill="1" applyBorder="1" applyAlignment="1">
      <alignment horizontal="center" vertical="center"/>
    </xf>
    <xf numFmtId="1" fontId="125" fillId="20" borderId="62" xfId="0" applyNumberFormat="1" applyFont="1" applyFill="1" applyBorder="1" applyAlignment="1">
      <alignment horizontal="center" vertical="center"/>
    </xf>
    <xf numFmtId="1" fontId="68" fillId="20" borderId="72" xfId="0" applyNumberFormat="1" applyFont="1" applyFill="1" applyBorder="1" applyAlignment="1">
      <alignment horizontal="center" vertical="center"/>
    </xf>
    <xf numFmtId="169" fontId="74" fillId="20" borderId="32" xfId="0" applyNumberFormat="1" applyFont="1" applyFill="1" applyBorder="1" applyAlignment="1">
      <alignment horizontal="center" vertical="center"/>
    </xf>
    <xf numFmtId="2" fontId="114" fillId="20" borderId="33" xfId="0" applyNumberFormat="1" applyFont="1" applyFill="1" applyBorder="1" applyAlignment="1">
      <alignment horizontal="center" vertical="center"/>
    </xf>
    <xf numFmtId="169" fontId="74" fillId="20" borderId="1" xfId="0" applyNumberFormat="1" applyFont="1" applyFill="1" applyBorder="1" applyAlignment="1">
      <alignment horizontal="center" vertical="center"/>
    </xf>
    <xf numFmtId="2" fontId="114" fillId="20" borderId="21" xfId="0" applyNumberFormat="1" applyFont="1" applyFill="1" applyBorder="1" applyAlignment="1">
      <alignment horizontal="center" vertical="center"/>
    </xf>
    <xf numFmtId="1" fontId="112" fillId="20" borderId="31" xfId="0" applyNumberFormat="1" applyFont="1" applyFill="1" applyBorder="1" applyAlignment="1">
      <alignment horizontal="center" vertical="center"/>
    </xf>
    <xf numFmtId="1" fontId="134" fillId="20" borderId="32" xfId="0" applyNumberFormat="1" applyFont="1" applyFill="1" applyBorder="1" applyAlignment="1">
      <alignment horizontal="center" vertical="center"/>
    </xf>
    <xf numFmtId="1" fontId="138" fillId="20" borderId="44" xfId="0" applyNumberFormat="1" applyFont="1" applyFill="1" applyBorder="1" applyAlignment="1">
      <alignment horizontal="center" vertical="center"/>
    </xf>
    <xf numFmtId="1" fontId="54" fillId="20" borderId="61" xfId="0" applyNumberFormat="1" applyFont="1" applyFill="1" applyBorder="1" applyAlignment="1">
      <alignment horizontal="center" vertical="center"/>
    </xf>
    <xf numFmtId="0" fontId="165" fillId="20" borderId="0" xfId="0" applyFont="1" applyFill="1"/>
    <xf numFmtId="0" fontId="0" fillId="0" borderId="0" xfId="0"/>
    <xf numFmtId="1" fontId="134" fillId="19" borderId="25" xfId="0" applyNumberFormat="1" applyFont="1" applyFill="1" applyBorder="1" applyAlignment="1">
      <alignment horizontal="center" vertical="center"/>
    </xf>
    <xf numFmtId="1" fontId="138" fillId="20" borderId="34" xfId="0" applyNumberFormat="1" applyFont="1" applyFill="1" applyBorder="1" applyAlignment="1">
      <alignment horizontal="center" vertical="center"/>
    </xf>
    <xf numFmtId="1" fontId="138" fillId="19" borderId="34" xfId="0" applyNumberFormat="1" applyFont="1" applyFill="1" applyBorder="1" applyAlignment="1">
      <alignment horizontal="center" vertical="center"/>
    </xf>
    <xf numFmtId="1" fontId="134" fillId="20" borderId="25" xfId="0" applyNumberFormat="1" applyFont="1" applyFill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19" borderId="4" xfId="0" applyFont="1" applyFill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1" fontId="125" fillId="19" borderId="9" xfId="0" applyNumberFormat="1" applyFont="1" applyFill="1" applyBorder="1" applyAlignment="1">
      <alignment horizontal="center" vertical="center"/>
    </xf>
    <xf numFmtId="1" fontId="138" fillId="0" borderId="8" xfId="0" applyNumberFormat="1" applyFont="1" applyBorder="1" applyAlignment="1">
      <alignment horizontal="center" vertical="center"/>
    </xf>
    <xf numFmtId="1" fontId="138" fillId="0" borderId="30" xfId="0" applyNumberFormat="1" applyFont="1" applyBorder="1" applyAlignment="1">
      <alignment horizontal="center" vertical="center"/>
    </xf>
    <xf numFmtId="1" fontId="138" fillId="19" borderId="30" xfId="0" applyNumberFormat="1" applyFont="1" applyFill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19" borderId="29" xfId="0" applyNumberFormat="1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0" fontId="138" fillId="21" borderId="62" xfId="0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2" fontId="111" fillId="0" borderId="53" xfId="0" applyNumberFormat="1" applyFont="1" applyBorder="1" applyAlignment="1">
      <alignment horizontal="center" vertical="center"/>
    </xf>
    <xf numFmtId="2" fontId="111" fillId="0" borderId="48" xfId="0" applyNumberFormat="1" applyFont="1" applyBorder="1" applyAlignment="1">
      <alignment horizontal="center" vertical="center"/>
    </xf>
    <xf numFmtId="0" fontId="109" fillId="25" borderId="1" xfId="0" applyFont="1" applyFill="1" applyBorder="1" applyAlignment="1">
      <alignment horizontal="right" vertical="center"/>
    </xf>
    <xf numFmtId="1" fontId="68" fillId="25" borderId="11" xfId="0" applyNumberFormat="1" applyFont="1" applyFill="1" applyBorder="1" applyAlignment="1">
      <alignment horizontal="center" vertical="center"/>
    </xf>
    <xf numFmtId="1" fontId="109" fillId="25" borderId="1" xfId="0" applyNumberFormat="1" applyFont="1" applyFill="1" applyBorder="1" applyAlignment="1">
      <alignment horizontal="center" vertical="center"/>
    </xf>
    <xf numFmtId="1" fontId="111" fillId="19" borderId="8" xfId="0" applyNumberFormat="1" applyFont="1" applyFill="1" applyBorder="1" applyAlignment="1">
      <alignment horizontal="center" vertical="center"/>
    </xf>
    <xf numFmtId="1" fontId="112" fillId="25" borderId="10" xfId="0" applyNumberFormat="1" applyFont="1" applyFill="1" applyBorder="1" applyAlignment="1">
      <alignment horizontal="center" vertical="center"/>
    </xf>
    <xf numFmtId="1" fontId="6" fillId="0" borderId="69" xfId="0" applyNumberFormat="1" applyFont="1" applyBorder="1" applyAlignment="1">
      <alignment horizontal="center" vertical="center"/>
    </xf>
    <xf numFmtId="2" fontId="6" fillId="19" borderId="33" xfId="0" applyNumberFormat="1" applyFont="1" applyFill="1" applyBorder="1" applyAlignment="1">
      <alignment horizontal="center" vertical="center"/>
    </xf>
    <xf numFmtId="0" fontId="119" fillId="25" borderId="17" xfId="0" applyFont="1" applyFill="1" applyBorder="1" applyAlignment="1">
      <alignment horizontal="center" vertical="center"/>
    </xf>
    <xf numFmtId="0" fontId="7" fillId="25" borderId="0" xfId="0" applyFont="1" applyFill="1" applyAlignment="1">
      <alignment vertical="center"/>
    </xf>
    <xf numFmtId="0" fontId="117" fillId="25" borderId="44" xfId="0" applyFont="1" applyFill="1" applyBorder="1" applyAlignment="1">
      <alignment vertical="center"/>
    </xf>
    <xf numFmtId="0" fontId="117" fillId="25" borderId="24" xfId="0" applyFont="1" applyFill="1" applyBorder="1" applyAlignment="1">
      <alignment vertical="center"/>
    </xf>
    <xf numFmtId="0" fontId="112" fillId="25" borderId="3" xfId="0" applyFont="1" applyFill="1" applyBorder="1" applyAlignment="1">
      <alignment vertical="center"/>
    </xf>
    <xf numFmtId="0" fontId="117" fillId="25" borderId="24" xfId="0" applyFont="1" applyFill="1" applyBorder="1" applyAlignment="1">
      <alignment horizontal="center" vertical="center"/>
    </xf>
    <xf numFmtId="2" fontId="134" fillId="25" borderId="24" xfId="0" applyNumberFormat="1" applyFont="1" applyFill="1" applyBorder="1" applyAlignment="1">
      <alignment horizontal="center" vertical="center"/>
    </xf>
    <xf numFmtId="2" fontId="117" fillId="25" borderId="24" xfId="0" applyNumberFormat="1" applyFont="1" applyFill="1" applyBorder="1" applyAlignment="1">
      <alignment horizontal="center" vertical="center"/>
    </xf>
    <xf numFmtId="0" fontId="112" fillId="25" borderId="10" xfId="0" applyFont="1" applyFill="1" applyBorder="1" applyAlignment="1">
      <alignment vertical="center"/>
    </xf>
    <xf numFmtId="0" fontId="117" fillId="25" borderId="52" xfId="0" applyFont="1" applyFill="1" applyBorder="1" applyAlignment="1">
      <alignment vertical="center"/>
    </xf>
    <xf numFmtId="0" fontId="117" fillId="25" borderId="7" xfId="0" applyFont="1" applyFill="1" applyBorder="1" applyAlignment="1">
      <alignment horizontal="center" vertical="center"/>
    </xf>
    <xf numFmtId="0" fontId="65" fillId="25" borderId="44" xfId="0" applyFont="1" applyFill="1" applyBorder="1" applyAlignment="1">
      <alignment vertical="center"/>
    </xf>
    <xf numFmtId="0" fontId="65" fillId="25" borderId="24" xfId="0" applyFont="1" applyFill="1" applyBorder="1" applyAlignment="1">
      <alignment horizontal="center" vertical="center"/>
    </xf>
    <xf numFmtId="0" fontId="125" fillId="25" borderId="24" xfId="0" applyFont="1" applyFill="1" applyBorder="1" applyAlignment="1">
      <alignment horizontal="center" vertical="center"/>
    </xf>
    <xf numFmtId="0" fontId="65" fillId="25" borderId="24" xfId="0" applyFont="1" applyFill="1" applyBorder="1" applyAlignment="1">
      <alignment vertical="center"/>
    </xf>
    <xf numFmtId="0" fontId="109" fillId="25" borderId="10" xfId="0" applyFont="1" applyFill="1" applyBorder="1" applyAlignment="1">
      <alignment vertical="center"/>
    </xf>
    <xf numFmtId="1" fontId="111" fillId="20" borderId="42" xfId="0" applyNumberFormat="1" applyFont="1" applyFill="1" applyBorder="1" applyAlignment="1">
      <alignment horizontal="center" vertical="center"/>
    </xf>
    <xf numFmtId="1" fontId="138" fillId="20" borderId="62" xfId="0" applyNumberFormat="1" applyFont="1" applyFill="1" applyBorder="1" applyAlignment="1">
      <alignment horizontal="center" vertical="center"/>
    </xf>
    <xf numFmtId="0" fontId="119" fillId="20" borderId="4" xfId="0" applyFont="1" applyFill="1" applyBorder="1" applyAlignment="1">
      <alignment horizontal="center" vertical="center"/>
    </xf>
    <xf numFmtId="1" fontId="111" fillId="20" borderId="33" xfId="0" applyNumberFormat="1" applyFont="1" applyFill="1" applyBorder="1" applyAlignment="1">
      <alignment horizontal="center" vertical="center"/>
    </xf>
    <xf numFmtId="1" fontId="109" fillId="20" borderId="11" xfId="0" applyNumberFormat="1" applyFont="1" applyFill="1" applyBorder="1" applyAlignment="1">
      <alignment horizontal="center" vertical="center"/>
    </xf>
    <xf numFmtId="169" fontId="112" fillId="20" borderId="11" xfId="0" applyNumberFormat="1" applyFont="1" applyFill="1" applyBorder="1" applyAlignment="1">
      <alignment horizontal="center" vertical="center"/>
    </xf>
    <xf numFmtId="0" fontId="109" fillId="20" borderId="11" xfId="0" applyFont="1" applyFill="1" applyBorder="1" applyAlignment="1">
      <alignment horizontal="center" vertical="center"/>
    </xf>
    <xf numFmtId="169" fontId="109" fillId="20" borderId="11" xfId="0" applyNumberFormat="1" applyFont="1" applyFill="1" applyBorder="1" applyAlignment="1">
      <alignment horizontal="center" vertical="center"/>
    </xf>
    <xf numFmtId="1" fontId="125" fillId="20" borderId="4" xfId="0" applyNumberFormat="1" applyFont="1" applyFill="1" applyBorder="1" applyAlignment="1">
      <alignment horizontal="center" vertical="center"/>
    </xf>
    <xf numFmtId="1" fontId="134" fillId="20" borderId="62" xfId="0" applyNumberFormat="1" applyFont="1" applyFill="1" applyBorder="1" applyAlignment="1"/>
    <xf numFmtId="1" fontId="134" fillId="20" borderId="74" xfId="0" applyNumberFormat="1" applyFont="1" applyFill="1" applyBorder="1" applyAlignment="1"/>
    <xf numFmtId="1" fontId="134" fillId="20" borderId="13" xfId="0" applyNumberFormat="1" applyFont="1" applyFill="1" applyBorder="1" applyAlignment="1">
      <alignment horizontal="center" vertical="center"/>
    </xf>
    <xf numFmtId="0" fontId="6" fillId="25" borderId="63" xfId="0" applyFont="1" applyFill="1" applyBorder="1" applyAlignment="1">
      <alignment horizontal="left" vertical="center" wrapText="1"/>
    </xf>
    <xf numFmtId="169" fontId="111" fillId="20" borderId="34" xfId="0" applyNumberFormat="1" applyFont="1" applyFill="1" applyBorder="1" applyAlignment="1">
      <alignment horizontal="center" vertical="center"/>
    </xf>
    <xf numFmtId="169" fontId="111" fillId="20" borderId="32" xfId="0" applyNumberFormat="1" applyFont="1" applyFill="1" applyBorder="1" applyAlignment="1">
      <alignment horizontal="center" vertical="center"/>
    </xf>
    <xf numFmtId="169" fontId="125" fillId="20" borderId="1" xfId="0" applyNumberFormat="1" applyFont="1" applyFill="1" applyBorder="1" applyAlignment="1">
      <alignment horizontal="center" vertical="center"/>
    </xf>
    <xf numFmtId="1" fontId="134" fillId="20" borderId="31" xfId="0" applyNumberFormat="1" applyFont="1" applyFill="1" applyBorder="1" applyAlignment="1">
      <alignment horizontal="center" vertical="center"/>
    </xf>
    <xf numFmtId="1" fontId="109" fillId="20" borderId="1" xfId="0" applyNumberFormat="1" applyFont="1" applyFill="1" applyBorder="1" applyAlignment="1">
      <alignment horizontal="center" vertical="center"/>
    </xf>
    <xf numFmtId="171" fontId="134" fillId="20" borderId="31" xfId="0" applyNumberFormat="1" applyFont="1" applyFill="1" applyBorder="1" applyAlignment="1">
      <alignment horizontal="center" vertical="center"/>
    </xf>
    <xf numFmtId="171" fontId="112" fillId="20" borderId="31" xfId="0" applyNumberFormat="1" applyFont="1" applyFill="1" applyBorder="1" applyAlignment="1">
      <alignment horizontal="center" vertical="center"/>
    </xf>
    <xf numFmtId="2" fontId="138" fillId="20" borderId="17" xfId="0" applyNumberFormat="1" applyFont="1" applyFill="1" applyBorder="1" applyAlignment="1">
      <alignment horizontal="center" vertical="center"/>
    </xf>
    <xf numFmtId="2" fontId="111" fillId="20" borderId="17" xfId="0" applyNumberFormat="1" applyFont="1" applyFill="1" applyBorder="1" applyAlignment="1">
      <alignment horizontal="center" vertical="center"/>
    </xf>
    <xf numFmtId="169" fontId="138" fillId="20" borderId="31" xfId="0" applyNumberFormat="1" applyFont="1" applyFill="1" applyBorder="1" applyAlignment="1">
      <alignment horizontal="center" vertical="center"/>
    </xf>
    <xf numFmtId="1" fontId="111" fillId="20" borderId="9" xfId="0" applyNumberFormat="1" applyFont="1" applyFill="1" applyBorder="1" applyAlignment="1">
      <alignment horizontal="center" vertical="center"/>
    </xf>
    <xf numFmtId="1" fontId="138" fillId="20" borderId="10" xfId="0" applyNumberFormat="1" applyFont="1" applyFill="1" applyBorder="1" applyAlignment="1">
      <alignment horizontal="center" vertical="center"/>
    </xf>
    <xf numFmtId="1" fontId="111" fillId="20" borderId="10" xfId="0" applyNumberFormat="1" applyFont="1" applyFill="1" applyBorder="1" applyAlignment="1">
      <alignment horizontal="center" vertical="center"/>
    </xf>
    <xf numFmtId="169" fontId="138" fillId="20" borderId="10" xfId="0" applyNumberFormat="1" applyFont="1" applyFill="1" applyBorder="1" applyAlignment="1">
      <alignment horizontal="center" vertical="center"/>
    </xf>
    <xf numFmtId="169" fontId="111" fillId="20" borderId="10" xfId="0" applyNumberFormat="1" applyFont="1" applyFill="1" applyBorder="1" applyAlignment="1">
      <alignment horizontal="center" vertical="center"/>
    </xf>
    <xf numFmtId="169" fontId="138" fillId="20" borderId="34" xfId="0" applyNumberFormat="1" applyFont="1" applyFill="1" applyBorder="1" applyAlignment="1">
      <alignment horizontal="center" vertical="center"/>
    </xf>
    <xf numFmtId="1" fontId="138" fillId="19" borderId="42" xfId="0" applyNumberFormat="1" applyFont="1" applyFill="1" applyBorder="1" applyAlignment="1">
      <alignment horizontal="center" vertical="center"/>
    </xf>
    <xf numFmtId="1" fontId="125" fillId="0" borderId="5" xfId="0" applyNumberFormat="1" applyFont="1" applyBorder="1" applyAlignment="1">
      <alignment horizontal="center" vertical="center"/>
    </xf>
    <xf numFmtId="1" fontId="138" fillId="25" borderId="30" xfId="0" applyNumberFormat="1" applyFont="1" applyFill="1" applyBorder="1" applyAlignment="1">
      <alignment horizontal="center" vertical="center"/>
    </xf>
    <xf numFmtId="0" fontId="234" fillId="0" borderId="0" xfId="0" applyFont="1" applyAlignment="1">
      <alignment horizontal="center" vertical="center"/>
    </xf>
    <xf numFmtId="0" fontId="112" fillId="20" borderId="1" xfId="0" applyFont="1" applyFill="1" applyBorder="1" applyAlignment="1">
      <alignment horizontal="center" vertical="center"/>
    </xf>
    <xf numFmtId="0" fontId="112" fillId="20" borderId="28" xfId="0" applyFont="1" applyFill="1" applyBorder="1" applyAlignment="1">
      <alignment horizontal="center" vertical="center"/>
    </xf>
    <xf numFmtId="1" fontId="111" fillId="20" borderId="31" xfId="0" applyNumberFormat="1" applyFont="1" applyFill="1" applyBorder="1" applyAlignment="1">
      <alignment horizontal="center" vertical="center"/>
    </xf>
    <xf numFmtId="1" fontId="125" fillId="20" borderId="8" xfId="0" applyNumberFormat="1" applyFont="1" applyFill="1" applyBorder="1" applyAlignment="1">
      <alignment horizontal="center" vertical="center"/>
    </xf>
    <xf numFmtId="1" fontId="109" fillId="20" borderId="53" xfId="0" applyNumberFormat="1" applyFont="1" applyFill="1" applyBorder="1" applyAlignment="1">
      <alignment horizontal="center" vertical="center"/>
    </xf>
    <xf numFmtId="1" fontId="138" fillId="20" borderId="30" xfId="0" applyNumberFormat="1" applyFont="1" applyFill="1" applyBorder="1" applyAlignment="1">
      <alignment horizontal="center" vertical="center"/>
    </xf>
    <xf numFmtId="1" fontId="125" fillId="20" borderId="9" xfId="0" applyNumberFormat="1" applyFont="1" applyFill="1" applyBorder="1" applyAlignment="1">
      <alignment horizontal="center" vertical="center"/>
    </xf>
    <xf numFmtId="1" fontId="109" fillId="20" borderId="21" xfId="0" applyNumberFormat="1" applyFont="1" applyFill="1" applyBorder="1" applyAlignment="1">
      <alignment horizontal="center" vertical="center"/>
    </xf>
    <xf numFmtId="9" fontId="112" fillId="20" borderId="33" xfId="25" applyFont="1" applyFill="1" applyBorder="1" applyAlignment="1">
      <alignment horizontal="center" vertical="center"/>
    </xf>
    <xf numFmtId="0" fontId="138" fillId="20" borderId="63" xfId="0" applyFont="1" applyFill="1" applyBorder="1" applyAlignment="1">
      <alignment horizontal="center" vertical="center"/>
    </xf>
    <xf numFmtId="0" fontId="111" fillId="20" borderId="63" xfId="0" applyFont="1" applyFill="1" applyBorder="1" applyAlignment="1">
      <alignment horizontal="center" vertical="center"/>
    </xf>
    <xf numFmtId="1" fontId="111" fillId="20" borderId="29" xfId="0" applyNumberFormat="1" applyFont="1" applyFill="1" applyBorder="1" applyAlignment="1">
      <alignment horizontal="center" vertical="center"/>
    </xf>
    <xf numFmtId="169" fontId="111" fillId="20" borderId="31" xfId="0" applyNumberFormat="1" applyFont="1" applyFill="1" applyBorder="1" applyAlignment="1">
      <alignment horizontal="center" vertical="center"/>
    </xf>
    <xf numFmtId="171" fontId="138" fillId="20" borderId="31" xfId="0" applyNumberFormat="1" applyFont="1" applyFill="1" applyBorder="1" applyAlignment="1">
      <alignment horizontal="center" vertical="center"/>
    </xf>
    <xf numFmtId="171" fontId="111" fillId="20" borderId="31" xfId="0" applyNumberFormat="1" applyFont="1" applyFill="1" applyBorder="1" applyAlignment="1">
      <alignment horizontal="center" vertical="center"/>
    </xf>
    <xf numFmtId="2" fontId="138" fillId="20" borderId="31" xfId="0" applyNumberFormat="1" applyFont="1" applyFill="1" applyBorder="1" applyAlignment="1">
      <alignment horizontal="center" vertical="center"/>
    </xf>
    <xf numFmtId="2" fontId="111" fillId="20" borderId="31" xfId="0" applyNumberFormat="1" applyFont="1" applyFill="1" applyBorder="1" applyAlignment="1">
      <alignment horizontal="center" vertical="center"/>
    </xf>
    <xf numFmtId="169" fontId="138" fillId="20" borderId="32" xfId="0" applyNumberFormat="1" applyFont="1" applyFill="1" applyBorder="1" applyAlignment="1">
      <alignment horizontal="center" vertical="center"/>
    </xf>
    <xf numFmtId="0" fontId="154" fillId="20" borderId="10" xfId="0" applyFont="1" applyFill="1" applyBorder="1"/>
    <xf numFmtId="1" fontId="149" fillId="20" borderId="10" xfId="0" applyNumberFormat="1" applyFont="1" applyFill="1" applyBorder="1" applyAlignment="1">
      <alignment horizontal="center" vertical="center"/>
    </xf>
    <xf numFmtId="9" fontId="149" fillId="20" borderId="10" xfId="25" applyFont="1" applyFill="1" applyBorder="1" applyAlignment="1">
      <alignment horizontal="center" vertical="center"/>
    </xf>
    <xf numFmtId="1" fontId="149" fillId="20" borderId="10" xfId="25" applyNumberFormat="1" applyFont="1" applyFill="1" applyBorder="1" applyAlignment="1">
      <alignment horizontal="center" vertical="center"/>
    </xf>
    <xf numFmtId="169" fontId="154" fillId="20" borderId="10" xfId="0" applyNumberFormat="1" applyFont="1" applyFill="1" applyBorder="1"/>
    <xf numFmtId="1" fontId="109" fillId="19" borderId="9" xfId="0" applyNumberFormat="1" applyFont="1" applyFill="1" applyBorder="1" applyAlignment="1">
      <alignment horizontal="center" vertical="center"/>
    </xf>
    <xf numFmtId="171" fontId="138" fillId="19" borderId="10" xfId="0" applyNumberFormat="1" applyFont="1" applyFill="1" applyBorder="1" applyAlignment="1">
      <alignment horizontal="center" vertical="center"/>
    </xf>
    <xf numFmtId="0" fontId="111" fillId="0" borderId="3" xfId="0" applyFont="1" applyBorder="1" applyAlignment="1">
      <alignment horizontal="center" vertical="center"/>
    </xf>
    <xf numFmtId="0" fontId="0" fillId="0" borderId="0" xfId="0"/>
    <xf numFmtId="1" fontId="138" fillId="0" borderId="34" xfId="0" applyNumberFormat="1" applyFont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1" fontId="138" fillId="20" borderId="34" xfId="0" applyNumberFormat="1" applyFont="1" applyFill="1" applyBorder="1" applyAlignment="1">
      <alignment horizontal="center" vertical="center"/>
    </xf>
    <xf numFmtId="0" fontId="112" fillId="19" borderId="4" xfId="0" applyFont="1" applyFill="1" applyBorder="1" applyAlignment="1">
      <alignment horizontal="center" vertical="center"/>
    </xf>
    <xf numFmtId="1" fontId="138" fillId="0" borderId="8" xfId="0" applyNumberFormat="1" applyFont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19" borderId="29" xfId="0" applyNumberFormat="1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230" fillId="25" borderId="0" xfId="0" applyFont="1" applyFill="1" applyBorder="1"/>
    <xf numFmtId="0" fontId="135" fillId="20" borderId="6" xfId="0" applyFont="1" applyFill="1" applyBorder="1" applyAlignment="1">
      <alignment vertical="center"/>
    </xf>
    <xf numFmtId="0" fontId="128" fillId="20" borderId="6" xfId="0" applyFont="1" applyFill="1" applyBorder="1" applyAlignment="1">
      <alignment vertical="center"/>
    </xf>
    <xf numFmtId="1" fontId="138" fillId="20" borderId="29" xfId="0" applyNumberFormat="1" applyFont="1" applyFill="1" applyBorder="1" applyAlignment="1">
      <alignment horizontal="center" vertical="center"/>
    </xf>
    <xf numFmtId="2" fontId="125" fillId="20" borderId="1" xfId="0" applyNumberFormat="1" applyFont="1" applyFill="1" applyBorder="1" applyAlignment="1">
      <alignment horizontal="center" vertical="center"/>
    </xf>
    <xf numFmtId="2" fontId="109" fillId="20" borderId="21" xfId="0" applyNumberFormat="1" applyFont="1" applyFill="1" applyBorder="1" applyAlignment="1">
      <alignment horizontal="center" vertical="center"/>
    </xf>
    <xf numFmtId="2" fontId="134" fillId="20" borderId="32" xfId="0" applyNumberFormat="1" applyFont="1" applyFill="1" applyBorder="1" applyAlignment="1">
      <alignment horizontal="center" vertical="center"/>
    </xf>
    <xf numFmtId="9" fontId="112" fillId="20" borderId="27" xfId="25" applyFont="1" applyFill="1" applyBorder="1" applyAlignment="1">
      <alignment horizontal="center" vertical="center"/>
    </xf>
    <xf numFmtId="0" fontId="138" fillId="20" borderId="34" xfId="0" applyFont="1" applyFill="1" applyBorder="1" applyAlignment="1">
      <alignment horizontal="center" vertical="center"/>
    </xf>
    <xf numFmtId="0" fontId="111" fillId="20" borderId="34" xfId="0" applyFont="1" applyFill="1" applyBorder="1" applyAlignment="1">
      <alignment horizontal="center" vertical="center"/>
    </xf>
    <xf numFmtId="0" fontId="138" fillId="20" borderId="31" xfId="0" applyFont="1" applyFill="1" applyBorder="1" applyAlignment="1">
      <alignment horizontal="center" vertical="center"/>
    </xf>
    <xf numFmtId="169" fontId="111" fillId="20" borderId="19" xfId="0" applyNumberFormat="1" applyFont="1" applyFill="1" applyBorder="1" applyAlignment="1">
      <alignment horizontal="center" vertical="center"/>
    </xf>
    <xf numFmtId="169" fontId="111" fillId="20" borderId="27" xfId="0" applyNumberFormat="1" applyFont="1" applyFill="1" applyBorder="1" applyAlignment="1">
      <alignment horizontal="center" vertical="center"/>
    </xf>
    <xf numFmtId="0" fontId="115" fillId="25" borderId="6" xfId="0" applyFont="1" applyFill="1" applyBorder="1" applyAlignment="1">
      <alignment vertical="center"/>
    </xf>
    <xf numFmtId="0" fontId="128" fillId="25" borderId="29" xfId="0" applyFont="1" applyFill="1" applyBorder="1" applyAlignment="1">
      <alignment vertical="center"/>
    </xf>
    <xf numFmtId="0" fontId="233" fillId="0" borderId="0" xfId="0" applyFont="1" applyBorder="1" applyAlignment="1">
      <alignment horizontal="left" vertical="center" wrapText="1"/>
    </xf>
    <xf numFmtId="1" fontId="109" fillId="0" borderId="48" xfId="0" applyNumberFormat="1" applyFont="1" applyBorder="1" applyAlignment="1">
      <alignment horizontal="center" vertical="center"/>
    </xf>
    <xf numFmtId="0" fontId="135" fillId="25" borderId="7" xfId="0" applyFont="1" applyFill="1" applyBorder="1" applyAlignment="1">
      <alignment vertical="center"/>
    </xf>
    <xf numFmtId="0" fontId="128" fillId="25" borderId="7" xfId="0" applyFont="1" applyFill="1" applyBorder="1" applyAlignment="1">
      <alignment vertical="center"/>
    </xf>
    <xf numFmtId="1" fontId="109" fillId="25" borderId="53" xfId="0" applyNumberFormat="1" applyFont="1" applyFill="1" applyBorder="1" applyAlignment="1">
      <alignment horizontal="center" vertical="center"/>
    </xf>
    <xf numFmtId="0" fontId="235" fillId="0" borderId="0" xfId="0" applyFont="1" applyBorder="1" applyAlignment="1">
      <alignment horizontal="left" vertical="center" wrapText="1"/>
    </xf>
    <xf numFmtId="1" fontId="109" fillId="25" borderId="30" xfId="0" applyNumberFormat="1" applyFont="1" applyFill="1" applyBorder="1" applyAlignment="1">
      <alignment horizontal="center" vertical="center"/>
    </xf>
    <xf numFmtId="169" fontId="138" fillId="20" borderId="30" xfId="0" applyNumberFormat="1" applyFont="1" applyFill="1" applyBorder="1" applyAlignment="1">
      <alignment horizontal="center" vertical="center"/>
    </xf>
    <xf numFmtId="169" fontId="111" fillId="20" borderId="30" xfId="0" applyNumberFormat="1" applyFont="1" applyFill="1" applyBorder="1" applyAlignment="1">
      <alignment horizontal="center" vertical="center"/>
    </xf>
    <xf numFmtId="1" fontId="112" fillId="20" borderId="11" xfId="0" applyNumberFormat="1" applyFont="1" applyFill="1" applyBorder="1" applyAlignment="1">
      <alignment horizontal="center" vertical="center"/>
    </xf>
    <xf numFmtId="169" fontId="138" fillId="20" borderId="17" xfId="0" applyNumberFormat="1" applyFont="1" applyFill="1" applyBorder="1" applyAlignment="1">
      <alignment horizontal="center" vertical="center"/>
    </xf>
    <xf numFmtId="169" fontId="111" fillId="20" borderId="17" xfId="0" applyNumberFormat="1" applyFont="1" applyFill="1" applyBorder="1" applyAlignment="1">
      <alignment horizontal="center" vertical="center"/>
    </xf>
    <xf numFmtId="2" fontId="138" fillId="20" borderId="34" xfId="0" applyNumberFormat="1" applyFont="1" applyFill="1" applyBorder="1" applyAlignment="1">
      <alignment horizontal="center" vertical="center"/>
    </xf>
    <xf numFmtId="2" fontId="111" fillId="20" borderId="53" xfId="0" applyNumberFormat="1" applyFont="1" applyFill="1" applyBorder="1" applyAlignment="1">
      <alignment horizontal="center" vertical="center"/>
    </xf>
    <xf numFmtId="2" fontId="138" fillId="20" borderId="32" xfId="0" applyNumberFormat="1" applyFont="1" applyFill="1" applyBorder="1" applyAlignment="1">
      <alignment horizontal="center" vertical="center"/>
    </xf>
    <xf numFmtId="2" fontId="111" fillId="20" borderId="33" xfId="0" applyNumberFormat="1" applyFont="1" applyFill="1" applyBorder="1" applyAlignment="1">
      <alignment horizontal="center" vertical="center"/>
    </xf>
    <xf numFmtId="1" fontId="138" fillId="20" borderId="52" xfId="0" applyNumberFormat="1" applyFont="1" applyFill="1" applyBorder="1" applyAlignment="1">
      <alignment horizontal="center" vertical="center"/>
    </xf>
    <xf numFmtId="1" fontId="111" fillId="20" borderId="53" xfId="0" applyNumberFormat="1" applyFont="1" applyFill="1" applyBorder="1" applyAlignment="1">
      <alignment horizontal="center" vertical="center"/>
    </xf>
    <xf numFmtId="1" fontId="138" fillId="20" borderId="70" xfId="0" applyNumberFormat="1" applyFont="1" applyFill="1" applyBorder="1" applyAlignment="1">
      <alignment horizontal="center" vertical="center"/>
    </xf>
    <xf numFmtId="1" fontId="111" fillId="20" borderId="72" xfId="0" applyNumberFormat="1" applyFont="1" applyFill="1" applyBorder="1" applyAlignment="1">
      <alignment horizontal="center" vertical="center"/>
    </xf>
    <xf numFmtId="1" fontId="134" fillId="20" borderId="1" xfId="0" applyNumberFormat="1" applyFont="1" applyFill="1" applyBorder="1" applyAlignment="1">
      <alignment horizontal="center" vertical="center"/>
    </xf>
    <xf numFmtId="169" fontId="138" fillId="20" borderId="63" xfId="0" applyNumberFormat="1" applyFont="1" applyFill="1" applyBorder="1" applyAlignment="1">
      <alignment horizontal="center" vertical="center"/>
    </xf>
    <xf numFmtId="169" fontId="111" fillId="20" borderId="42" xfId="0" applyNumberFormat="1" applyFont="1" applyFill="1" applyBorder="1" applyAlignment="1">
      <alignment horizontal="center" vertical="center"/>
    </xf>
    <xf numFmtId="169" fontId="138" fillId="20" borderId="62" xfId="0" applyNumberFormat="1" applyFont="1" applyFill="1" applyBorder="1" applyAlignment="1">
      <alignment horizontal="center" vertical="center"/>
    </xf>
    <xf numFmtId="169" fontId="111" fillId="20" borderId="72" xfId="0" applyNumberFormat="1" applyFont="1" applyFill="1" applyBorder="1" applyAlignment="1">
      <alignment horizontal="center" vertical="center"/>
    </xf>
    <xf numFmtId="169" fontId="111" fillId="20" borderId="53" xfId="0" applyNumberFormat="1" applyFont="1" applyFill="1" applyBorder="1" applyAlignment="1">
      <alignment horizontal="center" vertical="center"/>
    </xf>
    <xf numFmtId="0" fontId="166" fillId="20" borderId="24" xfId="0" applyFont="1" applyFill="1" applyBorder="1" applyAlignment="1">
      <alignment vertical="center"/>
    </xf>
    <xf numFmtId="0" fontId="8" fillId="20" borderId="24" xfId="0" applyFont="1" applyFill="1" applyBorder="1" applyAlignment="1">
      <alignment vertical="center"/>
    </xf>
    <xf numFmtId="169" fontId="61" fillId="20" borderId="17" xfId="0" applyNumberFormat="1" applyFont="1" applyFill="1" applyBorder="1" applyAlignment="1">
      <alignment horizontal="center" vertical="center"/>
    </xf>
    <xf numFmtId="169" fontId="110" fillId="20" borderId="17" xfId="0" applyNumberFormat="1" applyFont="1" applyFill="1" applyBorder="1" applyAlignment="1">
      <alignment horizontal="center" vertical="center"/>
    </xf>
    <xf numFmtId="169" fontId="61" fillId="20" borderId="72" xfId="0" applyNumberFormat="1" applyFont="1" applyFill="1" applyBorder="1" applyAlignment="1">
      <alignment horizontal="center" vertical="center"/>
    </xf>
    <xf numFmtId="169" fontId="110" fillId="20" borderId="72" xfId="0" applyNumberFormat="1" applyFont="1" applyFill="1" applyBorder="1" applyAlignment="1">
      <alignment horizontal="center" vertical="center"/>
    </xf>
    <xf numFmtId="169" fontId="109" fillId="20" borderId="21" xfId="0" applyNumberFormat="1" applyFont="1" applyFill="1" applyBorder="1" applyAlignment="1">
      <alignment horizontal="center" vertical="center"/>
    </xf>
    <xf numFmtId="169" fontId="61" fillId="20" borderId="34" xfId="0" applyNumberFormat="1" applyFont="1" applyFill="1" applyBorder="1" applyAlignment="1">
      <alignment horizontal="center" vertical="center"/>
    </xf>
    <xf numFmtId="2" fontId="125" fillId="20" borderId="11" xfId="0" applyNumberFormat="1" applyFont="1" applyFill="1" applyBorder="1" applyAlignment="1">
      <alignment horizontal="center" vertical="center"/>
    </xf>
    <xf numFmtId="2" fontId="109" fillId="20" borderId="11" xfId="0" applyNumberFormat="1" applyFont="1" applyFill="1" applyBorder="1" applyAlignment="1">
      <alignment horizontal="center" vertical="center"/>
    </xf>
    <xf numFmtId="2" fontId="61" fillId="20" borderId="53" xfId="0" applyNumberFormat="1" applyFont="1" applyFill="1" applyBorder="1" applyAlignment="1">
      <alignment horizontal="center" vertical="center"/>
    </xf>
    <xf numFmtId="2" fontId="110" fillId="20" borderId="53" xfId="0" applyNumberFormat="1" applyFont="1" applyFill="1" applyBorder="1" applyAlignment="1">
      <alignment horizontal="center" vertical="center"/>
    </xf>
    <xf numFmtId="1" fontId="125" fillId="20" borderId="76" xfId="0" applyNumberFormat="1" applyFont="1" applyFill="1" applyBorder="1" applyAlignment="1">
      <alignment horizontal="center" vertical="center"/>
    </xf>
    <xf numFmtId="1" fontId="111" fillId="20" borderId="50" xfId="0" applyNumberFormat="1" applyFont="1" applyFill="1" applyBorder="1" applyAlignment="1">
      <alignment horizontal="center" vertical="center"/>
    </xf>
    <xf numFmtId="169" fontId="111" fillId="20" borderId="50" xfId="0" applyNumberFormat="1" applyFont="1" applyFill="1" applyBorder="1" applyAlignment="1">
      <alignment horizontal="center" vertical="center"/>
    </xf>
    <xf numFmtId="169" fontId="112" fillId="20" borderId="19" xfId="0" applyNumberFormat="1" applyFont="1" applyFill="1" applyBorder="1" applyAlignment="1">
      <alignment horizontal="center" vertical="center"/>
    </xf>
    <xf numFmtId="169" fontId="138" fillId="20" borderId="29" xfId="0" applyNumberFormat="1" applyFont="1" applyFill="1" applyBorder="1" applyAlignment="1">
      <alignment horizontal="center" vertical="center"/>
    </xf>
    <xf numFmtId="169" fontId="111" fillId="20" borderId="29" xfId="0" applyNumberFormat="1" applyFont="1" applyFill="1" applyBorder="1" applyAlignment="1">
      <alignment horizontal="center" vertical="center"/>
    </xf>
    <xf numFmtId="0" fontId="138" fillId="20" borderId="29" xfId="0" applyFont="1" applyFill="1" applyBorder="1" applyAlignment="1">
      <alignment horizontal="center" vertical="center"/>
    </xf>
    <xf numFmtId="2" fontId="138" fillId="20" borderId="29" xfId="0" applyNumberFormat="1" applyFont="1" applyFill="1" applyBorder="1" applyAlignment="1">
      <alignment horizontal="center" vertical="center"/>
    </xf>
    <xf numFmtId="171" fontId="138" fillId="20" borderId="59" xfId="0" applyNumberFormat="1" applyFont="1" applyFill="1" applyBorder="1" applyAlignment="1">
      <alignment horizontal="center" vertical="center"/>
    </xf>
    <xf numFmtId="171" fontId="111" fillId="20" borderId="59" xfId="0" applyNumberFormat="1" applyFont="1" applyFill="1" applyBorder="1" applyAlignment="1">
      <alignment horizontal="center" vertical="center"/>
    </xf>
    <xf numFmtId="1" fontId="111" fillId="20" borderId="19" xfId="0" applyNumberFormat="1" applyFont="1" applyFill="1" applyBorder="1" applyAlignment="1">
      <alignment horizontal="center" vertical="center"/>
    </xf>
    <xf numFmtId="0" fontId="111" fillId="20" borderId="17" xfId="0" applyFont="1" applyFill="1" applyBorder="1" applyAlignment="1">
      <alignment horizontal="center" vertical="center"/>
    </xf>
    <xf numFmtId="2" fontId="111" fillId="20" borderId="19" xfId="0" applyNumberFormat="1" applyFont="1" applyFill="1" applyBorder="1" applyAlignment="1">
      <alignment horizontal="center" vertical="center"/>
    </xf>
    <xf numFmtId="171" fontId="138" fillId="20" borderId="32" xfId="0" applyNumberFormat="1" applyFont="1" applyFill="1" applyBorder="1" applyAlignment="1">
      <alignment horizontal="center" vertical="center"/>
    </xf>
    <xf numFmtId="171" fontId="111" fillId="20" borderId="32" xfId="0" applyNumberFormat="1" applyFont="1" applyFill="1" applyBorder="1" applyAlignment="1">
      <alignment horizontal="center" vertical="center"/>
    </xf>
    <xf numFmtId="2" fontId="135" fillId="20" borderId="6" xfId="0" applyNumberFormat="1" applyFont="1" applyFill="1" applyBorder="1" applyAlignment="1">
      <alignment vertical="center"/>
    </xf>
    <xf numFmtId="2" fontId="128" fillId="20" borderId="6" xfId="0" applyNumberFormat="1" applyFont="1" applyFill="1" applyBorder="1" applyAlignment="1">
      <alignment vertical="center"/>
    </xf>
    <xf numFmtId="2" fontId="138" fillId="20" borderId="6" xfId="0" applyNumberFormat="1" applyFont="1" applyFill="1" applyBorder="1" applyAlignment="1">
      <alignment vertical="center"/>
    </xf>
    <xf numFmtId="2" fontId="111" fillId="20" borderId="6" xfId="0" applyNumberFormat="1" applyFont="1" applyFill="1" applyBorder="1" applyAlignment="1">
      <alignment vertical="center"/>
    </xf>
    <xf numFmtId="0" fontId="135" fillId="20" borderId="6" xfId="0" applyFont="1" applyFill="1" applyBorder="1"/>
    <xf numFmtId="0" fontId="128" fillId="20" borderId="6" xfId="0" applyFont="1" applyFill="1" applyBorder="1"/>
    <xf numFmtId="169" fontId="138" fillId="20" borderId="52" xfId="0" applyNumberFormat="1" applyFont="1" applyFill="1" applyBorder="1" applyAlignment="1">
      <alignment horizontal="center" vertical="center"/>
    </xf>
    <xf numFmtId="2" fontId="111" fillId="20" borderId="50" xfId="0" applyNumberFormat="1" applyFont="1" applyFill="1" applyBorder="1" applyAlignment="1">
      <alignment horizontal="center" vertical="center"/>
    </xf>
    <xf numFmtId="169" fontId="138" fillId="20" borderId="47" xfId="0" applyNumberFormat="1" applyFont="1" applyFill="1" applyBorder="1" applyAlignment="1">
      <alignment horizontal="center" vertical="center"/>
    </xf>
    <xf numFmtId="169" fontId="135" fillId="20" borderId="7" xfId="0" applyNumberFormat="1" applyFont="1" applyFill="1" applyBorder="1" applyAlignment="1">
      <alignment vertical="center"/>
    </xf>
    <xf numFmtId="169" fontId="128" fillId="20" borderId="7" xfId="0" applyNumberFormat="1" applyFont="1" applyFill="1" applyBorder="1" applyAlignment="1">
      <alignment vertical="center"/>
    </xf>
    <xf numFmtId="1" fontId="138" fillId="20" borderId="6" xfId="0" applyNumberFormat="1" applyFont="1" applyFill="1" applyBorder="1" applyAlignment="1">
      <alignment vertical="center"/>
    </xf>
    <xf numFmtId="1" fontId="111" fillId="20" borderId="6" xfId="0" applyNumberFormat="1" applyFont="1" applyFill="1" applyBorder="1" applyAlignment="1">
      <alignment vertical="center"/>
    </xf>
    <xf numFmtId="169" fontId="138" fillId="20" borderId="6" xfId="0" applyNumberFormat="1" applyFont="1" applyFill="1" applyBorder="1" applyAlignment="1">
      <alignment horizontal="center" vertical="center"/>
    </xf>
    <xf numFmtId="169" fontId="135" fillId="20" borderId="6" xfId="0" applyNumberFormat="1" applyFont="1" applyFill="1" applyBorder="1" applyAlignment="1">
      <alignment vertical="center"/>
    </xf>
    <xf numFmtId="169" fontId="128" fillId="20" borderId="6" xfId="0" applyNumberFormat="1" applyFont="1" applyFill="1" applyBorder="1" applyAlignment="1">
      <alignment vertical="center"/>
    </xf>
    <xf numFmtId="2" fontId="138" fillId="20" borderId="59" xfId="0" applyNumberFormat="1" applyFont="1" applyFill="1" applyBorder="1" applyAlignment="1">
      <alignment horizontal="center" vertical="center"/>
    </xf>
    <xf numFmtId="0" fontId="138" fillId="20" borderId="0" xfId="0" applyFont="1" applyFill="1"/>
    <xf numFmtId="0" fontId="111" fillId="20" borderId="39" xfId="0" applyFont="1" applyFill="1" applyBorder="1"/>
    <xf numFmtId="2" fontId="138" fillId="20" borderId="4" xfId="0" applyNumberFormat="1" applyFont="1" applyFill="1" applyBorder="1" applyAlignment="1">
      <alignment horizontal="center" vertical="center"/>
    </xf>
    <xf numFmtId="2" fontId="111" fillId="20" borderId="11" xfId="0" applyNumberFormat="1" applyFont="1" applyFill="1" applyBorder="1" applyAlignment="1">
      <alignment horizontal="center" vertical="center"/>
    </xf>
    <xf numFmtId="2" fontId="138" fillId="20" borderId="38" xfId="0" applyNumberFormat="1" applyFont="1" applyFill="1" applyBorder="1" applyAlignment="1">
      <alignment horizontal="center"/>
    </xf>
    <xf numFmtId="2" fontId="111" fillId="20" borderId="38" xfId="0" applyNumberFormat="1" applyFont="1" applyFill="1" applyBorder="1" applyAlignment="1">
      <alignment horizontal="center"/>
    </xf>
    <xf numFmtId="169" fontId="111" fillId="20" borderId="48" xfId="0" applyNumberFormat="1" applyFont="1" applyFill="1" applyBorder="1" applyAlignment="1">
      <alignment horizontal="center" vertical="center"/>
    </xf>
    <xf numFmtId="1" fontId="74" fillId="20" borderId="92" xfId="0" applyNumberFormat="1" applyFont="1" applyFill="1" applyBorder="1" applyAlignment="1">
      <alignment horizontal="center" vertical="center"/>
    </xf>
    <xf numFmtId="169" fontId="6" fillId="20" borderId="67" xfId="0" applyNumberFormat="1" applyFont="1" applyFill="1" applyBorder="1" applyAlignment="1">
      <alignment horizontal="center" vertical="center"/>
    </xf>
    <xf numFmtId="169" fontId="111" fillId="20" borderId="37" xfId="0" applyNumberFormat="1" applyFont="1" applyFill="1" applyBorder="1" applyAlignment="1">
      <alignment horizontal="center" vertical="center"/>
    </xf>
    <xf numFmtId="1" fontId="74" fillId="20" borderId="5" xfId="0" applyNumberFormat="1" applyFont="1" applyFill="1" applyBorder="1" applyAlignment="1">
      <alignment horizontal="center" vertical="center"/>
    </xf>
    <xf numFmtId="1" fontId="111" fillId="0" borderId="68" xfId="0" applyNumberFormat="1" applyFont="1" applyBorder="1" applyAlignment="1">
      <alignment horizontal="center" vertical="center"/>
    </xf>
    <xf numFmtId="1" fontId="138" fillId="20" borderId="24" xfId="0" applyNumberFormat="1" applyFont="1" applyFill="1" applyBorder="1" applyAlignment="1">
      <alignment horizontal="center" vertical="center"/>
    </xf>
    <xf numFmtId="1" fontId="138" fillId="20" borderId="7" xfId="0" applyNumberFormat="1" applyFont="1" applyFill="1" applyBorder="1" applyAlignment="1">
      <alignment horizontal="center" vertical="center"/>
    </xf>
    <xf numFmtId="1" fontId="134" fillId="19" borderId="57" xfId="0" applyNumberFormat="1" applyFont="1" applyFill="1" applyBorder="1" applyAlignment="1">
      <alignment horizontal="center" vertical="center"/>
    </xf>
    <xf numFmtId="1" fontId="112" fillId="19" borderId="73" xfId="0" applyNumberFormat="1" applyFont="1" applyFill="1" applyBorder="1" applyAlignment="1">
      <alignment horizontal="center" vertical="center"/>
    </xf>
    <xf numFmtId="1" fontId="111" fillId="19" borderId="30" xfId="0" applyNumberFormat="1" applyFont="1" applyFill="1" applyBorder="1" applyAlignment="1">
      <alignment horizontal="center" vertical="center"/>
    </xf>
    <xf numFmtId="1" fontId="138" fillId="19" borderId="23" xfId="0" applyNumberFormat="1" applyFont="1" applyFill="1" applyBorder="1" applyAlignment="1">
      <alignment horizontal="center" vertical="center"/>
    </xf>
    <xf numFmtId="1" fontId="111" fillId="19" borderId="23" xfId="0" applyNumberFormat="1" applyFont="1" applyFill="1" applyBorder="1" applyAlignment="1">
      <alignment horizontal="center" vertical="center"/>
    </xf>
    <xf numFmtId="0" fontId="151" fillId="25" borderId="44" xfId="0" applyFont="1" applyFill="1" applyBorder="1" applyAlignment="1">
      <alignment vertical="center"/>
    </xf>
    <xf numFmtId="0" fontId="151" fillId="25" borderId="24" xfId="0" applyFont="1" applyFill="1" applyBorder="1" applyAlignment="1">
      <alignment vertical="center"/>
    </xf>
    <xf numFmtId="0" fontId="8" fillId="25" borderId="3" xfId="0" applyFont="1" applyFill="1" applyBorder="1" applyAlignment="1">
      <alignment vertical="center"/>
    </xf>
    <xf numFmtId="2" fontId="111" fillId="19" borderId="34" xfId="0" applyNumberFormat="1" applyFont="1" applyFill="1" applyBorder="1" applyAlignment="1">
      <alignment horizontal="center" vertical="center"/>
    </xf>
    <xf numFmtId="1" fontId="125" fillId="19" borderId="13" xfId="0" applyNumberFormat="1" applyFont="1" applyFill="1" applyBorder="1" applyAlignment="1">
      <alignment horizontal="center" vertical="center"/>
    </xf>
    <xf numFmtId="0" fontId="166" fillId="25" borderId="24" xfId="0" applyFont="1" applyFill="1" applyBorder="1" applyAlignment="1">
      <alignment horizontal="center" vertical="center"/>
    </xf>
    <xf numFmtId="0" fontId="8" fillId="25" borderId="3" xfId="0" applyFont="1" applyFill="1" applyBorder="1" applyAlignment="1">
      <alignment horizontal="center" vertical="center"/>
    </xf>
    <xf numFmtId="0" fontId="8" fillId="25" borderId="24" xfId="0" applyFont="1" applyFill="1" applyBorder="1" applyAlignment="1">
      <alignment horizontal="center" vertical="center"/>
    </xf>
    <xf numFmtId="0" fontId="166" fillId="25" borderId="6" xfId="0" applyFont="1" applyFill="1" applyBorder="1" applyAlignment="1">
      <alignment horizontal="center" vertical="center"/>
    </xf>
    <xf numFmtId="0" fontId="8" fillId="25" borderId="29" xfId="0" applyFont="1" applyFill="1" applyBorder="1" applyAlignment="1">
      <alignment horizontal="center" vertical="center"/>
    </xf>
    <xf numFmtId="0" fontId="8" fillId="25" borderId="6" xfId="0" applyFont="1" applyFill="1" applyBorder="1" applyAlignment="1">
      <alignment horizontal="center" vertical="center"/>
    </xf>
    <xf numFmtId="0" fontId="7" fillId="25" borderId="24" xfId="0" applyFont="1" applyFill="1" applyBorder="1" applyAlignment="1">
      <alignment horizontal="center"/>
    </xf>
    <xf numFmtId="0" fontId="5" fillId="25" borderId="44" xfId="0" applyFont="1" applyFill="1" applyBorder="1" applyAlignment="1">
      <alignment vertical="center"/>
    </xf>
    <xf numFmtId="0" fontId="5" fillId="25" borderId="24" xfId="0" applyFont="1" applyFill="1" applyBorder="1" applyAlignment="1">
      <alignment vertical="center"/>
    </xf>
    <xf numFmtId="1" fontId="6" fillId="25" borderId="24" xfId="0" applyNumberFormat="1" applyFont="1" applyFill="1" applyBorder="1" applyAlignment="1">
      <alignment horizontal="center" vertical="center"/>
    </xf>
    <xf numFmtId="0" fontId="7" fillId="25" borderId="70" xfId="0" applyFont="1" applyFill="1" applyBorder="1" applyAlignment="1">
      <alignment vertical="center"/>
    </xf>
    <xf numFmtId="0" fontId="7" fillId="25" borderId="75" xfId="0" applyFont="1" applyFill="1" applyBorder="1" applyAlignment="1">
      <alignment vertical="center"/>
    </xf>
    <xf numFmtId="0" fontId="166" fillId="25" borderId="75" xfId="0" applyFont="1" applyFill="1" applyBorder="1" applyAlignment="1">
      <alignment horizontal="center" vertical="center"/>
    </xf>
    <xf numFmtId="0" fontId="8" fillId="25" borderId="36" xfId="0" applyFont="1" applyFill="1" applyBorder="1" applyAlignment="1">
      <alignment horizontal="center" vertical="center"/>
    </xf>
    <xf numFmtId="0" fontId="8" fillId="25" borderId="75" xfId="0" applyFont="1" applyFill="1" applyBorder="1" applyAlignment="1">
      <alignment horizontal="center" vertical="center"/>
    </xf>
    <xf numFmtId="0" fontId="166" fillId="25" borderId="49" xfId="0" applyFont="1" applyFill="1" applyBorder="1" applyAlignment="1">
      <alignment vertical="center"/>
    </xf>
    <xf numFmtId="0" fontId="8" fillId="25" borderId="49" xfId="0" applyFont="1" applyFill="1" applyBorder="1" applyAlignment="1">
      <alignment vertical="center"/>
    </xf>
    <xf numFmtId="0" fontId="109" fillId="25" borderId="3" xfId="0" applyFont="1" applyFill="1" applyBorder="1" applyAlignment="1">
      <alignment horizontal="center" vertical="center"/>
    </xf>
    <xf numFmtId="0" fontId="109" fillId="25" borderId="24" xfId="0" applyFont="1" applyFill="1" applyBorder="1" applyAlignment="1">
      <alignment horizontal="center" vertical="center"/>
    </xf>
    <xf numFmtId="0" fontId="7" fillId="25" borderId="47" xfId="0" applyFont="1" applyFill="1" applyBorder="1"/>
    <xf numFmtId="0" fontId="7" fillId="25" borderId="6" xfId="0" applyFont="1" applyFill="1" applyBorder="1" applyAlignment="1">
      <alignment horizontal="center" vertical="center"/>
    </xf>
    <xf numFmtId="0" fontId="8" fillId="25" borderId="7" xfId="0" applyFont="1" applyFill="1" applyBorder="1" applyAlignment="1">
      <alignment horizontal="center" vertical="center"/>
    </xf>
    <xf numFmtId="0" fontId="166" fillId="25" borderId="7" xfId="0" applyFont="1" applyFill="1" applyBorder="1" applyAlignment="1">
      <alignment horizontal="center" vertical="center"/>
    </xf>
    <xf numFmtId="0" fontId="116" fillId="25" borderId="47" xfId="0" applyFont="1" applyFill="1" applyBorder="1"/>
    <xf numFmtId="0" fontId="116" fillId="25" borderId="6" xfId="0" applyFont="1" applyFill="1" applyBorder="1" applyAlignment="1">
      <alignment horizontal="center" vertical="center"/>
    </xf>
    <xf numFmtId="0" fontId="167" fillId="25" borderId="6" xfId="0" applyFont="1" applyFill="1" applyBorder="1" applyAlignment="1">
      <alignment horizontal="center" vertical="center"/>
    </xf>
    <xf numFmtId="0" fontId="122" fillId="25" borderId="29" xfId="0" applyFont="1" applyFill="1" applyBorder="1" applyAlignment="1">
      <alignment horizontal="center" vertical="center"/>
    </xf>
    <xf numFmtId="0" fontId="122" fillId="25" borderId="6" xfId="0" applyFont="1" applyFill="1" applyBorder="1" applyAlignment="1">
      <alignment horizontal="center" vertical="center"/>
    </xf>
    <xf numFmtId="0" fontId="7" fillId="25" borderId="52" xfId="0" applyFont="1" applyFill="1" applyBorder="1" applyAlignment="1">
      <alignment vertical="center"/>
    </xf>
    <xf numFmtId="0" fontId="7" fillId="25" borderId="7" xfId="0" applyFont="1" applyFill="1" applyBorder="1" applyAlignment="1">
      <alignment horizontal="center" vertical="center"/>
    </xf>
    <xf numFmtId="0" fontId="8" fillId="25" borderId="8" xfId="0" applyFont="1" applyFill="1" applyBorder="1" applyAlignment="1">
      <alignment horizontal="center" vertical="center"/>
    </xf>
    <xf numFmtId="0" fontId="65" fillId="25" borderId="47" xfId="0" applyFont="1" applyFill="1" applyBorder="1" applyAlignment="1">
      <alignment vertical="center"/>
    </xf>
    <xf numFmtId="0" fontId="65" fillId="25" borderId="6" xfId="0" applyFont="1" applyFill="1" applyBorder="1" applyAlignment="1">
      <alignment horizontal="center" vertical="center"/>
    </xf>
    <xf numFmtId="0" fontId="109" fillId="25" borderId="29" xfId="0" applyFont="1" applyFill="1" applyBorder="1" applyAlignment="1">
      <alignment horizontal="center" vertical="center"/>
    </xf>
    <xf numFmtId="169" fontId="110" fillId="19" borderId="34" xfId="0" applyNumberFormat="1" applyFont="1" applyFill="1" applyBorder="1" applyAlignment="1">
      <alignment horizontal="center" vertical="center"/>
    </xf>
    <xf numFmtId="169" fontId="110" fillId="20" borderId="34" xfId="0" applyNumberFormat="1" applyFont="1" applyFill="1" applyBorder="1" applyAlignment="1">
      <alignment horizontal="center" vertical="center"/>
    </xf>
    <xf numFmtId="1" fontId="138" fillId="19" borderId="35" xfId="0" applyNumberFormat="1" applyFont="1" applyFill="1" applyBorder="1" applyAlignment="1">
      <alignment horizontal="center" vertical="center"/>
    </xf>
    <xf numFmtId="0" fontId="68" fillId="25" borderId="44" xfId="0" applyFont="1" applyFill="1" applyBorder="1"/>
    <xf numFmtId="0" fontId="68" fillId="25" borderId="24" xfId="0" applyFont="1" applyFill="1" applyBorder="1"/>
    <xf numFmtId="0" fontId="68" fillId="25" borderId="25" xfId="0" applyFont="1" applyFill="1" applyBorder="1"/>
    <xf numFmtId="0" fontId="119" fillId="25" borderId="55" xfId="0" applyFont="1" applyFill="1" applyBorder="1"/>
    <xf numFmtId="0" fontId="134" fillId="25" borderId="55" xfId="0" applyFont="1" applyFill="1" applyBorder="1" applyAlignment="1">
      <alignment horizontal="center" vertical="center"/>
    </xf>
    <xf numFmtId="0" fontId="112" fillId="25" borderId="111" xfId="0" applyFont="1" applyFill="1" applyBorder="1" applyAlignment="1">
      <alignment horizontal="center" vertical="center"/>
    </xf>
    <xf numFmtId="0" fontId="112" fillId="25" borderId="55" xfId="0" applyFont="1" applyFill="1" applyBorder="1" applyAlignment="1">
      <alignment horizontal="center" vertical="center"/>
    </xf>
    <xf numFmtId="0" fontId="134" fillId="25" borderId="55" xfId="0" applyFont="1" applyFill="1" applyBorder="1" applyAlignment="1">
      <alignment vertical="center"/>
    </xf>
    <xf numFmtId="0" fontId="112" fillId="25" borderId="55" xfId="0" applyFont="1" applyFill="1" applyBorder="1" applyAlignment="1">
      <alignment vertical="center"/>
    </xf>
    <xf numFmtId="0" fontId="68" fillId="25" borderId="2" xfId="0" applyFont="1" applyFill="1" applyBorder="1"/>
    <xf numFmtId="0" fontId="119" fillId="25" borderId="39" xfId="0" applyFont="1" applyFill="1" applyBorder="1"/>
    <xf numFmtId="0" fontId="134" fillId="25" borderId="39" xfId="0" applyFont="1" applyFill="1" applyBorder="1" applyAlignment="1">
      <alignment horizontal="center" vertical="center"/>
    </xf>
    <xf numFmtId="0" fontId="112" fillId="25" borderId="39" xfId="0" applyFont="1" applyFill="1" applyBorder="1" applyAlignment="1">
      <alignment horizontal="center" vertical="center"/>
    </xf>
    <xf numFmtId="0" fontId="68" fillId="25" borderId="47" xfId="0" applyFont="1" applyFill="1" applyBorder="1"/>
    <xf numFmtId="0" fontId="68" fillId="25" borderId="6" xfId="0" applyFont="1" applyFill="1" applyBorder="1" applyAlignment="1">
      <alignment horizontal="center" vertical="center"/>
    </xf>
    <xf numFmtId="0" fontId="0" fillId="0" borderId="0" xfId="0"/>
    <xf numFmtId="1" fontId="112" fillId="19" borderId="31" xfId="0" applyNumberFormat="1" applyFont="1" applyFill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1" fontId="112" fillId="20" borderId="31" xfId="0" applyNumberFormat="1" applyFont="1" applyFill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0" fontId="125" fillId="20" borderId="8" xfId="0" applyFont="1" applyFill="1" applyBorder="1" applyAlignment="1">
      <alignment horizontal="center" vertical="center"/>
    </xf>
    <xf numFmtId="0" fontId="109" fillId="20" borderId="53" xfId="0" applyFont="1" applyFill="1" applyBorder="1" applyAlignment="1">
      <alignment horizontal="center" vertical="center"/>
    </xf>
    <xf numFmtId="0" fontId="138" fillId="20" borderId="8" xfId="0" quotePrefix="1" applyFont="1" applyFill="1" applyBorder="1" applyAlignment="1">
      <alignment horizontal="center" vertical="center"/>
    </xf>
    <xf numFmtId="0" fontId="111" fillId="20" borderId="53" xfId="0" applyFont="1" applyFill="1" applyBorder="1" applyAlignment="1">
      <alignment horizontal="center" vertical="center"/>
    </xf>
    <xf numFmtId="1" fontId="134" fillId="20" borderId="29" xfId="0" applyNumberFormat="1" applyFont="1" applyFill="1" applyBorder="1" applyAlignment="1">
      <alignment horizontal="center" vertical="center"/>
    </xf>
    <xf numFmtId="1" fontId="112" fillId="20" borderId="53" xfId="0" applyNumberFormat="1" applyFont="1" applyFill="1" applyBorder="1" applyAlignment="1">
      <alignment horizontal="center" vertical="center"/>
    </xf>
    <xf numFmtId="0" fontId="111" fillId="20" borderId="42" xfId="0" applyFont="1" applyFill="1" applyBorder="1" applyAlignment="1">
      <alignment horizontal="center" vertical="center"/>
    </xf>
    <xf numFmtId="1" fontId="138" fillId="20" borderId="53" xfId="0" applyNumberFormat="1" applyFont="1" applyFill="1" applyBorder="1" applyAlignment="1">
      <alignment horizontal="center" vertical="center"/>
    </xf>
    <xf numFmtId="171" fontId="112" fillId="20" borderId="50" xfId="0" applyNumberFormat="1" applyFont="1" applyFill="1" applyBorder="1" applyAlignment="1">
      <alignment horizontal="center" vertical="center"/>
    </xf>
    <xf numFmtId="2" fontId="138" fillId="20" borderId="47" xfId="0" applyNumberFormat="1" applyFont="1" applyFill="1" applyBorder="1" applyAlignment="1">
      <alignment horizontal="center" vertical="center"/>
    </xf>
    <xf numFmtId="169" fontId="138" fillId="20" borderId="51" xfId="0" applyNumberFormat="1" applyFont="1" applyFill="1" applyBorder="1" applyAlignment="1">
      <alignment horizontal="center" vertical="center"/>
    </xf>
    <xf numFmtId="169" fontId="111" fillId="20" borderId="33" xfId="0" applyNumberFormat="1" applyFont="1" applyFill="1" applyBorder="1" applyAlignment="1">
      <alignment horizontal="center" vertical="center"/>
    </xf>
    <xf numFmtId="169" fontId="138" fillId="20" borderId="59" xfId="0" applyNumberFormat="1" applyFont="1" applyFill="1" applyBorder="1" applyAlignment="1">
      <alignment horizontal="center" vertical="center"/>
    </xf>
    <xf numFmtId="0" fontId="138" fillId="20" borderId="3" xfId="0" applyFont="1" applyFill="1" applyBorder="1" applyAlignment="1">
      <alignment horizontal="center" vertical="center"/>
    </xf>
    <xf numFmtId="2" fontId="111" fillId="20" borderId="10" xfId="0" applyNumberFormat="1" applyFont="1" applyFill="1" applyBorder="1" applyAlignment="1">
      <alignment horizontal="center" vertical="center"/>
    </xf>
    <xf numFmtId="0" fontId="138" fillId="20" borderId="38" xfId="0" applyFont="1" applyFill="1" applyBorder="1" applyAlignment="1">
      <alignment horizontal="center" vertical="center"/>
    </xf>
    <xf numFmtId="1" fontId="138" fillId="20" borderId="63" xfId="0" quotePrefix="1" applyNumberFormat="1" applyFont="1" applyFill="1" applyBorder="1" applyAlignment="1">
      <alignment horizontal="center" vertical="center"/>
    </xf>
    <xf numFmtId="1" fontId="138" fillId="20" borderId="31" xfId="0" quotePrefix="1" applyNumberFormat="1" applyFont="1" applyFill="1" applyBorder="1" applyAlignment="1">
      <alignment horizontal="center" vertical="center"/>
    </xf>
    <xf numFmtId="1" fontId="138" fillId="20" borderId="74" xfId="0" quotePrefix="1" applyNumberFormat="1" applyFont="1" applyFill="1" applyBorder="1" applyAlignment="1">
      <alignment horizontal="center" vertical="center"/>
    </xf>
    <xf numFmtId="1" fontId="111" fillId="20" borderId="73" xfId="0" applyNumberFormat="1" applyFont="1" applyFill="1" applyBorder="1" applyAlignment="1">
      <alignment horizontal="center" vertical="center"/>
    </xf>
    <xf numFmtId="1" fontId="134" fillId="20" borderId="25" xfId="0" quotePrefix="1" applyNumberFormat="1" applyFont="1" applyFill="1" applyBorder="1" applyAlignment="1">
      <alignment horizontal="center" vertical="center"/>
    </xf>
    <xf numFmtId="2" fontId="112" fillId="20" borderId="10" xfId="0" applyNumberFormat="1" applyFont="1" applyFill="1" applyBorder="1" applyAlignment="1">
      <alignment horizontal="center" vertical="center"/>
    </xf>
    <xf numFmtId="2" fontId="134" fillId="20" borderId="48" xfId="0" applyNumberFormat="1" applyFont="1" applyFill="1" applyBorder="1" applyAlignment="1">
      <alignment horizontal="center" vertical="center"/>
    </xf>
    <xf numFmtId="171" fontId="111" fillId="20" borderId="19" xfId="0" applyNumberFormat="1" applyFont="1" applyFill="1" applyBorder="1" applyAlignment="1">
      <alignment horizontal="center" vertical="center"/>
    </xf>
    <xf numFmtId="0" fontId="0" fillId="0" borderId="0" xfId="0"/>
    <xf numFmtId="1" fontId="138" fillId="0" borderId="34" xfId="0" applyNumberFormat="1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21" borderId="1" xfId="0" applyFont="1" applyFill="1" applyBorder="1" applyAlignment="1">
      <alignment horizontal="center" vertical="center"/>
    </xf>
    <xf numFmtId="0" fontId="112" fillId="20" borderId="1" xfId="0" applyFont="1" applyFill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1" fontId="75" fillId="25" borderId="29" xfId="0" applyNumberFormat="1" applyFont="1" applyFill="1" applyBorder="1" applyAlignment="1">
      <alignment horizontal="center" vertical="center"/>
    </xf>
    <xf numFmtId="1" fontId="75" fillId="19" borderId="31" xfId="0" applyNumberFormat="1" applyFont="1" applyFill="1" applyBorder="1" applyAlignment="1">
      <alignment horizontal="center" vertical="center"/>
    </xf>
    <xf numFmtId="1" fontId="75" fillId="19" borderId="45" xfId="0" applyNumberFormat="1" applyFont="1" applyFill="1" applyBorder="1" applyAlignment="1">
      <alignment horizontal="center" vertical="center"/>
    </xf>
    <xf numFmtId="0" fontId="75" fillId="0" borderId="62" xfId="0" applyFont="1" applyBorder="1" applyAlignment="1">
      <alignment horizontal="center" vertical="center"/>
    </xf>
    <xf numFmtId="1" fontId="138" fillId="0" borderId="36" xfId="0" applyNumberFormat="1" applyFont="1" applyBorder="1" applyAlignment="1">
      <alignment horizontal="center" vertical="center"/>
    </xf>
    <xf numFmtId="1" fontId="138" fillId="20" borderId="36" xfId="0" applyNumberFormat="1" applyFont="1" applyFill="1" applyBorder="1" applyAlignment="1">
      <alignment horizontal="center" vertical="center"/>
    </xf>
    <xf numFmtId="1" fontId="138" fillId="20" borderId="8" xfId="0" applyNumberFormat="1" applyFont="1" applyFill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1" fontId="138" fillId="19" borderId="36" xfId="0" applyNumberFormat="1" applyFont="1" applyFill="1" applyBorder="1" applyAlignment="1">
      <alignment horizontal="center" vertical="center"/>
    </xf>
    <xf numFmtId="1" fontId="138" fillId="19" borderId="8" xfId="0" applyNumberFormat="1" applyFont="1" applyFill="1" applyBorder="1" applyAlignment="1">
      <alignment horizontal="center" vertical="center"/>
    </xf>
    <xf numFmtId="1" fontId="138" fillId="21" borderId="36" xfId="0" applyNumberFormat="1" applyFont="1" applyFill="1" applyBorder="1" applyAlignment="1">
      <alignment horizontal="center" vertical="center"/>
    </xf>
    <xf numFmtId="1" fontId="138" fillId="21" borderId="8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1" fontId="138" fillId="19" borderId="29" xfId="0" applyNumberFormat="1" applyFont="1" applyFill="1" applyBorder="1" applyAlignment="1">
      <alignment horizontal="center" vertical="center"/>
    </xf>
    <xf numFmtId="1" fontId="138" fillId="20" borderId="29" xfId="0" applyNumberFormat="1" applyFont="1" applyFill="1" applyBorder="1" applyAlignment="1">
      <alignment horizontal="center" vertical="center"/>
    </xf>
    <xf numFmtId="1" fontId="138" fillId="21" borderId="10" xfId="0" applyNumberFormat="1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0" fontId="138" fillId="19" borderId="34" xfId="0" applyFont="1" applyFill="1" applyBorder="1" applyAlignment="1">
      <alignment horizontal="center" vertical="center"/>
    </xf>
    <xf numFmtId="0" fontId="112" fillId="25" borderId="26" xfId="0" applyFont="1" applyFill="1" applyBorder="1" applyAlignment="1">
      <alignment horizontal="center" vertical="center"/>
    </xf>
    <xf numFmtId="1" fontId="112" fillId="25" borderId="53" xfId="0" applyNumberFormat="1" applyFont="1" applyFill="1" applyBorder="1" applyAlignment="1">
      <alignment horizontal="center" vertical="center"/>
    </xf>
    <xf numFmtId="0" fontId="135" fillId="25" borderId="52" xfId="0" applyFont="1" applyFill="1" applyBorder="1" applyAlignment="1">
      <alignment vertical="center"/>
    </xf>
    <xf numFmtId="0" fontId="65" fillId="25" borderId="7" xfId="0" applyFont="1" applyFill="1" applyBorder="1" applyAlignment="1">
      <alignment vertical="center"/>
    </xf>
    <xf numFmtId="0" fontId="109" fillId="25" borderId="8" xfId="0" applyFont="1" applyFill="1" applyBorder="1" applyAlignment="1">
      <alignment vertical="center"/>
    </xf>
    <xf numFmtId="0" fontId="135" fillId="25" borderId="47" xfId="0" applyFont="1" applyFill="1" applyBorder="1" applyAlignment="1">
      <alignment vertical="center"/>
    </xf>
    <xf numFmtId="0" fontId="65" fillId="25" borderId="6" xfId="0" applyFont="1" applyFill="1" applyBorder="1" applyAlignment="1">
      <alignment vertical="center"/>
    </xf>
    <xf numFmtId="0" fontId="109" fillId="25" borderId="29" xfId="0" applyFont="1" applyFill="1" applyBorder="1" applyAlignment="1">
      <alignment vertical="center"/>
    </xf>
    <xf numFmtId="0" fontId="134" fillId="25" borderId="47" xfId="0" applyFont="1" applyFill="1" applyBorder="1" applyAlignment="1">
      <alignment vertical="center"/>
    </xf>
    <xf numFmtId="1" fontId="112" fillId="25" borderId="29" xfId="0" applyNumberFormat="1" applyFont="1" applyFill="1" applyBorder="1" applyAlignment="1">
      <alignment vertical="center"/>
    </xf>
    <xf numFmtId="0" fontId="115" fillId="25" borderId="44" xfId="0" applyFont="1" applyFill="1" applyBorder="1" applyAlignment="1">
      <alignment vertical="center"/>
    </xf>
    <xf numFmtId="0" fontId="115" fillId="25" borderId="24" xfId="0" applyFont="1" applyFill="1" applyBorder="1" applyAlignment="1">
      <alignment vertical="center"/>
    </xf>
    <xf numFmtId="0" fontId="135" fillId="25" borderId="24" xfId="0" applyFont="1" applyFill="1" applyBorder="1" applyAlignment="1">
      <alignment vertical="center"/>
    </xf>
    <xf numFmtId="0" fontId="128" fillId="25" borderId="3" xfId="0" applyFont="1" applyFill="1" applyBorder="1" applyAlignment="1">
      <alignment vertical="center"/>
    </xf>
    <xf numFmtId="2" fontId="138" fillId="20" borderId="3" xfId="0" applyNumberFormat="1" applyFont="1" applyFill="1" applyBorder="1" applyAlignment="1">
      <alignment horizontal="center" vertical="center"/>
    </xf>
    <xf numFmtId="2" fontId="138" fillId="21" borderId="53" xfId="0" applyNumberFormat="1" applyFont="1" applyFill="1" applyBorder="1" applyAlignment="1">
      <alignment horizontal="center" vertical="center"/>
    </xf>
    <xf numFmtId="171" fontId="111" fillId="21" borderId="53" xfId="0" applyNumberFormat="1" applyFont="1" applyFill="1" applyBorder="1" applyAlignment="1">
      <alignment horizontal="center" vertical="center"/>
    </xf>
    <xf numFmtId="2" fontId="138" fillId="19" borderId="53" xfId="0" applyNumberFormat="1" applyFont="1" applyFill="1" applyBorder="1" applyAlignment="1">
      <alignment horizontal="center" vertical="center"/>
    </xf>
    <xf numFmtId="2" fontId="138" fillId="20" borderId="53" xfId="0" applyNumberFormat="1" applyFont="1" applyFill="1" applyBorder="1" applyAlignment="1">
      <alignment horizontal="center" vertical="center"/>
    </xf>
    <xf numFmtId="171" fontId="111" fillId="59" borderId="53" xfId="0" applyNumberFormat="1" applyFont="1" applyFill="1" applyBorder="1" applyAlignment="1">
      <alignment horizontal="center" vertical="center"/>
    </xf>
    <xf numFmtId="0" fontId="6" fillId="25" borderId="56" xfId="0" applyFont="1" applyFill="1" applyBorder="1"/>
    <xf numFmtId="2" fontId="111" fillId="59" borderId="18" xfId="0" applyNumberFormat="1" applyFont="1" applyFill="1" applyBorder="1" applyAlignment="1">
      <alignment horizontal="center" vertical="center"/>
    </xf>
    <xf numFmtId="2" fontId="111" fillId="59" borderId="22" xfId="0" applyNumberFormat="1" applyFont="1" applyFill="1" applyBorder="1" applyAlignment="1">
      <alignment horizontal="center" vertical="center"/>
    </xf>
    <xf numFmtId="2" fontId="111" fillId="59" borderId="20" xfId="0" applyNumberFormat="1" applyFont="1" applyFill="1" applyBorder="1" applyAlignment="1">
      <alignment horizontal="center" vertical="center"/>
    </xf>
    <xf numFmtId="0" fontId="119" fillId="20" borderId="10" xfId="0" applyFont="1" applyFill="1" applyBorder="1" applyAlignment="1">
      <alignment horizontal="center" vertical="center"/>
    </xf>
    <xf numFmtId="0" fontId="119" fillId="20" borderId="17" xfId="0" applyFont="1" applyFill="1" applyBorder="1" applyAlignment="1">
      <alignment horizontal="center" vertical="center"/>
    </xf>
    <xf numFmtId="1" fontId="113" fillId="20" borderId="17" xfId="0" applyNumberFormat="1" applyFont="1" applyFill="1" applyBorder="1" applyAlignment="1">
      <alignment horizontal="center"/>
    </xf>
    <xf numFmtId="0" fontId="113" fillId="20" borderId="17" xfId="0" applyFont="1" applyFill="1" applyBorder="1" applyAlignment="1">
      <alignment horizontal="center"/>
    </xf>
    <xf numFmtId="0" fontId="0" fillId="20" borderId="17" xfId="0" applyFill="1" applyBorder="1" applyAlignment="1">
      <alignment horizontal="center"/>
    </xf>
    <xf numFmtId="1" fontId="0" fillId="20" borderId="17" xfId="0" applyNumberFormat="1" applyFill="1" applyBorder="1" applyAlignment="1">
      <alignment horizontal="center"/>
    </xf>
    <xf numFmtId="1" fontId="125" fillId="20" borderId="17" xfId="0" applyNumberFormat="1" applyFont="1" applyFill="1" applyBorder="1" applyAlignment="1">
      <alignment horizontal="center" vertical="center"/>
    </xf>
    <xf numFmtId="1" fontId="108" fillId="20" borderId="17" xfId="0" applyNumberFormat="1" applyFont="1" applyFill="1" applyBorder="1" applyAlignment="1">
      <alignment horizontal="center"/>
    </xf>
    <xf numFmtId="1" fontId="0" fillId="20" borderId="33" xfId="0" applyNumberFormat="1" applyFill="1" applyBorder="1" applyAlignment="1">
      <alignment horizontal="center"/>
    </xf>
    <xf numFmtId="2" fontId="113" fillId="20" borderId="17" xfId="0" applyNumberFormat="1" applyFont="1" applyFill="1" applyBorder="1" applyAlignment="1">
      <alignment horizontal="center"/>
    </xf>
    <xf numFmtId="2" fontId="0" fillId="20" borderId="17" xfId="0" applyNumberFormat="1" applyFill="1" applyBorder="1" applyAlignment="1">
      <alignment horizontal="center"/>
    </xf>
    <xf numFmtId="2" fontId="125" fillId="20" borderId="17" xfId="0" applyNumberFormat="1" applyFont="1" applyFill="1" applyBorder="1" applyAlignment="1">
      <alignment horizontal="center" vertical="center"/>
    </xf>
    <xf numFmtId="2" fontId="108" fillId="20" borderId="17" xfId="0" applyNumberFormat="1" applyFont="1" applyFill="1" applyBorder="1" applyAlignment="1">
      <alignment horizontal="center"/>
    </xf>
    <xf numFmtId="2" fontId="0" fillId="20" borderId="33" xfId="0" applyNumberFormat="1" applyFill="1" applyBorder="1" applyAlignment="1">
      <alignment horizontal="center"/>
    </xf>
    <xf numFmtId="1" fontId="139" fillId="19" borderId="17" xfId="0" applyNumberFormat="1" applyFont="1" applyFill="1" applyBorder="1" applyAlignment="1">
      <alignment horizontal="center"/>
    </xf>
    <xf numFmtId="1" fontId="125" fillId="20" borderId="3" xfId="0" applyNumberFormat="1" applyFont="1" applyFill="1" applyBorder="1" applyAlignment="1">
      <alignment horizontal="center" vertical="center"/>
    </xf>
    <xf numFmtId="172" fontId="138" fillId="20" borderId="31" xfId="0" applyNumberFormat="1" applyFont="1" applyFill="1" applyBorder="1" applyAlignment="1">
      <alignment horizontal="center" vertical="center"/>
    </xf>
    <xf numFmtId="169" fontId="111" fillId="20" borderId="58" xfId="0" applyNumberFormat="1" applyFont="1" applyFill="1" applyBorder="1" applyAlignment="1">
      <alignment horizontal="center" vertical="center"/>
    </xf>
    <xf numFmtId="2" fontId="138" fillId="20" borderId="44" xfId="0" applyNumberFormat="1" applyFont="1" applyFill="1" applyBorder="1" applyAlignment="1">
      <alignment horizontal="center" vertical="center"/>
    </xf>
    <xf numFmtId="2" fontId="138" fillId="20" borderId="70" xfId="0" applyNumberFormat="1" applyFont="1" applyFill="1" applyBorder="1" applyAlignment="1">
      <alignment horizontal="center" vertical="center"/>
    </xf>
    <xf numFmtId="2" fontId="138" fillId="20" borderId="51" xfId="0" applyNumberFormat="1" applyFont="1" applyFill="1" applyBorder="1" applyAlignment="1">
      <alignment horizontal="center" vertical="center"/>
    </xf>
    <xf numFmtId="2" fontId="149" fillId="0" borderId="0" xfId="0" applyNumberFormat="1" applyFont="1"/>
    <xf numFmtId="169" fontId="149" fillId="0" borderId="0" xfId="0" applyNumberFormat="1" applyFont="1"/>
    <xf numFmtId="0" fontId="149" fillId="17" borderId="0" xfId="0" applyFont="1" applyFill="1"/>
    <xf numFmtId="172" fontId="138" fillId="19" borderId="31" xfId="0" applyNumberFormat="1" applyFont="1" applyFill="1" applyBorder="1" applyAlignment="1">
      <alignment horizontal="center" vertical="center"/>
    </xf>
    <xf numFmtId="1" fontId="147" fillId="0" borderId="0" xfId="0" applyNumberFormat="1" applyFont="1" applyAlignment="1">
      <alignment horizontal="center" vertical="center"/>
    </xf>
    <xf numFmtId="0" fontId="109" fillId="0" borderId="67" xfId="0" applyFont="1" applyBorder="1" applyAlignment="1">
      <alignment horizontal="center" vertical="center"/>
    </xf>
    <xf numFmtId="1" fontId="109" fillId="19" borderId="42" xfId="0" applyNumberFormat="1" applyFont="1" applyFill="1" applyBorder="1" applyAlignment="1">
      <alignment horizontal="center" vertical="center"/>
    </xf>
    <xf numFmtId="1" fontId="109" fillId="20" borderId="42" xfId="0" applyNumberFormat="1" applyFont="1" applyFill="1" applyBorder="1" applyAlignment="1">
      <alignment horizontal="center" vertical="center"/>
    </xf>
    <xf numFmtId="0" fontId="109" fillId="20" borderId="17" xfId="0" applyFont="1" applyFill="1" applyBorder="1" applyAlignment="1">
      <alignment horizontal="center" vertical="center"/>
    </xf>
    <xf numFmtId="0" fontId="111" fillId="19" borderId="50" xfId="0" applyFont="1" applyFill="1" applyBorder="1" applyAlignment="1">
      <alignment horizontal="center" vertical="center"/>
    </xf>
    <xf numFmtId="0" fontId="111" fillId="25" borderId="50" xfId="0" applyFont="1" applyFill="1" applyBorder="1" applyAlignment="1">
      <alignment horizontal="center" vertical="center"/>
    </xf>
    <xf numFmtId="0" fontId="111" fillId="20" borderId="50" xfId="0" applyFont="1" applyFill="1" applyBorder="1" applyAlignment="1">
      <alignment horizontal="center" vertical="center"/>
    </xf>
    <xf numFmtId="1" fontId="111" fillId="25" borderId="19" xfId="0" applyNumberFormat="1" applyFont="1" applyFill="1" applyBorder="1" applyAlignment="1">
      <alignment horizontal="center" vertical="center"/>
    </xf>
    <xf numFmtId="172" fontId="111" fillId="19" borderId="19" xfId="0" applyNumberFormat="1" applyFont="1" applyFill="1" applyBorder="1" applyAlignment="1">
      <alignment horizontal="center" vertical="center"/>
    </xf>
    <xf numFmtId="2" fontId="111" fillId="25" borderId="72" xfId="0" applyNumberFormat="1" applyFont="1" applyFill="1" applyBorder="1" applyAlignment="1">
      <alignment horizontal="center" vertical="center"/>
    </xf>
    <xf numFmtId="169" fontId="111" fillId="25" borderId="72" xfId="0" applyNumberFormat="1" applyFont="1" applyFill="1" applyBorder="1" applyAlignment="1">
      <alignment horizontal="center" vertical="center"/>
    </xf>
    <xf numFmtId="2" fontId="111" fillId="25" borderId="33" xfId="0" applyNumberFormat="1" applyFont="1" applyFill="1" applyBorder="1" applyAlignment="1">
      <alignment horizontal="center" vertical="center"/>
    </xf>
    <xf numFmtId="0" fontId="125" fillId="21" borderId="17" xfId="0" applyFont="1" applyFill="1" applyBorder="1" applyAlignment="1">
      <alignment horizontal="center" vertical="center"/>
    </xf>
    <xf numFmtId="1" fontId="125" fillId="19" borderId="3" xfId="0" applyNumberFormat="1" applyFont="1" applyFill="1" applyBorder="1" applyAlignment="1">
      <alignment horizontal="center" vertical="center"/>
    </xf>
    <xf numFmtId="0" fontId="8" fillId="25" borderId="56" xfId="0" applyFont="1" applyFill="1" applyBorder="1" applyAlignment="1">
      <alignment vertical="center"/>
    </xf>
    <xf numFmtId="0" fontId="6" fillId="20" borderId="4" xfId="0" applyFont="1" applyFill="1" applyBorder="1" applyAlignment="1">
      <alignment horizontal="center" vertical="center"/>
    </xf>
    <xf numFmtId="0" fontId="6" fillId="20" borderId="28" xfId="0" applyFont="1" applyFill="1" applyBorder="1" applyAlignment="1">
      <alignment horizontal="center" vertical="center"/>
    </xf>
    <xf numFmtId="1" fontId="74" fillId="20" borderId="4" xfId="0" applyNumberFormat="1" applyFont="1" applyFill="1" applyBorder="1" applyAlignment="1">
      <alignment horizontal="center" vertical="center"/>
    </xf>
    <xf numFmtId="1" fontId="6" fillId="20" borderId="5" xfId="0" applyNumberFormat="1" applyFont="1" applyFill="1" applyBorder="1" applyAlignment="1">
      <alignment horizontal="center" vertical="center"/>
    </xf>
    <xf numFmtId="0" fontId="11" fillId="20" borderId="10" xfId="0" applyFont="1" applyFill="1" applyBorder="1" applyAlignment="1">
      <alignment horizontal="center" vertical="center"/>
    </xf>
    <xf numFmtId="0" fontId="6" fillId="20" borderId="5" xfId="0" applyFont="1" applyFill="1" applyBorder="1" applyAlignment="1">
      <alignment horizontal="center" vertical="center"/>
    </xf>
    <xf numFmtId="0" fontId="75" fillId="20" borderId="3" xfId="0" quotePrefix="1" applyFont="1" applyFill="1" applyBorder="1" applyAlignment="1">
      <alignment horizontal="center" vertical="center"/>
    </xf>
    <xf numFmtId="0" fontId="11" fillId="20" borderId="41" xfId="0" applyFont="1" applyFill="1" applyBorder="1" applyAlignment="1">
      <alignment horizontal="center" vertical="center"/>
    </xf>
    <xf numFmtId="0" fontId="75" fillId="20" borderId="29" xfId="0" applyFont="1" applyFill="1" applyBorder="1" applyAlignment="1">
      <alignment horizontal="center" vertical="center"/>
    </xf>
    <xf numFmtId="0" fontId="75" fillId="20" borderId="59" xfId="0" applyFont="1" applyFill="1" applyBorder="1" applyAlignment="1">
      <alignment horizontal="center" vertical="center"/>
    </xf>
    <xf numFmtId="0" fontId="11" fillId="20" borderId="23" xfId="0" applyFont="1" applyFill="1" applyBorder="1" applyAlignment="1">
      <alignment horizontal="center" vertical="center"/>
    </xf>
    <xf numFmtId="0" fontId="75" fillId="20" borderId="44" xfId="0" applyFont="1" applyFill="1" applyBorder="1" applyAlignment="1">
      <alignment horizontal="center" vertical="center" wrapText="1"/>
    </xf>
    <xf numFmtId="0" fontId="137" fillId="20" borderId="42" xfId="0" applyFont="1" applyFill="1" applyBorder="1" applyAlignment="1">
      <alignment horizontal="left" vertical="center" wrapText="1"/>
    </xf>
    <xf numFmtId="0" fontId="75" fillId="20" borderId="47" xfId="0" quotePrefix="1" applyFont="1" applyFill="1" applyBorder="1" applyAlignment="1">
      <alignment horizontal="center" vertical="center"/>
    </xf>
    <xf numFmtId="0" fontId="137" fillId="20" borderId="17" xfId="0" quotePrefix="1" applyFont="1" applyFill="1" applyBorder="1" applyAlignment="1">
      <alignment horizontal="left" vertical="center" wrapText="1"/>
    </xf>
    <xf numFmtId="0" fontId="75" fillId="20" borderId="51" xfId="0" quotePrefix="1" applyFont="1" applyFill="1" applyBorder="1" applyAlignment="1">
      <alignment horizontal="center" vertical="center"/>
    </xf>
    <xf numFmtId="0" fontId="137" fillId="20" borderId="33" xfId="0" quotePrefix="1" applyFont="1" applyFill="1" applyBorder="1" applyAlignment="1">
      <alignment horizontal="left" vertical="center" wrapText="1"/>
    </xf>
    <xf numFmtId="1" fontId="75" fillId="20" borderId="34" xfId="0" applyNumberFormat="1" applyFont="1" applyFill="1" applyBorder="1" applyAlignment="1">
      <alignment horizontal="center" vertical="center"/>
    </xf>
    <xf numFmtId="0" fontId="11" fillId="20" borderId="30" xfId="0" applyFont="1" applyFill="1" applyBorder="1" applyAlignment="1">
      <alignment horizontal="center" vertical="center"/>
    </xf>
    <xf numFmtId="1" fontId="11" fillId="20" borderId="30" xfId="0" applyNumberFormat="1" applyFont="1" applyFill="1" applyBorder="1" applyAlignment="1">
      <alignment horizontal="center" vertical="center"/>
    </xf>
    <xf numFmtId="1" fontId="75" fillId="20" borderId="31" xfId="0" applyNumberFormat="1" applyFont="1" applyFill="1" applyBorder="1" applyAlignment="1">
      <alignment horizontal="center" vertical="center"/>
    </xf>
    <xf numFmtId="1" fontId="75" fillId="20" borderId="32" xfId="0" applyNumberFormat="1" applyFont="1" applyFill="1" applyBorder="1" applyAlignment="1">
      <alignment horizontal="center" vertical="center"/>
    </xf>
    <xf numFmtId="1" fontId="11" fillId="20" borderId="41" xfId="0" applyNumberFormat="1" applyFont="1" applyFill="1" applyBorder="1" applyAlignment="1">
      <alignment horizontal="center" vertical="center"/>
    </xf>
    <xf numFmtId="1" fontId="6" fillId="20" borderId="41" xfId="0" applyNumberFormat="1" applyFont="1" applyFill="1" applyBorder="1" applyAlignment="1">
      <alignment horizontal="center" vertical="center"/>
    </xf>
    <xf numFmtId="1" fontId="6" fillId="20" borderId="14" xfId="0" applyNumberFormat="1" applyFont="1" applyFill="1" applyBorder="1" applyAlignment="1">
      <alignment horizontal="center" vertical="center"/>
    </xf>
    <xf numFmtId="1" fontId="11" fillId="20" borderId="45" xfId="0" applyNumberFormat="1" applyFont="1" applyFill="1" applyBorder="1" applyAlignment="1">
      <alignment horizontal="center" vertical="center"/>
    </xf>
    <xf numFmtId="169" fontId="75" fillId="20" borderId="10" xfId="0" applyNumberFormat="1" applyFont="1" applyFill="1" applyBorder="1" applyAlignment="1">
      <alignment horizontal="center" vertical="center"/>
    </xf>
    <xf numFmtId="169" fontId="11" fillId="20" borderId="10" xfId="0" applyNumberFormat="1" applyFont="1" applyFill="1" applyBorder="1" applyAlignment="1">
      <alignment horizontal="center" vertical="center"/>
    </xf>
    <xf numFmtId="1" fontId="75" fillId="20" borderId="29" xfId="0" applyNumberFormat="1" applyFont="1" applyFill="1" applyBorder="1" applyAlignment="1">
      <alignment horizontal="center" vertical="center"/>
    </xf>
    <xf numFmtId="1" fontId="11" fillId="20" borderId="10" xfId="0" applyNumberFormat="1" applyFont="1" applyFill="1" applyBorder="1" applyAlignment="1">
      <alignment horizontal="center" vertical="center"/>
    </xf>
    <xf numFmtId="1" fontId="75" fillId="20" borderId="29" xfId="0" quotePrefix="1" applyNumberFormat="1" applyFont="1" applyFill="1" applyBorder="1" applyAlignment="1">
      <alignment horizontal="center" vertical="center"/>
    </xf>
    <xf numFmtId="169" fontId="75" fillId="20" borderId="34" xfId="0" applyNumberFormat="1" applyFont="1" applyFill="1" applyBorder="1" applyAlignment="1">
      <alignment horizontal="center" vertical="center"/>
    </xf>
    <xf numFmtId="169" fontId="11" fillId="20" borderId="30" xfId="0" applyNumberFormat="1" applyFont="1" applyFill="1" applyBorder="1" applyAlignment="1">
      <alignment horizontal="center" vertical="center"/>
    </xf>
    <xf numFmtId="1" fontId="75" fillId="20" borderId="10" xfId="0" applyNumberFormat="1" applyFont="1" applyFill="1" applyBorder="1" applyAlignment="1">
      <alignment horizontal="center" vertical="center"/>
    </xf>
    <xf numFmtId="1" fontId="75" fillId="20" borderId="45" xfId="0" applyNumberFormat="1" applyFont="1" applyFill="1" applyBorder="1" applyAlignment="1">
      <alignment horizontal="center" vertical="center"/>
    </xf>
    <xf numFmtId="0" fontId="75" fillId="20" borderId="62" xfId="0" applyFont="1" applyFill="1" applyBorder="1" applyAlignment="1">
      <alignment horizontal="center" vertical="center"/>
    </xf>
    <xf numFmtId="1" fontId="75" fillId="20" borderId="3" xfId="0" applyNumberFormat="1" applyFont="1" applyFill="1" applyBorder="1" applyAlignment="1">
      <alignment horizontal="center" vertical="center"/>
    </xf>
    <xf numFmtId="2" fontId="75" fillId="20" borderId="10" xfId="0" applyNumberFormat="1" applyFont="1" applyFill="1" applyBorder="1" applyAlignment="1">
      <alignment horizontal="center" vertical="center"/>
    </xf>
    <xf numFmtId="2" fontId="11" fillId="20" borderId="10" xfId="0" applyNumberFormat="1" applyFont="1" applyFill="1" applyBorder="1" applyAlignment="1">
      <alignment horizontal="center" vertical="center"/>
    </xf>
    <xf numFmtId="2" fontId="75" fillId="20" borderId="29" xfId="0" applyNumberFormat="1" applyFont="1" applyFill="1" applyBorder="1" applyAlignment="1">
      <alignment horizontal="center" vertical="center"/>
    </xf>
    <xf numFmtId="2" fontId="11" fillId="20" borderId="29" xfId="0" applyNumberFormat="1" applyFont="1" applyFill="1" applyBorder="1" applyAlignment="1">
      <alignment horizontal="center" vertical="center"/>
    </xf>
    <xf numFmtId="169" fontId="75" fillId="20" borderId="29" xfId="0" applyNumberFormat="1" applyFont="1" applyFill="1" applyBorder="1" applyAlignment="1">
      <alignment horizontal="center" vertical="center"/>
    </xf>
    <xf numFmtId="169" fontId="11" fillId="20" borderId="29" xfId="0" applyNumberFormat="1" applyFont="1" applyFill="1" applyBorder="1" applyAlignment="1">
      <alignment horizontal="center" vertical="center"/>
    </xf>
    <xf numFmtId="1" fontId="11" fillId="20" borderId="29" xfId="0" applyNumberFormat="1" applyFont="1" applyFill="1" applyBorder="1" applyAlignment="1">
      <alignment horizontal="center" vertical="center"/>
    </xf>
    <xf numFmtId="171" fontId="11" fillId="20" borderId="29" xfId="0" applyNumberFormat="1" applyFont="1" applyFill="1" applyBorder="1" applyAlignment="1">
      <alignment horizontal="center" vertical="center"/>
    </xf>
    <xf numFmtId="171" fontId="11" fillId="20" borderId="36" xfId="0" applyNumberFormat="1" applyFont="1" applyFill="1" applyBorder="1" applyAlignment="1">
      <alignment horizontal="center" vertical="center"/>
    </xf>
    <xf numFmtId="171" fontId="11" fillId="20" borderId="45" xfId="0" applyNumberFormat="1" applyFont="1" applyFill="1" applyBorder="1" applyAlignment="1">
      <alignment horizontal="center" vertical="center"/>
    </xf>
    <xf numFmtId="171" fontId="75" fillId="20" borderId="23" xfId="0" applyNumberFormat="1" applyFont="1" applyFill="1" applyBorder="1" applyAlignment="1">
      <alignment horizontal="center" vertical="center"/>
    </xf>
    <xf numFmtId="171" fontId="11" fillId="20" borderId="23" xfId="0" applyNumberFormat="1" applyFont="1" applyFill="1" applyBorder="1" applyAlignment="1">
      <alignment horizontal="center" vertical="center"/>
    </xf>
    <xf numFmtId="171" fontId="11" fillId="20" borderId="42" xfId="0" applyNumberFormat="1" applyFont="1" applyFill="1" applyBorder="1" applyAlignment="1">
      <alignment horizontal="center" vertical="center"/>
    </xf>
    <xf numFmtId="171" fontId="11" fillId="20" borderId="17" xfId="0" applyNumberFormat="1" applyFont="1" applyFill="1" applyBorder="1" applyAlignment="1">
      <alignment horizontal="center" vertical="center"/>
    </xf>
    <xf numFmtId="169" fontId="11" fillId="20" borderId="17" xfId="0" applyNumberFormat="1" applyFont="1" applyFill="1" applyBorder="1" applyAlignment="1">
      <alignment horizontal="center" vertical="center"/>
    </xf>
    <xf numFmtId="0" fontId="11" fillId="20" borderId="33" xfId="0" applyFont="1" applyFill="1" applyBorder="1" applyAlignment="1">
      <alignment vertical="center"/>
    </xf>
    <xf numFmtId="2" fontId="6" fillId="20" borderId="41" xfId="0" applyNumberFormat="1" applyFont="1" applyFill="1" applyBorder="1" applyAlignment="1">
      <alignment horizontal="center" vertical="center"/>
    </xf>
    <xf numFmtId="2" fontId="6" fillId="20" borderId="10" xfId="0" applyNumberFormat="1" applyFont="1" applyFill="1" applyBorder="1" applyAlignment="1">
      <alignment horizontal="center" vertical="center"/>
    </xf>
    <xf numFmtId="2" fontId="6" fillId="20" borderId="14" xfId="0" applyNumberFormat="1" applyFont="1" applyFill="1" applyBorder="1" applyAlignment="1">
      <alignment horizontal="center" vertical="center"/>
    </xf>
    <xf numFmtId="0" fontId="74" fillId="20" borderId="3" xfId="0" applyFont="1" applyFill="1" applyBorder="1" applyAlignment="1">
      <alignment horizontal="center" vertical="center"/>
    </xf>
    <xf numFmtId="0" fontId="74" fillId="20" borderId="29" xfId="0" applyFont="1" applyFill="1" applyBorder="1" applyAlignment="1">
      <alignment horizontal="center" vertical="center"/>
    </xf>
    <xf numFmtId="0" fontId="74" fillId="20" borderId="69" xfId="0" applyFont="1" applyFill="1" applyBorder="1" applyAlignment="1">
      <alignment horizontal="center" vertical="center"/>
    </xf>
    <xf numFmtId="0" fontId="75" fillId="20" borderId="92" xfId="0" applyFont="1" applyFill="1" applyBorder="1" applyAlignment="1">
      <alignment vertical="center"/>
    </xf>
    <xf numFmtId="0" fontId="75" fillId="20" borderId="46" xfId="0" applyFont="1" applyFill="1" applyBorder="1" applyAlignment="1">
      <alignment vertical="center"/>
    </xf>
    <xf numFmtId="0" fontId="75" fillId="20" borderId="14" xfId="0" applyFont="1" applyFill="1" applyBorder="1" applyAlignment="1">
      <alignment vertical="center"/>
    </xf>
    <xf numFmtId="2" fontId="11" fillId="20" borderId="23" xfId="0" applyNumberFormat="1" applyFont="1" applyFill="1" applyBorder="1" applyAlignment="1">
      <alignment horizontal="center" vertical="center"/>
    </xf>
    <xf numFmtId="169" fontId="119" fillId="20" borderId="10" xfId="0" applyNumberFormat="1" applyFont="1" applyFill="1" applyBorder="1" applyAlignment="1">
      <alignment horizontal="center" vertical="center"/>
    </xf>
    <xf numFmtId="0" fontId="119" fillId="20" borderId="10" xfId="0" applyFont="1" applyFill="1" applyBorder="1" applyAlignment="1">
      <alignment horizontal="center"/>
    </xf>
    <xf numFmtId="0" fontId="0" fillId="0" borderId="0" xfId="0"/>
    <xf numFmtId="1" fontId="138" fillId="25" borderId="62" xfId="0" applyNumberFormat="1" applyFont="1" applyFill="1" applyBorder="1" applyAlignment="1">
      <alignment horizontal="center" vertical="center"/>
    </xf>
    <xf numFmtId="1" fontId="138" fillId="25" borderId="74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0" fontId="119" fillId="0" borderId="4" xfId="0" applyFont="1" applyBorder="1" applyAlignment="1">
      <alignment horizontal="center" vertical="center"/>
    </xf>
    <xf numFmtId="1" fontId="138" fillId="19" borderId="34" xfId="0" applyNumberFormat="1" applyFont="1" applyFill="1" applyBorder="1" applyAlignment="1">
      <alignment horizontal="center" vertical="center"/>
    </xf>
    <xf numFmtId="0" fontId="119" fillId="19" borderId="1" xfId="0" applyFont="1" applyFill="1" applyBorder="1" applyAlignment="1">
      <alignment horizontal="center" vertical="center"/>
    </xf>
    <xf numFmtId="1" fontId="138" fillId="19" borderId="62" xfId="0" applyNumberFormat="1" applyFont="1" applyFill="1" applyBorder="1" applyAlignment="1">
      <alignment horizontal="center" vertical="center"/>
    </xf>
    <xf numFmtId="1" fontId="138" fillId="20" borderId="34" xfId="0" applyNumberFormat="1" applyFont="1" applyFill="1" applyBorder="1" applyAlignment="1">
      <alignment horizontal="center" vertical="center"/>
    </xf>
    <xf numFmtId="0" fontId="112" fillId="20" borderId="1" xfId="0" applyFont="1" applyFill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1" fontId="75" fillId="19" borderId="30" xfId="0" applyNumberFormat="1" applyFont="1" applyFill="1" applyBorder="1" applyAlignment="1">
      <alignment horizontal="center" vertical="center"/>
    </xf>
    <xf numFmtId="1" fontId="74" fillId="19" borderId="34" xfId="0" applyNumberFormat="1" applyFont="1" applyFill="1" applyBorder="1" applyAlignment="1">
      <alignment horizontal="center" vertical="center"/>
    </xf>
    <xf numFmtId="1" fontId="138" fillId="0" borderId="36" xfId="0" applyNumberFormat="1" applyFont="1" applyBorder="1" applyAlignment="1">
      <alignment horizontal="center" vertical="center"/>
    </xf>
    <xf numFmtId="1" fontId="138" fillId="0" borderId="8" xfId="0" applyNumberFormat="1" applyFont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25" fillId="19" borderId="62" xfId="0" applyNumberFormat="1" applyFont="1" applyFill="1" applyBorder="1" applyAlignment="1">
      <alignment horizontal="center" vertical="center"/>
    </xf>
    <xf numFmtId="1" fontId="125" fillId="20" borderId="62" xfId="0" applyNumberFormat="1" applyFont="1" applyFill="1" applyBorder="1" applyAlignment="1">
      <alignment horizontal="center" vertical="center"/>
    </xf>
    <xf numFmtId="1" fontId="138" fillId="25" borderId="36" xfId="0" quotePrefix="1" applyNumberFormat="1" applyFont="1" applyFill="1" applyBorder="1" applyAlignment="1">
      <alignment horizontal="center" vertical="center"/>
    </xf>
    <xf numFmtId="0" fontId="138" fillId="25" borderId="8" xfId="0" applyFont="1" applyFill="1" applyBorder="1" applyAlignment="1">
      <alignment horizontal="center" vertical="center"/>
    </xf>
    <xf numFmtId="0" fontId="138" fillId="19" borderId="34" xfId="0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169" fontId="11" fillId="0" borderId="29" xfId="0" applyNumberFormat="1" applyFont="1" applyBorder="1" applyAlignment="1">
      <alignment horizontal="center" vertical="center"/>
    </xf>
    <xf numFmtId="169" fontId="11" fillId="25" borderId="29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75" fillId="25" borderId="29" xfId="0" applyNumberFormat="1" applyFont="1" applyFill="1" applyBorder="1" applyAlignment="1">
      <alignment horizontal="center" vertical="center"/>
    </xf>
    <xf numFmtId="169" fontId="138" fillId="25" borderId="62" xfId="0" applyNumberFormat="1" applyFont="1" applyFill="1" applyBorder="1" applyAlignment="1">
      <alignment horizontal="center" vertical="center"/>
    </xf>
    <xf numFmtId="169" fontId="11" fillId="0" borderId="17" xfId="0" applyNumberFormat="1" applyFont="1" applyBorder="1" applyAlignment="1">
      <alignment horizontal="center" vertical="center"/>
    </xf>
    <xf numFmtId="169" fontId="11" fillId="19" borderId="17" xfId="0" applyNumberFormat="1" applyFont="1" applyFill="1" applyBorder="1" applyAlignment="1">
      <alignment horizontal="center" vertical="center"/>
    </xf>
    <xf numFmtId="0" fontId="6" fillId="25" borderId="26" xfId="0" applyFont="1" applyFill="1" applyBorder="1" applyAlignment="1">
      <alignment horizontal="center" vertical="center"/>
    </xf>
    <xf numFmtId="1" fontId="6" fillId="25" borderId="67" xfId="0" applyNumberFormat="1" applyFont="1" applyFill="1" applyBorder="1" applyAlignment="1">
      <alignment horizontal="center" vertical="center"/>
    </xf>
    <xf numFmtId="1" fontId="6" fillId="19" borderId="1" xfId="0" applyNumberFormat="1" applyFont="1" applyFill="1" applyBorder="1" applyAlignment="1">
      <alignment horizontal="center" vertical="center"/>
    </xf>
    <xf numFmtId="0" fontId="202" fillId="25" borderId="26" xfId="0" applyFont="1" applyFill="1" applyBorder="1"/>
    <xf numFmtId="1" fontId="75" fillId="20" borderId="36" xfId="0" applyNumberFormat="1" applyFont="1" applyFill="1" applyBorder="1" applyAlignment="1">
      <alignment horizontal="center" vertical="center"/>
    </xf>
    <xf numFmtId="1" fontId="75" fillId="19" borderId="36" xfId="0" applyNumberFormat="1" applyFont="1" applyFill="1" applyBorder="1" applyAlignment="1">
      <alignment horizontal="center" vertical="center"/>
    </xf>
    <xf numFmtId="0" fontId="111" fillId="25" borderId="39" xfId="0" applyFont="1" applyFill="1" applyBorder="1"/>
    <xf numFmtId="0" fontId="111" fillId="25" borderId="26" xfId="0" applyFont="1" applyFill="1" applyBorder="1"/>
    <xf numFmtId="169" fontId="111" fillId="25" borderId="11" xfId="0" applyNumberFormat="1" applyFont="1" applyFill="1" applyBorder="1" applyAlignment="1">
      <alignment horizontal="center" vertical="center"/>
    </xf>
    <xf numFmtId="2" fontId="111" fillId="25" borderId="38" xfId="0" applyNumberFormat="1" applyFont="1" applyFill="1" applyBorder="1" applyAlignment="1">
      <alignment horizontal="center"/>
    </xf>
    <xf numFmtId="1" fontId="137" fillId="0" borderId="66" xfId="0" applyNumberFormat="1" applyFont="1" applyBorder="1" applyAlignment="1">
      <alignment horizontal="center" vertical="center"/>
    </xf>
    <xf numFmtId="1" fontId="11" fillId="0" borderId="66" xfId="0" applyNumberFormat="1" applyFont="1" applyBorder="1" applyAlignment="1">
      <alignment horizontal="center" vertical="center"/>
    </xf>
    <xf numFmtId="1" fontId="11" fillId="21" borderId="42" xfId="0" applyNumberFormat="1" applyFont="1" applyFill="1" applyBorder="1" applyAlignment="1">
      <alignment horizontal="center" vertical="center"/>
    </xf>
    <xf numFmtId="1" fontId="11" fillId="19" borderId="42" xfId="0" applyNumberFormat="1" applyFont="1" applyFill="1" applyBorder="1" applyAlignment="1">
      <alignment horizontal="center" vertical="center"/>
    </xf>
    <xf numFmtId="0" fontId="112" fillId="20" borderId="102" xfId="0" applyFont="1" applyFill="1" applyBorder="1" applyAlignment="1">
      <alignment horizontal="center" vertical="center"/>
    </xf>
    <xf numFmtId="1" fontId="111" fillId="20" borderId="132" xfId="0" applyNumberFormat="1" applyFont="1" applyFill="1" applyBorder="1" applyAlignment="1">
      <alignment horizontal="center" vertical="center"/>
    </xf>
    <xf numFmtId="1" fontId="111" fillId="20" borderId="104" xfId="0" applyNumberFormat="1" applyFont="1" applyFill="1" applyBorder="1" applyAlignment="1">
      <alignment horizontal="center" vertical="center"/>
    </xf>
    <xf numFmtId="1" fontId="109" fillId="20" borderId="135" xfId="0" applyNumberFormat="1" applyFont="1" applyFill="1" applyBorder="1" applyAlignment="1">
      <alignment horizontal="center" vertical="center"/>
    </xf>
    <xf numFmtId="169" fontId="111" fillId="20" borderId="104" xfId="0" applyNumberFormat="1" applyFont="1" applyFill="1" applyBorder="1" applyAlignment="1">
      <alignment horizontal="center" vertical="center"/>
    </xf>
    <xf numFmtId="2" fontId="111" fillId="20" borderId="136" xfId="0" applyNumberFormat="1" applyFont="1" applyFill="1" applyBorder="1" applyAlignment="1">
      <alignment horizontal="center" vertical="center"/>
    </xf>
    <xf numFmtId="2" fontId="109" fillId="20" borderId="135" xfId="0" applyNumberFormat="1" applyFont="1" applyFill="1" applyBorder="1" applyAlignment="1">
      <alignment horizontal="center" vertical="center"/>
    </xf>
    <xf numFmtId="0" fontId="138" fillId="20" borderId="8" xfId="0" applyFont="1" applyFill="1" applyBorder="1" applyAlignment="1">
      <alignment horizontal="center" vertical="center"/>
    </xf>
    <xf numFmtId="0" fontId="138" fillId="20" borderId="62" xfId="0" applyFont="1" applyFill="1" applyBorder="1" applyAlignment="1">
      <alignment horizontal="center" vertical="center"/>
    </xf>
    <xf numFmtId="1" fontId="111" fillId="20" borderId="98" xfId="0" applyNumberFormat="1" applyFont="1" applyFill="1" applyBorder="1" applyAlignment="1">
      <alignment horizontal="center" vertical="center"/>
    </xf>
    <xf numFmtId="1" fontId="111" fillId="20" borderId="123" xfId="0" applyNumberFormat="1" applyFont="1" applyFill="1" applyBorder="1" applyAlignment="1">
      <alignment horizontal="center" vertical="center"/>
    </xf>
    <xf numFmtId="1" fontId="111" fillId="20" borderId="126" xfId="0" applyNumberFormat="1" applyFont="1" applyFill="1" applyBorder="1" applyAlignment="1">
      <alignment horizontal="center" vertical="center"/>
    </xf>
    <xf numFmtId="169" fontId="111" fillId="20" borderId="8" xfId="0" applyNumberFormat="1" applyFont="1" applyFill="1" applyBorder="1" applyAlignment="1">
      <alignment horizontal="center" vertical="center"/>
    </xf>
    <xf numFmtId="1" fontId="138" fillId="20" borderId="99" xfId="0" applyNumberFormat="1" applyFont="1" applyFill="1" applyBorder="1" applyAlignment="1">
      <alignment horizontal="center" vertical="center"/>
    </xf>
    <xf numFmtId="0" fontId="65" fillId="25" borderId="138" xfId="0" applyFont="1" applyFill="1" applyBorder="1"/>
    <xf numFmtId="0" fontId="122" fillId="25" borderId="3" xfId="0" applyFont="1" applyFill="1" applyBorder="1"/>
    <xf numFmtId="0" fontId="122" fillId="25" borderId="24" xfId="0" applyFont="1" applyFill="1" applyBorder="1"/>
    <xf numFmtId="0" fontId="167" fillId="25" borderId="24" xfId="0" applyFont="1" applyFill="1" applyBorder="1"/>
    <xf numFmtId="0" fontId="6" fillId="25" borderId="119" xfId="0" applyFont="1" applyFill="1" applyBorder="1"/>
    <xf numFmtId="0" fontId="6" fillId="25" borderId="6" xfId="0" applyFont="1" applyFill="1" applyBorder="1"/>
    <xf numFmtId="0" fontId="6" fillId="25" borderId="8" xfId="0" applyFont="1" applyFill="1" applyBorder="1"/>
    <xf numFmtId="1" fontId="111" fillId="20" borderId="18" xfId="0" applyNumberFormat="1" applyFont="1" applyFill="1" applyBorder="1" applyAlignment="1">
      <alignment horizontal="center" vertical="center"/>
    </xf>
    <xf numFmtId="2" fontId="112" fillId="20" borderId="12" xfId="0" applyNumberFormat="1" applyFont="1" applyFill="1" applyBorder="1" applyAlignment="1">
      <alignment horizontal="center" vertical="center"/>
    </xf>
    <xf numFmtId="1" fontId="111" fillId="20" borderId="12" xfId="0" applyNumberFormat="1" applyFont="1" applyFill="1" applyBorder="1" applyAlignment="1">
      <alignment horizontal="center" vertical="center"/>
    </xf>
    <xf numFmtId="1" fontId="75" fillId="20" borderId="44" xfId="0" applyNumberFormat="1" applyFont="1" applyFill="1" applyBorder="1" applyAlignment="1">
      <alignment horizontal="center" vertical="center"/>
    </xf>
    <xf numFmtId="1" fontId="11" fillId="20" borderId="18" xfId="0" applyNumberFormat="1" applyFont="1" applyFill="1" applyBorder="1" applyAlignment="1">
      <alignment horizontal="center" vertical="center"/>
    </xf>
    <xf numFmtId="2" fontId="74" fillId="20" borderId="57" xfId="0" applyNumberFormat="1" applyFont="1" applyFill="1" applyBorder="1" applyAlignment="1">
      <alignment horizontal="center" vertical="center"/>
    </xf>
    <xf numFmtId="2" fontId="6" fillId="20" borderId="20" xfId="0" applyNumberFormat="1" applyFont="1" applyFill="1" applyBorder="1" applyAlignment="1">
      <alignment horizontal="center" vertical="center"/>
    </xf>
    <xf numFmtId="169" fontId="134" fillId="20" borderId="47" xfId="0" applyNumberFormat="1" applyFont="1" applyFill="1" applyBorder="1" applyAlignment="1">
      <alignment horizontal="center" vertical="center"/>
    </xf>
    <xf numFmtId="169" fontId="112" fillId="20" borderId="12" xfId="0" applyNumberFormat="1" applyFont="1" applyFill="1" applyBorder="1" applyAlignment="1">
      <alignment horizontal="center" vertical="center"/>
    </xf>
    <xf numFmtId="169" fontId="125" fillId="20" borderId="51" xfId="0" quotePrefix="1" applyNumberFormat="1" applyFont="1" applyFill="1" applyBorder="1" applyAlignment="1">
      <alignment horizontal="center" vertical="center"/>
    </xf>
    <xf numFmtId="169" fontId="109" fillId="20" borderId="60" xfId="0" quotePrefix="1" applyNumberFormat="1" applyFont="1" applyFill="1" applyBorder="1" applyAlignment="1">
      <alignment horizontal="center" vertical="center"/>
    </xf>
    <xf numFmtId="1" fontId="110" fillId="20" borderId="18" xfId="0" applyNumberFormat="1" applyFont="1" applyFill="1" applyBorder="1" applyAlignment="1">
      <alignment horizontal="center" vertical="center"/>
    </xf>
    <xf numFmtId="169" fontId="110" fillId="20" borderId="22" xfId="0" applyNumberFormat="1" applyFont="1" applyFill="1" applyBorder="1" applyAlignment="1">
      <alignment horizontal="center" vertical="center"/>
    </xf>
    <xf numFmtId="2" fontId="74" fillId="20" borderId="51" xfId="0" applyNumberFormat="1" applyFont="1" applyFill="1" applyBorder="1" applyAlignment="1">
      <alignment horizontal="center" vertical="center"/>
    </xf>
    <xf numFmtId="1" fontId="6" fillId="20" borderId="20" xfId="0" applyNumberFormat="1" applyFont="1" applyFill="1" applyBorder="1" applyAlignment="1">
      <alignment horizontal="center" vertical="center"/>
    </xf>
    <xf numFmtId="1" fontId="125" fillId="20" borderId="63" xfId="0" applyNumberFormat="1" applyFont="1" applyFill="1" applyBorder="1" applyAlignment="1">
      <alignment horizontal="center" vertical="center"/>
    </xf>
    <xf numFmtId="1" fontId="109" fillId="20" borderId="142" xfId="0" applyNumberFormat="1" applyFont="1" applyFill="1" applyBorder="1" applyAlignment="1">
      <alignment horizontal="center" vertical="center"/>
    </xf>
    <xf numFmtId="1" fontId="125" fillId="20" borderId="32" xfId="0" applyNumberFormat="1" applyFont="1" applyFill="1" applyBorder="1" applyAlignment="1">
      <alignment horizontal="center" vertical="center"/>
    </xf>
    <xf numFmtId="1" fontId="109" fillId="20" borderId="102" xfId="0" applyNumberFormat="1" applyFont="1" applyFill="1" applyBorder="1" applyAlignment="1">
      <alignment horizontal="center" vertical="center"/>
    </xf>
    <xf numFmtId="1" fontId="74" fillId="20" borderId="76" xfId="0" applyNumberFormat="1" applyFont="1" applyFill="1" applyBorder="1" applyAlignment="1">
      <alignment horizontal="center" vertical="center"/>
    </xf>
    <xf numFmtId="1" fontId="6" fillId="20" borderId="85" xfId="0" applyNumberFormat="1" applyFont="1" applyFill="1" applyBorder="1" applyAlignment="1">
      <alignment horizontal="center" vertical="center"/>
    </xf>
    <xf numFmtId="169" fontId="6" fillId="20" borderId="135" xfId="0" applyNumberFormat="1" applyFont="1" applyFill="1" applyBorder="1" applyAlignment="1">
      <alignment horizontal="center" vertical="center"/>
    </xf>
    <xf numFmtId="169" fontId="74" fillId="20" borderId="31" xfId="0" applyNumberFormat="1" applyFont="1" applyFill="1" applyBorder="1" applyAlignment="1">
      <alignment horizontal="center" vertical="center"/>
    </xf>
    <xf numFmtId="169" fontId="6" fillId="20" borderId="104" xfId="0" applyNumberFormat="1" applyFont="1" applyFill="1" applyBorder="1" applyAlignment="1">
      <alignment horizontal="center" vertical="center"/>
    </xf>
    <xf numFmtId="2" fontId="111" fillId="20" borderId="104" xfId="0" applyNumberFormat="1" applyFont="1" applyFill="1" applyBorder="1" applyAlignment="1">
      <alignment horizontal="center" vertical="center"/>
    </xf>
    <xf numFmtId="171" fontId="111" fillId="20" borderId="104" xfId="0" applyNumberFormat="1" applyFont="1" applyFill="1" applyBorder="1" applyAlignment="1">
      <alignment horizontal="center" vertical="center"/>
    </xf>
    <xf numFmtId="0" fontId="111" fillId="20" borderId="104" xfId="0" applyFont="1" applyFill="1" applyBorder="1" applyAlignment="1">
      <alignment horizontal="center" vertical="center"/>
    </xf>
    <xf numFmtId="1" fontId="111" fillId="20" borderId="139" xfId="0" applyNumberFormat="1" applyFont="1" applyFill="1" applyBorder="1" applyAlignment="1">
      <alignment horizontal="center" vertical="center"/>
    </xf>
    <xf numFmtId="2" fontId="111" fillId="20" borderId="126" xfId="0" applyNumberFormat="1" applyFont="1" applyFill="1" applyBorder="1" applyAlignment="1">
      <alignment horizontal="center" vertical="center"/>
    </xf>
    <xf numFmtId="1" fontId="74" fillId="20" borderId="34" xfId="0" applyNumberFormat="1" applyFont="1" applyFill="1" applyBorder="1" applyAlignment="1">
      <alignment horizontal="center" vertical="center"/>
    </xf>
    <xf numFmtId="1" fontId="6" fillId="20" borderId="98" xfId="0" applyNumberFormat="1" applyFont="1" applyFill="1" applyBorder="1" applyAlignment="1">
      <alignment horizontal="center" vertical="center"/>
    </xf>
    <xf numFmtId="2" fontId="74" fillId="20" borderId="99" xfId="0" applyNumberFormat="1" applyFont="1" applyFill="1" applyBorder="1" applyAlignment="1">
      <alignment horizontal="center" vertical="center"/>
    </xf>
    <xf numFmtId="2" fontId="6" fillId="20" borderId="125" xfId="0" applyNumberFormat="1" applyFont="1" applyFill="1" applyBorder="1" applyAlignment="1">
      <alignment horizontal="center" vertical="center"/>
    </xf>
    <xf numFmtId="1" fontId="68" fillId="19" borderId="34" xfId="0" applyNumberFormat="1" applyFont="1" applyFill="1" applyBorder="1" applyAlignment="1">
      <alignment horizontal="center" vertical="center"/>
    </xf>
    <xf numFmtId="2" fontId="54" fillId="20" borderId="72" xfId="0" applyNumberFormat="1" applyFont="1" applyFill="1" applyBorder="1" applyAlignment="1">
      <alignment horizontal="center" vertical="center"/>
    </xf>
    <xf numFmtId="1" fontId="5" fillId="20" borderId="11" xfId="0" applyNumberFormat="1" applyFont="1" applyFill="1" applyBorder="1" applyAlignment="1">
      <alignment horizontal="center" vertical="center"/>
    </xf>
    <xf numFmtId="169" fontId="68" fillId="20" borderId="11" xfId="0" applyNumberFormat="1" applyFont="1" applyFill="1" applyBorder="1" applyAlignment="1">
      <alignment horizontal="center" vertical="center"/>
    </xf>
    <xf numFmtId="1" fontId="54" fillId="20" borderId="42" xfId="0" applyNumberFormat="1" applyFont="1" applyFill="1" applyBorder="1" applyAlignment="1">
      <alignment horizontal="center" vertical="center"/>
    </xf>
    <xf numFmtId="1" fontId="54" fillId="20" borderId="71" xfId="0" applyNumberFormat="1" applyFont="1" applyFill="1" applyBorder="1" applyAlignment="1">
      <alignment horizontal="center" vertical="center"/>
    </xf>
    <xf numFmtId="1" fontId="54" fillId="20" borderId="53" xfId="0" quotePrefix="1" applyNumberFormat="1" applyFont="1" applyFill="1" applyBorder="1" applyAlignment="1">
      <alignment horizontal="center" vertical="center"/>
    </xf>
    <xf numFmtId="1" fontId="68" fillId="20" borderId="53" xfId="0" quotePrefix="1" applyNumberFormat="1" applyFont="1" applyFill="1" applyBorder="1" applyAlignment="1">
      <alignment horizontal="center" vertical="center"/>
    </xf>
    <xf numFmtId="1" fontId="54" fillId="20" borderId="50" xfId="0" quotePrefix="1" applyNumberFormat="1" applyFont="1" applyFill="1" applyBorder="1" applyAlignment="1">
      <alignment horizontal="center" vertical="center"/>
    </xf>
    <xf numFmtId="169" fontId="54" fillId="20" borderId="72" xfId="0" quotePrefix="1" applyNumberFormat="1" applyFont="1" applyFill="1" applyBorder="1" applyAlignment="1">
      <alignment horizontal="center" vertical="center"/>
    </xf>
    <xf numFmtId="1" fontId="68" fillId="20" borderId="11" xfId="0" quotePrefix="1" applyNumberFormat="1" applyFont="1" applyFill="1" applyBorder="1" applyAlignment="1">
      <alignment horizontal="center" vertical="center"/>
    </xf>
    <xf numFmtId="1" fontId="114" fillId="20" borderId="21" xfId="0" applyNumberFormat="1" applyFont="1" applyFill="1" applyBorder="1" applyAlignment="1">
      <alignment horizontal="center" vertical="center"/>
    </xf>
    <xf numFmtId="171" fontId="68" fillId="20" borderId="11" xfId="0" applyNumberFormat="1" applyFont="1" applyFill="1" applyBorder="1" applyAlignment="1">
      <alignment horizontal="center" vertical="center"/>
    </xf>
    <xf numFmtId="1" fontId="109" fillId="25" borderId="36" xfId="0" applyNumberFormat="1" applyFont="1" applyFill="1" applyBorder="1" applyAlignment="1">
      <alignment horizontal="center" vertical="center"/>
    </xf>
    <xf numFmtId="0" fontId="112" fillId="20" borderId="76" xfId="0" applyFont="1" applyFill="1" applyBorder="1" applyAlignment="1">
      <alignment horizontal="center" vertical="center"/>
    </xf>
    <xf numFmtId="0" fontId="112" fillId="20" borderId="54" xfId="0" applyFont="1" applyFill="1" applyBorder="1" applyAlignment="1">
      <alignment horizontal="center" vertical="center"/>
    </xf>
    <xf numFmtId="2" fontId="111" fillId="20" borderId="76" xfId="0" applyNumberFormat="1" applyFont="1" applyFill="1" applyBorder="1" applyAlignment="1">
      <alignment horizontal="center" vertical="center"/>
    </xf>
    <xf numFmtId="2" fontId="111" fillId="20" borderId="9" xfId="0" applyNumberFormat="1" applyFont="1" applyFill="1" applyBorder="1" applyAlignment="1">
      <alignment horizontal="center" vertical="center"/>
    </xf>
    <xf numFmtId="1" fontId="112" fillId="20" borderId="34" xfId="0" applyNumberFormat="1" applyFont="1" applyFill="1" applyBorder="1" applyAlignment="1">
      <alignment horizontal="center" vertical="center"/>
    </xf>
    <xf numFmtId="1" fontId="111" fillId="20" borderId="34" xfId="0" applyNumberFormat="1" applyFont="1" applyFill="1" applyBorder="1" applyAlignment="1">
      <alignment horizontal="center" vertical="center"/>
    </xf>
    <xf numFmtId="1" fontId="109" fillId="20" borderId="72" xfId="0" applyNumberFormat="1" applyFont="1" applyFill="1" applyBorder="1" applyAlignment="1">
      <alignment horizontal="center" vertical="center"/>
    </xf>
    <xf numFmtId="2" fontId="74" fillId="20" borderId="1" xfId="0" applyNumberFormat="1" applyFont="1" applyFill="1" applyBorder="1" applyAlignment="1">
      <alignment horizontal="center" vertical="center"/>
    </xf>
    <xf numFmtId="2" fontId="6" fillId="20" borderId="21" xfId="0" applyNumberFormat="1" applyFont="1" applyFill="1" applyBorder="1" applyAlignment="1">
      <alignment horizontal="center" vertical="center"/>
    </xf>
    <xf numFmtId="1" fontId="109" fillId="20" borderId="17" xfId="0" applyNumberFormat="1" applyFont="1" applyFill="1" applyBorder="1" applyAlignment="1">
      <alignment horizontal="center" vertical="center"/>
    </xf>
    <xf numFmtId="169" fontId="6" fillId="20" borderId="11" xfId="0" applyNumberFormat="1" applyFont="1" applyFill="1" applyBorder="1" applyAlignment="1">
      <alignment horizontal="center" vertical="center"/>
    </xf>
    <xf numFmtId="169" fontId="6" fillId="25" borderId="5" xfId="0" applyNumberFormat="1" applyFont="1" applyFill="1" applyBorder="1" applyAlignment="1">
      <alignment horizontal="center" vertical="center"/>
    </xf>
    <xf numFmtId="0" fontId="0" fillId="0" borderId="0" xfId="0"/>
    <xf numFmtId="1" fontId="138" fillId="19" borderId="62" xfId="0" applyNumberFormat="1" applyFont="1" applyFill="1" applyBorder="1" applyAlignment="1">
      <alignment horizontal="center" vertical="center"/>
    </xf>
    <xf numFmtId="0" fontId="112" fillId="0" borderId="55" xfId="0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1" fontId="134" fillId="0" borderId="36" xfId="0" applyNumberFormat="1" applyFont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1" fontId="75" fillId="21" borderId="62" xfId="0" applyNumberFormat="1" applyFont="1" applyFill="1" applyBorder="1" applyAlignment="1">
      <alignment horizontal="center" vertical="center"/>
    </xf>
    <xf numFmtId="1" fontId="75" fillId="21" borderId="74" xfId="0" applyNumberFormat="1" applyFont="1" applyFill="1" applyBorder="1" applyAlignment="1">
      <alignment horizontal="center" vertical="center"/>
    </xf>
    <xf numFmtId="1" fontId="75" fillId="21" borderId="31" xfId="0" applyNumberFormat="1" applyFont="1" applyFill="1" applyBorder="1" applyAlignment="1">
      <alignment horizontal="center" vertical="center"/>
    </xf>
    <xf numFmtId="1" fontId="75" fillId="25" borderId="38" xfId="0" applyNumberFormat="1" applyFont="1" applyFill="1" applyBorder="1" applyAlignment="1">
      <alignment horizontal="center" vertical="center"/>
    </xf>
    <xf numFmtId="1" fontId="75" fillId="25" borderId="8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1" borderId="46" xfId="0" applyNumberFormat="1" applyFont="1" applyFill="1" applyBorder="1" applyAlignment="1">
      <alignment horizontal="center" vertical="center"/>
    </xf>
    <xf numFmtId="1" fontId="74" fillId="0" borderId="62" xfId="0" applyNumberFormat="1" applyFont="1" applyBorder="1" applyAlignment="1">
      <alignment horizontal="center" vertical="center"/>
    </xf>
    <xf numFmtId="1" fontId="74" fillId="0" borderId="9" xfId="0" applyNumberFormat="1" applyFont="1" applyBorder="1" applyAlignment="1">
      <alignment horizontal="center" vertical="center"/>
    </xf>
    <xf numFmtId="1" fontId="74" fillId="21" borderId="9" xfId="0" applyNumberFormat="1" applyFont="1" applyFill="1" applyBorder="1" applyAlignment="1">
      <alignment horizontal="center" vertical="center"/>
    </xf>
    <xf numFmtId="1" fontId="75" fillId="19" borderId="31" xfId="0" applyNumberFormat="1" applyFont="1" applyFill="1" applyBorder="1" applyAlignment="1">
      <alignment horizontal="center" vertical="center"/>
    </xf>
    <xf numFmtId="1" fontId="75" fillId="19" borderId="74" xfId="0" applyNumberFormat="1" applyFont="1" applyFill="1" applyBorder="1" applyAlignment="1">
      <alignment horizontal="center" vertical="center"/>
    </xf>
    <xf numFmtId="1" fontId="75" fillId="19" borderId="34" xfId="0" applyNumberFormat="1" applyFont="1" applyFill="1" applyBorder="1" applyAlignment="1">
      <alignment horizontal="center" vertical="center"/>
    </xf>
    <xf numFmtId="1" fontId="75" fillId="19" borderId="62" xfId="0" applyNumberFormat="1" applyFont="1" applyFill="1" applyBorder="1" applyAlignment="1">
      <alignment horizontal="center" vertical="center"/>
    </xf>
    <xf numFmtId="1" fontId="75" fillId="25" borderId="62" xfId="0" applyNumberFormat="1" applyFont="1" applyFill="1" applyBorder="1" applyAlignment="1">
      <alignment horizontal="center" vertical="center"/>
    </xf>
    <xf numFmtId="1" fontId="75" fillId="19" borderId="46" xfId="0" applyNumberFormat="1" applyFont="1" applyFill="1" applyBorder="1" applyAlignment="1">
      <alignment horizontal="center" vertical="center"/>
    </xf>
    <xf numFmtId="1" fontId="74" fillId="19" borderId="9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1" fontId="74" fillId="19" borderId="9" xfId="0" applyNumberFormat="1" applyFont="1" applyFill="1" applyBorder="1" applyAlignment="1">
      <alignment horizontal="center"/>
    </xf>
    <xf numFmtId="0" fontId="6" fillId="20" borderId="4" xfId="0" applyFont="1" applyFill="1" applyBorder="1" applyAlignment="1">
      <alignment horizontal="center" vertical="center"/>
    </xf>
    <xf numFmtId="1" fontId="74" fillId="25" borderId="62" xfId="0" applyNumberFormat="1" applyFont="1" applyFill="1" applyBorder="1" applyAlignment="1">
      <alignment horizontal="center" vertical="center"/>
    </xf>
    <xf numFmtId="1" fontId="74" fillId="25" borderId="9" xfId="0" applyNumberFormat="1" applyFont="1" applyFill="1" applyBorder="1" applyAlignment="1">
      <alignment horizontal="center" vertical="center"/>
    </xf>
    <xf numFmtId="1" fontId="74" fillId="20" borderId="9" xfId="0" applyNumberFormat="1" applyFont="1" applyFill="1" applyBorder="1" applyAlignment="1">
      <alignment horizontal="center" vertical="center"/>
    </xf>
    <xf numFmtId="1" fontId="75" fillId="20" borderId="74" xfId="0" applyNumberFormat="1" applyFont="1" applyFill="1" applyBorder="1" applyAlignment="1">
      <alignment horizontal="center" vertical="center"/>
    </xf>
    <xf numFmtId="1" fontId="75" fillId="20" borderId="34" xfId="0" applyNumberFormat="1" applyFont="1" applyFill="1" applyBorder="1" applyAlignment="1">
      <alignment horizontal="center" vertical="center"/>
    </xf>
    <xf numFmtId="1" fontId="74" fillId="20" borderId="9" xfId="0" applyNumberFormat="1" applyFont="1" applyFill="1" applyBorder="1" applyAlignment="1">
      <alignment horizontal="center"/>
    </xf>
    <xf numFmtId="1" fontId="74" fillId="21" borderId="9" xfId="0" applyNumberFormat="1" applyFont="1" applyFill="1" applyBorder="1" applyAlignment="1">
      <alignment horizontal="center"/>
    </xf>
    <xf numFmtId="1" fontId="138" fillId="25" borderId="10" xfId="0" applyNumberFormat="1" applyFont="1" applyFill="1" applyBorder="1" applyAlignment="1">
      <alignment horizontal="center" vertical="center"/>
    </xf>
    <xf numFmtId="0" fontId="112" fillId="20" borderId="4" xfId="0" applyFont="1" applyFill="1" applyBorder="1" applyAlignment="1">
      <alignment horizontal="center" vertical="center"/>
    </xf>
    <xf numFmtId="1" fontId="138" fillId="25" borderId="111" xfId="0" applyNumberFormat="1" applyFont="1" applyFill="1" applyBorder="1" applyAlignment="1">
      <alignment horizontal="center" vertical="center"/>
    </xf>
    <xf numFmtId="0" fontId="119" fillId="25" borderId="4" xfId="0" applyFont="1" applyFill="1" applyBorder="1" applyAlignment="1">
      <alignment horizontal="center" vertical="center"/>
    </xf>
    <xf numFmtId="0" fontId="119" fillId="25" borderId="11" xfId="0" applyFont="1" applyFill="1" applyBorder="1" applyAlignment="1">
      <alignment horizontal="center" vertical="center"/>
    </xf>
    <xf numFmtId="0" fontId="119" fillId="25" borderId="1" xfId="0" applyFont="1" applyFill="1" applyBorder="1" applyAlignment="1">
      <alignment horizontal="center" vertical="center"/>
    </xf>
    <xf numFmtId="169" fontId="125" fillId="19" borderId="10" xfId="0" applyNumberFormat="1" applyFont="1" applyFill="1" applyBorder="1" applyAlignment="1">
      <alignment horizontal="center" vertical="center"/>
    </xf>
    <xf numFmtId="1" fontId="125" fillId="25" borderId="10" xfId="0" applyNumberFormat="1" applyFont="1" applyFill="1" applyBorder="1" applyAlignment="1">
      <alignment horizontal="center" vertical="center"/>
    </xf>
    <xf numFmtId="171" fontId="138" fillId="25" borderId="59" xfId="0" applyNumberFormat="1" applyFont="1" applyFill="1" applyBorder="1" applyAlignment="1">
      <alignment horizontal="center" vertical="center"/>
    </xf>
    <xf numFmtId="171" fontId="138" fillId="25" borderId="32" xfId="0" applyNumberFormat="1" applyFont="1" applyFill="1" applyBorder="1" applyAlignment="1">
      <alignment horizontal="center" vertical="center"/>
    </xf>
    <xf numFmtId="1" fontId="138" fillId="25" borderId="7" xfId="0" quotePrefix="1" applyNumberFormat="1" applyFont="1" applyFill="1" applyBorder="1" applyAlignment="1">
      <alignment horizontal="center" vertical="center"/>
    </xf>
    <xf numFmtId="1" fontId="138" fillId="25" borderId="6" xfId="0" quotePrefix="1" applyNumberFormat="1" applyFont="1" applyFill="1" applyBorder="1" applyAlignment="1">
      <alignment horizontal="center" vertical="center"/>
    </xf>
    <xf numFmtId="2" fontId="138" fillId="25" borderId="59" xfId="0" applyNumberFormat="1" applyFont="1" applyFill="1" applyBorder="1" applyAlignment="1">
      <alignment horizontal="center" vertical="center"/>
    </xf>
    <xf numFmtId="0" fontId="138" fillId="25" borderId="39" xfId="0" applyFont="1" applyFill="1" applyBorder="1"/>
    <xf numFmtId="0" fontId="138" fillId="25" borderId="26" xfId="0" applyFont="1" applyFill="1" applyBorder="1"/>
    <xf numFmtId="2" fontId="138" fillId="25" borderId="4" xfId="0" applyNumberFormat="1" applyFont="1" applyFill="1" applyBorder="1" applyAlignment="1">
      <alignment horizontal="center" vertical="center"/>
    </xf>
    <xf numFmtId="2" fontId="138" fillId="25" borderId="55" xfId="0" applyNumberFormat="1" applyFont="1" applyFill="1" applyBorder="1" applyAlignment="1">
      <alignment horizontal="center" vertical="center"/>
    </xf>
    <xf numFmtId="2" fontId="111" fillId="25" borderId="5" xfId="0" applyNumberFormat="1" applyFont="1" applyFill="1" applyBorder="1" applyAlignment="1">
      <alignment horizontal="center" vertical="center"/>
    </xf>
    <xf numFmtId="171" fontId="111" fillId="25" borderId="23" xfId="0" applyNumberFormat="1" applyFont="1" applyFill="1" applyBorder="1" applyAlignment="1">
      <alignment horizontal="center" vertical="center"/>
    </xf>
    <xf numFmtId="0" fontId="135" fillId="25" borderId="6" xfId="0" applyFont="1" applyFill="1" applyBorder="1" applyAlignment="1">
      <alignment horizontal="center" vertical="center"/>
    </xf>
    <xf numFmtId="0" fontId="128" fillId="25" borderId="29" xfId="0" applyFont="1" applyFill="1" applyBorder="1" applyAlignment="1">
      <alignment horizontal="center" vertical="center"/>
    </xf>
    <xf numFmtId="169" fontId="138" fillId="25" borderId="31" xfId="0" quotePrefix="1" applyNumberFormat="1" applyFont="1" applyFill="1" applyBorder="1" applyAlignment="1">
      <alignment horizontal="center" vertical="center"/>
    </xf>
    <xf numFmtId="2" fontId="111" fillId="25" borderId="23" xfId="0" applyNumberFormat="1" applyFont="1" applyFill="1" applyBorder="1" applyAlignment="1">
      <alignment horizontal="center" vertical="center"/>
    </xf>
    <xf numFmtId="0" fontId="111" fillId="25" borderId="111" xfId="0" applyFont="1" applyFill="1" applyBorder="1"/>
    <xf numFmtId="0" fontId="111" fillId="25" borderId="38" xfId="0" applyFont="1" applyFill="1" applyBorder="1"/>
    <xf numFmtId="2" fontId="138" fillId="25" borderId="1" xfId="0" applyNumberFormat="1" applyFont="1" applyFill="1" applyBorder="1" applyAlignment="1">
      <alignment horizontal="center" vertical="center"/>
    </xf>
    <xf numFmtId="169" fontId="111" fillId="25" borderId="19" xfId="0" applyNumberFormat="1" applyFont="1" applyFill="1" applyBorder="1" applyAlignment="1">
      <alignment horizontal="center" vertical="center"/>
    </xf>
    <xf numFmtId="172" fontId="138" fillId="25" borderId="29" xfId="0" applyNumberFormat="1" applyFont="1" applyFill="1" applyBorder="1" applyAlignment="1">
      <alignment horizontal="center" vertical="center"/>
    </xf>
    <xf numFmtId="172" fontId="111" fillId="25" borderId="10" xfId="0" applyNumberFormat="1" applyFont="1" applyFill="1" applyBorder="1" applyAlignment="1">
      <alignment horizontal="center" vertical="center"/>
    </xf>
    <xf numFmtId="172" fontId="111" fillId="25" borderId="37" xfId="0" applyNumberFormat="1" applyFont="1" applyFill="1" applyBorder="1" applyAlignment="1">
      <alignment horizontal="center" vertical="center"/>
    </xf>
    <xf numFmtId="169" fontId="138" fillId="25" borderId="34" xfId="0" applyNumberFormat="1" applyFont="1" applyFill="1" applyBorder="1" applyAlignment="1">
      <alignment horizontal="center" vertical="center"/>
    </xf>
    <xf numFmtId="1" fontId="111" fillId="25" borderId="50" xfId="0" applyNumberFormat="1" applyFont="1" applyFill="1" applyBorder="1" applyAlignment="1">
      <alignment horizontal="center" vertical="center"/>
    </xf>
    <xf numFmtId="169" fontId="138" fillId="25" borderId="32" xfId="0" applyNumberFormat="1" applyFont="1" applyFill="1" applyBorder="1" applyAlignment="1">
      <alignment horizontal="center" vertical="center"/>
    </xf>
    <xf numFmtId="2" fontId="75" fillId="25" borderId="29" xfId="0" applyNumberFormat="1" applyFont="1" applyFill="1" applyBorder="1" applyAlignment="1">
      <alignment horizontal="center" vertical="center"/>
    </xf>
    <xf numFmtId="171" fontId="75" fillId="25" borderId="29" xfId="0" applyNumberFormat="1" applyFont="1" applyFill="1" applyBorder="1" applyAlignment="1">
      <alignment horizontal="center" vertical="center"/>
    </xf>
    <xf numFmtId="171" fontId="75" fillId="25" borderId="36" xfId="0" applyNumberFormat="1" applyFont="1" applyFill="1" applyBorder="1" applyAlignment="1">
      <alignment horizontal="center" vertical="center"/>
    </xf>
    <xf numFmtId="0" fontId="112" fillId="20" borderId="13" xfId="0" applyFont="1" applyFill="1" applyBorder="1" applyAlignment="1">
      <alignment horizontal="center" vertical="center"/>
    </xf>
    <xf numFmtId="0" fontId="112" fillId="20" borderId="40" xfId="0" applyFont="1" applyFill="1" applyBorder="1" applyAlignment="1">
      <alignment horizontal="center" vertical="center"/>
    </xf>
    <xf numFmtId="1" fontId="6" fillId="20" borderId="12" xfId="0" applyNumberFormat="1" applyFont="1" applyFill="1" applyBorder="1" applyAlignment="1">
      <alignment horizontal="center" vertical="center"/>
    </xf>
    <xf numFmtId="0" fontId="111" fillId="25" borderId="31" xfId="0" applyFont="1" applyFill="1" applyBorder="1" applyAlignment="1">
      <alignment horizontal="left" vertical="center"/>
    </xf>
    <xf numFmtId="0" fontId="237" fillId="0" borderId="10" xfId="0" applyFont="1" applyBorder="1" applyAlignment="1">
      <alignment horizontal="left" vertical="center" wrapText="1"/>
    </xf>
    <xf numFmtId="0" fontId="236" fillId="0" borderId="10" xfId="0" applyFont="1" applyBorder="1" applyAlignment="1">
      <alignment horizontal="center" vertical="center"/>
    </xf>
    <xf numFmtId="1" fontId="238" fillId="0" borderId="37" xfId="0" applyNumberFormat="1" applyFont="1" applyBorder="1" applyAlignment="1">
      <alignment horizontal="center" vertical="center"/>
    </xf>
    <xf numFmtId="1" fontId="238" fillId="0" borderId="12" xfId="0" applyNumberFormat="1" applyFont="1" applyBorder="1" applyAlignment="1">
      <alignment horizontal="center" vertical="center"/>
    </xf>
    <xf numFmtId="1" fontId="238" fillId="0" borderId="6" xfId="0" applyNumberFormat="1" applyFont="1" applyBorder="1" applyAlignment="1">
      <alignment horizontal="center" vertical="center"/>
    </xf>
    <xf numFmtId="1" fontId="6" fillId="25" borderId="72" xfId="0" applyNumberFormat="1" applyFont="1" applyFill="1" applyBorder="1" applyAlignment="1">
      <alignment horizontal="center" vertical="center"/>
    </xf>
    <xf numFmtId="1" fontId="110" fillId="0" borderId="37" xfId="0" applyNumberFormat="1" applyFont="1" applyBorder="1" applyAlignment="1">
      <alignment horizontal="center" vertical="center"/>
    </xf>
    <xf numFmtId="171" fontId="111" fillId="25" borderId="48" xfId="0" applyNumberFormat="1" applyFont="1" applyFill="1" applyBorder="1" applyAlignment="1">
      <alignment horizontal="center" vertical="center"/>
    </xf>
    <xf numFmtId="2" fontId="111" fillId="25" borderId="48" xfId="0" applyNumberFormat="1" applyFont="1" applyFill="1" applyBorder="1" applyAlignment="1">
      <alignment horizontal="center" vertical="center"/>
    </xf>
    <xf numFmtId="169" fontId="111" fillId="25" borderId="49" xfId="0" applyNumberFormat="1" applyFont="1" applyFill="1" applyBorder="1" applyAlignment="1">
      <alignment horizontal="center" vertical="center"/>
    </xf>
    <xf numFmtId="2" fontId="138" fillId="20" borderId="10" xfId="0" applyNumberFormat="1" applyFont="1" applyFill="1" applyBorder="1" applyAlignment="1">
      <alignment horizontal="center" vertical="center"/>
    </xf>
    <xf numFmtId="0" fontId="54" fillId="20" borderId="17" xfId="0" applyFont="1" applyFill="1" applyBorder="1" applyAlignment="1">
      <alignment horizontal="center" vertical="center"/>
    </xf>
    <xf numFmtId="169" fontId="54" fillId="20" borderId="17" xfId="0" applyNumberFormat="1" applyFont="1" applyFill="1" applyBorder="1" applyAlignment="1">
      <alignment horizontal="center" vertical="center"/>
    </xf>
    <xf numFmtId="1" fontId="125" fillId="20" borderId="10" xfId="0" applyNumberFormat="1" applyFont="1" applyFill="1" applyBorder="1" applyAlignment="1">
      <alignment horizontal="center" vertical="center"/>
    </xf>
    <xf numFmtId="169" fontId="125" fillId="20" borderId="10" xfId="0" applyNumberFormat="1" applyFont="1" applyFill="1" applyBorder="1" applyAlignment="1">
      <alignment horizontal="center" vertical="center"/>
    </xf>
    <xf numFmtId="169" fontId="109" fillId="20" borderId="17" xfId="0" applyNumberFormat="1" applyFont="1" applyFill="1" applyBorder="1" applyAlignment="1">
      <alignment horizontal="center" vertical="center"/>
    </xf>
    <xf numFmtId="169" fontId="125" fillId="20" borderId="17" xfId="0" applyNumberFormat="1" applyFont="1" applyFill="1" applyBorder="1" applyAlignment="1">
      <alignment horizontal="center" vertical="center"/>
    </xf>
    <xf numFmtId="1" fontId="109" fillId="20" borderId="10" xfId="0" applyNumberFormat="1" applyFont="1" applyFill="1" applyBorder="1" applyAlignment="1">
      <alignment horizontal="center" vertical="center"/>
    </xf>
    <xf numFmtId="1" fontId="109" fillId="20" borderId="33" xfId="0" applyNumberFormat="1" applyFont="1" applyFill="1" applyBorder="1" applyAlignment="1">
      <alignment horizontal="center" vertical="center"/>
    </xf>
    <xf numFmtId="0" fontId="151" fillId="20" borderId="30" xfId="0" applyFont="1" applyFill="1" applyBorder="1" applyAlignment="1">
      <alignment vertical="center"/>
    </xf>
    <xf numFmtId="0" fontId="151" fillId="20" borderId="53" xfId="0" applyFont="1" applyFill="1" applyBorder="1" applyAlignment="1">
      <alignment vertical="center"/>
    </xf>
    <xf numFmtId="169" fontId="109" fillId="20" borderId="10" xfId="0" applyNumberFormat="1" applyFont="1" applyFill="1" applyBorder="1" applyAlignment="1">
      <alignment horizontal="center" vertical="center"/>
    </xf>
    <xf numFmtId="1" fontId="220" fillId="20" borderId="10" xfId="0" applyNumberFormat="1" applyFont="1" applyFill="1" applyBorder="1" applyAlignment="1">
      <alignment horizontal="center"/>
    </xf>
    <xf numFmtId="0" fontId="109" fillId="25" borderId="1" xfId="0" applyFont="1" applyFill="1" applyBorder="1" applyAlignment="1">
      <alignment horizontal="left" vertical="center"/>
    </xf>
    <xf numFmtId="1" fontId="119" fillId="25" borderId="1" xfId="0" applyNumberFormat="1" applyFont="1" applyFill="1" applyBorder="1" applyAlignment="1">
      <alignment horizontal="center" vertical="center"/>
    </xf>
    <xf numFmtId="1" fontId="119" fillId="25" borderId="11" xfId="0" applyNumberFormat="1" applyFont="1" applyFill="1" applyBorder="1" applyAlignment="1">
      <alignment horizontal="center" vertical="center"/>
    </xf>
    <xf numFmtId="1" fontId="207" fillId="19" borderId="8" xfId="189" applyNumberFormat="1" applyFont="1" applyFill="1" applyBorder="1" applyAlignment="1">
      <alignment horizontal="center" vertical="center"/>
    </xf>
    <xf numFmtId="1" fontId="74" fillId="20" borderId="31" xfId="0" applyNumberFormat="1" applyFont="1" applyFill="1" applyBorder="1" applyAlignment="1">
      <alignment horizontal="center" vertical="center"/>
    </xf>
    <xf numFmtId="1" fontId="11" fillId="20" borderId="17" xfId="0" applyNumberFormat="1" applyFont="1" applyFill="1" applyBorder="1" applyAlignment="1">
      <alignment horizontal="center" vertical="center"/>
    </xf>
    <xf numFmtId="1" fontId="11" fillId="20" borderId="72" xfId="0" applyNumberFormat="1" applyFont="1" applyFill="1" applyBorder="1" applyAlignment="1">
      <alignment horizontal="center" vertical="center"/>
    </xf>
    <xf numFmtId="1" fontId="6" fillId="20" borderId="11" xfId="0" applyNumberFormat="1" applyFont="1" applyFill="1" applyBorder="1" applyAlignment="1">
      <alignment horizontal="center" vertical="center"/>
    </xf>
    <xf numFmtId="1" fontId="11" fillId="20" borderId="33" xfId="0" applyNumberFormat="1" applyFont="1" applyFill="1" applyBorder="1" applyAlignment="1">
      <alignment horizontal="center" vertical="center"/>
    </xf>
    <xf numFmtId="1" fontId="6" fillId="20" borderId="73" xfId="0" applyNumberFormat="1" applyFont="1" applyFill="1" applyBorder="1" applyAlignment="1">
      <alignment horizontal="center" vertical="center"/>
    </xf>
    <xf numFmtId="1" fontId="11" fillId="20" borderId="53" xfId="0" applyNumberFormat="1" applyFont="1" applyFill="1" applyBorder="1" applyAlignment="1">
      <alignment horizontal="center" vertical="center"/>
    </xf>
    <xf numFmtId="1" fontId="6" fillId="20" borderId="17" xfId="0" applyNumberFormat="1" applyFont="1" applyFill="1" applyBorder="1" applyAlignment="1">
      <alignment horizontal="center" vertical="center"/>
    </xf>
    <xf numFmtId="1" fontId="6" fillId="20" borderId="72" xfId="0" applyNumberFormat="1" applyFont="1" applyFill="1" applyBorder="1" applyAlignment="1">
      <alignment horizontal="center" vertical="center"/>
    </xf>
    <xf numFmtId="1" fontId="6" fillId="20" borderId="21" xfId="0" applyNumberFormat="1" applyFont="1" applyFill="1" applyBorder="1" applyAlignment="1">
      <alignment horizontal="center" vertical="center"/>
    </xf>
    <xf numFmtId="1" fontId="74" fillId="20" borderId="1" xfId="0" quotePrefix="1" applyNumberFormat="1" applyFont="1" applyFill="1" applyBorder="1" applyAlignment="1">
      <alignment horizontal="center" vertical="center"/>
    </xf>
    <xf numFmtId="169" fontId="6" fillId="20" borderId="73" xfId="0" applyNumberFormat="1" applyFont="1" applyFill="1" applyBorder="1" applyAlignment="1">
      <alignment horizontal="center" vertical="center"/>
    </xf>
    <xf numFmtId="1" fontId="6" fillId="20" borderId="19" xfId="0" applyNumberFormat="1" applyFont="1" applyFill="1" applyBorder="1" applyAlignment="1">
      <alignment horizontal="center" vertical="center"/>
    </xf>
    <xf numFmtId="0" fontId="74" fillId="20" borderId="9" xfId="0" applyFont="1" applyFill="1" applyBorder="1" applyAlignment="1">
      <alignment horizontal="center" vertical="center"/>
    </xf>
    <xf numFmtId="1" fontId="75" fillId="20" borderId="46" xfId="0" applyNumberFormat="1" applyFont="1" applyFill="1" applyBorder="1" applyAlignment="1">
      <alignment horizontal="center" vertical="center"/>
    </xf>
    <xf numFmtId="1" fontId="75" fillId="20" borderId="10" xfId="0" applyNumberFormat="1" applyFont="1" applyFill="1" applyBorder="1" applyAlignment="1">
      <alignment vertical="center"/>
    </xf>
    <xf numFmtId="1" fontId="74" fillId="20" borderId="39" xfId="0" applyNumberFormat="1" applyFont="1" applyFill="1" applyBorder="1" applyAlignment="1">
      <alignment horizontal="center" vertical="center"/>
    </xf>
    <xf numFmtId="1" fontId="202" fillId="20" borderId="42" xfId="0" applyNumberFormat="1" applyFont="1" applyFill="1" applyBorder="1"/>
    <xf numFmtId="1" fontId="6" fillId="20" borderId="33" xfId="0" applyNumberFormat="1" applyFont="1" applyFill="1" applyBorder="1" applyAlignment="1">
      <alignment horizontal="center" vertical="center"/>
    </xf>
    <xf numFmtId="1" fontId="6" fillId="20" borderId="33" xfId="0" applyNumberFormat="1" applyFont="1" applyFill="1" applyBorder="1" applyAlignment="1">
      <alignment horizontal="center"/>
    </xf>
    <xf numFmtId="1" fontId="75" fillId="20" borderId="63" xfId="0" applyNumberFormat="1" applyFont="1" applyFill="1" applyBorder="1" applyAlignment="1">
      <alignment horizontal="center" vertical="center"/>
    </xf>
    <xf numFmtId="0" fontId="166" fillId="20" borderId="30" xfId="0" applyFont="1" applyFill="1" applyBorder="1" applyAlignment="1">
      <alignment vertical="center"/>
    </xf>
    <xf numFmtId="0" fontId="166" fillId="20" borderId="10" xfId="0" applyFont="1" applyFill="1" applyBorder="1" applyAlignment="1">
      <alignment vertical="center"/>
    </xf>
    <xf numFmtId="1" fontId="11" fillId="20" borderId="23" xfId="0" applyNumberFormat="1" applyFont="1" applyFill="1" applyBorder="1" applyAlignment="1">
      <alignment horizontal="center" vertical="center"/>
    </xf>
    <xf numFmtId="1" fontId="74" fillId="20" borderId="73" xfId="0" applyNumberFormat="1" applyFont="1" applyFill="1" applyBorder="1" applyAlignment="1">
      <alignment horizontal="center" vertical="center"/>
    </xf>
    <xf numFmtId="1" fontId="74" fillId="20" borderId="17" xfId="0" applyNumberFormat="1" applyFont="1" applyFill="1" applyBorder="1" applyAlignment="1">
      <alignment horizontal="center" vertical="center"/>
    </xf>
    <xf numFmtId="0" fontId="213" fillId="25" borderId="0" xfId="0" applyFont="1" applyFill="1"/>
    <xf numFmtId="1" fontId="199" fillId="25" borderId="0" xfId="0" applyNumberFormat="1" applyFont="1" applyFill="1"/>
    <xf numFmtId="0" fontId="151" fillId="25" borderId="0" xfId="0" applyFont="1" applyFill="1"/>
    <xf numFmtId="0" fontId="137" fillId="25" borderId="0" xfId="0" applyFont="1" applyFill="1"/>
    <xf numFmtId="0" fontId="75" fillId="25" borderId="0" xfId="0" applyFont="1" applyFill="1"/>
    <xf numFmtId="0" fontId="11" fillId="25" borderId="0" xfId="0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8" xfId="0" applyFont="1" applyFill="1" applyBorder="1" applyAlignment="1">
      <alignment horizontal="center" vertical="center"/>
    </xf>
    <xf numFmtId="1" fontId="11" fillId="19" borderId="31" xfId="0" applyNumberFormat="1" applyFont="1" applyFill="1" applyBorder="1" applyAlignment="1">
      <alignment horizontal="center" vertical="center"/>
    </xf>
    <xf numFmtId="0" fontId="6" fillId="25" borderId="6" xfId="0" applyFont="1" applyFill="1" applyBorder="1" applyAlignment="1">
      <alignment vertical="center"/>
    </xf>
    <xf numFmtId="0" fontId="11" fillId="21" borderId="72" xfId="0" applyFont="1" applyFill="1" applyBorder="1" applyAlignment="1">
      <alignment horizontal="center" vertical="center"/>
    </xf>
    <xf numFmtId="0" fontId="11" fillId="19" borderId="72" xfId="0" applyFont="1" applyFill="1" applyBorder="1" applyAlignment="1">
      <alignment horizontal="center" vertical="center"/>
    </xf>
    <xf numFmtId="0" fontId="11" fillId="20" borderId="72" xfId="0" applyFont="1" applyFill="1" applyBorder="1" applyAlignment="1">
      <alignment horizontal="center" vertical="center"/>
    </xf>
    <xf numFmtId="1" fontId="6" fillId="25" borderId="24" xfId="0" applyNumberFormat="1" applyFont="1" applyFill="1" applyBorder="1" applyAlignment="1">
      <alignment vertical="center"/>
    </xf>
    <xf numFmtId="0" fontId="239" fillId="25" borderId="10" xfId="0" applyFont="1" applyFill="1" applyBorder="1" applyAlignment="1"/>
    <xf numFmtId="1" fontId="74" fillId="25" borderId="26" xfId="0" applyNumberFormat="1" applyFont="1" applyFill="1" applyBorder="1" applyAlignment="1">
      <alignment horizontal="center" vertical="center"/>
    </xf>
    <xf numFmtId="1" fontId="74" fillId="25" borderId="24" xfId="0" applyNumberFormat="1" applyFont="1" applyFill="1" applyBorder="1" applyAlignment="1">
      <alignment vertical="center"/>
    </xf>
    <xf numFmtId="1" fontId="74" fillId="0" borderId="69" xfId="0" quotePrefix="1" applyNumberFormat="1" applyFont="1" applyBorder="1" applyAlignment="1">
      <alignment horizontal="center" vertical="center"/>
    </xf>
    <xf numFmtId="1" fontId="74" fillId="25" borderId="55" xfId="0" applyNumberFormat="1" applyFont="1" applyFill="1" applyBorder="1" applyAlignment="1">
      <alignment horizontal="center" vertical="center"/>
    </xf>
    <xf numFmtId="1" fontId="75" fillId="0" borderId="36" xfId="0" applyNumberFormat="1" applyFont="1" applyBorder="1" applyAlignment="1">
      <alignment horizontal="center" vertical="center"/>
    </xf>
    <xf numFmtId="0" fontId="75" fillId="0" borderId="36" xfId="0" applyFont="1" applyBorder="1" applyAlignment="1">
      <alignment horizontal="center" vertical="center"/>
    </xf>
    <xf numFmtId="1" fontId="75" fillId="20" borderId="62" xfId="0" applyNumberFormat="1" applyFont="1" applyFill="1" applyBorder="1" applyAlignment="1">
      <alignment horizontal="center" vertical="center"/>
    </xf>
    <xf numFmtId="41" fontId="10" fillId="0" borderId="10" xfId="0" quotePrefix="1" applyNumberFormat="1" applyFont="1" applyBorder="1" applyAlignment="1">
      <alignment horizontal="left" vertical="center"/>
    </xf>
    <xf numFmtId="1" fontId="75" fillId="25" borderId="10" xfId="0" applyNumberFormat="1" applyFont="1" applyFill="1" applyBorder="1" applyAlignment="1">
      <alignment horizontal="center"/>
    </xf>
    <xf numFmtId="0" fontId="0" fillId="0" borderId="0" xfId="0"/>
    <xf numFmtId="0" fontId="119" fillId="25" borderId="42" xfId="0" applyFont="1" applyFill="1" applyBorder="1" applyAlignment="1">
      <alignment horizontal="center" vertical="center"/>
    </xf>
    <xf numFmtId="171" fontId="111" fillId="0" borderId="72" xfId="0" applyNumberFormat="1" applyFont="1" applyBorder="1" applyAlignment="1">
      <alignment horizontal="center" vertical="center"/>
    </xf>
    <xf numFmtId="0" fontId="0" fillId="0" borderId="0" xfId="0"/>
    <xf numFmtId="0" fontId="170" fillId="25" borderId="13" xfId="0" applyFont="1" applyFill="1" applyBorder="1" applyAlignment="1">
      <alignment horizontal="center" vertical="center"/>
    </xf>
    <xf numFmtId="1" fontId="140" fillId="0" borderId="17" xfId="0" applyNumberFormat="1" applyFont="1" applyBorder="1" applyAlignment="1">
      <alignment horizontal="left" vertical="center" wrapText="1"/>
    </xf>
    <xf numFmtId="0" fontId="0" fillId="0" borderId="0" xfId="0"/>
    <xf numFmtId="1" fontId="54" fillId="25" borderId="44" xfId="0" applyNumberFormat="1" applyFont="1" applyFill="1" applyBorder="1" applyAlignment="1">
      <alignment horizontal="center" vertical="center"/>
    </xf>
    <xf numFmtId="1" fontId="54" fillId="25" borderId="61" xfId="0" applyNumberFormat="1" applyFont="1" applyFill="1" applyBorder="1" applyAlignment="1">
      <alignment horizontal="center" vertical="center"/>
    </xf>
    <xf numFmtId="1" fontId="54" fillId="25" borderId="52" xfId="0" applyNumberFormat="1" applyFont="1" applyFill="1" applyBorder="1" applyAlignment="1">
      <alignment horizontal="center" vertical="center"/>
    </xf>
    <xf numFmtId="1" fontId="54" fillId="25" borderId="50" xfId="0" applyNumberFormat="1" applyFont="1" applyFill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1" fontId="112" fillId="21" borderId="31" xfId="0" applyNumberFormat="1" applyFont="1" applyFill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1" fontId="54" fillId="21" borderId="61" xfId="0" applyNumberFormat="1" applyFont="1" applyFill="1" applyBorder="1" applyAlignment="1">
      <alignment horizontal="center" vertical="center"/>
    </xf>
    <xf numFmtId="1" fontId="75" fillId="21" borderId="62" xfId="0" applyNumberFormat="1" applyFont="1" applyFill="1" applyBorder="1" applyAlignment="1">
      <alignment horizontal="center" vertical="center"/>
    </xf>
    <xf numFmtId="1" fontId="75" fillId="21" borderId="74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1" borderId="46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74" fillId="21" borderId="9" xfId="0" applyNumberFormat="1" applyFont="1" applyFill="1" applyBorder="1" applyAlignment="1">
      <alignment horizontal="center" vertical="center"/>
    </xf>
    <xf numFmtId="1" fontId="74" fillId="0" borderId="9" xfId="0" applyNumberFormat="1" applyFont="1" applyBorder="1" applyAlignment="1">
      <alignment horizontal="center" vertical="center"/>
    </xf>
    <xf numFmtId="1" fontId="74" fillId="21" borderId="9" xfId="0" applyNumberFormat="1" applyFont="1" applyFill="1" applyBorder="1" applyAlignment="1">
      <alignment horizontal="center"/>
    </xf>
    <xf numFmtId="1" fontId="75" fillId="25" borderId="38" xfId="0" applyNumberFormat="1" applyFont="1" applyFill="1" applyBorder="1" applyAlignment="1">
      <alignment horizontal="center" vertical="center"/>
    </xf>
    <xf numFmtId="1" fontId="75" fillId="25" borderId="8" xfId="0" applyNumberFormat="1" applyFont="1" applyFill="1" applyBorder="1" applyAlignment="1">
      <alignment horizontal="center" vertical="center"/>
    </xf>
    <xf numFmtId="0" fontId="75" fillId="0" borderId="36" xfId="0" applyFont="1" applyBorder="1" applyAlignment="1">
      <alignment horizontal="center" vertical="center"/>
    </xf>
    <xf numFmtId="1" fontId="75" fillId="21" borderId="31" xfId="0" applyNumberFormat="1" applyFont="1" applyFill="1" applyBorder="1" applyAlignment="1">
      <alignment horizontal="center" vertical="center"/>
    </xf>
    <xf numFmtId="1" fontId="74" fillId="25" borderId="62" xfId="0" applyNumberFormat="1" applyFont="1" applyFill="1" applyBorder="1" applyAlignment="1">
      <alignment horizontal="center" vertical="center"/>
    </xf>
    <xf numFmtId="1" fontId="74" fillId="25" borderId="9" xfId="0" applyNumberFormat="1" applyFont="1" applyFill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1" fontId="138" fillId="21" borderId="36" xfId="0" applyNumberFormat="1" applyFont="1" applyFill="1" applyBorder="1" applyAlignment="1">
      <alignment horizontal="center" vertical="center"/>
    </xf>
    <xf numFmtId="1" fontId="138" fillId="21" borderId="8" xfId="0" applyNumberFormat="1" applyFont="1" applyFill="1" applyBorder="1" applyAlignment="1">
      <alignment horizontal="center" vertical="center"/>
    </xf>
    <xf numFmtId="1" fontId="125" fillId="0" borderId="62" xfId="0" applyNumberFormat="1" applyFont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25" fillId="21" borderId="62" xfId="0" applyNumberFormat="1" applyFont="1" applyFill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1" fontId="138" fillId="21" borderId="10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0" fillId="0" borderId="0" xfId="0"/>
    <xf numFmtId="1" fontId="134" fillId="21" borderId="25" xfId="0" applyNumberFormat="1" applyFont="1" applyFill="1" applyBorder="1" applyAlignment="1">
      <alignment horizontal="center" vertical="center"/>
    </xf>
    <xf numFmtId="1" fontId="134" fillId="25" borderId="32" xfId="0" applyNumberFormat="1" applyFont="1" applyFill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38" fillId="21" borderId="62" xfId="0" applyNumberFormat="1" applyFont="1" applyFill="1" applyBorder="1" applyAlignment="1">
      <alignment horizontal="center" vertical="center"/>
    </xf>
    <xf numFmtId="1" fontId="134" fillId="25" borderId="59" xfId="0" applyNumberFormat="1" applyFont="1" applyFill="1" applyBorder="1" applyAlignment="1">
      <alignment horizontal="center" vertical="center"/>
    </xf>
    <xf numFmtId="0" fontId="112" fillId="0" borderId="55" xfId="0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21" borderId="1" xfId="0" applyFont="1" applyFill="1" applyBorder="1" applyAlignment="1">
      <alignment horizontal="center" vertical="center"/>
    </xf>
    <xf numFmtId="1" fontId="75" fillId="25" borderId="29" xfId="0" applyNumberFormat="1" applyFont="1" applyFill="1" applyBorder="1" applyAlignment="1">
      <alignment horizontal="center" vertical="center"/>
    </xf>
    <xf numFmtId="1" fontId="75" fillId="21" borderId="31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1" borderId="45" xfId="0" applyNumberFormat="1" applyFont="1" applyFill="1" applyBorder="1" applyAlignment="1">
      <alignment horizontal="center" vertical="center"/>
    </xf>
    <xf numFmtId="0" fontId="75" fillId="0" borderId="62" xfId="0" applyFont="1" applyBorder="1" applyAlignment="1">
      <alignment horizontal="center" vertical="center"/>
    </xf>
    <xf numFmtId="1" fontId="138" fillId="0" borderId="36" xfId="0" applyNumberFormat="1" applyFont="1" applyBorder="1" applyAlignment="1">
      <alignment horizontal="center" vertical="center"/>
    </xf>
    <xf numFmtId="1" fontId="138" fillId="0" borderId="8" xfId="0" applyNumberFormat="1" applyFont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1" fontId="138" fillId="0" borderId="30" xfId="0" applyNumberFormat="1" applyFont="1" applyBorder="1" applyAlignment="1">
      <alignment horizontal="center" vertical="center"/>
    </xf>
    <xf numFmtId="1" fontId="125" fillId="21" borderId="9" xfId="0" applyNumberFormat="1" applyFont="1" applyFill="1" applyBorder="1" applyAlignment="1">
      <alignment horizontal="center" vertical="center"/>
    </xf>
    <xf numFmtId="1" fontId="138" fillId="21" borderId="30" xfId="0" applyNumberFormat="1" applyFont="1" applyFill="1" applyBorder="1" applyAlignment="1">
      <alignment horizontal="center" vertical="center"/>
    </xf>
    <xf numFmtId="1" fontId="138" fillId="21" borderId="36" xfId="0" applyNumberFormat="1" applyFont="1" applyFill="1" applyBorder="1" applyAlignment="1">
      <alignment horizontal="center" vertical="center"/>
    </xf>
    <xf numFmtId="1" fontId="138" fillId="21" borderId="8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1" fontId="138" fillId="21" borderId="10" xfId="0" applyNumberFormat="1" applyFont="1" applyFill="1" applyBorder="1" applyAlignment="1">
      <alignment horizontal="center" vertical="center"/>
    </xf>
    <xf numFmtId="0" fontId="138" fillId="21" borderId="62" xfId="0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2" fontId="111" fillId="0" borderId="53" xfId="0" applyNumberFormat="1" applyFont="1" applyBorder="1" applyAlignment="1">
      <alignment horizontal="center" vertical="center"/>
    </xf>
    <xf numFmtId="2" fontId="111" fillId="0" borderId="48" xfId="0" applyNumberFormat="1" applyFont="1" applyBorder="1" applyAlignment="1">
      <alignment horizontal="center" vertical="center"/>
    </xf>
    <xf numFmtId="0" fontId="0" fillId="0" borderId="0" xfId="0"/>
    <xf numFmtId="1" fontId="138" fillId="21" borderId="34" xfId="0" applyNumberFormat="1" applyFont="1" applyFill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1" fontId="138" fillId="25" borderId="74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0" fontId="119" fillId="0" borderId="4" xfId="0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21" borderId="1" xfId="0" applyFont="1" applyFill="1" applyBorder="1" applyAlignment="1">
      <alignment horizontal="center" vertical="center"/>
    </xf>
    <xf numFmtId="1" fontId="134" fillId="0" borderId="36" xfId="0" applyNumberFormat="1" applyFont="1" applyBorder="1" applyAlignment="1">
      <alignment horizontal="center" vertical="center"/>
    </xf>
    <xf numFmtId="1" fontId="74" fillId="21" borderId="34" xfId="0" applyNumberFormat="1" applyFont="1" applyFill="1" applyBorder="1" applyAlignment="1">
      <alignment horizontal="center" vertical="center"/>
    </xf>
    <xf numFmtId="1" fontId="138" fillId="0" borderId="36" xfId="0" applyNumberFormat="1" applyFont="1" applyBorder="1" applyAlignment="1">
      <alignment horizontal="center" vertical="center"/>
    </xf>
    <xf numFmtId="1" fontId="138" fillId="0" borderId="8" xfId="0" applyNumberFormat="1" applyFont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25" fillId="21" borderId="62" xfId="0" applyNumberFormat="1" applyFont="1" applyFill="1" applyBorder="1" applyAlignment="1">
      <alignment horizontal="center" vertical="center"/>
    </xf>
    <xf numFmtId="1" fontId="54" fillId="21" borderId="62" xfId="0" applyNumberFormat="1" applyFont="1" applyFill="1" applyBorder="1" applyAlignment="1">
      <alignment horizontal="center" vertical="center"/>
    </xf>
    <xf numFmtId="1" fontId="54" fillId="21" borderId="34" xfId="0" applyNumberFormat="1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1" fontId="138" fillId="21" borderId="10" xfId="0" applyNumberFormat="1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1" fontId="138" fillId="25" borderId="36" xfId="0" quotePrefix="1" applyNumberFormat="1" applyFont="1" applyFill="1" applyBorder="1" applyAlignment="1">
      <alignment horizontal="center" vertical="center"/>
    </xf>
    <xf numFmtId="0" fontId="138" fillId="21" borderId="62" xfId="0" applyFont="1" applyFill="1" applyBorder="1" applyAlignment="1">
      <alignment horizontal="center" vertical="center"/>
    </xf>
    <xf numFmtId="1" fontId="138" fillId="25" borderId="111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138" fillId="25" borderId="8" xfId="0" applyFont="1" applyFill="1" applyBorder="1" applyAlignment="1">
      <alignment horizontal="center" vertical="center"/>
    </xf>
    <xf numFmtId="0" fontId="119" fillId="25" borderId="1" xfId="0" applyFont="1" applyFill="1" applyBorder="1" applyAlignment="1">
      <alignment horizontal="center" vertical="center"/>
    </xf>
    <xf numFmtId="1" fontId="125" fillId="25" borderId="10" xfId="0" applyNumberFormat="1" applyFont="1" applyFill="1" applyBorder="1" applyAlignment="1">
      <alignment horizontal="center" vertical="center"/>
    </xf>
    <xf numFmtId="169" fontId="125" fillId="21" borderId="10" xfId="0" applyNumberFormat="1" applyFont="1" applyFill="1" applyBorder="1" applyAlignment="1">
      <alignment horizontal="center" vertical="center"/>
    </xf>
    <xf numFmtId="0" fontId="119" fillId="25" borderId="4" xfId="0" applyFont="1" applyFill="1" applyBorder="1" applyAlignment="1">
      <alignment horizontal="center" vertical="center"/>
    </xf>
    <xf numFmtId="1" fontId="11" fillId="20" borderId="42" xfId="0" applyNumberFormat="1" applyFont="1" applyFill="1" applyBorder="1" applyAlignment="1">
      <alignment horizontal="center" vertical="center"/>
    </xf>
    <xf numFmtId="1" fontId="111" fillId="20" borderId="61" xfId="0" applyNumberFormat="1" applyFont="1" applyFill="1" applyBorder="1" applyAlignment="1">
      <alignment horizontal="center" vertical="center"/>
    </xf>
    <xf numFmtId="1" fontId="114" fillId="25" borderId="67" xfId="0" applyNumberFormat="1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0" fontId="0" fillId="0" borderId="0" xfId="0"/>
    <xf numFmtId="0" fontId="112" fillId="0" borderId="4" xfId="0" applyFont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0" fontId="112" fillId="19" borderId="4" xfId="0" applyFont="1" applyFill="1" applyBorder="1" applyAlignment="1">
      <alignment horizontal="center" vertical="center"/>
    </xf>
    <xf numFmtId="0" fontId="119" fillId="0" borderId="109" xfId="0" applyFont="1" applyBorder="1" applyAlignment="1">
      <alignment horizontal="center" vertical="center"/>
    </xf>
    <xf numFmtId="0" fontId="138" fillId="0" borderId="10" xfId="0" applyFont="1" applyBorder="1" applyAlignment="1">
      <alignment horizontal="center" vertical="center"/>
    </xf>
    <xf numFmtId="1" fontId="125" fillId="19" borderId="9" xfId="0" applyNumberFormat="1" applyFont="1" applyFill="1" applyBorder="1" applyAlignment="1">
      <alignment horizontal="center" vertical="center"/>
    </xf>
    <xf numFmtId="1" fontId="138" fillId="25" borderId="10" xfId="0" applyNumberFormat="1" applyFont="1" applyFill="1" applyBorder="1" applyAlignment="1">
      <alignment horizontal="center" vertical="center"/>
    </xf>
    <xf numFmtId="1" fontId="138" fillId="21" borderId="10" xfId="0" applyNumberFormat="1" applyFont="1" applyFill="1" applyBorder="1" applyAlignment="1">
      <alignment horizontal="center" vertical="center"/>
    </xf>
    <xf numFmtId="0" fontId="112" fillId="20" borderId="4" xfId="0" applyFont="1" applyFill="1" applyBorder="1" applyAlignment="1">
      <alignment horizontal="center" vertical="center"/>
    </xf>
    <xf numFmtId="0" fontId="138" fillId="20" borderId="34" xfId="0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0" fontId="0" fillId="0" borderId="0" xfId="0"/>
    <xf numFmtId="1" fontId="138" fillId="25" borderId="74" xfId="0" applyNumberFormat="1" applyFont="1" applyFill="1" applyBorder="1" applyAlignment="1">
      <alignment horizontal="center" vertical="center"/>
    </xf>
    <xf numFmtId="1" fontId="138" fillId="21" borderId="62" xfId="0" applyNumberFormat="1" applyFont="1" applyFill="1" applyBorder="1" applyAlignment="1">
      <alignment horizontal="center" vertical="center"/>
    </xf>
    <xf numFmtId="1" fontId="138" fillId="21" borderId="74" xfId="0" applyNumberFormat="1" applyFont="1" applyFill="1" applyBorder="1" applyAlignment="1">
      <alignment horizontal="center" vertical="center"/>
    </xf>
    <xf numFmtId="1" fontId="138" fillId="19" borderId="62" xfId="0" applyNumberFormat="1" applyFont="1" applyFill="1" applyBorder="1" applyAlignment="1">
      <alignment horizontal="center" vertical="center"/>
    </xf>
    <xf numFmtId="1" fontId="138" fillId="19" borderId="74" xfId="0" applyNumberFormat="1" applyFont="1" applyFill="1" applyBorder="1" applyAlignment="1">
      <alignment horizontal="center" vertical="center"/>
    </xf>
    <xf numFmtId="1" fontId="138" fillId="20" borderId="62" xfId="0" applyNumberFormat="1" applyFont="1" applyFill="1" applyBorder="1" applyAlignment="1">
      <alignment horizontal="center" vertical="center"/>
    </xf>
    <xf numFmtId="1" fontId="138" fillId="20" borderId="74" xfId="0" applyNumberFormat="1" applyFont="1" applyFill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25" borderId="35" xfId="0" applyFill="1" applyBorder="1"/>
    <xf numFmtId="0" fontId="111" fillId="25" borderId="0" xfId="0" applyFont="1" applyFill="1"/>
    <xf numFmtId="0" fontId="117" fillId="0" borderId="76" xfId="0" applyFont="1" applyBorder="1" applyAlignment="1">
      <alignment horizontal="left" vertical="center"/>
    </xf>
    <xf numFmtId="170" fontId="118" fillId="0" borderId="34" xfId="0" applyNumberFormat="1" applyFont="1" applyBorder="1"/>
    <xf numFmtId="0" fontId="172" fillId="0" borderId="10" xfId="0" applyFont="1" applyBorder="1"/>
    <xf numFmtId="0" fontId="118" fillId="0" borderId="10" xfId="0" applyFont="1" applyBorder="1" applyAlignment="1">
      <alignment horizontal="left" vertical="center"/>
    </xf>
    <xf numFmtId="1" fontId="134" fillId="19" borderId="10" xfId="0" applyNumberFormat="1" applyFont="1" applyFill="1" applyBorder="1" applyAlignment="1">
      <alignment horizontal="center" vertical="center"/>
    </xf>
    <xf numFmtId="171" fontId="138" fillId="21" borderId="10" xfId="0" applyNumberFormat="1" applyFont="1" applyFill="1" applyBorder="1" applyAlignment="1">
      <alignment horizontal="center" vertical="center"/>
    </xf>
    <xf numFmtId="171" fontId="138" fillId="20" borderId="10" xfId="0" applyNumberFormat="1" applyFont="1" applyFill="1" applyBorder="1" applyAlignment="1">
      <alignment horizontal="center" vertical="center"/>
    </xf>
    <xf numFmtId="0" fontId="123" fillId="0" borderId="37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vertical="center"/>
    </xf>
    <xf numFmtId="1" fontId="138" fillId="21" borderId="10" xfId="0" applyNumberFormat="1" applyFont="1" applyFill="1" applyBorder="1" applyAlignment="1">
      <alignment vertical="center"/>
    </xf>
    <xf numFmtId="1" fontId="125" fillId="0" borderId="10" xfId="0" applyNumberFormat="1" applyFont="1" applyBorder="1" applyAlignment="1">
      <alignment vertical="center"/>
    </xf>
    <xf numFmtId="1" fontId="125" fillId="21" borderId="10" xfId="0" applyNumberFormat="1" applyFont="1" applyFill="1" applyBorder="1" applyAlignment="1">
      <alignment vertical="center"/>
    </xf>
    <xf numFmtId="1" fontId="138" fillId="19" borderId="10" xfId="0" applyNumberFormat="1" applyFont="1" applyFill="1" applyBorder="1" applyAlignment="1">
      <alignment vertical="center"/>
    </xf>
    <xf numFmtId="1" fontId="138" fillId="20" borderId="10" xfId="0" applyNumberFormat="1" applyFont="1" applyFill="1" applyBorder="1" applyAlignment="1">
      <alignment vertical="center"/>
    </xf>
    <xf numFmtId="1" fontId="125" fillId="19" borderId="10" xfId="0" applyNumberFormat="1" applyFont="1" applyFill="1" applyBorder="1" applyAlignment="1">
      <alignment vertical="center"/>
    </xf>
    <xf numFmtId="1" fontId="125" fillId="20" borderId="10" xfId="0" applyNumberFormat="1" applyFont="1" applyFill="1" applyBorder="1" applyAlignment="1">
      <alignment vertical="center"/>
    </xf>
    <xf numFmtId="0" fontId="65" fillId="0" borderId="0" xfId="0" applyFont="1" applyBorder="1" applyAlignment="1">
      <alignment vertical="center"/>
    </xf>
    <xf numFmtId="0" fontId="117" fillId="0" borderId="49" xfId="0" applyFont="1" applyBorder="1" applyAlignment="1">
      <alignment vertical="center"/>
    </xf>
    <xf numFmtId="0" fontId="0" fillId="0" borderId="37" xfId="0" applyBorder="1"/>
    <xf numFmtId="0" fontId="54" fillId="0" borderId="10" xfId="0" applyFont="1" applyBorder="1" applyAlignment="1">
      <alignment vertical="center"/>
    </xf>
    <xf numFmtId="0" fontId="118" fillId="0" borderId="10" xfId="0" applyFont="1" applyBorder="1" applyAlignment="1">
      <alignment vertical="center"/>
    </xf>
    <xf numFmtId="41" fontId="118" fillId="0" borderId="10" xfId="0" quotePrefix="1" applyNumberFormat="1" applyFont="1" applyBorder="1" applyAlignment="1">
      <alignment horizontal="left" vertical="center"/>
    </xf>
    <xf numFmtId="41" fontId="229" fillId="0" borderId="9" xfId="0" applyNumberFormat="1" applyFont="1" applyBorder="1" applyAlignment="1">
      <alignment horizontal="right" vertical="center"/>
    </xf>
    <xf numFmtId="0" fontId="125" fillId="0" borderId="30" xfId="0" applyFont="1" applyBorder="1" applyAlignment="1">
      <alignment vertical="center"/>
    </xf>
    <xf numFmtId="176" fontId="118" fillId="0" borderId="10" xfId="0" quotePrefix="1" applyNumberFormat="1" applyFont="1" applyBorder="1" applyAlignment="1">
      <alignment horizontal="center" vertical="center"/>
    </xf>
    <xf numFmtId="169" fontId="109" fillId="0" borderId="21" xfId="0" applyNumberFormat="1" applyFont="1" applyBorder="1" applyAlignment="1">
      <alignment horizontal="center" vertical="center"/>
    </xf>
    <xf numFmtId="0" fontId="125" fillId="0" borderId="7" xfId="0" applyFont="1" applyBorder="1" applyAlignment="1">
      <alignment vertical="center"/>
    </xf>
    <xf numFmtId="41" fontId="118" fillId="0" borderId="6" xfId="0" quotePrefix="1" applyNumberFormat="1" applyFont="1" applyBorder="1" applyAlignment="1">
      <alignment horizontal="left" vertical="center"/>
    </xf>
    <xf numFmtId="41" fontId="123" fillId="0" borderId="6" xfId="0" quotePrefix="1" applyNumberFormat="1" applyFont="1" applyBorder="1" applyAlignment="1">
      <alignment horizontal="left" vertical="center"/>
    </xf>
    <xf numFmtId="41" fontId="123" fillId="0" borderId="0" xfId="0" quotePrefix="1" applyNumberFormat="1" applyFont="1" applyBorder="1" applyAlignment="1">
      <alignment horizontal="left" vertical="center"/>
    </xf>
    <xf numFmtId="41" fontId="125" fillId="0" borderId="55" xfId="0" applyNumberFormat="1" applyFont="1" applyBorder="1" applyAlignment="1">
      <alignment horizontal="right" vertical="center"/>
    </xf>
    <xf numFmtId="0" fontId="54" fillId="0" borderId="6" xfId="0" applyFont="1" applyBorder="1" applyAlignment="1">
      <alignment vertical="center"/>
    </xf>
    <xf numFmtId="0" fontId="118" fillId="0" borderId="6" xfId="0" applyFont="1" applyBorder="1" applyAlignment="1">
      <alignment vertical="center"/>
    </xf>
    <xf numFmtId="0" fontId="118" fillId="0" borderId="49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23" fillId="0" borderId="65" xfId="0" applyFont="1" applyBorder="1" applyAlignment="1">
      <alignment horizontal="center" vertical="center"/>
    </xf>
    <xf numFmtId="0" fontId="125" fillId="25" borderId="75" xfId="0" applyFont="1" applyFill="1" applyBorder="1" applyAlignment="1">
      <alignment horizontal="center" vertical="center"/>
    </xf>
    <xf numFmtId="1" fontId="111" fillId="0" borderId="7" xfId="0" applyNumberFormat="1" applyFont="1" applyBorder="1" applyAlignment="1">
      <alignment horizontal="center" vertical="center"/>
    </xf>
    <xf numFmtId="1" fontId="111" fillId="25" borderId="7" xfId="0" applyNumberFormat="1" applyFont="1" applyFill="1" applyBorder="1" applyAlignment="1">
      <alignment horizontal="center" vertical="center"/>
    </xf>
    <xf numFmtId="0" fontId="138" fillId="0" borderId="10" xfId="0" applyFont="1" applyBorder="1" applyAlignment="1">
      <alignment vertical="center"/>
    </xf>
    <xf numFmtId="0" fontId="111" fillId="0" borderId="6" xfId="0" applyFont="1" applyBorder="1" applyAlignment="1">
      <alignment horizontal="center" vertical="center"/>
    </xf>
    <xf numFmtId="1" fontId="111" fillId="21" borderId="37" xfId="0" applyNumberFormat="1" applyFont="1" applyFill="1" applyBorder="1" applyAlignment="1">
      <alignment horizontal="center" vertical="center"/>
    </xf>
    <xf numFmtId="1" fontId="111" fillId="19" borderId="37" xfId="0" applyNumberFormat="1" applyFont="1" applyFill="1" applyBorder="1" applyAlignment="1">
      <alignment horizontal="center" vertical="center"/>
    </xf>
    <xf numFmtId="1" fontId="111" fillId="18" borderId="37" xfId="0" applyNumberFormat="1" applyFont="1" applyFill="1" applyBorder="1" applyAlignment="1">
      <alignment horizontal="center" vertical="center"/>
    </xf>
    <xf numFmtId="1" fontId="111" fillId="20" borderId="37" xfId="0" applyNumberFormat="1" applyFont="1" applyFill="1" applyBorder="1" applyAlignment="1">
      <alignment horizontal="center" vertical="center"/>
    </xf>
    <xf numFmtId="0" fontId="54" fillId="0" borderId="37" xfId="0" applyFont="1" applyBorder="1" applyAlignment="1">
      <alignment horizontal="left" vertical="center"/>
    </xf>
    <xf numFmtId="41" fontId="123" fillId="25" borderId="75" xfId="0" quotePrefix="1" applyNumberFormat="1" applyFont="1" applyFill="1" applyBorder="1" applyAlignment="1">
      <alignment horizontal="left" vertical="center"/>
    </xf>
    <xf numFmtId="41" fontId="123" fillId="0" borderId="75" xfId="0" quotePrefix="1" applyNumberFormat="1" applyFont="1" applyBorder="1" applyAlignment="1">
      <alignment horizontal="left" vertical="center"/>
    </xf>
    <xf numFmtId="41" fontId="125" fillId="0" borderId="55" xfId="0" applyNumberFormat="1" applyFont="1" applyBorder="1" applyAlignment="1">
      <alignment horizontal="left" vertical="center"/>
    </xf>
    <xf numFmtId="0" fontId="117" fillId="25" borderId="49" xfId="0" applyFont="1" applyFill="1" applyBorder="1" applyAlignment="1">
      <alignment vertical="center"/>
    </xf>
    <xf numFmtId="0" fontId="114" fillId="25" borderId="39" xfId="0" applyFont="1" applyFill="1" applyBorder="1" applyAlignment="1">
      <alignment vertical="center"/>
    </xf>
    <xf numFmtId="0" fontId="54" fillId="0" borderId="24" xfId="0" applyFont="1" applyBorder="1" applyAlignment="1">
      <alignment vertical="center"/>
    </xf>
    <xf numFmtId="169" fontId="111" fillId="0" borderId="23" xfId="0" applyNumberFormat="1" applyFont="1" applyBorder="1" applyAlignment="1">
      <alignment horizontal="center" vertical="center"/>
    </xf>
    <xf numFmtId="169" fontId="111" fillId="21" borderId="9" xfId="0" applyNumberFormat="1" applyFont="1" applyFill="1" applyBorder="1" applyAlignment="1">
      <alignment horizontal="center" vertical="center"/>
    </xf>
    <xf numFmtId="169" fontId="138" fillId="19" borderId="9" xfId="0" applyNumberFormat="1" applyFont="1" applyFill="1" applyBorder="1" applyAlignment="1">
      <alignment horizontal="center" vertical="center"/>
    </xf>
    <xf numFmtId="169" fontId="111" fillId="19" borderId="9" xfId="0" applyNumberFormat="1" applyFont="1" applyFill="1" applyBorder="1" applyAlignment="1">
      <alignment horizontal="center" vertical="center"/>
    </xf>
    <xf numFmtId="169" fontId="138" fillId="20" borderId="9" xfId="0" applyNumberFormat="1" applyFont="1" applyFill="1" applyBorder="1" applyAlignment="1">
      <alignment horizontal="center" vertical="center"/>
    </xf>
    <xf numFmtId="169" fontId="111" fillId="20" borderId="9" xfId="0" applyNumberFormat="1" applyFont="1" applyFill="1" applyBorder="1" applyAlignment="1">
      <alignment horizontal="center" vertical="center"/>
    </xf>
    <xf numFmtId="0" fontId="0" fillId="0" borderId="0" xfId="0"/>
    <xf numFmtId="1" fontId="75" fillId="25" borderId="29" xfId="0" applyNumberFormat="1" applyFont="1" applyFill="1" applyBorder="1" applyAlignment="1">
      <alignment horizontal="center" vertical="center"/>
    </xf>
    <xf numFmtId="1" fontId="75" fillId="25" borderId="38" xfId="0" applyNumberFormat="1" applyFont="1" applyFill="1" applyBorder="1" applyAlignment="1">
      <alignment horizontal="center" vertical="center"/>
    </xf>
    <xf numFmtId="1" fontId="75" fillId="25" borderId="8" xfId="0" applyNumberFormat="1" applyFont="1" applyFill="1" applyBorder="1" applyAlignment="1">
      <alignment horizontal="center" vertical="center"/>
    </xf>
    <xf numFmtId="1" fontId="75" fillId="0" borderId="45" xfId="0" applyNumberFormat="1" applyFont="1" applyBorder="1" applyAlignment="1">
      <alignment horizontal="center" vertical="center"/>
    </xf>
    <xf numFmtId="1" fontId="75" fillId="19" borderId="30" xfId="0" applyNumberFormat="1" applyFont="1" applyFill="1" applyBorder="1" applyAlignment="1">
      <alignment horizontal="center" vertical="center"/>
    </xf>
    <xf numFmtId="1" fontId="74" fillId="19" borderId="74" xfId="0" applyNumberFormat="1" applyFont="1" applyFill="1" applyBorder="1" applyAlignment="1">
      <alignment horizontal="center" vertical="center"/>
    </xf>
    <xf numFmtId="1" fontId="75" fillId="25" borderId="10" xfId="0" applyNumberFormat="1" applyFont="1" applyFill="1" applyBorder="1" applyAlignment="1">
      <alignment horizontal="center" vertical="center"/>
    </xf>
    <xf numFmtId="1" fontId="75" fillId="25" borderId="74" xfId="0" applyNumberFormat="1" applyFont="1" applyFill="1" applyBorder="1" applyAlignment="1">
      <alignment horizontal="center" vertical="center"/>
    </xf>
    <xf numFmtId="1" fontId="74" fillId="20" borderId="74" xfId="0" applyNumberFormat="1" applyFont="1" applyFill="1" applyBorder="1" applyAlignment="1">
      <alignment horizontal="center" vertical="center"/>
    </xf>
    <xf numFmtId="1" fontId="74" fillId="25" borderId="74" xfId="0" applyNumberFormat="1" applyFont="1" applyFill="1" applyBorder="1" applyAlignment="1">
      <alignment horizontal="center" vertical="center"/>
    </xf>
    <xf numFmtId="1" fontId="74" fillId="25" borderId="9" xfId="0" applyNumberFormat="1" applyFont="1" applyFill="1" applyBorder="1" applyAlignment="1">
      <alignment horizontal="center" vertical="center"/>
    </xf>
    <xf numFmtId="2" fontId="11" fillId="25" borderId="45" xfId="0" applyNumberFormat="1" applyFont="1" applyFill="1" applyBorder="1" applyAlignment="1">
      <alignment horizontal="center" vertical="center"/>
    </xf>
    <xf numFmtId="0" fontId="113" fillId="0" borderId="0" xfId="0" applyFont="1"/>
    <xf numFmtId="0" fontId="108" fillId="0" borderId="0" xfId="0" applyFont="1" applyFill="1" applyBorder="1"/>
    <xf numFmtId="169" fontId="134" fillId="0" borderId="10" xfId="0" applyNumberFormat="1" applyFont="1" applyBorder="1" applyAlignment="1">
      <alignment horizontal="center" vertical="center"/>
    </xf>
    <xf numFmtId="0" fontId="5" fillId="25" borderId="31" xfId="0" applyFont="1" applyFill="1" applyBorder="1" applyAlignment="1">
      <alignment horizontal="right" vertical="center"/>
    </xf>
    <xf numFmtId="1" fontId="74" fillId="25" borderId="29" xfId="0" applyNumberFormat="1" applyFont="1" applyFill="1" applyBorder="1" applyAlignment="1">
      <alignment horizontal="center" vertical="center"/>
    </xf>
    <xf numFmtId="0" fontId="114" fillId="25" borderId="17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vertical="center"/>
    </xf>
    <xf numFmtId="0" fontId="114" fillId="25" borderId="11" xfId="0" applyFont="1" applyFill="1" applyBorder="1" applyAlignment="1">
      <alignment horizontal="center" vertical="center"/>
    </xf>
    <xf numFmtId="1" fontId="114" fillId="25" borderId="5" xfId="0" applyNumberFormat="1" applyFont="1" applyFill="1" applyBorder="1" applyAlignment="1">
      <alignment horizontal="center" vertical="center"/>
    </xf>
    <xf numFmtId="1" fontId="114" fillId="25" borderId="11" xfId="0" applyNumberFormat="1" applyFont="1" applyFill="1" applyBorder="1" applyAlignment="1">
      <alignment horizontal="center" vertical="center"/>
    </xf>
    <xf numFmtId="0" fontId="65" fillId="25" borderId="1" xfId="0" applyFont="1" applyFill="1" applyBorder="1"/>
    <xf numFmtId="169" fontId="68" fillId="25" borderId="4" xfId="0" applyNumberFormat="1" applyFont="1" applyFill="1" applyBorder="1" applyAlignment="1">
      <alignment horizontal="center" vertical="center"/>
    </xf>
    <xf numFmtId="169" fontId="68" fillId="25" borderId="55" xfId="0" applyNumberFormat="1" applyFont="1" applyFill="1" applyBorder="1" applyAlignment="1">
      <alignment horizontal="center" vertical="center"/>
    </xf>
    <xf numFmtId="169" fontId="68" fillId="25" borderId="21" xfId="0" applyNumberFormat="1" applyFont="1" applyFill="1" applyBorder="1" applyAlignment="1">
      <alignment horizontal="center" vertical="center"/>
    </xf>
    <xf numFmtId="0" fontId="6" fillId="25" borderId="31" xfId="0" applyFont="1" applyFill="1" applyBorder="1" applyAlignment="1">
      <alignment horizontal="left" vertical="center"/>
    </xf>
    <xf numFmtId="1" fontId="6" fillId="25" borderId="31" xfId="0" applyNumberFormat="1" applyFont="1" applyFill="1" applyBorder="1" applyAlignment="1">
      <alignment horizontal="center" vertical="center"/>
    </xf>
    <xf numFmtId="1" fontId="6" fillId="25" borderId="12" xfId="0" applyNumberFormat="1" applyFont="1" applyFill="1" applyBorder="1" applyAlignment="1">
      <alignment horizontal="center" vertical="center"/>
    </xf>
    <xf numFmtId="0" fontId="220" fillId="25" borderId="0" xfId="0" applyFont="1" applyFill="1"/>
    <xf numFmtId="1" fontId="75" fillId="0" borderId="45" xfId="0" applyNumberFormat="1" applyFont="1" applyBorder="1" applyAlignment="1">
      <alignment vertical="center"/>
    </xf>
    <xf numFmtId="1" fontId="11" fillId="0" borderId="19" xfId="0" applyNumberFormat="1" applyFont="1" applyBorder="1" applyAlignment="1">
      <alignment horizontal="center" vertical="center"/>
    </xf>
    <xf numFmtId="1" fontId="11" fillId="25" borderId="19" xfId="0" applyNumberFormat="1" applyFont="1" applyFill="1" applyBorder="1" applyAlignment="1">
      <alignment horizontal="center" vertical="center"/>
    </xf>
    <xf numFmtId="1" fontId="74" fillId="0" borderId="74" xfId="0" applyNumberFormat="1" applyFont="1" applyBorder="1" applyAlignment="1">
      <alignment vertical="center"/>
    </xf>
    <xf numFmtId="0" fontId="166" fillId="25" borderId="10" xfId="0" applyFont="1" applyFill="1" applyBorder="1" applyAlignment="1">
      <alignment vertical="center"/>
    </xf>
    <xf numFmtId="1" fontId="75" fillId="0" borderId="10" xfId="0" applyNumberFormat="1" applyFont="1" applyBorder="1" applyAlignment="1">
      <alignment vertical="center"/>
    </xf>
    <xf numFmtId="0" fontId="137" fillId="25" borderId="10" xfId="0" applyFont="1" applyFill="1" applyBorder="1" applyAlignment="1">
      <alignment horizontal="center" vertical="center"/>
    </xf>
    <xf numFmtId="1" fontId="11" fillId="25" borderId="50" xfId="0" applyNumberFormat="1" applyFont="1" applyFill="1" applyBorder="1" applyAlignment="1">
      <alignment horizontal="center" vertical="center"/>
    </xf>
    <xf numFmtId="1" fontId="11" fillId="18" borderId="50" xfId="0" applyNumberFormat="1" applyFont="1" applyFill="1" applyBorder="1" applyAlignment="1">
      <alignment horizontal="center" vertical="center"/>
    </xf>
    <xf numFmtId="1" fontId="11" fillId="0" borderId="50" xfId="0" applyNumberFormat="1" applyFont="1" applyBorder="1" applyAlignment="1">
      <alignment horizontal="center" vertical="center"/>
    </xf>
    <xf numFmtId="1" fontId="199" fillId="25" borderId="69" xfId="0" applyNumberFormat="1" applyFont="1" applyFill="1" applyBorder="1" applyAlignment="1">
      <alignment horizontal="center" vertical="center"/>
    </xf>
    <xf numFmtId="1" fontId="199" fillId="25" borderId="10" xfId="0" applyNumberFormat="1" applyFont="1" applyFill="1" applyBorder="1" applyAlignment="1">
      <alignment horizontal="center" vertical="center"/>
    </xf>
    <xf numFmtId="1" fontId="199" fillId="25" borderId="10" xfId="0" applyNumberFormat="1" applyFont="1" applyFill="1" applyBorder="1" applyAlignment="1">
      <alignment vertical="center"/>
    </xf>
    <xf numFmtId="1" fontId="11" fillId="25" borderId="48" xfId="0" applyNumberFormat="1" applyFont="1" applyFill="1" applyBorder="1" applyAlignment="1">
      <alignment horizontal="center" vertical="center"/>
    </xf>
    <xf numFmtId="1" fontId="11" fillId="18" borderId="48" xfId="0" applyNumberFormat="1" applyFont="1" applyFill="1" applyBorder="1" applyAlignment="1">
      <alignment horizontal="center" vertical="center"/>
    </xf>
    <xf numFmtId="1" fontId="11" fillId="0" borderId="48" xfId="0" applyNumberFormat="1" applyFont="1" applyBorder="1" applyAlignment="1">
      <alignment horizontal="center" vertical="center"/>
    </xf>
    <xf numFmtId="1" fontId="199" fillId="25" borderId="57" xfId="0" applyNumberFormat="1" applyFont="1" applyFill="1" applyBorder="1" applyAlignment="1">
      <alignment horizontal="center" vertical="center"/>
    </xf>
    <xf numFmtId="1" fontId="11" fillId="20" borderId="19" xfId="0" applyNumberFormat="1" applyFont="1" applyFill="1" applyBorder="1" applyAlignment="1">
      <alignment horizontal="center" vertical="center"/>
    </xf>
    <xf numFmtId="1" fontId="11" fillId="19" borderId="6" xfId="0" applyNumberFormat="1" applyFont="1" applyFill="1" applyBorder="1" applyAlignment="1">
      <alignment horizontal="center" vertical="center"/>
    </xf>
    <xf numFmtId="1" fontId="199" fillId="25" borderId="26" xfId="0" applyNumberFormat="1" applyFont="1" applyFill="1" applyBorder="1" applyAlignment="1">
      <alignment horizontal="center" vertical="center"/>
    </xf>
    <xf numFmtId="1" fontId="11" fillId="21" borderId="19" xfId="0" applyNumberFormat="1" applyFont="1" applyFill="1" applyBorder="1" applyAlignment="1">
      <alignment horizontal="center" vertical="center"/>
    </xf>
    <xf numFmtId="1" fontId="11" fillId="19" borderId="19" xfId="0" applyNumberFormat="1" applyFont="1" applyFill="1" applyBorder="1" applyAlignment="1">
      <alignment horizontal="center" vertical="center"/>
    </xf>
    <xf numFmtId="0" fontId="137" fillId="0" borderId="37" xfId="0" applyFont="1" applyBorder="1" applyAlignment="1">
      <alignment horizontal="left" vertical="center"/>
    </xf>
    <xf numFmtId="0" fontId="137" fillId="25" borderId="37" xfId="0" applyFont="1" applyFill="1" applyBorder="1" applyAlignment="1">
      <alignment horizontal="left" vertical="center"/>
    </xf>
    <xf numFmtId="0" fontId="137" fillId="25" borderId="48" xfId="0" applyFont="1" applyFill="1" applyBorder="1" applyAlignment="1">
      <alignment horizontal="left" vertical="center"/>
    </xf>
    <xf numFmtId="1" fontId="75" fillId="25" borderId="10" xfId="0" applyNumberFormat="1" applyFont="1" applyFill="1" applyBorder="1" applyAlignment="1">
      <alignment vertical="center"/>
    </xf>
    <xf numFmtId="0" fontId="0" fillId="0" borderId="0" xfId="0"/>
    <xf numFmtId="1" fontId="75" fillId="25" borderId="36" xfId="0" applyNumberFormat="1" applyFont="1" applyFill="1" applyBorder="1" applyAlignment="1">
      <alignment horizontal="center" vertical="center"/>
    </xf>
    <xf numFmtId="1" fontId="75" fillId="25" borderId="8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1" borderId="46" xfId="0" applyNumberFormat="1" applyFont="1" applyFill="1" applyBorder="1" applyAlignment="1">
      <alignment horizontal="center" vertical="center"/>
    </xf>
    <xf numFmtId="1" fontId="75" fillId="19" borderId="46" xfId="0" applyNumberFormat="1" applyFont="1" applyFill="1" applyBorder="1" applyAlignment="1">
      <alignment horizontal="center" vertical="center"/>
    </xf>
    <xf numFmtId="1" fontId="75" fillId="25" borderId="34" xfId="0" applyNumberFormat="1" applyFont="1" applyFill="1" applyBorder="1" applyAlignment="1">
      <alignment horizontal="center" vertical="center"/>
    </xf>
    <xf numFmtId="1" fontId="75" fillId="19" borderId="34" xfId="0" applyNumberFormat="1" applyFont="1" applyFill="1" applyBorder="1" applyAlignment="1">
      <alignment horizontal="center" vertical="center"/>
    </xf>
    <xf numFmtId="1" fontId="75" fillId="20" borderId="46" xfId="0" applyNumberFormat="1" applyFont="1" applyFill="1" applyBorder="1" applyAlignment="1">
      <alignment horizontal="center" vertical="center"/>
    </xf>
    <xf numFmtId="1" fontId="75" fillId="20" borderId="34" xfId="0" applyNumberFormat="1" applyFont="1" applyFill="1" applyBorder="1" applyAlignment="1">
      <alignment horizontal="center" vertical="center"/>
    </xf>
    <xf numFmtId="0" fontId="137" fillId="0" borderId="48" xfId="0" applyFont="1" applyBorder="1" applyAlignment="1">
      <alignment horizontal="left" vertical="center"/>
    </xf>
    <xf numFmtId="0" fontId="10" fillId="25" borderId="31" xfId="0" quotePrefix="1" applyFont="1" applyFill="1" applyBorder="1" applyAlignment="1">
      <alignment horizontal="left" vertical="center" wrapText="1"/>
    </xf>
    <xf numFmtId="1" fontId="75" fillId="25" borderId="45" xfId="0" applyNumberFormat="1" applyFont="1" applyFill="1" applyBorder="1" applyAlignment="1">
      <alignment horizontal="center" vertical="center"/>
    </xf>
    <xf numFmtId="0" fontId="0" fillId="60" borderId="10" xfId="0" applyFill="1" applyBorder="1"/>
    <xf numFmtId="0" fontId="154" fillId="60" borderId="10" xfId="0" applyFont="1" applyFill="1" applyBorder="1"/>
    <xf numFmtId="0" fontId="149" fillId="60" borderId="10" xfId="0" applyFont="1" applyFill="1" applyBorder="1"/>
    <xf numFmtId="1" fontId="149" fillId="60" borderId="10" xfId="0" applyNumberFormat="1" applyFont="1" applyFill="1" applyBorder="1" applyAlignment="1">
      <alignment horizontal="center" vertical="center"/>
    </xf>
    <xf numFmtId="0" fontId="149" fillId="60" borderId="10" xfId="0" applyFont="1" applyFill="1" applyBorder="1" applyAlignment="1">
      <alignment horizontal="center" vertical="center"/>
    </xf>
    <xf numFmtId="0" fontId="0" fillId="60" borderId="10" xfId="0" applyFill="1" applyBorder="1" applyAlignment="1">
      <alignment horizontal="center" vertical="center"/>
    </xf>
    <xf numFmtId="1" fontId="241" fillId="60" borderId="10" xfId="0" applyNumberFormat="1" applyFont="1" applyFill="1" applyBorder="1" applyAlignment="1">
      <alignment horizontal="center"/>
    </xf>
    <xf numFmtId="0" fontId="0" fillId="0" borderId="0" xfId="0"/>
    <xf numFmtId="1" fontId="54" fillId="25" borderId="44" xfId="0" applyNumberFormat="1" applyFont="1" applyFill="1" applyBorder="1" applyAlignment="1">
      <alignment horizontal="center" vertical="center"/>
    </xf>
    <xf numFmtId="1" fontId="54" fillId="25" borderId="61" xfId="0" applyNumberFormat="1" applyFont="1" applyFill="1" applyBorder="1" applyAlignment="1">
      <alignment horizontal="center" vertical="center"/>
    </xf>
    <xf numFmtId="1" fontId="54" fillId="25" borderId="52" xfId="0" applyNumberFormat="1" applyFont="1" applyFill="1" applyBorder="1" applyAlignment="1">
      <alignment horizontal="center" vertical="center"/>
    </xf>
    <xf numFmtId="1" fontId="54" fillId="25" borderId="50" xfId="0" applyNumberFormat="1" applyFont="1" applyFill="1" applyBorder="1" applyAlignment="1">
      <alignment horizontal="center" vertical="center"/>
    </xf>
    <xf numFmtId="1" fontId="54" fillId="21" borderId="61" xfId="0" applyNumberFormat="1" applyFont="1" applyFill="1" applyBorder="1" applyAlignment="1">
      <alignment horizontal="center" vertical="center"/>
    </xf>
    <xf numFmtId="1" fontId="134" fillId="21" borderId="25" xfId="0" applyNumberFormat="1" applyFont="1" applyFill="1" applyBorder="1" applyAlignment="1">
      <alignment horizontal="center" vertical="center"/>
    </xf>
    <xf numFmtId="1" fontId="134" fillId="25" borderId="32" xfId="0" applyNumberFormat="1" applyFont="1" applyFill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1" fontId="138" fillId="25" borderId="74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38" fillId="21" borderId="62" xfId="0" applyNumberFormat="1" applyFont="1" applyFill="1" applyBorder="1" applyAlignment="1">
      <alignment horizontal="center" vertical="center"/>
    </xf>
    <xf numFmtId="1" fontId="138" fillId="21" borderId="74" xfId="0" applyNumberFormat="1" applyFont="1" applyFill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21" borderId="1" xfId="0" applyFont="1" applyFill="1" applyBorder="1" applyAlignment="1">
      <alignment horizontal="center" vertical="center"/>
    </xf>
    <xf numFmtId="1" fontId="134" fillId="25" borderId="59" xfId="0" applyNumberFormat="1" applyFont="1" applyFill="1" applyBorder="1" applyAlignment="1">
      <alignment horizontal="center" vertical="center"/>
    </xf>
    <xf numFmtId="0" fontId="75" fillId="0" borderId="36" xfId="0" applyFont="1" applyBorder="1" applyAlignment="1">
      <alignment horizontal="center" vertical="center"/>
    </xf>
    <xf numFmtId="1" fontId="75" fillId="21" borderId="62" xfId="0" applyNumberFormat="1" applyFont="1" applyFill="1" applyBorder="1" applyAlignment="1">
      <alignment horizontal="center" vertical="center"/>
    </xf>
    <xf numFmtId="1" fontId="75" fillId="21" borderId="74" xfId="0" applyNumberFormat="1" applyFont="1" applyFill="1" applyBorder="1" applyAlignment="1">
      <alignment horizontal="center" vertical="center"/>
    </xf>
    <xf numFmtId="1" fontId="74" fillId="21" borderId="9" xfId="0" applyNumberFormat="1" applyFont="1" applyFill="1" applyBorder="1" applyAlignment="1">
      <alignment horizontal="center"/>
    </xf>
    <xf numFmtId="1" fontId="75" fillId="21" borderId="31" xfId="0" applyNumberFormat="1" applyFont="1" applyFill="1" applyBorder="1" applyAlignment="1">
      <alignment horizontal="center" vertical="center"/>
    </xf>
    <xf numFmtId="1" fontId="75" fillId="25" borderId="8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5" borderId="38" xfId="0" applyNumberFormat="1" applyFont="1" applyFill="1" applyBorder="1" applyAlignment="1">
      <alignment horizontal="center" vertical="center"/>
    </xf>
    <xf numFmtId="1" fontId="75" fillId="21" borderId="46" xfId="0" applyNumberFormat="1" applyFont="1" applyFill="1" applyBorder="1" applyAlignment="1">
      <alignment horizontal="center" vertical="center"/>
    </xf>
    <xf numFmtId="1" fontId="74" fillId="0" borderId="9" xfId="0" applyNumberFormat="1" applyFont="1" applyBorder="1" applyAlignment="1">
      <alignment horizontal="center" vertical="center"/>
    </xf>
    <xf numFmtId="1" fontId="74" fillId="21" borderId="9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74" fillId="25" borderId="62" xfId="0" applyNumberFormat="1" applyFont="1" applyFill="1" applyBorder="1" applyAlignment="1">
      <alignment horizontal="center" vertical="center"/>
    </xf>
    <xf numFmtId="1" fontId="74" fillId="25" borderId="74" xfId="0" applyNumberFormat="1" applyFont="1" applyFill="1" applyBorder="1" applyAlignment="1">
      <alignment horizontal="center" vertical="center"/>
    </xf>
    <xf numFmtId="1" fontId="74" fillId="25" borderId="9" xfId="0" applyNumberFormat="1" applyFont="1" applyFill="1" applyBorder="1" applyAlignment="1">
      <alignment horizontal="center" vertical="center"/>
    </xf>
    <xf numFmtId="0" fontId="138" fillId="0" borderId="10" xfId="0" applyFont="1" applyBorder="1" applyAlignment="1">
      <alignment horizontal="center" vertical="center"/>
    </xf>
    <xf numFmtId="0" fontId="119" fillId="0" borderId="10" xfId="0" applyFont="1" applyBorder="1" applyAlignment="1">
      <alignment horizontal="center" vertical="center"/>
    </xf>
    <xf numFmtId="1" fontId="125" fillId="0" borderId="62" xfId="0" applyNumberFormat="1" applyFont="1" applyBorder="1" applyAlignment="1">
      <alignment horizontal="center" vertical="center"/>
    </xf>
    <xf numFmtId="1" fontId="125" fillId="21" borderId="62" xfId="0" applyNumberFormat="1" applyFont="1" applyFill="1" applyBorder="1" applyAlignment="1">
      <alignment horizontal="center" vertical="center"/>
    </xf>
    <xf numFmtId="1" fontId="125" fillId="21" borderId="9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2" fontId="111" fillId="0" borderId="53" xfId="0" applyNumberFormat="1" applyFont="1" applyBorder="1" applyAlignment="1">
      <alignment horizontal="center" vertical="center"/>
    </xf>
    <xf numFmtId="0" fontId="119" fillId="25" borderId="42" xfId="0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21" borderId="1" xfId="0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0" fontId="149" fillId="25" borderId="38" xfId="0" applyFont="1" applyFill="1" applyBorder="1"/>
    <xf numFmtId="0" fontId="149" fillId="25" borderId="10" xfId="0" applyFont="1" applyFill="1" applyBorder="1"/>
    <xf numFmtId="0" fontId="0" fillId="0" borderId="0" xfId="0"/>
    <xf numFmtId="1" fontId="138" fillId="21" borderId="34" xfId="0" applyNumberFormat="1" applyFont="1" applyFill="1" applyBorder="1" applyAlignment="1">
      <alignment horizontal="center" vertical="center"/>
    </xf>
    <xf numFmtId="1" fontId="112" fillId="21" borderId="31" xfId="0" applyNumberFormat="1" applyFont="1" applyFill="1" applyBorder="1" applyAlignment="1">
      <alignment horizontal="center" vertical="center"/>
    </xf>
    <xf numFmtId="1" fontId="75" fillId="25" borderId="29" xfId="0" applyNumberFormat="1" applyFont="1" applyFill="1" applyBorder="1" applyAlignment="1">
      <alignment horizontal="center" vertical="center"/>
    </xf>
    <xf numFmtId="1" fontId="75" fillId="21" borderId="31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1" borderId="45" xfId="0" applyNumberFormat="1" applyFont="1" applyFill="1" applyBorder="1" applyAlignment="1">
      <alignment horizontal="center" vertical="center"/>
    </xf>
    <xf numFmtId="0" fontId="75" fillId="0" borderId="62" xfId="0" applyFont="1" applyBorder="1" applyAlignment="1">
      <alignment horizontal="center" vertical="center"/>
    </xf>
    <xf numFmtId="0" fontId="119" fillId="0" borderId="10" xfId="0" applyFont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0" fontId="0" fillId="0" borderId="0" xfId="0"/>
    <xf numFmtId="41" fontId="118" fillId="0" borderId="62" xfId="0" quotePrefix="1" applyNumberFormat="1" applyFont="1" applyBorder="1" applyAlignment="1">
      <alignment horizontal="left" vertical="center"/>
    </xf>
    <xf numFmtId="41" fontId="118" fillId="0" borderId="45" xfId="0" quotePrefix="1" applyNumberFormat="1" applyFont="1" applyBorder="1" applyAlignment="1">
      <alignment horizontal="left" vertical="center"/>
    </xf>
    <xf numFmtId="176" fontId="118" fillId="0" borderId="45" xfId="0" quotePrefix="1" applyNumberFormat="1" applyFont="1" applyBorder="1" applyAlignment="1">
      <alignment horizontal="center" vertical="center"/>
    </xf>
    <xf numFmtId="0" fontId="0" fillId="0" borderId="0" xfId="0"/>
    <xf numFmtId="1" fontId="138" fillId="21" borderId="34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0" fontId="119" fillId="0" borderId="4" xfId="0" applyFont="1" applyBorder="1" applyAlignment="1">
      <alignment horizontal="center" vertical="center"/>
    </xf>
    <xf numFmtId="0" fontId="112" fillId="0" borderId="55" xfId="0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21" borderId="1" xfId="0" applyFont="1" applyFill="1" applyBorder="1" applyAlignment="1">
      <alignment horizontal="center" vertical="center"/>
    </xf>
    <xf numFmtId="1" fontId="134" fillId="0" borderId="36" xfId="0" applyNumberFormat="1" applyFont="1" applyBorder="1" applyAlignment="1">
      <alignment horizontal="center" vertical="center"/>
    </xf>
    <xf numFmtId="1" fontId="74" fillId="21" borderId="34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0" fontId="138" fillId="21" borderId="62" xfId="0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1" fontId="138" fillId="25" borderId="36" xfId="0" quotePrefix="1" applyNumberFormat="1" applyFont="1" applyFill="1" applyBorder="1" applyAlignment="1">
      <alignment horizontal="center" vertical="center"/>
    </xf>
    <xf numFmtId="1" fontId="138" fillId="25" borderId="111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138" fillId="25" borderId="8" xfId="0" applyFont="1" applyFill="1" applyBorder="1" applyAlignment="1">
      <alignment horizontal="center" vertical="center"/>
    </xf>
    <xf numFmtId="1" fontId="125" fillId="25" borderId="10" xfId="0" applyNumberFormat="1" applyFont="1" applyFill="1" applyBorder="1" applyAlignment="1">
      <alignment horizontal="center" vertical="center"/>
    </xf>
    <xf numFmtId="169" fontId="125" fillId="21" borderId="10" xfId="0" applyNumberFormat="1" applyFont="1" applyFill="1" applyBorder="1" applyAlignment="1">
      <alignment horizontal="center" vertical="center"/>
    </xf>
    <xf numFmtId="0" fontId="119" fillId="25" borderId="1" xfId="0" applyFont="1" applyFill="1" applyBorder="1" applyAlignment="1">
      <alignment horizontal="center" vertical="center"/>
    </xf>
    <xf numFmtId="0" fontId="119" fillId="25" borderId="4" xfId="0" applyFont="1" applyFill="1" applyBorder="1" applyAlignment="1">
      <alignment horizontal="center" vertical="center"/>
    </xf>
    <xf numFmtId="169" fontId="109" fillId="0" borderId="17" xfId="0" applyNumberFormat="1" applyFont="1" applyBorder="1" applyAlignment="1">
      <alignment horizontal="center" vertical="center"/>
    </xf>
    <xf numFmtId="169" fontId="109" fillId="0" borderId="53" xfId="0" applyNumberFormat="1" applyFont="1" applyBorder="1" applyAlignment="1">
      <alignment horizontal="center" vertical="center"/>
    </xf>
    <xf numFmtId="0" fontId="0" fillId="0" borderId="0" xfId="0"/>
    <xf numFmtId="1" fontId="75" fillId="25" borderId="8" xfId="0" applyNumberFormat="1" applyFont="1" applyFill="1" applyBorder="1" applyAlignment="1">
      <alignment horizontal="center" vertical="center"/>
    </xf>
    <xf numFmtId="1" fontId="75" fillId="20" borderId="34" xfId="0" applyNumberFormat="1" applyFont="1" applyFill="1" applyBorder="1" applyAlignment="1">
      <alignment horizontal="center" vertical="center"/>
    </xf>
    <xf numFmtId="1" fontId="75" fillId="19" borderId="34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5" borderId="34" xfId="0" applyNumberFormat="1" applyFont="1" applyFill="1" applyBorder="1" applyAlignment="1">
      <alignment horizontal="center" vertical="center"/>
    </xf>
    <xf numFmtId="1" fontId="168" fillId="25" borderId="0" xfId="0" applyNumberFormat="1" applyFont="1" applyFill="1" applyAlignment="1">
      <alignment horizontal="center" vertical="center"/>
    </xf>
    <xf numFmtId="1" fontId="147" fillId="25" borderId="0" xfId="0" applyNumberFormat="1" applyFont="1" applyFill="1" applyAlignment="1">
      <alignment horizontal="center" vertical="center"/>
    </xf>
    <xf numFmtId="1" fontId="207" fillId="25" borderId="48" xfId="189" applyNumberFormat="1" applyFont="1" applyFill="1" applyBorder="1" applyAlignment="1">
      <alignment horizontal="center" vertical="center"/>
    </xf>
    <xf numFmtId="0" fontId="206" fillId="52" borderId="9" xfId="189" applyFont="1" applyFill="1" applyBorder="1" applyAlignment="1">
      <alignment horizontal="center" vertical="center"/>
    </xf>
    <xf numFmtId="0" fontId="206" fillId="52" borderId="14" xfId="189" applyFont="1" applyFill="1" applyBorder="1" applyAlignment="1">
      <alignment horizontal="center" vertical="center"/>
    </xf>
    <xf numFmtId="0" fontId="206" fillId="19" borderId="15" xfId="189" applyFont="1" applyFill="1" applyBorder="1" applyAlignment="1">
      <alignment horizontal="center" vertical="center"/>
    </xf>
    <xf numFmtId="0" fontId="206" fillId="52" borderId="73" xfId="189" applyFont="1" applyFill="1" applyBorder="1" applyAlignment="1">
      <alignment horizontal="center" vertical="center"/>
    </xf>
    <xf numFmtId="0" fontId="206" fillId="15" borderId="15" xfId="189" applyFont="1" applyFill="1" applyBorder="1" applyAlignment="1">
      <alignment horizontal="center" vertical="center"/>
    </xf>
    <xf numFmtId="0" fontId="206" fillId="52" borderId="16" xfId="189" applyFont="1" applyFill="1" applyBorder="1" applyAlignment="1">
      <alignment horizontal="center" vertical="center"/>
    </xf>
    <xf numFmtId="0" fontId="206" fillId="52" borderId="28" xfId="189" applyFont="1" applyFill="1" applyBorder="1" applyAlignment="1">
      <alignment horizontal="center" vertical="center"/>
    </xf>
    <xf numFmtId="0" fontId="206" fillId="26" borderId="16" xfId="189" applyFont="1" applyFill="1" applyBorder="1" applyAlignment="1">
      <alignment horizontal="center" vertical="center"/>
    </xf>
    <xf numFmtId="0" fontId="206" fillId="26" borderId="13" xfId="189" applyFont="1" applyFill="1" applyBorder="1" applyAlignment="1">
      <alignment horizontal="center" vertical="center"/>
    </xf>
    <xf numFmtId="1" fontId="206" fillId="25" borderId="16" xfId="189" applyNumberFormat="1" applyFont="1" applyFill="1" applyBorder="1" applyAlignment="1">
      <alignment horizontal="center" vertical="center"/>
    </xf>
    <xf numFmtId="1" fontId="207" fillId="0" borderId="23" xfId="189" applyNumberFormat="1" applyFont="1" applyFill="1" applyBorder="1" applyAlignment="1">
      <alignment horizontal="center" vertical="center"/>
    </xf>
    <xf numFmtId="1" fontId="207" fillId="25" borderId="23" xfId="189" applyNumberFormat="1" applyFont="1" applyFill="1" applyBorder="1" applyAlignment="1">
      <alignment horizontal="center" vertical="center"/>
    </xf>
    <xf numFmtId="1" fontId="207" fillId="19" borderId="14" xfId="189" applyNumberFormat="1" applyFont="1" applyFill="1" applyBorder="1" applyAlignment="1">
      <alignment horizontal="center" vertical="center"/>
    </xf>
    <xf numFmtId="1" fontId="207" fillId="15" borderId="14" xfId="189" applyNumberFormat="1" applyFont="1" applyFill="1" applyBorder="1" applyAlignment="1">
      <alignment horizontal="center" vertical="center"/>
    </xf>
    <xf numFmtId="1" fontId="207" fillId="19" borderId="23" xfId="189" applyNumberFormat="1" applyFont="1" applyFill="1" applyBorder="1" applyAlignment="1">
      <alignment horizontal="center" vertical="center"/>
    </xf>
    <xf numFmtId="1" fontId="207" fillId="25" borderId="68" xfId="189" applyNumberFormat="1" applyFont="1" applyFill="1" applyBorder="1" applyAlignment="1">
      <alignment horizontal="center" vertical="center"/>
    </xf>
    <xf numFmtId="1" fontId="207" fillId="19" borderId="69" xfId="189" applyNumberFormat="1" applyFont="1" applyFill="1" applyBorder="1" applyAlignment="1">
      <alignment horizontal="center" vertical="center"/>
    </xf>
    <xf numFmtId="1" fontId="207" fillId="0" borderId="26" xfId="189" applyNumberFormat="1" applyFont="1" applyFill="1" applyBorder="1" applyAlignment="1">
      <alignment horizontal="center" vertical="center"/>
    </xf>
    <xf numFmtId="1" fontId="155" fillId="60" borderId="10" xfId="0" applyNumberFormat="1" applyFont="1" applyFill="1" applyBorder="1" applyAlignment="1">
      <alignment horizontal="center" vertical="center"/>
    </xf>
    <xf numFmtId="41" fontId="125" fillId="0" borderId="30" xfId="0" applyNumberFormat="1" applyFont="1" applyBorder="1" applyAlignment="1">
      <alignment horizontal="right" vertical="center"/>
    </xf>
    <xf numFmtId="41" fontId="124" fillId="0" borderId="31" xfId="0" quotePrefix="1" applyNumberFormat="1" applyFont="1" applyBorder="1" applyAlignment="1">
      <alignment horizontal="left" vertical="center"/>
    </xf>
    <xf numFmtId="41" fontId="124" fillId="0" borderId="10" xfId="0" quotePrefix="1" applyNumberFormat="1" applyFont="1" applyBorder="1" applyAlignment="1">
      <alignment horizontal="left" vertical="center"/>
    </xf>
    <xf numFmtId="176" fontId="124" fillId="0" borderId="10" xfId="0" quotePrefix="1" applyNumberFormat="1" applyFont="1" applyBorder="1" applyAlignment="1">
      <alignment horizontal="center" vertical="center"/>
    </xf>
    <xf numFmtId="0" fontId="124" fillId="0" borderId="37" xfId="0" applyFont="1" applyBorder="1" applyAlignment="1">
      <alignment horizontal="center" vertical="center"/>
    </xf>
    <xf numFmtId="1" fontId="124" fillId="0" borderId="10" xfId="0" applyNumberFormat="1" applyFont="1" applyBorder="1" applyAlignment="1">
      <alignment vertical="center"/>
    </xf>
    <xf numFmtId="1" fontId="124" fillId="25" borderId="10" xfId="0" applyNumberFormat="1" applyFont="1" applyFill="1" applyBorder="1" applyAlignment="1">
      <alignment horizontal="center" vertical="center"/>
    </xf>
    <xf numFmtId="2" fontId="124" fillId="25" borderId="10" xfId="0" applyNumberFormat="1" applyFont="1" applyFill="1" applyBorder="1" applyAlignment="1">
      <alignment horizontal="center" vertical="center"/>
    </xf>
    <xf numFmtId="1" fontId="124" fillId="21" borderId="10" xfId="0" applyNumberFormat="1" applyFont="1" applyFill="1" applyBorder="1" applyAlignment="1">
      <alignment vertical="center"/>
    </xf>
    <xf numFmtId="1" fontId="124" fillId="21" borderId="10" xfId="0" applyNumberFormat="1" applyFont="1" applyFill="1" applyBorder="1" applyAlignment="1">
      <alignment horizontal="center" vertical="center"/>
    </xf>
    <xf numFmtId="1" fontId="124" fillId="0" borderId="10" xfId="0" applyNumberFormat="1" applyFont="1" applyBorder="1" applyAlignment="1">
      <alignment horizontal="center" vertical="center"/>
    </xf>
    <xf numFmtId="1" fontId="124" fillId="19" borderId="10" xfId="0" applyNumberFormat="1" applyFont="1" applyFill="1" applyBorder="1" applyAlignment="1">
      <alignment vertical="center"/>
    </xf>
    <xf numFmtId="1" fontId="124" fillId="19" borderId="10" xfId="0" applyNumberFormat="1" applyFont="1" applyFill="1" applyBorder="1" applyAlignment="1">
      <alignment horizontal="center" vertical="center"/>
    </xf>
    <xf numFmtId="1" fontId="124" fillId="20" borderId="10" xfId="0" applyNumberFormat="1" applyFont="1" applyFill="1" applyBorder="1" applyAlignment="1">
      <alignment vertical="center"/>
    </xf>
    <xf numFmtId="1" fontId="124" fillId="20" borderId="10" xfId="0" applyNumberFormat="1" applyFont="1" applyFill="1" applyBorder="1" applyAlignment="1">
      <alignment horizontal="center" vertical="center"/>
    </xf>
    <xf numFmtId="169" fontId="124" fillId="0" borderId="10" xfId="0" applyNumberFormat="1" applyFont="1" applyBorder="1" applyAlignment="1">
      <alignment horizontal="center" vertical="center"/>
    </xf>
    <xf numFmtId="0" fontId="242" fillId="0" borderId="0" xfId="0" applyFont="1"/>
    <xf numFmtId="1" fontId="75" fillId="25" borderId="30" xfId="0" applyNumberFormat="1" applyFont="1" applyFill="1" applyBorder="1" applyAlignment="1">
      <alignment horizontal="center" vertical="center"/>
    </xf>
    <xf numFmtId="1" fontId="75" fillId="25" borderId="8" xfId="0" applyNumberFormat="1" applyFont="1" applyFill="1" applyBorder="1" applyAlignment="1">
      <alignment horizontal="center"/>
    </xf>
    <xf numFmtId="1" fontId="111" fillId="18" borderId="17" xfId="0" applyNumberFormat="1" applyFont="1" applyFill="1" applyBorder="1" applyAlignment="1">
      <alignment horizontal="center" vertical="center"/>
    </xf>
    <xf numFmtId="0" fontId="0" fillId="0" borderId="0" xfId="0"/>
    <xf numFmtId="1" fontId="138" fillId="25" borderId="62" xfId="0" applyNumberFormat="1" applyFont="1" applyFill="1" applyBorder="1" applyAlignment="1">
      <alignment horizontal="center" vertical="center"/>
    </xf>
    <xf numFmtId="0" fontId="119" fillId="19" borderId="1" xfId="0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0" fillId="0" borderId="0" xfId="0"/>
    <xf numFmtId="1" fontId="54" fillId="25" borderId="44" xfId="0" applyNumberFormat="1" applyFont="1" applyFill="1" applyBorder="1" applyAlignment="1">
      <alignment horizontal="center" vertical="center"/>
    </xf>
    <xf numFmtId="1" fontId="54" fillId="25" borderId="61" xfId="0" applyNumberFormat="1" applyFont="1" applyFill="1" applyBorder="1" applyAlignment="1">
      <alignment horizontal="center" vertical="center"/>
    </xf>
    <xf numFmtId="1" fontId="54" fillId="25" borderId="52" xfId="0" applyNumberFormat="1" applyFont="1" applyFill="1" applyBorder="1" applyAlignment="1">
      <alignment horizontal="center" vertical="center"/>
    </xf>
    <xf numFmtId="1" fontId="54" fillId="25" borderId="50" xfId="0" applyNumberFormat="1" applyFont="1" applyFill="1" applyBorder="1" applyAlignment="1">
      <alignment horizontal="center" vertical="center"/>
    </xf>
    <xf numFmtId="1" fontId="54" fillId="21" borderId="61" xfId="0" applyNumberFormat="1" applyFont="1" applyFill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0" fontId="112" fillId="0" borderId="55" xfId="0" applyFont="1" applyBorder="1" applyAlignment="1">
      <alignment horizontal="center" vertical="center"/>
    </xf>
    <xf numFmtId="1" fontId="125" fillId="21" borderId="62" xfId="0" applyNumberFormat="1" applyFont="1" applyFill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0" fontId="0" fillId="0" borderId="0" xfId="0"/>
    <xf numFmtId="1" fontId="138" fillId="0" borderId="34" xfId="0" applyNumberFormat="1" applyFont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38" fillId="19" borderId="34" xfId="0" applyNumberFormat="1" applyFont="1" applyFill="1" applyBorder="1" applyAlignment="1">
      <alignment horizontal="center" vertical="center"/>
    </xf>
    <xf numFmtId="1" fontId="134" fillId="21" borderId="25" xfId="0" applyNumberFormat="1" applyFont="1" applyFill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1" fontId="138" fillId="21" borderId="62" xfId="0" applyNumberFormat="1" applyFont="1" applyFill="1" applyBorder="1" applyAlignment="1">
      <alignment horizontal="center" vertical="center"/>
    </xf>
    <xf numFmtId="1" fontId="134" fillId="19" borderId="25" xfId="0" applyNumberFormat="1" applyFont="1" applyFill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21" borderId="1" xfId="0" applyFont="1" applyFill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0" fontId="112" fillId="19" borderId="4" xfId="0" applyFont="1" applyFill="1" applyBorder="1" applyAlignment="1">
      <alignment horizontal="center" vertical="center"/>
    </xf>
    <xf numFmtId="1" fontId="75" fillId="19" borderId="74" xfId="0" applyNumberFormat="1" applyFont="1" applyFill="1" applyBorder="1" applyAlignment="1">
      <alignment horizontal="center" vertical="center"/>
    </xf>
    <xf numFmtId="1" fontId="74" fillId="19" borderId="9" xfId="0" applyNumberFormat="1" applyFont="1" applyFill="1" applyBorder="1" applyAlignment="1">
      <alignment horizontal="center"/>
    </xf>
    <xf numFmtId="0" fontId="75" fillId="0" borderId="36" xfId="0" applyFont="1" applyBorder="1" applyAlignment="1">
      <alignment horizontal="center" vertical="center"/>
    </xf>
    <xf numFmtId="1" fontId="75" fillId="25" borderId="38" xfId="0" applyNumberFormat="1" applyFont="1" applyFill="1" applyBorder="1" applyAlignment="1">
      <alignment horizontal="center" vertical="center"/>
    </xf>
    <xf numFmtId="1" fontId="75" fillId="25" borderId="8" xfId="0" applyNumberFormat="1" applyFont="1" applyFill="1" applyBorder="1" applyAlignment="1">
      <alignment horizontal="center" vertical="center"/>
    </xf>
    <xf numFmtId="1" fontId="75" fillId="19" borderId="34" xfId="0" applyNumberFormat="1" applyFont="1" applyFill="1" applyBorder="1" applyAlignment="1">
      <alignment horizontal="center" vertical="center"/>
    </xf>
    <xf numFmtId="1" fontId="75" fillId="19" borderId="31" xfId="0" applyNumberFormat="1" applyFont="1" applyFill="1" applyBorder="1" applyAlignment="1">
      <alignment horizontal="center" vertical="center"/>
    </xf>
    <xf numFmtId="1" fontId="75" fillId="19" borderId="46" xfId="0" applyNumberFormat="1" applyFont="1" applyFill="1" applyBorder="1" applyAlignment="1">
      <alignment horizontal="center" vertical="center"/>
    </xf>
    <xf numFmtId="1" fontId="74" fillId="0" borderId="9" xfId="0" applyNumberFormat="1" applyFont="1" applyBorder="1" applyAlignment="1">
      <alignment horizontal="center" vertical="center"/>
    </xf>
    <xf numFmtId="1" fontId="74" fillId="19" borderId="74" xfId="0" applyNumberFormat="1" applyFont="1" applyFill="1" applyBorder="1" applyAlignment="1">
      <alignment horizontal="center" vertical="center"/>
    </xf>
    <xf numFmtId="1" fontId="74" fillId="19" borderId="9" xfId="0" applyNumberFormat="1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1" fontId="75" fillId="21" borderId="62" xfId="0" applyNumberFormat="1" applyFont="1" applyFill="1" applyBorder="1" applyAlignment="1">
      <alignment horizontal="center" vertical="center"/>
    </xf>
    <xf numFmtId="1" fontId="75" fillId="21" borderId="74" xfId="0" applyNumberFormat="1" applyFont="1" applyFill="1" applyBorder="1" applyAlignment="1">
      <alignment horizontal="center" vertical="center"/>
    </xf>
    <xf numFmtId="1" fontId="74" fillId="21" borderId="9" xfId="0" applyNumberFormat="1" applyFont="1" applyFill="1" applyBorder="1" applyAlignment="1">
      <alignment horizontal="center"/>
    </xf>
    <xf numFmtId="1" fontId="75" fillId="21" borderId="31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1" borderId="46" xfId="0" applyNumberFormat="1" applyFont="1" applyFill="1" applyBorder="1" applyAlignment="1">
      <alignment horizontal="center" vertical="center"/>
    </xf>
    <xf numFmtId="1" fontId="74" fillId="21" borderId="9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74" fillId="25" borderId="62" xfId="0" applyNumberFormat="1" applyFont="1" applyFill="1" applyBorder="1" applyAlignment="1">
      <alignment horizontal="center" vertical="center"/>
    </xf>
    <xf numFmtId="1" fontId="74" fillId="25" borderId="74" xfId="0" applyNumberFormat="1" applyFont="1" applyFill="1" applyBorder="1" applyAlignment="1">
      <alignment horizontal="center" vertical="center"/>
    </xf>
    <xf numFmtId="1" fontId="74" fillId="25" borderId="9" xfId="0" applyNumberFormat="1" applyFont="1" applyFill="1" applyBorder="1" applyAlignment="1">
      <alignment horizontal="center" vertical="center"/>
    </xf>
    <xf numFmtId="0" fontId="138" fillId="0" borderId="10" xfId="0" applyFont="1" applyBorder="1" applyAlignment="1">
      <alignment horizontal="center" vertical="center"/>
    </xf>
    <xf numFmtId="1" fontId="125" fillId="0" borderId="62" xfId="0" applyNumberFormat="1" applyFont="1" applyBorder="1" applyAlignment="1">
      <alignment horizontal="center" vertical="center"/>
    </xf>
    <xf numFmtId="1" fontId="125" fillId="21" borderId="9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1" fontId="138" fillId="19" borderId="29" xfId="0" applyNumberFormat="1" applyFont="1" applyFill="1" applyBorder="1" applyAlignment="1">
      <alignment horizontal="center" vertical="center"/>
    </xf>
    <xf numFmtId="0" fontId="138" fillId="21" borderId="62" xfId="0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138" fillId="19" borderId="34" xfId="0" applyFont="1" applyFill="1" applyBorder="1" applyAlignment="1">
      <alignment horizontal="center" vertical="center"/>
    </xf>
    <xf numFmtId="2" fontId="111" fillId="0" borderId="53" xfId="0" applyNumberFormat="1" applyFont="1" applyBorder="1" applyAlignment="1">
      <alignment horizontal="center" vertical="center"/>
    </xf>
    <xf numFmtId="2" fontId="111" fillId="0" borderId="48" xfId="0" applyNumberFormat="1" applyFont="1" applyBorder="1" applyAlignment="1">
      <alignment horizontal="center" vertical="center"/>
    </xf>
    <xf numFmtId="0" fontId="0" fillId="0" borderId="0" xfId="0"/>
    <xf numFmtId="1" fontId="134" fillId="25" borderId="32" xfId="0" applyNumberFormat="1" applyFont="1" applyFill="1" applyBorder="1" applyAlignment="1">
      <alignment horizontal="center" vertical="center"/>
    </xf>
    <xf numFmtId="1" fontId="138" fillId="25" borderId="74" xfId="0" applyNumberFormat="1" applyFont="1" applyFill="1" applyBorder="1" applyAlignment="1">
      <alignment horizontal="center" vertical="center"/>
    </xf>
    <xf numFmtId="1" fontId="138" fillId="19" borderId="62" xfId="0" applyNumberFormat="1" applyFont="1" applyFill="1" applyBorder="1" applyAlignment="1">
      <alignment horizontal="center" vertical="center"/>
    </xf>
    <xf numFmtId="1" fontId="138" fillId="19" borderId="74" xfId="0" applyNumberFormat="1" applyFont="1" applyFill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1" fontId="134" fillId="25" borderId="59" xfId="0" applyNumberFormat="1" applyFont="1" applyFill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1" fontId="75" fillId="25" borderId="29" xfId="0" applyNumberFormat="1" applyFont="1" applyFill="1" applyBorder="1" applyAlignment="1">
      <alignment horizontal="center" vertical="center"/>
    </xf>
    <xf numFmtId="1" fontId="75" fillId="19" borderId="45" xfId="0" applyNumberFormat="1" applyFont="1" applyFill="1" applyBorder="1" applyAlignment="1">
      <alignment horizontal="center" vertical="center"/>
    </xf>
    <xf numFmtId="1" fontId="75" fillId="19" borderId="30" xfId="0" applyNumberFormat="1" applyFont="1" applyFill="1" applyBorder="1" applyAlignment="1">
      <alignment horizontal="center" vertical="center"/>
    </xf>
    <xf numFmtId="1" fontId="75" fillId="19" borderId="31" xfId="0" applyNumberFormat="1" applyFont="1" applyFill="1" applyBorder="1" applyAlignment="1">
      <alignment horizontal="center" vertical="center"/>
    </xf>
    <xf numFmtId="0" fontId="75" fillId="0" borderId="62" xfId="0" applyFont="1" applyBorder="1" applyAlignment="1">
      <alignment horizontal="center" vertical="center"/>
    </xf>
    <xf numFmtId="0" fontId="114" fillId="19" borderId="1" xfId="0" applyFont="1" applyFill="1" applyBorder="1" applyAlignment="1">
      <alignment horizontal="center" vertical="center"/>
    </xf>
    <xf numFmtId="0" fontId="119" fillId="0" borderId="10" xfId="0" applyFont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25" fillId="19" borderId="9" xfId="0" applyNumberFormat="1" applyFont="1" applyFill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0" fontId="0" fillId="0" borderId="0" xfId="0"/>
    <xf numFmtId="1" fontId="138" fillId="25" borderId="62" xfId="0" applyNumberFormat="1" applyFont="1" applyFill="1" applyBorder="1" applyAlignment="1">
      <alignment horizontal="center" vertical="center"/>
    </xf>
    <xf numFmtId="1" fontId="138" fillId="25" borderId="74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0" fontId="119" fillId="19" borderId="1" xfId="0" applyFont="1" applyFill="1" applyBorder="1" applyAlignment="1">
      <alignment horizontal="center" vertical="center"/>
    </xf>
    <xf numFmtId="1" fontId="138" fillId="19" borderId="34" xfId="0" applyNumberFormat="1" applyFont="1" applyFill="1" applyBorder="1" applyAlignment="1">
      <alignment horizontal="center" vertical="center"/>
    </xf>
    <xf numFmtId="1" fontId="138" fillId="19" borderId="62" xfId="0" applyNumberFormat="1" applyFont="1" applyFill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0" fontId="119" fillId="0" borderId="4" xfId="0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21" borderId="1" xfId="0" applyFont="1" applyFill="1" applyBorder="1" applyAlignment="1">
      <alignment horizontal="center" vertical="center"/>
    </xf>
    <xf numFmtId="1" fontId="134" fillId="0" borderId="36" xfId="0" applyNumberFormat="1" applyFont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1" fontId="74" fillId="19" borderId="34" xfId="0" applyNumberFormat="1" applyFont="1" applyFill="1" applyBorder="1" applyAlignment="1">
      <alignment horizontal="center" vertical="center"/>
    </xf>
    <xf numFmtId="1" fontId="74" fillId="21" borderId="34" xfId="0" applyNumberFormat="1" applyFont="1" applyFill="1" applyBorder="1" applyAlignment="1">
      <alignment horizontal="center" vertical="center"/>
    </xf>
    <xf numFmtId="0" fontId="119" fillId="0" borderId="10" xfId="0" applyFont="1" applyBorder="1" applyAlignment="1">
      <alignment horizontal="center" vertical="center"/>
    </xf>
    <xf numFmtId="1" fontId="125" fillId="21" borderId="62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25" fillId="19" borderId="62" xfId="0" applyNumberFormat="1" applyFont="1" applyFill="1" applyBorder="1" applyAlignment="1">
      <alignment horizontal="center" vertical="center"/>
    </xf>
    <xf numFmtId="1" fontId="125" fillId="19" borderId="9" xfId="0" applyNumberFormat="1" applyFont="1" applyFill="1" applyBorder="1" applyAlignment="1">
      <alignment horizontal="center" vertical="center"/>
    </xf>
    <xf numFmtId="0" fontId="138" fillId="21" borderId="62" xfId="0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1" fontId="138" fillId="25" borderId="36" xfId="0" quotePrefix="1" applyNumberFormat="1" applyFont="1" applyFill="1" applyBorder="1" applyAlignment="1">
      <alignment horizontal="center" vertical="center"/>
    </xf>
    <xf numFmtId="1" fontId="138" fillId="25" borderId="111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138" fillId="19" borderId="34" xfId="0" applyFont="1" applyFill="1" applyBorder="1" applyAlignment="1">
      <alignment horizontal="center" vertical="center"/>
    </xf>
    <xf numFmtId="0" fontId="138" fillId="25" borderId="8" xfId="0" applyFont="1" applyFill="1" applyBorder="1" applyAlignment="1">
      <alignment horizontal="center" vertical="center"/>
    </xf>
    <xf numFmtId="0" fontId="119" fillId="25" borderId="1" xfId="0" applyFont="1" applyFill="1" applyBorder="1" applyAlignment="1">
      <alignment horizontal="center" vertical="center"/>
    </xf>
    <xf numFmtId="1" fontId="125" fillId="25" borderId="10" xfId="0" applyNumberFormat="1" applyFont="1" applyFill="1" applyBorder="1" applyAlignment="1">
      <alignment horizontal="center" vertical="center"/>
    </xf>
    <xf numFmtId="0" fontId="119" fillId="25" borderId="4" xfId="0" applyFont="1" applyFill="1" applyBorder="1" applyAlignment="1">
      <alignment horizontal="center" vertical="center"/>
    </xf>
    <xf numFmtId="169" fontId="125" fillId="19" borderId="10" xfId="0" applyNumberFormat="1" applyFont="1" applyFill="1" applyBorder="1" applyAlignment="1">
      <alignment horizontal="center" vertical="center"/>
    </xf>
    <xf numFmtId="169" fontId="125" fillId="21" borderId="10" xfId="0" applyNumberFormat="1" applyFont="1" applyFill="1" applyBorder="1" applyAlignment="1">
      <alignment horizontal="center" vertical="center"/>
    </xf>
    <xf numFmtId="0" fontId="0" fillId="0" borderId="0" xfId="0"/>
    <xf numFmtId="0" fontId="119" fillId="19" borderId="1" xfId="0" applyFont="1" applyFill="1" applyBorder="1" applyAlignment="1">
      <alignment horizontal="center" vertical="center"/>
    </xf>
    <xf numFmtId="1" fontId="112" fillId="19" borderId="31" xfId="0" applyNumberFormat="1" applyFont="1" applyFill="1" applyBorder="1" applyAlignment="1">
      <alignment horizontal="center" vertical="center"/>
    </xf>
    <xf numFmtId="1" fontId="54" fillId="25" borderId="61" xfId="0" applyNumberFormat="1" applyFont="1" applyFill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1" fontId="112" fillId="21" borderId="31" xfId="0" applyNumberFormat="1" applyFont="1" applyFill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19" borderId="29" xfId="0" applyNumberFormat="1" applyFont="1" applyFill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1" fontId="54" fillId="21" borderId="32" xfId="0" applyNumberFormat="1" applyFont="1" applyFill="1" applyBorder="1" applyAlignment="1">
      <alignment horizontal="center" vertical="center"/>
    </xf>
    <xf numFmtId="1" fontId="74" fillId="0" borderId="38" xfId="0" applyNumberFormat="1" applyFont="1" applyFill="1" applyBorder="1" applyAlignment="1">
      <alignment horizontal="center" vertical="center"/>
    </xf>
    <xf numFmtId="169" fontId="0" fillId="0" borderId="0" xfId="0" applyNumberFormat="1"/>
    <xf numFmtId="169" fontId="74" fillId="19" borderId="32" xfId="0" applyNumberFormat="1" applyFont="1" applyFill="1" applyBorder="1" applyAlignment="1">
      <alignment horizontal="center" vertical="center"/>
    </xf>
    <xf numFmtId="1" fontId="119" fillId="21" borderId="28" xfId="0" applyNumberFormat="1" applyFont="1" applyFill="1" applyBorder="1" applyAlignment="1">
      <alignment horizontal="center" vertical="center"/>
    </xf>
    <xf numFmtId="1" fontId="119" fillId="21" borderId="4" xfId="0" applyNumberFormat="1" applyFont="1" applyFill="1" applyBorder="1" applyAlignment="1">
      <alignment horizontal="center" vertical="center"/>
    </xf>
    <xf numFmtId="0" fontId="109" fillId="25" borderId="2" xfId="0" applyFont="1" applyFill="1" applyBorder="1" applyAlignment="1">
      <alignment vertical="center"/>
    </xf>
    <xf numFmtId="169" fontId="109" fillId="25" borderId="21" xfId="0" applyNumberFormat="1" applyFont="1" applyFill="1" applyBorder="1" applyAlignment="1">
      <alignment horizontal="center" vertical="center"/>
    </xf>
    <xf numFmtId="0" fontId="0" fillId="0" borderId="0" xfId="0"/>
    <xf numFmtId="1" fontId="112" fillId="19" borderId="31" xfId="0" applyNumberFormat="1" applyFont="1" applyFill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1" fontId="138" fillId="21" borderId="74" xfId="0" applyNumberFormat="1" applyFont="1" applyFill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1" fontId="138" fillId="20" borderId="34" xfId="0" applyNumberFormat="1" applyFont="1" applyFill="1" applyBorder="1" applyAlignment="1">
      <alignment horizontal="center" vertical="center"/>
    </xf>
    <xf numFmtId="1" fontId="138" fillId="19" borderId="34" xfId="0" applyNumberFormat="1" applyFont="1" applyFill="1" applyBorder="1" applyAlignment="1">
      <alignment horizontal="center" vertical="center"/>
    </xf>
    <xf numFmtId="1" fontId="138" fillId="19" borderId="74" xfId="0" applyNumberFormat="1" applyFont="1" applyFill="1" applyBorder="1" applyAlignment="1">
      <alignment horizontal="center" vertical="center"/>
    </xf>
    <xf numFmtId="1" fontId="138" fillId="20" borderId="74" xfId="0" applyNumberFormat="1" applyFont="1" applyFill="1" applyBorder="1" applyAlignment="1">
      <alignment horizontal="center" vertical="center"/>
    </xf>
    <xf numFmtId="1" fontId="134" fillId="19" borderId="62" xfId="0" applyNumberFormat="1" applyFont="1" applyFill="1" applyBorder="1" applyAlignment="1">
      <alignment horizontal="center" vertical="center"/>
    </xf>
    <xf numFmtId="1" fontId="134" fillId="21" borderId="62" xfId="0" applyNumberFormat="1" applyFont="1" applyFill="1" applyBorder="1" applyAlignment="1">
      <alignment horizontal="center" vertical="center"/>
    </xf>
    <xf numFmtId="1" fontId="134" fillId="0" borderId="36" xfId="0" applyNumberFormat="1" applyFont="1" applyBorder="1" applyAlignment="1">
      <alignment horizontal="center" vertical="center"/>
    </xf>
    <xf numFmtId="1" fontId="134" fillId="20" borderId="62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0" fillId="0" borderId="0" xfId="0"/>
    <xf numFmtId="1" fontId="138" fillId="21" borderId="29" xfId="0" applyNumberFormat="1" applyFont="1" applyFill="1" applyBorder="1" applyAlignment="1">
      <alignment horizontal="center" vertical="center"/>
    </xf>
    <xf numFmtId="1" fontId="111" fillId="21" borderId="48" xfId="0" applyNumberFormat="1" applyFont="1" applyFill="1" applyBorder="1" applyAlignment="1">
      <alignment horizontal="center" vertical="center"/>
    </xf>
    <xf numFmtId="1" fontId="138" fillId="25" borderId="45" xfId="0" applyNumberFormat="1" applyFont="1" applyFill="1" applyBorder="1" applyAlignment="1">
      <alignment horizontal="center" vertical="center"/>
    </xf>
    <xf numFmtId="1" fontId="111" fillId="21" borderId="64" xfId="0" applyNumberFormat="1" applyFont="1" applyFill="1" applyBorder="1" applyAlignment="1">
      <alignment horizontal="center" vertical="center"/>
    </xf>
    <xf numFmtId="1" fontId="111" fillId="19" borderId="71" xfId="0" applyNumberFormat="1" applyFont="1" applyFill="1" applyBorder="1" applyAlignment="1">
      <alignment horizontal="center" vertical="center"/>
    </xf>
    <xf numFmtId="1" fontId="111" fillId="21" borderId="71" xfId="0" applyNumberFormat="1" applyFont="1" applyFill="1" applyBorder="1" applyAlignment="1">
      <alignment horizontal="center" vertical="center"/>
    </xf>
    <xf numFmtId="1" fontId="111" fillId="0" borderId="64" xfId="0" applyNumberFormat="1" applyFont="1" applyBorder="1" applyAlignment="1">
      <alignment horizontal="center" vertical="center"/>
    </xf>
    <xf numFmtId="1" fontId="111" fillId="0" borderId="46" xfId="0" applyNumberFormat="1" applyFont="1" applyBorder="1" applyAlignment="1">
      <alignment horizontal="center" vertical="center"/>
    </xf>
    <xf numFmtId="1" fontId="111" fillId="21" borderId="30" xfId="0" applyNumberFormat="1" applyFont="1" applyFill="1" applyBorder="1" applyAlignment="1">
      <alignment horizontal="center" vertical="center"/>
    </xf>
    <xf numFmtId="1" fontId="109" fillId="21" borderId="56" xfId="0" applyNumberFormat="1" applyFont="1" applyFill="1" applyBorder="1" applyAlignment="1">
      <alignment horizontal="center" vertical="center"/>
    </xf>
    <xf numFmtId="1" fontId="109" fillId="19" borderId="56" xfId="0" applyNumberFormat="1" applyFont="1" applyFill="1" applyBorder="1" applyAlignment="1">
      <alignment horizontal="center" vertical="center"/>
    </xf>
    <xf numFmtId="1" fontId="111" fillId="25" borderId="64" xfId="0" applyNumberFormat="1" applyFont="1" applyFill="1" applyBorder="1" applyAlignment="1">
      <alignment horizontal="center" vertical="center"/>
    </xf>
    <xf numFmtId="0" fontId="7" fillId="25" borderId="7" xfId="0" applyFont="1" applyFill="1" applyBorder="1" applyAlignment="1">
      <alignment horizontal="center"/>
    </xf>
    <xf numFmtId="0" fontId="166" fillId="25" borderId="7" xfId="0" applyFont="1" applyFill="1" applyBorder="1" applyAlignment="1">
      <alignment vertical="center"/>
    </xf>
    <xf numFmtId="0" fontId="8" fillId="25" borderId="7" xfId="0" applyFont="1" applyFill="1" applyBorder="1" applyAlignment="1">
      <alignment vertical="center"/>
    </xf>
    <xf numFmtId="0" fontId="68" fillId="0" borderId="5" xfId="0" applyFont="1" applyBorder="1" applyAlignment="1">
      <alignment horizontal="center"/>
    </xf>
    <xf numFmtId="1" fontId="109" fillId="0" borderId="1" xfId="0" applyNumberFormat="1" applyFont="1" applyBorder="1" applyAlignment="1">
      <alignment horizontal="center" vertical="center"/>
    </xf>
    <xf numFmtId="0" fontId="68" fillId="0" borderId="109" xfId="0" applyFont="1" applyBorder="1" applyAlignment="1">
      <alignment horizontal="center"/>
    </xf>
    <xf numFmtId="0" fontId="6" fillId="25" borderId="8" xfId="0" applyFont="1" applyFill="1" applyBorder="1" applyAlignment="1">
      <alignment horizontal="center" vertical="center"/>
    </xf>
    <xf numFmtId="1" fontId="111" fillId="0" borderId="24" xfId="0" applyNumberFormat="1" applyFont="1" applyBorder="1" applyAlignment="1">
      <alignment horizontal="center" vertical="center"/>
    </xf>
    <xf numFmtId="169" fontId="112" fillId="0" borderId="36" xfId="0" applyNumberFormat="1" applyFont="1" applyBorder="1" applyAlignment="1">
      <alignment horizontal="center" vertical="center"/>
    </xf>
    <xf numFmtId="169" fontId="112" fillId="0" borderId="58" xfId="0" applyNumberFormat="1" applyFont="1" applyBorder="1" applyAlignment="1">
      <alignment horizontal="center" vertical="center"/>
    </xf>
    <xf numFmtId="169" fontId="112" fillId="21" borderId="58" xfId="0" applyNumberFormat="1" applyFont="1" applyFill="1" applyBorder="1" applyAlignment="1">
      <alignment horizontal="center" vertical="center"/>
    </xf>
    <xf numFmtId="169" fontId="112" fillId="0" borderId="75" xfId="0" applyNumberFormat="1" applyFont="1" applyBorder="1" applyAlignment="1">
      <alignment horizontal="center" vertical="center"/>
    </xf>
    <xf numFmtId="169" fontId="112" fillId="19" borderId="58" xfId="0" applyNumberFormat="1" applyFont="1" applyFill="1" applyBorder="1" applyAlignment="1">
      <alignment horizontal="center" vertical="center"/>
    </xf>
    <xf numFmtId="169" fontId="112" fillId="20" borderId="58" xfId="0" applyNumberFormat="1" applyFont="1" applyFill="1" applyBorder="1" applyAlignment="1">
      <alignment horizontal="center" vertical="center"/>
    </xf>
    <xf numFmtId="0" fontId="118" fillId="0" borderId="52" xfId="0" applyFont="1" applyBorder="1" applyAlignment="1">
      <alignment horizontal="right" vertical="center"/>
    </xf>
    <xf numFmtId="0" fontId="118" fillId="0" borderId="1" xfId="0" applyFont="1" applyBorder="1" applyAlignment="1">
      <alignment horizontal="right" vertical="center"/>
    </xf>
    <xf numFmtId="0" fontId="54" fillId="0" borderId="5" xfId="0" applyFont="1" applyBorder="1" applyAlignment="1">
      <alignment horizontal="center" vertical="center"/>
    </xf>
    <xf numFmtId="1" fontId="6" fillId="21" borderId="67" xfId="0" applyNumberFormat="1" applyFont="1" applyFill="1" applyBorder="1" applyAlignment="1">
      <alignment horizontal="center" vertical="center"/>
    </xf>
    <xf numFmtId="1" fontId="6" fillId="20" borderId="67" xfId="0" applyNumberFormat="1" applyFont="1" applyFill="1" applyBorder="1" applyAlignment="1">
      <alignment horizontal="center" vertical="center"/>
    </xf>
    <xf numFmtId="169" fontId="74" fillId="19" borderId="92" xfId="0" applyNumberFormat="1" applyFont="1" applyFill="1" applyBorder="1" applyAlignment="1">
      <alignment horizontal="center" vertical="center"/>
    </xf>
    <xf numFmtId="169" fontId="74" fillId="19" borderId="5" xfId="0" applyNumberFormat="1" applyFont="1" applyFill="1" applyBorder="1" applyAlignment="1">
      <alignment horizontal="center" vertical="center"/>
    </xf>
    <xf numFmtId="169" fontId="74" fillId="21" borderId="92" xfId="0" applyNumberFormat="1" applyFont="1" applyFill="1" applyBorder="1" applyAlignment="1">
      <alignment horizontal="center" vertical="center"/>
    </xf>
    <xf numFmtId="169" fontId="74" fillId="21" borderId="5" xfId="0" applyNumberFormat="1" applyFont="1" applyFill="1" applyBorder="1" applyAlignment="1">
      <alignment horizontal="center" vertical="center"/>
    </xf>
    <xf numFmtId="0" fontId="0" fillId="0" borderId="0" xfId="0"/>
    <xf numFmtId="2" fontId="138" fillId="19" borderId="74" xfId="0" applyNumberFormat="1" applyFont="1" applyFill="1" applyBorder="1" applyAlignment="1">
      <alignment horizontal="center" vertical="center"/>
    </xf>
    <xf numFmtId="2" fontId="111" fillId="19" borderId="74" xfId="0" applyNumberFormat="1" applyFont="1" applyFill="1" applyBorder="1" applyAlignment="1">
      <alignment horizontal="center" vertical="center"/>
    </xf>
    <xf numFmtId="1" fontId="125" fillId="0" borderId="45" xfId="0" applyNumberFormat="1" applyFont="1" applyBorder="1" applyAlignment="1">
      <alignment vertical="center"/>
    </xf>
    <xf numFmtId="1" fontId="111" fillId="25" borderId="0" xfId="0" applyNumberFormat="1" applyFont="1" applyFill="1" applyBorder="1" applyAlignment="1">
      <alignment horizontal="center" vertical="center"/>
    </xf>
    <xf numFmtId="1" fontId="138" fillId="0" borderId="45" xfId="0" applyNumberFormat="1" applyFont="1" applyBorder="1" applyAlignment="1">
      <alignment vertical="center"/>
    </xf>
    <xf numFmtId="1" fontId="125" fillId="21" borderId="45" xfId="0" applyNumberFormat="1" applyFont="1" applyFill="1" applyBorder="1" applyAlignment="1">
      <alignment vertical="center"/>
    </xf>
    <xf numFmtId="1" fontId="125" fillId="19" borderId="45" xfId="0" applyNumberFormat="1" applyFont="1" applyFill="1" applyBorder="1" applyAlignment="1">
      <alignment vertical="center"/>
    </xf>
    <xf numFmtId="1" fontId="138" fillId="21" borderId="45" xfId="0" applyNumberFormat="1" applyFont="1" applyFill="1" applyBorder="1" applyAlignment="1">
      <alignment vertical="center"/>
    </xf>
    <xf numFmtId="1" fontId="125" fillId="20" borderId="45" xfId="0" applyNumberFormat="1" applyFont="1" applyFill="1" applyBorder="1" applyAlignment="1">
      <alignment vertical="center"/>
    </xf>
    <xf numFmtId="1" fontId="111" fillId="21" borderId="66" xfId="0" applyNumberFormat="1" applyFont="1" applyFill="1" applyBorder="1" applyAlignment="1">
      <alignment horizontal="center" vertical="center"/>
    </xf>
    <xf numFmtId="1" fontId="125" fillId="25" borderId="111" xfId="0" applyNumberFormat="1" applyFont="1" applyFill="1" applyBorder="1" applyAlignment="1">
      <alignment horizontal="center" vertical="center"/>
    </xf>
    <xf numFmtId="1" fontId="109" fillId="0" borderId="14" xfId="0" applyNumberFormat="1" applyFont="1" applyBorder="1" applyAlignment="1">
      <alignment horizontal="center" vertical="center"/>
    </xf>
    <xf numFmtId="1" fontId="111" fillId="20" borderId="66" xfId="0" applyNumberFormat="1" applyFont="1" applyFill="1" applyBorder="1" applyAlignment="1">
      <alignment horizontal="center" vertical="center"/>
    </xf>
    <xf numFmtId="1" fontId="111" fillId="20" borderId="48" xfId="0" applyNumberFormat="1" applyFont="1" applyFill="1" applyBorder="1" applyAlignment="1">
      <alignment horizontal="center" vertical="center"/>
    </xf>
    <xf numFmtId="1" fontId="111" fillId="20" borderId="64" xfId="0" applyNumberFormat="1" applyFont="1" applyFill="1" applyBorder="1" applyAlignment="1">
      <alignment horizontal="center" vertical="center"/>
    </xf>
    <xf numFmtId="1" fontId="110" fillId="0" borderId="17" xfId="0" applyNumberFormat="1" applyFont="1" applyBorder="1" applyAlignment="1">
      <alignment horizontal="center" vertical="center"/>
    </xf>
    <xf numFmtId="1" fontId="125" fillId="25" borderId="39" xfId="0" applyNumberFormat="1" applyFont="1" applyFill="1" applyBorder="1" applyAlignment="1">
      <alignment vertical="center"/>
    </xf>
    <xf numFmtId="0" fontId="0" fillId="0" borderId="0" xfId="0"/>
    <xf numFmtId="1" fontId="75" fillId="25" borderId="8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1" borderId="46" xfId="0" applyNumberFormat="1" applyFont="1" applyFill="1" applyBorder="1" applyAlignment="1">
      <alignment horizontal="center" vertical="center"/>
    </xf>
    <xf numFmtId="1" fontId="75" fillId="19" borderId="46" xfId="0" applyNumberFormat="1" applyFont="1" applyFill="1" applyBorder="1" applyAlignment="1">
      <alignment horizontal="center" vertical="center"/>
    </xf>
    <xf numFmtId="1" fontId="75" fillId="25" borderId="74" xfId="0" applyNumberFormat="1" applyFont="1" applyFill="1" applyBorder="1" applyAlignment="1">
      <alignment horizontal="center" vertical="center"/>
    </xf>
    <xf numFmtId="1" fontId="75" fillId="19" borderId="34" xfId="0" applyNumberFormat="1" applyFont="1" applyFill="1" applyBorder="1" applyAlignment="1">
      <alignment horizontal="center" vertical="center"/>
    </xf>
    <xf numFmtId="1" fontId="75" fillId="20" borderId="46" xfId="0" applyNumberFormat="1" applyFont="1" applyFill="1" applyBorder="1" applyAlignment="1">
      <alignment horizontal="center" vertical="center"/>
    </xf>
    <xf numFmtId="1" fontId="75" fillId="20" borderId="34" xfId="0" applyNumberFormat="1" applyFont="1" applyFill="1" applyBorder="1" applyAlignment="1">
      <alignment horizontal="center" vertical="center"/>
    </xf>
    <xf numFmtId="0" fontId="166" fillId="19" borderId="10" xfId="0" applyFont="1" applyFill="1" applyBorder="1" applyAlignment="1">
      <alignment horizontal="center" vertical="center"/>
    </xf>
    <xf numFmtId="0" fontId="254" fillId="0" borderId="63" xfId="0" applyFont="1" applyBorder="1" applyAlignment="1">
      <alignment horizontal="left" vertical="center"/>
    </xf>
    <xf numFmtId="1" fontId="138" fillId="21" borderId="62" xfId="0" applyNumberFormat="1" applyFont="1" applyFill="1" applyBorder="1" applyAlignment="1">
      <alignment horizontal="center" vertical="center"/>
    </xf>
    <xf numFmtId="1" fontId="138" fillId="21" borderId="74" xfId="0" applyNumberFormat="1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112" fillId="0" borderId="4" xfId="0" applyFont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0" fontId="112" fillId="19" borderId="4" xfId="0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1" borderId="31" xfId="0" applyNumberFormat="1" applyFont="1" applyFill="1" applyBorder="1" applyAlignment="1">
      <alignment horizontal="center" vertical="center"/>
    </xf>
    <xf numFmtId="1" fontId="75" fillId="25" borderId="29" xfId="0" applyNumberFormat="1" applyFont="1" applyFill="1" applyBorder="1" applyAlignment="1">
      <alignment horizontal="center" vertical="center"/>
    </xf>
    <xf numFmtId="1" fontId="75" fillId="19" borderId="30" xfId="0" applyNumberFormat="1" applyFont="1" applyFill="1" applyBorder="1" applyAlignment="1">
      <alignment horizontal="center" vertical="center"/>
    </xf>
    <xf numFmtId="1" fontId="75" fillId="21" borderId="45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2" fillId="20" borderId="4" xfId="0" applyFont="1" applyFill="1" applyBorder="1" applyAlignment="1">
      <alignment horizontal="center" vertical="center"/>
    </xf>
    <xf numFmtId="0" fontId="0" fillId="0" borderId="10" xfId="0" applyBorder="1" applyAlignment="1">
      <alignment horizontal="right"/>
    </xf>
    <xf numFmtId="1" fontId="154" fillId="0" borderId="10" xfId="0" applyNumberFormat="1" applyFont="1" applyBorder="1" applyAlignment="1">
      <alignment horizontal="center"/>
    </xf>
    <xf numFmtId="1" fontId="154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right"/>
    </xf>
    <xf numFmtId="1" fontId="149" fillId="0" borderId="10" xfId="0" applyNumberFormat="1" applyFont="1" applyBorder="1" applyAlignment="1">
      <alignment horizontal="center"/>
    </xf>
    <xf numFmtId="1" fontId="170" fillId="0" borderId="10" xfId="0" applyNumberFormat="1" applyFont="1" applyBorder="1" applyAlignment="1">
      <alignment horizontal="center" vertical="center"/>
    </xf>
    <xf numFmtId="1" fontId="239" fillId="0" borderId="10" xfId="0" applyNumberFormat="1" applyFont="1" applyBorder="1" applyAlignment="1">
      <alignment horizontal="center" vertical="center"/>
    </xf>
    <xf numFmtId="0" fontId="165" fillId="0" borderId="10" xfId="0" applyFont="1" applyFill="1" applyBorder="1" applyAlignment="1">
      <alignment horizontal="right"/>
    </xf>
    <xf numFmtId="1" fontId="255" fillId="0" borderId="10" xfId="0" applyNumberFormat="1" applyFont="1" applyBorder="1" applyAlignment="1">
      <alignment horizontal="center" vertical="center"/>
    </xf>
    <xf numFmtId="1" fontId="154" fillId="21" borderId="10" xfId="0" applyNumberFormat="1" applyFont="1" applyFill="1" applyBorder="1" applyAlignment="1">
      <alignment horizontal="center" vertical="center"/>
    </xf>
    <xf numFmtId="1" fontId="170" fillId="21" borderId="10" xfId="0" applyNumberFormat="1" applyFont="1" applyFill="1" applyBorder="1" applyAlignment="1">
      <alignment horizontal="center" vertical="center"/>
    </xf>
    <xf numFmtId="1" fontId="239" fillId="21" borderId="10" xfId="0" applyNumberFormat="1" applyFont="1" applyFill="1" applyBorder="1" applyAlignment="1">
      <alignment horizontal="center" vertical="center"/>
    </xf>
    <xf numFmtId="1" fontId="154" fillId="21" borderId="10" xfId="0" applyNumberFormat="1" applyFont="1" applyFill="1" applyBorder="1" applyAlignment="1">
      <alignment horizontal="center"/>
    </xf>
    <xf numFmtId="1" fontId="149" fillId="21" borderId="10" xfId="0" applyNumberFormat="1" applyFont="1" applyFill="1" applyBorder="1" applyAlignment="1">
      <alignment horizontal="center"/>
    </xf>
    <xf numFmtId="1" fontId="255" fillId="21" borderId="10" xfId="0" applyNumberFormat="1" applyFont="1" applyFill="1" applyBorder="1" applyAlignment="1">
      <alignment horizontal="center" vertical="center"/>
    </xf>
    <xf numFmtId="1" fontId="154" fillId="19" borderId="10" xfId="0" applyNumberFormat="1" applyFont="1" applyFill="1" applyBorder="1" applyAlignment="1">
      <alignment horizontal="center" vertical="center"/>
    </xf>
    <xf numFmtId="1" fontId="170" fillId="19" borderId="10" xfId="0" applyNumberFormat="1" applyFont="1" applyFill="1" applyBorder="1" applyAlignment="1">
      <alignment horizontal="center" vertical="center"/>
    </xf>
    <xf numFmtId="1" fontId="239" fillId="19" borderId="10" xfId="0" applyNumberFormat="1" applyFont="1" applyFill="1" applyBorder="1" applyAlignment="1">
      <alignment horizontal="center" vertical="center"/>
    </xf>
    <xf numFmtId="1" fontId="154" fillId="19" borderId="10" xfId="0" applyNumberFormat="1" applyFont="1" applyFill="1" applyBorder="1" applyAlignment="1">
      <alignment horizontal="center"/>
    </xf>
    <xf numFmtId="1" fontId="149" fillId="19" borderId="10" xfId="0" applyNumberFormat="1" applyFont="1" applyFill="1" applyBorder="1" applyAlignment="1">
      <alignment horizontal="center"/>
    </xf>
    <xf numFmtId="1" fontId="255" fillId="19" borderId="10" xfId="0" applyNumberFormat="1" applyFont="1" applyFill="1" applyBorder="1" applyAlignment="1">
      <alignment horizontal="center" vertical="center"/>
    </xf>
    <xf numFmtId="0" fontId="256" fillId="0" borderId="1" xfId="0" applyFont="1" applyFill="1" applyBorder="1" applyAlignment="1">
      <alignment horizontal="right"/>
    </xf>
    <xf numFmtId="0" fontId="154" fillId="0" borderId="5" xfId="0" applyFont="1" applyBorder="1"/>
    <xf numFmtId="1" fontId="210" fillId="0" borderId="5" xfId="0" applyNumberFormat="1" applyFont="1" applyBorder="1" applyAlignment="1">
      <alignment horizontal="center" vertical="center"/>
    </xf>
    <xf numFmtId="1" fontId="256" fillId="0" borderId="5" xfId="0" applyNumberFormat="1" applyFont="1" applyBorder="1" applyAlignment="1">
      <alignment horizontal="center" vertical="center"/>
    </xf>
    <xf numFmtId="0" fontId="257" fillId="0" borderId="48" xfId="0" applyFont="1" applyBorder="1" applyAlignment="1">
      <alignment horizontal="center"/>
    </xf>
    <xf numFmtId="0" fontId="52" fillId="0" borderId="0" xfId="0" applyFont="1"/>
    <xf numFmtId="0" fontId="220" fillId="0" borderId="0" xfId="0" applyFont="1"/>
    <xf numFmtId="0" fontId="52" fillId="0" borderId="0" xfId="0" applyFont="1" applyAlignment="1">
      <alignment horizontal="center" vertical="center"/>
    </xf>
    <xf numFmtId="0" fontId="74" fillId="21" borderId="7" xfId="0" applyFont="1" applyFill="1" applyBorder="1" applyAlignment="1">
      <alignment vertical="center"/>
    </xf>
    <xf numFmtId="0" fontId="6" fillId="21" borderId="24" xfId="0" applyFont="1" applyFill="1" applyBorder="1" applyAlignment="1">
      <alignment vertical="center"/>
    </xf>
    <xf numFmtId="0" fontId="74" fillId="21" borderId="24" xfId="0" applyFont="1" applyFill="1" applyBorder="1" applyAlignment="1">
      <alignment vertical="center"/>
    </xf>
    <xf numFmtId="0" fontId="74" fillId="21" borderId="55" xfId="0" applyFont="1" applyFill="1" applyBorder="1" applyAlignment="1">
      <alignment vertical="center"/>
    </xf>
    <xf numFmtId="169" fontId="6" fillId="21" borderId="55" xfId="0" applyNumberFormat="1" applyFont="1" applyFill="1" applyBorder="1" applyAlignment="1">
      <alignment horizontal="center" vertical="center"/>
    </xf>
    <xf numFmtId="0" fontId="74" fillId="21" borderId="24" xfId="0" applyFont="1" applyFill="1" applyBorder="1" applyAlignment="1">
      <alignment vertical="center" wrapText="1"/>
    </xf>
    <xf numFmtId="0" fontId="6" fillId="21" borderId="24" xfId="0" applyFont="1" applyFill="1" applyBorder="1" applyAlignment="1">
      <alignment vertical="center" wrapText="1"/>
    </xf>
    <xf numFmtId="0" fontId="166" fillId="21" borderId="6" xfId="0" applyFont="1" applyFill="1" applyBorder="1" applyAlignment="1">
      <alignment vertical="center"/>
    </xf>
    <xf numFmtId="0" fontId="8" fillId="21" borderId="29" xfId="0" applyFont="1" applyFill="1" applyBorder="1" applyAlignment="1">
      <alignment vertical="center"/>
    </xf>
    <xf numFmtId="1" fontId="74" fillId="21" borderId="29" xfId="0" applyNumberFormat="1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vertical="center"/>
    </xf>
    <xf numFmtId="1" fontId="75" fillId="21" borderId="36" xfId="0" applyNumberFormat="1" applyFont="1" applyFill="1" applyBorder="1" applyAlignment="1">
      <alignment horizontal="center" vertical="center"/>
    </xf>
    <xf numFmtId="2" fontId="75" fillId="21" borderId="0" xfId="0" applyNumberFormat="1" applyFont="1" applyFill="1" applyBorder="1" applyAlignment="1">
      <alignment horizontal="center" vertical="center"/>
    </xf>
    <xf numFmtId="171" fontId="11" fillId="21" borderId="0" xfId="0" applyNumberFormat="1" applyFont="1" applyFill="1" applyBorder="1" applyAlignment="1">
      <alignment horizontal="center" vertical="center"/>
    </xf>
    <xf numFmtId="0" fontId="75" fillId="21" borderId="0" xfId="0" applyFont="1" applyFill="1" applyBorder="1" applyAlignment="1">
      <alignment vertical="center"/>
    </xf>
    <xf numFmtId="0" fontId="11" fillId="21" borderId="0" xfId="0" applyFont="1" applyFill="1" applyBorder="1" applyAlignment="1">
      <alignment vertical="center"/>
    </xf>
    <xf numFmtId="0" fontId="199" fillId="21" borderId="0" xfId="0" applyFont="1" applyFill="1"/>
    <xf numFmtId="0" fontId="202" fillId="21" borderId="0" xfId="0" applyFont="1" applyFill="1"/>
    <xf numFmtId="0" fontId="113" fillId="0" borderId="25" xfId="0" applyFont="1" applyBorder="1"/>
    <xf numFmtId="0" fontId="113" fillId="0" borderId="55" xfId="0" applyFont="1" applyBorder="1" applyAlignment="1">
      <alignment horizontal="center" vertical="center"/>
    </xf>
    <xf numFmtId="1" fontId="139" fillId="0" borderId="55" xfId="0" applyNumberFormat="1" applyFont="1" applyBorder="1" applyAlignment="1">
      <alignment horizontal="center" vertical="center"/>
    </xf>
    <xf numFmtId="0" fontId="0" fillId="0" borderId="45" xfId="0" applyBorder="1"/>
    <xf numFmtId="0" fontId="0" fillId="0" borderId="45" xfId="0" applyBorder="1" applyAlignment="1">
      <alignment horizontal="center" vertical="center"/>
    </xf>
    <xf numFmtId="1" fontId="154" fillId="0" borderId="45" xfId="0" applyNumberFormat="1" applyFont="1" applyBorder="1" applyAlignment="1">
      <alignment horizontal="center" vertical="center"/>
    </xf>
    <xf numFmtId="0" fontId="108" fillId="0" borderId="10" xfId="0" applyFont="1" applyFill="1" applyBorder="1"/>
    <xf numFmtId="0" fontId="108" fillId="0" borderId="10" xfId="0" applyFont="1" applyFill="1" applyBorder="1" applyAlignment="1">
      <alignment horizontal="right"/>
    </xf>
    <xf numFmtId="0" fontId="108" fillId="0" borderId="10" xfId="0" applyFont="1" applyBorder="1" applyAlignment="1">
      <alignment horizontal="center" vertical="center"/>
    </xf>
    <xf numFmtId="0" fontId="108" fillId="0" borderId="0" xfId="0" applyFont="1" applyBorder="1"/>
    <xf numFmtId="0" fontId="0" fillId="0" borderId="0" xfId="0" applyBorder="1"/>
    <xf numFmtId="1" fontId="112" fillId="20" borderId="10" xfId="0" applyNumberFormat="1" applyFont="1" applyFill="1" applyBorder="1" applyAlignment="1">
      <alignment horizontal="center" vertical="center"/>
    </xf>
    <xf numFmtId="0" fontId="112" fillId="19" borderId="10" xfId="0" applyFont="1" applyFill="1" applyBorder="1" applyAlignment="1">
      <alignment horizontal="center" vertical="center"/>
    </xf>
    <xf numFmtId="0" fontId="108" fillId="0" borderId="0" xfId="0" applyFont="1" applyAlignment="1">
      <alignment horizontal="left"/>
    </xf>
    <xf numFmtId="2" fontId="54" fillId="25" borderId="17" xfId="0" applyNumberFormat="1" applyFont="1" applyFill="1" applyBorder="1" applyAlignment="1">
      <alignment horizontal="center" vertical="center"/>
    </xf>
    <xf numFmtId="0" fontId="54" fillId="0" borderId="10" xfId="0" applyFont="1" applyBorder="1"/>
    <xf numFmtId="0" fontId="54" fillId="0" borderId="10" xfId="0" applyFont="1" applyBorder="1" applyAlignment="1">
      <alignment horizontal="right"/>
    </xf>
    <xf numFmtId="169" fontId="134" fillId="19" borderId="10" xfId="0" applyNumberFormat="1" applyFont="1" applyFill="1" applyBorder="1" applyAlignment="1">
      <alignment horizontal="center" vertical="center"/>
    </xf>
    <xf numFmtId="2" fontId="134" fillId="19" borderId="10" xfId="0" applyNumberFormat="1" applyFont="1" applyFill="1" applyBorder="1" applyAlignment="1">
      <alignment horizontal="center" vertical="center"/>
    </xf>
    <xf numFmtId="169" fontId="75" fillId="19" borderId="30" xfId="0" applyNumberFormat="1" applyFont="1" applyFill="1" applyBorder="1" applyAlignment="1">
      <alignment horizontal="center" vertical="center"/>
    </xf>
    <xf numFmtId="2" fontId="54" fillId="19" borderId="17" xfId="0" applyNumberFormat="1" applyFont="1" applyFill="1" applyBorder="1" applyAlignment="1">
      <alignment horizontal="center" vertical="center"/>
    </xf>
    <xf numFmtId="2" fontId="54" fillId="20" borderId="17" xfId="0" applyNumberFormat="1" applyFont="1" applyFill="1" applyBorder="1" applyAlignment="1">
      <alignment horizontal="center" vertical="center"/>
    </xf>
    <xf numFmtId="0" fontId="54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54" fillId="0" borderId="10" xfId="0" applyFont="1" applyFill="1" applyBorder="1" applyAlignment="1">
      <alignment horizontal="left"/>
    </xf>
    <xf numFmtId="0" fontId="108" fillId="0" borderId="10" xfId="0" applyFont="1" applyBorder="1" applyAlignment="1">
      <alignment horizontal="left"/>
    </xf>
    <xf numFmtId="0" fontId="113" fillId="0" borderId="10" xfId="0" applyFont="1" applyBorder="1" applyAlignment="1">
      <alignment horizontal="left"/>
    </xf>
    <xf numFmtId="1" fontId="54" fillId="25" borderId="17" xfId="0" applyNumberFormat="1" applyFont="1" applyFill="1" applyBorder="1" applyAlignment="1">
      <alignment horizontal="center" vertical="center"/>
    </xf>
    <xf numFmtId="1" fontId="112" fillId="0" borderId="45" xfId="0" applyNumberFormat="1" applyFont="1" applyBorder="1" applyAlignment="1">
      <alignment horizontal="center" vertical="center"/>
    </xf>
    <xf numFmtId="1" fontId="112" fillId="21" borderId="45" xfId="0" applyNumberFormat="1" applyFont="1" applyFill="1" applyBorder="1" applyAlignment="1">
      <alignment horizontal="center" vertical="center"/>
    </xf>
    <xf numFmtId="0" fontId="112" fillId="0" borderId="45" xfId="0" applyFont="1" applyBorder="1" applyAlignment="1">
      <alignment horizontal="center" vertical="center"/>
    </xf>
    <xf numFmtId="1" fontId="112" fillId="19" borderId="45" xfId="0" applyNumberFormat="1" applyFont="1" applyFill="1" applyBorder="1" applyAlignment="1">
      <alignment horizontal="center" vertical="center"/>
    </xf>
    <xf numFmtId="1" fontId="112" fillId="25" borderId="45" xfId="0" applyNumberFormat="1" applyFont="1" applyFill="1" applyBorder="1" applyAlignment="1">
      <alignment horizontal="center" vertical="center"/>
    </xf>
    <xf numFmtId="0" fontId="112" fillId="21" borderId="45" xfId="0" applyFont="1" applyFill="1" applyBorder="1" applyAlignment="1">
      <alignment horizontal="center" vertical="center"/>
    </xf>
    <xf numFmtId="1" fontId="112" fillId="20" borderId="45" xfId="0" applyNumberFormat="1" applyFont="1" applyFill="1" applyBorder="1" applyAlignment="1">
      <alignment horizontal="center" vertical="center"/>
    </xf>
    <xf numFmtId="0" fontId="112" fillId="19" borderId="45" xfId="0" applyFont="1" applyFill="1" applyBorder="1" applyAlignment="1">
      <alignment horizontal="center" vertical="center"/>
    </xf>
    <xf numFmtId="1" fontId="112" fillId="21" borderId="5" xfId="0" applyNumberFormat="1" applyFont="1" applyFill="1" applyBorder="1" applyAlignment="1">
      <alignment horizontal="center" vertical="center"/>
    </xf>
    <xf numFmtId="0" fontId="112" fillId="0" borderId="5" xfId="0" applyFont="1" applyBorder="1" applyAlignment="1">
      <alignment horizontal="center" vertical="center"/>
    </xf>
    <xf numFmtId="1" fontId="112" fillId="19" borderId="5" xfId="0" applyNumberFormat="1" applyFont="1" applyFill="1" applyBorder="1" applyAlignment="1">
      <alignment horizontal="center" vertical="center"/>
    </xf>
    <xf numFmtId="1" fontId="112" fillId="25" borderId="5" xfId="0" applyNumberFormat="1" applyFont="1" applyFill="1" applyBorder="1" applyAlignment="1">
      <alignment horizontal="center" vertical="center"/>
    </xf>
    <xf numFmtId="0" fontId="112" fillId="21" borderId="5" xfId="0" applyFont="1" applyFill="1" applyBorder="1" applyAlignment="1">
      <alignment horizontal="center" vertical="center"/>
    </xf>
    <xf numFmtId="1" fontId="112" fillId="20" borderId="5" xfId="0" applyNumberFormat="1" applyFont="1" applyFill="1" applyBorder="1" applyAlignment="1">
      <alignment horizontal="center" vertical="center"/>
    </xf>
    <xf numFmtId="0" fontId="112" fillId="19" borderId="5" xfId="0" applyFont="1" applyFill="1" applyBorder="1" applyAlignment="1">
      <alignment horizontal="center" vertical="center"/>
    </xf>
    <xf numFmtId="0" fontId="108" fillId="0" borderId="45" xfId="0" applyFont="1" applyFill="1" applyBorder="1" applyAlignment="1">
      <alignment horizontal="right"/>
    </xf>
    <xf numFmtId="0" fontId="108" fillId="0" borderId="45" xfId="0" applyFont="1" applyBorder="1" applyAlignment="1">
      <alignment horizontal="center" vertical="center"/>
    </xf>
    <xf numFmtId="0" fontId="108" fillId="0" borderId="1" xfId="0" applyFont="1" applyBorder="1" applyAlignment="1">
      <alignment horizontal="right"/>
    </xf>
    <xf numFmtId="0" fontId="108" fillId="0" borderId="5" xfId="0" applyFont="1" applyBorder="1" applyAlignment="1">
      <alignment horizontal="center" vertical="center"/>
    </xf>
    <xf numFmtId="0" fontId="0" fillId="0" borderId="4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/>
    <xf numFmtId="169" fontId="112" fillId="21" borderId="5" xfId="0" applyNumberFormat="1" applyFont="1" applyFill="1" applyBorder="1" applyAlignment="1">
      <alignment horizontal="center" vertical="center"/>
    </xf>
    <xf numFmtId="169" fontId="112" fillId="19" borderId="5" xfId="0" applyNumberFormat="1" applyFont="1" applyFill="1" applyBorder="1" applyAlignment="1">
      <alignment horizontal="center" vertical="center"/>
    </xf>
    <xf numFmtId="169" fontId="112" fillId="25" borderId="5" xfId="0" applyNumberFormat="1" applyFont="1" applyFill="1" applyBorder="1" applyAlignment="1">
      <alignment horizontal="center" vertical="center"/>
    </xf>
    <xf numFmtId="169" fontId="112" fillId="20" borderId="5" xfId="0" applyNumberFormat="1" applyFont="1" applyFill="1" applyBorder="1" applyAlignment="1">
      <alignment horizontal="center" vertical="center"/>
    </xf>
    <xf numFmtId="0" fontId="0" fillId="0" borderId="0" xfId="0"/>
    <xf numFmtId="1" fontId="54" fillId="25" borderId="52" xfId="0" applyNumberFormat="1" applyFont="1" applyFill="1" applyBorder="1" applyAlignment="1">
      <alignment horizontal="center" vertical="center"/>
    </xf>
    <xf numFmtId="1" fontId="54" fillId="25" borderId="50" xfId="0" applyNumberFormat="1" applyFont="1" applyFill="1" applyBorder="1" applyAlignment="1">
      <alignment horizontal="center" vertical="center"/>
    </xf>
    <xf numFmtId="1" fontId="54" fillId="25" borderId="44" xfId="0" applyNumberFormat="1" applyFont="1" applyFill="1" applyBorder="1" applyAlignment="1">
      <alignment horizontal="center" vertical="center"/>
    </xf>
    <xf numFmtId="1" fontId="54" fillId="25" borderId="61" xfId="0" applyNumberFormat="1" applyFont="1" applyFill="1" applyBorder="1" applyAlignment="1">
      <alignment horizontal="center" vertical="center"/>
    </xf>
    <xf numFmtId="1" fontId="134" fillId="21" borderId="25" xfId="0" applyNumberFormat="1" applyFont="1" applyFill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1" fontId="138" fillId="21" borderId="62" xfId="0" applyNumberFormat="1" applyFont="1" applyFill="1" applyBorder="1" applyAlignment="1">
      <alignment horizontal="center" vertical="center"/>
    </xf>
    <xf numFmtId="1" fontId="138" fillId="21" borderId="74" xfId="0" applyNumberFormat="1" applyFont="1" applyFill="1" applyBorder="1" applyAlignment="1">
      <alignment horizontal="center" vertical="center"/>
    </xf>
    <xf numFmtId="1" fontId="112" fillId="21" borderId="31" xfId="0" applyNumberFormat="1" applyFont="1" applyFill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0" fontId="112" fillId="0" borderId="55" xfId="0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21" borderId="1" xfId="0" applyFont="1" applyFill="1" applyBorder="1" applyAlignment="1">
      <alignment horizontal="center" vertical="center"/>
    </xf>
    <xf numFmtId="1" fontId="134" fillId="21" borderId="62" xfId="0" applyNumberFormat="1" applyFont="1" applyFill="1" applyBorder="1" applyAlignment="1">
      <alignment horizontal="center" vertical="center"/>
    </xf>
    <xf numFmtId="1" fontId="134" fillId="0" borderId="36" xfId="0" applyNumberFormat="1" applyFont="1" applyBorder="1" applyAlignment="1">
      <alignment horizontal="center" vertical="center"/>
    </xf>
    <xf numFmtId="1" fontId="74" fillId="21" borderId="9" xfId="0" applyNumberFormat="1" applyFont="1" applyFill="1" applyBorder="1" applyAlignment="1">
      <alignment horizontal="center"/>
    </xf>
    <xf numFmtId="1" fontId="75" fillId="21" borderId="31" xfId="0" applyNumberFormat="1" applyFont="1" applyFill="1" applyBorder="1" applyAlignment="1">
      <alignment horizontal="center" vertical="center"/>
    </xf>
    <xf numFmtId="1" fontId="75" fillId="25" borderId="8" xfId="0" applyNumberFormat="1" applyFont="1" applyFill="1" applyBorder="1" applyAlignment="1">
      <alignment horizontal="center" vertical="center"/>
    </xf>
    <xf numFmtId="1" fontId="75" fillId="21" borderId="62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5" borderId="38" xfId="0" applyNumberFormat="1" applyFont="1" applyFill="1" applyBorder="1" applyAlignment="1">
      <alignment horizontal="center" vertical="center"/>
    </xf>
    <xf numFmtId="1" fontId="75" fillId="21" borderId="74" xfId="0" applyNumberFormat="1" applyFont="1" applyFill="1" applyBorder="1" applyAlignment="1">
      <alignment horizontal="center" vertical="center"/>
    </xf>
    <xf numFmtId="0" fontId="75" fillId="0" borderId="36" xfId="0" applyFont="1" applyBorder="1" applyAlignment="1">
      <alignment horizontal="center" vertical="center"/>
    </xf>
    <xf numFmtId="1" fontId="75" fillId="21" borderId="46" xfId="0" applyNumberFormat="1" applyFont="1" applyFill="1" applyBorder="1" applyAlignment="1">
      <alignment horizontal="center" vertical="center"/>
    </xf>
    <xf numFmtId="1" fontId="74" fillId="0" borderId="9" xfId="0" applyNumberFormat="1" applyFont="1" applyBorder="1" applyAlignment="1">
      <alignment horizontal="center" vertical="center"/>
    </xf>
    <xf numFmtId="1" fontId="74" fillId="21" borderId="9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1" borderId="4" xfId="0" applyFont="1" applyFill="1" applyBorder="1" applyAlignment="1">
      <alignment horizontal="center" vertical="center"/>
    </xf>
    <xf numFmtId="1" fontId="74" fillId="25" borderId="62" xfId="0" applyNumberFormat="1" applyFont="1" applyFill="1" applyBorder="1" applyAlignment="1">
      <alignment horizontal="center" vertical="center"/>
    </xf>
    <xf numFmtId="1" fontId="74" fillId="25" borderId="74" xfId="0" applyNumberFormat="1" applyFont="1" applyFill="1" applyBorder="1" applyAlignment="1">
      <alignment horizontal="center" vertical="center"/>
    </xf>
    <xf numFmtId="1" fontId="74" fillId="25" borderId="9" xfId="0" applyNumberFormat="1" applyFont="1" applyFill="1" applyBorder="1" applyAlignment="1">
      <alignment horizontal="center" vertical="center"/>
    </xf>
    <xf numFmtId="0" fontId="138" fillId="0" borderId="10" xfId="0" applyFont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1" fontId="125" fillId="0" borderId="62" xfId="0" applyNumberFormat="1" applyFont="1" applyBorder="1" applyAlignment="1">
      <alignment horizontal="center" vertical="center"/>
    </xf>
    <xf numFmtId="1" fontId="125" fillId="21" borderId="62" xfId="0" applyNumberFormat="1" applyFont="1" applyFill="1" applyBorder="1" applyAlignment="1">
      <alignment horizontal="center" vertical="center"/>
    </xf>
    <xf numFmtId="1" fontId="125" fillId="21" borderId="9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2" fontId="111" fillId="0" borderId="53" xfId="0" applyNumberFormat="1" applyFont="1" applyBorder="1" applyAlignment="1">
      <alignment horizontal="center" vertical="center"/>
    </xf>
    <xf numFmtId="2" fontId="111" fillId="0" borderId="48" xfId="0" applyNumberFormat="1" applyFont="1" applyBorder="1" applyAlignment="1">
      <alignment horizontal="center" vertical="center"/>
    </xf>
    <xf numFmtId="1" fontId="154" fillId="20" borderId="10" xfId="0" applyNumberFormat="1" applyFont="1" applyFill="1" applyBorder="1" applyAlignment="1">
      <alignment horizontal="center" vertical="center"/>
    </xf>
    <xf numFmtId="1" fontId="170" fillId="20" borderId="10" xfId="0" applyNumberFormat="1" applyFont="1" applyFill="1" applyBorder="1" applyAlignment="1">
      <alignment horizontal="center" vertical="center"/>
    </xf>
    <xf numFmtId="1" fontId="239" fillId="20" borderId="10" xfId="0" applyNumberFormat="1" applyFont="1" applyFill="1" applyBorder="1" applyAlignment="1">
      <alignment horizontal="center" vertical="center"/>
    </xf>
    <xf numFmtId="1" fontId="154" fillId="20" borderId="10" xfId="0" applyNumberFormat="1" applyFont="1" applyFill="1" applyBorder="1" applyAlignment="1">
      <alignment horizontal="center"/>
    </xf>
    <xf numFmtId="1" fontId="149" fillId="20" borderId="10" xfId="0" applyNumberFormat="1" applyFont="1" applyFill="1" applyBorder="1" applyAlignment="1">
      <alignment horizontal="center"/>
    </xf>
    <xf numFmtId="1" fontId="255" fillId="20" borderId="10" xfId="0" applyNumberFormat="1" applyFont="1" applyFill="1" applyBorder="1" applyAlignment="1">
      <alignment horizontal="center" vertical="center"/>
    </xf>
    <xf numFmtId="0" fontId="166" fillId="25" borderId="10" xfId="0" applyFont="1" applyFill="1" applyBorder="1" applyAlignment="1">
      <alignment horizontal="center" vertical="center"/>
    </xf>
    <xf numFmtId="0" fontId="166" fillId="25" borderId="30" xfId="0" applyFont="1" applyFill="1" applyBorder="1" applyAlignment="1">
      <alignment vertical="center"/>
    </xf>
    <xf numFmtId="0" fontId="75" fillId="0" borderId="10" xfId="0" applyFont="1" applyBorder="1" applyAlignment="1">
      <alignment vertical="center"/>
    </xf>
    <xf numFmtId="0" fontId="75" fillId="0" borderId="45" xfId="0" applyFont="1" applyBorder="1" applyAlignment="1">
      <alignment vertical="center"/>
    </xf>
    <xf numFmtId="0" fontId="75" fillId="21" borderId="10" xfId="0" applyFont="1" applyFill="1" applyBorder="1" applyAlignment="1">
      <alignment vertical="center"/>
    </xf>
    <xf numFmtId="0" fontId="75" fillId="21" borderId="45" xfId="0" applyFont="1" applyFill="1" applyBorder="1" applyAlignment="1">
      <alignment vertical="center"/>
    </xf>
    <xf numFmtId="0" fontId="75" fillId="21" borderId="23" xfId="0" applyFont="1" applyFill="1" applyBorder="1" applyAlignment="1">
      <alignment vertical="center"/>
    </xf>
    <xf numFmtId="0" fontId="75" fillId="19" borderId="10" xfId="0" applyFont="1" applyFill="1" applyBorder="1" applyAlignment="1">
      <alignment vertical="center"/>
    </xf>
    <xf numFmtId="0" fontId="75" fillId="19" borderId="45" xfId="0" applyFont="1" applyFill="1" applyBorder="1" applyAlignment="1">
      <alignment vertical="center"/>
    </xf>
    <xf numFmtId="0" fontId="75" fillId="19" borderId="23" xfId="0" applyFont="1" applyFill="1" applyBorder="1" applyAlignment="1">
      <alignment vertical="center"/>
    </xf>
    <xf numFmtId="0" fontId="75" fillId="20" borderId="10" xfId="0" applyFont="1" applyFill="1" applyBorder="1" applyAlignment="1">
      <alignment vertical="center"/>
    </xf>
    <xf numFmtId="0" fontId="75" fillId="20" borderId="45" xfId="0" applyFont="1" applyFill="1" applyBorder="1" applyAlignment="1">
      <alignment vertical="center"/>
    </xf>
    <xf numFmtId="0" fontId="75" fillId="20" borderId="23" xfId="0" applyFont="1" applyFill="1" applyBorder="1" applyAlignment="1">
      <alignment vertical="center"/>
    </xf>
    <xf numFmtId="0" fontId="75" fillId="25" borderId="10" xfId="0" applyFont="1" applyFill="1" applyBorder="1" applyAlignment="1">
      <alignment vertical="center"/>
    </xf>
    <xf numFmtId="0" fontId="75" fillId="25" borderId="45" xfId="0" applyFont="1" applyFill="1" applyBorder="1" applyAlignment="1">
      <alignment vertical="center"/>
    </xf>
    <xf numFmtId="1" fontId="138" fillId="25" borderId="62" xfId="0" applyNumberFormat="1" applyFont="1" applyFill="1" applyBorder="1" applyAlignment="1">
      <alignment horizontal="center" vertical="center"/>
    </xf>
    <xf numFmtId="0" fontId="0" fillId="0" borderId="0" xfId="0"/>
    <xf numFmtId="1" fontId="138" fillId="25" borderId="62" xfId="0" applyNumberFormat="1" applyFont="1" applyFill="1" applyBorder="1" applyAlignment="1">
      <alignment horizontal="center" vertical="center"/>
    </xf>
    <xf numFmtId="1" fontId="138" fillId="25" borderId="74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34" fillId="25" borderId="32" xfId="0" applyNumberFormat="1" applyFont="1" applyFill="1" applyBorder="1" applyAlignment="1">
      <alignment horizontal="center" vertical="center"/>
    </xf>
    <xf numFmtId="1" fontId="134" fillId="25" borderId="59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1" borderId="31" xfId="0" applyNumberFormat="1" applyFont="1" applyFill="1" applyBorder="1" applyAlignment="1">
      <alignment horizontal="center" vertical="center"/>
    </xf>
    <xf numFmtId="1" fontId="75" fillId="25" borderId="29" xfId="0" applyNumberFormat="1" applyFont="1" applyFill="1" applyBorder="1" applyAlignment="1">
      <alignment horizontal="center" vertical="center"/>
    </xf>
    <xf numFmtId="1" fontId="75" fillId="21" borderId="45" xfId="0" applyNumberFormat="1" applyFont="1" applyFill="1" applyBorder="1" applyAlignment="1">
      <alignment horizontal="center" vertical="center"/>
    </xf>
    <xf numFmtId="0" fontId="75" fillId="0" borderId="62" xfId="0" applyFont="1" applyBorder="1" applyAlignment="1">
      <alignment horizontal="center" vertical="center"/>
    </xf>
    <xf numFmtId="0" fontId="6" fillId="21" borderId="4" xfId="0" applyFont="1" applyFill="1" applyBorder="1" applyAlignment="1">
      <alignment horizontal="center" vertical="center"/>
    </xf>
    <xf numFmtId="0" fontId="119" fillId="0" borderId="10" xfId="0" applyFont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119" fillId="25" borderId="1" xfId="0" applyFont="1" applyFill="1" applyBorder="1" applyAlignment="1">
      <alignment horizontal="center" vertical="center"/>
    </xf>
    <xf numFmtId="1" fontId="125" fillId="25" borderId="10" xfId="0" applyNumberFormat="1" applyFont="1" applyFill="1" applyBorder="1" applyAlignment="1">
      <alignment horizontal="center" vertical="center"/>
    </xf>
    <xf numFmtId="0" fontId="0" fillId="0" borderId="0" xfId="0"/>
    <xf numFmtId="1" fontId="138" fillId="21" borderId="34" xfId="0" applyNumberFormat="1" applyFont="1" applyFill="1" applyBorder="1" applyAlignment="1">
      <alignment horizontal="center" vertical="center"/>
    </xf>
    <xf numFmtId="1" fontId="138" fillId="21" borderId="62" xfId="0" applyNumberFormat="1" applyFont="1" applyFill="1" applyBorder="1" applyAlignment="1">
      <alignment horizontal="center" vertical="center"/>
    </xf>
    <xf numFmtId="1" fontId="138" fillId="21" borderId="74" xfId="0" applyNumberFormat="1" applyFont="1" applyFill="1" applyBorder="1" applyAlignment="1">
      <alignment horizontal="center" vertical="center"/>
    </xf>
    <xf numFmtId="1" fontId="138" fillId="25" borderId="74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0" fontId="119" fillId="0" borderId="4" xfId="0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21" borderId="1" xfId="0" applyFont="1" applyFill="1" applyBorder="1" applyAlignment="1">
      <alignment horizontal="center" vertical="center"/>
    </xf>
    <xf numFmtId="1" fontId="134" fillId="0" borderId="36" xfId="0" applyNumberFormat="1" applyFont="1" applyBorder="1" applyAlignment="1">
      <alignment horizontal="center" vertical="center"/>
    </xf>
    <xf numFmtId="1" fontId="74" fillId="21" borderId="34" xfId="0" applyNumberFormat="1" applyFont="1" applyFill="1" applyBorder="1" applyAlignment="1">
      <alignment horizontal="center" vertical="center"/>
    </xf>
    <xf numFmtId="0" fontId="119" fillId="0" borderId="10" xfId="0" applyFont="1" applyBorder="1" applyAlignment="1">
      <alignment horizontal="center" vertical="center"/>
    </xf>
    <xf numFmtId="1" fontId="125" fillId="21" borderId="62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0" fontId="138" fillId="21" borderId="62" xfId="0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1" fontId="138" fillId="25" borderId="36" xfId="0" quotePrefix="1" applyNumberFormat="1" applyFont="1" applyFill="1" applyBorder="1" applyAlignment="1">
      <alignment horizontal="center" vertical="center"/>
    </xf>
    <xf numFmtId="1" fontId="138" fillId="25" borderId="111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138" fillId="25" borderId="8" xfId="0" applyFont="1" applyFill="1" applyBorder="1" applyAlignment="1">
      <alignment horizontal="center" vertical="center"/>
    </xf>
    <xf numFmtId="0" fontId="119" fillId="25" borderId="1" xfId="0" applyFont="1" applyFill="1" applyBorder="1" applyAlignment="1">
      <alignment horizontal="center" vertical="center"/>
    </xf>
    <xf numFmtId="169" fontId="125" fillId="21" borderId="10" xfId="0" applyNumberFormat="1" applyFont="1" applyFill="1" applyBorder="1" applyAlignment="1">
      <alignment horizontal="center" vertical="center"/>
    </xf>
    <xf numFmtId="0" fontId="54" fillId="21" borderId="37" xfId="0" applyFont="1" applyFill="1" applyBorder="1" applyAlignment="1">
      <alignment horizontal="center" vertical="center"/>
    </xf>
    <xf numFmtId="169" fontId="54" fillId="21" borderId="37" xfId="0" applyNumberFormat="1" applyFont="1" applyFill="1" applyBorder="1" applyAlignment="1">
      <alignment horizontal="center" vertical="center"/>
    </xf>
    <xf numFmtId="0" fontId="109" fillId="21" borderId="37" xfId="0" applyFont="1" applyFill="1" applyBorder="1" applyAlignment="1">
      <alignment horizontal="center" vertical="center"/>
    </xf>
    <xf numFmtId="169" fontId="109" fillId="21" borderId="37" xfId="0" applyNumberFormat="1" applyFont="1" applyFill="1" applyBorder="1" applyAlignment="1">
      <alignment horizontal="center" vertical="center"/>
    </xf>
    <xf numFmtId="1" fontId="109" fillId="21" borderId="37" xfId="0" applyNumberFormat="1" applyFont="1" applyFill="1" applyBorder="1" applyAlignment="1">
      <alignment horizontal="center" vertical="center"/>
    </xf>
    <xf numFmtId="1" fontId="109" fillId="21" borderId="68" xfId="0" applyNumberFormat="1" applyFont="1" applyFill="1" applyBorder="1" applyAlignment="1">
      <alignment horizontal="center" vertical="center"/>
    </xf>
    <xf numFmtId="0" fontId="151" fillId="0" borderId="44" xfId="0" applyFont="1" applyBorder="1" applyAlignment="1">
      <alignment vertical="center"/>
    </xf>
    <xf numFmtId="1" fontId="125" fillId="25" borderId="31" xfId="0" applyNumberFormat="1" applyFont="1" applyFill="1" applyBorder="1" applyAlignment="1">
      <alignment horizontal="center" vertical="center"/>
    </xf>
    <xf numFmtId="0" fontId="0" fillId="0" borderId="0" xfId="0"/>
    <xf numFmtId="1" fontId="75" fillId="19" borderId="46" xfId="0" applyNumberFormat="1" applyFont="1" applyFill="1" applyBorder="1" applyAlignment="1">
      <alignment horizontal="center" vertical="center"/>
    </xf>
    <xf numFmtId="1" fontId="75" fillId="21" borderId="46" xfId="0" applyNumberFormat="1" applyFont="1" applyFill="1" applyBorder="1" applyAlignment="1">
      <alignment horizontal="center" vertical="center"/>
    </xf>
    <xf numFmtId="1" fontId="75" fillId="19" borderId="45" xfId="0" applyNumberFormat="1" applyFont="1" applyFill="1" applyBorder="1" applyAlignment="1">
      <alignment horizontal="center" vertical="center"/>
    </xf>
    <xf numFmtId="1" fontId="75" fillId="21" borderId="45" xfId="0" applyNumberFormat="1" applyFont="1" applyFill="1" applyBorder="1" applyAlignment="1">
      <alignment horizontal="center" vertical="center"/>
    </xf>
    <xf numFmtId="1" fontId="75" fillId="20" borderId="45" xfId="0" applyNumberFormat="1" applyFont="1" applyFill="1" applyBorder="1" applyAlignment="1">
      <alignment horizontal="center" vertical="center"/>
    </xf>
    <xf numFmtId="1" fontId="75" fillId="20" borderId="46" xfId="0" applyNumberFormat="1" applyFont="1" applyFill="1" applyBorder="1" applyAlignment="1">
      <alignment horizontal="center" vertical="center"/>
    </xf>
    <xf numFmtId="41" fontId="118" fillId="25" borderId="62" xfId="0" quotePrefix="1" applyNumberFormat="1" applyFont="1" applyFill="1" applyBorder="1" applyAlignment="1">
      <alignment horizontal="left" vertical="center"/>
    </xf>
    <xf numFmtId="0" fontId="54" fillId="0" borderId="75" xfId="0" applyFont="1" applyBorder="1" applyAlignment="1">
      <alignment horizontal="left" vertical="center"/>
    </xf>
    <xf numFmtId="1" fontId="0" fillId="25" borderId="0" xfId="0" applyNumberFormat="1" applyFill="1"/>
    <xf numFmtId="1" fontId="110" fillId="25" borderId="6" xfId="0" applyNumberFormat="1" applyFont="1" applyFill="1" applyBorder="1" applyAlignment="1">
      <alignment horizontal="center" vertical="center"/>
    </xf>
    <xf numFmtId="0" fontId="0" fillId="0" borderId="0" xfId="0"/>
    <xf numFmtId="1" fontId="138" fillId="21" borderId="34" xfId="0" applyNumberFormat="1" applyFont="1" applyFill="1" applyBorder="1" applyAlignment="1">
      <alignment horizontal="center" vertical="center"/>
    </xf>
    <xf numFmtId="1" fontId="112" fillId="21" borderId="31" xfId="0" applyNumberFormat="1" applyFont="1" applyFill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0" fillId="0" borderId="0" xfId="0"/>
    <xf numFmtId="1" fontId="138" fillId="0" borderId="34" xfId="0" applyNumberFormat="1" applyFont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1" fontId="138" fillId="25" borderId="74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34" fillId="21" borderId="25" xfId="0" applyNumberFormat="1" applyFont="1" applyFill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0" fontId="119" fillId="0" borderId="4" xfId="0" applyFont="1" applyBorder="1" applyAlignment="1">
      <alignment horizontal="center" vertical="center"/>
    </xf>
    <xf numFmtId="1" fontId="138" fillId="21" borderId="62" xfId="0" applyNumberFormat="1" applyFont="1" applyFill="1" applyBorder="1" applyAlignment="1">
      <alignment horizontal="center" vertical="center"/>
    </xf>
    <xf numFmtId="1" fontId="138" fillId="21" borderId="74" xfId="0" applyNumberFormat="1" applyFont="1" applyFill="1" applyBorder="1" applyAlignment="1">
      <alignment horizontal="center" vertical="center"/>
    </xf>
    <xf numFmtId="1" fontId="134" fillId="25" borderId="32" xfId="0" applyNumberFormat="1" applyFont="1" applyFill="1" applyBorder="1" applyAlignment="1">
      <alignment horizontal="center" vertical="center"/>
    </xf>
    <xf numFmtId="1" fontId="134" fillId="25" borderId="59" xfId="0" applyNumberFormat="1" applyFont="1" applyFill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21" borderId="1" xfId="0" applyFont="1" applyFill="1" applyBorder="1" applyAlignment="1">
      <alignment horizontal="center" vertical="center"/>
    </xf>
    <xf numFmtId="1" fontId="134" fillId="0" borderId="36" xfId="0" applyNumberFormat="1" applyFont="1" applyBorder="1" applyAlignment="1">
      <alignment horizontal="center" vertical="center"/>
    </xf>
    <xf numFmtId="1" fontId="134" fillId="21" borderId="62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1" borderId="31" xfId="0" applyNumberFormat="1" applyFont="1" applyFill="1" applyBorder="1" applyAlignment="1">
      <alignment horizontal="center" vertical="center"/>
    </xf>
    <xf numFmtId="1" fontId="75" fillId="25" borderId="29" xfId="0" applyNumberFormat="1" applyFont="1" applyFill="1" applyBorder="1" applyAlignment="1">
      <alignment horizontal="center" vertical="center"/>
    </xf>
    <xf numFmtId="1" fontId="75" fillId="21" borderId="45" xfId="0" applyNumberFormat="1" applyFont="1" applyFill="1" applyBorder="1" applyAlignment="1">
      <alignment horizontal="center" vertical="center"/>
    </xf>
    <xf numFmtId="1" fontId="74" fillId="21" borderId="34" xfId="0" applyNumberFormat="1" applyFont="1" applyFill="1" applyBorder="1" applyAlignment="1">
      <alignment horizontal="center" vertical="center"/>
    </xf>
    <xf numFmtId="0" fontId="75" fillId="0" borderId="62" xfId="0" applyFont="1" applyBorder="1" applyAlignment="1">
      <alignment horizontal="center" vertical="center"/>
    </xf>
    <xf numFmtId="0" fontId="138" fillId="0" borderId="10" xfId="0" applyFont="1" applyBorder="1" applyAlignment="1">
      <alignment horizontal="center" vertical="center"/>
    </xf>
    <xf numFmtId="0" fontId="6" fillId="21" borderId="4" xfId="0" applyFont="1" applyFill="1" applyBorder="1" applyAlignment="1">
      <alignment horizontal="center" vertical="center"/>
    </xf>
    <xf numFmtId="0" fontId="119" fillId="0" borderId="10" xfId="0" applyFont="1" applyBorder="1" applyAlignment="1">
      <alignment horizontal="center" vertical="center"/>
    </xf>
    <xf numFmtId="1" fontId="125" fillId="21" borderId="62" xfId="0" applyNumberFormat="1" applyFont="1" applyFill="1" applyBorder="1" applyAlignment="1">
      <alignment horizontal="center" vertical="center"/>
    </xf>
    <xf numFmtId="1" fontId="125" fillId="21" borderId="9" xfId="0" applyNumberFormat="1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0" fontId="138" fillId="21" borderId="62" xfId="0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1" fontId="138" fillId="25" borderId="36" xfId="0" quotePrefix="1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138" fillId="25" borderId="8" xfId="0" applyFont="1" applyFill="1" applyBorder="1" applyAlignment="1">
      <alignment horizontal="center" vertical="center"/>
    </xf>
    <xf numFmtId="2" fontId="111" fillId="0" borderId="48" xfId="0" applyNumberFormat="1" applyFont="1" applyBorder="1" applyAlignment="1">
      <alignment horizontal="center" vertical="center"/>
    </xf>
    <xf numFmtId="2" fontId="111" fillId="0" borderId="53" xfId="0" applyNumberFormat="1" applyFont="1" applyBorder="1" applyAlignment="1">
      <alignment horizontal="center" vertical="center"/>
    </xf>
    <xf numFmtId="0" fontId="119" fillId="25" borderId="1" xfId="0" applyFont="1" applyFill="1" applyBorder="1" applyAlignment="1">
      <alignment horizontal="center" vertical="center"/>
    </xf>
    <xf numFmtId="1" fontId="125" fillId="25" borderId="10" xfId="0" applyNumberFormat="1" applyFont="1" applyFill="1" applyBorder="1" applyAlignment="1">
      <alignment horizontal="center" vertical="center"/>
    </xf>
    <xf numFmtId="169" fontId="125" fillId="21" borderId="10" xfId="0" applyNumberFormat="1" applyFont="1" applyFill="1" applyBorder="1" applyAlignment="1">
      <alignment horizontal="center" vertical="center"/>
    </xf>
    <xf numFmtId="1" fontId="125" fillId="25" borderId="31" xfId="0" applyNumberFormat="1" applyFont="1" applyFill="1" applyBorder="1" applyAlignment="1">
      <alignment horizontal="center" vertical="center"/>
    </xf>
    <xf numFmtId="1" fontId="125" fillId="25" borderId="32" xfId="0" applyNumberFormat="1" applyFont="1" applyFill="1" applyBorder="1" applyAlignment="1">
      <alignment horizontal="center" vertical="center"/>
    </xf>
    <xf numFmtId="1" fontId="54" fillId="21" borderId="37" xfId="0" applyNumberFormat="1" applyFont="1" applyFill="1" applyBorder="1" applyAlignment="1">
      <alignment horizontal="center" vertical="center"/>
    </xf>
    <xf numFmtId="0" fontId="117" fillId="25" borderId="0" xfId="0" applyFont="1" applyFill="1" applyBorder="1" applyAlignment="1">
      <alignment vertical="center"/>
    </xf>
    <xf numFmtId="1" fontId="68" fillId="21" borderId="37" xfId="0" applyNumberFormat="1" applyFont="1" applyFill="1" applyBorder="1" applyAlignment="1">
      <alignment horizontal="center" vertical="center"/>
    </xf>
    <xf numFmtId="1" fontId="68" fillId="21" borderId="65" xfId="0" applyNumberFormat="1" applyFont="1" applyFill="1" applyBorder="1" applyAlignment="1">
      <alignment horizontal="center" vertical="center"/>
    </xf>
    <xf numFmtId="0" fontId="0" fillId="0" borderId="0" xfId="0"/>
    <xf numFmtId="1" fontId="138" fillId="25" borderId="74" xfId="0" applyNumberFormat="1" applyFont="1" applyFill="1" applyBorder="1" applyAlignment="1">
      <alignment horizontal="center" vertical="center"/>
    </xf>
    <xf numFmtId="1" fontId="138" fillId="21" borderId="74" xfId="0" applyNumberFormat="1" applyFont="1" applyFill="1" applyBorder="1" applyAlignment="1">
      <alignment horizontal="center" vertical="center"/>
    </xf>
    <xf numFmtId="1" fontId="138" fillId="19" borderId="74" xfId="0" applyNumberFormat="1" applyFont="1" applyFill="1" applyBorder="1" applyAlignment="1">
      <alignment horizontal="center" vertical="center"/>
    </xf>
    <xf numFmtId="1" fontId="138" fillId="20" borderId="74" xfId="0" applyNumberFormat="1" applyFont="1" applyFill="1" applyBorder="1" applyAlignment="1">
      <alignment horizontal="center" vertical="center"/>
    </xf>
    <xf numFmtId="1" fontId="125" fillId="19" borderId="9" xfId="0" applyNumberFormat="1" applyFont="1" applyFill="1" applyBorder="1" applyAlignment="1">
      <alignment horizontal="center" vertical="center"/>
    </xf>
    <xf numFmtId="0" fontId="219" fillId="0" borderId="10" xfId="0" applyFont="1" applyBorder="1" applyAlignment="1">
      <alignment horizontal="center" vertical="center"/>
    </xf>
    <xf numFmtId="1" fontId="259" fillId="0" borderId="10" xfId="0" applyNumberFormat="1" applyFont="1" applyBorder="1" applyAlignment="1">
      <alignment horizontal="center"/>
    </xf>
    <xf numFmtId="0" fontId="177" fillId="0" borderId="10" xfId="0" applyFont="1" applyBorder="1" applyAlignment="1">
      <alignment horizontal="center"/>
    </xf>
    <xf numFmtId="1" fontId="177" fillId="0" borderId="10" xfId="0" applyNumberFormat="1" applyFont="1" applyBorder="1" applyAlignment="1">
      <alignment horizontal="center"/>
    </xf>
    <xf numFmtId="1" fontId="258" fillId="0" borderId="10" xfId="0" applyNumberFormat="1" applyFont="1" applyBorder="1" applyAlignment="1">
      <alignment horizontal="center" vertical="center"/>
    </xf>
    <xf numFmtId="1" fontId="260" fillId="0" borderId="10" xfId="0" applyNumberFormat="1" applyFont="1" applyBorder="1" applyAlignment="1">
      <alignment horizontal="center"/>
    </xf>
    <xf numFmtId="0" fontId="177" fillId="25" borderId="0" xfId="0" applyFont="1" applyFill="1"/>
    <xf numFmtId="0" fontId="177" fillId="25" borderId="0" xfId="0" applyFont="1" applyFill="1" applyAlignment="1">
      <alignment horizontal="center"/>
    </xf>
    <xf numFmtId="0" fontId="177" fillId="25" borderId="26" xfId="0" applyFont="1" applyFill="1" applyBorder="1" applyAlignment="1">
      <alignment horizontal="center" vertical="center"/>
    </xf>
    <xf numFmtId="2" fontId="259" fillId="0" borderId="10" xfId="0" applyNumberFormat="1" applyFont="1" applyBorder="1" applyAlignment="1">
      <alignment horizontal="center"/>
    </xf>
    <xf numFmtId="2" fontId="177" fillId="25" borderId="10" xfId="0" applyNumberFormat="1" applyFont="1" applyFill="1" applyBorder="1" applyAlignment="1">
      <alignment horizontal="center"/>
    </xf>
    <xf numFmtId="2" fontId="259" fillId="25" borderId="10" xfId="0" applyNumberFormat="1" applyFont="1" applyFill="1" applyBorder="1" applyAlignment="1">
      <alignment horizontal="center"/>
    </xf>
    <xf numFmtId="2" fontId="258" fillId="0" borderId="10" xfId="0" applyNumberFormat="1" applyFont="1" applyBorder="1" applyAlignment="1">
      <alignment horizontal="center" vertical="center"/>
    </xf>
    <xf numFmtId="2" fontId="260" fillId="0" borderId="10" xfId="0" applyNumberFormat="1" applyFont="1" applyBorder="1" applyAlignment="1">
      <alignment horizontal="center"/>
    </xf>
    <xf numFmtId="2" fontId="177" fillId="0" borderId="10" xfId="0" applyNumberFormat="1" applyFont="1" applyBorder="1" applyAlignment="1">
      <alignment horizontal="center"/>
    </xf>
    <xf numFmtId="2" fontId="260" fillId="25" borderId="10" xfId="0" applyNumberFormat="1" applyFont="1" applyFill="1" applyBorder="1" applyAlignment="1">
      <alignment horizontal="center"/>
    </xf>
    <xf numFmtId="2" fontId="177" fillId="25" borderId="23" xfId="0" applyNumberFormat="1" applyFont="1" applyFill="1" applyBorder="1" applyAlignment="1">
      <alignment horizontal="center"/>
    </xf>
    <xf numFmtId="0" fontId="0" fillId="0" borderId="0" xfId="0"/>
    <xf numFmtId="1" fontId="54" fillId="25" borderId="44" xfId="0" applyNumberFormat="1" applyFont="1" applyFill="1" applyBorder="1" applyAlignment="1">
      <alignment horizontal="center" vertical="center"/>
    </xf>
    <xf numFmtId="1" fontId="54" fillId="25" borderId="61" xfId="0" applyNumberFormat="1" applyFont="1" applyFill="1" applyBorder="1" applyAlignment="1">
      <alignment horizontal="center" vertical="center"/>
    </xf>
    <xf numFmtId="1" fontId="54" fillId="25" borderId="52" xfId="0" applyNumberFormat="1" applyFont="1" applyFill="1" applyBorder="1" applyAlignment="1">
      <alignment horizontal="center" vertical="center"/>
    </xf>
    <xf numFmtId="1" fontId="54" fillId="25" borderId="50" xfId="0" applyNumberFormat="1" applyFont="1" applyFill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0" fontId="112" fillId="0" borderId="55" xfId="0" applyFont="1" applyBorder="1" applyAlignment="1">
      <alignment horizontal="center" vertical="center"/>
    </xf>
    <xf numFmtId="1" fontId="74" fillId="21" borderId="9" xfId="0" applyNumberFormat="1" applyFont="1" applyFill="1" applyBorder="1" applyAlignment="1">
      <alignment horizontal="center"/>
    </xf>
    <xf numFmtId="0" fontId="75" fillId="0" borderId="36" xfId="0" applyFont="1" applyBorder="1" applyAlignment="1">
      <alignment horizontal="center" vertical="center"/>
    </xf>
    <xf numFmtId="1" fontId="75" fillId="21" borderId="62" xfId="0" applyNumberFormat="1" applyFont="1" applyFill="1" applyBorder="1" applyAlignment="1">
      <alignment horizontal="center" vertical="center"/>
    </xf>
    <xf numFmtId="1" fontId="75" fillId="21" borderId="74" xfId="0" applyNumberFormat="1" applyFont="1" applyFill="1" applyBorder="1" applyAlignment="1">
      <alignment horizontal="center" vertical="center"/>
    </xf>
    <xf numFmtId="1" fontId="75" fillId="25" borderId="38" xfId="0" applyNumberFormat="1" applyFont="1" applyFill="1" applyBorder="1" applyAlignment="1">
      <alignment horizontal="center" vertical="center"/>
    </xf>
    <xf numFmtId="1" fontId="75" fillId="25" borderId="8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1" fontId="75" fillId="21" borderId="31" xfId="0" applyNumberFormat="1" applyFont="1" applyFill="1" applyBorder="1" applyAlignment="1">
      <alignment horizontal="center" vertical="center"/>
    </xf>
    <xf numFmtId="1" fontId="75" fillId="21" borderId="46" xfId="0" applyNumberFormat="1" applyFont="1" applyFill="1" applyBorder="1" applyAlignment="1">
      <alignment horizontal="center" vertical="center"/>
    </xf>
    <xf numFmtId="1" fontId="75" fillId="21" borderId="45" xfId="0" applyNumberFormat="1" applyFont="1" applyFill="1" applyBorder="1" applyAlignment="1">
      <alignment horizontal="center" vertical="center"/>
    </xf>
    <xf numFmtId="1" fontId="74" fillId="0" borderId="9" xfId="0" applyNumberFormat="1" applyFont="1" applyBorder="1" applyAlignment="1">
      <alignment horizontal="center" vertical="center"/>
    </xf>
    <xf numFmtId="1" fontId="74" fillId="21" borderId="9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74" fillId="25" borderId="62" xfId="0" applyNumberFormat="1" applyFont="1" applyFill="1" applyBorder="1" applyAlignment="1">
      <alignment horizontal="center" vertical="center"/>
    </xf>
    <xf numFmtId="1" fontId="74" fillId="25" borderId="74" xfId="0" applyNumberFormat="1" applyFont="1" applyFill="1" applyBorder="1" applyAlignment="1">
      <alignment horizontal="center" vertical="center"/>
    </xf>
    <xf numFmtId="1" fontId="74" fillId="25" borderId="9" xfId="0" applyNumberFormat="1" applyFont="1" applyFill="1" applyBorder="1" applyAlignment="1">
      <alignment horizontal="center" vertical="center"/>
    </xf>
    <xf numFmtId="0" fontId="6" fillId="21" borderId="4" xfId="0" applyFont="1" applyFill="1" applyBorder="1" applyAlignment="1">
      <alignment horizontal="center" vertical="center"/>
    </xf>
    <xf numFmtId="1" fontId="125" fillId="0" borderId="62" xfId="0" applyNumberFormat="1" applyFont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25" borderId="111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1" fontId="61" fillId="21" borderId="31" xfId="0" applyNumberFormat="1" applyFont="1" applyFill="1" applyBorder="1" applyAlignment="1">
      <alignment horizontal="center" vertical="center"/>
    </xf>
    <xf numFmtId="1" fontId="54" fillId="21" borderId="68" xfId="0" applyNumberFormat="1" applyFont="1" applyFill="1" applyBorder="1" applyAlignment="1">
      <alignment horizontal="center" vertical="center"/>
    </xf>
    <xf numFmtId="2" fontId="114" fillId="21" borderId="68" xfId="0" applyNumberFormat="1" applyFont="1" applyFill="1" applyBorder="1" applyAlignment="1">
      <alignment horizontal="center" vertical="center"/>
    </xf>
    <xf numFmtId="2" fontId="114" fillId="21" borderId="55" xfId="0" applyNumberFormat="1" applyFont="1" applyFill="1" applyBorder="1" applyAlignment="1">
      <alignment horizontal="center" vertical="center"/>
    </xf>
    <xf numFmtId="1" fontId="54" fillId="21" borderId="24" xfId="0" applyNumberFormat="1" applyFont="1" applyFill="1" applyBorder="1" applyAlignment="1">
      <alignment horizontal="center" vertical="center"/>
    </xf>
    <xf numFmtId="1" fontId="54" fillId="21" borderId="10" xfId="0" applyNumberFormat="1" applyFont="1" applyFill="1" applyBorder="1" applyAlignment="1">
      <alignment horizontal="center" vertical="center"/>
    </xf>
    <xf numFmtId="2" fontId="117" fillId="25" borderId="10" xfId="0" applyNumberFormat="1" applyFont="1" applyFill="1" applyBorder="1" applyAlignment="1">
      <alignment horizontal="center" vertical="center"/>
    </xf>
    <xf numFmtId="1" fontId="68" fillId="21" borderId="10" xfId="0" applyNumberFormat="1" applyFont="1" applyFill="1" applyBorder="1" applyAlignment="1">
      <alignment horizontal="center" vertical="center"/>
    </xf>
    <xf numFmtId="2" fontId="114" fillId="21" borderId="10" xfId="0" applyNumberFormat="1" applyFont="1" applyFill="1" applyBorder="1" applyAlignment="1">
      <alignment horizontal="center" vertical="center"/>
    </xf>
    <xf numFmtId="1" fontId="119" fillId="21" borderId="10" xfId="0" applyNumberFormat="1" applyFont="1" applyFill="1" applyBorder="1" applyAlignment="1">
      <alignment horizontal="center" vertical="center"/>
    </xf>
    <xf numFmtId="1" fontId="134" fillId="21" borderId="10" xfId="0" applyNumberFormat="1" applyFont="1" applyFill="1" applyBorder="1" applyAlignment="1">
      <alignment horizontal="center" vertical="center"/>
    </xf>
    <xf numFmtId="0" fontId="0" fillId="21" borderId="10" xfId="0" applyFill="1" applyBorder="1" applyAlignment="1">
      <alignment horizontal="center"/>
    </xf>
    <xf numFmtId="0" fontId="165" fillId="0" borderId="10" xfId="0" applyFont="1" applyBorder="1"/>
    <xf numFmtId="174" fontId="112" fillId="21" borderId="10" xfId="0" applyNumberFormat="1" applyFont="1" applyFill="1" applyBorder="1" applyAlignment="1">
      <alignment horizontal="center" vertical="center"/>
    </xf>
    <xf numFmtId="172" fontId="111" fillId="21" borderId="42" xfId="0" applyNumberFormat="1" applyFont="1" applyFill="1" applyBorder="1" applyAlignment="1">
      <alignment horizontal="center" vertical="center"/>
    </xf>
    <xf numFmtId="1" fontId="6" fillId="25" borderId="65" xfId="0" applyNumberFormat="1" applyFont="1" applyFill="1" applyBorder="1" applyAlignment="1">
      <alignment horizontal="center" vertical="center"/>
    </xf>
    <xf numFmtId="2" fontId="111" fillId="18" borderId="17" xfId="0" applyNumberFormat="1" applyFont="1" applyFill="1" applyBorder="1" applyAlignment="1">
      <alignment horizontal="center" vertical="center"/>
    </xf>
    <xf numFmtId="171" fontId="109" fillId="25" borderId="36" xfId="0" quotePrefix="1" applyNumberFormat="1" applyFont="1" applyFill="1" applyBorder="1" applyAlignment="1">
      <alignment horizontal="center" vertical="center"/>
    </xf>
    <xf numFmtId="1" fontId="138" fillId="0" borderId="0" xfId="0" applyNumberFormat="1" applyFont="1" applyAlignment="1">
      <alignment horizontal="center"/>
    </xf>
    <xf numFmtId="1" fontId="111" fillId="0" borderId="0" xfId="0" applyNumberFormat="1" applyFont="1" applyAlignment="1">
      <alignment horizontal="center"/>
    </xf>
    <xf numFmtId="0" fontId="0" fillId="0" borderId="0" xfId="0"/>
    <xf numFmtId="1" fontId="138" fillId="0" borderId="34" xfId="0" applyNumberFormat="1" applyFont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1" fontId="138" fillId="25" borderId="74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0" fontId="119" fillId="19" borderId="1" xfId="0" applyFont="1" applyFill="1" applyBorder="1" applyAlignment="1">
      <alignment horizontal="center" vertical="center"/>
    </xf>
    <xf numFmtId="1" fontId="138" fillId="19" borderId="34" xfId="0" applyNumberFormat="1" applyFont="1" applyFill="1" applyBorder="1" applyAlignment="1">
      <alignment horizontal="center" vertical="center"/>
    </xf>
    <xf numFmtId="1" fontId="138" fillId="19" borderId="62" xfId="0" applyNumberFormat="1" applyFont="1" applyFill="1" applyBorder="1" applyAlignment="1">
      <alignment horizontal="center" vertical="center"/>
    </xf>
    <xf numFmtId="1" fontId="138" fillId="19" borderId="74" xfId="0" applyNumberFormat="1" applyFont="1" applyFill="1" applyBorder="1" applyAlignment="1">
      <alignment horizontal="center" vertical="center"/>
    </xf>
    <xf numFmtId="0" fontId="119" fillId="0" borderId="4" xfId="0" applyFont="1" applyBorder="1" applyAlignment="1">
      <alignment horizontal="center" vertical="center"/>
    </xf>
    <xf numFmtId="1" fontId="134" fillId="25" borderId="32" xfId="0" applyNumberFormat="1" applyFont="1" applyFill="1" applyBorder="1" applyAlignment="1">
      <alignment horizontal="center" vertical="center"/>
    </xf>
    <xf numFmtId="1" fontId="134" fillId="19" borderId="25" xfId="0" applyNumberFormat="1" applyFont="1" applyFill="1" applyBorder="1" applyAlignment="1">
      <alignment horizontal="center" vertical="center"/>
    </xf>
    <xf numFmtId="1" fontId="134" fillId="25" borderId="59" xfId="0" applyNumberFormat="1" applyFont="1" applyFill="1" applyBorder="1" applyAlignment="1">
      <alignment horizontal="center" vertical="center"/>
    </xf>
    <xf numFmtId="0" fontId="112" fillId="0" borderId="55" xfId="0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1" fontId="134" fillId="20" borderId="32" xfId="0" applyNumberFormat="1" applyFont="1" applyFill="1" applyBorder="1" applyAlignment="1">
      <alignment horizontal="center" vertical="center"/>
    </xf>
    <xf numFmtId="1" fontId="54" fillId="20" borderId="61" xfId="0" applyNumberFormat="1" applyFont="1" applyFill="1" applyBorder="1" applyAlignment="1">
      <alignment horizontal="center" vertical="center"/>
    </xf>
    <xf numFmtId="1" fontId="112" fillId="20" borderId="31" xfId="0" applyNumberFormat="1" applyFont="1" applyFill="1" applyBorder="1" applyAlignment="1">
      <alignment horizontal="center" vertical="center"/>
    </xf>
    <xf numFmtId="1" fontId="138" fillId="20" borderId="62" xfId="0" applyNumberFormat="1" applyFont="1" applyFill="1" applyBorder="1" applyAlignment="1">
      <alignment horizontal="center" vertical="center"/>
    </xf>
    <xf numFmtId="1" fontId="138" fillId="20" borderId="74" xfId="0" applyNumberFormat="1" applyFont="1" applyFill="1" applyBorder="1" applyAlignment="1">
      <alignment horizontal="center" vertical="center"/>
    </xf>
    <xf numFmtId="1" fontId="138" fillId="20" borderId="34" xfId="0" applyNumberFormat="1" applyFont="1" applyFill="1" applyBorder="1" applyAlignment="1">
      <alignment horizontal="center" vertical="center"/>
    </xf>
    <xf numFmtId="1" fontId="134" fillId="20" borderId="25" xfId="0" applyNumberFormat="1" applyFont="1" applyFill="1" applyBorder="1" applyAlignment="1">
      <alignment horizontal="center" vertical="center"/>
    </xf>
    <xf numFmtId="1" fontId="134" fillId="20" borderId="62" xfId="0" applyNumberFormat="1" applyFont="1" applyFill="1" applyBorder="1" applyAlignment="1">
      <alignment horizontal="center" vertical="center"/>
    </xf>
    <xf numFmtId="1" fontId="134" fillId="19" borderId="62" xfId="0" applyNumberFormat="1" applyFont="1" applyFill="1" applyBorder="1" applyAlignment="1">
      <alignment horizontal="center" vertical="center"/>
    </xf>
    <xf numFmtId="1" fontId="134" fillId="0" borderId="36" xfId="0" applyNumberFormat="1" applyFont="1" applyBorder="1" applyAlignment="1">
      <alignment horizontal="center" vertical="center"/>
    </xf>
    <xf numFmtId="0" fontId="112" fillId="20" borderId="1" xfId="0" applyFont="1" applyFill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1" fontId="75" fillId="25" borderId="29" xfId="0" applyNumberFormat="1" applyFont="1" applyFill="1" applyBorder="1" applyAlignment="1">
      <alignment horizontal="center" vertical="center"/>
    </xf>
    <xf numFmtId="1" fontId="75" fillId="25" borderId="38" xfId="0" applyNumberFormat="1" applyFont="1" applyFill="1" applyBorder="1" applyAlignment="1">
      <alignment horizontal="center" vertical="center"/>
    </xf>
    <xf numFmtId="1" fontId="75" fillId="25" borderId="8" xfId="0" applyNumberFormat="1" applyFont="1" applyFill="1" applyBorder="1" applyAlignment="1">
      <alignment horizontal="center" vertical="center"/>
    </xf>
    <xf numFmtId="0" fontId="75" fillId="0" borderId="36" xfId="0" applyFont="1" applyBorder="1" applyAlignment="1">
      <alignment horizontal="center" vertical="center"/>
    </xf>
    <xf numFmtId="1" fontId="74" fillId="0" borderId="9" xfId="0" applyNumberFormat="1" applyFont="1" applyBorder="1" applyAlignment="1">
      <alignment horizontal="center" vertical="center"/>
    </xf>
    <xf numFmtId="1" fontId="74" fillId="19" borderId="9" xfId="0" applyNumberFormat="1" applyFont="1" applyFill="1" applyBorder="1" applyAlignment="1">
      <alignment horizontal="center"/>
    </xf>
    <xf numFmtId="1" fontId="75" fillId="19" borderId="74" xfId="0" applyNumberFormat="1" applyFont="1" applyFill="1" applyBorder="1" applyAlignment="1">
      <alignment horizontal="center" vertical="center"/>
    </xf>
    <xf numFmtId="1" fontId="75" fillId="19" borderId="34" xfId="0" applyNumberFormat="1" applyFont="1" applyFill="1" applyBorder="1" applyAlignment="1">
      <alignment horizontal="center" vertical="center"/>
    </xf>
    <xf numFmtId="1" fontId="75" fillId="19" borderId="31" xfId="0" applyNumberFormat="1" applyFont="1" applyFill="1" applyBorder="1" applyAlignment="1">
      <alignment horizontal="center" vertical="center"/>
    </xf>
    <xf numFmtId="1" fontId="75" fillId="19" borderId="46" xfId="0" applyNumberFormat="1" applyFont="1" applyFill="1" applyBorder="1" applyAlignment="1">
      <alignment horizontal="center" vertical="center"/>
    </xf>
    <xf numFmtId="1" fontId="75" fillId="19" borderId="30" xfId="0" applyNumberFormat="1" applyFont="1" applyFill="1" applyBorder="1" applyAlignment="1">
      <alignment horizontal="center" vertical="center"/>
    </xf>
    <xf numFmtId="1" fontId="75" fillId="19" borderId="45" xfId="0" applyNumberFormat="1" applyFont="1" applyFill="1" applyBorder="1" applyAlignment="1">
      <alignment horizontal="center" vertical="center"/>
    </xf>
    <xf numFmtId="1" fontId="74" fillId="19" borderId="74" xfId="0" applyNumberFormat="1" applyFont="1" applyFill="1" applyBorder="1" applyAlignment="1">
      <alignment horizontal="center" vertical="center"/>
    </xf>
    <xf numFmtId="1" fontId="74" fillId="19" borderId="9" xfId="0" applyNumberFormat="1" applyFont="1" applyFill="1" applyBorder="1" applyAlignment="1">
      <alignment horizontal="center" vertical="center"/>
    </xf>
    <xf numFmtId="1" fontId="74" fillId="19" borderId="34" xfId="0" applyNumberFormat="1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1" fontId="75" fillId="20" borderId="62" xfId="0" applyNumberFormat="1" applyFont="1" applyFill="1" applyBorder="1" applyAlignment="1">
      <alignment horizontal="center" vertical="center"/>
    </xf>
    <xf numFmtId="1" fontId="75" fillId="20" borderId="74" xfId="0" applyNumberFormat="1" applyFont="1" applyFill="1" applyBorder="1" applyAlignment="1">
      <alignment horizontal="center" vertical="center"/>
    </xf>
    <xf numFmtId="1" fontId="74" fillId="20" borderId="9" xfId="0" applyNumberFormat="1" applyFont="1" applyFill="1" applyBorder="1" applyAlignment="1">
      <alignment horizontal="center"/>
    </xf>
    <xf numFmtId="1" fontId="75" fillId="20" borderId="34" xfId="0" applyNumberFormat="1" applyFont="1" applyFill="1" applyBorder="1" applyAlignment="1">
      <alignment horizontal="center" vertical="center"/>
    </xf>
    <xf numFmtId="1" fontId="75" fillId="20" borderId="31" xfId="0" applyNumberFormat="1" applyFont="1" applyFill="1" applyBorder="1" applyAlignment="1">
      <alignment horizontal="center" vertical="center"/>
    </xf>
    <xf numFmtId="1" fontId="75" fillId="20" borderId="45" xfId="0" applyNumberFormat="1" applyFont="1" applyFill="1" applyBorder="1" applyAlignment="1">
      <alignment horizontal="center" vertical="center"/>
    </xf>
    <xf numFmtId="1" fontId="75" fillId="20" borderId="46" xfId="0" applyNumberFormat="1" applyFont="1" applyFill="1" applyBorder="1" applyAlignment="1">
      <alignment horizontal="center" vertical="center"/>
    </xf>
    <xf numFmtId="1" fontId="74" fillId="20" borderId="74" xfId="0" applyNumberFormat="1" applyFont="1" applyFill="1" applyBorder="1" applyAlignment="1">
      <alignment horizontal="center" vertical="center"/>
    </xf>
    <xf numFmtId="1" fontId="74" fillId="20" borderId="9" xfId="0" applyNumberFormat="1" applyFont="1" applyFill="1" applyBorder="1" applyAlignment="1">
      <alignment horizontal="center" vertical="center"/>
    </xf>
    <xf numFmtId="1" fontId="74" fillId="20" borderId="34" xfId="0" applyNumberFormat="1" applyFont="1" applyFill="1" applyBorder="1" applyAlignment="1">
      <alignment horizontal="center" vertical="center"/>
    </xf>
    <xf numFmtId="0" fontId="75" fillId="0" borderId="6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74" fillId="25" borderId="62" xfId="0" applyNumberFormat="1" applyFont="1" applyFill="1" applyBorder="1" applyAlignment="1">
      <alignment horizontal="center" vertical="center"/>
    </xf>
    <xf numFmtId="1" fontId="74" fillId="25" borderId="9" xfId="0" applyNumberFormat="1" applyFont="1" applyFill="1" applyBorder="1" applyAlignment="1">
      <alignment horizontal="center" vertical="center"/>
    </xf>
    <xf numFmtId="0" fontId="114" fillId="19" borderId="1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center" vertical="center"/>
    </xf>
    <xf numFmtId="0" fontId="138" fillId="0" borderId="10" xfId="0" applyFont="1" applyBorder="1" applyAlignment="1">
      <alignment horizontal="center" vertical="center"/>
    </xf>
    <xf numFmtId="0" fontId="119" fillId="0" borderId="10" xfId="0" applyFont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1" fontId="138" fillId="19" borderId="29" xfId="0" applyNumberFormat="1" applyFont="1" applyFill="1" applyBorder="1" applyAlignment="1">
      <alignment horizontal="center" vertical="center"/>
    </xf>
    <xf numFmtId="1" fontId="138" fillId="20" borderId="29" xfId="0" applyNumberFormat="1" applyFont="1" applyFill="1" applyBorder="1" applyAlignment="1">
      <alignment horizontal="center" vertical="center"/>
    </xf>
    <xf numFmtId="1" fontId="125" fillId="19" borderId="9" xfId="0" applyNumberFormat="1" applyFont="1" applyFill="1" applyBorder="1" applyAlignment="1">
      <alignment horizontal="center" vertical="center"/>
    </xf>
    <xf numFmtId="1" fontId="125" fillId="20" borderId="62" xfId="0" applyNumberFormat="1" applyFont="1" applyFill="1" applyBorder="1" applyAlignment="1">
      <alignment horizontal="center" vertical="center"/>
    </xf>
    <xf numFmtId="1" fontId="125" fillId="20" borderId="9" xfId="0" applyNumberFormat="1" applyFont="1" applyFill="1" applyBorder="1" applyAlignment="1">
      <alignment horizontal="center" vertical="center"/>
    </xf>
    <xf numFmtId="0" fontId="138" fillId="21" borderId="62" xfId="0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0" fontId="138" fillId="20" borderId="62" xfId="0" applyFont="1" applyFill="1" applyBorder="1" applyAlignment="1">
      <alignment horizontal="center" vertical="center"/>
    </xf>
    <xf numFmtId="0" fontId="112" fillId="20" borderId="4" xfId="0" applyFont="1" applyFill="1" applyBorder="1" applyAlignment="1">
      <alignment horizontal="center" vertical="center"/>
    </xf>
    <xf numFmtId="0" fontId="138" fillId="20" borderId="34" xfId="0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138" fillId="19" borderId="34" xfId="0" applyFont="1" applyFill="1" applyBorder="1" applyAlignment="1">
      <alignment horizontal="center" vertical="center"/>
    </xf>
    <xf numFmtId="0" fontId="138" fillId="25" borderId="8" xfId="0" applyFont="1" applyFill="1" applyBorder="1" applyAlignment="1">
      <alignment horizontal="center" vertical="center"/>
    </xf>
    <xf numFmtId="2" fontId="111" fillId="0" borderId="48" xfId="0" applyNumberFormat="1" applyFont="1" applyBorder="1" applyAlignment="1">
      <alignment horizontal="center" vertical="center"/>
    </xf>
    <xf numFmtId="2" fontId="111" fillId="0" borderId="53" xfId="0" applyNumberFormat="1" applyFont="1" applyBorder="1" applyAlignment="1">
      <alignment horizontal="center" vertical="center"/>
    </xf>
    <xf numFmtId="0" fontId="0" fillId="0" borderId="0" xfId="0"/>
    <xf numFmtId="1" fontId="138" fillId="0" borderId="34" xfId="0" applyNumberFormat="1" applyFont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1" fontId="138" fillId="25" borderId="74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112" fillId="19" borderId="31" xfId="0" applyNumberFormat="1" applyFont="1" applyFill="1" applyBorder="1" applyAlignment="1">
      <alignment horizontal="center" vertical="center"/>
    </xf>
    <xf numFmtId="1" fontId="138" fillId="19" borderId="34" xfId="0" applyNumberFormat="1" applyFont="1" applyFill="1" applyBorder="1" applyAlignment="1">
      <alignment horizontal="center" vertical="center"/>
    </xf>
    <xf numFmtId="1" fontId="138" fillId="19" borderId="62" xfId="0" applyNumberFormat="1" applyFont="1" applyFill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1" fontId="134" fillId="0" borderId="36" xfId="0" applyNumberFormat="1" applyFont="1" applyBorder="1" applyAlignment="1">
      <alignment horizontal="center" vertical="center"/>
    </xf>
    <xf numFmtId="0" fontId="112" fillId="19" borderId="4" xfId="0" applyFont="1" applyFill="1" applyBorder="1" applyAlignment="1">
      <alignment horizontal="center" vertical="center"/>
    </xf>
    <xf numFmtId="0" fontId="112" fillId="20" borderId="1" xfId="0" applyFont="1" applyFill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25" fillId="19" borderId="62" xfId="0" applyNumberFormat="1" applyFont="1" applyFill="1" applyBorder="1" applyAlignment="1">
      <alignment horizontal="center" vertical="center"/>
    </xf>
    <xf numFmtId="1" fontId="125" fillId="20" borderId="62" xfId="0" applyNumberFormat="1" applyFont="1" applyFill="1" applyBorder="1" applyAlignment="1">
      <alignment horizontal="center" vertical="center"/>
    </xf>
    <xf numFmtId="1" fontId="138" fillId="25" borderId="36" xfId="0" quotePrefix="1" applyNumberFormat="1" applyFont="1" applyFill="1" applyBorder="1" applyAlignment="1">
      <alignment horizontal="center" vertical="center"/>
    </xf>
    <xf numFmtId="0" fontId="112" fillId="20" borderId="4" xfId="0" applyFont="1" applyFill="1" applyBorder="1" applyAlignment="1">
      <alignment horizontal="center" vertical="center"/>
    </xf>
    <xf numFmtId="1" fontId="138" fillId="25" borderId="111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0" fontId="138" fillId="19" borderId="34" xfId="0" applyFont="1" applyFill="1" applyBorder="1" applyAlignment="1">
      <alignment horizontal="center" vertical="center"/>
    </xf>
    <xf numFmtId="0" fontId="119" fillId="25" borderId="1" xfId="0" applyFont="1" applyFill="1" applyBorder="1" applyAlignment="1">
      <alignment horizontal="center" vertical="center"/>
    </xf>
    <xf numFmtId="1" fontId="125" fillId="25" borderId="10" xfId="0" applyNumberFormat="1" applyFont="1" applyFill="1" applyBorder="1" applyAlignment="1">
      <alignment horizontal="center" vertical="center"/>
    </xf>
    <xf numFmtId="1" fontId="125" fillId="25" borderId="31" xfId="0" applyNumberFormat="1" applyFont="1" applyFill="1" applyBorder="1" applyAlignment="1">
      <alignment horizontal="center" vertical="center"/>
    </xf>
    <xf numFmtId="1" fontId="125" fillId="25" borderId="32" xfId="0" applyNumberFormat="1" applyFont="1" applyFill="1" applyBorder="1" applyAlignment="1">
      <alignment horizontal="center" vertical="center"/>
    </xf>
    <xf numFmtId="169" fontId="125" fillId="19" borderId="10" xfId="0" applyNumberFormat="1" applyFont="1" applyFill="1" applyBorder="1" applyAlignment="1">
      <alignment horizontal="center" vertical="center"/>
    </xf>
    <xf numFmtId="169" fontId="125" fillId="20" borderId="10" xfId="0" applyNumberFormat="1" applyFont="1" applyFill="1" applyBorder="1" applyAlignment="1">
      <alignment horizontal="center" vertical="center"/>
    </xf>
    <xf numFmtId="0" fontId="65" fillId="25" borderId="0" xfId="0" applyFont="1" applyFill="1" applyBorder="1" applyAlignment="1">
      <alignment vertical="center"/>
    </xf>
    <xf numFmtId="0" fontId="112" fillId="19" borderId="26" xfId="0" applyFont="1" applyFill="1" applyBorder="1" applyAlignment="1">
      <alignment horizontal="center" vertical="center"/>
    </xf>
    <xf numFmtId="1" fontId="154" fillId="25" borderId="0" xfId="0" applyNumberFormat="1" applyFont="1" applyFill="1"/>
    <xf numFmtId="0" fontId="119" fillId="19" borderId="37" xfId="0" applyFont="1" applyFill="1" applyBorder="1" applyAlignment="1">
      <alignment horizontal="center" vertical="center"/>
    </xf>
    <xf numFmtId="0" fontId="0" fillId="19" borderId="72" xfId="0" applyFill="1" applyBorder="1" applyAlignment="1">
      <alignment horizontal="center"/>
    </xf>
    <xf numFmtId="169" fontId="54" fillId="19" borderId="37" xfId="0" applyNumberFormat="1" applyFont="1" applyFill="1" applyBorder="1" applyAlignment="1">
      <alignment horizontal="center" vertical="center"/>
    </xf>
    <xf numFmtId="169" fontId="109" fillId="19" borderId="37" xfId="0" applyNumberFormat="1" applyFont="1" applyFill="1" applyBorder="1" applyAlignment="1">
      <alignment horizontal="center" vertical="center"/>
    </xf>
    <xf numFmtId="1" fontId="109" fillId="19" borderId="37" xfId="0" applyNumberFormat="1" applyFont="1" applyFill="1" applyBorder="1" applyAlignment="1">
      <alignment horizontal="center" vertical="center"/>
    </xf>
    <xf numFmtId="1" fontId="109" fillId="19" borderId="65" xfId="0" applyNumberFormat="1" applyFont="1" applyFill="1" applyBorder="1" applyAlignment="1">
      <alignment horizontal="center" vertical="center"/>
    </xf>
    <xf numFmtId="0" fontId="151" fillId="19" borderId="48" xfId="0" applyFont="1" applyFill="1" applyBorder="1" applyAlignment="1">
      <alignment vertical="center"/>
    </xf>
    <xf numFmtId="169" fontId="109" fillId="19" borderId="75" xfId="0" applyNumberFormat="1" applyFont="1" applyFill="1" applyBorder="1" applyAlignment="1">
      <alignment horizontal="center" vertical="center"/>
    </xf>
    <xf numFmtId="1" fontId="220" fillId="19" borderId="38" xfId="0" applyNumberFormat="1" applyFont="1" applyFill="1" applyBorder="1" applyAlignment="1">
      <alignment horizontal="center"/>
    </xf>
    <xf numFmtId="1" fontId="220" fillId="19" borderId="8" xfId="0" applyNumberFormat="1" applyFont="1" applyFill="1" applyBorder="1" applyAlignment="1">
      <alignment horizontal="center"/>
    </xf>
    <xf numFmtId="1" fontId="54" fillId="0" borderId="0" xfId="0" applyNumberFormat="1" applyFont="1" applyAlignment="1">
      <alignment vertical="center"/>
    </xf>
    <xf numFmtId="169" fontId="261" fillId="20" borderId="34" xfId="0" applyNumberFormat="1" applyFont="1" applyFill="1" applyBorder="1" applyAlignment="1">
      <alignment horizontal="center" vertical="center"/>
    </xf>
    <xf numFmtId="169" fontId="261" fillId="20" borderId="9" xfId="0" applyNumberFormat="1" applyFont="1" applyFill="1" applyBorder="1" applyAlignment="1">
      <alignment horizontal="center" vertical="center"/>
    </xf>
    <xf numFmtId="2" fontId="261" fillId="20" borderId="53" xfId="0" applyNumberFormat="1" applyFont="1" applyFill="1" applyBorder="1" applyAlignment="1">
      <alignment horizontal="center" vertical="center"/>
    </xf>
    <xf numFmtId="1" fontId="261" fillId="20" borderId="31" xfId="0" applyNumberFormat="1" applyFont="1" applyFill="1" applyBorder="1" applyAlignment="1">
      <alignment horizontal="center" vertical="center"/>
    </xf>
    <xf numFmtId="1" fontId="261" fillId="20" borderId="17" xfId="0" applyNumberFormat="1" applyFont="1" applyFill="1" applyBorder="1" applyAlignment="1">
      <alignment horizontal="center" vertical="center"/>
    </xf>
    <xf numFmtId="2" fontId="261" fillId="20" borderId="17" xfId="0" applyNumberFormat="1" applyFont="1" applyFill="1" applyBorder="1" applyAlignment="1">
      <alignment horizontal="center" vertical="center"/>
    </xf>
    <xf numFmtId="1" fontId="261" fillId="20" borderId="9" xfId="0" applyNumberFormat="1" applyFont="1" applyFill="1" applyBorder="1" applyAlignment="1">
      <alignment horizontal="center" vertical="center"/>
    </xf>
    <xf numFmtId="0" fontId="0" fillId="0" borderId="0" xfId="0"/>
    <xf numFmtId="0" fontId="112" fillId="0" borderId="4" xfId="0" applyFont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1" fontId="125" fillId="19" borderId="9" xfId="0" applyNumberFormat="1" applyFont="1" applyFill="1" applyBorder="1" applyAlignment="1">
      <alignment horizontal="center" vertical="center"/>
    </xf>
    <xf numFmtId="0" fontId="112" fillId="20" borderId="4" xfId="0" applyFont="1" applyFill="1" applyBorder="1" applyAlignment="1">
      <alignment horizontal="center" vertical="center"/>
    </xf>
    <xf numFmtId="1" fontId="262" fillId="25" borderId="5" xfId="0" applyNumberFormat="1" applyFont="1" applyFill="1" applyBorder="1" applyAlignment="1">
      <alignment horizontal="center" vertical="center"/>
    </xf>
    <xf numFmtId="0" fontId="109" fillId="25" borderId="19" xfId="0" applyFont="1" applyFill="1" applyBorder="1" applyAlignment="1">
      <alignment vertical="center"/>
    </xf>
    <xf numFmtId="0" fontId="65" fillId="0" borderId="9" xfId="0" applyFont="1" applyBorder="1" applyAlignment="1">
      <alignment vertical="center"/>
    </xf>
    <xf numFmtId="0" fontId="65" fillId="0" borderId="26" xfId="0" applyFont="1" applyBorder="1" applyAlignment="1">
      <alignment vertical="center"/>
    </xf>
    <xf numFmtId="0" fontId="68" fillId="0" borderId="73" xfId="0" applyFont="1" applyBorder="1" applyAlignment="1">
      <alignment horizontal="center" vertical="center"/>
    </xf>
    <xf numFmtId="169" fontId="125" fillId="0" borderId="69" xfId="0" applyNumberFormat="1" applyFont="1" applyBorder="1" applyAlignment="1">
      <alignment horizontal="center" vertical="center"/>
    </xf>
    <xf numFmtId="169" fontId="109" fillId="0" borderId="14" xfId="0" applyNumberFormat="1" applyFont="1" applyBorder="1" applyAlignment="1">
      <alignment horizontal="center" vertical="center"/>
    </xf>
    <xf numFmtId="0" fontId="0" fillId="0" borderId="0" xfId="0"/>
    <xf numFmtId="1" fontId="54" fillId="25" borderId="61" xfId="0" applyNumberFormat="1" applyFont="1" applyFill="1" applyBorder="1" applyAlignment="1">
      <alignment horizontal="center" vertical="center"/>
    </xf>
    <xf numFmtId="1" fontId="75" fillId="21" borderId="74" xfId="0" applyNumberFormat="1" applyFont="1" applyFill="1" applyBorder="1" applyAlignment="1">
      <alignment horizontal="center" vertical="center"/>
    </xf>
    <xf numFmtId="1" fontId="75" fillId="25" borderId="38" xfId="0" applyNumberFormat="1" applyFont="1" applyFill="1" applyBorder="1" applyAlignment="1">
      <alignment horizontal="center" vertical="center"/>
    </xf>
    <xf numFmtId="1" fontId="75" fillId="19" borderId="74" xfId="0" applyNumberFormat="1" applyFont="1" applyFill="1" applyBorder="1" applyAlignment="1">
      <alignment horizontal="center" vertical="center"/>
    </xf>
    <xf numFmtId="1" fontId="75" fillId="20" borderId="74" xfId="0" applyNumberFormat="1" applyFont="1" applyFill="1" applyBorder="1" applyAlignment="1">
      <alignment horizontal="center" vertical="center"/>
    </xf>
    <xf numFmtId="0" fontId="0" fillId="0" borderId="0" xfId="0"/>
    <xf numFmtId="0" fontId="135" fillId="25" borderId="39" xfId="0" applyFont="1" applyFill="1" applyBorder="1" applyAlignment="1">
      <alignment vertical="center"/>
    </xf>
    <xf numFmtId="0" fontId="128" fillId="25" borderId="39" xfId="0" applyFont="1" applyFill="1" applyBorder="1" applyAlignment="1">
      <alignment vertical="center"/>
    </xf>
    <xf numFmtId="169" fontId="138" fillId="21" borderId="8" xfId="0" applyNumberFormat="1" applyFont="1" applyFill="1" applyBorder="1" applyAlignment="1">
      <alignment horizontal="center" vertical="center"/>
    </xf>
    <xf numFmtId="169" fontId="138" fillId="19" borderId="53" xfId="0" applyNumberFormat="1" applyFont="1" applyFill="1" applyBorder="1" applyAlignment="1">
      <alignment horizontal="center" vertical="center"/>
    </xf>
    <xf numFmtId="169" fontId="138" fillId="20" borderId="8" xfId="0" applyNumberFormat="1" applyFont="1" applyFill="1" applyBorder="1" applyAlignment="1">
      <alignment horizontal="center" vertical="center"/>
    </xf>
    <xf numFmtId="169" fontId="138" fillId="21" borderId="1" xfId="0" applyNumberFormat="1" applyFont="1" applyFill="1" applyBorder="1" applyAlignment="1">
      <alignment horizontal="center" vertical="center"/>
    </xf>
    <xf numFmtId="169" fontId="111" fillId="21" borderId="11" xfId="0" applyNumberFormat="1" applyFont="1" applyFill="1" applyBorder="1" applyAlignment="1">
      <alignment horizontal="center" vertical="center"/>
    </xf>
    <xf numFmtId="169" fontId="138" fillId="0" borderId="4" xfId="0" applyNumberFormat="1" applyFont="1" applyBorder="1" applyAlignment="1">
      <alignment horizontal="center" vertical="center"/>
    </xf>
    <xf numFmtId="169" fontId="138" fillId="21" borderId="4" xfId="0" applyNumberFormat="1" applyFont="1" applyFill="1" applyBorder="1" applyAlignment="1">
      <alignment horizontal="center" vertical="center"/>
    </xf>
    <xf numFmtId="169" fontId="138" fillId="19" borderId="4" xfId="0" applyNumberFormat="1" applyFont="1" applyFill="1" applyBorder="1" applyAlignment="1">
      <alignment horizontal="center" vertical="center"/>
    </xf>
    <xf numFmtId="169" fontId="111" fillId="19" borderId="11" xfId="0" applyNumberFormat="1" applyFont="1" applyFill="1" applyBorder="1" applyAlignment="1">
      <alignment horizontal="center" vertical="center"/>
    </xf>
    <xf numFmtId="1" fontId="75" fillId="25" borderId="38" xfId="0" applyNumberFormat="1" applyFont="1" applyFill="1" applyBorder="1" applyAlignment="1">
      <alignment horizontal="center"/>
    </xf>
    <xf numFmtId="1" fontId="138" fillId="25" borderId="111" xfId="0" applyNumberFormat="1" applyFont="1" applyFill="1" applyBorder="1" applyAlignment="1">
      <alignment horizontal="center" vertical="center"/>
    </xf>
    <xf numFmtId="0" fontId="111" fillId="0" borderId="37" xfId="0" applyFont="1" applyBorder="1" applyAlignment="1">
      <alignment horizontal="center" vertical="center"/>
    </xf>
    <xf numFmtId="0" fontId="111" fillId="0" borderId="29" xfId="0" applyFont="1" applyBorder="1" applyAlignment="1">
      <alignment horizontal="center" vertical="center"/>
    </xf>
    <xf numFmtId="171" fontId="138" fillId="20" borderId="17" xfId="0" applyNumberFormat="1" applyFont="1" applyFill="1" applyBorder="1" applyAlignment="1">
      <alignment horizontal="center" vertical="center"/>
    </xf>
    <xf numFmtId="171" fontId="54" fillId="20" borderId="17" xfId="0" applyNumberFormat="1" applyFont="1" applyFill="1" applyBorder="1" applyAlignment="1">
      <alignment horizontal="center" vertical="center"/>
    </xf>
    <xf numFmtId="171" fontId="111" fillId="59" borderId="42" xfId="0" applyNumberFormat="1" applyFont="1" applyFill="1" applyBorder="1" applyAlignment="1">
      <alignment horizontal="center" vertical="center"/>
    </xf>
    <xf numFmtId="171" fontId="111" fillId="59" borderId="72" xfId="0" applyNumberFormat="1" applyFont="1" applyFill="1" applyBorder="1" applyAlignment="1">
      <alignment horizontal="center" vertical="center"/>
    </xf>
    <xf numFmtId="0" fontId="42" fillId="0" borderId="60" xfId="0" applyFont="1" applyBorder="1" applyAlignment="1">
      <alignment horizontal="right" vertical="top"/>
    </xf>
    <xf numFmtId="0" fontId="42" fillId="0" borderId="40" xfId="0" applyFont="1" applyBorder="1" applyAlignment="1">
      <alignment horizontal="right" vertical="top"/>
    </xf>
    <xf numFmtId="0" fontId="42" fillId="0" borderId="22" xfId="0" applyFont="1" applyBorder="1" applyAlignment="1">
      <alignment horizontal="right" vertical="top"/>
    </xf>
    <xf numFmtId="0" fontId="42" fillId="0" borderId="43" xfId="0" applyFont="1" applyBorder="1" applyAlignment="1">
      <alignment horizontal="right" vertical="top"/>
    </xf>
    <xf numFmtId="169" fontId="76" fillId="0" borderId="43" xfId="0" quotePrefix="1" applyNumberFormat="1" applyFont="1" applyBorder="1" applyAlignment="1">
      <alignment horizontal="center" vertical="top"/>
    </xf>
    <xf numFmtId="169" fontId="76" fillId="0" borderId="40" xfId="0" quotePrefix="1" applyNumberFormat="1" applyFont="1" applyBorder="1" applyAlignment="1">
      <alignment horizontal="center" vertical="top"/>
    </xf>
    <xf numFmtId="169" fontId="76" fillId="0" borderId="16" xfId="0" quotePrefix="1" applyNumberFormat="1" applyFont="1" applyBorder="1" applyAlignment="1">
      <alignment horizontal="center" vertical="top"/>
    </xf>
    <xf numFmtId="0" fontId="76" fillId="10" borderId="111" xfId="0" applyFont="1" applyFill="1" applyBorder="1" applyAlignment="1">
      <alignment horizontal="left" vertical="center" wrapText="1"/>
    </xf>
    <xf numFmtId="0" fontId="76" fillId="10" borderId="69" xfId="0" applyFont="1" applyFill="1" applyBorder="1" applyAlignment="1">
      <alignment horizontal="left" vertical="center" wrapText="1"/>
    </xf>
    <xf numFmtId="0" fontId="76" fillId="10" borderId="76" xfId="0" applyFont="1" applyFill="1" applyBorder="1" applyAlignment="1">
      <alignment horizontal="left" vertical="center" wrapText="1"/>
    </xf>
    <xf numFmtId="0" fontId="76" fillId="10" borderId="9" xfId="0" applyFont="1" applyFill="1" applyBorder="1" applyAlignment="1">
      <alignment horizontal="left" vertical="center" wrapText="1"/>
    </xf>
    <xf numFmtId="170" fontId="35" fillId="22" borderId="31" xfId="4" applyFont="1" applyFill="1" applyBorder="1" applyAlignment="1">
      <alignment horizontal="center" vertical="center"/>
    </xf>
    <xf numFmtId="170" fontId="38" fillId="22" borderId="31" xfId="4" applyFont="1" applyFill="1" applyBorder="1" applyAlignment="1">
      <alignment vertical="center"/>
    </xf>
    <xf numFmtId="0" fontId="42" fillId="0" borderId="12" xfId="0" applyFont="1" applyBorder="1" applyAlignment="1">
      <alignment vertical="top"/>
    </xf>
    <xf numFmtId="0" fontId="42" fillId="0" borderId="16" xfId="0" applyFont="1" applyBorder="1" applyAlignment="1">
      <alignment horizontal="right" vertical="top"/>
    </xf>
    <xf numFmtId="0" fontId="42" fillId="0" borderId="12" xfId="0" applyFont="1" applyBorder="1" applyAlignment="1">
      <alignment horizontal="right" vertical="top"/>
    </xf>
    <xf numFmtId="2" fontId="42" fillId="0" borderId="12" xfId="0" applyNumberFormat="1" applyFont="1" applyBorder="1" applyAlignment="1">
      <alignment horizontal="right" vertical="top"/>
    </xf>
    <xf numFmtId="0" fontId="42" fillId="0" borderId="56" xfId="0" applyFont="1" applyBorder="1" applyAlignment="1">
      <alignment horizontal="right" vertical="top"/>
    </xf>
    <xf numFmtId="0" fontId="42" fillId="0" borderId="54" xfId="0" applyFont="1" applyBorder="1" applyAlignment="1">
      <alignment horizontal="right" vertical="top"/>
    </xf>
    <xf numFmtId="0" fontId="42" fillId="0" borderId="28" xfId="0" applyFont="1" applyBorder="1" applyAlignment="1">
      <alignment horizontal="right" vertical="top"/>
    </xf>
    <xf numFmtId="0" fontId="42" fillId="0" borderId="94" xfId="0" applyFont="1" applyBorder="1" applyAlignment="1">
      <alignment horizontal="center" vertical="top"/>
    </xf>
    <xf numFmtId="0" fontId="42" fillId="0" borderId="40" xfId="0" applyFont="1" applyBorder="1" applyAlignment="1">
      <alignment vertical="top"/>
    </xf>
    <xf numFmtId="0" fontId="42" fillId="0" borderId="16" xfId="0" applyFont="1" applyBorder="1" applyAlignment="1">
      <alignment vertical="top"/>
    </xf>
    <xf numFmtId="0" fontId="42" fillId="0" borderId="43" xfId="0" applyFont="1" applyBorder="1" applyAlignment="1">
      <alignment horizontal="center" vertical="top"/>
    </xf>
    <xf numFmtId="0" fontId="42" fillId="0" borderId="40" xfId="0" applyFont="1" applyBorder="1" applyAlignment="1">
      <alignment horizontal="center" vertical="top"/>
    </xf>
    <xf numFmtId="0" fontId="42" fillId="0" borderId="16" xfId="0" applyFont="1" applyBorder="1" applyAlignment="1">
      <alignment horizontal="center" vertical="top"/>
    </xf>
    <xf numFmtId="0" fontId="42" fillId="0" borderId="43" xfId="0" applyFont="1" applyBorder="1" applyAlignment="1">
      <alignment vertical="top"/>
    </xf>
    <xf numFmtId="0" fontId="42" fillId="0" borderId="20" xfId="0" applyFont="1" applyBorder="1" applyAlignment="1">
      <alignment horizontal="right" vertical="top"/>
    </xf>
    <xf numFmtId="0" fontId="171" fillId="0" borderId="54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9" fontId="57" fillId="0" borderId="18" xfId="0" applyNumberFormat="1" applyFont="1" applyBorder="1" applyAlignment="1">
      <alignment horizontal="right" vertical="top"/>
    </xf>
    <xf numFmtId="169" fontId="57" fillId="0" borderId="12" xfId="0" applyNumberFormat="1" applyFont="1" applyBorder="1" applyAlignment="1">
      <alignment horizontal="right" vertical="top"/>
    </xf>
    <xf numFmtId="2" fontId="42" fillId="0" borderId="60" xfId="0" applyNumberFormat="1" applyFont="1" applyBorder="1" applyAlignment="1">
      <alignment horizontal="right" vertical="top"/>
    </xf>
    <xf numFmtId="2" fontId="42" fillId="0" borderId="40" xfId="0" applyNumberFormat="1" applyFont="1" applyBorder="1" applyAlignment="1">
      <alignment horizontal="right" vertical="top"/>
    </xf>
    <xf numFmtId="2" fontId="42" fillId="0" borderId="105" xfId="0" applyNumberFormat="1" applyFont="1" applyBorder="1" applyAlignment="1">
      <alignment horizontal="right" vertical="top"/>
    </xf>
    <xf numFmtId="0" fontId="42" fillId="0" borderId="60" xfId="0" applyFont="1" applyBorder="1" applyAlignment="1">
      <alignment vertical="top"/>
    </xf>
    <xf numFmtId="0" fontId="42" fillId="0" borderId="20" xfId="0" applyFont="1" applyBorder="1" applyAlignment="1">
      <alignment vertical="top"/>
    </xf>
    <xf numFmtId="0" fontId="42" fillId="26" borderId="12" xfId="0" applyFont="1" applyFill="1" applyBorder="1" applyAlignment="1">
      <alignment horizontal="right" vertical="top"/>
    </xf>
    <xf numFmtId="0" fontId="42" fillId="26" borderId="20" xfId="0" applyFont="1" applyFill="1" applyBorder="1" applyAlignment="1">
      <alignment horizontal="right" vertical="top"/>
    </xf>
    <xf numFmtId="0" fontId="42" fillId="0" borderId="18" xfId="0" applyFont="1" applyBorder="1" applyAlignment="1">
      <alignment horizontal="right" vertical="top"/>
    </xf>
    <xf numFmtId="0" fontId="63" fillId="0" borderId="0" xfId="0" applyFont="1" applyAlignment="1">
      <alignment horizontal="center" vertical="center"/>
    </xf>
    <xf numFmtId="0" fontId="63" fillId="0" borderId="7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5" fillId="0" borderId="76" xfId="0" quotePrefix="1" applyFont="1" applyBorder="1" applyAlignment="1">
      <alignment horizontal="right" vertical="top"/>
    </xf>
    <xf numFmtId="0" fontId="35" fillId="0" borderId="74" xfId="0" quotePrefix="1" applyFont="1" applyBorder="1" applyAlignment="1">
      <alignment horizontal="right" vertical="top"/>
    </xf>
    <xf numFmtId="0" fontId="35" fillId="0" borderId="9" xfId="0" quotePrefix="1" applyFont="1" applyBorder="1" applyAlignment="1">
      <alignment horizontal="right" vertical="top"/>
    </xf>
    <xf numFmtId="0" fontId="35" fillId="0" borderId="43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79" fillId="0" borderId="76" xfId="0" quotePrefix="1" applyFont="1" applyBorder="1" applyAlignment="1">
      <alignment horizontal="right" vertical="center"/>
    </xf>
    <xf numFmtId="0" fontId="79" fillId="0" borderId="74" xfId="0" quotePrefix="1" applyFont="1" applyBorder="1" applyAlignment="1">
      <alignment horizontal="right" vertical="center"/>
    </xf>
    <xf numFmtId="0" fontId="79" fillId="0" borderId="9" xfId="0" quotePrefix="1" applyFont="1" applyBorder="1" applyAlignment="1">
      <alignment horizontal="right" vertical="center"/>
    </xf>
    <xf numFmtId="0" fontId="79" fillId="0" borderId="62" xfId="0" applyFont="1" applyBorder="1" applyAlignment="1">
      <alignment horizontal="right" vertical="center" wrapText="1"/>
    </xf>
    <xf numFmtId="0" fontId="79" fillId="0" borderId="74" xfId="0" applyFont="1" applyBorder="1" applyAlignment="1">
      <alignment horizontal="right" vertical="center" wrapText="1"/>
    </xf>
    <xf numFmtId="0" fontId="79" fillId="0" borderId="34" xfId="0" applyFont="1" applyBorder="1" applyAlignment="1">
      <alignment horizontal="right" vertical="center" wrapText="1"/>
    </xf>
    <xf numFmtId="0" fontId="79" fillId="0" borderId="62" xfId="0" quotePrefix="1" applyFont="1" applyBorder="1" applyAlignment="1">
      <alignment horizontal="right" vertical="top"/>
    </xf>
    <xf numFmtId="0" fontId="79" fillId="0" borderId="74" xfId="0" quotePrefix="1" applyFont="1" applyBorder="1" applyAlignment="1">
      <alignment horizontal="right" vertical="top"/>
    </xf>
    <xf numFmtId="0" fontId="79" fillId="0" borderId="9" xfId="0" quotePrefix="1" applyFont="1" applyBorder="1" applyAlignment="1">
      <alignment horizontal="right" vertical="top"/>
    </xf>
    <xf numFmtId="49" fontId="79" fillId="0" borderId="62" xfId="0" quotePrefix="1" applyNumberFormat="1" applyFont="1" applyBorder="1" applyAlignment="1">
      <alignment horizontal="right" vertical="center"/>
    </xf>
    <xf numFmtId="49" fontId="79" fillId="0" borderId="34" xfId="0" quotePrefix="1" applyNumberFormat="1" applyFont="1" applyBorder="1" applyAlignment="1">
      <alignment horizontal="right" vertical="center"/>
    </xf>
    <xf numFmtId="49" fontId="79" fillId="0" borderId="76" xfId="0" quotePrefix="1" applyNumberFormat="1" applyFont="1" applyBorder="1" applyAlignment="1">
      <alignment horizontal="right" vertical="center"/>
    </xf>
    <xf numFmtId="49" fontId="79" fillId="0" borderId="74" xfId="0" quotePrefix="1" applyNumberFormat="1" applyFont="1" applyBorder="1" applyAlignment="1">
      <alignment horizontal="right" vertical="center"/>
    </xf>
    <xf numFmtId="0" fontId="79" fillId="0" borderId="74" xfId="0" quotePrefix="1" applyFont="1" applyBorder="1" applyAlignment="1">
      <alignment horizontal="center" vertical="center"/>
    </xf>
    <xf numFmtId="0" fontId="79" fillId="0" borderId="9" xfId="0" quotePrefix="1" applyFont="1" applyBorder="1" applyAlignment="1">
      <alignment horizontal="center" vertical="center"/>
    </xf>
    <xf numFmtId="166" fontId="79" fillId="0" borderId="45" xfId="0" applyNumberFormat="1" applyFont="1" applyBorder="1" applyAlignment="1">
      <alignment horizontal="center" vertical="center"/>
    </xf>
    <xf numFmtId="166" fontId="79" fillId="0" borderId="46" xfId="0" applyNumberFormat="1" applyFont="1" applyBorder="1" applyAlignment="1">
      <alignment horizontal="center" vertical="center"/>
    </xf>
    <xf numFmtId="166" fontId="79" fillId="0" borderId="30" xfId="0" applyNumberFormat="1" applyFont="1" applyBorder="1" applyAlignment="1">
      <alignment horizontal="center" vertical="center"/>
    </xf>
    <xf numFmtId="0" fontId="63" fillId="13" borderId="40" xfId="0" applyFont="1" applyFill="1" applyBorder="1" applyAlignment="1">
      <alignment horizontal="center" vertical="center"/>
    </xf>
    <xf numFmtId="0" fontId="63" fillId="13" borderId="22" xfId="0" applyFont="1" applyFill="1" applyBorder="1" applyAlignment="1">
      <alignment horizontal="center" vertical="center"/>
    </xf>
    <xf numFmtId="0" fontId="63" fillId="0" borderId="64" xfId="0" applyFont="1" applyBorder="1" applyAlignment="1">
      <alignment horizontal="center" vertical="center"/>
    </xf>
    <xf numFmtId="0" fontId="63" fillId="0" borderId="48" xfId="0" applyFont="1" applyBorder="1" applyAlignment="1">
      <alignment horizontal="center" vertical="center"/>
    </xf>
    <xf numFmtId="0" fontId="63" fillId="14" borderId="60" xfId="0" applyFont="1" applyFill="1" applyBorder="1" applyAlignment="1">
      <alignment horizontal="center" vertical="center"/>
    </xf>
    <xf numFmtId="0" fontId="63" fillId="14" borderId="40" xfId="0" applyFont="1" applyFill="1" applyBorder="1" applyAlignment="1">
      <alignment horizontal="center" vertical="center"/>
    </xf>
    <xf numFmtId="0" fontId="63" fillId="14" borderId="22" xfId="0" applyFont="1" applyFill="1" applyBorder="1" applyAlignment="1">
      <alignment horizontal="center" vertical="center"/>
    </xf>
    <xf numFmtId="0" fontId="63" fillId="0" borderId="40" xfId="0" applyFont="1" applyBorder="1" applyAlignment="1">
      <alignment horizontal="center" vertical="center"/>
    </xf>
    <xf numFmtId="0" fontId="63" fillId="0" borderId="22" xfId="0" applyFont="1" applyBorder="1" applyAlignment="1">
      <alignment horizontal="center" vertical="center"/>
    </xf>
    <xf numFmtId="0" fontId="63" fillId="2" borderId="35" xfId="0" applyFont="1" applyFill="1" applyBorder="1" applyAlignment="1">
      <alignment horizontal="center" vertical="center"/>
    </xf>
    <xf numFmtId="0" fontId="63" fillId="2" borderId="52" xfId="0" applyFont="1" applyFill="1" applyBorder="1" applyAlignment="1">
      <alignment horizontal="center" vertical="center"/>
    </xf>
    <xf numFmtId="0" fontId="0" fillId="0" borderId="0" xfId="0"/>
    <xf numFmtId="0" fontId="63" fillId="3" borderId="40" xfId="0" applyFont="1" applyFill="1" applyBorder="1" applyAlignment="1">
      <alignment horizontal="center" vertical="center"/>
    </xf>
    <xf numFmtId="0" fontId="63" fillId="3" borderId="22" xfId="0" applyFont="1" applyFill="1" applyBorder="1" applyAlignment="1">
      <alignment horizontal="center" vertical="center"/>
    </xf>
    <xf numFmtId="0" fontId="31" fillId="2" borderId="40" xfId="0" applyFont="1" applyFill="1" applyBorder="1" applyAlignment="1">
      <alignment horizontal="center" vertical="center"/>
    </xf>
    <xf numFmtId="0" fontId="31" fillId="2" borderId="22" xfId="0" applyFont="1" applyFill="1" applyBorder="1" applyAlignment="1">
      <alignment horizontal="center" vertical="center"/>
    </xf>
    <xf numFmtId="0" fontId="63" fillId="2" borderId="40" xfId="0" applyFont="1" applyFill="1" applyBorder="1" applyAlignment="1">
      <alignment horizontal="center" vertical="center"/>
    </xf>
    <xf numFmtId="0" fontId="63" fillId="2" borderId="22" xfId="0" applyFont="1" applyFill="1" applyBorder="1" applyAlignment="1">
      <alignment horizontal="center" vertical="center"/>
    </xf>
    <xf numFmtId="0" fontId="63" fillId="0" borderId="54" xfId="0" applyFont="1" applyBorder="1" applyAlignment="1">
      <alignment horizontal="center" vertical="center"/>
    </xf>
    <xf numFmtId="0" fontId="63" fillId="0" borderId="50" xfId="0" applyFont="1" applyBorder="1" applyAlignment="1">
      <alignment horizontal="center" vertical="center"/>
    </xf>
    <xf numFmtId="0" fontId="63" fillId="5" borderId="40" xfId="0" applyFont="1" applyFill="1" applyBorder="1" applyAlignment="1">
      <alignment horizontal="center" vertical="center"/>
    </xf>
    <xf numFmtId="0" fontId="63" fillId="5" borderId="22" xfId="0" applyFont="1" applyFill="1" applyBorder="1" applyAlignment="1">
      <alignment horizontal="center" vertical="center"/>
    </xf>
    <xf numFmtId="0" fontId="19" fillId="2" borderId="60" xfId="0" applyFont="1" applyFill="1" applyBorder="1" applyAlignment="1">
      <alignment horizontal="center" vertical="center"/>
    </xf>
    <xf numFmtId="0" fontId="19" fillId="2" borderId="40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169" fontId="76" fillId="0" borderId="43" xfId="0" applyNumberFormat="1" applyFont="1" applyBorder="1" applyAlignment="1">
      <alignment horizontal="center" vertical="top"/>
    </xf>
    <xf numFmtId="169" fontId="76" fillId="0" borderId="40" xfId="0" applyNumberFormat="1" applyFont="1" applyBorder="1" applyAlignment="1">
      <alignment horizontal="center" vertical="top"/>
    </xf>
    <xf numFmtId="0" fontId="31" fillId="5" borderId="40" xfId="0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49" fontId="79" fillId="0" borderId="9" xfId="0" quotePrefix="1" applyNumberFormat="1" applyFont="1" applyBorder="1" applyAlignment="1">
      <alignment horizontal="right" vertical="center"/>
    </xf>
    <xf numFmtId="0" fontId="63" fillId="13" borderId="60" xfId="0" applyFont="1" applyFill="1" applyBorder="1" applyAlignment="1">
      <alignment horizontal="center" vertical="center"/>
    </xf>
    <xf numFmtId="0" fontId="63" fillId="0" borderId="65" xfId="0" applyFont="1" applyBorder="1" applyAlignment="1">
      <alignment horizontal="center" vertical="center"/>
    </xf>
    <xf numFmtId="1" fontId="134" fillId="20" borderId="25" xfId="0" applyNumberFormat="1" applyFont="1" applyFill="1" applyBorder="1" applyAlignment="1">
      <alignment horizontal="center" vertical="center"/>
    </xf>
    <xf numFmtId="1" fontId="134" fillId="20" borderId="21" xfId="0" applyNumberFormat="1" applyFont="1" applyFill="1" applyBorder="1" applyAlignment="1">
      <alignment horizontal="center" vertical="center"/>
    </xf>
    <xf numFmtId="1" fontId="54" fillId="20" borderId="44" xfId="0" applyNumberFormat="1" applyFont="1" applyFill="1" applyBorder="1" applyAlignment="1">
      <alignment horizontal="center" vertical="center"/>
    </xf>
    <xf numFmtId="1" fontId="54" fillId="20" borderId="61" xfId="0" applyNumberFormat="1" applyFont="1" applyFill="1" applyBorder="1" applyAlignment="1">
      <alignment horizontal="center" vertical="center"/>
    </xf>
    <xf numFmtId="1" fontId="54" fillId="20" borderId="25" xfId="0" applyNumberFormat="1" applyFont="1" applyFill="1" applyBorder="1" applyAlignment="1">
      <alignment horizontal="center" vertical="center"/>
    </xf>
    <xf numFmtId="1" fontId="54" fillId="20" borderId="21" xfId="0" applyNumberFormat="1" applyFont="1" applyFill="1" applyBorder="1" applyAlignment="1">
      <alignment horizontal="center" vertical="center"/>
    </xf>
    <xf numFmtId="1" fontId="54" fillId="19" borderId="44" xfId="0" applyNumberFormat="1" applyFont="1" applyFill="1" applyBorder="1" applyAlignment="1">
      <alignment horizontal="center" vertical="center"/>
    </xf>
    <xf numFmtId="1" fontId="54" fillId="19" borderId="61" xfId="0" applyNumberFormat="1" applyFont="1" applyFill="1" applyBorder="1" applyAlignment="1">
      <alignment horizontal="center" vertical="center"/>
    </xf>
    <xf numFmtId="1" fontId="134" fillId="19" borderId="25" xfId="0" applyNumberFormat="1" applyFont="1" applyFill="1" applyBorder="1" applyAlignment="1">
      <alignment horizontal="center" vertical="center"/>
    </xf>
    <xf numFmtId="1" fontId="134" fillId="19" borderId="21" xfId="0" applyNumberFormat="1" applyFont="1" applyFill="1" applyBorder="1" applyAlignment="1">
      <alignment horizontal="center" vertical="center"/>
    </xf>
    <xf numFmtId="1" fontId="54" fillId="19" borderId="52" xfId="0" applyNumberFormat="1" applyFont="1" applyFill="1" applyBorder="1" applyAlignment="1">
      <alignment horizontal="center" vertical="center"/>
    </xf>
    <xf numFmtId="1" fontId="54" fillId="19" borderId="50" xfId="0" applyNumberFormat="1" applyFont="1" applyFill="1" applyBorder="1" applyAlignment="1">
      <alignment horizontal="center" vertical="center"/>
    </xf>
    <xf numFmtId="1" fontId="134" fillId="19" borderId="2" xfId="0" applyNumberFormat="1" applyFont="1" applyFill="1" applyBorder="1" applyAlignment="1">
      <alignment horizontal="center" vertical="center"/>
    </xf>
    <xf numFmtId="1" fontId="134" fillId="19" borderId="56" xfId="0" applyNumberFormat="1" applyFont="1" applyFill="1" applyBorder="1" applyAlignment="1">
      <alignment horizontal="center" vertical="center"/>
    </xf>
    <xf numFmtId="0" fontId="119" fillId="20" borderId="1" xfId="0" applyFont="1" applyFill="1" applyBorder="1" applyAlignment="1">
      <alignment horizontal="center" vertical="center"/>
    </xf>
    <xf numFmtId="0" fontId="119" fillId="20" borderId="11" xfId="0" applyFont="1" applyFill="1" applyBorder="1" applyAlignment="1">
      <alignment horizontal="center" vertical="center"/>
    </xf>
    <xf numFmtId="1" fontId="112" fillId="20" borderId="31" xfId="0" applyNumberFormat="1" applyFont="1" applyFill="1" applyBorder="1" applyAlignment="1">
      <alignment horizontal="center" vertical="center"/>
    </xf>
    <xf numFmtId="1" fontId="112" fillId="20" borderId="17" xfId="0" applyNumberFormat="1" applyFont="1" applyFill="1" applyBorder="1" applyAlignment="1">
      <alignment horizontal="center" vertical="center"/>
    </xf>
    <xf numFmtId="1" fontId="119" fillId="20" borderId="52" xfId="0" applyNumberFormat="1" applyFont="1" applyFill="1" applyBorder="1" applyAlignment="1">
      <alignment horizontal="center" vertical="center"/>
    </xf>
    <xf numFmtId="1" fontId="119" fillId="20" borderId="50" xfId="0" applyNumberFormat="1" applyFont="1" applyFill="1" applyBorder="1" applyAlignment="1">
      <alignment horizontal="center" vertical="center"/>
    </xf>
    <xf numFmtId="1" fontId="119" fillId="20" borderId="25" xfId="0" applyNumberFormat="1" applyFont="1" applyFill="1" applyBorder="1" applyAlignment="1">
      <alignment horizontal="center" vertical="center"/>
    </xf>
    <xf numFmtId="1" fontId="119" fillId="20" borderId="21" xfId="0" applyNumberFormat="1" applyFont="1" applyFill="1" applyBorder="1" applyAlignment="1">
      <alignment horizontal="center" vertical="center"/>
    </xf>
    <xf numFmtId="1" fontId="134" fillId="20" borderId="32" xfId="0" applyNumberFormat="1" applyFont="1" applyFill="1" applyBorder="1" applyAlignment="1">
      <alignment horizontal="center" vertical="center"/>
    </xf>
    <xf numFmtId="1" fontId="134" fillId="20" borderId="33" xfId="0" applyNumberFormat="1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/>
    </xf>
    <xf numFmtId="0" fontId="0" fillId="20" borderId="73" xfId="0" applyFill="1" applyBorder="1" applyAlignment="1">
      <alignment horizontal="center"/>
    </xf>
    <xf numFmtId="1" fontId="54" fillId="20" borderId="52" xfId="0" applyNumberFormat="1" applyFont="1" applyFill="1" applyBorder="1" applyAlignment="1">
      <alignment horizontal="center" vertical="center"/>
    </xf>
    <xf numFmtId="1" fontId="54" fillId="20" borderId="50" xfId="0" applyNumberFormat="1" applyFont="1" applyFill="1" applyBorder="1" applyAlignment="1">
      <alignment horizontal="center" vertical="center"/>
    </xf>
    <xf numFmtId="0" fontId="119" fillId="19" borderId="1" xfId="0" applyFont="1" applyFill="1" applyBorder="1" applyAlignment="1">
      <alignment horizontal="center" vertical="center"/>
    </xf>
    <xf numFmtId="0" fontId="119" fillId="19" borderId="11" xfId="0" applyFont="1" applyFill="1" applyBorder="1" applyAlignment="1">
      <alignment horizontal="center" vertical="center"/>
    </xf>
    <xf numFmtId="1" fontId="54" fillId="19" borderId="35" xfId="0" applyNumberFormat="1" applyFont="1" applyFill="1" applyBorder="1" applyAlignment="1">
      <alignment horizontal="center" vertical="center"/>
    </xf>
    <xf numFmtId="1" fontId="54" fillId="19" borderId="54" xfId="0" applyNumberFormat="1" applyFont="1" applyFill="1" applyBorder="1" applyAlignment="1">
      <alignment horizontal="center" vertical="center"/>
    </xf>
    <xf numFmtId="1" fontId="54" fillId="19" borderId="25" xfId="0" applyNumberFormat="1" applyFont="1" applyFill="1" applyBorder="1" applyAlignment="1">
      <alignment horizontal="center" vertical="center"/>
    </xf>
    <xf numFmtId="1" fontId="54" fillId="19" borderId="21" xfId="0" applyNumberFormat="1" applyFont="1" applyFill="1" applyBorder="1" applyAlignment="1">
      <alignment horizontal="center" vertical="center"/>
    </xf>
    <xf numFmtId="1" fontId="112" fillId="19" borderId="31" xfId="0" applyNumberFormat="1" applyFont="1" applyFill="1" applyBorder="1" applyAlignment="1">
      <alignment horizontal="center" vertical="center"/>
    </xf>
    <xf numFmtId="1" fontId="112" fillId="19" borderId="17" xfId="0" applyNumberFormat="1" applyFont="1" applyFill="1" applyBorder="1" applyAlignment="1">
      <alignment horizontal="center" vertical="center"/>
    </xf>
    <xf numFmtId="1" fontId="119" fillId="19" borderId="52" xfId="0" applyNumberFormat="1" applyFont="1" applyFill="1" applyBorder="1" applyAlignment="1">
      <alignment horizontal="center" vertical="center"/>
    </xf>
    <xf numFmtId="1" fontId="119" fillId="19" borderId="50" xfId="0" applyNumberFormat="1" applyFont="1" applyFill="1" applyBorder="1" applyAlignment="1">
      <alignment horizontal="center" vertical="center"/>
    </xf>
    <xf numFmtId="1" fontId="68" fillId="19" borderId="25" xfId="0" applyNumberFormat="1" applyFont="1" applyFill="1" applyBorder="1" applyAlignment="1">
      <alignment horizontal="center" vertical="center"/>
    </xf>
    <xf numFmtId="1" fontId="68" fillId="19" borderId="21" xfId="0" applyNumberFormat="1" applyFont="1" applyFill="1" applyBorder="1" applyAlignment="1">
      <alignment horizontal="center" vertical="center"/>
    </xf>
    <xf numFmtId="1" fontId="134" fillId="19" borderId="32" xfId="0" applyNumberFormat="1" applyFont="1" applyFill="1" applyBorder="1" applyAlignment="1">
      <alignment horizontal="center" vertical="center"/>
    </xf>
    <xf numFmtId="1" fontId="134" fillId="19" borderId="33" xfId="0" applyNumberFormat="1" applyFont="1" applyFill="1" applyBorder="1" applyAlignment="1">
      <alignment horizontal="center" vertical="center"/>
    </xf>
    <xf numFmtId="0" fontId="0" fillId="19" borderId="9" xfId="0" applyFill="1" applyBorder="1" applyAlignment="1">
      <alignment horizontal="center"/>
    </xf>
    <xf numFmtId="0" fontId="0" fillId="19" borderId="73" xfId="0" applyFill="1" applyBorder="1" applyAlignment="1">
      <alignment horizontal="center"/>
    </xf>
    <xf numFmtId="1" fontId="138" fillId="19" borderId="76" xfId="0" applyNumberFormat="1" applyFont="1" applyFill="1" applyBorder="1" applyAlignment="1">
      <alignment horizontal="center" vertical="center"/>
    </xf>
    <xf numFmtId="1" fontId="138" fillId="19" borderId="34" xfId="0" applyNumberFormat="1" applyFont="1" applyFill="1" applyBorder="1" applyAlignment="1">
      <alignment horizontal="center" vertical="center"/>
    </xf>
    <xf numFmtId="1" fontId="138" fillId="20" borderId="76" xfId="0" applyNumberFormat="1" applyFont="1" applyFill="1" applyBorder="1" applyAlignment="1">
      <alignment horizontal="center" vertical="center"/>
    </xf>
    <xf numFmtId="1" fontId="138" fillId="20" borderId="34" xfId="0" applyNumberFormat="1" applyFont="1" applyFill="1" applyBorder="1" applyAlignment="1">
      <alignment horizontal="center" vertical="center"/>
    </xf>
    <xf numFmtId="1" fontId="138" fillId="19" borderId="62" xfId="0" applyNumberFormat="1" applyFont="1" applyFill="1" applyBorder="1" applyAlignment="1">
      <alignment horizontal="center" vertical="center"/>
    </xf>
    <xf numFmtId="1" fontId="138" fillId="19" borderId="74" xfId="0" applyNumberFormat="1" applyFont="1" applyFill="1" applyBorder="1" applyAlignment="1">
      <alignment horizontal="center" vertical="center"/>
    </xf>
    <xf numFmtId="1" fontId="138" fillId="20" borderId="62" xfId="0" applyNumberFormat="1" applyFont="1" applyFill="1" applyBorder="1" applyAlignment="1">
      <alignment horizontal="center" vertical="center"/>
    </xf>
    <xf numFmtId="1" fontId="138" fillId="20" borderId="74" xfId="0" applyNumberFormat="1" applyFont="1" applyFill="1" applyBorder="1" applyAlignment="1">
      <alignment horizontal="center" vertical="center"/>
    </xf>
    <xf numFmtId="0" fontId="119" fillId="0" borderId="55" xfId="0" applyFont="1" applyBorder="1" applyAlignment="1">
      <alignment horizontal="center" vertical="center"/>
    </xf>
    <xf numFmtId="1" fontId="54" fillId="25" borderId="44" xfId="0" applyNumberFormat="1" applyFont="1" applyFill="1" applyBorder="1" applyAlignment="1">
      <alignment horizontal="center" vertical="center"/>
    </xf>
    <xf numFmtId="1" fontId="54" fillId="25" borderId="61" xfId="0" applyNumberFormat="1" applyFont="1" applyFill="1" applyBorder="1" applyAlignment="1">
      <alignment horizontal="center" vertical="center"/>
    </xf>
    <xf numFmtId="1" fontId="134" fillId="25" borderId="25" xfId="0" applyNumberFormat="1" applyFont="1" applyFill="1" applyBorder="1" applyAlignment="1">
      <alignment horizontal="center" vertical="center"/>
    </xf>
    <xf numFmtId="1" fontId="134" fillId="25" borderId="21" xfId="0" applyNumberFormat="1" applyFont="1" applyFill="1" applyBorder="1" applyAlignment="1">
      <alignment horizontal="center" vertical="center"/>
    </xf>
    <xf numFmtId="1" fontId="54" fillId="25" borderId="52" xfId="0" applyNumberFormat="1" applyFont="1" applyFill="1" applyBorder="1" applyAlignment="1">
      <alignment horizontal="center" vertical="center"/>
    </xf>
    <xf numFmtId="1" fontId="54" fillId="25" borderId="50" xfId="0" applyNumberFormat="1" applyFont="1" applyFill="1" applyBorder="1" applyAlignment="1">
      <alignment horizontal="center" vertical="center"/>
    </xf>
    <xf numFmtId="1" fontId="54" fillId="25" borderId="25" xfId="0" applyNumberFormat="1" applyFont="1" applyFill="1" applyBorder="1" applyAlignment="1">
      <alignment horizontal="center" vertical="center"/>
    </xf>
    <xf numFmtId="1" fontId="54" fillId="25" borderId="21" xfId="0" applyNumberFormat="1" applyFont="1" applyFill="1" applyBorder="1" applyAlignment="1">
      <alignment horizontal="center" vertical="center"/>
    </xf>
    <xf numFmtId="0" fontId="119" fillId="0" borderId="3" xfId="0" applyFont="1" applyBorder="1" applyAlignment="1">
      <alignment horizontal="center" vertical="center"/>
    </xf>
    <xf numFmtId="0" fontId="119" fillId="0" borderId="42" xfId="0" applyFont="1" applyBorder="1" applyAlignment="1">
      <alignment horizontal="center" vertical="center"/>
    </xf>
    <xf numFmtId="1" fontId="54" fillId="25" borderId="35" xfId="0" applyNumberFormat="1" applyFont="1" applyFill="1" applyBorder="1" applyAlignment="1">
      <alignment horizontal="center" vertical="center"/>
    </xf>
    <xf numFmtId="1" fontId="54" fillId="25" borderId="54" xfId="0" applyNumberFormat="1" applyFont="1" applyFill="1" applyBorder="1" applyAlignment="1">
      <alignment horizontal="center" vertical="center"/>
    </xf>
    <xf numFmtId="1" fontId="138" fillId="0" borderId="76" xfId="0" applyNumberFormat="1" applyFont="1" applyBorder="1" applyAlignment="1">
      <alignment horizontal="center" vertical="center"/>
    </xf>
    <xf numFmtId="1" fontId="138" fillId="0" borderId="34" xfId="0" applyNumberFormat="1" applyFont="1" applyBorder="1" applyAlignment="1">
      <alignment horizontal="center" vertical="center"/>
    </xf>
    <xf numFmtId="1" fontId="138" fillId="25" borderId="62" xfId="0" applyNumberFormat="1" applyFont="1" applyFill="1" applyBorder="1" applyAlignment="1">
      <alignment horizontal="center" vertical="center"/>
    </xf>
    <xf numFmtId="1" fontId="138" fillId="25" borderId="74" xfId="0" applyNumberFormat="1" applyFont="1" applyFill="1" applyBorder="1" applyAlignment="1">
      <alignment horizontal="center" vertical="center"/>
    </xf>
    <xf numFmtId="1" fontId="138" fillId="25" borderId="34" xfId="0" applyNumberFormat="1" applyFont="1" applyFill="1" applyBorder="1" applyAlignment="1">
      <alignment horizontal="center" vertical="center"/>
    </xf>
    <xf numFmtId="1" fontId="54" fillId="21" borderId="44" xfId="0" applyNumberFormat="1" applyFont="1" applyFill="1" applyBorder="1" applyAlignment="1">
      <alignment horizontal="center" vertical="center"/>
    </xf>
    <xf numFmtId="1" fontId="54" fillId="21" borderId="61" xfId="0" applyNumberFormat="1" applyFont="1" applyFill="1" applyBorder="1" applyAlignment="1">
      <alignment horizontal="center" vertical="center"/>
    </xf>
    <xf numFmtId="1" fontId="134" fillId="21" borderId="25" xfId="0" applyNumberFormat="1" applyFont="1" applyFill="1" applyBorder="1" applyAlignment="1">
      <alignment horizontal="center" vertical="center"/>
    </xf>
    <xf numFmtId="1" fontId="134" fillId="21" borderId="21" xfId="0" applyNumberFormat="1" applyFont="1" applyFill="1" applyBorder="1" applyAlignment="1">
      <alignment horizontal="center" vertical="center"/>
    </xf>
    <xf numFmtId="1" fontId="54" fillId="21" borderId="25" xfId="0" applyNumberFormat="1" applyFont="1" applyFill="1" applyBorder="1" applyAlignment="1">
      <alignment horizontal="center" vertical="center"/>
    </xf>
    <xf numFmtId="1" fontId="54" fillId="21" borderId="21" xfId="0" applyNumberFormat="1" applyFont="1" applyFill="1" applyBorder="1" applyAlignment="1">
      <alignment horizontal="center" vertical="center"/>
    </xf>
    <xf numFmtId="1" fontId="54" fillId="21" borderId="52" xfId="0" applyNumberFormat="1" applyFont="1" applyFill="1" applyBorder="1" applyAlignment="1">
      <alignment horizontal="center" vertical="center"/>
    </xf>
    <xf numFmtId="1" fontId="54" fillId="21" borderId="50" xfId="0" applyNumberFormat="1" applyFont="1" applyFill="1" applyBorder="1" applyAlignment="1">
      <alignment horizontal="center" vertical="center"/>
    </xf>
    <xf numFmtId="0" fontId="119" fillId="21" borderId="1" xfId="0" applyFont="1" applyFill="1" applyBorder="1" applyAlignment="1">
      <alignment horizontal="center" vertical="center"/>
    </xf>
    <xf numFmtId="0" fontId="119" fillId="21" borderId="11" xfId="0" applyFont="1" applyFill="1" applyBorder="1" applyAlignment="1">
      <alignment horizontal="center" vertical="center"/>
    </xf>
    <xf numFmtId="1" fontId="138" fillId="21" borderId="76" xfId="0" applyNumberFormat="1" applyFont="1" applyFill="1" applyBorder="1" applyAlignment="1">
      <alignment horizontal="center" vertical="center"/>
    </xf>
    <xf numFmtId="1" fontId="138" fillId="21" borderId="34" xfId="0" applyNumberFormat="1" applyFont="1" applyFill="1" applyBorder="1" applyAlignment="1">
      <alignment horizontal="center" vertical="center"/>
    </xf>
    <xf numFmtId="0" fontId="119" fillId="0" borderId="4" xfId="0" applyFont="1" applyBorder="1" applyAlignment="1">
      <alignment horizontal="center" vertical="center"/>
    </xf>
    <xf numFmtId="1" fontId="112" fillId="21" borderId="31" xfId="0" applyNumberFormat="1" applyFont="1" applyFill="1" applyBorder="1" applyAlignment="1">
      <alignment horizontal="center" vertical="center"/>
    </xf>
    <xf numFmtId="1" fontId="112" fillId="21" borderId="17" xfId="0" applyNumberFormat="1" applyFont="1" applyFill="1" applyBorder="1" applyAlignment="1">
      <alignment horizontal="center" vertical="center"/>
    </xf>
    <xf numFmtId="1" fontId="119" fillId="21" borderId="52" xfId="0" applyNumberFormat="1" applyFont="1" applyFill="1" applyBorder="1" applyAlignment="1">
      <alignment horizontal="center" vertical="center"/>
    </xf>
    <xf numFmtId="1" fontId="119" fillId="21" borderId="50" xfId="0" applyNumberFormat="1" applyFont="1" applyFill="1" applyBorder="1" applyAlignment="1">
      <alignment horizontal="center" vertical="center"/>
    </xf>
    <xf numFmtId="1" fontId="138" fillId="21" borderId="62" xfId="0" applyNumberFormat="1" applyFont="1" applyFill="1" applyBorder="1" applyAlignment="1">
      <alignment horizontal="center" vertical="center"/>
    </xf>
    <xf numFmtId="1" fontId="138" fillId="21" borderId="74" xfId="0" applyNumberFormat="1" applyFont="1" applyFill="1" applyBorder="1" applyAlignment="1">
      <alignment horizontal="center" vertical="center"/>
    </xf>
    <xf numFmtId="1" fontId="119" fillId="21" borderId="25" xfId="0" applyNumberFormat="1" applyFont="1" applyFill="1" applyBorder="1" applyAlignment="1">
      <alignment horizontal="center" vertical="center"/>
    </xf>
    <xf numFmtId="1" fontId="119" fillId="21" borderId="21" xfId="0" applyNumberFormat="1" applyFont="1" applyFill="1" applyBorder="1" applyAlignment="1">
      <alignment horizontal="center" vertical="center"/>
    </xf>
    <xf numFmtId="1" fontId="134" fillId="25" borderId="32" xfId="0" applyNumberFormat="1" applyFont="1" applyFill="1" applyBorder="1" applyAlignment="1">
      <alignment horizontal="center" vertical="center"/>
    </xf>
    <xf numFmtId="1" fontId="134" fillId="25" borderId="33" xfId="0" applyNumberFormat="1" applyFont="1" applyFill="1" applyBorder="1" applyAlignment="1">
      <alignment horizontal="center" vertical="center"/>
    </xf>
    <xf numFmtId="1" fontId="134" fillId="21" borderId="32" xfId="0" applyNumberFormat="1" applyFont="1" applyFill="1" applyBorder="1" applyAlignment="1">
      <alignment horizontal="center" vertical="center"/>
    </xf>
    <xf numFmtId="1" fontId="134" fillId="21" borderId="33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21" borderId="9" xfId="0" applyFill="1" applyBorder="1" applyAlignment="1">
      <alignment horizontal="center"/>
    </xf>
    <xf numFmtId="0" fontId="0" fillId="21" borderId="73" xfId="0" applyFill="1" applyBorder="1" applyAlignment="1">
      <alignment horizontal="center"/>
    </xf>
    <xf numFmtId="0" fontId="112" fillId="59" borderId="44" xfId="0" applyFont="1" applyFill="1" applyBorder="1" applyAlignment="1">
      <alignment horizontal="center" vertical="center"/>
    </xf>
    <xf numFmtId="0" fontId="112" fillId="59" borderId="61" xfId="0" applyFont="1" applyFill="1" applyBorder="1" applyAlignment="1">
      <alignment horizontal="center" vertical="center"/>
    </xf>
    <xf numFmtId="1" fontId="111" fillId="59" borderId="92" xfId="0" applyNumberFormat="1" applyFont="1" applyFill="1" applyBorder="1" applyAlignment="1">
      <alignment horizontal="center" vertical="center"/>
    </xf>
    <xf numFmtId="1" fontId="111" fillId="59" borderId="30" xfId="0" applyNumberFormat="1" applyFont="1" applyFill="1" applyBorder="1" applyAlignment="1">
      <alignment horizontal="center" vertical="center"/>
    </xf>
    <xf numFmtId="1" fontId="111" fillId="59" borderId="45" xfId="0" applyNumberFormat="1" applyFont="1" applyFill="1" applyBorder="1" applyAlignment="1">
      <alignment horizontal="center" vertical="center"/>
    </xf>
    <xf numFmtId="1" fontId="111" fillId="59" borderId="46" xfId="0" applyNumberFormat="1" applyFont="1" applyFill="1" applyBorder="1" applyAlignment="1">
      <alignment horizontal="center" vertical="center"/>
    </xf>
    <xf numFmtId="1" fontId="54" fillId="21" borderId="35" xfId="0" applyNumberFormat="1" applyFont="1" applyFill="1" applyBorder="1" applyAlignment="1">
      <alignment horizontal="center" vertical="center"/>
    </xf>
    <xf numFmtId="1" fontId="54" fillId="21" borderId="54" xfId="0" applyNumberFormat="1" applyFont="1" applyFill="1" applyBorder="1" applyAlignment="1">
      <alignment horizontal="center" vertical="center"/>
    </xf>
    <xf numFmtId="0" fontId="0" fillId="0" borderId="69" xfId="0" applyBorder="1" applyAlignment="1">
      <alignment horizontal="center"/>
    </xf>
    <xf numFmtId="1" fontId="134" fillId="25" borderId="59" xfId="0" applyNumberFormat="1" applyFont="1" applyFill="1" applyBorder="1" applyAlignment="1">
      <alignment horizontal="center" vertical="center"/>
    </xf>
    <xf numFmtId="1" fontId="112" fillId="21" borderId="52" xfId="0" applyNumberFormat="1" applyFont="1" applyFill="1" applyBorder="1" applyAlignment="1">
      <alignment horizontal="center" vertical="center"/>
    </xf>
    <xf numFmtId="1" fontId="112" fillId="21" borderId="50" xfId="0" applyNumberFormat="1" applyFont="1" applyFill="1" applyBorder="1" applyAlignment="1">
      <alignment horizontal="center" vertical="center"/>
    </xf>
    <xf numFmtId="1" fontId="112" fillId="21" borderId="25" xfId="0" applyNumberFormat="1" applyFont="1" applyFill="1" applyBorder="1" applyAlignment="1">
      <alignment horizontal="center" vertical="center"/>
    </xf>
    <xf numFmtId="1" fontId="112" fillId="21" borderId="21" xfId="0" applyNumberFormat="1" applyFont="1" applyFill="1" applyBorder="1" applyAlignment="1">
      <alignment horizontal="center" vertical="center"/>
    </xf>
    <xf numFmtId="0" fontId="119" fillId="0" borderId="76" xfId="0" applyFont="1" applyBorder="1" applyAlignment="1">
      <alignment horizontal="left" vertical="center"/>
    </xf>
    <xf numFmtId="0" fontId="119" fillId="0" borderId="9" xfId="0" applyFont="1" applyBorder="1" applyAlignment="1">
      <alignment horizontal="left" vertical="center"/>
    </xf>
    <xf numFmtId="0" fontId="119" fillId="0" borderId="108" xfId="0" applyFont="1" applyBorder="1" applyAlignment="1">
      <alignment horizontal="center" vertical="center"/>
    </xf>
    <xf numFmtId="0" fontId="119" fillId="0" borderId="73" xfId="0" applyFont="1" applyBorder="1" applyAlignment="1">
      <alignment horizontal="center" vertical="center"/>
    </xf>
    <xf numFmtId="0" fontId="112" fillId="0" borderId="55" xfId="0" applyFont="1" applyBorder="1" applyAlignment="1">
      <alignment horizontal="center" vertical="center"/>
    </xf>
    <xf numFmtId="0" fontId="112" fillId="0" borderId="4" xfId="0" applyFont="1" applyBorder="1" applyAlignment="1">
      <alignment horizontal="center" vertical="center"/>
    </xf>
    <xf numFmtId="0" fontId="112" fillId="21" borderId="1" xfId="0" applyFont="1" applyFill="1" applyBorder="1" applyAlignment="1">
      <alignment horizontal="center" vertical="center"/>
    </xf>
    <xf numFmtId="0" fontId="112" fillId="21" borderId="11" xfId="0" applyFont="1" applyFill="1" applyBorder="1" applyAlignment="1">
      <alignment horizontal="center" vertical="center"/>
    </xf>
    <xf numFmtId="0" fontId="119" fillId="0" borderId="25" xfId="0" applyFont="1" applyBorder="1" applyAlignment="1">
      <alignment horizontal="center" vertical="center"/>
    </xf>
    <xf numFmtId="0" fontId="119" fillId="0" borderId="21" xfId="0" applyFont="1" applyBorder="1" applyAlignment="1">
      <alignment horizontal="center" vertical="center"/>
    </xf>
    <xf numFmtId="0" fontId="119" fillId="19" borderId="4" xfId="0" applyFont="1" applyFill="1" applyBorder="1" applyAlignment="1">
      <alignment horizontal="center" vertical="center"/>
    </xf>
    <xf numFmtId="1" fontId="54" fillId="21" borderId="24" xfId="0" applyNumberFormat="1" applyFont="1" applyFill="1" applyBorder="1" applyAlignment="1">
      <alignment horizontal="center" vertical="center"/>
    </xf>
    <xf numFmtId="1" fontId="134" fillId="21" borderId="55" xfId="0" applyNumberFormat="1" applyFont="1" applyFill="1" applyBorder="1" applyAlignment="1">
      <alignment horizontal="center" vertical="center"/>
    </xf>
    <xf numFmtId="0" fontId="119" fillId="21" borderId="67" xfId="0" applyFont="1" applyFill="1" applyBorder="1" applyAlignment="1">
      <alignment horizontal="center" vertical="center"/>
    </xf>
    <xf numFmtId="1" fontId="112" fillId="21" borderId="37" xfId="0" applyNumberFormat="1" applyFont="1" applyFill="1" applyBorder="1" applyAlignment="1">
      <alignment horizontal="center" vertical="center"/>
    </xf>
    <xf numFmtId="1" fontId="119" fillId="21" borderId="7" xfId="0" applyNumberFormat="1" applyFont="1" applyFill="1" applyBorder="1" applyAlignment="1">
      <alignment horizontal="center" vertical="center"/>
    </xf>
    <xf numFmtId="1" fontId="119" fillId="21" borderId="55" xfId="0" applyNumberFormat="1" applyFont="1" applyFill="1" applyBorder="1" applyAlignment="1">
      <alignment horizontal="center" vertical="center"/>
    </xf>
    <xf numFmtId="1" fontId="134" fillId="21" borderId="68" xfId="0" applyNumberFormat="1" applyFont="1" applyFill="1" applyBorder="1" applyAlignment="1">
      <alignment horizontal="center" vertical="center"/>
    </xf>
    <xf numFmtId="0" fontId="0" fillId="21" borderId="15" xfId="0" applyFill="1" applyBorder="1" applyAlignment="1">
      <alignment horizontal="center"/>
    </xf>
    <xf numFmtId="1" fontId="54" fillId="21" borderId="7" xfId="0" applyNumberFormat="1" applyFont="1" applyFill="1" applyBorder="1" applyAlignment="1">
      <alignment horizontal="center" vertical="center"/>
    </xf>
    <xf numFmtId="1" fontId="54" fillId="21" borderId="55" xfId="0" applyNumberFormat="1" applyFont="1" applyFill="1" applyBorder="1" applyAlignment="1">
      <alignment horizontal="center" vertical="center"/>
    </xf>
    <xf numFmtId="1" fontId="134" fillId="19" borderId="62" xfId="0" applyNumberFormat="1" applyFont="1" applyFill="1" applyBorder="1" applyAlignment="1">
      <alignment horizontal="center" vertical="center"/>
    </xf>
    <xf numFmtId="1" fontId="134" fillId="19" borderId="74" xfId="0" applyNumberFormat="1" applyFont="1" applyFill="1" applyBorder="1" applyAlignment="1">
      <alignment horizontal="center" vertical="center"/>
    </xf>
    <xf numFmtId="1" fontId="134" fillId="19" borderId="9" xfId="0" applyNumberFormat="1" applyFont="1" applyFill="1" applyBorder="1" applyAlignment="1">
      <alignment horizontal="center" vertical="center"/>
    </xf>
    <xf numFmtId="1" fontId="134" fillId="20" borderId="62" xfId="0" applyNumberFormat="1" applyFont="1" applyFill="1" applyBorder="1" applyAlignment="1">
      <alignment horizontal="center" vertical="center"/>
    </xf>
    <xf numFmtId="1" fontId="134" fillId="20" borderId="74" xfId="0" applyNumberFormat="1" applyFont="1" applyFill="1" applyBorder="1" applyAlignment="1">
      <alignment horizontal="center" vertical="center"/>
    </xf>
    <xf numFmtId="1" fontId="134" fillId="20" borderId="9" xfId="0" applyNumberFormat="1" applyFont="1" applyFill="1" applyBorder="1" applyAlignment="1">
      <alignment horizontal="center" vertical="center"/>
    </xf>
    <xf numFmtId="1" fontId="134" fillId="0" borderId="36" xfId="0" applyNumberFormat="1" applyFont="1" applyBorder="1" applyAlignment="1">
      <alignment horizontal="center" vertical="center"/>
    </xf>
    <xf numFmtId="1" fontId="134" fillId="0" borderId="38" xfId="0" applyNumberFormat="1" applyFont="1" applyBorder="1" applyAlignment="1">
      <alignment horizontal="center" vertical="center"/>
    </xf>
    <xf numFmtId="1" fontId="134" fillId="0" borderId="69" xfId="0" applyNumberFormat="1" applyFont="1" applyBorder="1" applyAlignment="1">
      <alignment horizontal="center" vertical="center"/>
    </xf>
    <xf numFmtId="1" fontId="134" fillId="0" borderId="62" xfId="0" applyNumberFormat="1" applyFont="1" applyBorder="1" applyAlignment="1">
      <alignment horizontal="center" vertical="center"/>
    </xf>
    <xf numFmtId="1" fontId="134" fillId="0" borderId="74" xfId="0" applyNumberFormat="1" applyFont="1" applyBorder="1" applyAlignment="1">
      <alignment horizontal="center" vertical="center"/>
    </xf>
    <xf numFmtId="1" fontId="134" fillId="0" borderId="9" xfId="0" applyNumberFormat="1" applyFont="1" applyBorder="1" applyAlignment="1">
      <alignment horizontal="center" vertical="center"/>
    </xf>
    <xf numFmtId="1" fontId="134" fillId="19" borderId="62" xfId="0" applyNumberFormat="1" applyFont="1" applyFill="1" applyBorder="1" applyAlignment="1">
      <alignment horizontal="center"/>
    </xf>
    <xf numFmtId="1" fontId="134" fillId="19" borderId="74" xfId="0" applyNumberFormat="1" applyFont="1" applyFill="1" applyBorder="1" applyAlignment="1">
      <alignment horizontal="center"/>
    </xf>
    <xf numFmtId="1" fontId="134" fillId="19" borderId="9" xfId="0" applyNumberFormat="1" applyFont="1" applyFill="1" applyBorder="1" applyAlignment="1">
      <alignment horizontal="center"/>
    </xf>
    <xf numFmtId="1" fontId="134" fillId="21" borderId="62" xfId="0" applyNumberFormat="1" applyFont="1" applyFill="1" applyBorder="1" applyAlignment="1">
      <alignment horizontal="center" vertical="center"/>
    </xf>
    <xf numFmtId="1" fontId="134" fillId="21" borderId="74" xfId="0" applyNumberFormat="1" applyFont="1" applyFill="1" applyBorder="1" applyAlignment="1">
      <alignment horizontal="center" vertical="center"/>
    </xf>
    <xf numFmtId="1" fontId="134" fillId="21" borderId="9" xfId="0" applyNumberFormat="1" applyFont="1" applyFill="1" applyBorder="1" applyAlignment="1">
      <alignment horizontal="center" vertical="center"/>
    </xf>
    <xf numFmtId="0" fontId="134" fillId="0" borderId="74" xfId="0" applyFont="1" applyBorder="1" applyAlignment="1">
      <alignment horizontal="center" vertical="center"/>
    </xf>
    <xf numFmtId="0" fontId="134" fillId="0" borderId="9" xfId="0" applyFont="1" applyBorder="1" applyAlignment="1">
      <alignment horizontal="center" vertical="center"/>
    </xf>
    <xf numFmtId="0" fontId="119" fillId="0" borderId="76" xfId="0" applyFont="1" applyBorder="1" applyAlignment="1">
      <alignment horizontal="left" vertical="center" wrapText="1"/>
    </xf>
    <xf numFmtId="0" fontId="119" fillId="0" borderId="9" xfId="0" applyFont="1" applyBorder="1" applyAlignment="1">
      <alignment horizontal="left" vertical="center" wrapText="1"/>
    </xf>
    <xf numFmtId="0" fontId="112" fillId="59" borderId="1" xfId="0" applyFont="1" applyFill="1" applyBorder="1" applyAlignment="1">
      <alignment horizontal="center" vertical="center"/>
    </xf>
    <xf numFmtId="0" fontId="112" fillId="59" borderId="11" xfId="0" applyFont="1" applyFill="1" applyBorder="1" applyAlignment="1">
      <alignment horizontal="center" vertical="center"/>
    </xf>
    <xf numFmtId="1" fontId="112" fillId="59" borderId="36" xfId="0" applyNumberFormat="1" applyFont="1" applyFill="1" applyBorder="1" applyAlignment="1">
      <alignment horizontal="center" vertical="center"/>
    </xf>
    <xf numFmtId="1" fontId="112" fillId="59" borderId="38" xfId="0" applyNumberFormat="1" applyFont="1" applyFill="1" applyBorder="1" applyAlignment="1">
      <alignment horizontal="center" vertical="center"/>
    </xf>
    <xf numFmtId="1" fontId="112" fillId="59" borderId="69" xfId="0" applyNumberFormat="1" applyFont="1" applyFill="1" applyBorder="1" applyAlignment="1">
      <alignment horizontal="center" vertical="center"/>
    </xf>
    <xf numFmtId="1" fontId="112" fillId="59" borderId="76" xfId="0" applyNumberFormat="1" applyFont="1" applyFill="1" applyBorder="1" applyAlignment="1">
      <alignment horizontal="center" vertical="center"/>
    </xf>
    <xf numFmtId="1" fontId="112" fillId="59" borderId="74" xfId="0" applyNumberFormat="1" applyFont="1" applyFill="1" applyBorder="1" applyAlignment="1">
      <alignment horizontal="center" vertical="center"/>
    </xf>
    <xf numFmtId="1" fontId="112" fillId="59" borderId="9" xfId="0" applyNumberFormat="1" applyFont="1" applyFill="1" applyBorder="1" applyAlignment="1">
      <alignment horizontal="center" vertical="center"/>
    </xf>
    <xf numFmtId="1" fontId="134" fillId="21" borderId="62" xfId="0" applyNumberFormat="1" applyFont="1" applyFill="1" applyBorder="1" applyAlignment="1">
      <alignment horizontal="center"/>
    </xf>
    <xf numFmtId="1" fontId="134" fillId="21" borderId="74" xfId="0" applyNumberFormat="1" applyFont="1" applyFill="1" applyBorder="1" applyAlignment="1">
      <alignment horizontal="center"/>
    </xf>
    <xf numFmtId="1" fontId="134" fillId="21" borderId="9" xfId="0" applyNumberFormat="1" applyFont="1" applyFill="1" applyBorder="1" applyAlignment="1">
      <alignment horizontal="center"/>
    </xf>
    <xf numFmtId="0" fontId="112" fillId="59" borderId="74" xfId="0" applyFont="1" applyFill="1" applyBorder="1" applyAlignment="1">
      <alignment horizontal="center" vertical="center"/>
    </xf>
    <xf numFmtId="0" fontId="112" fillId="59" borderId="9" xfId="0" applyFont="1" applyFill="1" applyBorder="1" applyAlignment="1">
      <alignment horizontal="center" vertical="center"/>
    </xf>
    <xf numFmtId="1" fontId="119" fillId="21" borderId="1" xfId="0" applyNumberFormat="1" applyFont="1" applyFill="1" applyBorder="1" applyAlignment="1">
      <alignment horizontal="center" vertical="center"/>
    </xf>
    <xf numFmtId="1" fontId="119" fillId="21" borderId="11" xfId="0" applyNumberFormat="1" applyFont="1" applyFill="1" applyBorder="1" applyAlignment="1">
      <alignment horizontal="center" vertical="center"/>
    </xf>
    <xf numFmtId="0" fontId="112" fillId="19" borderId="1" xfId="0" applyFont="1" applyFill="1" applyBorder="1" applyAlignment="1">
      <alignment horizontal="center" vertical="center"/>
    </xf>
    <xf numFmtId="0" fontId="112" fillId="19" borderId="11" xfId="0" applyFont="1" applyFill="1" applyBorder="1" applyAlignment="1">
      <alignment horizontal="center" vertical="center"/>
    </xf>
    <xf numFmtId="0" fontId="112" fillId="19" borderId="4" xfId="0" applyFont="1" applyFill="1" applyBorder="1" applyAlignment="1">
      <alignment horizontal="center" vertical="center"/>
    </xf>
    <xf numFmtId="0" fontId="112" fillId="20" borderId="1" xfId="0" applyFont="1" applyFill="1" applyBorder="1" applyAlignment="1">
      <alignment horizontal="center" vertical="center"/>
    </xf>
    <xf numFmtId="0" fontId="112" fillId="20" borderId="11" xfId="0" applyFont="1" applyFill="1" applyBorder="1" applyAlignment="1">
      <alignment horizontal="center" vertical="center"/>
    </xf>
    <xf numFmtId="0" fontId="112" fillId="0" borderId="25" xfId="0" applyFont="1" applyBorder="1" applyAlignment="1">
      <alignment horizontal="center" vertical="center"/>
    </xf>
    <xf numFmtId="0" fontId="112" fillId="0" borderId="21" xfId="0" applyFont="1" applyBorder="1" applyAlignment="1">
      <alignment horizontal="center" vertical="center"/>
    </xf>
    <xf numFmtId="0" fontId="111" fillId="0" borderId="62" xfId="0" applyFont="1" applyBorder="1" applyAlignment="1">
      <alignment horizontal="left" vertical="center"/>
    </xf>
    <xf numFmtId="0" fontId="111" fillId="0" borderId="34" xfId="0" applyFont="1" applyBorder="1" applyAlignment="1">
      <alignment horizontal="left" vertical="center"/>
    </xf>
    <xf numFmtId="0" fontId="112" fillId="0" borderId="76" xfId="0" applyFont="1" applyBorder="1" applyAlignment="1">
      <alignment horizontal="left" vertical="center"/>
    </xf>
    <xf numFmtId="0" fontId="112" fillId="0" borderId="9" xfId="0" applyFont="1" applyBorder="1" applyAlignment="1">
      <alignment horizontal="left" vertical="center"/>
    </xf>
    <xf numFmtId="0" fontId="112" fillId="0" borderId="108" xfId="0" applyFont="1" applyBorder="1" applyAlignment="1">
      <alignment horizontal="center" vertical="center"/>
    </xf>
    <xf numFmtId="0" fontId="112" fillId="0" borderId="73" xfId="0" applyFont="1" applyBorder="1" applyAlignment="1">
      <alignment horizontal="center" vertical="center"/>
    </xf>
    <xf numFmtId="0" fontId="170" fillId="20" borderId="10" xfId="0" applyFont="1" applyFill="1" applyBorder="1" applyAlignment="1">
      <alignment horizontal="center" vertical="center"/>
    </xf>
    <xf numFmtId="1" fontId="75" fillId="19" borderId="62" xfId="0" applyNumberFormat="1" applyFont="1" applyFill="1" applyBorder="1" applyAlignment="1">
      <alignment horizontal="center" vertical="center"/>
    </xf>
    <xf numFmtId="1" fontId="75" fillId="19" borderId="74" xfId="0" applyNumberFormat="1" applyFont="1" applyFill="1" applyBorder="1" applyAlignment="1">
      <alignment horizontal="center" vertical="center"/>
    </xf>
    <xf numFmtId="1" fontId="75" fillId="19" borderId="38" xfId="0" applyNumberFormat="1" applyFont="1" applyFill="1" applyBorder="1" applyAlignment="1">
      <alignment horizontal="center" vertical="center"/>
    </xf>
    <xf numFmtId="1" fontId="75" fillId="19" borderId="9" xfId="0" applyNumberFormat="1" applyFont="1" applyFill="1" applyBorder="1" applyAlignment="1">
      <alignment horizontal="center" vertical="center"/>
    </xf>
    <xf numFmtId="1" fontId="75" fillId="20" borderId="62" xfId="0" applyNumberFormat="1" applyFont="1" applyFill="1" applyBorder="1" applyAlignment="1">
      <alignment horizontal="center" vertical="center"/>
    </xf>
    <xf numFmtId="1" fontId="75" fillId="20" borderId="74" xfId="0" applyNumberFormat="1" applyFont="1" applyFill="1" applyBorder="1" applyAlignment="1">
      <alignment horizontal="center" vertical="center"/>
    </xf>
    <xf numFmtId="1" fontId="75" fillId="20" borderId="38" xfId="0" applyNumberFormat="1" applyFont="1" applyFill="1" applyBorder="1" applyAlignment="1">
      <alignment horizontal="center" vertical="center"/>
    </xf>
    <xf numFmtId="1" fontId="75" fillId="20" borderId="9" xfId="0" applyNumberFormat="1" applyFont="1" applyFill="1" applyBorder="1" applyAlignment="1">
      <alignment horizontal="center" vertical="center"/>
    </xf>
    <xf numFmtId="1" fontId="74" fillId="19" borderId="62" xfId="0" applyNumberFormat="1" applyFont="1" applyFill="1" applyBorder="1" applyAlignment="1">
      <alignment horizontal="center"/>
    </xf>
    <xf numFmtId="1" fontId="74" fillId="19" borderId="9" xfId="0" applyNumberFormat="1" applyFont="1" applyFill="1" applyBorder="1" applyAlignment="1">
      <alignment horizontal="center"/>
    </xf>
    <xf numFmtId="1" fontId="74" fillId="20" borderId="62" xfId="0" applyNumberFormat="1" applyFont="1" applyFill="1" applyBorder="1" applyAlignment="1">
      <alignment horizontal="center"/>
    </xf>
    <xf numFmtId="1" fontId="74" fillId="20" borderId="9" xfId="0" applyNumberFormat="1" applyFont="1" applyFill="1" applyBorder="1" applyAlignment="1">
      <alignment horizontal="center"/>
    </xf>
    <xf numFmtId="1" fontId="74" fillId="20" borderId="74" xfId="0" applyNumberFormat="1" applyFont="1" applyFill="1" applyBorder="1" applyAlignment="1">
      <alignment horizontal="center"/>
    </xf>
    <xf numFmtId="0" fontId="170" fillId="20" borderId="23" xfId="0" applyFont="1" applyFill="1" applyBorder="1" applyAlignment="1">
      <alignment horizontal="center" vertical="center"/>
    </xf>
    <xf numFmtId="1" fontId="75" fillId="20" borderId="34" xfId="0" applyNumberFormat="1" applyFont="1" applyFill="1" applyBorder="1" applyAlignment="1">
      <alignment horizontal="center" vertical="center"/>
    </xf>
    <xf numFmtId="1" fontId="75" fillId="20" borderId="31" xfId="0" applyNumberFormat="1" applyFont="1" applyFill="1" applyBorder="1" applyAlignment="1">
      <alignment horizontal="center" vertical="center"/>
    </xf>
    <xf numFmtId="1" fontId="74" fillId="19" borderId="74" xfId="0" applyNumberFormat="1" applyFont="1" applyFill="1" applyBorder="1" applyAlignment="1">
      <alignment horizontal="center"/>
    </xf>
    <xf numFmtId="1" fontId="75" fillId="19" borderId="34" xfId="0" applyNumberFormat="1" applyFont="1" applyFill="1" applyBorder="1" applyAlignment="1">
      <alignment horizontal="center" vertical="center"/>
    </xf>
    <xf numFmtId="0" fontId="170" fillId="19" borderId="10" xfId="0" applyFont="1" applyFill="1" applyBorder="1" applyAlignment="1">
      <alignment horizontal="center" vertical="center"/>
    </xf>
    <xf numFmtId="0" fontId="170" fillId="19" borderId="23" xfId="0" applyFont="1" applyFill="1" applyBorder="1" applyAlignment="1">
      <alignment horizontal="center" vertical="center"/>
    </xf>
    <xf numFmtId="1" fontId="75" fillId="19" borderId="31" xfId="0" applyNumberFormat="1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19" borderId="11" xfId="0" applyFont="1" applyFill="1" applyBorder="1" applyAlignment="1">
      <alignment horizontal="center" vertical="center"/>
    </xf>
    <xf numFmtId="1" fontId="74" fillId="19" borderId="62" xfId="0" applyNumberFormat="1" applyFont="1" applyFill="1" applyBorder="1" applyAlignment="1">
      <alignment horizontal="center" vertical="center"/>
    </xf>
    <xf numFmtId="1" fontId="74" fillId="19" borderId="74" xfId="0" applyNumberFormat="1" applyFont="1" applyFill="1" applyBorder="1" applyAlignment="1">
      <alignment horizontal="center" vertical="center"/>
    </xf>
    <xf numFmtId="1" fontId="74" fillId="19" borderId="9" xfId="0" applyNumberFormat="1" applyFont="1" applyFill="1" applyBorder="1" applyAlignment="1">
      <alignment horizontal="center" vertical="center"/>
    </xf>
    <xf numFmtId="1" fontId="74" fillId="19" borderId="34" xfId="0" applyNumberFormat="1" applyFont="1" applyFill="1" applyBorder="1" applyAlignment="1">
      <alignment horizontal="center" vertical="center"/>
    </xf>
    <xf numFmtId="0" fontId="74" fillId="19" borderId="74" xfId="0" applyFont="1" applyFill="1" applyBorder="1" applyAlignment="1">
      <alignment horizontal="center"/>
    </xf>
    <xf numFmtId="0" fontId="74" fillId="19" borderId="9" xfId="0" applyFont="1" applyFill="1" applyBorder="1" applyAlignment="1">
      <alignment horizontal="center"/>
    </xf>
    <xf numFmtId="1" fontId="75" fillId="19" borderId="45" xfId="0" applyNumberFormat="1" applyFont="1" applyFill="1" applyBorder="1" applyAlignment="1">
      <alignment horizontal="center" vertical="center"/>
    </xf>
    <xf numFmtId="1" fontId="75" fillId="19" borderId="46" xfId="0" applyNumberFormat="1" applyFont="1" applyFill="1" applyBorder="1" applyAlignment="1">
      <alignment horizontal="center" vertical="center"/>
    </xf>
    <xf numFmtId="1" fontId="75" fillId="20" borderId="45" xfId="0" applyNumberFormat="1" applyFont="1" applyFill="1" applyBorder="1" applyAlignment="1">
      <alignment horizontal="center" vertical="center"/>
    </xf>
    <xf numFmtId="1" fontId="75" fillId="20" borderId="46" xfId="0" applyNumberFormat="1" applyFont="1" applyFill="1" applyBorder="1" applyAlignment="1">
      <alignment horizontal="center" vertical="center"/>
    </xf>
    <xf numFmtId="1" fontId="75" fillId="19" borderId="30" xfId="0" applyNumberFormat="1" applyFont="1" applyFill="1" applyBorder="1" applyAlignment="1">
      <alignment horizontal="center" vertical="center"/>
    </xf>
    <xf numFmtId="1" fontId="75" fillId="20" borderId="30" xfId="0" applyNumberFormat="1" applyFont="1" applyFill="1" applyBorder="1" applyAlignment="1">
      <alignment horizontal="center" vertical="center"/>
    </xf>
    <xf numFmtId="1" fontId="170" fillId="19" borderId="45" xfId="0" applyNumberFormat="1" applyFont="1" applyFill="1" applyBorder="1" applyAlignment="1">
      <alignment horizontal="center" vertical="center"/>
    </xf>
    <xf numFmtId="1" fontId="170" fillId="19" borderId="46" xfId="0" applyNumberFormat="1" applyFont="1" applyFill="1" applyBorder="1" applyAlignment="1">
      <alignment horizontal="center" vertical="center"/>
    </xf>
    <xf numFmtId="1" fontId="170" fillId="19" borderId="14" xfId="0" applyNumberFormat="1" applyFont="1" applyFill="1" applyBorder="1" applyAlignment="1">
      <alignment horizontal="center" vertical="center"/>
    </xf>
    <xf numFmtId="1" fontId="170" fillId="20" borderId="45" xfId="0" applyNumberFormat="1" applyFont="1" applyFill="1" applyBorder="1" applyAlignment="1">
      <alignment horizontal="center" vertical="center"/>
    </xf>
    <xf numFmtId="1" fontId="170" fillId="20" borderId="46" xfId="0" applyNumberFormat="1" applyFont="1" applyFill="1" applyBorder="1" applyAlignment="1">
      <alignment horizontal="center" vertical="center"/>
    </xf>
    <xf numFmtId="1" fontId="170" fillId="20" borderId="14" xfId="0" applyNumberFormat="1" applyFont="1" applyFill="1" applyBorder="1" applyAlignment="1">
      <alignment horizontal="center" vertical="center"/>
    </xf>
    <xf numFmtId="0" fontId="74" fillId="20" borderId="74" xfId="0" applyFont="1" applyFill="1" applyBorder="1" applyAlignment="1">
      <alignment horizontal="center"/>
    </xf>
    <xf numFmtId="0" fontId="74" fillId="20" borderId="9" xfId="0" applyFont="1" applyFill="1" applyBorder="1" applyAlignment="1">
      <alignment horizontal="center"/>
    </xf>
    <xf numFmtId="1" fontId="75" fillId="25" borderId="38" xfId="0" applyNumberFormat="1" applyFont="1" applyFill="1" applyBorder="1" applyAlignment="1">
      <alignment horizontal="center" vertical="center"/>
    </xf>
    <xf numFmtId="0" fontId="170" fillId="0" borderId="10" xfId="0" applyFont="1" applyBorder="1" applyAlignment="1">
      <alignment horizontal="center" vertical="center"/>
    </xf>
    <xf numFmtId="0" fontId="170" fillId="0" borderId="23" xfId="0" applyFont="1" applyBorder="1" applyAlignment="1">
      <alignment horizontal="center" vertical="center"/>
    </xf>
    <xf numFmtId="0" fontId="75" fillId="0" borderId="36" xfId="0" applyFont="1" applyBorder="1" applyAlignment="1">
      <alignment horizontal="center" vertical="center"/>
    </xf>
    <xf numFmtId="0" fontId="75" fillId="0" borderId="38" xfId="0" applyFont="1" applyBorder="1" applyAlignment="1">
      <alignment horizontal="center" vertical="center"/>
    </xf>
    <xf numFmtId="0" fontId="75" fillId="0" borderId="69" xfId="0" applyFont="1" applyBorder="1" applyAlignment="1">
      <alignment horizontal="center" vertical="center"/>
    </xf>
    <xf numFmtId="1" fontId="74" fillId="0" borderId="36" xfId="0" applyNumberFormat="1" applyFont="1" applyBorder="1" applyAlignment="1">
      <alignment horizontal="center" wrapText="1"/>
    </xf>
    <xf numFmtId="1" fontId="74" fillId="0" borderId="38" xfId="0" applyNumberFormat="1" applyFont="1" applyBorder="1" applyAlignment="1">
      <alignment horizontal="center" wrapText="1"/>
    </xf>
    <xf numFmtId="1" fontId="74" fillId="0" borderId="69" xfId="0" applyNumberFormat="1" applyFont="1" applyBorder="1" applyAlignment="1">
      <alignment horizontal="center" wrapText="1"/>
    </xf>
    <xf numFmtId="1" fontId="74" fillId="0" borderId="36" xfId="0" applyNumberFormat="1" applyFont="1" applyBorder="1" applyAlignment="1">
      <alignment horizontal="center"/>
    </xf>
    <xf numFmtId="1" fontId="74" fillId="0" borderId="69" xfId="0" applyNumberFormat="1" applyFont="1" applyBorder="1" applyAlignment="1">
      <alignment horizontal="center"/>
    </xf>
    <xf numFmtId="0" fontId="6" fillId="20" borderId="1" xfId="0" applyFont="1" applyFill="1" applyBorder="1" applyAlignment="1">
      <alignment horizontal="center" vertical="center"/>
    </xf>
    <xf numFmtId="0" fontId="6" fillId="20" borderId="11" xfId="0" applyFont="1" applyFill="1" applyBorder="1" applyAlignment="1">
      <alignment horizontal="center" vertical="center"/>
    </xf>
    <xf numFmtId="1" fontId="74" fillId="20" borderId="62" xfId="0" applyNumberFormat="1" applyFont="1" applyFill="1" applyBorder="1" applyAlignment="1">
      <alignment horizontal="center" vertical="center"/>
    </xf>
    <xf numFmtId="1" fontId="74" fillId="20" borderId="74" xfId="0" applyNumberFormat="1" applyFont="1" applyFill="1" applyBorder="1" applyAlignment="1">
      <alignment horizontal="center" vertical="center"/>
    </xf>
    <xf numFmtId="1" fontId="74" fillId="20" borderId="9" xfId="0" applyNumberFormat="1" applyFont="1" applyFill="1" applyBorder="1" applyAlignment="1">
      <alignment horizontal="center" vertical="center"/>
    </xf>
    <xf numFmtId="1" fontId="74" fillId="20" borderId="34" xfId="0" applyNumberFormat="1" applyFont="1" applyFill="1" applyBorder="1" applyAlignment="1">
      <alignment horizontal="center" vertical="center"/>
    </xf>
    <xf numFmtId="1" fontId="74" fillId="0" borderId="38" xfId="0" applyNumberFormat="1" applyFont="1" applyBorder="1" applyAlignment="1">
      <alignment horizontal="center"/>
    </xf>
    <xf numFmtId="1" fontId="170" fillId="0" borderId="45" xfId="0" applyNumberFormat="1" applyFont="1" applyBorder="1" applyAlignment="1">
      <alignment horizontal="center" vertical="center"/>
    </xf>
    <xf numFmtId="1" fontId="170" fillId="0" borderId="46" xfId="0" applyNumberFormat="1" applyFont="1" applyBorder="1" applyAlignment="1">
      <alignment horizontal="center" vertical="center"/>
    </xf>
    <xf numFmtId="1" fontId="170" fillId="0" borderId="14" xfId="0" applyNumberFormat="1" applyFont="1" applyBorder="1" applyAlignment="1">
      <alignment horizontal="center" vertical="center"/>
    </xf>
    <xf numFmtId="1" fontId="75" fillId="25" borderId="8" xfId="0" applyNumberFormat="1" applyFont="1" applyFill="1" applyBorder="1" applyAlignment="1">
      <alignment horizontal="center" vertical="center"/>
    </xf>
    <xf numFmtId="1" fontId="75" fillId="25" borderId="36" xfId="0" applyNumberFormat="1" applyFont="1" applyFill="1" applyBorder="1" applyAlignment="1">
      <alignment horizontal="center" vertical="center"/>
    </xf>
    <xf numFmtId="1" fontId="75" fillId="25" borderId="29" xfId="0" applyNumberFormat="1" applyFont="1" applyFill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1" fontId="74" fillId="0" borderId="62" xfId="0" applyNumberFormat="1" applyFont="1" applyBorder="1" applyAlignment="1">
      <alignment horizontal="center" vertical="center"/>
    </xf>
    <xf numFmtId="1" fontId="74" fillId="0" borderId="74" xfId="0" applyNumberFormat="1" applyFont="1" applyBorder="1" applyAlignment="1">
      <alignment horizontal="center" vertical="center"/>
    </xf>
    <xf numFmtId="1" fontId="74" fillId="0" borderId="9" xfId="0" applyNumberFormat="1" applyFont="1" applyBorder="1" applyAlignment="1">
      <alignment horizontal="center" vertical="center"/>
    </xf>
    <xf numFmtId="1" fontId="74" fillId="0" borderId="34" xfId="0" applyNumberFormat="1" applyFont="1" applyBorder="1" applyAlignment="1">
      <alignment horizontal="center" vertical="center"/>
    </xf>
    <xf numFmtId="1" fontId="74" fillId="21" borderId="62" xfId="0" applyNumberFormat="1" applyFont="1" applyFill="1" applyBorder="1" applyAlignment="1">
      <alignment horizontal="center"/>
    </xf>
    <xf numFmtId="1" fontId="74" fillId="21" borderId="74" xfId="0" applyNumberFormat="1" applyFont="1" applyFill="1" applyBorder="1" applyAlignment="1">
      <alignment horizontal="center"/>
    </xf>
    <xf numFmtId="1" fontId="74" fillId="21" borderId="9" xfId="0" applyNumberFormat="1" applyFont="1" applyFill="1" applyBorder="1" applyAlignment="1">
      <alignment horizontal="center"/>
    </xf>
    <xf numFmtId="1" fontId="75" fillId="21" borderId="31" xfId="0" applyNumberFormat="1" applyFont="1" applyFill="1" applyBorder="1" applyAlignment="1">
      <alignment horizontal="center" vertical="center"/>
    </xf>
    <xf numFmtId="1" fontId="75" fillId="21" borderId="62" xfId="0" applyNumberFormat="1" applyFont="1" applyFill="1" applyBorder="1" applyAlignment="1">
      <alignment horizontal="center" vertical="center"/>
    </xf>
    <xf numFmtId="1" fontId="75" fillId="21" borderId="74" xfId="0" applyNumberFormat="1" applyFont="1" applyFill="1" applyBorder="1" applyAlignment="1">
      <alignment horizontal="center" vertical="center"/>
    </xf>
    <xf numFmtId="1" fontId="75" fillId="21" borderId="34" xfId="0" applyNumberFormat="1" applyFont="1" applyFill="1" applyBorder="1" applyAlignment="1">
      <alignment horizontal="center" vertical="center"/>
    </xf>
    <xf numFmtId="0" fontId="170" fillId="21" borderId="10" xfId="0" applyFont="1" applyFill="1" applyBorder="1" applyAlignment="1">
      <alignment horizontal="center" vertical="center"/>
    </xf>
    <xf numFmtId="1" fontId="75" fillId="21" borderId="38" xfId="0" applyNumberFormat="1" applyFont="1" applyFill="1" applyBorder="1" applyAlignment="1">
      <alignment horizontal="center" vertical="center"/>
    </xf>
    <xf numFmtId="1" fontId="75" fillId="21" borderId="9" xfId="0" applyNumberFormat="1" applyFont="1" applyFill="1" applyBorder="1" applyAlignment="1">
      <alignment horizontal="center" vertical="center"/>
    </xf>
    <xf numFmtId="1" fontId="170" fillId="21" borderId="45" xfId="0" applyNumberFormat="1" applyFont="1" applyFill="1" applyBorder="1" applyAlignment="1">
      <alignment horizontal="center" vertical="center"/>
    </xf>
    <xf numFmtId="1" fontId="170" fillId="21" borderId="46" xfId="0" applyNumberFormat="1" applyFont="1" applyFill="1" applyBorder="1" applyAlignment="1">
      <alignment horizontal="center" vertical="center"/>
    </xf>
    <xf numFmtId="1" fontId="170" fillId="21" borderId="14" xfId="0" applyNumberFormat="1" applyFont="1" applyFill="1" applyBorder="1" applyAlignment="1">
      <alignment horizontal="center" vertical="center"/>
    </xf>
    <xf numFmtId="0" fontId="170" fillId="21" borderId="23" xfId="0" applyFont="1" applyFill="1" applyBorder="1" applyAlignment="1">
      <alignment horizontal="center" vertical="center"/>
    </xf>
    <xf numFmtId="0" fontId="74" fillId="21" borderId="74" xfId="0" applyFont="1" applyFill="1" applyBorder="1" applyAlignment="1">
      <alignment horizontal="center"/>
    </xf>
    <xf numFmtId="1" fontId="75" fillId="21" borderId="45" xfId="0" applyNumberFormat="1" applyFont="1" applyFill="1" applyBorder="1" applyAlignment="1">
      <alignment horizontal="center" vertical="center"/>
    </xf>
    <xf numFmtId="1" fontId="75" fillId="21" borderId="46" xfId="0" applyNumberFormat="1" applyFont="1" applyFill="1" applyBorder="1" applyAlignment="1">
      <alignment horizontal="center" vertical="center"/>
    </xf>
    <xf numFmtId="1" fontId="75" fillId="21" borderId="30" xfId="0" applyNumberFormat="1" applyFont="1" applyFill="1" applyBorder="1" applyAlignment="1">
      <alignment horizontal="center" vertical="center"/>
    </xf>
    <xf numFmtId="1" fontId="74" fillId="21" borderId="62" xfId="0" applyNumberFormat="1" applyFont="1" applyFill="1" applyBorder="1" applyAlignment="1">
      <alignment horizontal="center" vertical="center"/>
    </xf>
    <xf numFmtId="1" fontId="74" fillId="21" borderId="74" xfId="0" applyNumberFormat="1" applyFont="1" applyFill="1" applyBorder="1" applyAlignment="1">
      <alignment horizontal="center" vertical="center"/>
    </xf>
    <xf numFmtId="1" fontId="74" fillId="21" borderId="9" xfId="0" applyNumberFormat="1" applyFont="1" applyFill="1" applyBorder="1" applyAlignment="1">
      <alignment horizontal="center" vertical="center"/>
    </xf>
    <xf numFmtId="0" fontId="74" fillId="21" borderId="9" xfId="0" applyFont="1" applyFill="1" applyBorder="1" applyAlignment="1">
      <alignment horizontal="center"/>
    </xf>
    <xf numFmtId="0" fontId="6" fillId="21" borderId="1" xfId="0" applyFont="1" applyFill="1" applyBorder="1" applyAlignment="1">
      <alignment horizontal="center" vertical="center"/>
    </xf>
    <xf numFmtId="0" fontId="6" fillId="21" borderId="11" xfId="0" applyFont="1" applyFill="1" applyBorder="1" applyAlignment="1">
      <alignment horizontal="center" vertical="center"/>
    </xf>
    <xf numFmtId="1" fontId="74" fillId="21" borderId="34" xfId="0" applyNumberFormat="1" applyFont="1" applyFill="1" applyBorder="1" applyAlignment="1">
      <alignment horizontal="center" vertical="center"/>
    </xf>
    <xf numFmtId="1" fontId="74" fillId="0" borderId="62" xfId="0" applyNumberFormat="1" applyFont="1" applyBorder="1" applyAlignment="1">
      <alignment horizontal="center"/>
    </xf>
    <xf numFmtId="1" fontId="74" fillId="0" borderId="9" xfId="0" applyNumberFormat="1" applyFont="1" applyBorder="1" applyAlignment="1">
      <alignment horizontal="center"/>
    </xf>
    <xf numFmtId="1" fontId="74" fillId="0" borderId="74" xfId="0" applyNumberFormat="1" applyFont="1" applyBorder="1" applyAlignment="1">
      <alignment horizontal="center"/>
    </xf>
    <xf numFmtId="0" fontId="75" fillId="0" borderId="62" xfId="0" applyFont="1" applyBorder="1" applyAlignment="1">
      <alignment horizontal="center" vertical="center"/>
    </xf>
    <xf numFmtId="0" fontId="75" fillId="0" borderId="74" xfId="0" applyFont="1" applyBorder="1" applyAlignment="1">
      <alignment horizontal="center" vertical="center"/>
    </xf>
    <xf numFmtId="0" fontId="75" fillId="0" borderId="9" xfId="0" applyFont="1" applyBorder="1" applyAlignment="1">
      <alignment horizontal="center" vertical="center"/>
    </xf>
    <xf numFmtId="1" fontId="75" fillId="25" borderId="74" xfId="0" applyNumberFormat="1" applyFont="1" applyFill="1" applyBorder="1" applyAlignment="1">
      <alignment horizontal="center" vertical="center"/>
    </xf>
    <xf numFmtId="1" fontId="75" fillId="25" borderId="62" xfId="0" applyNumberFormat="1" applyFont="1" applyFill="1" applyBorder="1" applyAlignment="1">
      <alignment horizontal="center" vertical="center"/>
    </xf>
    <xf numFmtId="1" fontId="75" fillId="25" borderId="34" xfId="0" applyNumberFormat="1" applyFont="1" applyFill="1" applyBorder="1" applyAlignment="1">
      <alignment horizontal="center" vertical="center"/>
    </xf>
    <xf numFmtId="0" fontId="170" fillId="0" borderId="62" xfId="0" applyFont="1" applyBorder="1" applyAlignment="1">
      <alignment horizontal="center" vertical="center"/>
    </xf>
    <xf numFmtId="0" fontId="170" fillId="0" borderId="74" xfId="0" applyFont="1" applyBorder="1" applyAlignment="1">
      <alignment horizontal="center" vertical="center"/>
    </xf>
    <xf numFmtId="0" fontId="170" fillId="0" borderId="9" xfId="0" applyFont="1" applyBorder="1" applyAlignment="1">
      <alignment horizontal="center" vertical="center"/>
    </xf>
    <xf numFmtId="0" fontId="114" fillId="0" borderId="76" xfId="0" applyFont="1" applyBorder="1" applyAlignment="1">
      <alignment horizontal="left" vertical="center"/>
    </xf>
    <xf numFmtId="0" fontId="114" fillId="0" borderId="9" xfId="0" applyFont="1" applyBorder="1" applyAlignment="1">
      <alignment horizontal="left" vertical="center"/>
    </xf>
    <xf numFmtId="0" fontId="114" fillId="0" borderId="109" xfId="0" applyFont="1" applyBorder="1" applyAlignment="1">
      <alignment horizontal="center" vertical="center"/>
    </xf>
    <xf numFmtId="0" fontId="114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19" borderId="4" xfId="0" applyFont="1" applyFill="1" applyBorder="1" applyAlignment="1">
      <alignment horizontal="center" vertical="center"/>
    </xf>
    <xf numFmtId="1" fontId="170" fillId="25" borderId="45" xfId="0" applyNumberFormat="1" applyFont="1" applyFill="1" applyBorder="1" applyAlignment="1">
      <alignment horizontal="center" vertical="center"/>
    </xf>
    <xf numFmtId="1" fontId="170" fillId="25" borderId="46" xfId="0" applyNumberFormat="1" applyFont="1" applyFill="1" applyBorder="1" applyAlignment="1">
      <alignment horizontal="center" vertical="center"/>
    </xf>
    <xf numFmtId="1" fontId="170" fillId="25" borderId="14" xfId="0" applyNumberFormat="1" applyFont="1" applyFill="1" applyBorder="1" applyAlignment="1">
      <alignment horizontal="center" vertical="center"/>
    </xf>
    <xf numFmtId="0" fontId="119" fillId="0" borderId="74" xfId="0" applyFont="1" applyBorder="1" applyAlignment="1">
      <alignment horizontal="left" vertical="center"/>
    </xf>
    <xf numFmtId="0" fontId="119" fillId="0" borderId="71" xfId="0" applyFont="1" applyBorder="1" applyAlignment="1">
      <alignment horizontal="center" vertical="center"/>
    </xf>
    <xf numFmtId="17" fontId="112" fillId="0" borderId="55" xfId="0" applyNumberFormat="1" applyFont="1" applyBorder="1" applyAlignment="1">
      <alignment horizontal="center" vertical="center"/>
    </xf>
    <xf numFmtId="0" fontId="112" fillId="0" borderId="109" xfId="0" applyFont="1" applyBorder="1" applyAlignment="1">
      <alignment horizontal="center" vertical="center"/>
    </xf>
    <xf numFmtId="0" fontId="112" fillId="0" borderId="15" xfId="0" applyFont="1" applyBorder="1" applyAlignment="1">
      <alignment horizontal="center" vertical="center"/>
    </xf>
    <xf numFmtId="0" fontId="65" fillId="0" borderId="76" xfId="0" applyFont="1" applyBorder="1" applyAlignment="1">
      <alignment horizontal="left" vertical="center"/>
    </xf>
    <xf numFmtId="0" fontId="65" fillId="0" borderId="34" xfId="0" applyFont="1" applyBorder="1" applyAlignment="1">
      <alignment horizontal="left" vertical="center"/>
    </xf>
    <xf numFmtId="0" fontId="119" fillId="0" borderId="109" xfId="0" applyFont="1" applyBorder="1" applyAlignment="1">
      <alignment horizontal="center" vertical="center"/>
    </xf>
    <xf numFmtId="0" fontId="119" fillId="0" borderId="15" xfId="0" applyFont="1" applyBorder="1" applyAlignment="1">
      <alignment horizontal="center" vertical="center"/>
    </xf>
    <xf numFmtId="0" fontId="6" fillId="19" borderId="25" xfId="0" applyFont="1" applyFill="1" applyBorder="1" applyAlignment="1">
      <alignment horizontal="center" vertical="center"/>
    </xf>
    <xf numFmtId="0" fontId="6" fillId="19" borderId="21" xfId="0" applyFont="1" applyFill="1" applyBorder="1" applyAlignment="1">
      <alignment horizontal="center" vertical="center"/>
    </xf>
    <xf numFmtId="0" fontId="6" fillId="20" borderId="25" xfId="0" applyFont="1" applyFill="1" applyBorder="1" applyAlignment="1">
      <alignment horizontal="center" vertical="center"/>
    </xf>
    <xf numFmtId="0" fontId="6" fillId="20" borderId="21" xfId="0" applyFont="1" applyFill="1" applyBorder="1" applyAlignment="1">
      <alignment horizontal="center" vertical="center"/>
    </xf>
    <xf numFmtId="0" fontId="114" fillId="0" borderId="25" xfId="0" applyFont="1" applyBorder="1" applyAlignment="1">
      <alignment horizontal="center" vertical="center"/>
    </xf>
    <xf numFmtId="0" fontId="114" fillId="0" borderId="21" xfId="0" applyFont="1" applyBorder="1" applyAlignment="1">
      <alignment horizontal="center" vertical="center"/>
    </xf>
    <xf numFmtId="0" fontId="114" fillId="19" borderId="25" xfId="0" applyFont="1" applyFill="1" applyBorder="1" applyAlignment="1">
      <alignment horizontal="center" vertical="center"/>
    </xf>
    <xf numFmtId="0" fontId="114" fillId="19" borderId="21" xfId="0" applyFont="1" applyFill="1" applyBorder="1" applyAlignment="1">
      <alignment horizontal="center" vertical="center"/>
    </xf>
    <xf numFmtId="0" fontId="114" fillId="20" borderId="25" xfId="0" applyFont="1" applyFill="1" applyBorder="1" applyAlignment="1">
      <alignment horizontal="center" vertical="center"/>
    </xf>
    <xf numFmtId="0" fontId="114" fillId="20" borderId="21" xfId="0" applyFont="1" applyFill="1" applyBorder="1" applyAlignment="1">
      <alignment horizontal="center" vertical="center"/>
    </xf>
    <xf numFmtId="0" fontId="6" fillId="21" borderId="25" xfId="0" applyFont="1" applyFill="1" applyBorder="1" applyAlignment="1">
      <alignment horizontal="center" vertical="center"/>
    </xf>
    <xf numFmtId="0" fontId="6" fillId="21" borderId="21" xfId="0" applyFont="1" applyFill="1" applyBorder="1" applyAlignment="1">
      <alignment horizontal="center" vertical="center"/>
    </xf>
    <xf numFmtId="0" fontId="114" fillId="21" borderId="25" xfId="0" applyFont="1" applyFill="1" applyBorder="1" applyAlignment="1">
      <alignment horizontal="center" vertical="center"/>
    </xf>
    <xf numFmtId="0" fontId="114" fillId="21" borderId="21" xfId="0" applyFont="1" applyFill="1" applyBorder="1" applyAlignment="1">
      <alignment horizontal="center" vertical="center"/>
    </xf>
    <xf numFmtId="1" fontId="74" fillId="20" borderId="76" xfId="0" applyNumberFormat="1" applyFont="1" applyFill="1" applyBorder="1" applyAlignment="1">
      <alignment horizontal="center"/>
    </xf>
    <xf numFmtId="169" fontId="74" fillId="19" borderId="76" xfId="0" applyNumberFormat="1" applyFont="1" applyFill="1" applyBorder="1" applyAlignment="1">
      <alignment horizontal="center" vertical="center"/>
    </xf>
    <xf numFmtId="169" fontId="74" fillId="19" borderId="74" xfId="0" applyNumberFormat="1" applyFont="1" applyFill="1" applyBorder="1" applyAlignment="1">
      <alignment horizontal="center" vertical="center"/>
    </xf>
    <xf numFmtId="169" fontId="74" fillId="19" borderId="9" xfId="0" applyNumberFormat="1" applyFont="1" applyFill="1" applyBorder="1" applyAlignment="1">
      <alignment horizontal="center" vertical="center"/>
    </xf>
    <xf numFmtId="169" fontId="74" fillId="20" borderId="76" xfId="0" applyNumberFormat="1" applyFont="1" applyFill="1" applyBorder="1" applyAlignment="1">
      <alignment horizontal="center" vertical="center"/>
    </xf>
    <xf numFmtId="169" fontId="74" fillId="20" borderId="74" xfId="0" applyNumberFormat="1" applyFont="1" applyFill="1" applyBorder="1" applyAlignment="1">
      <alignment horizontal="center" vertical="center"/>
    </xf>
    <xf numFmtId="169" fontId="74" fillId="20" borderId="9" xfId="0" applyNumberFormat="1" applyFont="1" applyFill="1" applyBorder="1" applyAlignment="1">
      <alignment horizontal="center" vertical="center"/>
    </xf>
    <xf numFmtId="1" fontId="154" fillId="19" borderId="45" xfId="0" applyNumberFormat="1" applyFont="1" applyFill="1" applyBorder="1" applyAlignment="1">
      <alignment horizontal="center" vertical="center"/>
    </xf>
    <xf numFmtId="1" fontId="154" fillId="19" borderId="46" xfId="0" applyNumberFormat="1" applyFont="1" applyFill="1" applyBorder="1" applyAlignment="1">
      <alignment horizontal="center" vertical="center"/>
    </xf>
    <xf numFmtId="1" fontId="154" fillId="19" borderId="30" xfId="0" applyNumberFormat="1" applyFont="1" applyFill="1" applyBorder="1" applyAlignment="1">
      <alignment horizontal="center" vertical="center"/>
    </xf>
    <xf numFmtId="1" fontId="154" fillId="20" borderId="45" xfId="0" applyNumberFormat="1" applyFont="1" applyFill="1" applyBorder="1" applyAlignment="1">
      <alignment horizontal="center" vertical="center"/>
    </xf>
    <xf numFmtId="1" fontId="154" fillId="20" borderId="46" xfId="0" applyNumberFormat="1" applyFont="1" applyFill="1" applyBorder="1" applyAlignment="1">
      <alignment horizontal="center" vertical="center"/>
    </xf>
    <xf numFmtId="1" fontId="154" fillId="20" borderId="30" xfId="0" applyNumberFormat="1" applyFont="1" applyFill="1" applyBorder="1" applyAlignment="1">
      <alignment horizontal="center" vertical="center"/>
    </xf>
    <xf numFmtId="0" fontId="114" fillId="19" borderId="1" xfId="0" applyFont="1" applyFill="1" applyBorder="1" applyAlignment="1">
      <alignment horizontal="center" vertical="center"/>
    </xf>
    <xf numFmtId="0" fontId="114" fillId="19" borderId="11" xfId="0" applyFont="1" applyFill="1" applyBorder="1" applyAlignment="1">
      <alignment horizontal="center" vertical="center"/>
    </xf>
    <xf numFmtId="1" fontId="74" fillId="19" borderId="76" xfId="0" applyNumberFormat="1" applyFont="1" applyFill="1" applyBorder="1" applyAlignment="1">
      <alignment horizontal="center"/>
    </xf>
    <xf numFmtId="0" fontId="6" fillId="20" borderId="4" xfId="0" applyFont="1" applyFill="1" applyBorder="1" applyAlignment="1">
      <alignment horizontal="center" vertical="center"/>
    </xf>
    <xf numFmtId="0" fontId="6" fillId="25" borderId="55" xfId="0" applyFont="1" applyFill="1" applyBorder="1" applyAlignment="1">
      <alignment horizontal="center" vertical="center"/>
    </xf>
    <xf numFmtId="1" fontId="74" fillId="25" borderId="62" xfId="0" applyNumberFormat="1" applyFont="1" applyFill="1" applyBorder="1" applyAlignment="1">
      <alignment horizontal="center" vertical="center"/>
    </xf>
    <xf numFmtId="1" fontId="74" fillId="25" borderId="74" xfId="0" applyNumberFormat="1" applyFont="1" applyFill="1" applyBorder="1" applyAlignment="1">
      <alignment horizontal="center" vertical="center"/>
    </xf>
    <xf numFmtId="1" fontId="74" fillId="25" borderId="9" xfId="0" applyNumberFormat="1" applyFont="1" applyFill="1" applyBorder="1" applyAlignment="1">
      <alignment horizontal="center" vertical="center"/>
    </xf>
    <xf numFmtId="1" fontId="74" fillId="0" borderId="76" xfId="0" applyNumberFormat="1" applyFont="1" applyBorder="1" applyAlignment="1">
      <alignment horizontal="center"/>
    </xf>
    <xf numFmtId="169" fontId="74" fillId="25" borderId="76" xfId="0" applyNumberFormat="1" applyFont="1" applyFill="1" applyBorder="1" applyAlignment="1">
      <alignment horizontal="center" vertical="center"/>
    </xf>
    <xf numFmtId="169" fontId="74" fillId="25" borderId="74" xfId="0" applyNumberFormat="1" applyFont="1" applyFill="1" applyBorder="1" applyAlignment="1">
      <alignment horizontal="center" vertical="center"/>
    </xf>
    <xf numFmtId="169" fontId="74" fillId="25" borderId="9" xfId="0" applyNumberFormat="1" applyFont="1" applyFill="1" applyBorder="1" applyAlignment="1">
      <alignment horizontal="center" vertical="center"/>
    </xf>
    <xf numFmtId="0" fontId="154" fillId="0" borderId="45" xfId="0" applyFont="1" applyBorder="1" applyAlignment="1">
      <alignment horizontal="center"/>
    </xf>
    <xf numFmtId="0" fontId="154" fillId="0" borderId="46" xfId="0" applyFont="1" applyBorder="1" applyAlignment="1">
      <alignment horizontal="center"/>
    </xf>
    <xf numFmtId="0" fontId="154" fillId="0" borderId="30" xfId="0" applyFont="1" applyBorder="1" applyAlignment="1">
      <alignment horizontal="center"/>
    </xf>
    <xf numFmtId="1" fontId="74" fillId="21" borderId="76" xfId="0" applyNumberFormat="1" applyFont="1" applyFill="1" applyBorder="1" applyAlignment="1">
      <alignment horizontal="center"/>
    </xf>
    <xf numFmtId="169" fontId="74" fillId="21" borderId="76" xfId="0" applyNumberFormat="1" applyFont="1" applyFill="1" applyBorder="1" applyAlignment="1">
      <alignment horizontal="center" vertical="center"/>
    </xf>
    <xf numFmtId="169" fontId="74" fillId="21" borderId="74" xfId="0" applyNumberFormat="1" applyFont="1" applyFill="1" applyBorder="1" applyAlignment="1">
      <alignment horizontal="center" vertical="center"/>
    </xf>
    <xf numFmtId="169" fontId="74" fillId="21" borderId="9" xfId="0" applyNumberFormat="1" applyFont="1" applyFill="1" applyBorder="1" applyAlignment="1">
      <alignment horizontal="center" vertical="center"/>
    </xf>
    <xf numFmtId="1" fontId="154" fillId="21" borderId="45" xfId="0" applyNumberFormat="1" applyFont="1" applyFill="1" applyBorder="1" applyAlignment="1">
      <alignment horizontal="center" vertical="center"/>
    </xf>
    <xf numFmtId="1" fontId="154" fillId="21" borderId="46" xfId="0" applyNumberFormat="1" applyFont="1" applyFill="1" applyBorder="1" applyAlignment="1">
      <alignment horizontal="center" vertical="center"/>
    </xf>
    <xf numFmtId="1" fontId="154" fillId="21" borderId="30" xfId="0" applyNumberFormat="1" applyFont="1" applyFill="1" applyBorder="1" applyAlignment="1">
      <alignment horizontal="center" vertical="center"/>
    </xf>
    <xf numFmtId="0" fontId="64" fillId="0" borderId="54" xfId="0" applyFont="1" applyBorder="1" applyAlignment="1">
      <alignment horizontal="left"/>
    </xf>
    <xf numFmtId="0" fontId="52" fillId="0" borderId="54" xfId="0" applyFont="1" applyBorder="1" applyAlignment="1">
      <alignment horizontal="left"/>
    </xf>
    <xf numFmtId="0" fontId="138" fillId="0" borderId="10" xfId="0" applyFont="1" applyBorder="1" applyAlignment="1">
      <alignment horizontal="center" vertical="center"/>
    </xf>
    <xf numFmtId="0" fontId="154" fillId="0" borderId="10" xfId="0" applyFont="1" applyBorder="1" applyAlignment="1">
      <alignment horizontal="center"/>
    </xf>
    <xf numFmtId="0" fontId="114" fillId="0" borderId="108" xfId="0" applyFont="1" applyBorder="1" applyAlignment="1">
      <alignment horizontal="center" vertical="center"/>
    </xf>
    <xf numFmtId="0" fontId="114" fillId="0" borderId="73" xfId="0" applyFont="1" applyBorder="1" applyAlignment="1">
      <alignment horizontal="center" vertical="center"/>
    </xf>
    <xf numFmtId="0" fontId="114" fillId="19" borderId="4" xfId="0" applyFont="1" applyFill="1" applyBorder="1" applyAlignment="1">
      <alignment horizontal="center" vertical="center"/>
    </xf>
    <xf numFmtId="0" fontId="6" fillId="21" borderId="4" xfId="0" applyFont="1" applyFill="1" applyBorder="1" applyAlignment="1">
      <alignment horizontal="center" vertical="center"/>
    </xf>
    <xf numFmtId="0" fontId="208" fillId="25" borderId="0" xfId="189" applyFont="1" applyFill="1" applyBorder="1" applyAlignment="1">
      <alignment horizontal="center" vertical="center"/>
    </xf>
    <xf numFmtId="0" fontId="206" fillId="52" borderId="2" xfId="189" applyFont="1" applyFill="1" applyBorder="1" applyAlignment="1">
      <alignment horizontal="center" vertical="center"/>
    </xf>
    <xf numFmtId="0" fontId="206" fillId="52" borderId="39" xfId="189" applyFont="1" applyFill="1" applyBorder="1" applyAlignment="1">
      <alignment horizontal="center" vertical="center"/>
    </xf>
    <xf numFmtId="0" fontId="206" fillId="52" borderId="56" xfId="189" applyFont="1" applyFill="1" applyBorder="1" applyAlignment="1">
      <alignment horizontal="center" vertical="center"/>
    </xf>
    <xf numFmtId="0" fontId="206" fillId="52" borderId="63" xfId="189" applyFont="1" applyFill="1" applyBorder="1" applyAlignment="1">
      <alignment horizontal="center" vertical="center"/>
    </xf>
    <xf numFmtId="0" fontId="206" fillId="52" borderId="41" xfId="189" applyFont="1" applyFill="1" applyBorder="1" applyAlignment="1">
      <alignment horizontal="center" vertical="center"/>
    </xf>
    <xf numFmtId="0" fontId="206" fillId="52" borderId="66" xfId="189" applyFont="1" applyFill="1" applyBorder="1" applyAlignment="1">
      <alignment horizontal="center" vertical="center"/>
    </xf>
    <xf numFmtId="0" fontId="206" fillId="52" borderId="109" xfId="189" applyFont="1" applyFill="1" applyBorder="1" applyAlignment="1">
      <alignment horizontal="center" vertical="center"/>
    </xf>
    <xf numFmtId="0" fontId="206" fillId="52" borderId="25" xfId="189" applyFont="1" applyFill="1" applyBorder="1" applyAlignment="1">
      <alignment horizontal="center" vertical="center"/>
    </xf>
    <xf numFmtId="0" fontId="206" fillId="52" borderId="55" xfId="189" applyFont="1" applyFill="1" applyBorder="1" applyAlignment="1">
      <alignment horizontal="center" vertical="center"/>
    </xf>
    <xf numFmtId="0" fontId="206" fillId="52" borderId="21" xfId="189" applyFont="1" applyFill="1" applyBorder="1" applyAlignment="1">
      <alignment horizontal="center" vertical="center"/>
    </xf>
    <xf numFmtId="0" fontId="206" fillId="52" borderId="1" xfId="189" applyFont="1" applyFill="1" applyBorder="1" applyAlignment="1">
      <alignment horizontal="center" vertical="center"/>
    </xf>
    <xf numFmtId="0" fontId="206" fillId="52" borderId="5" xfId="189" applyFont="1" applyFill="1" applyBorder="1" applyAlignment="1">
      <alignment horizontal="center" vertical="center"/>
    </xf>
    <xf numFmtId="0" fontId="206" fillId="52" borderId="67" xfId="189" applyFont="1" applyFill="1" applyBorder="1" applyAlignment="1">
      <alignment horizontal="center" vertical="center"/>
    </xf>
    <xf numFmtId="0" fontId="228" fillId="0" borderId="25" xfId="189" applyFont="1" applyFill="1" applyBorder="1" applyAlignment="1">
      <alignment horizontal="center" vertical="center"/>
    </xf>
    <xf numFmtId="0" fontId="228" fillId="0" borderId="55" xfId="189" applyFont="1" applyFill="1" applyBorder="1" applyAlignment="1">
      <alignment horizontal="center" vertical="center"/>
    </xf>
    <xf numFmtId="0" fontId="228" fillId="0" borderId="21" xfId="189" applyFont="1" applyFill="1" applyBorder="1" applyAlignment="1">
      <alignment horizontal="center" vertical="center"/>
    </xf>
    <xf numFmtId="0" fontId="206" fillId="19" borderId="2" xfId="189" applyFont="1" applyFill="1" applyBorder="1" applyAlignment="1">
      <alignment horizontal="center" vertical="center"/>
    </xf>
    <xf numFmtId="0" fontId="206" fillId="19" borderId="39" xfId="189" applyFont="1" applyFill="1" applyBorder="1" applyAlignment="1">
      <alignment horizontal="center" vertical="center"/>
    </xf>
    <xf numFmtId="0" fontId="206" fillId="19" borderId="56" xfId="189" applyFont="1" applyFill="1" applyBorder="1" applyAlignment="1">
      <alignment horizontal="center" vertical="center"/>
    </xf>
    <xf numFmtId="0" fontId="206" fillId="19" borderId="57" xfId="189" applyFont="1" applyFill="1" applyBorder="1" applyAlignment="1">
      <alignment horizontal="center" vertical="center"/>
    </xf>
    <xf numFmtId="0" fontId="206" fillId="19" borderId="26" xfId="189" applyFont="1" applyFill="1" applyBorder="1" applyAlignment="1">
      <alignment horizontal="center" vertical="center"/>
    </xf>
    <xf numFmtId="0" fontId="206" fillId="19" borderId="28" xfId="189" applyFont="1" applyFill="1" applyBorder="1" applyAlignment="1">
      <alignment horizontal="center" vertical="center"/>
    </xf>
    <xf numFmtId="17" fontId="206" fillId="0" borderId="2" xfId="189" applyNumberFormat="1" applyFont="1" applyFill="1" applyBorder="1" applyAlignment="1">
      <alignment horizontal="center" vertical="center"/>
    </xf>
    <xf numFmtId="17" fontId="206" fillId="0" borderId="57" xfId="189" applyNumberFormat="1" applyFont="1" applyFill="1" applyBorder="1" applyAlignment="1">
      <alignment horizontal="center" vertical="center"/>
    </xf>
    <xf numFmtId="0" fontId="209" fillId="25" borderId="0" xfId="189" applyFont="1" applyFill="1" applyBorder="1" applyAlignment="1">
      <alignment horizontal="center" vertical="center"/>
    </xf>
    <xf numFmtId="0" fontId="206" fillId="52" borderId="35" xfId="189" applyFont="1" applyFill="1" applyBorder="1" applyAlignment="1">
      <alignment horizontal="center" vertical="center"/>
    </xf>
    <xf numFmtId="0" fontId="206" fillId="52" borderId="0" xfId="189" applyFont="1" applyFill="1" applyBorder="1" applyAlignment="1">
      <alignment horizontal="center" vertical="center"/>
    </xf>
    <xf numFmtId="0" fontId="119" fillId="0" borderId="41" xfId="0" applyFont="1" applyBorder="1" applyAlignment="1">
      <alignment horizontal="center" vertical="center"/>
    </xf>
    <xf numFmtId="0" fontId="119" fillId="0" borderId="10" xfId="0" applyFont="1" applyBorder="1" applyAlignment="1">
      <alignment horizontal="center" vertical="center"/>
    </xf>
    <xf numFmtId="0" fontId="240" fillId="0" borderId="10" xfId="0" applyFont="1" applyBorder="1" applyAlignment="1">
      <alignment horizontal="left" vertical="center" wrapText="1"/>
    </xf>
    <xf numFmtId="0" fontId="109" fillId="0" borderId="109" xfId="0" applyFont="1" applyBorder="1" applyAlignment="1">
      <alignment horizontal="center" vertical="center"/>
    </xf>
    <xf numFmtId="0" fontId="109" fillId="0" borderId="64" xfId="0" applyFont="1" applyBorder="1" applyAlignment="1">
      <alignment horizontal="center" vertical="center"/>
    </xf>
    <xf numFmtId="0" fontId="109" fillId="0" borderId="48" xfId="0" applyFont="1" applyBorder="1" applyAlignment="1">
      <alignment horizontal="center" vertical="center"/>
    </xf>
    <xf numFmtId="1" fontId="138" fillId="0" borderId="29" xfId="0" applyNumberFormat="1" applyFont="1" applyBorder="1" applyAlignment="1">
      <alignment horizontal="center" vertical="center"/>
    </xf>
    <xf numFmtId="1" fontId="125" fillId="0" borderId="62" xfId="0" applyNumberFormat="1" applyFont="1" applyBorder="1" applyAlignment="1">
      <alignment horizontal="center" vertical="center"/>
    </xf>
    <xf numFmtId="1" fontId="125" fillId="0" borderId="74" xfId="0" applyNumberFormat="1" applyFont="1" applyBorder="1" applyAlignment="1">
      <alignment horizontal="center" vertical="center"/>
    </xf>
    <xf numFmtId="1" fontId="125" fillId="0" borderId="9" xfId="0" applyNumberFormat="1" applyFont="1" applyBorder="1" applyAlignment="1">
      <alignment horizontal="center" vertical="center"/>
    </xf>
    <xf numFmtId="1" fontId="125" fillId="21" borderId="62" xfId="0" applyNumberFormat="1" applyFont="1" applyFill="1" applyBorder="1" applyAlignment="1">
      <alignment horizontal="center" vertical="center"/>
    </xf>
    <xf numFmtId="1" fontId="125" fillId="21" borderId="74" xfId="0" applyNumberFormat="1" applyFont="1" applyFill="1" applyBorder="1" applyAlignment="1">
      <alignment horizontal="center" vertical="center"/>
    </xf>
    <xf numFmtId="1" fontId="125" fillId="21" borderId="9" xfId="0" applyNumberFormat="1" applyFont="1" applyFill="1" applyBorder="1" applyAlignment="1">
      <alignment horizontal="center" vertical="center"/>
    </xf>
    <xf numFmtId="1" fontId="125" fillId="19" borderId="62" xfId="0" applyNumberFormat="1" applyFont="1" applyFill="1" applyBorder="1" applyAlignment="1">
      <alignment horizontal="center" vertical="center"/>
    </xf>
    <xf numFmtId="1" fontId="125" fillId="19" borderId="74" xfId="0" applyNumberFormat="1" applyFont="1" applyFill="1" applyBorder="1" applyAlignment="1">
      <alignment horizontal="center" vertical="center"/>
    </xf>
    <xf numFmtId="1" fontId="125" fillId="19" borderId="9" xfId="0" applyNumberFormat="1" applyFont="1" applyFill="1" applyBorder="1" applyAlignment="1">
      <alignment horizontal="center" vertical="center"/>
    </xf>
    <xf numFmtId="1" fontId="125" fillId="20" borderId="62" xfId="0" applyNumberFormat="1" applyFont="1" applyFill="1" applyBorder="1" applyAlignment="1">
      <alignment horizontal="center" vertical="center"/>
    </xf>
    <xf numFmtId="1" fontId="125" fillId="20" borderId="74" xfId="0" applyNumberFormat="1" applyFont="1" applyFill="1" applyBorder="1" applyAlignment="1">
      <alignment horizontal="center" vertical="center"/>
    </xf>
    <xf numFmtId="1" fontId="125" fillId="20" borderId="9" xfId="0" applyNumberFormat="1" applyFont="1" applyFill="1" applyBorder="1" applyAlignment="1">
      <alignment horizontal="center" vertical="center"/>
    </xf>
    <xf numFmtId="1" fontId="138" fillId="19" borderId="29" xfId="0" applyNumberFormat="1" applyFont="1" applyFill="1" applyBorder="1" applyAlignment="1">
      <alignment horizontal="center" vertical="center"/>
    </xf>
    <xf numFmtId="1" fontId="138" fillId="21" borderId="29" xfId="0" applyNumberFormat="1" applyFont="1" applyFill="1" applyBorder="1" applyAlignment="1">
      <alignment horizontal="center" vertical="center"/>
    </xf>
    <xf numFmtId="1" fontId="138" fillId="20" borderId="29" xfId="0" applyNumberFormat="1" applyFont="1" applyFill="1" applyBorder="1" applyAlignment="1">
      <alignment horizontal="center" vertical="center"/>
    </xf>
    <xf numFmtId="1" fontId="138" fillId="0" borderId="62" xfId="0" applyNumberFormat="1" applyFont="1" applyBorder="1" applyAlignment="1">
      <alignment horizontal="center" vertical="center"/>
    </xf>
    <xf numFmtId="1" fontId="138" fillId="0" borderId="74" xfId="0" applyNumberFormat="1" applyFont="1" applyBorder="1" applyAlignment="1">
      <alignment horizontal="center" vertical="center"/>
    </xf>
    <xf numFmtId="0" fontId="119" fillId="0" borderId="92" xfId="0" applyFont="1" applyBorder="1" applyAlignment="1">
      <alignment horizontal="center" vertical="center"/>
    </xf>
    <xf numFmtId="0" fontId="119" fillId="0" borderId="14" xfId="0" applyFont="1" applyBorder="1" applyAlignment="1">
      <alignment horizontal="center" vertical="center"/>
    </xf>
    <xf numFmtId="0" fontId="233" fillId="0" borderId="10" xfId="0" applyFont="1" applyBorder="1" applyAlignment="1">
      <alignment horizontal="left" vertical="center" wrapText="1"/>
    </xf>
    <xf numFmtId="0" fontId="234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233" fillId="25" borderId="10" xfId="0" applyFont="1" applyFill="1" applyBorder="1" applyAlignment="1">
      <alignment horizontal="left" vertical="center" wrapText="1"/>
    </xf>
    <xf numFmtId="1" fontId="138" fillId="21" borderId="8" xfId="0" applyNumberFormat="1" applyFont="1" applyFill="1" applyBorder="1" applyAlignment="1">
      <alignment horizontal="center" vertical="center"/>
    </xf>
    <xf numFmtId="0" fontId="119" fillId="0" borderId="23" xfId="0" applyFont="1" applyBorder="1" applyAlignment="1">
      <alignment horizontal="center" vertical="center"/>
    </xf>
    <xf numFmtId="0" fontId="119" fillId="0" borderId="41" xfId="0" applyFont="1" applyBorder="1" applyAlignment="1">
      <alignment horizontal="center" vertical="center" wrapText="1"/>
    </xf>
    <xf numFmtId="0" fontId="119" fillId="0" borderId="23" xfId="0" applyFont="1" applyBorder="1" applyAlignment="1">
      <alignment horizontal="center" vertical="center" wrapText="1"/>
    </xf>
    <xf numFmtId="1" fontId="111" fillId="0" borderId="36" xfId="0" quotePrefix="1" applyNumberFormat="1" applyFont="1" applyBorder="1" applyAlignment="1">
      <alignment horizontal="center" vertical="center"/>
    </xf>
    <xf numFmtId="1" fontId="111" fillId="0" borderId="38" xfId="0" quotePrefix="1" applyNumberFormat="1" applyFont="1" applyBorder="1" applyAlignment="1">
      <alignment horizontal="center" vertical="center"/>
    </xf>
    <xf numFmtId="0" fontId="54" fillId="25" borderId="36" xfId="0" applyFont="1" applyFill="1" applyBorder="1" applyAlignment="1">
      <alignment horizontal="center" vertical="center"/>
    </xf>
    <xf numFmtId="0" fontId="54" fillId="25" borderId="38" xfId="0" applyFont="1" applyFill="1" applyBorder="1" applyAlignment="1">
      <alignment horizontal="center" vertical="center"/>
    </xf>
    <xf numFmtId="0" fontId="54" fillId="25" borderId="157" xfId="0" applyFont="1" applyFill="1" applyBorder="1" applyAlignment="1">
      <alignment horizontal="center" vertical="center"/>
    </xf>
    <xf numFmtId="0" fontId="112" fillId="20" borderId="4" xfId="0" applyFont="1" applyFill="1" applyBorder="1" applyAlignment="1">
      <alignment horizontal="center" vertical="center"/>
    </xf>
    <xf numFmtId="1" fontId="54" fillId="19" borderId="62" xfId="0" applyNumberFormat="1" applyFont="1" applyFill="1" applyBorder="1" applyAlignment="1">
      <alignment horizontal="center" vertical="center"/>
    </xf>
    <xf numFmtId="0" fontId="54" fillId="19" borderId="34" xfId="0" applyFont="1" applyFill="1" applyBorder="1" applyAlignment="1">
      <alignment horizontal="center" vertical="center"/>
    </xf>
    <xf numFmtId="0" fontId="138" fillId="20" borderId="34" xfId="0" applyFont="1" applyFill="1" applyBorder="1" applyAlignment="1">
      <alignment horizontal="center" vertical="center"/>
    </xf>
    <xf numFmtId="1" fontId="111" fillId="19" borderId="70" xfId="0" quotePrefix="1" applyNumberFormat="1" applyFont="1" applyFill="1" applyBorder="1" applyAlignment="1">
      <alignment horizontal="center" vertical="center"/>
    </xf>
    <xf numFmtId="1" fontId="111" fillId="19" borderId="35" xfId="0" quotePrefix="1" applyNumberFormat="1" applyFont="1" applyFill="1" applyBorder="1" applyAlignment="1">
      <alignment horizontal="center" vertical="center"/>
    </xf>
    <xf numFmtId="1" fontId="138" fillId="20" borderId="70" xfId="0" quotePrefix="1" applyNumberFormat="1" applyFont="1" applyFill="1" applyBorder="1" applyAlignment="1">
      <alignment horizontal="center" vertical="center"/>
    </xf>
    <xf numFmtId="1" fontId="138" fillId="20" borderId="35" xfId="0" quotePrefix="1" applyNumberFormat="1" applyFont="1" applyFill="1" applyBorder="1" applyAlignment="1">
      <alignment horizontal="center" vertical="center"/>
    </xf>
    <xf numFmtId="0" fontId="54" fillId="19" borderId="62" xfId="0" applyFont="1" applyFill="1" applyBorder="1" applyAlignment="1">
      <alignment horizontal="center" vertical="center"/>
    </xf>
    <xf numFmtId="0" fontId="54" fillId="19" borderId="74" xfId="0" applyFont="1" applyFill="1" applyBorder="1" applyAlignment="1">
      <alignment horizontal="center" vertical="center"/>
    </xf>
    <xf numFmtId="0" fontId="54" fillId="19" borderId="152" xfId="0" applyFont="1" applyFill="1" applyBorder="1" applyAlignment="1">
      <alignment horizontal="center" vertical="center"/>
    </xf>
    <xf numFmtId="0" fontId="138" fillId="20" borderId="62" xfId="0" applyFont="1" applyFill="1" applyBorder="1" applyAlignment="1">
      <alignment horizontal="center" vertical="center"/>
    </xf>
    <xf numFmtId="0" fontId="138" fillId="20" borderId="74" xfId="0" applyFont="1" applyFill="1" applyBorder="1" applyAlignment="1">
      <alignment horizontal="center" vertical="center"/>
    </xf>
    <xf numFmtId="0" fontId="138" fillId="20" borderId="152" xfId="0" applyFont="1" applyFill="1" applyBorder="1" applyAlignment="1">
      <alignment horizontal="center" vertical="center"/>
    </xf>
    <xf numFmtId="0" fontId="138" fillId="21" borderId="62" xfId="0" applyFont="1" applyFill="1" applyBorder="1" applyAlignment="1">
      <alignment horizontal="center" vertical="center"/>
    </xf>
    <xf numFmtId="0" fontId="138" fillId="21" borderId="74" xfId="0" applyFont="1" applyFill="1" applyBorder="1" applyAlignment="1">
      <alignment horizontal="center" vertical="center"/>
    </xf>
    <xf numFmtId="0" fontId="138" fillId="21" borderId="152" xfId="0" applyFont="1" applyFill="1" applyBorder="1" applyAlignment="1">
      <alignment horizontal="center" vertical="center"/>
    </xf>
    <xf numFmtId="0" fontId="138" fillId="21" borderId="34" xfId="0" applyFont="1" applyFill="1" applyBorder="1" applyAlignment="1">
      <alignment horizontal="center" vertical="center"/>
    </xf>
    <xf numFmtId="1" fontId="138" fillId="21" borderId="70" xfId="0" quotePrefix="1" applyNumberFormat="1" applyFont="1" applyFill="1" applyBorder="1" applyAlignment="1">
      <alignment horizontal="center" vertical="center"/>
    </xf>
    <xf numFmtId="1" fontId="138" fillId="21" borderId="35" xfId="0" quotePrefix="1" applyNumberFormat="1" applyFont="1" applyFill="1" applyBorder="1" applyAlignment="1">
      <alignment horizontal="center" vertical="center"/>
    </xf>
    <xf numFmtId="0" fontId="144" fillId="0" borderId="85" xfId="0" applyFont="1" applyBorder="1" applyAlignment="1">
      <alignment horizontal="center" vertical="center"/>
    </xf>
    <xf numFmtId="0" fontId="109" fillId="0" borderId="141" xfId="0" applyFont="1" applyBorder="1" applyAlignment="1">
      <alignment horizontal="right" vertical="center"/>
    </xf>
    <xf numFmtId="0" fontId="109" fillId="0" borderId="133" xfId="0" applyFont="1" applyBorder="1" applyAlignment="1">
      <alignment horizontal="right" vertical="center"/>
    </xf>
    <xf numFmtId="0" fontId="112" fillId="0" borderId="131" xfId="0" applyFont="1" applyBorder="1" applyAlignment="1">
      <alignment horizontal="right" vertical="center"/>
    </xf>
    <xf numFmtId="0" fontId="112" fillId="0" borderId="133" xfId="0" applyFont="1" applyBorder="1" applyAlignment="1">
      <alignment horizontal="right" vertical="center"/>
    </xf>
    <xf numFmtId="0" fontId="109" fillId="0" borderId="146" xfId="0" applyFont="1" applyBorder="1" applyAlignment="1">
      <alignment horizontal="right" vertical="center"/>
    </xf>
    <xf numFmtId="0" fontId="109" fillId="0" borderId="130" xfId="0" applyFont="1" applyBorder="1" applyAlignment="1">
      <alignment horizontal="right" vertical="center"/>
    </xf>
    <xf numFmtId="0" fontId="119" fillId="0" borderId="127" xfId="0" applyFont="1" applyBorder="1" applyAlignment="1">
      <alignment horizontal="left" vertical="center"/>
    </xf>
    <xf numFmtId="0" fontId="119" fillId="0" borderId="130" xfId="0" applyFont="1" applyBorder="1" applyAlignment="1">
      <alignment horizontal="left" vertical="center"/>
    </xf>
    <xf numFmtId="0" fontId="112" fillId="0" borderId="137" xfId="0" applyFont="1" applyBorder="1" applyAlignment="1">
      <alignment horizontal="right" vertical="center"/>
    </xf>
    <xf numFmtId="0" fontId="6" fillId="0" borderId="141" xfId="0" applyFont="1" applyBorder="1" applyAlignment="1">
      <alignment horizontal="right" vertical="center"/>
    </xf>
    <xf numFmtId="0" fontId="6" fillId="0" borderId="143" xfId="0" applyFont="1" applyBorder="1" applyAlignment="1">
      <alignment horizontal="right" vertical="center"/>
    </xf>
    <xf numFmtId="0" fontId="119" fillId="0" borderId="128" xfId="0" applyFont="1" applyBorder="1" applyAlignment="1">
      <alignment horizontal="center" vertical="center"/>
    </xf>
    <xf numFmtId="169" fontId="138" fillId="25" borderId="62" xfId="0" applyNumberFormat="1" applyFont="1" applyFill="1" applyBorder="1" applyAlignment="1">
      <alignment horizontal="center" vertical="center"/>
    </xf>
    <xf numFmtId="169" fontId="138" fillId="25" borderId="74" xfId="0" applyNumberFormat="1" applyFont="1" applyFill="1" applyBorder="1" applyAlignment="1">
      <alignment horizontal="center" vertical="center"/>
    </xf>
    <xf numFmtId="169" fontId="138" fillId="25" borderId="152" xfId="0" applyNumberFormat="1" applyFont="1" applyFill="1" applyBorder="1" applyAlignment="1">
      <alignment horizontal="center" vertical="center"/>
    </xf>
    <xf numFmtId="0" fontId="74" fillId="0" borderId="144" xfId="0" applyFont="1" applyBorder="1" applyAlignment="1">
      <alignment horizontal="left" vertical="center"/>
    </xf>
    <xf numFmtId="0" fontId="74" fillId="0" borderId="147" xfId="0" applyFont="1" applyBorder="1" applyAlignment="1">
      <alignment horizontal="left" vertical="center"/>
    </xf>
    <xf numFmtId="0" fontId="111" fillId="0" borderId="146" xfId="0" applyFont="1" applyBorder="1" applyAlignment="1">
      <alignment horizontal="left" vertical="center"/>
    </xf>
    <xf numFmtId="0" fontId="111" fillId="0" borderId="130" xfId="0" applyFont="1" applyBorder="1" applyAlignment="1">
      <alignment horizontal="left" vertical="center"/>
    </xf>
    <xf numFmtId="0" fontId="110" fillId="0" borderId="146" xfId="0" applyFont="1" applyBorder="1" applyAlignment="1">
      <alignment horizontal="left" vertical="center"/>
    </xf>
    <xf numFmtId="0" fontId="110" fillId="0" borderId="130" xfId="0" applyFont="1" applyBorder="1" applyAlignment="1">
      <alignment horizontal="left" vertical="center"/>
    </xf>
    <xf numFmtId="1" fontId="138" fillId="25" borderId="62" xfId="0" quotePrefix="1" applyNumberFormat="1" applyFont="1" applyFill="1" applyBorder="1" applyAlignment="1">
      <alignment horizontal="center" vertical="center"/>
    </xf>
    <xf numFmtId="1" fontId="138" fillId="25" borderId="74" xfId="0" quotePrefix="1" applyNumberFormat="1" applyFont="1" applyFill="1" applyBorder="1" applyAlignment="1">
      <alignment horizontal="center" vertical="center"/>
    </xf>
    <xf numFmtId="1" fontId="138" fillId="25" borderId="36" xfId="0" quotePrefix="1" applyNumberFormat="1" applyFont="1" applyFill="1" applyBorder="1" applyAlignment="1">
      <alignment horizontal="center" vertical="center"/>
    </xf>
    <xf numFmtId="1" fontId="138" fillId="25" borderId="38" xfId="0" quotePrefix="1" applyNumberFormat="1" applyFont="1" applyFill="1" applyBorder="1" applyAlignment="1">
      <alignment horizontal="center" vertical="center"/>
    </xf>
    <xf numFmtId="1" fontId="138" fillId="25" borderId="69" xfId="0" quotePrefix="1" applyNumberFormat="1" applyFont="1" applyFill="1" applyBorder="1" applyAlignment="1">
      <alignment horizontal="center" vertical="center"/>
    </xf>
    <xf numFmtId="0" fontId="119" fillId="0" borderId="66" xfId="0" applyFont="1" applyBorder="1" applyAlignment="1">
      <alignment horizontal="center" vertical="center"/>
    </xf>
    <xf numFmtId="0" fontId="119" fillId="0" borderId="61" xfId="0" applyFont="1" applyBorder="1" applyAlignment="1">
      <alignment horizontal="center" vertical="center"/>
    </xf>
    <xf numFmtId="0" fontId="119" fillId="21" borderId="44" xfId="0" applyFont="1" applyFill="1" applyBorder="1" applyAlignment="1">
      <alignment horizontal="center" vertical="center"/>
    </xf>
    <xf numFmtId="0" fontId="119" fillId="21" borderId="61" xfId="0" applyFont="1" applyFill="1" applyBorder="1" applyAlignment="1">
      <alignment horizontal="center" vertical="center"/>
    </xf>
    <xf numFmtId="0" fontId="119" fillId="0" borderId="48" xfId="0" applyFont="1" applyBorder="1" applyAlignment="1">
      <alignment horizontal="center" vertical="center"/>
    </xf>
    <xf numFmtId="0" fontId="119" fillId="0" borderId="8" xfId="0" applyFont="1" applyBorder="1" applyAlignment="1">
      <alignment horizontal="center" vertical="center"/>
    </xf>
    <xf numFmtId="0" fontId="119" fillId="21" borderId="52" xfId="0" applyFont="1" applyFill="1" applyBorder="1" applyAlignment="1">
      <alignment horizontal="center" vertical="center"/>
    </xf>
    <xf numFmtId="0" fontId="119" fillId="21" borderId="50" xfId="0" applyFont="1" applyFill="1" applyBorder="1" applyAlignment="1">
      <alignment horizontal="center" vertical="center"/>
    </xf>
    <xf numFmtId="0" fontId="119" fillId="20" borderId="44" xfId="0" applyFont="1" applyFill="1" applyBorder="1" applyAlignment="1">
      <alignment horizontal="center" vertical="center"/>
    </xf>
    <xf numFmtId="0" fontId="119" fillId="20" borderId="61" xfId="0" applyFont="1" applyFill="1" applyBorder="1" applyAlignment="1">
      <alignment horizontal="center" vertical="center"/>
    </xf>
    <xf numFmtId="0" fontId="119" fillId="20" borderId="52" xfId="0" applyFont="1" applyFill="1" applyBorder="1" applyAlignment="1">
      <alignment horizontal="center" vertical="center"/>
    </xf>
    <xf numFmtId="0" fontId="119" fillId="20" borderId="50" xfId="0" applyFont="1" applyFill="1" applyBorder="1" applyAlignment="1">
      <alignment horizontal="center" vertical="center"/>
    </xf>
    <xf numFmtId="0" fontId="119" fillId="19" borderId="44" xfId="0" applyFont="1" applyFill="1" applyBorder="1" applyAlignment="1">
      <alignment horizontal="center" vertical="center"/>
    </xf>
    <xf numFmtId="0" fontId="119" fillId="19" borderId="61" xfId="0" applyFont="1" applyFill="1" applyBorder="1" applyAlignment="1">
      <alignment horizontal="center" vertical="center"/>
    </xf>
    <xf numFmtId="0" fontId="119" fillId="19" borderId="52" xfId="0" applyFont="1" applyFill="1" applyBorder="1" applyAlignment="1">
      <alignment horizontal="center" vertical="center"/>
    </xf>
    <xf numFmtId="0" fontId="119" fillId="19" borderId="50" xfId="0" applyFont="1" applyFill="1" applyBorder="1" applyAlignment="1">
      <alignment horizontal="center" vertical="center"/>
    </xf>
    <xf numFmtId="0" fontId="119" fillId="25" borderId="108" xfId="0" applyFont="1" applyFill="1" applyBorder="1" applyAlignment="1">
      <alignment horizontal="center" vertical="center"/>
    </xf>
    <xf numFmtId="0" fontId="119" fillId="25" borderId="15" xfId="0" applyFont="1" applyFill="1" applyBorder="1" applyAlignment="1">
      <alignment horizontal="center" vertical="center"/>
    </xf>
    <xf numFmtId="0" fontId="119" fillId="0" borderId="50" xfId="0" applyFont="1" applyBorder="1" applyAlignment="1">
      <alignment horizontal="center" vertical="center"/>
    </xf>
    <xf numFmtId="0" fontId="138" fillId="25" borderId="76" xfId="0" applyFont="1" applyFill="1" applyBorder="1" applyAlignment="1">
      <alignment horizontal="center" vertical="center"/>
    </xf>
    <xf numFmtId="0" fontId="138" fillId="25" borderId="34" xfId="0" applyFont="1" applyFill="1" applyBorder="1" applyAlignment="1">
      <alignment horizontal="center" vertical="center"/>
    </xf>
    <xf numFmtId="0" fontId="138" fillId="21" borderId="76" xfId="0" applyFont="1" applyFill="1" applyBorder="1" applyAlignment="1">
      <alignment horizontal="center" vertical="center"/>
    </xf>
    <xf numFmtId="1" fontId="138" fillId="25" borderId="111" xfId="0" applyNumberFormat="1" applyFont="1" applyFill="1" applyBorder="1" applyAlignment="1">
      <alignment horizontal="center" vertical="center"/>
    </xf>
    <xf numFmtId="1" fontId="138" fillId="25" borderId="8" xfId="0" applyNumberFormat="1" applyFont="1" applyFill="1" applyBorder="1" applyAlignment="1">
      <alignment horizontal="center" vertical="center"/>
    </xf>
    <xf numFmtId="1" fontId="120" fillId="21" borderId="76" xfId="0" applyNumberFormat="1" applyFont="1" applyFill="1" applyBorder="1" applyAlignment="1">
      <alignment horizontal="center" vertical="center"/>
    </xf>
    <xf numFmtId="1" fontId="120" fillId="21" borderId="34" xfId="0" applyNumberFormat="1" applyFont="1" applyFill="1" applyBorder="1" applyAlignment="1">
      <alignment horizontal="center" vertical="center"/>
    </xf>
    <xf numFmtId="1" fontId="61" fillId="19" borderId="76" xfId="0" applyNumberFormat="1" applyFont="1" applyFill="1" applyBorder="1" applyAlignment="1">
      <alignment horizontal="center" vertical="center"/>
    </xf>
    <xf numFmtId="1" fontId="61" fillId="19" borderId="34" xfId="0" applyNumberFormat="1" applyFont="1" applyFill="1" applyBorder="1" applyAlignment="1">
      <alignment horizontal="center" vertical="center"/>
    </xf>
    <xf numFmtId="0" fontId="138" fillId="19" borderId="76" xfId="0" applyFont="1" applyFill="1" applyBorder="1" applyAlignment="1">
      <alignment horizontal="center" vertical="center"/>
    </xf>
    <xf numFmtId="0" fontId="138" fillId="19" borderId="34" xfId="0" applyFont="1" applyFill="1" applyBorder="1" applyAlignment="1">
      <alignment horizontal="center" vertical="center"/>
    </xf>
    <xf numFmtId="0" fontId="138" fillId="25" borderId="111" xfId="0" applyFont="1" applyFill="1" applyBorder="1" applyAlignment="1">
      <alignment horizontal="center" vertical="center"/>
    </xf>
    <xf numFmtId="0" fontId="138" fillId="25" borderId="8" xfId="0" applyFont="1" applyFill="1" applyBorder="1" applyAlignment="1">
      <alignment horizontal="center" vertical="center"/>
    </xf>
    <xf numFmtId="1" fontId="61" fillId="21" borderId="76" xfId="0" applyNumberFormat="1" applyFont="1" applyFill="1" applyBorder="1" applyAlignment="1">
      <alignment horizontal="center" vertical="center"/>
    </xf>
    <xf numFmtId="1" fontId="61" fillId="21" borderId="34" xfId="0" applyNumberFormat="1" applyFont="1" applyFill="1" applyBorder="1" applyAlignment="1">
      <alignment horizontal="center" vertical="center"/>
    </xf>
    <xf numFmtId="0" fontId="112" fillId="19" borderId="25" xfId="0" applyFont="1" applyFill="1" applyBorder="1" applyAlignment="1">
      <alignment horizontal="center" vertical="center"/>
    </xf>
    <xf numFmtId="0" fontId="112" fillId="19" borderId="21" xfId="0" applyFont="1" applyFill="1" applyBorder="1" applyAlignment="1">
      <alignment horizontal="center" vertical="center"/>
    </xf>
    <xf numFmtId="0" fontId="232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112" fillId="0" borderId="74" xfId="0" applyFont="1" applyBorder="1" applyAlignment="1">
      <alignment horizontal="left" vertical="center"/>
    </xf>
    <xf numFmtId="0" fontId="112" fillId="0" borderId="64" xfId="0" applyFont="1" applyBorder="1" applyAlignment="1">
      <alignment horizontal="center" vertical="center"/>
    </xf>
    <xf numFmtId="2" fontId="111" fillId="21" borderId="45" xfId="0" applyNumberFormat="1" applyFont="1" applyFill="1" applyBorder="1" applyAlignment="1">
      <alignment horizontal="center" vertical="center"/>
    </xf>
    <xf numFmtId="2" fontId="111" fillId="21" borderId="30" xfId="0" applyNumberFormat="1" applyFont="1" applyFill="1" applyBorder="1" applyAlignment="1">
      <alignment horizontal="center" vertical="center"/>
    </xf>
    <xf numFmtId="2" fontId="111" fillId="0" borderId="65" xfId="0" applyNumberFormat="1" applyFont="1" applyBorder="1" applyAlignment="1">
      <alignment horizontal="center" vertical="center"/>
    </xf>
    <xf numFmtId="2" fontId="111" fillId="0" borderId="48" xfId="0" applyNumberFormat="1" applyFont="1" applyBorder="1" applyAlignment="1">
      <alignment horizontal="center" vertical="center"/>
    </xf>
    <xf numFmtId="0" fontId="118" fillId="0" borderId="62" xfId="0" applyFont="1" applyBorder="1" applyAlignment="1">
      <alignment horizontal="right" vertical="center"/>
    </xf>
    <xf numFmtId="0" fontId="118" fillId="0" borderId="9" xfId="0" applyFont="1" applyBorder="1" applyAlignment="1">
      <alignment horizontal="right" vertical="center"/>
    </xf>
    <xf numFmtId="2" fontId="111" fillId="19" borderId="45" xfId="0" applyNumberFormat="1" applyFont="1" applyFill="1" applyBorder="1" applyAlignment="1">
      <alignment horizontal="center" vertical="center"/>
    </xf>
    <xf numFmtId="2" fontId="111" fillId="19" borderId="30" xfId="0" applyNumberFormat="1" applyFont="1" applyFill="1" applyBorder="1" applyAlignment="1">
      <alignment horizontal="center" vertical="center"/>
    </xf>
    <xf numFmtId="2" fontId="111" fillId="20" borderId="45" xfId="0" applyNumberFormat="1" applyFont="1" applyFill="1" applyBorder="1" applyAlignment="1">
      <alignment horizontal="center" vertical="center"/>
    </xf>
    <xf numFmtId="2" fontId="111" fillId="20" borderId="30" xfId="0" applyNumberFormat="1" applyFont="1" applyFill="1" applyBorder="1" applyAlignment="1">
      <alignment horizontal="center" vertical="center"/>
    </xf>
    <xf numFmtId="0" fontId="118" fillId="0" borderId="76" xfId="0" applyFont="1" applyBorder="1" applyAlignment="1">
      <alignment horizontal="right" vertical="center"/>
    </xf>
    <xf numFmtId="2" fontId="111" fillId="0" borderId="72" xfId="0" applyNumberFormat="1" applyFont="1" applyBorder="1" applyAlignment="1">
      <alignment horizontal="center" vertical="center"/>
    </xf>
    <xf numFmtId="2" fontId="111" fillId="0" borderId="53" xfId="0" applyNumberFormat="1" applyFont="1" applyBorder="1" applyAlignment="1">
      <alignment horizontal="center" vertical="center"/>
    </xf>
    <xf numFmtId="0" fontId="119" fillId="25" borderId="25" xfId="0" applyFont="1" applyFill="1" applyBorder="1" applyAlignment="1">
      <alignment horizontal="center" vertical="center"/>
    </xf>
    <xf numFmtId="0" fontId="119" fillId="25" borderId="21" xfId="0" applyFont="1" applyFill="1" applyBorder="1" applyAlignment="1">
      <alignment horizontal="center" vertical="center"/>
    </xf>
    <xf numFmtId="0" fontId="119" fillId="25" borderId="1" xfId="0" applyFont="1" applyFill="1" applyBorder="1" applyAlignment="1">
      <alignment horizontal="center" vertical="center"/>
    </xf>
    <xf numFmtId="0" fontId="119" fillId="25" borderId="11" xfId="0" applyFont="1" applyFill="1" applyBorder="1" applyAlignment="1">
      <alignment horizontal="center" vertical="center"/>
    </xf>
    <xf numFmtId="1" fontId="125" fillId="25" borderId="31" xfId="0" applyNumberFormat="1" applyFont="1" applyFill="1" applyBorder="1" applyAlignment="1">
      <alignment horizontal="center" vertical="center"/>
    </xf>
    <xf numFmtId="1" fontId="125" fillId="25" borderId="32" xfId="0" applyNumberFormat="1" applyFont="1" applyFill="1" applyBorder="1" applyAlignment="1">
      <alignment horizontal="center" vertical="center"/>
    </xf>
    <xf numFmtId="169" fontId="125" fillId="21" borderId="10" xfId="0" applyNumberFormat="1" applyFont="1" applyFill="1" applyBorder="1" applyAlignment="1">
      <alignment horizontal="center" vertical="center"/>
    </xf>
    <xf numFmtId="169" fontId="125" fillId="21" borderId="23" xfId="0" applyNumberFormat="1" applyFont="1" applyFill="1" applyBorder="1" applyAlignment="1">
      <alignment horizontal="center" vertical="center"/>
    </xf>
    <xf numFmtId="1" fontId="125" fillId="25" borderId="45" xfId="0" applyNumberFormat="1" applyFont="1" applyFill="1" applyBorder="1" applyAlignment="1">
      <alignment horizontal="center" vertical="center"/>
    </xf>
    <xf numFmtId="1" fontId="125" fillId="25" borderId="46" xfId="0" applyNumberFormat="1" applyFont="1" applyFill="1" applyBorder="1" applyAlignment="1">
      <alignment horizontal="center" vertical="center"/>
    </xf>
    <xf numFmtId="1" fontId="125" fillId="25" borderId="14" xfId="0" applyNumberFormat="1" applyFont="1" applyFill="1" applyBorder="1" applyAlignment="1">
      <alignment horizontal="center" vertical="center"/>
    </xf>
    <xf numFmtId="1" fontId="170" fillId="21" borderId="62" xfId="0" applyNumberFormat="1" applyFont="1" applyFill="1" applyBorder="1" applyAlignment="1">
      <alignment horizontal="center" vertical="center"/>
    </xf>
    <xf numFmtId="1" fontId="170" fillId="21" borderId="74" xfId="0" applyNumberFormat="1" applyFont="1" applyFill="1" applyBorder="1" applyAlignment="1">
      <alignment horizontal="center" vertical="center"/>
    </xf>
    <xf numFmtId="1" fontId="170" fillId="21" borderId="34" xfId="0" applyNumberFormat="1" applyFont="1" applyFill="1" applyBorder="1" applyAlignment="1">
      <alignment horizontal="center" vertical="center"/>
    </xf>
    <xf numFmtId="0" fontId="119" fillId="25" borderId="4" xfId="0" applyFont="1" applyFill="1" applyBorder="1" applyAlignment="1">
      <alignment horizontal="center" vertical="center"/>
    </xf>
    <xf numFmtId="0" fontId="119" fillId="25" borderId="67" xfId="0" applyFont="1" applyFill="1" applyBorder="1" applyAlignment="1">
      <alignment horizontal="center" vertical="center"/>
    </xf>
    <xf numFmtId="1" fontId="125" fillId="25" borderId="10" xfId="0" applyNumberFormat="1" applyFont="1" applyFill="1" applyBorder="1" applyAlignment="1">
      <alignment horizontal="center" vertical="center"/>
    </xf>
    <xf numFmtId="1" fontId="125" fillId="25" borderId="23" xfId="0" applyNumberFormat="1" applyFont="1" applyFill="1" applyBorder="1" applyAlignment="1">
      <alignment horizontal="center" vertical="center"/>
    </xf>
    <xf numFmtId="169" fontId="125" fillId="19" borderId="10" xfId="0" applyNumberFormat="1" applyFont="1" applyFill="1" applyBorder="1" applyAlignment="1">
      <alignment horizontal="center" vertical="center"/>
    </xf>
    <xf numFmtId="169" fontId="125" fillId="19" borderId="23" xfId="0" applyNumberFormat="1" applyFont="1" applyFill="1" applyBorder="1" applyAlignment="1">
      <alignment horizontal="center" vertical="center"/>
    </xf>
    <xf numFmtId="0" fontId="119" fillId="25" borderId="55" xfId="0" applyFont="1" applyFill="1" applyBorder="1" applyAlignment="1">
      <alignment horizontal="center" vertical="center"/>
    </xf>
    <xf numFmtId="169" fontId="125" fillId="20" borderId="10" xfId="0" applyNumberFormat="1" applyFont="1" applyFill="1" applyBorder="1" applyAlignment="1">
      <alignment horizontal="center" vertical="center"/>
    </xf>
    <xf numFmtId="169" fontId="125" fillId="20" borderId="23" xfId="0" applyNumberFormat="1" applyFont="1" applyFill="1" applyBorder="1" applyAlignment="1">
      <alignment horizontal="center" vertical="center"/>
    </xf>
    <xf numFmtId="1" fontId="170" fillId="20" borderId="62" xfId="0" applyNumberFormat="1" applyFont="1" applyFill="1" applyBorder="1" applyAlignment="1">
      <alignment horizontal="center" vertical="center"/>
    </xf>
    <xf numFmtId="1" fontId="170" fillId="20" borderId="74" xfId="0" applyNumberFormat="1" applyFont="1" applyFill="1" applyBorder="1" applyAlignment="1">
      <alignment horizontal="center" vertical="center"/>
    </xf>
    <xf numFmtId="1" fontId="170" fillId="20" borderId="34" xfId="0" applyNumberFormat="1" applyFont="1" applyFill="1" applyBorder="1" applyAlignment="1">
      <alignment horizontal="center" vertical="center"/>
    </xf>
    <xf numFmtId="1" fontId="170" fillId="19" borderId="62" xfId="0" applyNumberFormat="1" applyFont="1" applyFill="1" applyBorder="1" applyAlignment="1">
      <alignment horizontal="center" vertical="center"/>
    </xf>
    <xf numFmtId="1" fontId="170" fillId="19" borderId="74" xfId="0" applyNumberFormat="1" applyFont="1" applyFill="1" applyBorder="1" applyAlignment="1">
      <alignment horizontal="center" vertical="center"/>
    </xf>
    <xf numFmtId="1" fontId="170" fillId="19" borderId="34" xfId="0" applyNumberFormat="1" applyFont="1" applyFill="1" applyBorder="1" applyAlignment="1">
      <alignment horizontal="center" vertical="center"/>
    </xf>
    <xf numFmtId="0" fontId="54" fillId="0" borderId="31" xfId="0" applyFont="1" applyBorder="1" applyAlignment="1">
      <alignment horizontal="left" vertical="center"/>
    </xf>
    <xf numFmtId="169" fontId="125" fillId="25" borderId="10" xfId="0" applyNumberFormat="1" applyFont="1" applyFill="1" applyBorder="1" applyAlignment="1">
      <alignment horizontal="center" vertical="center"/>
    </xf>
    <xf numFmtId="169" fontId="125" fillId="25" borderId="23" xfId="0" applyNumberFormat="1" applyFont="1" applyFill="1" applyBorder="1" applyAlignment="1">
      <alignment horizontal="center" vertical="center"/>
    </xf>
    <xf numFmtId="0" fontId="129" fillId="0" borderId="0" xfId="0" applyFont="1" applyAlignment="1">
      <alignment horizontal="left" vertical="center"/>
    </xf>
    <xf numFmtId="0" fontId="129" fillId="0" borderId="0" xfId="0" applyFont="1" applyBorder="1" applyAlignment="1">
      <alignment horizontal="left" vertical="center"/>
    </xf>
    <xf numFmtId="0" fontId="114" fillId="25" borderId="63" xfId="0" applyFont="1" applyFill="1" applyBorder="1" applyAlignment="1">
      <alignment horizontal="left" vertical="center"/>
    </xf>
    <xf numFmtId="0" fontId="114" fillId="25" borderId="31" xfId="0" applyFont="1" applyFill="1" applyBorder="1" applyAlignment="1">
      <alignment horizontal="left" vertical="center"/>
    </xf>
    <xf numFmtId="0" fontId="68" fillId="25" borderId="66" xfId="0" applyFont="1" applyFill="1" applyBorder="1" applyAlignment="1">
      <alignment horizontal="center" vertical="center"/>
    </xf>
    <xf numFmtId="0" fontId="68" fillId="25" borderId="37" xfId="0" applyFont="1" applyFill="1" applyBorder="1" applyAlignment="1">
      <alignment horizontal="center" vertical="center"/>
    </xf>
    <xf numFmtId="0" fontId="119" fillId="25" borderId="63" xfId="0" applyFont="1" applyFill="1" applyBorder="1" applyAlignment="1">
      <alignment horizontal="center" vertical="center"/>
    </xf>
    <xf numFmtId="0" fontId="119" fillId="25" borderId="42" xfId="0" applyFont="1" applyFill="1" applyBorder="1" applyAlignment="1">
      <alignment horizontal="center" vertical="center"/>
    </xf>
    <xf numFmtId="169" fontId="125" fillId="25" borderId="45" xfId="0" applyNumberFormat="1" applyFont="1" applyFill="1" applyBorder="1" applyAlignment="1">
      <alignment horizontal="center" vertical="center"/>
    </xf>
    <xf numFmtId="169" fontId="125" fillId="25" borderId="46" xfId="0" applyNumberFormat="1" applyFont="1" applyFill="1" applyBorder="1" applyAlignment="1">
      <alignment horizontal="center" vertical="center"/>
    </xf>
    <xf numFmtId="169" fontId="125" fillId="25" borderId="14" xfId="0" applyNumberFormat="1" applyFont="1" applyFill="1" applyBorder="1" applyAlignment="1">
      <alignment horizontal="center" vertical="center"/>
    </xf>
    <xf numFmtId="0" fontId="125" fillId="0" borderId="10" xfId="0" applyFont="1" applyBorder="1" applyAlignment="1">
      <alignment horizontal="center" vertical="center"/>
    </xf>
    <xf numFmtId="0" fontId="125" fillId="0" borderId="23" xfId="0" applyFont="1" applyBorder="1" applyAlignment="1">
      <alignment horizontal="center" vertical="center"/>
    </xf>
    <xf numFmtId="0" fontId="112" fillId="25" borderId="1" xfId="0" applyFont="1" applyFill="1" applyBorder="1" applyAlignment="1">
      <alignment horizontal="center" vertical="center"/>
    </xf>
    <xf numFmtId="0" fontId="112" fillId="25" borderId="11" xfId="0" applyFont="1" applyFill="1" applyBorder="1" applyAlignment="1">
      <alignment horizontal="center" vertical="center"/>
    </xf>
    <xf numFmtId="0" fontId="119" fillId="15" borderId="1" xfId="0" applyFont="1" applyFill="1" applyBorder="1" applyAlignment="1">
      <alignment horizontal="center" vertical="center"/>
    </xf>
    <xf numFmtId="0" fontId="119" fillId="15" borderId="11" xfId="0" applyFont="1" applyFill="1" applyBorder="1" applyAlignment="1">
      <alignment horizontal="center" vertical="center"/>
    </xf>
    <xf numFmtId="0" fontId="68" fillId="0" borderId="56" xfId="0" applyFont="1" applyBorder="1" applyAlignment="1">
      <alignment horizontal="center" vertical="center"/>
    </xf>
    <xf numFmtId="0" fontId="68" fillId="0" borderId="28" xfId="0" applyFont="1" applyBorder="1" applyAlignment="1">
      <alignment horizontal="center" vertical="center"/>
    </xf>
  </cellXfs>
  <cellStyles count="298">
    <cellStyle name="20% - Accent1 2" xfId="32" xr:uid="{00000000-0005-0000-0000-000000000000}"/>
    <cellStyle name="20% - Accent1 3" xfId="33" xr:uid="{00000000-0005-0000-0000-000001000000}"/>
    <cellStyle name="20% - Accent2 2" xfId="34" xr:uid="{00000000-0005-0000-0000-000002000000}"/>
    <cellStyle name="20% - Accent2 3" xfId="35" xr:uid="{00000000-0005-0000-0000-000003000000}"/>
    <cellStyle name="20% - Accent3 2" xfId="36" xr:uid="{00000000-0005-0000-0000-000004000000}"/>
    <cellStyle name="20% - Accent3 3" xfId="37" xr:uid="{00000000-0005-0000-0000-000005000000}"/>
    <cellStyle name="20% - Accent4 2" xfId="38" xr:uid="{00000000-0005-0000-0000-000006000000}"/>
    <cellStyle name="20% - Accent4 3" xfId="39" xr:uid="{00000000-0005-0000-0000-000007000000}"/>
    <cellStyle name="20% - Accent5 2" xfId="40" xr:uid="{00000000-0005-0000-0000-000008000000}"/>
    <cellStyle name="20% - Accent5 3" xfId="41" xr:uid="{00000000-0005-0000-0000-000009000000}"/>
    <cellStyle name="20% - Accent6 2" xfId="42" xr:uid="{00000000-0005-0000-0000-00000A000000}"/>
    <cellStyle name="20% - Accent6 3" xfId="43" xr:uid="{00000000-0005-0000-0000-00000B000000}"/>
    <cellStyle name="40% - Accent1 2" xfId="44" xr:uid="{00000000-0005-0000-0000-00000C000000}"/>
    <cellStyle name="40% - Accent1 3" xfId="45" xr:uid="{00000000-0005-0000-0000-00000D000000}"/>
    <cellStyle name="40% - Accent2 2" xfId="46" xr:uid="{00000000-0005-0000-0000-00000E000000}"/>
    <cellStyle name="40% - Accent2 3" xfId="47" xr:uid="{00000000-0005-0000-0000-00000F000000}"/>
    <cellStyle name="40% - Accent3 2" xfId="48" xr:uid="{00000000-0005-0000-0000-000010000000}"/>
    <cellStyle name="40% - Accent3 3" xfId="49" xr:uid="{00000000-0005-0000-0000-000011000000}"/>
    <cellStyle name="40% - Accent4 2" xfId="50" xr:uid="{00000000-0005-0000-0000-000012000000}"/>
    <cellStyle name="40% - Accent4 3" xfId="51" xr:uid="{00000000-0005-0000-0000-000013000000}"/>
    <cellStyle name="40% - Accent5 2" xfId="52" xr:uid="{00000000-0005-0000-0000-000014000000}"/>
    <cellStyle name="40% - Accent5 3" xfId="53" xr:uid="{00000000-0005-0000-0000-000015000000}"/>
    <cellStyle name="40% - Accent6 2" xfId="54" xr:uid="{00000000-0005-0000-0000-000016000000}"/>
    <cellStyle name="40% - Accent6 3" xfId="55" xr:uid="{00000000-0005-0000-0000-000017000000}"/>
    <cellStyle name="60% - Accent1 2" xfId="56" xr:uid="{00000000-0005-0000-0000-000018000000}"/>
    <cellStyle name="60% - Accent1 3" xfId="57" xr:uid="{00000000-0005-0000-0000-000019000000}"/>
    <cellStyle name="60% - Accent2 2" xfId="58" xr:uid="{00000000-0005-0000-0000-00001A000000}"/>
    <cellStyle name="60% - Accent2 3" xfId="59" xr:uid="{00000000-0005-0000-0000-00001B000000}"/>
    <cellStyle name="60% - Accent3 2" xfId="60" xr:uid="{00000000-0005-0000-0000-00001C000000}"/>
    <cellStyle name="60% - Accent3 3" xfId="61" xr:uid="{00000000-0005-0000-0000-00001D000000}"/>
    <cellStyle name="60% - Accent4 2" xfId="62" xr:uid="{00000000-0005-0000-0000-00001E000000}"/>
    <cellStyle name="60% - Accent4 3" xfId="63" xr:uid="{00000000-0005-0000-0000-00001F000000}"/>
    <cellStyle name="60% - Accent5 2" xfId="64" xr:uid="{00000000-0005-0000-0000-000020000000}"/>
    <cellStyle name="60% - Accent5 3" xfId="65" xr:uid="{00000000-0005-0000-0000-000021000000}"/>
    <cellStyle name="60% - Accent6 2" xfId="66" xr:uid="{00000000-0005-0000-0000-000022000000}"/>
    <cellStyle name="60% - Accent6 3" xfId="67" xr:uid="{00000000-0005-0000-0000-000023000000}"/>
    <cellStyle name="Accent 1 1" xfId="282" xr:uid="{00000000-0005-0000-0000-000024000000}"/>
    <cellStyle name="Accent 2 1" xfId="283" xr:uid="{00000000-0005-0000-0000-000025000000}"/>
    <cellStyle name="Accent 3 1" xfId="284" xr:uid="{00000000-0005-0000-0000-000026000000}"/>
    <cellStyle name="Accent 4" xfId="285" xr:uid="{00000000-0005-0000-0000-000027000000}"/>
    <cellStyle name="Accent1 2" xfId="68" xr:uid="{00000000-0005-0000-0000-000028000000}"/>
    <cellStyle name="Accent1 3" xfId="69" xr:uid="{00000000-0005-0000-0000-000029000000}"/>
    <cellStyle name="Accent2 2" xfId="70" xr:uid="{00000000-0005-0000-0000-00002A000000}"/>
    <cellStyle name="Accent2 3" xfId="71" xr:uid="{00000000-0005-0000-0000-00002B000000}"/>
    <cellStyle name="Accent3 2" xfId="72" xr:uid="{00000000-0005-0000-0000-00002C000000}"/>
    <cellStyle name="Accent3 3" xfId="73" xr:uid="{00000000-0005-0000-0000-00002D000000}"/>
    <cellStyle name="Accent4 2" xfId="74" xr:uid="{00000000-0005-0000-0000-00002E000000}"/>
    <cellStyle name="Accent4 3" xfId="75" xr:uid="{00000000-0005-0000-0000-00002F000000}"/>
    <cellStyle name="Accent5 2" xfId="76" xr:uid="{00000000-0005-0000-0000-000030000000}"/>
    <cellStyle name="Accent5 3" xfId="77" xr:uid="{00000000-0005-0000-0000-000031000000}"/>
    <cellStyle name="Accent6 2" xfId="78" xr:uid="{00000000-0005-0000-0000-000032000000}"/>
    <cellStyle name="Accent6 3" xfId="79" xr:uid="{00000000-0005-0000-0000-000033000000}"/>
    <cellStyle name="Bad" xfId="1" builtinId="27"/>
    <cellStyle name="Bad 1" xfId="286" xr:uid="{00000000-0005-0000-0000-000035000000}"/>
    <cellStyle name="Bad 2" xfId="80" xr:uid="{00000000-0005-0000-0000-000036000000}"/>
    <cellStyle name="Bad 3" xfId="81" xr:uid="{00000000-0005-0000-0000-000037000000}"/>
    <cellStyle name="Calculation 2" xfId="82" xr:uid="{00000000-0005-0000-0000-000038000000}"/>
    <cellStyle name="Calculation 3" xfId="83" xr:uid="{00000000-0005-0000-0000-000039000000}"/>
    <cellStyle name="Check Cell 2" xfId="84" xr:uid="{00000000-0005-0000-0000-00003A000000}"/>
    <cellStyle name="Check Cell 3" xfId="85" xr:uid="{00000000-0005-0000-0000-00003B000000}"/>
    <cellStyle name="Comma" xfId="2" builtinId="3"/>
    <cellStyle name="Comma 2" xfId="12" xr:uid="{00000000-0005-0000-0000-00003D000000}"/>
    <cellStyle name="Comma 2 2" xfId="14" xr:uid="{00000000-0005-0000-0000-00003E000000}"/>
    <cellStyle name="Comma 2 2 2" xfId="86" xr:uid="{00000000-0005-0000-0000-00003F000000}"/>
    <cellStyle name="Comma 2 3" xfId="191" xr:uid="{00000000-0005-0000-0000-000040000000}"/>
    <cellStyle name="Comma 2 3 2" xfId="192" xr:uid="{00000000-0005-0000-0000-000041000000}"/>
    <cellStyle name="Comma 2 4" xfId="193" xr:uid="{00000000-0005-0000-0000-000042000000}"/>
    <cellStyle name="Comma 2 5" xfId="194" xr:uid="{00000000-0005-0000-0000-000043000000}"/>
    <cellStyle name="Comma 2 6" xfId="190" xr:uid="{00000000-0005-0000-0000-000044000000}"/>
    <cellStyle name="Currency 2" xfId="15" xr:uid="{00000000-0005-0000-0000-000045000000}"/>
    <cellStyle name="Currency 2 2" xfId="87" xr:uid="{00000000-0005-0000-0000-000046000000}"/>
    <cellStyle name="Error 1" xfId="287" xr:uid="{00000000-0005-0000-0000-000047000000}"/>
    <cellStyle name="Excel Built-in Normal" xfId="195" xr:uid="{00000000-0005-0000-0000-000048000000}"/>
    <cellStyle name="Explanatory Text 2" xfId="88" xr:uid="{00000000-0005-0000-0000-000049000000}"/>
    <cellStyle name="Explanatory Text 3" xfId="89" xr:uid="{00000000-0005-0000-0000-00004A000000}"/>
    <cellStyle name="Footnote 1" xfId="288" xr:uid="{00000000-0005-0000-0000-00004B000000}"/>
    <cellStyle name="Good 1" xfId="289" xr:uid="{00000000-0005-0000-0000-00004C000000}"/>
    <cellStyle name="Good 2" xfId="90" xr:uid="{00000000-0005-0000-0000-00004D000000}"/>
    <cellStyle name="Good 3" xfId="91" xr:uid="{00000000-0005-0000-0000-00004E000000}"/>
    <cellStyle name="Heading 1 1" xfId="290" xr:uid="{00000000-0005-0000-0000-00004F000000}"/>
    <cellStyle name="Heading 1 2" xfId="92" xr:uid="{00000000-0005-0000-0000-000050000000}"/>
    <cellStyle name="Heading 1 2 2" xfId="196" xr:uid="{00000000-0005-0000-0000-000051000000}"/>
    <cellStyle name="Heading 1 3" xfId="93" xr:uid="{00000000-0005-0000-0000-000052000000}"/>
    <cellStyle name="Heading 1 3 2" xfId="197" xr:uid="{00000000-0005-0000-0000-000053000000}"/>
    <cellStyle name="Heading 2 1" xfId="291" xr:uid="{00000000-0005-0000-0000-000054000000}"/>
    <cellStyle name="Heading 2 2" xfId="94" xr:uid="{00000000-0005-0000-0000-000055000000}"/>
    <cellStyle name="Heading 2 2 2" xfId="198" xr:uid="{00000000-0005-0000-0000-000056000000}"/>
    <cellStyle name="Heading 2 3" xfId="95" xr:uid="{00000000-0005-0000-0000-000057000000}"/>
    <cellStyle name="Heading 2 3 2" xfId="199" xr:uid="{00000000-0005-0000-0000-000058000000}"/>
    <cellStyle name="Heading 3 2" xfId="96" xr:uid="{00000000-0005-0000-0000-000059000000}"/>
    <cellStyle name="Heading 3 3" xfId="97" xr:uid="{00000000-0005-0000-0000-00005A000000}"/>
    <cellStyle name="Heading 4 2" xfId="98" xr:uid="{00000000-0005-0000-0000-00005B000000}"/>
    <cellStyle name="Heading 4 3" xfId="99" xr:uid="{00000000-0005-0000-0000-00005C000000}"/>
    <cellStyle name="Hyperlink 1" xfId="292" xr:uid="{00000000-0005-0000-0000-00005D000000}"/>
    <cellStyle name="Hyperlink 2" xfId="100" xr:uid="{00000000-0005-0000-0000-00005E000000}"/>
    <cellStyle name="Input 2" xfId="101" xr:uid="{00000000-0005-0000-0000-00005F000000}"/>
    <cellStyle name="Input 3" xfId="102" xr:uid="{00000000-0005-0000-0000-000060000000}"/>
    <cellStyle name="Linked Cell 2" xfId="103" xr:uid="{00000000-0005-0000-0000-000061000000}"/>
    <cellStyle name="Linked Cell 3" xfId="104" xr:uid="{00000000-0005-0000-0000-000062000000}"/>
    <cellStyle name="Neutral" xfId="3" builtinId="28"/>
    <cellStyle name="Neutral 1" xfId="293" xr:uid="{00000000-0005-0000-0000-000064000000}"/>
    <cellStyle name="Neutral 2" xfId="105" xr:uid="{00000000-0005-0000-0000-000065000000}"/>
    <cellStyle name="Neutral 3" xfId="106" xr:uid="{00000000-0005-0000-0000-000066000000}"/>
    <cellStyle name="Normal" xfId="0" builtinId="0"/>
    <cellStyle name="Normal 10" xfId="107" xr:uid="{00000000-0005-0000-0000-000068000000}"/>
    <cellStyle name="Normal 11" xfId="108" xr:uid="{00000000-0005-0000-0000-000069000000}"/>
    <cellStyle name="Normal 12" xfId="30" xr:uid="{00000000-0005-0000-0000-00006A000000}"/>
    <cellStyle name="Normal 13" xfId="31" xr:uid="{00000000-0005-0000-0000-00006B000000}"/>
    <cellStyle name="Normal 14" xfId="189" xr:uid="{00000000-0005-0000-0000-00006C000000}"/>
    <cellStyle name="Normal 14 2" xfId="200" xr:uid="{00000000-0005-0000-0000-00006D000000}"/>
    <cellStyle name="Normal 15" xfId="109" xr:uid="{00000000-0005-0000-0000-00006E000000}"/>
    <cellStyle name="Normal 16" xfId="201" xr:uid="{00000000-0005-0000-0000-00006F000000}"/>
    <cellStyle name="Normal 18" xfId="110" xr:uid="{00000000-0005-0000-0000-000070000000}"/>
    <cellStyle name="Normal 2" xfId="4" xr:uid="{00000000-0005-0000-0000-000071000000}"/>
    <cellStyle name="Normal 2 2" xfId="11" xr:uid="{00000000-0005-0000-0000-000072000000}"/>
    <cellStyle name="Normal 2 2 2" xfId="112" xr:uid="{00000000-0005-0000-0000-000073000000}"/>
    <cellStyle name="Normal 2 2 2 2" xfId="202" xr:uid="{00000000-0005-0000-0000-000074000000}"/>
    <cellStyle name="Normal 2 2 2 2 2" xfId="203" xr:uid="{00000000-0005-0000-0000-000075000000}"/>
    <cellStyle name="Normal 2 2 2 3" xfId="204" xr:uid="{00000000-0005-0000-0000-000076000000}"/>
    <cellStyle name="Normal 2 2 3" xfId="113" xr:uid="{00000000-0005-0000-0000-000077000000}"/>
    <cellStyle name="Normal 2 2 4" xfId="114" xr:uid="{00000000-0005-0000-0000-000078000000}"/>
    <cellStyle name="Normal 2 2 5" xfId="115" xr:uid="{00000000-0005-0000-0000-000079000000}"/>
    <cellStyle name="Normal 2 2 6" xfId="116" xr:uid="{00000000-0005-0000-0000-00007A000000}"/>
    <cellStyle name="Normal 2 2 7" xfId="117" xr:uid="{00000000-0005-0000-0000-00007B000000}"/>
    <cellStyle name="Normal 2 2 8" xfId="111" xr:uid="{00000000-0005-0000-0000-00007C000000}"/>
    <cellStyle name="Normal 2 2 8 2" xfId="205" xr:uid="{00000000-0005-0000-0000-00007D000000}"/>
    <cellStyle name="Normal 2 3" xfId="27" xr:uid="{00000000-0005-0000-0000-00007E000000}"/>
    <cellStyle name="Normal 2 3 2" xfId="118" xr:uid="{00000000-0005-0000-0000-00007F000000}"/>
    <cellStyle name="Normal 2 3 2 2" xfId="206" xr:uid="{00000000-0005-0000-0000-000080000000}"/>
    <cellStyle name="Normal 2 4" xfId="119" xr:uid="{00000000-0005-0000-0000-000081000000}"/>
    <cellStyle name="Normal 2 4 2" xfId="207" xr:uid="{00000000-0005-0000-0000-000082000000}"/>
    <cellStyle name="Normal 2 5" xfId="120" xr:uid="{00000000-0005-0000-0000-000083000000}"/>
    <cellStyle name="Normal 2 6" xfId="121" xr:uid="{00000000-0005-0000-0000-000084000000}"/>
    <cellStyle name="Normal 2 7" xfId="122" xr:uid="{00000000-0005-0000-0000-000085000000}"/>
    <cellStyle name="Normal 3" xfId="5" xr:uid="{00000000-0005-0000-0000-000086000000}"/>
    <cellStyle name="Normal 3 10" xfId="124" xr:uid="{00000000-0005-0000-0000-000087000000}"/>
    <cellStyle name="Normal 3 11" xfId="125" xr:uid="{00000000-0005-0000-0000-000088000000}"/>
    <cellStyle name="Normal 3 12" xfId="126" xr:uid="{00000000-0005-0000-0000-000089000000}"/>
    <cellStyle name="Normal 3 13" xfId="127" xr:uid="{00000000-0005-0000-0000-00008A000000}"/>
    <cellStyle name="Normal 3 14" xfId="128" xr:uid="{00000000-0005-0000-0000-00008B000000}"/>
    <cellStyle name="Normal 3 15" xfId="129" xr:uid="{00000000-0005-0000-0000-00008C000000}"/>
    <cellStyle name="Normal 3 16" xfId="130" xr:uid="{00000000-0005-0000-0000-00008D000000}"/>
    <cellStyle name="Normal 3 17" xfId="131" xr:uid="{00000000-0005-0000-0000-00008E000000}"/>
    <cellStyle name="Normal 3 18" xfId="123" xr:uid="{00000000-0005-0000-0000-00008F000000}"/>
    <cellStyle name="Normal 3 18 2" xfId="208" xr:uid="{00000000-0005-0000-0000-000090000000}"/>
    <cellStyle name="Normal 3 2" xfId="17" xr:uid="{00000000-0005-0000-0000-000091000000}"/>
    <cellStyle name="Normal 3 2 2" xfId="132" xr:uid="{00000000-0005-0000-0000-000092000000}"/>
    <cellStyle name="Normal 3 2 2 2" xfId="209" xr:uid="{00000000-0005-0000-0000-000093000000}"/>
    <cellStyle name="Normal 3 2 3" xfId="210" xr:uid="{00000000-0005-0000-0000-000094000000}"/>
    <cellStyle name="Normal 3 3" xfId="16" xr:uid="{00000000-0005-0000-0000-000095000000}"/>
    <cellStyle name="Normal 3 3 2" xfId="133" xr:uid="{00000000-0005-0000-0000-000096000000}"/>
    <cellStyle name="Normal 3 4" xfId="28" xr:uid="{00000000-0005-0000-0000-000097000000}"/>
    <cellStyle name="Normal 3 4 2" xfId="134" xr:uid="{00000000-0005-0000-0000-000098000000}"/>
    <cellStyle name="Normal 3 5" xfId="135" xr:uid="{00000000-0005-0000-0000-000099000000}"/>
    <cellStyle name="Normal 3 6" xfId="136" xr:uid="{00000000-0005-0000-0000-00009A000000}"/>
    <cellStyle name="Normal 3 7" xfId="137" xr:uid="{00000000-0005-0000-0000-00009B000000}"/>
    <cellStyle name="Normal 3 8" xfId="138" xr:uid="{00000000-0005-0000-0000-00009C000000}"/>
    <cellStyle name="Normal 3 9" xfId="139" xr:uid="{00000000-0005-0000-0000-00009D000000}"/>
    <cellStyle name="Normal 4" xfId="6" xr:uid="{00000000-0005-0000-0000-00009E000000}"/>
    <cellStyle name="Normal 4 10" xfId="140" xr:uid="{00000000-0005-0000-0000-00009F000000}"/>
    <cellStyle name="Normal 4 11" xfId="141" xr:uid="{00000000-0005-0000-0000-0000A0000000}"/>
    <cellStyle name="Normal 4 12" xfId="211" xr:uid="{00000000-0005-0000-0000-0000A1000000}"/>
    <cellStyle name="Normal 4 13" xfId="212" xr:uid="{00000000-0005-0000-0000-0000A2000000}"/>
    <cellStyle name="Normal 4 14" xfId="213" xr:uid="{00000000-0005-0000-0000-0000A3000000}"/>
    <cellStyle name="Normal 4 15" xfId="214" xr:uid="{00000000-0005-0000-0000-0000A4000000}"/>
    <cellStyle name="Normal 4 16" xfId="215" xr:uid="{00000000-0005-0000-0000-0000A5000000}"/>
    <cellStyle name="Normal 4 17" xfId="216" xr:uid="{00000000-0005-0000-0000-0000A6000000}"/>
    <cellStyle name="Normal 4 18" xfId="217" xr:uid="{00000000-0005-0000-0000-0000A7000000}"/>
    <cellStyle name="Normal 4 19" xfId="218" xr:uid="{00000000-0005-0000-0000-0000A8000000}"/>
    <cellStyle name="Normal 4 2" xfId="10" xr:uid="{00000000-0005-0000-0000-0000A9000000}"/>
    <cellStyle name="Normal 4 2 2" xfId="143" xr:uid="{00000000-0005-0000-0000-0000AA000000}"/>
    <cellStyle name="Normal 4 2 3" xfId="144" xr:uid="{00000000-0005-0000-0000-0000AB000000}"/>
    <cellStyle name="Normal 4 2 4" xfId="145" xr:uid="{00000000-0005-0000-0000-0000AC000000}"/>
    <cellStyle name="Normal 4 2 5" xfId="146" xr:uid="{00000000-0005-0000-0000-0000AD000000}"/>
    <cellStyle name="Normal 4 2 6" xfId="147" xr:uid="{00000000-0005-0000-0000-0000AE000000}"/>
    <cellStyle name="Normal 4 2 7" xfId="148" xr:uid="{00000000-0005-0000-0000-0000AF000000}"/>
    <cellStyle name="Normal 4 2 8" xfId="142" xr:uid="{00000000-0005-0000-0000-0000B0000000}"/>
    <cellStyle name="Normal 4 20" xfId="219" xr:uid="{00000000-0005-0000-0000-0000B1000000}"/>
    <cellStyle name="Normal 4 21" xfId="220" xr:uid="{00000000-0005-0000-0000-0000B2000000}"/>
    <cellStyle name="Normal 4 22" xfId="221" xr:uid="{00000000-0005-0000-0000-0000B3000000}"/>
    <cellStyle name="Normal 4 23" xfId="222" xr:uid="{00000000-0005-0000-0000-0000B4000000}"/>
    <cellStyle name="Normal 4 24" xfId="223" xr:uid="{00000000-0005-0000-0000-0000B5000000}"/>
    <cellStyle name="Normal 4 25" xfId="224" xr:uid="{00000000-0005-0000-0000-0000B6000000}"/>
    <cellStyle name="Normal 4 26" xfId="225" xr:uid="{00000000-0005-0000-0000-0000B7000000}"/>
    <cellStyle name="Normal 4 27" xfId="226" xr:uid="{00000000-0005-0000-0000-0000B8000000}"/>
    <cellStyle name="Normal 4 28" xfId="227" xr:uid="{00000000-0005-0000-0000-0000B9000000}"/>
    <cellStyle name="Normal 4 29" xfId="228" xr:uid="{00000000-0005-0000-0000-0000BA000000}"/>
    <cellStyle name="Normal 4 3" xfId="18" xr:uid="{00000000-0005-0000-0000-0000BB000000}"/>
    <cellStyle name="Normal 4 30" xfId="229" xr:uid="{00000000-0005-0000-0000-0000BC000000}"/>
    <cellStyle name="Normal 4 31" xfId="230" xr:uid="{00000000-0005-0000-0000-0000BD000000}"/>
    <cellStyle name="Normal 4 32" xfId="231" xr:uid="{00000000-0005-0000-0000-0000BE000000}"/>
    <cellStyle name="Normal 4 33" xfId="232" xr:uid="{00000000-0005-0000-0000-0000BF000000}"/>
    <cellStyle name="Normal 4 34" xfId="233" xr:uid="{00000000-0005-0000-0000-0000C0000000}"/>
    <cellStyle name="Normal 4 35" xfId="234" xr:uid="{00000000-0005-0000-0000-0000C1000000}"/>
    <cellStyle name="Normal 4 36" xfId="235" xr:uid="{00000000-0005-0000-0000-0000C2000000}"/>
    <cellStyle name="Normal 4 37" xfId="236" xr:uid="{00000000-0005-0000-0000-0000C3000000}"/>
    <cellStyle name="Normal 4 38" xfId="237" xr:uid="{00000000-0005-0000-0000-0000C4000000}"/>
    <cellStyle name="Normal 4 39" xfId="238" xr:uid="{00000000-0005-0000-0000-0000C5000000}"/>
    <cellStyle name="Normal 4 4" xfId="29" xr:uid="{00000000-0005-0000-0000-0000C6000000}"/>
    <cellStyle name="Normal 4 4 2" xfId="149" xr:uid="{00000000-0005-0000-0000-0000C7000000}"/>
    <cellStyle name="Normal 4 40" xfId="239" xr:uid="{00000000-0005-0000-0000-0000C8000000}"/>
    <cellStyle name="Normal 4 41" xfId="240" xr:uid="{00000000-0005-0000-0000-0000C9000000}"/>
    <cellStyle name="Normal 4 42" xfId="241" xr:uid="{00000000-0005-0000-0000-0000CA000000}"/>
    <cellStyle name="Normal 4 43" xfId="242" xr:uid="{00000000-0005-0000-0000-0000CB000000}"/>
    <cellStyle name="Normal 4 44" xfId="243" xr:uid="{00000000-0005-0000-0000-0000CC000000}"/>
    <cellStyle name="Normal 4 45" xfId="244" xr:uid="{00000000-0005-0000-0000-0000CD000000}"/>
    <cellStyle name="Normal 4 46" xfId="245" xr:uid="{00000000-0005-0000-0000-0000CE000000}"/>
    <cellStyle name="Normal 4 47" xfId="246" xr:uid="{00000000-0005-0000-0000-0000CF000000}"/>
    <cellStyle name="Normal 4 48" xfId="247" xr:uid="{00000000-0005-0000-0000-0000D0000000}"/>
    <cellStyle name="Normal 4 49" xfId="248" xr:uid="{00000000-0005-0000-0000-0000D1000000}"/>
    <cellStyle name="Normal 4 5" xfId="150" xr:uid="{00000000-0005-0000-0000-0000D2000000}"/>
    <cellStyle name="Normal 4 50" xfId="249" xr:uid="{00000000-0005-0000-0000-0000D3000000}"/>
    <cellStyle name="Normal 4 51" xfId="250" xr:uid="{00000000-0005-0000-0000-0000D4000000}"/>
    <cellStyle name="Normal 4 52" xfId="251" xr:uid="{00000000-0005-0000-0000-0000D5000000}"/>
    <cellStyle name="Normal 4 53" xfId="252" xr:uid="{00000000-0005-0000-0000-0000D6000000}"/>
    <cellStyle name="Normal 4 54" xfId="253" xr:uid="{00000000-0005-0000-0000-0000D7000000}"/>
    <cellStyle name="Normal 4 55" xfId="254" xr:uid="{00000000-0005-0000-0000-0000D8000000}"/>
    <cellStyle name="Normal 4 56" xfId="255" xr:uid="{00000000-0005-0000-0000-0000D9000000}"/>
    <cellStyle name="Normal 4 57" xfId="256" xr:uid="{00000000-0005-0000-0000-0000DA000000}"/>
    <cellStyle name="Normal 4 58" xfId="257" xr:uid="{00000000-0005-0000-0000-0000DB000000}"/>
    <cellStyle name="Normal 4 59" xfId="258" xr:uid="{00000000-0005-0000-0000-0000DC000000}"/>
    <cellStyle name="Normal 4 6" xfId="151" xr:uid="{00000000-0005-0000-0000-0000DD000000}"/>
    <cellStyle name="Normal 4 60" xfId="259" xr:uid="{00000000-0005-0000-0000-0000DE000000}"/>
    <cellStyle name="Normal 4 61" xfId="260" xr:uid="{00000000-0005-0000-0000-0000DF000000}"/>
    <cellStyle name="Normal 4 62" xfId="261" xr:uid="{00000000-0005-0000-0000-0000E0000000}"/>
    <cellStyle name="Normal 4 63" xfId="262" xr:uid="{00000000-0005-0000-0000-0000E1000000}"/>
    <cellStyle name="Normal 4 64" xfId="263" xr:uid="{00000000-0005-0000-0000-0000E2000000}"/>
    <cellStyle name="Normal 4 65" xfId="264" xr:uid="{00000000-0005-0000-0000-0000E3000000}"/>
    <cellStyle name="Normal 4 66" xfId="265" xr:uid="{00000000-0005-0000-0000-0000E4000000}"/>
    <cellStyle name="Normal 4 67" xfId="266" xr:uid="{00000000-0005-0000-0000-0000E5000000}"/>
    <cellStyle name="Normal 4 68" xfId="267" xr:uid="{00000000-0005-0000-0000-0000E6000000}"/>
    <cellStyle name="Normal 4 69" xfId="268" xr:uid="{00000000-0005-0000-0000-0000E7000000}"/>
    <cellStyle name="Normal 4 7" xfId="152" xr:uid="{00000000-0005-0000-0000-0000E8000000}"/>
    <cellStyle name="Normal 4 70" xfId="269" xr:uid="{00000000-0005-0000-0000-0000E9000000}"/>
    <cellStyle name="Normal 4 71" xfId="270" xr:uid="{00000000-0005-0000-0000-0000EA000000}"/>
    <cellStyle name="Normal 4 72" xfId="271" xr:uid="{00000000-0005-0000-0000-0000EB000000}"/>
    <cellStyle name="Normal 4 73" xfId="272" xr:uid="{00000000-0005-0000-0000-0000EC000000}"/>
    <cellStyle name="Normal 4 74" xfId="273" xr:uid="{00000000-0005-0000-0000-0000ED000000}"/>
    <cellStyle name="Normal 4 75" xfId="274" xr:uid="{00000000-0005-0000-0000-0000EE000000}"/>
    <cellStyle name="Normal 4 76" xfId="275" xr:uid="{00000000-0005-0000-0000-0000EF000000}"/>
    <cellStyle name="Normal 4 77" xfId="276" xr:uid="{00000000-0005-0000-0000-0000F0000000}"/>
    <cellStyle name="Normal 4 78" xfId="277" xr:uid="{00000000-0005-0000-0000-0000F1000000}"/>
    <cellStyle name="Normal 4 79" xfId="278" xr:uid="{00000000-0005-0000-0000-0000F2000000}"/>
    <cellStyle name="Normal 4 8" xfId="153" xr:uid="{00000000-0005-0000-0000-0000F3000000}"/>
    <cellStyle name="Normal 4 80" xfId="279" xr:uid="{00000000-0005-0000-0000-0000F4000000}"/>
    <cellStyle name="Normal 4 9" xfId="154" xr:uid="{00000000-0005-0000-0000-0000F5000000}"/>
    <cellStyle name="Normal 4_Daily Production" xfId="280" xr:uid="{00000000-0005-0000-0000-0000F6000000}"/>
    <cellStyle name="Normal 5" xfId="7" xr:uid="{00000000-0005-0000-0000-0000F7000000}"/>
    <cellStyle name="Normal 5 2" xfId="13" xr:uid="{00000000-0005-0000-0000-0000F8000000}"/>
    <cellStyle name="Normal 5 2 2" xfId="156" xr:uid="{00000000-0005-0000-0000-0000F9000000}"/>
    <cellStyle name="Normal 5 2 3" xfId="157" xr:uid="{00000000-0005-0000-0000-0000FA000000}"/>
    <cellStyle name="Normal 5 2 4" xfId="158" xr:uid="{00000000-0005-0000-0000-0000FB000000}"/>
    <cellStyle name="Normal 5 2 5" xfId="159" xr:uid="{00000000-0005-0000-0000-0000FC000000}"/>
    <cellStyle name="Normal 5 2 6" xfId="160" xr:uid="{00000000-0005-0000-0000-0000FD000000}"/>
    <cellStyle name="Normal 5 2 7" xfId="161" xr:uid="{00000000-0005-0000-0000-0000FE000000}"/>
    <cellStyle name="Normal 5 2 8" xfId="155" xr:uid="{00000000-0005-0000-0000-0000FF000000}"/>
    <cellStyle name="Normal 5 3" xfId="19" xr:uid="{00000000-0005-0000-0000-000000010000}"/>
    <cellStyle name="Normal 5 4" xfId="162" xr:uid="{00000000-0005-0000-0000-000001010000}"/>
    <cellStyle name="Normal 5 5" xfId="163" xr:uid="{00000000-0005-0000-0000-000002010000}"/>
    <cellStyle name="Normal 5 6" xfId="164" xr:uid="{00000000-0005-0000-0000-000003010000}"/>
    <cellStyle name="Normal 5 7" xfId="165" xr:uid="{00000000-0005-0000-0000-000004010000}"/>
    <cellStyle name="Normal 6" xfId="8" xr:uid="{00000000-0005-0000-0000-000005010000}"/>
    <cellStyle name="Normal 6 2" xfId="20" xr:uid="{00000000-0005-0000-0000-000006010000}"/>
    <cellStyle name="Normal 6 3" xfId="167" xr:uid="{00000000-0005-0000-0000-000007010000}"/>
    <cellStyle name="Normal 6 4" xfId="168" xr:uid="{00000000-0005-0000-0000-000008010000}"/>
    <cellStyle name="Normal 6 5" xfId="169" xr:uid="{00000000-0005-0000-0000-000009010000}"/>
    <cellStyle name="Normal 6 6" xfId="170" xr:uid="{00000000-0005-0000-0000-00000A010000}"/>
    <cellStyle name="Normal 6 7" xfId="171" xr:uid="{00000000-0005-0000-0000-00000B010000}"/>
    <cellStyle name="Normal 6 8" xfId="166" xr:uid="{00000000-0005-0000-0000-00000C010000}"/>
    <cellStyle name="Normal 7" xfId="9" xr:uid="{00000000-0005-0000-0000-00000D010000}"/>
    <cellStyle name="Normal 7 2" xfId="21" xr:uid="{00000000-0005-0000-0000-00000E010000}"/>
    <cellStyle name="Normal 7 3" xfId="173" xr:uid="{00000000-0005-0000-0000-00000F010000}"/>
    <cellStyle name="Normal 7 4" xfId="174" xr:uid="{00000000-0005-0000-0000-000010010000}"/>
    <cellStyle name="Normal 7 5" xfId="175" xr:uid="{00000000-0005-0000-0000-000011010000}"/>
    <cellStyle name="Normal 7 6" xfId="176" xr:uid="{00000000-0005-0000-0000-000012010000}"/>
    <cellStyle name="Normal 7 7" xfId="177" xr:uid="{00000000-0005-0000-0000-000013010000}"/>
    <cellStyle name="Normal 7 8" xfId="172" xr:uid="{00000000-0005-0000-0000-000014010000}"/>
    <cellStyle name="Normal 8" xfId="22" xr:uid="{00000000-0005-0000-0000-000015010000}"/>
    <cellStyle name="Normal 9" xfId="26" xr:uid="{00000000-0005-0000-0000-000016010000}"/>
    <cellStyle name="Normal 9 2" xfId="178" xr:uid="{00000000-0005-0000-0000-000017010000}"/>
    <cellStyle name="Note 1" xfId="294" xr:uid="{00000000-0005-0000-0000-000018010000}"/>
    <cellStyle name="Note 2" xfId="179" xr:uid="{00000000-0005-0000-0000-000019010000}"/>
    <cellStyle name="Note 3" xfId="180" xr:uid="{00000000-0005-0000-0000-00001A010000}"/>
    <cellStyle name="Output 2" xfId="181" xr:uid="{00000000-0005-0000-0000-00001B010000}"/>
    <cellStyle name="Output 3" xfId="182" xr:uid="{00000000-0005-0000-0000-00001C010000}"/>
    <cellStyle name="Per cent" xfId="25" builtinId="5"/>
    <cellStyle name="Percent 2" xfId="23" xr:uid="{00000000-0005-0000-0000-00001E010000}"/>
    <cellStyle name="Percent 3" xfId="24" xr:uid="{00000000-0005-0000-0000-00001F010000}"/>
    <cellStyle name="Pivot Table Value" xfId="281" xr:uid="{00000000-0005-0000-0000-000020010000}"/>
    <cellStyle name="Status 1" xfId="295" xr:uid="{00000000-0005-0000-0000-000021010000}"/>
    <cellStyle name="Text 1" xfId="296" xr:uid="{00000000-0005-0000-0000-000022010000}"/>
    <cellStyle name="Title 2" xfId="183" xr:uid="{00000000-0005-0000-0000-000023010000}"/>
    <cellStyle name="Title 3" xfId="184" xr:uid="{00000000-0005-0000-0000-000024010000}"/>
    <cellStyle name="Total 2" xfId="185" xr:uid="{00000000-0005-0000-0000-000025010000}"/>
    <cellStyle name="Total 3" xfId="186" xr:uid="{00000000-0005-0000-0000-000026010000}"/>
    <cellStyle name="Warning 1" xfId="297" xr:uid="{00000000-0005-0000-0000-000027010000}"/>
    <cellStyle name="Warning Text 2" xfId="187" xr:uid="{00000000-0005-0000-0000-000028010000}"/>
    <cellStyle name="Warning Text 3" xfId="188" xr:uid="{00000000-0005-0000-0000-000029010000}"/>
  </cellStyles>
  <dxfs count="0"/>
  <tableStyles count="0" defaultTableStyle="TableStyleMedium2" defaultPivotStyle="PivotStyleMedium9"/>
  <colors>
    <mruColors>
      <color rgb="FFFF99CC"/>
      <color rgb="FFCCCCFF"/>
      <color rgb="FFF6BCF6"/>
      <color rgb="FFCC99FF"/>
      <color rgb="FFF97575"/>
      <color rgb="FFAC4489"/>
      <color rgb="FF00FF00"/>
      <color rgb="FFFF6699"/>
      <color rgb="FF0033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Users/pushpa/Downloads/SIL%20SI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2020-21%20Monthly%20files/May%2020/ENERGY%20PBS%20AND%20POWER/MONTHLY%20ENERGY%20FY%202020-21%2031-05-202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9-20 MASTER"/>
      <sheetName val="Maj Prod Summ"/>
      <sheetName val="Maj Desp Summ"/>
      <sheetName val="Maj Techno Summ"/>
      <sheetName val="DETAIL DESP "/>
      <sheetName val="COKE OVENS"/>
      <sheetName val="SINTER"/>
      <sheetName val="B-FCE"/>
      <sheetName val="SMS"/>
      <sheetName val="GRD SUMM RCL 150X150 "/>
      <sheetName val="GRD SUMM RCL CASTER 3"/>
      <sheetName val="WRM"/>
      <sheetName val="BM"/>
      <sheetName val="USM"/>
      <sheetName val="PBS"/>
      <sheetName val="PR DISTR"/>
      <sheetName val="ECD"/>
      <sheetName val="EMD"/>
      <sheetName val="OXY PL"/>
      <sheetName val="LDCP"/>
      <sheetName val="SHOPS"/>
    </sheetNames>
    <sheetDataSet>
      <sheetData sheetId="0"/>
      <sheetData sheetId="1"/>
      <sheetData sheetId="2"/>
      <sheetData sheetId="3"/>
      <sheetData sheetId="4"/>
      <sheetData sheetId="5">
        <row r="124">
          <cell r="AW124">
            <v>3540</v>
          </cell>
          <cell r="AY124">
            <v>0</v>
          </cell>
          <cell r="BE124">
            <v>3540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RGY TARIFF RATES"/>
      <sheetName val="ENRGY TARIFF RATES contd"/>
      <sheetName val="DVC"/>
      <sheetName val="PBS-2"/>
      <sheetName val="Production &amp; SPC"/>
      <sheetName val="OLD PLANT"/>
      <sheetName val="MFM readings"/>
      <sheetName val="Consumption"/>
      <sheetName val="En Balance"/>
      <sheetName val="Shop Energy"/>
      <sheetName val="Avg Shop En"/>
      <sheetName val="PPC"/>
      <sheetName val="PPC_Avg"/>
      <sheetName val="SLCC"/>
      <sheetName val="Sheet2"/>
      <sheetName val="Summarized PPC "/>
      <sheetName val="Sheet1"/>
    </sheetNames>
    <sheetDataSet>
      <sheetData sheetId="0"/>
      <sheetData sheetId="1"/>
      <sheetData sheetId="2">
        <row r="9">
          <cell r="E9">
            <v>56402000</v>
          </cell>
        </row>
      </sheetData>
      <sheetData sheetId="3">
        <row r="9">
          <cell r="C9">
            <v>29290.499999999971</v>
          </cell>
        </row>
      </sheetData>
      <sheetData sheetId="4">
        <row r="17">
          <cell r="D17">
            <v>614.16161523218773</v>
          </cell>
        </row>
      </sheetData>
      <sheetData sheetId="5">
        <row r="5">
          <cell r="D5">
            <v>3137000</v>
          </cell>
        </row>
      </sheetData>
      <sheetData sheetId="6"/>
      <sheetData sheetId="7"/>
      <sheetData sheetId="8"/>
      <sheetData sheetId="9">
        <row r="5">
          <cell r="D5">
            <v>2387379.9999999977</v>
          </cell>
        </row>
      </sheetData>
      <sheetData sheetId="10"/>
      <sheetData sheetId="11">
        <row r="3">
          <cell r="E3">
            <v>43952</v>
          </cell>
        </row>
        <row r="4">
          <cell r="E4">
            <v>30</v>
          </cell>
          <cell r="F4">
            <v>31</v>
          </cell>
        </row>
        <row r="7">
          <cell r="E7">
            <v>29290499.99999997</v>
          </cell>
          <cell r="F7">
            <v>29010500</v>
          </cell>
        </row>
        <row r="8">
          <cell r="E8">
            <v>56402000</v>
          </cell>
          <cell r="F8">
            <v>65310000</v>
          </cell>
        </row>
        <row r="9">
          <cell r="E9">
            <v>3137000</v>
          </cell>
          <cell r="F9">
            <v>766000</v>
          </cell>
        </row>
        <row r="10">
          <cell r="E10">
            <v>514390</v>
          </cell>
          <cell r="F10">
            <v>517460.00000000029</v>
          </cell>
        </row>
        <row r="35">
          <cell r="E35">
            <v>5408863.7999999998</v>
          </cell>
          <cell r="F35">
            <v>5589150</v>
          </cell>
        </row>
        <row r="36">
          <cell r="E36">
            <v>24602610.000000015</v>
          </cell>
          <cell r="F36">
            <v>25208649.999999989</v>
          </cell>
        </row>
        <row r="37">
          <cell r="E37">
            <v>6340200.0000000019</v>
          </cell>
          <cell r="F37">
            <v>6636378.5999999978</v>
          </cell>
        </row>
        <row r="38">
          <cell r="E38">
            <v>6208570.0000000009</v>
          </cell>
          <cell r="F38">
            <v>6500811.4000000013</v>
          </cell>
        </row>
        <row r="39">
          <cell r="E39">
            <v>3457890.0000000014</v>
          </cell>
          <cell r="F39">
            <v>3757879.9999999995</v>
          </cell>
        </row>
        <row r="40">
          <cell r="E40">
            <v>3675250.0000000093</v>
          </cell>
          <cell r="F40">
            <v>4377139.9999999879</v>
          </cell>
        </row>
        <row r="41">
          <cell r="E41">
            <v>2119909.9999999995</v>
          </cell>
          <cell r="F41">
            <v>4863980</v>
          </cell>
        </row>
        <row r="42">
          <cell r="E42">
            <v>423946.99999999942</v>
          </cell>
          <cell r="F42">
            <v>543130.00000000047</v>
          </cell>
        </row>
        <row r="43">
          <cell r="E43">
            <v>454899.99999999919</v>
          </cell>
          <cell r="F43">
            <v>444510.0000000007</v>
          </cell>
        </row>
        <row r="44">
          <cell r="E44">
            <v>961360.0000000014</v>
          </cell>
          <cell r="F44">
            <v>1006979.9999999992</v>
          </cell>
        </row>
        <row r="45">
          <cell r="E45">
            <v>1555939.9999999995</v>
          </cell>
          <cell r="F45">
            <v>1505040</v>
          </cell>
        </row>
        <row r="46">
          <cell r="E46">
            <v>875200.0000000007</v>
          </cell>
          <cell r="F46">
            <v>889589.99999999977</v>
          </cell>
        </row>
        <row r="47">
          <cell r="E47">
            <v>374540.00000000047</v>
          </cell>
          <cell r="F47">
            <v>357270.00000000047</v>
          </cell>
        </row>
        <row r="48">
          <cell r="E48">
            <v>1860179.9999999995</v>
          </cell>
          <cell r="F48">
            <v>1688710.0000000019</v>
          </cell>
        </row>
        <row r="49">
          <cell r="E49">
            <v>1980710.0000000035</v>
          </cell>
          <cell r="F49">
            <v>1956889.9999999988</v>
          </cell>
        </row>
        <row r="50">
          <cell r="E50">
            <v>310599.99999999965</v>
          </cell>
          <cell r="F50">
            <v>377179.99999999895</v>
          </cell>
        </row>
        <row r="51">
          <cell r="E51">
            <v>9002299.9999999981</v>
          </cell>
          <cell r="F51">
            <v>9358670.0000000019</v>
          </cell>
        </row>
        <row r="52">
          <cell r="E52">
            <v>66424.000000000175</v>
          </cell>
          <cell r="F52">
            <v>66776.000000000029</v>
          </cell>
        </row>
        <row r="53">
          <cell r="E53">
            <v>25689.999999999967</v>
          </cell>
          <cell r="F53">
            <v>26329.999999999982</v>
          </cell>
        </row>
        <row r="54">
          <cell r="E54">
            <v>7954979.9999999814</v>
          </cell>
          <cell r="F54">
            <v>8018420.0000000149</v>
          </cell>
        </row>
        <row r="55">
          <cell r="E55">
            <v>706000</v>
          </cell>
          <cell r="F55">
            <v>613100.00000000035</v>
          </cell>
        </row>
        <row r="56">
          <cell r="E56">
            <v>3577000</v>
          </cell>
          <cell r="F56">
            <v>3313400.0000000051</v>
          </cell>
        </row>
        <row r="57">
          <cell r="E57">
            <v>34199.999999999942</v>
          </cell>
          <cell r="F57">
            <v>51179.999999999964</v>
          </cell>
        </row>
        <row r="58">
          <cell r="E58">
            <v>610052.19999999972</v>
          </cell>
          <cell r="F58">
            <v>644989.69999999867</v>
          </cell>
        </row>
        <row r="59">
          <cell r="E59">
            <v>221520.00000000006</v>
          </cell>
          <cell r="F59">
            <v>81420.000000000029</v>
          </cell>
        </row>
        <row r="61">
          <cell r="E61">
            <v>1020193.9999999553</v>
          </cell>
          <cell r="F61">
            <v>1775455.3000000119</v>
          </cell>
        </row>
        <row r="65">
          <cell r="E65">
            <v>1093290</v>
          </cell>
          <cell r="F65">
            <v>1171532.8</v>
          </cell>
        </row>
        <row r="66">
          <cell r="E66">
            <v>644972.74900000007</v>
          </cell>
          <cell r="F66">
            <v>646895.54300000006</v>
          </cell>
        </row>
        <row r="67">
          <cell r="E67">
            <v>187023.60760000031</v>
          </cell>
          <cell r="F67">
            <v>184126.8434000003</v>
          </cell>
        </row>
        <row r="68">
          <cell r="E68">
            <v>339821.83539999893</v>
          </cell>
          <cell r="F68">
            <v>349899.85260000126</v>
          </cell>
        </row>
        <row r="69">
          <cell r="E69">
            <v>2204510.0000000019</v>
          </cell>
          <cell r="F69">
            <v>2354639.9999999991</v>
          </cell>
        </row>
        <row r="70">
          <cell r="E70">
            <v>404620</v>
          </cell>
          <cell r="F70">
            <v>542620</v>
          </cell>
        </row>
        <row r="71">
          <cell r="E71">
            <v>378639</v>
          </cell>
          <cell r="F71">
            <v>383365</v>
          </cell>
        </row>
        <row r="73">
          <cell r="E73">
            <v>261981.80799999906</v>
          </cell>
          <cell r="F73">
            <v>317978.65699999966</v>
          </cell>
        </row>
        <row r="79">
          <cell r="E79">
            <v>79406183.556600019</v>
          </cell>
          <cell r="F79">
            <v>84399504.886399984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C00000"/>
    <pageSetUpPr fitToPage="1"/>
  </sheetPr>
  <dimension ref="A1:KC1546"/>
  <sheetViews>
    <sheetView topLeftCell="A1443" zoomScale="55" zoomScaleNormal="55" zoomScaleSheetLayoutView="40" workbookViewId="0">
      <pane xSplit="5" topLeftCell="I1" activePane="topRight" state="frozen"/>
      <selection pane="topRight" activeCell="K1459" sqref="K1459"/>
    </sheetView>
  </sheetViews>
  <sheetFormatPr baseColWidth="10" defaultColWidth="9.1640625" defaultRowHeight="19" x14ac:dyDescent="0.25"/>
  <cols>
    <col min="1" max="1" width="15.6640625" style="2" hidden="1" customWidth="1"/>
    <col min="2" max="2" width="12.6640625" style="2" hidden="1" customWidth="1"/>
    <col min="3" max="3" width="16.83203125" style="2" hidden="1" customWidth="1"/>
    <col min="4" max="4" width="20.5" style="2" customWidth="1"/>
    <col min="5" max="5" width="188.5" style="2" customWidth="1"/>
    <col min="6" max="6" width="42.5" style="2" customWidth="1"/>
    <col min="7" max="7" width="38" style="2" customWidth="1"/>
    <col min="8" max="8" width="30.83203125" style="408" customWidth="1"/>
    <col min="9" max="9" width="42.5" style="2" customWidth="1"/>
    <col min="10" max="10" width="36.5" style="3470" customWidth="1"/>
    <col min="11" max="11" width="29" style="2" customWidth="1"/>
    <col min="12" max="12" width="36.1640625" style="408" customWidth="1"/>
    <col min="13" max="13" width="28" style="2" hidden="1" customWidth="1"/>
    <col min="14" max="14" width="36.5" style="2" hidden="1" customWidth="1"/>
    <col min="15" max="15" width="26.5" style="2" hidden="1" customWidth="1"/>
    <col min="16" max="16" width="36.33203125" style="2" hidden="1" customWidth="1"/>
    <col min="17" max="17" width="36.5" style="2" hidden="1" customWidth="1"/>
    <col min="18" max="18" width="31.1640625" style="2" hidden="1" customWidth="1"/>
    <col min="19" max="19" width="36.5" style="2" hidden="1" customWidth="1"/>
    <col min="20" max="20" width="34.1640625" style="2" hidden="1" customWidth="1"/>
    <col min="21" max="21" width="29.5" style="2" hidden="1" customWidth="1"/>
    <col min="22" max="22" width="26.1640625" style="2" hidden="1" customWidth="1"/>
    <col min="23" max="23" width="27.6640625" style="2" hidden="1" customWidth="1"/>
    <col min="24" max="24" width="36.5" style="2" hidden="1" customWidth="1"/>
    <col min="25" max="25" width="32.1640625" style="2" hidden="1" customWidth="1"/>
    <col min="26" max="26" width="38.5" style="2" hidden="1" customWidth="1"/>
    <col min="27" max="27" width="27.5" style="2" hidden="1" customWidth="1"/>
    <col min="28" max="28" width="40" style="2" hidden="1" customWidth="1"/>
    <col min="29" max="29" width="29.83203125" style="2" hidden="1" customWidth="1"/>
    <col min="30" max="30" width="40" style="2" hidden="1" customWidth="1"/>
    <col min="31" max="31" width="35.6640625" style="2" hidden="1" customWidth="1"/>
    <col min="32" max="32" width="43.1640625" style="2" hidden="1" customWidth="1"/>
    <col min="33" max="33" width="12.1640625" style="4756" customWidth="1"/>
    <col min="34" max="34" width="14.1640625" style="4756" bestFit="1" customWidth="1"/>
    <col min="35" max="35" width="46.6640625" style="4756" customWidth="1"/>
    <col min="36" max="36" width="14" style="4756" customWidth="1"/>
    <col min="37" max="37" width="15.83203125" style="4756" customWidth="1"/>
    <col min="38" max="38" width="12.33203125" style="4756" bestFit="1" customWidth="1"/>
    <col min="39" max="39" width="28.5" style="2" customWidth="1"/>
    <col min="40" max="40" width="24" style="2" customWidth="1"/>
    <col min="41" max="41" width="14.5" style="2" customWidth="1"/>
    <col min="42" max="74" width="9.1640625" style="2" customWidth="1"/>
    <col min="75" max="76" width="9.1640625" style="2"/>
    <col min="77" max="77" width="44.5" style="2" customWidth="1"/>
    <col min="78" max="78" width="17.6640625" style="2" customWidth="1"/>
    <col min="79" max="79" width="17.5" style="2" customWidth="1"/>
    <col min="80" max="80" width="17.6640625" style="2" customWidth="1"/>
    <col min="81" max="81" width="16.6640625" style="2" customWidth="1"/>
    <col min="82" max="82" width="22.5" style="2" customWidth="1"/>
    <col min="83" max="83" width="16.33203125" style="2" customWidth="1"/>
    <col min="84" max="85" width="9.1640625" style="2"/>
    <col min="86" max="86" width="15.5" style="2" bestFit="1" customWidth="1"/>
    <col min="87" max="16384" width="9.1640625" style="2"/>
  </cols>
  <sheetData>
    <row r="1" spans="2:38" s="3170" customFormat="1" ht="20" thickBot="1" x14ac:dyDescent="0.3">
      <c r="D1" s="3700"/>
      <c r="E1" s="3700"/>
      <c r="F1" s="3700"/>
      <c r="I1" s="3700"/>
      <c r="AG1" s="4756"/>
      <c r="AH1" s="4756"/>
      <c r="AI1" s="4756"/>
      <c r="AJ1" s="4756"/>
      <c r="AK1" s="4756"/>
      <c r="AL1" s="4756"/>
    </row>
    <row r="2" spans="2:38" ht="30" x14ac:dyDescent="0.3">
      <c r="D2" s="605" t="s">
        <v>1472</v>
      </c>
      <c r="E2" s="606"/>
      <c r="F2" s="606"/>
      <c r="G2" s="607"/>
      <c r="H2" s="3505"/>
      <c r="I2" s="606"/>
      <c r="J2" s="3471"/>
      <c r="K2" s="608"/>
      <c r="L2" s="3566"/>
      <c r="M2" s="1499"/>
      <c r="N2" s="609"/>
      <c r="O2" s="24"/>
      <c r="P2" s="25"/>
      <c r="Q2" s="26"/>
      <c r="R2" s="2121"/>
      <c r="S2" s="23"/>
      <c r="T2" s="2121"/>
      <c r="U2" s="23"/>
      <c r="V2" s="2121"/>
      <c r="W2" s="11"/>
      <c r="X2" s="10"/>
      <c r="Y2" s="2121"/>
      <c r="Z2" s="23"/>
      <c r="AA2" s="2121"/>
      <c r="AB2" s="10"/>
      <c r="AC2" s="2469"/>
      <c r="AD2" s="11"/>
      <c r="AE2" s="12"/>
      <c r="AF2" s="2569"/>
    </row>
    <row r="3" spans="2:38" ht="35" customHeight="1" x14ac:dyDescent="0.3">
      <c r="D3" s="8480" t="s">
        <v>10</v>
      </c>
      <c r="E3" s="610" t="s">
        <v>0</v>
      </c>
      <c r="F3" s="8492" t="s">
        <v>9</v>
      </c>
      <c r="G3" s="8526" t="s">
        <v>51</v>
      </c>
      <c r="H3" s="8525" t="s">
        <v>52</v>
      </c>
      <c r="I3" s="8492" t="s">
        <v>59</v>
      </c>
      <c r="J3" s="8499" t="s">
        <v>60</v>
      </c>
      <c r="K3" s="8497" t="s">
        <v>61</v>
      </c>
      <c r="L3" s="8495" t="s">
        <v>62</v>
      </c>
      <c r="M3" s="8466" t="s">
        <v>63</v>
      </c>
      <c r="N3" s="8511" t="s">
        <v>64</v>
      </c>
      <c r="O3" s="8502" t="s">
        <v>65</v>
      </c>
      <c r="P3" s="8515" t="s">
        <v>66</v>
      </c>
      <c r="Q3" s="8507" t="s">
        <v>82</v>
      </c>
      <c r="R3" s="8466" t="s">
        <v>100</v>
      </c>
      <c r="S3" s="8511" t="s">
        <v>101</v>
      </c>
      <c r="T3" s="8466" t="s">
        <v>104</v>
      </c>
      <c r="U3" s="8511" t="s">
        <v>105</v>
      </c>
      <c r="V3" s="8466" t="s">
        <v>106</v>
      </c>
      <c r="W3" s="8522" t="s">
        <v>107</v>
      </c>
      <c r="X3" s="8509" t="s">
        <v>108</v>
      </c>
      <c r="Y3" s="8466" t="s">
        <v>109</v>
      </c>
      <c r="Z3" s="8511" t="s">
        <v>110</v>
      </c>
      <c r="AA3" s="8466" t="s">
        <v>112</v>
      </c>
      <c r="AB3" s="8517" t="s">
        <v>113</v>
      </c>
      <c r="AC3" s="8513" t="s">
        <v>114</v>
      </c>
      <c r="AD3" s="8515" t="s">
        <v>115</v>
      </c>
      <c r="AE3" s="8507" t="s">
        <v>116</v>
      </c>
      <c r="AF3" s="8504" t="s">
        <v>117</v>
      </c>
    </row>
    <row r="4" spans="2:38" ht="35" customHeight="1" x14ac:dyDescent="0.3">
      <c r="D4" s="8481"/>
      <c r="E4" s="611" t="s">
        <v>1</v>
      </c>
      <c r="F4" s="8493"/>
      <c r="G4" s="8497"/>
      <c r="H4" s="8495"/>
      <c r="I4" s="8493"/>
      <c r="J4" s="8500"/>
      <c r="K4" s="8497"/>
      <c r="L4" s="8495"/>
      <c r="M4" s="8466"/>
      <c r="N4" s="8511"/>
      <c r="O4" s="8502"/>
      <c r="P4" s="8515"/>
      <c r="Q4" s="8507"/>
      <c r="R4" s="8466"/>
      <c r="S4" s="8511"/>
      <c r="T4" s="8466"/>
      <c r="U4" s="8511"/>
      <c r="V4" s="8466"/>
      <c r="W4" s="8522"/>
      <c r="X4" s="8509"/>
      <c r="Y4" s="8466"/>
      <c r="Z4" s="8511"/>
      <c r="AA4" s="8466"/>
      <c r="AB4" s="8518"/>
      <c r="AC4" s="8513"/>
      <c r="AD4" s="8515"/>
      <c r="AE4" s="8507"/>
      <c r="AF4" s="8504"/>
    </row>
    <row r="5" spans="2:38" ht="35" customHeight="1" x14ac:dyDescent="0.3">
      <c r="D5" s="8482"/>
      <c r="E5" s="612"/>
      <c r="F5" s="8494"/>
      <c r="G5" s="8498"/>
      <c r="H5" s="8496"/>
      <c r="I5" s="8494"/>
      <c r="J5" s="8501"/>
      <c r="K5" s="8498"/>
      <c r="L5" s="8496"/>
      <c r="M5" s="8467"/>
      <c r="N5" s="8512"/>
      <c r="O5" s="8503"/>
      <c r="P5" s="8516"/>
      <c r="Q5" s="8508"/>
      <c r="R5" s="8467"/>
      <c r="S5" s="8512"/>
      <c r="T5" s="8467"/>
      <c r="U5" s="8512"/>
      <c r="V5" s="8467"/>
      <c r="W5" s="8523"/>
      <c r="X5" s="8510"/>
      <c r="Y5" s="8467"/>
      <c r="Z5" s="8512"/>
      <c r="AA5" s="8467"/>
      <c r="AB5" s="8519"/>
      <c r="AC5" s="8514"/>
      <c r="AD5" s="8516"/>
      <c r="AE5" s="8508"/>
      <c r="AF5" s="8505"/>
    </row>
    <row r="6" spans="2:38" ht="35" customHeight="1" x14ac:dyDescent="0.3">
      <c r="B6" s="13"/>
      <c r="D6" s="613"/>
      <c r="E6" s="365" t="s">
        <v>12</v>
      </c>
      <c r="F6" s="614">
        <v>30</v>
      </c>
      <c r="G6" s="614">
        <v>31</v>
      </c>
      <c r="H6" s="3506">
        <f>+F6+G6</f>
        <v>61</v>
      </c>
      <c r="I6" s="614">
        <v>30</v>
      </c>
      <c r="J6" s="3472">
        <f>+H6+I6</f>
        <v>91</v>
      </c>
      <c r="K6" s="614">
        <v>31</v>
      </c>
      <c r="L6" s="3506">
        <f>+J6+K6</f>
        <v>122</v>
      </c>
      <c r="M6" s="614">
        <v>31</v>
      </c>
      <c r="N6" s="616">
        <f>+L6+M6</f>
        <v>153</v>
      </c>
      <c r="O6" s="36">
        <v>30</v>
      </c>
      <c r="P6" s="34">
        <f>+K6+M6+O6</f>
        <v>92</v>
      </c>
      <c r="Q6" s="37">
        <f>+J6+P6</f>
        <v>183</v>
      </c>
      <c r="R6" s="614">
        <v>31</v>
      </c>
      <c r="S6" s="35">
        <f>+Q6+R6</f>
        <v>214</v>
      </c>
      <c r="T6" s="614">
        <v>30</v>
      </c>
      <c r="U6" s="35">
        <f>+S6+T6</f>
        <v>244</v>
      </c>
      <c r="V6" s="614">
        <v>31</v>
      </c>
      <c r="W6" s="33">
        <f>+R6+T6+V6</f>
        <v>92</v>
      </c>
      <c r="X6" s="27">
        <f>+U6+V6</f>
        <v>275</v>
      </c>
      <c r="Y6" s="614">
        <v>31</v>
      </c>
      <c r="Z6" s="35">
        <f>+X6+Y6</f>
        <v>306</v>
      </c>
      <c r="AA6" s="614">
        <v>29</v>
      </c>
      <c r="AB6" s="27">
        <f>+Z6+AA6</f>
        <v>335</v>
      </c>
      <c r="AC6" s="614">
        <v>31</v>
      </c>
      <c r="AD6" s="1279">
        <f>+Y6+AA6+AC6</f>
        <v>91</v>
      </c>
      <c r="AE6" s="781">
        <f>+W6+AD6</f>
        <v>183</v>
      </c>
      <c r="AF6" s="2570">
        <f>+Q6+AE6</f>
        <v>366</v>
      </c>
    </row>
    <row r="7" spans="2:38" ht="35" customHeight="1" thickBot="1" x14ac:dyDescent="0.35">
      <c r="D7" s="617" t="s">
        <v>2</v>
      </c>
      <c r="E7" s="618"/>
      <c r="F7" s="619"/>
      <c r="G7" s="619"/>
      <c r="H7" s="3601"/>
      <c r="I7" s="619"/>
      <c r="J7" s="3601"/>
      <c r="K7" s="619"/>
      <c r="L7" s="3601"/>
      <c r="M7" s="619"/>
      <c r="N7" s="618"/>
      <c r="O7" s="618"/>
      <c r="P7" s="345"/>
      <c r="Q7" s="345"/>
      <c r="R7" s="619"/>
      <c r="S7" s="345"/>
      <c r="T7" s="619"/>
      <c r="U7" s="345"/>
      <c r="V7" s="619"/>
      <c r="W7" s="345"/>
      <c r="X7" s="345"/>
      <c r="Y7" s="619"/>
      <c r="Z7" s="345"/>
      <c r="AA7" s="619"/>
      <c r="AB7" s="6"/>
      <c r="AC7" s="619"/>
      <c r="AD7" s="6"/>
      <c r="AE7" s="618"/>
      <c r="AF7" s="618"/>
    </row>
    <row r="8" spans="2:38" ht="35" customHeight="1" x14ac:dyDescent="0.25">
      <c r="D8" s="2565">
        <v>1</v>
      </c>
      <c r="E8" s="623" t="s">
        <v>72</v>
      </c>
      <c r="F8" s="3291">
        <v>2336</v>
      </c>
      <c r="G8" s="3291">
        <v>2647</v>
      </c>
      <c r="H8" s="3507">
        <f>+F8+G8</f>
        <v>4983</v>
      </c>
      <c r="I8" s="3291">
        <v>2766</v>
      </c>
      <c r="J8" s="3473">
        <f>+H8+I8</f>
        <v>7749</v>
      </c>
      <c r="K8" s="3291">
        <v>3009</v>
      </c>
      <c r="L8" s="3568">
        <f>+J8+K8</f>
        <v>10758</v>
      </c>
      <c r="M8" s="3291">
        <v>3024</v>
      </c>
      <c r="N8" s="621">
        <f>+L8+M8</f>
        <v>13782</v>
      </c>
      <c r="O8" s="3291">
        <v>2780</v>
      </c>
      <c r="P8" s="3015">
        <f>+K8+M8+O8</f>
        <v>8813</v>
      </c>
      <c r="Q8" s="781">
        <f>+N8+O8</f>
        <v>16562</v>
      </c>
      <c r="R8" s="3291">
        <v>3008</v>
      </c>
      <c r="S8" s="621">
        <f>+Q8+R8</f>
        <v>19570</v>
      </c>
      <c r="T8" s="3291">
        <v>2937</v>
      </c>
      <c r="U8" s="621">
        <f>+S8+T8</f>
        <v>22507</v>
      </c>
      <c r="V8" s="3291">
        <v>3042</v>
      </c>
      <c r="W8" s="1176">
        <f>+R8+T8+V8</f>
        <v>8987</v>
      </c>
      <c r="X8" s="620">
        <f>+U8+V8</f>
        <v>25549</v>
      </c>
      <c r="Y8" s="3291">
        <v>3077</v>
      </c>
      <c r="Z8" s="621">
        <f>+X8+Y8</f>
        <v>28626</v>
      </c>
      <c r="AA8" s="3291">
        <v>2882</v>
      </c>
      <c r="AB8" s="620">
        <f>+Z8+AA8</f>
        <v>31508</v>
      </c>
      <c r="AC8" s="3291">
        <v>2920</v>
      </c>
      <c r="AD8" s="615">
        <f>+Y8+AA8+AC8</f>
        <v>8879</v>
      </c>
      <c r="AE8" s="1280">
        <f>+W8+AD8</f>
        <v>17866</v>
      </c>
      <c r="AF8" s="2571">
        <f>+AB8+AC8</f>
        <v>34428</v>
      </c>
    </row>
    <row r="9" spans="2:38" s="3170" customFormat="1" ht="35" customHeight="1" thickBot="1" x14ac:dyDescent="0.3">
      <c r="D9" s="4185"/>
      <c r="E9" s="4186" t="s">
        <v>73</v>
      </c>
      <c r="F9" s="4187">
        <f t="shared" ref="F9:G9" si="0">+F8/F6</f>
        <v>77.86666666666666</v>
      </c>
      <c r="G9" s="4187">
        <f t="shared" si="0"/>
        <v>85.387096774193552</v>
      </c>
      <c r="H9" s="4188">
        <f t="shared" ref="H9:N9" si="1">+H8/H6</f>
        <v>81.688524590163937</v>
      </c>
      <c r="I9" s="4187">
        <f t="shared" si="1"/>
        <v>92.2</v>
      </c>
      <c r="J9" s="4189">
        <f t="shared" si="1"/>
        <v>85.15384615384616</v>
      </c>
      <c r="K9" s="4187">
        <f t="shared" si="1"/>
        <v>97.064516129032256</v>
      </c>
      <c r="L9" s="4189">
        <f t="shared" si="1"/>
        <v>88.180327868852459</v>
      </c>
      <c r="M9" s="4187">
        <f t="shared" ref="M9:O9" si="2">+M8/M6</f>
        <v>97.548387096774192</v>
      </c>
      <c r="N9" s="4189">
        <f t="shared" si="1"/>
        <v>90.078431372549019</v>
      </c>
      <c r="O9" s="4187">
        <f t="shared" si="2"/>
        <v>92.666666666666671</v>
      </c>
      <c r="P9" s="4189">
        <f>+P8/$P$6</f>
        <v>95.793478260869563</v>
      </c>
      <c r="Q9" s="4189">
        <f>+Q8/$Q$6</f>
        <v>90.502732240437155</v>
      </c>
      <c r="R9" s="4187">
        <f t="shared" ref="R9" si="3">+R8/R6</f>
        <v>97.032258064516128</v>
      </c>
      <c r="S9" s="4189">
        <f t="shared" ref="S9:AF9" si="4">+S8/S6</f>
        <v>91.44859813084112</v>
      </c>
      <c r="T9" s="4187">
        <f t="shared" si="4"/>
        <v>97.9</v>
      </c>
      <c r="U9" s="4189">
        <f t="shared" si="4"/>
        <v>92.241803278688522</v>
      </c>
      <c r="V9" s="4187">
        <f t="shared" si="4"/>
        <v>98.129032258064512</v>
      </c>
      <c r="W9" s="4189">
        <f t="shared" si="4"/>
        <v>97.684782608695656</v>
      </c>
      <c r="X9" s="4189">
        <f t="shared" si="4"/>
        <v>92.905454545454546</v>
      </c>
      <c r="Y9" s="4187">
        <f t="shared" ref="Y9:AA9" si="5">+Y8/Y6</f>
        <v>99.258064516129039</v>
      </c>
      <c r="Z9" s="4189">
        <f t="shared" si="4"/>
        <v>93.549019607843135</v>
      </c>
      <c r="AA9" s="5069">
        <f t="shared" si="5"/>
        <v>99.379310344827587</v>
      </c>
      <c r="AB9" s="4189">
        <f t="shared" si="4"/>
        <v>94.053731343283587</v>
      </c>
      <c r="AC9" s="4187">
        <f t="shared" si="4"/>
        <v>94.193548387096769</v>
      </c>
      <c r="AD9" s="4189">
        <f t="shared" si="4"/>
        <v>97.571428571428569</v>
      </c>
      <c r="AE9" s="4189">
        <f t="shared" si="4"/>
        <v>97.62841530054645</v>
      </c>
      <c r="AF9" s="4190">
        <f t="shared" si="4"/>
        <v>94.06557377049181</v>
      </c>
      <c r="AG9" s="4756"/>
      <c r="AH9" s="4756"/>
      <c r="AI9" s="4756"/>
      <c r="AJ9" s="4756"/>
      <c r="AK9" s="4756"/>
      <c r="AL9" s="4756"/>
    </row>
    <row r="10" spans="2:38" ht="35" customHeight="1" x14ac:dyDescent="0.25">
      <c r="D10" s="8477">
        <v>2</v>
      </c>
      <c r="E10" s="623" t="s">
        <v>493</v>
      </c>
      <c r="F10" s="3147">
        <v>2333</v>
      </c>
      <c r="G10" s="3147">
        <v>2329</v>
      </c>
      <c r="H10" s="3508">
        <f>+F10+G10</f>
        <v>4662</v>
      </c>
      <c r="I10" s="3147">
        <v>2595</v>
      </c>
      <c r="J10" s="3135">
        <f>+H10+I10</f>
        <v>7257</v>
      </c>
      <c r="K10" s="3147">
        <v>2816</v>
      </c>
      <c r="L10" s="3569">
        <f>+J10+K10</f>
        <v>10073</v>
      </c>
      <c r="M10" s="3147">
        <v>3052</v>
      </c>
      <c r="N10" s="622">
        <f>+L10+M10</f>
        <v>13125</v>
      </c>
      <c r="O10" s="3147">
        <v>2775</v>
      </c>
      <c r="P10" s="3015">
        <f>+K10+M10+O10</f>
        <v>8643</v>
      </c>
      <c r="Q10" s="783">
        <f>+N10+O10</f>
        <v>15900</v>
      </c>
      <c r="R10" s="3147">
        <v>3008</v>
      </c>
      <c r="S10" s="622">
        <f>+Q10+R10</f>
        <v>18908</v>
      </c>
      <c r="T10" s="3147">
        <v>2912</v>
      </c>
      <c r="U10" s="622">
        <f>+S10+T10</f>
        <v>21820</v>
      </c>
      <c r="V10" s="3147">
        <v>3047</v>
      </c>
      <c r="W10" s="1176">
        <f>+R10+T10+V10</f>
        <v>8967</v>
      </c>
      <c r="X10" s="620">
        <f>+U10+V10</f>
        <v>24867</v>
      </c>
      <c r="Y10" s="3147">
        <v>2914</v>
      </c>
      <c r="Z10" s="622">
        <f>+X10+Y10</f>
        <v>27781</v>
      </c>
      <c r="AA10" s="3147">
        <v>2811</v>
      </c>
      <c r="AB10" s="620">
        <f>+Z10+AA10</f>
        <v>30592</v>
      </c>
      <c r="AC10" s="3147">
        <v>2858</v>
      </c>
      <c r="AD10" s="647">
        <f>+Y10+AA10+AC10</f>
        <v>8583</v>
      </c>
      <c r="AE10" s="1281">
        <f>+W10+AD10</f>
        <v>17550</v>
      </c>
      <c r="AF10" s="2571">
        <f>+AB10+AC10</f>
        <v>33450</v>
      </c>
    </row>
    <row r="11" spans="2:38" s="3170" customFormat="1" ht="35" customHeight="1" thickBot="1" x14ac:dyDescent="0.3">
      <c r="D11" s="8479"/>
      <c r="E11" s="4186" t="s">
        <v>513</v>
      </c>
      <c r="F11" s="4187">
        <f t="shared" ref="F11:G11" si="6">+F10/F6</f>
        <v>77.766666666666666</v>
      </c>
      <c r="G11" s="4187">
        <f t="shared" si="6"/>
        <v>75.129032258064512</v>
      </c>
      <c r="H11" s="4188">
        <f t="shared" ref="H11:N11" si="7">+H10/H6</f>
        <v>76.426229508196727</v>
      </c>
      <c r="I11" s="4187">
        <f t="shared" si="7"/>
        <v>86.5</v>
      </c>
      <c r="J11" s="4189">
        <f t="shared" si="7"/>
        <v>79.747252747252745</v>
      </c>
      <c r="K11" s="4187">
        <f t="shared" si="7"/>
        <v>90.838709677419359</v>
      </c>
      <c r="L11" s="4191">
        <f t="shared" si="7"/>
        <v>82.56557377049181</v>
      </c>
      <c r="M11" s="4187">
        <f t="shared" ref="M11:O11" si="8">+M10/M6</f>
        <v>98.451612903225808</v>
      </c>
      <c r="N11" s="4191">
        <f t="shared" si="7"/>
        <v>85.784313725490193</v>
      </c>
      <c r="O11" s="4187">
        <f t="shared" si="8"/>
        <v>92.5</v>
      </c>
      <c r="P11" s="4189">
        <f>+P10/$P$6</f>
        <v>93.945652173913047</v>
      </c>
      <c r="Q11" s="4192">
        <f t="shared" ref="Q11:AF11" si="9">+Q10/Q6</f>
        <v>86.885245901639351</v>
      </c>
      <c r="R11" s="4187">
        <f t="shared" si="9"/>
        <v>97.032258064516128</v>
      </c>
      <c r="S11" s="4193">
        <f t="shared" si="9"/>
        <v>88.355140186915889</v>
      </c>
      <c r="T11" s="4187">
        <f t="shared" si="9"/>
        <v>97.066666666666663</v>
      </c>
      <c r="U11" s="4193">
        <f t="shared" si="9"/>
        <v>89.426229508196727</v>
      </c>
      <c r="V11" s="4187">
        <f t="shared" ref="V11" si="10">+V10/V6</f>
        <v>98.290322580645167</v>
      </c>
      <c r="W11" s="4191">
        <f t="shared" si="9"/>
        <v>97.467391304347828</v>
      </c>
      <c r="X11" s="4191">
        <f t="shared" si="9"/>
        <v>90.425454545454542</v>
      </c>
      <c r="Y11" s="4187">
        <f t="shared" si="9"/>
        <v>94</v>
      </c>
      <c r="Z11" s="4193">
        <f t="shared" si="9"/>
        <v>90.787581699346404</v>
      </c>
      <c r="AA11" s="4187">
        <f t="shared" ref="AA11" si="11">+AA10/AA6</f>
        <v>96.931034482758619</v>
      </c>
      <c r="AB11" s="4191">
        <f t="shared" si="9"/>
        <v>91.319402985074632</v>
      </c>
      <c r="AC11" s="4187">
        <f t="shared" ref="AC11" si="12">+AC10/AC6</f>
        <v>92.193548387096769</v>
      </c>
      <c r="AD11" s="4189">
        <f t="shared" si="9"/>
        <v>94.318681318681314</v>
      </c>
      <c r="AE11" s="4189">
        <f t="shared" si="9"/>
        <v>95.901639344262293</v>
      </c>
      <c r="AF11" s="4194">
        <f t="shared" si="9"/>
        <v>91.393442622950815</v>
      </c>
      <c r="AG11" s="4756"/>
      <c r="AH11" s="4756"/>
      <c r="AI11" s="4756"/>
      <c r="AJ11" s="4756"/>
      <c r="AK11" s="4756"/>
      <c r="AL11" s="4756"/>
    </row>
    <row r="12" spans="2:38" ht="35" customHeight="1" x14ac:dyDescent="0.25">
      <c r="D12" s="8477"/>
      <c r="E12" s="625" t="s">
        <v>279</v>
      </c>
      <c r="F12" s="626">
        <f>F8+(F10*1.8343023255814)</f>
        <v>6615.427325581406</v>
      </c>
      <c r="G12" s="626">
        <f>G8+(G10*1.8343023255814)</f>
        <v>6919.0901162790806</v>
      </c>
      <c r="H12" s="3508">
        <f>+F12+G12</f>
        <v>13534.517441860487</v>
      </c>
      <c r="I12" s="626">
        <f>I8+(I10*1.8343023255814)</f>
        <v>7526.0145348837332</v>
      </c>
      <c r="J12" s="3135">
        <f>+H12+I12</f>
        <v>21060.53197674422</v>
      </c>
      <c r="K12" s="626">
        <f>K8+(K10*1.8343023255814)</f>
        <v>8174.3953488372226</v>
      </c>
      <c r="L12" s="3569">
        <f>+J12+K12</f>
        <v>29234.927325581441</v>
      </c>
      <c r="M12" s="626">
        <f>M8+(M10*1.8343023255814)</f>
        <v>8622.2906976744325</v>
      </c>
      <c r="N12" s="622">
        <f>+L12+M12</f>
        <v>37857.218023255875</v>
      </c>
      <c r="O12" s="626">
        <f>O8+(O10*1.8343023255814)</f>
        <v>7870.1889534883849</v>
      </c>
      <c r="P12" s="3015">
        <f>+K12+M12+O12</f>
        <v>24666.87500000004</v>
      </c>
      <c r="Q12" s="784">
        <f>+N12+O12</f>
        <v>45727.406976744256</v>
      </c>
      <c r="R12" s="626">
        <f>R8+(R10*1.8343023255814)</f>
        <v>8525.5813953488505</v>
      </c>
      <c r="S12" s="622">
        <f>+Q12+R12</f>
        <v>54252.98837209311</v>
      </c>
      <c r="T12" s="626">
        <f>T8+(T10*1.8343023255814)</f>
        <v>8278.4883720930375</v>
      </c>
      <c r="U12" s="622">
        <f>+S12+T12</f>
        <v>62531.476744186148</v>
      </c>
      <c r="V12" s="626">
        <f>V8+(V10*1.8343023255814)</f>
        <v>8631.119186046526</v>
      </c>
      <c r="W12" s="1177">
        <f>+R12+T12+V12</f>
        <v>25435.188953488414</v>
      </c>
      <c r="X12" s="622">
        <f>+U12+V12</f>
        <v>71162.595930232666</v>
      </c>
      <c r="Y12" s="626">
        <f>Y8+(Y10*1.8343023255814)</f>
        <v>8422.1569767441997</v>
      </c>
      <c r="Z12" s="622">
        <f>+X12+Y12</f>
        <v>79584.752906976864</v>
      </c>
      <c r="AA12" s="626">
        <f>AA8+(AA10*1.8343023255814)</f>
        <v>8038.2238372093152</v>
      </c>
      <c r="AB12" s="622">
        <f>+Z12+AA12</f>
        <v>87622.976744186177</v>
      </c>
      <c r="AC12" s="626">
        <f>AC8+(AC10*1.8343023255814)</f>
        <v>8162.4360465116406</v>
      </c>
      <c r="AD12" s="624">
        <f>+Y12+AA12+AC12</f>
        <v>24622.816860465155</v>
      </c>
      <c r="AE12" s="1282">
        <f>+W12+AD12</f>
        <v>50058.005813953569</v>
      </c>
      <c r="AF12" s="2571">
        <f>+AB12+AC12</f>
        <v>95785.412790697825</v>
      </c>
    </row>
    <row r="13" spans="2:38" s="3170" customFormat="1" ht="35" customHeight="1" thickBot="1" x14ac:dyDescent="0.3">
      <c r="D13" s="8479"/>
      <c r="E13" s="4195" t="s">
        <v>280</v>
      </c>
      <c r="F13" s="4187">
        <f t="shared" ref="F13:G13" si="13">+F12/F6</f>
        <v>220.51424418604685</v>
      </c>
      <c r="G13" s="4187">
        <f t="shared" si="13"/>
        <v>223.1964553638413</v>
      </c>
      <c r="H13" s="4188">
        <f t="shared" ref="H13:N13" si="14">+H12/H6</f>
        <v>221.87733511246699</v>
      </c>
      <c r="I13" s="4187">
        <f t="shared" si="14"/>
        <v>250.86715116279112</v>
      </c>
      <c r="J13" s="4188">
        <f t="shared" si="14"/>
        <v>231.43441732685955</v>
      </c>
      <c r="K13" s="4187">
        <f t="shared" si="14"/>
        <v>263.69017254313621</v>
      </c>
      <c r="L13" s="4196">
        <f t="shared" si="14"/>
        <v>239.63055184902819</v>
      </c>
      <c r="M13" s="4187">
        <f t="shared" ref="M13:O13" si="15">+M12/M6</f>
        <v>278.13840960240105</v>
      </c>
      <c r="N13" s="4196">
        <f t="shared" si="14"/>
        <v>247.4327975376201</v>
      </c>
      <c r="O13" s="4187">
        <f t="shared" si="15"/>
        <v>262.33963178294619</v>
      </c>
      <c r="P13" s="4188">
        <f>+P12/$P$6</f>
        <v>268.11820652173958</v>
      </c>
      <c r="Q13" s="4188">
        <f>+Q12/$Q$6</f>
        <v>249.87654085652599</v>
      </c>
      <c r="R13" s="4187">
        <f t="shared" ref="R13" si="16">+R12/R6</f>
        <v>275.01875468867257</v>
      </c>
      <c r="S13" s="4196">
        <f t="shared" ref="S13:AF13" si="17">+S12/S6</f>
        <v>253.51863725277155</v>
      </c>
      <c r="T13" s="4187">
        <f t="shared" si="17"/>
        <v>275.94961240310124</v>
      </c>
      <c r="U13" s="4196">
        <f t="shared" si="17"/>
        <v>256.27654403354978</v>
      </c>
      <c r="V13" s="4187">
        <f t="shared" si="17"/>
        <v>278.42319954988795</v>
      </c>
      <c r="W13" s="4196">
        <f t="shared" si="17"/>
        <v>276.46944514661317</v>
      </c>
      <c r="X13" s="4196">
        <f t="shared" si="17"/>
        <v>258.77307610993699</v>
      </c>
      <c r="Y13" s="4187">
        <f t="shared" ref="Y13" si="18">+Y12/Y6</f>
        <v>271.68248312078066</v>
      </c>
      <c r="Z13" s="4196">
        <f t="shared" si="17"/>
        <v>260.08089185286559</v>
      </c>
      <c r="AA13" s="4187">
        <f t="shared" si="17"/>
        <v>277.1801323175626</v>
      </c>
      <c r="AB13" s="4196">
        <f t="shared" si="17"/>
        <v>261.56112460951095</v>
      </c>
      <c r="AC13" s="4187">
        <f t="shared" si="17"/>
        <v>263.30438859714968</v>
      </c>
      <c r="AD13" s="4196">
        <f t="shared" si="17"/>
        <v>270.58040506005665</v>
      </c>
      <c r="AE13" s="4196">
        <f t="shared" si="17"/>
        <v>273.54101537679543</v>
      </c>
      <c r="AF13" s="4197">
        <f t="shared" si="17"/>
        <v>261.70877811666071</v>
      </c>
      <c r="AG13" s="4756"/>
      <c r="AH13" s="4756"/>
      <c r="AI13" s="4756"/>
      <c r="AJ13" s="4756"/>
      <c r="AK13" s="4756"/>
      <c r="AL13" s="4756"/>
    </row>
    <row r="14" spans="2:38" ht="35" customHeight="1" x14ac:dyDescent="0.25">
      <c r="D14" s="8490"/>
      <c r="E14" s="623" t="s">
        <v>578</v>
      </c>
      <c r="F14" s="3292">
        <v>77.430000000000007</v>
      </c>
      <c r="G14" s="3292">
        <v>77.290000000000006</v>
      </c>
      <c r="H14" s="1689">
        <f>+((F14*$F$6)+(G14*$G$6))/$H$6</f>
        <v>77.358852459016404</v>
      </c>
      <c r="I14" s="3292">
        <v>77.459999999999994</v>
      </c>
      <c r="J14" s="1929">
        <f t="shared" ref="J14:J15" si="19">+((H14*$H$6)+(I14*$I$6))/$J$6</f>
        <v>77.392197802197813</v>
      </c>
      <c r="K14" s="3292">
        <v>77.739999999999995</v>
      </c>
      <c r="L14" s="1689">
        <f t="shared" ref="L14:L15" si="20">+((J14*$J$6)+(K14*$K$6))/$L$6</f>
        <v>77.480573770491816</v>
      </c>
      <c r="M14" s="3292">
        <v>77.7</v>
      </c>
      <c r="N14" s="1689">
        <f>+((L14*$L$6)+(M14*$M$6))/$N$6</f>
        <v>77.525032679738572</v>
      </c>
      <c r="O14" s="3292">
        <v>77.7</v>
      </c>
      <c r="P14" s="1929">
        <f t="shared" ref="P14:P15" si="21">+((K14*$K$6)+(M14*$M$6)+(O14*$O$6))/$P$6</f>
        <v>77.713478260869564</v>
      </c>
      <c r="Q14" s="2120">
        <f t="shared" ref="Q14:Q15" si="22">+((N14*$N$6)+(O14*$O$6))/$Q$6</f>
        <v>77.55371584699455</v>
      </c>
      <c r="R14" s="3292">
        <v>77.599999999999994</v>
      </c>
      <c r="S14" s="1689">
        <f t="shared" ref="S14:S15" si="23">+((Q14*$Q$6)+(R14*$R$6))/$S$6</f>
        <v>77.560420560747659</v>
      </c>
      <c r="T14" s="3292">
        <v>77.73</v>
      </c>
      <c r="U14" s="1689">
        <f t="shared" ref="U14:U15" si="24">+((S14*$S$6)+(T14*$T$6))/$U$6</f>
        <v>77.581270491803281</v>
      </c>
      <c r="V14" s="3292">
        <v>76.709999999999994</v>
      </c>
      <c r="W14" s="1929">
        <f t="shared" ref="W14:W15" si="25">+((R14*$R$6)+(T14*$T$6)+(V14*$V$6))/$W$6</f>
        <v>77.342500000000001</v>
      </c>
      <c r="X14" s="1689">
        <f>+((U14*$U$6)+(V14*$V$6))/$X$6</f>
        <v>77.48305454545455</v>
      </c>
      <c r="Y14" s="3292">
        <v>77.77</v>
      </c>
      <c r="Z14" s="1689">
        <f t="shared" ref="Z14:Z15" si="26">+((X14*$X$6)+(Y14*$Y$6))/$Z$6</f>
        <v>77.512124183006534</v>
      </c>
      <c r="AA14" s="5072">
        <v>77.510000000000005</v>
      </c>
      <c r="AB14" s="1688">
        <f>+((Z14*$Z$6)+(AA14*$AA$6))/$AB$6</f>
        <v>77.511940298507469</v>
      </c>
      <c r="AC14" s="3292">
        <v>77.58</v>
      </c>
      <c r="AD14" s="1944">
        <f>+((Y14*$Y$6)+(AA14*$AA$6)+(AC14*$AC$6))/$AD$6</f>
        <v>77.622417582417583</v>
      </c>
      <c r="AE14" s="2215">
        <f t="shared" ref="AE14:AE15" si="27">+((W14*$W$6)+(AD14*$AD$6))/$AE$6</f>
        <v>77.481693989071047</v>
      </c>
      <c r="AF14" s="2116">
        <f>+((AB14*$AB$6)+(AC14*$AC$6))/$AF$6</f>
        <v>77.517704918032791</v>
      </c>
    </row>
    <row r="15" spans="2:38" ht="35" customHeight="1" thickBot="1" x14ac:dyDescent="0.3">
      <c r="D15" s="8491"/>
      <c r="E15" s="1481" t="s">
        <v>579</v>
      </c>
      <c r="F15" s="3270">
        <v>74</v>
      </c>
      <c r="G15" s="3270">
        <v>74</v>
      </c>
      <c r="H15" s="1983">
        <f>+((F15*$F$6)+(G15*$G$6))/$H$6</f>
        <v>74</v>
      </c>
      <c r="I15" s="3270">
        <v>74</v>
      </c>
      <c r="J15" s="1928">
        <f t="shared" si="19"/>
        <v>74</v>
      </c>
      <c r="K15" s="3270">
        <v>73.900000000000006</v>
      </c>
      <c r="L15" s="1983">
        <f t="shared" si="20"/>
        <v>73.974590163934423</v>
      </c>
      <c r="M15" s="3270">
        <v>74</v>
      </c>
      <c r="N15" s="1983">
        <f>+((L15*$L$6)+(M15*$M$6))/$N$6</f>
        <v>73.979738562091498</v>
      </c>
      <c r="O15" s="3270">
        <v>73.900000000000006</v>
      </c>
      <c r="P15" s="2216">
        <f t="shared" si="21"/>
        <v>73.93369565217391</v>
      </c>
      <c r="Q15" s="2208">
        <f t="shared" si="22"/>
        <v>73.966666666666669</v>
      </c>
      <c r="R15" s="3270">
        <v>74</v>
      </c>
      <c r="S15" s="1688">
        <f t="shared" si="23"/>
        <v>73.971495327102801</v>
      </c>
      <c r="T15" s="3270">
        <v>73.900000000000006</v>
      </c>
      <c r="U15" s="1688">
        <f t="shared" si="24"/>
        <v>73.962704918032799</v>
      </c>
      <c r="V15" s="3270">
        <v>74</v>
      </c>
      <c r="W15" s="1944">
        <f t="shared" si="25"/>
        <v>73.967391304347828</v>
      </c>
      <c r="X15" s="1688">
        <f>+((U15*$U$6)+(V15*$V$6))/$X$6</f>
        <v>73.966909090909098</v>
      </c>
      <c r="Y15" s="3270">
        <v>74</v>
      </c>
      <c r="Z15" s="1688">
        <f t="shared" si="26"/>
        <v>73.970261437908505</v>
      </c>
      <c r="AA15" s="3925">
        <v>74</v>
      </c>
      <c r="AB15" s="1986">
        <f>+((Z15*$Z$6)+(AA15*$AA$6))/$AB$6</f>
        <v>73.972835820895526</v>
      </c>
      <c r="AC15" s="3270">
        <v>74</v>
      </c>
      <c r="AD15" s="1944">
        <f>+((Y15*$Y$6)+(AA15*$AA$6)+(AC15*$AC$6))/$AD$6</f>
        <v>74</v>
      </c>
      <c r="AE15" s="2530">
        <f t="shared" si="27"/>
        <v>73.983606557377044</v>
      </c>
      <c r="AF15" s="1984">
        <f>+((AB15*$AB$6)+(AC15*$AC$6))/$AF$6</f>
        <v>73.975136612021856</v>
      </c>
    </row>
    <row r="16" spans="2:38" ht="35" customHeight="1" x14ac:dyDescent="0.25">
      <c r="D16" s="8477"/>
      <c r="E16" s="1513" t="s">
        <v>618</v>
      </c>
      <c r="F16" s="1180"/>
      <c r="G16" s="1180"/>
      <c r="H16" s="3602"/>
      <c r="I16" s="1180"/>
      <c r="J16" s="3602"/>
      <c r="K16" s="1180"/>
      <c r="L16" s="3509"/>
      <c r="M16" s="1180"/>
      <c r="N16" s="1180"/>
      <c r="O16" s="1180"/>
      <c r="P16" s="1180"/>
      <c r="Q16" s="1180"/>
      <c r="R16" s="1180"/>
      <c r="S16" s="1180"/>
      <c r="T16" s="1180"/>
      <c r="U16" s="1180"/>
      <c r="V16" s="1180"/>
      <c r="W16" s="1180"/>
      <c r="X16" s="1180"/>
      <c r="Y16" s="1180"/>
      <c r="Z16" s="1180"/>
      <c r="AA16" s="1180"/>
      <c r="AB16" s="1180"/>
      <c r="AC16" s="1180"/>
      <c r="AD16" s="1180"/>
      <c r="AE16" s="1180"/>
      <c r="AF16" s="3241"/>
    </row>
    <row r="17" spans="3:86" ht="35" customHeight="1" x14ac:dyDescent="0.25">
      <c r="C17" s="2">
        <f>5575.09+47146.97</f>
        <v>52722.06</v>
      </c>
      <c r="D17" s="8478"/>
      <c r="E17" s="1479" t="s">
        <v>616</v>
      </c>
      <c r="F17" s="1477">
        <f t="shared" ref="F17:G17" si="28">+F8/(F14*F6)</f>
        <v>1.005639502346205</v>
      </c>
      <c r="G17" s="1477">
        <f t="shared" si="28"/>
        <v>1.1047625407451616</v>
      </c>
      <c r="H17" s="1688">
        <f t="shared" ref="H17:AF17" si="29">+H8/(H14*H6)</f>
        <v>1.0559686705983822</v>
      </c>
      <c r="I17" s="1477">
        <f t="shared" si="29"/>
        <v>1.1902917634908341</v>
      </c>
      <c r="J17" s="1929">
        <f t="shared" si="29"/>
        <v>1.1002898040379454</v>
      </c>
      <c r="K17" s="1477">
        <f t="shared" si="29"/>
        <v>1.2485788027917708</v>
      </c>
      <c r="L17" s="1689">
        <f t="shared" si="29"/>
        <v>1.1380959584792802</v>
      </c>
      <c r="M17" s="1477">
        <f t="shared" ref="M17:O17" si="30">+M8/(M14*M6)</f>
        <v>1.2554489973844811</v>
      </c>
      <c r="N17" s="1689">
        <f t="shared" si="29"/>
        <v>1.1619270351638473</v>
      </c>
      <c r="O17" s="1477">
        <f t="shared" si="30"/>
        <v>1.1926211926211927</v>
      </c>
      <c r="P17" s="1944">
        <f t="shared" si="29"/>
        <v>1.2326494760575357</v>
      </c>
      <c r="Q17" s="2208">
        <f t="shared" si="29"/>
        <v>1.1669683554426933</v>
      </c>
      <c r="R17" s="1477">
        <f t="shared" si="29"/>
        <v>1.250415696707682</v>
      </c>
      <c r="S17" s="1689">
        <f t="shared" si="29"/>
        <v>1.1790626903475312</v>
      </c>
      <c r="T17" s="1477">
        <f t="shared" si="29"/>
        <v>1.2594879711822977</v>
      </c>
      <c r="U17" s="1689">
        <f t="shared" si="29"/>
        <v>1.1889700013153841</v>
      </c>
      <c r="V17" s="1477">
        <f t="shared" ref="V17" si="31">+V8/(V14*V6)</f>
        <v>1.2792208611401972</v>
      </c>
      <c r="W17" s="1929">
        <f t="shared" si="29"/>
        <v>1.2630155814551591</v>
      </c>
      <c r="X17" s="1689">
        <f t="shared" si="29"/>
        <v>1.1990422304654063</v>
      </c>
      <c r="Y17" s="1477">
        <f t="shared" si="29"/>
        <v>1.2763027454819216</v>
      </c>
      <c r="Z17" s="1689">
        <f t="shared" si="29"/>
        <v>1.2068953159762905</v>
      </c>
      <c r="AA17" s="1477">
        <f t="shared" ref="AA17" si="32">+AA8/(AA14*AA6)</f>
        <v>1.2821482433857256</v>
      </c>
      <c r="AB17" s="1689">
        <f t="shared" si="29"/>
        <v>1.2134095854273774</v>
      </c>
      <c r="AC17" s="1477">
        <f t="shared" ref="AC17" si="33">+AC8/(AC14*AC6)</f>
        <v>1.2141473109963492</v>
      </c>
      <c r="AD17" s="1944">
        <f t="shared" si="29"/>
        <v>1.2570006398967104</v>
      </c>
      <c r="AE17" s="3239">
        <f t="shared" si="29"/>
        <v>1.2600191125702174</v>
      </c>
      <c r="AF17" s="1689">
        <f t="shared" si="29"/>
        <v>1.2134721205943433</v>
      </c>
    </row>
    <row r="18" spans="3:86" ht="35" customHeight="1" thickBot="1" x14ac:dyDescent="0.3">
      <c r="D18" s="8479"/>
      <c r="E18" s="1480" t="s">
        <v>617</v>
      </c>
      <c r="F18" s="1478">
        <f t="shared" ref="F18:G18" si="34">+F10/(F15*F6)</f>
        <v>1.0509009009009009</v>
      </c>
      <c r="G18" s="1478">
        <f t="shared" si="34"/>
        <v>1.0152571926765475</v>
      </c>
      <c r="H18" s="1986">
        <f t="shared" ref="H18:AF18" si="35">+H10/(H15*H6)</f>
        <v>1.0327868852459017</v>
      </c>
      <c r="I18" s="1478">
        <f t="shared" si="35"/>
        <v>1.1689189189189189</v>
      </c>
      <c r="J18" s="1928">
        <f t="shared" si="35"/>
        <v>1.0776655776655777</v>
      </c>
      <c r="K18" s="1478">
        <f t="shared" si="35"/>
        <v>1.2292112270286786</v>
      </c>
      <c r="L18" s="1986">
        <f t="shared" si="35"/>
        <v>1.1161342507950227</v>
      </c>
      <c r="M18" s="1478">
        <f t="shared" ref="M18:O18" si="36">+M10/(M15*M6)</f>
        <v>1.3304272013949434</v>
      </c>
      <c r="N18" s="1986">
        <f t="shared" si="35"/>
        <v>1.1595649753951356</v>
      </c>
      <c r="O18" s="1478">
        <f t="shared" si="36"/>
        <v>1.2516914749661705</v>
      </c>
      <c r="P18" s="1985">
        <f t="shared" si="35"/>
        <v>1.2706743703965069</v>
      </c>
      <c r="Q18" s="3016">
        <f t="shared" si="35"/>
        <v>1.1746540680708339</v>
      </c>
      <c r="R18" s="1478">
        <f t="shared" si="35"/>
        <v>1.3112467306015694</v>
      </c>
      <c r="S18" s="1986">
        <f t="shared" si="35"/>
        <v>1.1944484804073305</v>
      </c>
      <c r="T18" s="1478">
        <f t="shared" si="35"/>
        <v>1.3134866937302661</v>
      </c>
      <c r="U18" s="1986">
        <f t="shared" si="35"/>
        <v>1.2090719181687712</v>
      </c>
      <c r="V18" s="1478">
        <f t="shared" ref="V18" si="37">+V10/(V15*V6)</f>
        <v>1.3282476024411509</v>
      </c>
      <c r="W18" s="1985">
        <f t="shared" si="35"/>
        <v>1.3177075679647319</v>
      </c>
      <c r="X18" s="1986">
        <f t="shared" si="35"/>
        <v>1.222512278217778</v>
      </c>
      <c r="Y18" s="1478">
        <f t="shared" si="35"/>
        <v>1.2702702702702702</v>
      </c>
      <c r="Z18" s="1986">
        <f t="shared" si="35"/>
        <v>1.2273524513030762</v>
      </c>
      <c r="AA18" s="1478">
        <f t="shared" ref="AA18" si="38">+AA10/(AA15*AA6)</f>
        <v>1.309878844361603</v>
      </c>
      <c r="AB18" s="1986">
        <f t="shared" si="35"/>
        <v>1.2344991505554681</v>
      </c>
      <c r="AC18" s="1478">
        <f t="shared" ref="AC18" si="39">+AC10/(AC15*AC6)</f>
        <v>1.2458587619877943</v>
      </c>
      <c r="AD18" s="1985">
        <f t="shared" si="35"/>
        <v>1.2745767745767747</v>
      </c>
      <c r="AE18" s="3240">
        <f t="shared" si="35"/>
        <v>1.2962552625747841</v>
      </c>
      <c r="AF18" s="1986">
        <f t="shared" si="35"/>
        <v>1.2354616268204131</v>
      </c>
    </row>
    <row r="19" spans="3:86" ht="35" customHeight="1" x14ac:dyDescent="0.25">
      <c r="D19" s="2567"/>
      <c r="E19" s="627" t="s">
        <v>652</v>
      </c>
      <c r="F19" s="626">
        <f>+F8*17.2</f>
        <v>40179.199999999997</v>
      </c>
      <c r="G19" s="626">
        <f>+G8*17.2</f>
        <v>45528.4</v>
      </c>
      <c r="H19" s="644">
        <f t="shared" ref="H19" si="40">+F19+G19</f>
        <v>85707.6</v>
      </c>
      <c r="I19" s="626">
        <f>+I8*17.2</f>
        <v>47575.199999999997</v>
      </c>
      <c r="J19" s="2416">
        <f t="shared" ref="J19:J20" si="41">+H19+I19</f>
        <v>133282.79999999999</v>
      </c>
      <c r="K19" s="626">
        <f>+K8*17.2</f>
        <v>51754.799999999996</v>
      </c>
      <c r="L19" s="644">
        <f>SUM(J19:K19)</f>
        <v>185037.59999999998</v>
      </c>
      <c r="M19" s="626">
        <f>+M8*17.2</f>
        <v>52012.799999999996</v>
      </c>
      <c r="N19" s="2117">
        <f>SUM(L19:M19)</f>
        <v>237050.39999999997</v>
      </c>
      <c r="O19" s="626">
        <f>+O8*17.2</f>
        <v>47816</v>
      </c>
      <c r="P19" s="1987">
        <f>+K19+M19+O19</f>
        <v>151583.59999999998</v>
      </c>
      <c r="Q19" s="2270">
        <f>+N19+O19</f>
        <v>284866.39999999997</v>
      </c>
      <c r="R19" s="626">
        <f>+R8*17.2</f>
        <v>51737.599999999999</v>
      </c>
      <c r="S19" s="2117">
        <f>SUM(Q19:R19)</f>
        <v>336603.99999999994</v>
      </c>
      <c r="T19" s="626">
        <f>+T8*17.2</f>
        <v>50516.4</v>
      </c>
      <c r="U19" s="2117">
        <f>SUM(S19:T19)</f>
        <v>387120.39999999997</v>
      </c>
      <c r="V19" s="626">
        <f>+V8*17.2</f>
        <v>52322.400000000001</v>
      </c>
      <c r="W19" s="2380">
        <f>+R19+T19+V19</f>
        <v>154576.4</v>
      </c>
      <c r="X19" s="2382">
        <f>+U19+V19</f>
        <v>439442.8</v>
      </c>
      <c r="Y19" s="626">
        <f>+Y8*17.2</f>
        <v>52924.399999999994</v>
      </c>
      <c r="Z19" s="2117">
        <f>SUM(X19:Y19)</f>
        <v>492367.19999999995</v>
      </c>
      <c r="AA19" s="626">
        <f>+AA8*17.2</f>
        <v>49570.400000000001</v>
      </c>
      <c r="AB19" s="2382">
        <f>+Z19+AA19</f>
        <v>541937.6</v>
      </c>
      <c r="AC19" s="626">
        <f>+AC8*17.2</f>
        <v>50224</v>
      </c>
      <c r="AD19" s="2380">
        <f>+Y19+AA19+AC19</f>
        <v>152718.79999999999</v>
      </c>
      <c r="AE19" s="764">
        <f>+W19+AD19</f>
        <v>307295.19999999995</v>
      </c>
      <c r="AF19" s="2572">
        <f>+AB19+AC19</f>
        <v>592161.6</v>
      </c>
    </row>
    <row r="20" spans="3:86" ht="35" customHeight="1" thickBot="1" x14ac:dyDescent="0.3">
      <c r="D20" s="2567"/>
      <c r="E20" s="628" t="s">
        <v>653</v>
      </c>
      <c r="F20" s="629">
        <f>+F10*31.55</f>
        <v>73606.150000000009</v>
      </c>
      <c r="G20" s="629">
        <f>+G10*31.55</f>
        <v>73479.95</v>
      </c>
      <c r="H20" s="521">
        <f>SUM(F20:G20)</f>
        <v>147086.1</v>
      </c>
      <c r="I20" s="629">
        <f>+I10*31.55</f>
        <v>81872.25</v>
      </c>
      <c r="J20" s="2418">
        <f t="shared" si="41"/>
        <v>228958.35</v>
      </c>
      <c r="K20" s="629">
        <f>+K10*31.55</f>
        <v>88844.800000000003</v>
      </c>
      <c r="L20" s="1982">
        <f>SUM(J20:K20)</f>
        <v>317803.15000000002</v>
      </c>
      <c r="M20" s="629">
        <f>+M10*31.55</f>
        <v>96290.6</v>
      </c>
      <c r="N20" s="2118">
        <f>SUM(L20:M20)</f>
        <v>414093.75</v>
      </c>
      <c r="O20" s="629">
        <f>+O10*31.55</f>
        <v>87551.25</v>
      </c>
      <c r="P20" s="1992">
        <f>+K20+M20+O20</f>
        <v>272686.65000000002</v>
      </c>
      <c r="Q20" s="2271">
        <f>+N20+O20</f>
        <v>501645</v>
      </c>
      <c r="R20" s="629">
        <f>+R10*31.55</f>
        <v>94902.400000000009</v>
      </c>
      <c r="S20" s="2198">
        <f>SUM(Q20:R20)</f>
        <v>596547.4</v>
      </c>
      <c r="T20" s="629">
        <f>+T10*31.55</f>
        <v>91873.600000000006</v>
      </c>
      <c r="U20" s="2198">
        <f>SUM(S20:T20)</f>
        <v>688421</v>
      </c>
      <c r="V20" s="629">
        <f>+V10*31.55</f>
        <v>96132.85</v>
      </c>
      <c r="W20" s="2381">
        <f>+R20+T20+V20</f>
        <v>282908.84999999998</v>
      </c>
      <c r="X20" s="2383">
        <f>+U20+V20</f>
        <v>784553.85</v>
      </c>
      <c r="Y20" s="629">
        <f>+Y10*31.55</f>
        <v>91936.7</v>
      </c>
      <c r="Z20" s="2198">
        <f>SUM(X20:Y20)</f>
        <v>876490.54999999993</v>
      </c>
      <c r="AA20" s="629">
        <f>+AA10*31.55</f>
        <v>88687.05</v>
      </c>
      <c r="AB20" s="2478">
        <f>+Z20+AA20</f>
        <v>965177.6</v>
      </c>
      <c r="AC20" s="629">
        <f>+AC10*31.55</f>
        <v>90169.900000000009</v>
      </c>
      <c r="AD20" s="2381">
        <f>+Y20+AA20+AC20</f>
        <v>270793.65000000002</v>
      </c>
      <c r="AE20" s="2531">
        <f>+W20+AD20</f>
        <v>553702.5</v>
      </c>
      <c r="AF20" s="2572">
        <f>+AB20+AC20</f>
        <v>1055347.5</v>
      </c>
    </row>
    <row r="21" spans="3:86" ht="35" customHeight="1" thickBot="1" x14ac:dyDescent="0.3">
      <c r="D21" s="2567"/>
      <c r="E21" s="631" t="s">
        <v>654</v>
      </c>
      <c r="F21" s="632">
        <f t="shared" ref="F21:G21" si="42">SUM(F19:F20)</f>
        <v>113785.35</v>
      </c>
      <c r="G21" s="632">
        <f t="shared" si="42"/>
        <v>119008.35</v>
      </c>
      <c r="H21" s="523">
        <f t="shared" ref="H21" si="43">SUM(H19:H20)</f>
        <v>232793.7</v>
      </c>
      <c r="I21" s="632">
        <f t="shared" ref="I21" si="44">SUM(I19:I20)</f>
        <v>129447.45</v>
      </c>
      <c r="J21" s="557">
        <f>SUM(J19:J20)</f>
        <v>362241.15</v>
      </c>
      <c r="K21" s="632">
        <f t="shared" ref="K21" si="45">SUM(K19:K20)</f>
        <v>140599.6</v>
      </c>
      <c r="L21" s="523">
        <f>SUM(L19:L20)</f>
        <v>502840.75</v>
      </c>
      <c r="M21" s="632">
        <f t="shared" ref="M21" si="46">SUM(M19:M20)</f>
        <v>148303.4</v>
      </c>
      <c r="N21" s="2119">
        <f t="shared" ref="N21:S21" si="47">SUM(N19:N20)</f>
        <v>651144.14999999991</v>
      </c>
      <c r="O21" s="632">
        <f t="shared" si="47"/>
        <v>135367.25</v>
      </c>
      <c r="P21" s="2217">
        <f t="shared" si="47"/>
        <v>424270.25</v>
      </c>
      <c r="Q21" s="2272">
        <f t="shared" si="47"/>
        <v>786511.39999999991</v>
      </c>
      <c r="R21" s="632">
        <f t="shared" si="47"/>
        <v>146640</v>
      </c>
      <c r="S21" s="2119">
        <f t="shared" si="47"/>
        <v>933151.39999999991</v>
      </c>
      <c r="T21" s="632">
        <f t="shared" ref="T21" si="48">SUM(T19:T20)</f>
        <v>142390</v>
      </c>
      <c r="U21" s="2119">
        <f t="shared" ref="U21:AA21" si="49">SUM(U19:U20)</f>
        <v>1075541.3999999999</v>
      </c>
      <c r="V21" s="632">
        <f t="shared" si="49"/>
        <v>148455.25</v>
      </c>
      <c r="W21" s="1185">
        <f t="shared" si="49"/>
        <v>437485.25</v>
      </c>
      <c r="X21" s="2384">
        <f t="shared" si="49"/>
        <v>1223996.6499999999</v>
      </c>
      <c r="Y21" s="632">
        <f t="shared" ref="Y21" si="50">SUM(Y19:Y20)</f>
        <v>144861.09999999998</v>
      </c>
      <c r="Z21" s="2119">
        <f t="shared" si="49"/>
        <v>1368857.75</v>
      </c>
      <c r="AA21" s="632">
        <f t="shared" si="49"/>
        <v>138257.45000000001</v>
      </c>
      <c r="AB21" s="2384">
        <f>SUM(AB19:AB20)</f>
        <v>1507115.2</v>
      </c>
      <c r="AC21" s="632">
        <f t="shared" ref="AC21" si="51">SUM(AC19:AC20)</f>
        <v>140393.90000000002</v>
      </c>
      <c r="AD21" s="1185">
        <f>SUM(AD19:AD20)</f>
        <v>423512.45</v>
      </c>
      <c r="AE21" s="1277">
        <f>SUM(AE19:AE20)</f>
        <v>860997.7</v>
      </c>
      <c r="AF21" s="2573">
        <f>SUM(AF19:AF20)</f>
        <v>1647509.1</v>
      </c>
    </row>
    <row r="22" spans="3:86" ht="35" customHeight="1" x14ac:dyDescent="0.25">
      <c r="C22" s="8"/>
      <c r="D22" s="8477" t="s">
        <v>4</v>
      </c>
      <c r="E22" s="627" t="s">
        <v>619</v>
      </c>
      <c r="F22" s="3147">
        <v>27936.6</v>
      </c>
      <c r="G22" s="3147">
        <v>31876</v>
      </c>
      <c r="H22" s="3508">
        <f t="shared" ref="H22:L49" si="52">+F22+G22</f>
        <v>59812.6</v>
      </c>
      <c r="I22" s="3147">
        <v>33669.599999999999</v>
      </c>
      <c r="J22" s="3135">
        <f t="shared" si="52"/>
        <v>93482.2</v>
      </c>
      <c r="K22" s="3147">
        <v>36675</v>
      </c>
      <c r="L22" s="3569">
        <f t="shared" si="52"/>
        <v>130157.2</v>
      </c>
      <c r="M22" s="3147">
        <v>34692.54</v>
      </c>
      <c r="N22" s="622">
        <f t="shared" ref="N22:N49" si="53">+L22+M22</f>
        <v>164849.74</v>
      </c>
      <c r="O22" s="3147">
        <v>31931.5</v>
      </c>
      <c r="P22" s="3015">
        <f t="shared" ref="P22:P35" si="54">+K22+M22+O22</f>
        <v>103299.04000000001</v>
      </c>
      <c r="Q22" s="2304">
        <f t="shared" ref="Q22:Q49" si="55">+N22+O22</f>
        <v>196781.24</v>
      </c>
      <c r="R22" s="3147">
        <v>34545.199999999997</v>
      </c>
      <c r="S22" s="622">
        <f t="shared" ref="S22:S23" si="56">+Q22+R22</f>
        <v>231326.44</v>
      </c>
      <c r="T22" s="3147">
        <v>34351.199999999997</v>
      </c>
      <c r="U22" s="622">
        <f t="shared" ref="U22:U49" si="57">+S22+T22</f>
        <v>265677.64</v>
      </c>
      <c r="V22" s="3147">
        <v>35840.800000000003</v>
      </c>
      <c r="W22" s="1177">
        <f t="shared" ref="W22:W55" si="58">+R22+T22+V22</f>
        <v>104737.2</v>
      </c>
      <c r="X22" s="622">
        <f t="shared" ref="X22:X49" si="59">+U22+V22</f>
        <v>301518.44</v>
      </c>
      <c r="Y22" s="3147">
        <v>36285</v>
      </c>
      <c r="Z22" s="622">
        <f t="shared" ref="Z22:AB55" si="60">+X22+Y22</f>
        <v>337803.44</v>
      </c>
      <c r="AA22" s="3147">
        <v>34074.699999999997</v>
      </c>
      <c r="AB22" s="622">
        <f t="shared" si="60"/>
        <v>371878.14</v>
      </c>
      <c r="AC22" s="3147">
        <v>34659.599999999999</v>
      </c>
      <c r="AD22" s="624">
        <f t="shared" ref="AD22:AD49" si="61">+Y22+AA22+AC22</f>
        <v>105019.29999999999</v>
      </c>
      <c r="AE22" s="1282">
        <f t="shared" ref="AE22:AE49" si="62">+W22+AD22</f>
        <v>209756.5</v>
      </c>
      <c r="AF22" s="2572">
        <f>+AB22+AC22</f>
        <v>406537.74</v>
      </c>
    </row>
    <row r="23" spans="3:86" ht="35" customHeight="1" thickBot="1" x14ac:dyDescent="0.35">
      <c r="C23" s="8"/>
      <c r="D23" s="8478"/>
      <c r="E23" s="628" t="s">
        <v>620</v>
      </c>
      <c r="F23" s="3406">
        <f>+F626</f>
        <v>51175.3</v>
      </c>
      <c r="G23" s="3406">
        <f>+G626</f>
        <v>51446</v>
      </c>
      <c r="H23" s="3510">
        <f>SUM(F23:G23)</f>
        <v>102621.3</v>
      </c>
      <c r="I23" s="3406">
        <f>+I626</f>
        <v>57942.1</v>
      </c>
      <c r="J23" s="3474">
        <f t="shared" si="52"/>
        <v>160563.4</v>
      </c>
      <c r="K23" s="3406">
        <f>+K626</f>
        <v>62959</v>
      </c>
      <c r="L23" s="3570">
        <f t="shared" si="52"/>
        <v>223522.4</v>
      </c>
      <c r="M23" s="3406">
        <f>+M626</f>
        <v>64223.17</v>
      </c>
      <c r="N23" s="630">
        <f t="shared" si="53"/>
        <v>287745.57</v>
      </c>
      <c r="O23" s="3406">
        <f>+O626</f>
        <v>58471.09</v>
      </c>
      <c r="P23" s="3017">
        <f t="shared" si="54"/>
        <v>185653.26</v>
      </c>
      <c r="Q23" s="844">
        <f t="shared" si="55"/>
        <v>346216.66000000003</v>
      </c>
      <c r="R23" s="3406">
        <f>+R626</f>
        <v>63365.36</v>
      </c>
      <c r="S23" s="630">
        <f t="shared" si="56"/>
        <v>409582.02</v>
      </c>
      <c r="T23" s="3406">
        <f>+T626</f>
        <v>62474</v>
      </c>
      <c r="U23" s="630">
        <f>SUM(S23:T23)</f>
        <v>472056.02</v>
      </c>
      <c r="V23" s="3406">
        <f>+V626</f>
        <v>65847</v>
      </c>
      <c r="W23" s="1178">
        <f t="shared" si="58"/>
        <v>191686.36</v>
      </c>
      <c r="X23" s="1179">
        <f t="shared" si="59"/>
        <v>537903.02</v>
      </c>
      <c r="Y23" s="3406">
        <f>+Y626</f>
        <v>63029</v>
      </c>
      <c r="Z23" s="630">
        <f t="shared" si="60"/>
        <v>600932.02</v>
      </c>
      <c r="AA23" s="3406">
        <f>+AA626</f>
        <v>60966</v>
      </c>
      <c r="AB23" s="1179">
        <f t="shared" si="60"/>
        <v>661898.02</v>
      </c>
      <c r="AC23" s="3406">
        <f>+AC626</f>
        <v>62225</v>
      </c>
      <c r="AD23" s="1283">
        <f t="shared" ref="AD23" si="63">+Y23+AA23+AC23</f>
        <v>186220</v>
      </c>
      <c r="AE23" s="1284">
        <f t="shared" ref="AE23" si="64">+W23+AD23</f>
        <v>377906.36</v>
      </c>
      <c r="AF23" s="2572">
        <f>+AB23+AC23</f>
        <v>724123.02</v>
      </c>
      <c r="CH23" s="51"/>
    </row>
    <row r="24" spans="3:86" ht="35" customHeight="1" thickBot="1" x14ac:dyDescent="0.3">
      <c r="C24" s="8"/>
      <c r="D24" s="8478"/>
      <c r="E24" s="631" t="s">
        <v>273</v>
      </c>
      <c r="F24" s="632">
        <f t="shared" ref="F24:G24" si="65">SUM(F22:F23)</f>
        <v>79111.899999999994</v>
      </c>
      <c r="G24" s="632">
        <f t="shared" si="65"/>
        <v>83322</v>
      </c>
      <c r="H24" s="523">
        <f t="shared" ref="H24:Y24" si="66">SUM(H22:H23)</f>
        <v>162433.9</v>
      </c>
      <c r="I24" s="632">
        <f t="shared" ref="I24" si="67">SUM(I22:I23)</f>
        <v>91611.7</v>
      </c>
      <c r="J24" s="557">
        <f t="shared" si="66"/>
        <v>254045.59999999998</v>
      </c>
      <c r="K24" s="632">
        <f t="shared" ref="K24" si="68">SUM(K22:K23)</f>
        <v>99634</v>
      </c>
      <c r="L24" s="2384">
        <f t="shared" si="66"/>
        <v>353679.6</v>
      </c>
      <c r="M24" s="632">
        <f t="shared" ref="M24" si="69">SUM(M22:M23)</f>
        <v>98915.709999999992</v>
      </c>
      <c r="N24" s="634">
        <f t="shared" si="66"/>
        <v>452595.31</v>
      </c>
      <c r="O24" s="632">
        <f t="shared" si="66"/>
        <v>90402.59</v>
      </c>
      <c r="P24" s="778">
        <f t="shared" si="66"/>
        <v>288952.30000000005</v>
      </c>
      <c r="Q24" s="779">
        <f t="shared" si="66"/>
        <v>542997.9</v>
      </c>
      <c r="R24" s="632">
        <f t="shared" si="66"/>
        <v>97910.56</v>
      </c>
      <c r="S24" s="634">
        <f t="shared" si="66"/>
        <v>640908.46</v>
      </c>
      <c r="T24" s="632">
        <f t="shared" ref="T24" si="70">SUM(T22:T23)</f>
        <v>96825.2</v>
      </c>
      <c r="U24" s="634">
        <f t="shared" si="66"/>
        <v>737733.66</v>
      </c>
      <c r="V24" s="632">
        <f t="shared" ref="V24" si="71">SUM(V22:V23)</f>
        <v>101687.8</v>
      </c>
      <c r="W24" s="778">
        <f t="shared" si="66"/>
        <v>296423.56</v>
      </c>
      <c r="X24" s="634">
        <f t="shared" si="66"/>
        <v>839421.46</v>
      </c>
      <c r="Y24" s="632">
        <f t="shared" si="66"/>
        <v>99314</v>
      </c>
      <c r="Z24" s="634">
        <f t="shared" si="60"/>
        <v>938735.46</v>
      </c>
      <c r="AA24" s="632">
        <f t="shared" ref="AA24" si="72">SUM(AA22:AA23)</f>
        <v>95040.7</v>
      </c>
      <c r="AB24" s="634">
        <f t="shared" si="60"/>
        <v>1033776.1599999999</v>
      </c>
      <c r="AC24" s="632">
        <f t="shared" ref="AC24" si="73">SUM(AC22:AC23)</f>
        <v>96884.6</v>
      </c>
      <c r="AD24" s="778">
        <f t="shared" ref="AD24:AF24" si="74">SUM(AD22:AD23)</f>
        <v>291239.3</v>
      </c>
      <c r="AE24" s="1277">
        <f t="shared" si="74"/>
        <v>587662.86</v>
      </c>
      <c r="AF24" s="2573">
        <f t="shared" si="74"/>
        <v>1130660.76</v>
      </c>
    </row>
    <row r="25" spans="3:86" ht="35" customHeight="1" x14ac:dyDescent="0.25">
      <c r="C25" s="8"/>
      <c r="D25" s="8478"/>
      <c r="E25" s="627" t="s">
        <v>632</v>
      </c>
      <c r="F25" s="3147">
        <v>317.39999999999998</v>
      </c>
      <c r="G25" s="3147">
        <v>184</v>
      </c>
      <c r="H25" s="3508">
        <f t="shared" ref="H25" si="75">+F25+G25</f>
        <v>501.4</v>
      </c>
      <c r="I25" s="3147">
        <v>149.80000000000001</v>
      </c>
      <c r="J25" s="3135">
        <f t="shared" ref="J25:J26" si="76">+H25+I25</f>
        <v>651.20000000000005</v>
      </c>
      <c r="K25" s="3147">
        <v>427</v>
      </c>
      <c r="L25" s="3569">
        <f t="shared" ref="L25:L26" si="77">+J25+K25</f>
        <v>1078.2</v>
      </c>
      <c r="M25" s="3147">
        <v>1607.2</v>
      </c>
      <c r="N25" s="622">
        <f t="shared" ref="N25:N26" si="78">+L25+M25</f>
        <v>2685.4</v>
      </c>
      <c r="O25" s="3147">
        <v>1601.8</v>
      </c>
      <c r="P25" s="3015">
        <f t="shared" si="54"/>
        <v>3636</v>
      </c>
      <c r="Q25" s="784">
        <f t="shared" ref="Q25:Q26" si="79">+N25+O25</f>
        <v>4287.2</v>
      </c>
      <c r="R25" s="3147">
        <v>1536.6</v>
      </c>
      <c r="S25" s="622">
        <f t="shared" ref="S25:S26" si="80">+Q25+R25</f>
        <v>5823.7999999999993</v>
      </c>
      <c r="T25" s="3147">
        <v>1262.9000000000001</v>
      </c>
      <c r="U25" s="622">
        <f t="shared" ref="U25" si="81">+S25+T25</f>
        <v>7086.6999999999989</v>
      </c>
      <c r="V25" s="3147">
        <v>1339.5</v>
      </c>
      <c r="W25" s="1177">
        <f t="shared" ref="W25:W26" si="82">+R25+T25+V25</f>
        <v>4139</v>
      </c>
      <c r="X25" s="622">
        <f t="shared" ref="X25:X26" si="83">+U25+V25</f>
        <v>8426.1999999999989</v>
      </c>
      <c r="Y25" s="3147">
        <v>1122</v>
      </c>
      <c r="Z25" s="622">
        <f t="shared" ref="Z25:Z27" si="84">+X25+Y25</f>
        <v>9548.1999999999989</v>
      </c>
      <c r="AA25" s="3147">
        <v>931.9</v>
      </c>
      <c r="AB25" s="622">
        <f t="shared" ref="AB25:AB27" si="85">+Z25+AA25</f>
        <v>10480.099999999999</v>
      </c>
      <c r="AC25" s="3147">
        <v>999.5</v>
      </c>
      <c r="AD25" s="624">
        <f t="shared" ref="AD25:AD26" si="86">+Y25+AA25+AC25</f>
        <v>3053.4</v>
      </c>
      <c r="AE25" s="1282">
        <f t="shared" ref="AE25:AE26" si="87">+W25+AD25</f>
        <v>7192.4</v>
      </c>
      <c r="AF25" s="2572">
        <f>+AB25+AC25</f>
        <v>11479.599999999999</v>
      </c>
    </row>
    <row r="26" spans="3:86" ht="35" customHeight="1" thickBot="1" x14ac:dyDescent="0.3">
      <c r="C26" s="8"/>
      <c r="D26" s="8478"/>
      <c r="E26" s="628" t="s">
        <v>633</v>
      </c>
      <c r="F26" s="3406">
        <f>+F627</f>
        <v>582.6</v>
      </c>
      <c r="G26" s="3406">
        <f>+G627</f>
        <v>297</v>
      </c>
      <c r="H26" s="3510">
        <f>SUM(F26:G26)</f>
        <v>879.6</v>
      </c>
      <c r="I26" s="3406">
        <f>+I627</f>
        <v>257.8</v>
      </c>
      <c r="J26" s="3474">
        <f t="shared" si="76"/>
        <v>1137.4000000000001</v>
      </c>
      <c r="K26" s="3406">
        <f>+K627</f>
        <v>733</v>
      </c>
      <c r="L26" s="3570">
        <f t="shared" si="77"/>
        <v>1870.4</v>
      </c>
      <c r="M26" s="3406">
        <f>+M627</f>
        <v>2979.15</v>
      </c>
      <c r="N26" s="630">
        <f t="shared" si="78"/>
        <v>4849.55</v>
      </c>
      <c r="O26" s="3406">
        <f>+O627</f>
        <v>2932.95</v>
      </c>
      <c r="P26" s="3017">
        <f t="shared" si="54"/>
        <v>6645.1</v>
      </c>
      <c r="Q26" s="785">
        <f t="shared" si="79"/>
        <v>7782.5</v>
      </c>
      <c r="R26" s="3406">
        <f>+R627</f>
        <v>2819.91</v>
      </c>
      <c r="S26" s="630">
        <f t="shared" si="80"/>
        <v>10602.41</v>
      </c>
      <c r="T26" s="3406">
        <f>+T627</f>
        <v>2296.8000000000002</v>
      </c>
      <c r="U26" s="630">
        <f>SUM(S26:T26)</f>
        <v>12899.21</v>
      </c>
      <c r="V26" s="3406">
        <f>+V627</f>
        <v>2463</v>
      </c>
      <c r="W26" s="1178">
        <f t="shared" si="82"/>
        <v>7579.71</v>
      </c>
      <c r="X26" s="1179">
        <f t="shared" si="83"/>
        <v>15362.21</v>
      </c>
      <c r="Y26" s="3406">
        <f>+Y627</f>
        <v>1945</v>
      </c>
      <c r="Z26" s="630">
        <f t="shared" si="84"/>
        <v>17307.21</v>
      </c>
      <c r="AA26" s="3406">
        <f>+AA627</f>
        <v>1670</v>
      </c>
      <c r="AB26" s="1179">
        <f t="shared" si="85"/>
        <v>18977.21</v>
      </c>
      <c r="AC26" s="3406">
        <f>+AC627</f>
        <v>1795</v>
      </c>
      <c r="AD26" s="1283">
        <f t="shared" si="86"/>
        <v>5410</v>
      </c>
      <c r="AE26" s="1284">
        <f t="shared" si="87"/>
        <v>12989.71</v>
      </c>
      <c r="AF26" s="2572">
        <f>+AB26+AC26</f>
        <v>20772.21</v>
      </c>
    </row>
    <row r="27" spans="3:86" ht="35" customHeight="1" thickBot="1" x14ac:dyDescent="0.3">
      <c r="C27" s="8"/>
      <c r="D27" s="8478"/>
      <c r="E27" s="631" t="s">
        <v>612</v>
      </c>
      <c r="F27" s="632">
        <f t="shared" ref="F27:G27" si="88">SUM(F25:F26)</f>
        <v>900</v>
      </c>
      <c r="G27" s="632">
        <f t="shared" si="88"/>
        <v>481</v>
      </c>
      <c r="H27" s="523">
        <f t="shared" ref="H27:Y27" si="89">SUM(H25:H26)</f>
        <v>1381</v>
      </c>
      <c r="I27" s="632">
        <f t="shared" si="89"/>
        <v>407.6</v>
      </c>
      <c r="J27" s="557">
        <f t="shared" si="89"/>
        <v>1788.6000000000001</v>
      </c>
      <c r="K27" s="632">
        <f t="shared" si="89"/>
        <v>1160</v>
      </c>
      <c r="L27" s="2384">
        <f t="shared" si="89"/>
        <v>2948.6000000000004</v>
      </c>
      <c r="M27" s="632">
        <f t="shared" ref="M27:O27" si="90">SUM(M25:M26)</f>
        <v>4586.3500000000004</v>
      </c>
      <c r="N27" s="634">
        <f t="shared" si="89"/>
        <v>7534.9500000000007</v>
      </c>
      <c r="O27" s="632">
        <f t="shared" si="90"/>
        <v>4534.75</v>
      </c>
      <c r="P27" s="778">
        <f t="shared" si="89"/>
        <v>10281.1</v>
      </c>
      <c r="Q27" s="779">
        <f t="shared" si="89"/>
        <v>12069.7</v>
      </c>
      <c r="R27" s="632">
        <f t="shared" si="89"/>
        <v>4356.51</v>
      </c>
      <c r="S27" s="634">
        <f t="shared" si="89"/>
        <v>16426.21</v>
      </c>
      <c r="T27" s="632">
        <f t="shared" si="89"/>
        <v>3559.7000000000003</v>
      </c>
      <c r="U27" s="634">
        <f t="shared" si="89"/>
        <v>19985.909999999996</v>
      </c>
      <c r="V27" s="632">
        <f t="shared" ref="V27" si="91">SUM(V25:V26)</f>
        <v>3802.5</v>
      </c>
      <c r="W27" s="778">
        <f t="shared" si="89"/>
        <v>11718.71</v>
      </c>
      <c r="X27" s="634">
        <f t="shared" si="89"/>
        <v>23788.409999999996</v>
      </c>
      <c r="Y27" s="632">
        <f t="shared" si="89"/>
        <v>3067</v>
      </c>
      <c r="Z27" s="634">
        <f t="shared" si="84"/>
        <v>26855.409999999996</v>
      </c>
      <c r="AA27" s="632">
        <f t="shared" ref="AA27" si="92">SUM(AA25:AA26)</f>
        <v>2601.9</v>
      </c>
      <c r="AB27" s="634">
        <f t="shared" si="85"/>
        <v>29457.309999999998</v>
      </c>
      <c r="AC27" s="632">
        <f t="shared" ref="AC27" si="93">SUM(AC25:AC26)</f>
        <v>2794.5</v>
      </c>
      <c r="AD27" s="778">
        <f t="shared" ref="AD27:AF27" si="94">SUM(AD25:AD26)</f>
        <v>8463.4</v>
      </c>
      <c r="AE27" s="1277">
        <f t="shared" si="94"/>
        <v>20182.11</v>
      </c>
      <c r="AF27" s="2573">
        <f t="shared" si="94"/>
        <v>32251.809999999998</v>
      </c>
    </row>
    <row r="28" spans="3:86" ht="35" customHeight="1" x14ac:dyDescent="0.25">
      <c r="C28" s="8"/>
      <c r="D28" s="8478"/>
      <c r="E28" s="627" t="s">
        <v>634</v>
      </c>
      <c r="F28" s="3147">
        <v>1884.4</v>
      </c>
      <c r="G28" s="3147">
        <v>2091</v>
      </c>
      <c r="H28" s="3508">
        <f t="shared" ref="H28" si="95">+F28+G28</f>
        <v>3975.4</v>
      </c>
      <c r="I28" s="3147">
        <v>1871.5</v>
      </c>
      <c r="J28" s="3135">
        <f t="shared" ref="J28:J29" si="96">+H28+I28</f>
        <v>5846.9</v>
      </c>
      <c r="K28" s="3147">
        <v>1715</v>
      </c>
      <c r="L28" s="3569">
        <f t="shared" ref="L28:L29" si="97">+J28+K28</f>
        <v>7561.9</v>
      </c>
      <c r="M28" s="3147">
        <v>2735.87</v>
      </c>
      <c r="N28" s="622">
        <f t="shared" ref="N28:N29" si="98">+L28+M28</f>
        <v>10297.77</v>
      </c>
      <c r="O28" s="3147">
        <v>2390.8000000000002</v>
      </c>
      <c r="P28" s="3015">
        <f t="shared" si="54"/>
        <v>6841.67</v>
      </c>
      <c r="Q28" s="784">
        <f t="shared" ref="Q28:Q29" si="99">+N28+O28</f>
        <v>12688.57</v>
      </c>
      <c r="R28" s="3147">
        <v>2773.1</v>
      </c>
      <c r="S28" s="622">
        <f t="shared" ref="S28:S29" si="100">+Q28+R28</f>
        <v>15461.67</v>
      </c>
      <c r="T28" s="3147">
        <v>2273.1999999999998</v>
      </c>
      <c r="U28" s="622">
        <f t="shared" ref="U28" si="101">+S28+T28</f>
        <v>17734.87</v>
      </c>
      <c r="V28" s="3147">
        <v>2150.5</v>
      </c>
      <c r="W28" s="1177">
        <f t="shared" ref="W28:W29" si="102">+R28+T28+V28</f>
        <v>7196.7999999999993</v>
      </c>
      <c r="X28" s="622">
        <f t="shared" ref="X28:X29" si="103">+U28+V28</f>
        <v>19885.37</v>
      </c>
      <c r="Y28" s="3147">
        <v>2281</v>
      </c>
      <c r="Z28" s="622">
        <f t="shared" ref="Z28:Z30" si="104">+X28+Y28</f>
        <v>22166.37</v>
      </c>
      <c r="AA28" s="3147">
        <v>2171.1999999999998</v>
      </c>
      <c r="AB28" s="622">
        <f t="shared" ref="AB28:AB30" si="105">+Z28+AA28</f>
        <v>24337.57</v>
      </c>
      <c r="AC28" s="3147">
        <v>2009</v>
      </c>
      <c r="AD28" s="624">
        <f t="shared" ref="AD28:AD29" si="106">+Y28+AA28+AC28</f>
        <v>6461.2</v>
      </c>
      <c r="AE28" s="1282">
        <f t="shared" ref="AE28:AE29" si="107">+W28+AD28</f>
        <v>13658</v>
      </c>
      <c r="AF28" s="2572">
        <f>+AB28+AC28</f>
        <v>26346.57</v>
      </c>
    </row>
    <row r="29" spans="3:86" ht="35" customHeight="1" thickBot="1" x14ac:dyDescent="0.3">
      <c r="C29" s="8"/>
      <c r="D29" s="8478"/>
      <c r="E29" s="628" t="s">
        <v>635</v>
      </c>
      <c r="F29" s="3406">
        <f>+F628</f>
        <v>3452.5</v>
      </c>
      <c r="G29" s="3406">
        <f>+G628</f>
        <v>3374</v>
      </c>
      <c r="H29" s="3510">
        <f>SUM(F29:G29)</f>
        <v>6826.5</v>
      </c>
      <c r="I29" s="3406">
        <f>+I628</f>
        <v>3220.7</v>
      </c>
      <c r="J29" s="3474">
        <f t="shared" si="96"/>
        <v>10047.200000000001</v>
      </c>
      <c r="K29" s="3406">
        <f>+K628</f>
        <v>2945</v>
      </c>
      <c r="L29" s="3570">
        <f t="shared" si="97"/>
        <v>12992.2</v>
      </c>
      <c r="M29" s="3406">
        <f>+M628</f>
        <v>5068.8500000000004</v>
      </c>
      <c r="N29" s="630">
        <f t="shared" si="98"/>
        <v>18061.050000000003</v>
      </c>
      <c r="O29" s="3406">
        <f>+O628</f>
        <v>4373.49</v>
      </c>
      <c r="P29" s="3017">
        <f t="shared" si="54"/>
        <v>12387.34</v>
      </c>
      <c r="Q29" s="785">
        <f t="shared" si="99"/>
        <v>22434.54</v>
      </c>
      <c r="R29" s="3406">
        <f>+R628</f>
        <v>5085.66</v>
      </c>
      <c r="S29" s="630">
        <f t="shared" si="100"/>
        <v>27520.2</v>
      </c>
      <c r="T29" s="3406">
        <f>+T628</f>
        <v>4134.3</v>
      </c>
      <c r="U29" s="630">
        <f>SUM(S29:T29)</f>
        <v>31654.5</v>
      </c>
      <c r="V29" s="3406">
        <f>+V628</f>
        <v>3947</v>
      </c>
      <c r="W29" s="1178">
        <f t="shared" si="102"/>
        <v>13166.96</v>
      </c>
      <c r="X29" s="1179">
        <f t="shared" si="103"/>
        <v>35601.5</v>
      </c>
      <c r="Y29" s="3406">
        <f>+Y628</f>
        <v>3965</v>
      </c>
      <c r="Z29" s="630">
        <f t="shared" si="104"/>
        <v>39566.5</v>
      </c>
      <c r="AA29" s="3406">
        <f>+AA628</f>
        <v>3887</v>
      </c>
      <c r="AB29" s="1179">
        <f t="shared" si="105"/>
        <v>43453.5</v>
      </c>
      <c r="AC29" s="3406">
        <f>+AC628</f>
        <v>3610</v>
      </c>
      <c r="AD29" s="1283">
        <f t="shared" si="106"/>
        <v>11462</v>
      </c>
      <c r="AE29" s="1284">
        <f t="shared" si="107"/>
        <v>24628.959999999999</v>
      </c>
      <c r="AF29" s="2572">
        <f>+AB29+AC29</f>
        <v>47063.5</v>
      </c>
    </row>
    <row r="30" spans="3:86" ht="35" customHeight="1" thickBot="1" x14ac:dyDescent="0.3">
      <c r="C30" s="8"/>
      <c r="D30" s="8478"/>
      <c r="E30" s="631" t="s">
        <v>613</v>
      </c>
      <c r="F30" s="632">
        <f t="shared" ref="F30:G30" si="108">SUM(F28:F29)</f>
        <v>5336.9</v>
      </c>
      <c r="G30" s="632">
        <f t="shared" si="108"/>
        <v>5465</v>
      </c>
      <c r="H30" s="523">
        <f t="shared" ref="H30:Y30" si="109">SUM(H28:H29)</f>
        <v>10801.9</v>
      </c>
      <c r="I30" s="632">
        <f t="shared" si="109"/>
        <v>5092.2</v>
      </c>
      <c r="J30" s="557">
        <f t="shared" si="109"/>
        <v>15894.1</v>
      </c>
      <c r="K30" s="632">
        <f t="shared" si="109"/>
        <v>4660</v>
      </c>
      <c r="L30" s="2384">
        <f t="shared" si="109"/>
        <v>20554.099999999999</v>
      </c>
      <c r="M30" s="632">
        <f t="shared" ref="M30:O30" si="110">SUM(M28:M29)</f>
        <v>7804.72</v>
      </c>
      <c r="N30" s="634">
        <f t="shared" si="109"/>
        <v>28358.820000000003</v>
      </c>
      <c r="O30" s="632">
        <f t="shared" si="110"/>
        <v>6764.29</v>
      </c>
      <c r="P30" s="778">
        <f t="shared" si="109"/>
        <v>19229.010000000002</v>
      </c>
      <c r="Q30" s="779">
        <f t="shared" si="109"/>
        <v>35123.11</v>
      </c>
      <c r="R30" s="632">
        <f t="shared" si="109"/>
        <v>7858.76</v>
      </c>
      <c r="S30" s="634">
        <f t="shared" si="109"/>
        <v>42981.87</v>
      </c>
      <c r="T30" s="632">
        <f t="shared" si="109"/>
        <v>6407.5</v>
      </c>
      <c r="U30" s="634">
        <f t="shared" si="109"/>
        <v>49389.369999999995</v>
      </c>
      <c r="V30" s="632">
        <f t="shared" ref="V30" si="111">SUM(V28:V29)</f>
        <v>6097.5</v>
      </c>
      <c r="W30" s="778">
        <f t="shared" si="109"/>
        <v>20363.759999999998</v>
      </c>
      <c r="X30" s="634">
        <f t="shared" si="109"/>
        <v>55486.869999999995</v>
      </c>
      <c r="Y30" s="632">
        <f t="shared" si="109"/>
        <v>6246</v>
      </c>
      <c r="Z30" s="634">
        <f t="shared" si="104"/>
        <v>61732.869999999995</v>
      </c>
      <c r="AA30" s="632">
        <f t="shared" ref="AA30" si="112">SUM(AA28:AA29)</f>
        <v>6058.2</v>
      </c>
      <c r="AB30" s="634">
        <f t="shared" si="105"/>
        <v>67791.069999999992</v>
      </c>
      <c r="AC30" s="632">
        <f t="shared" ref="AC30" si="113">SUM(AC28:AC29)</f>
        <v>5619</v>
      </c>
      <c r="AD30" s="778">
        <f t="shared" ref="AD30:AF30" si="114">SUM(AD28:AD29)</f>
        <v>17923.2</v>
      </c>
      <c r="AE30" s="1277">
        <f t="shared" si="114"/>
        <v>38286.959999999999</v>
      </c>
      <c r="AF30" s="2573">
        <f t="shared" si="114"/>
        <v>73410.070000000007</v>
      </c>
    </row>
    <row r="31" spans="3:86" ht="35" customHeight="1" x14ac:dyDescent="0.25">
      <c r="C31" s="8"/>
      <c r="D31" s="8478"/>
      <c r="E31" s="627" t="s">
        <v>636</v>
      </c>
      <c r="F31" s="3147">
        <v>397.8</v>
      </c>
      <c r="G31" s="3147">
        <v>451</v>
      </c>
      <c r="H31" s="3508">
        <f t="shared" ref="H31" si="115">+F31+G31</f>
        <v>848.8</v>
      </c>
      <c r="I31" s="3147">
        <v>466.2</v>
      </c>
      <c r="J31" s="3135">
        <f t="shared" ref="J31:J32" si="116">+H31+I31</f>
        <v>1315</v>
      </c>
      <c r="K31" s="3147">
        <v>516</v>
      </c>
      <c r="L31" s="3569">
        <f t="shared" ref="L31:L32" si="117">+J31+K31</f>
        <v>1831</v>
      </c>
      <c r="M31" s="3147">
        <v>488.92</v>
      </c>
      <c r="N31" s="622">
        <f t="shared" ref="N31:N32" si="118">+L31+M31</f>
        <v>2319.92</v>
      </c>
      <c r="O31" s="3147">
        <v>416</v>
      </c>
      <c r="P31" s="3015">
        <f t="shared" si="54"/>
        <v>1420.92</v>
      </c>
      <c r="Q31" s="784">
        <f t="shared" ref="Q31:Q32" si="119">+N31+O31</f>
        <v>2735.92</v>
      </c>
      <c r="R31" s="3147">
        <v>465.6</v>
      </c>
      <c r="S31" s="622">
        <f t="shared" ref="S31:S32" si="120">+Q31+R31</f>
        <v>3201.52</v>
      </c>
      <c r="T31" s="3147">
        <v>505.2</v>
      </c>
      <c r="U31" s="622">
        <f t="shared" ref="U31" si="121">+S31+T31</f>
        <v>3706.72</v>
      </c>
      <c r="V31" s="3147">
        <v>439.5</v>
      </c>
      <c r="W31" s="1177">
        <f t="shared" ref="W31:W32" si="122">+R31+T31+V31</f>
        <v>1410.3</v>
      </c>
      <c r="X31" s="622">
        <f t="shared" ref="X31:X32" si="123">+U31+V31</f>
        <v>4146.2199999999993</v>
      </c>
      <c r="Y31" s="3147">
        <v>539.79999999999995</v>
      </c>
      <c r="Z31" s="622">
        <f t="shared" ref="Z31:Z33" si="124">+X31+Y31</f>
        <v>4686.0199999999995</v>
      </c>
      <c r="AA31" s="3147">
        <v>490.7</v>
      </c>
      <c r="AB31" s="622">
        <f t="shared" ref="AB31:AB33" si="125">+Z31+AA31</f>
        <v>5176.7199999999993</v>
      </c>
      <c r="AC31" s="3147">
        <v>502.2</v>
      </c>
      <c r="AD31" s="624">
        <f t="shared" ref="AD31:AD32" si="126">+Y31+AA31+AC31</f>
        <v>1532.7</v>
      </c>
      <c r="AE31" s="1282">
        <f t="shared" ref="AE31:AE32" si="127">+W31+AD31</f>
        <v>2943</v>
      </c>
      <c r="AF31" s="2572">
        <f>+AB31+AC31</f>
        <v>5678.9199999999992</v>
      </c>
    </row>
    <row r="32" spans="3:86" ht="35" customHeight="1" thickBot="1" x14ac:dyDescent="0.3">
      <c r="C32" s="8"/>
      <c r="D32" s="8478"/>
      <c r="E32" s="628" t="s">
        <v>637</v>
      </c>
      <c r="F32" s="3406">
        <f>+F629</f>
        <v>730.3</v>
      </c>
      <c r="G32" s="3406">
        <f>+G629</f>
        <v>728</v>
      </c>
      <c r="H32" s="3510">
        <f>SUM(F32:G32)</f>
        <v>1458.3</v>
      </c>
      <c r="I32" s="3406">
        <f>+I629</f>
        <v>802.3</v>
      </c>
      <c r="J32" s="3474">
        <f t="shared" si="116"/>
        <v>2260.6</v>
      </c>
      <c r="K32" s="3406">
        <f>+K629</f>
        <v>886</v>
      </c>
      <c r="L32" s="3570">
        <f t="shared" si="117"/>
        <v>3146.6</v>
      </c>
      <c r="M32" s="3406">
        <f>+M629</f>
        <v>909.69</v>
      </c>
      <c r="N32" s="630">
        <f t="shared" si="118"/>
        <v>4056.29</v>
      </c>
      <c r="O32" s="3406">
        <f>+O629</f>
        <v>761.42</v>
      </c>
      <c r="P32" s="3017">
        <f t="shared" si="54"/>
        <v>2557.11</v>
      </c>
      <c r="Q32" s="785">
        <f t="shared" si="119"/>
        <v>4817.71</v>
      </c>
      <c r="R32" s="3406">
        <f>+R629</f>
        <v>854.89</v>
      </c>
      <c r="S32" s="630">
        <f t="shared" si="120"/>
        <v>5672.6</v>
      </c>
      <c r="T32" s="3406">
        <f>+T629</f>
        <v>918.7</v>
      </c>
      <c r="U32" s="630">
        <f>SUM(S32:T32)</f>
        <v>6591.3</v>
      </c>
      <c r="V32" s="3406">
        <f>+V629</f>
        <v>803</v>
      </c>
      <c r="W32" s="1178">
        <f t="shared" si="122"/>
        <v>2576.59</v>
      </c>
      <c r="X32" s="1179">
        <f t="shared" si="123"/>
        <v>7394.3</v>
      </c>
      <c r="Y32" s="3406">
        <f>+Y629</f>
        <v>933</v>
      </c>
      <c r="Z32" s="630">
        <f t="shared" si="124"/>
        <v>8327.2999999999993</v>
      </c>
      <c r="AA32" s="3406">
        <f>+AA629</f>
        <v>879</v>
      </c>
      <c r="AB32" s="1179">
        <f t="shared" si="125"/>
        <v>9206.2999999999993</v>
      </c>
      <c r="AC32" s="3406">
        <f>+AC629</f>
        <v>898</v>
      </c>
      <c r="AD32" s="1283">
        <f t="shared" si="126"/>
        <v>2710</v>
      </c>
      <c r="AE32" s="1284">
        <f t="shared" si="127"/>
        <v>5286.59</v>
      </c>
      <c r="AF32" s="2572">
        <f>+AB32+AC32</f>
        <v>10104.299999999999</v>
      </c>
    </row>
    <row r="33" spans="1:38" ht="35" customHeight="1" thickBot="1" x14ac:dyDescent="0.3">
      <c r="C33" s="8"/>
      <c r="D33" s="8478"/>
      <c r="E33" s="631" t="s">
        <v>614</v>
      </c>
      <c r="F33" s="632">
        <f t="shared" ref="F33:G33" si="128">SUM(F31:F32)</f>
        <v>1128.0999999999999</v>
      </c>
      <c r="G33" s="632">
        <f t="shared" si="128"/>
        <v>1179</v>
      </c>
      <c r="H33" s="523">
        <f t="shared" ref="H33:Y33" si="129">SUM(H31:H32)</f>
        <v>2307.1</v>
      </c>
      <c r="I33" s="632">
        <f t="shared" si="129"/>
        <v>1268.5</v>
      </c>
      <c r="J33" s="557">
        <f t="shared" si="129"/>
        <v>3575.6</v>
      </c>
      <c r="K33" s="632">
        <f t="shared" si="129"/>
        <v>1402</v>
      </c>
      <c r="L33" s="2384">
        <f t="shared" si="129"/>
        <v>4977.6000000000004</v>
      </c>
      <c r="M33" s="632">
        <f t="shared" ref="M33:O33" si="130">SUM(M31:M32)</f>
        <v>1398.6100000000001</v>
      </c>
      <c r="N33" s="634">
        <f t="shared" si="129"/>
        <v>6376.21</v>
      </c>
      <c r="O33" s="632">
        <f t="shared" si="130"/>
        <v>1177.42</v>
      </c>
      <c r="P33" s="778">
        <f t="shared" si="129"/>
        <v>3978.03</v>
      </c>
      <c r="Q33" s="779">
        <f t="shared" si="129"/>
        <v>7553.63</v>
      </c>
      <c r="R33" s="632">
        <f t="shared" si="129"/>
        <v>1320.49</v>
      </c>
      <c r="S33" s="634">
        <f t="shared" si="129"/>
        <v>8874.1200000000008</v>
      </c>
      <c r="T33" s="632">
        <f t="shared" si="129"/>
        <v>1423.9</v>
      </c>
      <c r="U33" s="634">
        <f t="shared" si="129"/>
        <v>10298.02</v>
      </c>
      <c r="V33" s="632">
        <f t="shared" ref="V33" si="131">SUM(V31:V32)</f>
        <v>1242.5</v>
      </c>
      <c r="W33" s="778">
        <f t="shared" si="129"/>
        <v>3986.8900000000003</v>
      </c>
      <c r="X33" s="634">
        <f t="shared" si="129"/>
        <v>11540.52</v>
      </c>
      <c r="Y33" s="632">
        <f t="shared" si="129"/>
        <v>1472.8</v>
      </c>
      <c r="Z33" s="634">
        <f t="shared" si="124"/>
        <v>13013.32</v>
      </c>
      <c r="AA33" s="632">
        <f t="shared" ref="AA33" si="132">SUM(AA31:AA32)</f>
        <v>1369.7</v>
      </c>
      <c r="AB33" s="634">
        <f t="shared" si="125"/>
        <v>14383.02</v>
      </c>
      <c r="AC33" s="632">
        <f t="shared" ref="AC33" si="133">SUM(AC31:AC32)</f>
        <v>1400.2</v>
      </c>
      <c r="AD33" s="778">
        <f t="shared" ref="AD33:AF33" si="134">SUM(AD31:AD32)</f>
        <v>4242.7</v>
      </c>
      <c r="AE33" s="1277">
        <f t="shared" si="134"/>
        <v>8229.59</v>
      </c>
      <c r="AF33" s="2573">
        <f t="shared" si="134"/>
        <v>15783.219999999998</v>
      </c>
    </row>
    <row r="34" spans="1:38" ht="35" customHeight="1" x14ac:dyDescent="0.25">
      <c r="C34" s="8"/>
      <c r="D34" s="8478"/>
      <c r="E34" s="1500" t="s">
        <v>638</v>
      </c>
      <c r="F34" s="2753">
        <f>+F22+F25+F28+F31</f>
        <v>30536.2</v>
      </c>
      <c r="G34" s="2753">
        <f>+G22+G25+G28+G31</f>
        <v>34602</v>
      </c>
      <c r="H34" s="1982">
        <f t="shared" ref="H34" si="135">+F34+G34</f>
        <v>65138.2</v>
      </c>
      <c r="I34" s="2753">
        <f>+I22+I25+I28+I31</f>
        <v>36157.1</v>
      </c>
      <c r="J34" s="3135">
        <f t="shared" ref="J34:J35" si="136">+H34+I34</f>
        <v>101295.29999999999</v>
      </c>
      <c r="K34" s="2753">
        <f>+K22+K25+K28+K31</f>
        <v>39333</v>
      </c>
      <c r="L34" s="3569">
        <f t="shared" ref="L34:L35" si="137">+J34+K34</f>
        <v>140628.29999999999</v>
      </c>
      <c r="M34" s="2753">
        <f>+M22+M25+M28+M31</f>
        <v>39524.53</v>
      </c>
      <c r="N34" s="622">
        <f t="shared" ref="N34:N35" si="138">+L34+M34</f>
        <v>180152.83</v>
      </c>
      <c r="O34" s="2753">
        <f>+O22+O25+O28+O31</f>
        <v>36340.100000000006</v>
      </c>
      <c r="P34" s="3015">
        <f t="shared" si="54"/>
        <v>115197.63</v>
      </c>
      <c r="Q34" s="784">
        <f t="shared" ref="Q34:Q35" si="139">+N34+O34</f>
        <v>216492.93</v>
      </c>
      <c r="R34" s="2753">
        <f>+R22+R25+R28+R31</f>
        <v>39320.499999999993</v>
      </c>
      <c r="S34" s="622">
        <f t="shared" ref="S34:S35" si="140">+Q34+R34</f>
        <v>255813.43</v>
      </c>
      <c r="T34" s="2753">
        <f>+T22+T25+T28+T31</f>
        <v>38392.499999999993</v>
      </c>
      <c r="U34" s="622">
        <f t="shared" ref="U34" si="141">+S34+T34</f>
        <v>294205.93</v>
      </c>
      <c r="V34" s="2753">
        <f>+V22+V25+V28+V31</f>
        <v>39770.300000000003</v>
      </c>
      <c r="W34" s="1177">
        <f t="shared" ref="W34:W35" si="142">+R34+T34+V34</f>
        <v>117483.29999999999</v>
      </c>
      <c r="X34" s="622">
        <f t="shared" ref="X34:X35" si="143">+U34+V34</f>
        <v>333976.23</v>
      </c>
      <c r="Y34" s="2753">
        <f>+Y22+Y25+Y28+Y31</f>
        <v>40227.800000000003</v>
      </c>
      <c r="Z34" s="622">
        <f t="shared" ref="Z34:Z36" si="144">+X34+Y34</f>
        <v>374204.02999999997</v>
      </c>
      <c r="AA34" s="2753">
        <f>+AA22+AA25+AA28+AA31</f>
        <v>37668.499999999993</v>
      </c>
      <c r="AB34" s="622">
        <f t="shared" ref="AB34:AB36" si="145">+Z34+AA34</f>
        <v>411872.52999999997</v>
      </c>
      <c r="AC34" s="2753">
        <f>+AC22+AC25+AC28+AC31</f>
        <v>38170.299999999996</v>
      </c>
      <c r="AD34" s="624">
        <f t="shared" ref="AD34:AD35" si="146">+Y34+AA34+AC34</f>
        <v>116066.59999999998</v>
      </c>
      <c r="AE34" s="1282">
        <f t="shared" ref="AE34:AE35" si="147">+W34+AD34</f>
        <v>233549.89999999997</v>
      </c>
      <c r="AF34" s="2572">
        <f>+AB34+AC34</f>
        <v>450042.82999999996</v>
      </c>
    </row>
    <row r="35" spans="1:38" ht="35" customHeight="1" thickBot="1" x14ac:dyDescent="0.3">
      <c r="C35" s="8"/>
      <c r="D35" s="8478"/>
      <c r="E35" s="1502" t="s">
        <v>639</v>
      </c>
      <c r="F35" s="2754">
        <f>+F23+F26+F29+F32</f>
        <v>55940.700000000004</v>
      </c>
      <c r="G35" s="2754">
        <f>+G23+G26+G29+G32</f>
        <v>55845</v>
      </c>
      <c r="H35" s="2417">
        <f>SUM(F35:G35)</f>
        <v>111785.70000000001</v>
      </c>
      <c r="I35" s="2754">
        <f>+I23+I26+I29+I32</f>
        <v>62222.9</v>
      </c>
      <c r="J35" s="3474">
        <f t="shared" si="136"/>
        <v>174008.6</v>
      </c>
      <c r="K35" s="2754">
        <f>+K23+K26+K29+K32</f>
        <v>67523</v>
      </c>
      <c r="L35" s="3570">
        <f t="shared" si="137"/>
        <v>241531.6</v>
      </c>
      <c r="M35" s="2754">
        <f>+M23+M26+M29+M32</f>
        <v>73180.86</v>
      </c>
      <c r="N35" s="630">
        <f t="shared" si="138"/>
        <v>314712.46000000002</v>
      </c>
      <c r="O35" s="2754">
        <f>+O23+O26+O29+O32</f>
        <v>66538.95</v>
      </c>
      <c r="P35" s="3017">
        <f t="shared" si="54"/>
        <v>207242.81</v>
      </c>
      <c r="Q35" s="785">
        <f t="shared" si="139"/>
        <v>381251.41000000003</v>
      </c>
      <c r="R35" s="2754">
        <f>+R23+R26+R29+R32</f>
        <v>72125.820000000007</v>
      </c>
      <c r="S35" s="630">
        <f t="shared" si="140"/>
        <v>453377.23000000004</v>
      </c>
      <c r="T35" s="2754">
        <f>+T23+T26+T29+T32</f>
        <v>69823.8</v>
      </c>
      <c r="U35" s="630">
        <f>SUM(S35:T35)</f>
        <v>523201.03</v>
      </c>
      <c r="V35" s="2754">
        <f>+V23+V26+V29+V32</f>
        <v>73060</v>
      </c>
      <c r="W35" s="1178">
        <f t="shared" si="142"/>
        <v>215009.62</v>
      </c>
      <c r="X35" s="1179">
        <f t="shared" si="143"/>
        <v>596261.03</v>
      </c>
      <c r="Y35" s="2754">
        <f>+Y23+Y26+Y29+Y32</f>
        <v>69872</v>
      </c>
      <c r="Z35" s="630">
        <f t="shared" si="144"/>
        <v>666133.03</v>
      </c>
      <c r="AA35" s="2754">
        <f>+AA23+AA26+AA29+AA32</f>
        <v>67402</v>
      </c>
      <c r="AB35" s="1179">
        <f t="shared" si="145"/>
        <v>733535.03</v>
      </c>
      <c r="AC35" s="2754">
        <f>+AC23+AC26+AC29+AC32</f>
        <v>68528</v>
      </c>
      <c r="AD35" s="1283">
        <f t="shared" si="146"/>
        <v>205802</v>
      </c>
      <c r="AE35" s="1284">
        <f t="shared" si="147"/>
        <v>420811.62</v>
      </c>
      <c r="AF35" s="2572">
        <f>+AB35+AC35</f>
        <v>802063.03</v>
      </c>
    </row>
    <row r="36" spans="1:38" ht="35" customHeight="1" thickBot="1" x14ac:dyDescent="0.3">
      <c r="C36" s="8"/>
      <c r="D36" s="8479"/>
      <c r="E36" s="631" t="s">
        <v>615</v>
      </c>
      <c r="F36" s="632">
        <f t="shared" ref="F36:G36" si="148">SUM(F34:F35)</f>
        <v>86476.900000000009</v>
      </c>
      <c r="G36" s="632">
        <f t="shared" si="148"/>
        <v>90447</v>
      </c>
      <c r="H36" s="523">
        <f t="shared" ref="H36:Y36" si="149">SUM(H34:H35)</f>
        <v>176923.90000000002</v>
      </c>
      <c r="I36" s="632">
        <f t="shared" ref="I36" si="150">SUM(I34:I35)</f>
        <v>98380</v>
      </c>
      <c r="J36" s="557">
        <f t="shared" si="149"/>
        <v>275303.90000000002</v>
      </c>
      <c r="K36" s="632">
        <f t="shared" ref="K36" si="151">SUM(K34:K35)</f>
        <v>106856</v>
      </c>
      <c r="L36" s="2384">
        <f t="shared" si="149"/>
        <v>382159.9</v>
      </c>
      <c r="M36" s="632">
        <f t="shared" ref="M36" si="152">SUM(M34:M35)</f>
        <v>112705.39</v>
      </c>
      <c r="N36" s="634">
        <f t="shared" si="149"/>
        <v>494865.29000000004</v>
      </c>
      <c r="O36" s="632">
        <f t="shared" si="149"/>
        <v>102879.05</v>
      </c>
      <c r="P36" s="778">
        <f t="shared" si="149"/>
        <v>322440.44</v>
      </c>
      <c r="Q36" s="779">
        <f t="shared" si="149"/>
        <v>597744.34000000008</v>
      </c>
      <c r="R36" s="632">
        <f t="shared" si="149"/>
        <v>111446.32</v>
      </c>
      <c r="S36" s="634">
        <f t="shared" si="149"/>
        <v>709190.66</v>
      </c>
      <c r="T36" s="632">
        <f t="shared" ref="T36" si="153">SUM(T34:T35)</f>
        <v>108216.29999999999</v>
      </c>
      <c r="U36" s="634">
        <f t="shared" si="149"/>
        <v>817406.96</v>
      </c>
      <c r="V36" s="632">
        <f t="shared" ref="V36" si="154">SUM(V34:V35)</f>
        <v>112830.3</v>
      </c>
      <c r="W36" s="778">
        <f t="shared" si="149"/>
        <v>332492.92</v>
      </c>
      <c r="X36" s="634">
        <f t="shared" si="149"/>
        <v>930237.26</v>
      </c>
      <c r="Y36" s="632">
        <f t="shared" si="149"/>
        <v>110099.8</v>
      </c>
      <c r="Z36" s="634">
        <f t="shared" si="144"/>
        <v>1040337.06</v>
      </c>
      <c r="AA36" s="632">
        <f t="shared" ref="AA36" si="155">SUM(AA34:AA35)</f>
        <v>105070.5</v>
      </c>
      <c r="AB36" s="634">
        <f t="shared" si="145"/>
        <v>1145407.56</v>
      </c>
      <c r="AC36" s="632">
        <f t="shared" ref="AC36" si="156">SUM(AC34:AC35)</f>
        <v>106698.29999999999</v>
      </c>
      <c r="AD36" s="778">
        <f t="shared" ref="AD36:AF36" si="157">SUM(AD34:AD35)</f>
        <v>321868.59999999998</v>
      </c>
      <c r="AE36" s="1277">
        <f t="shared" si="157"/>
        <v>654361.52</v>
      </c>
      <c r="AF36" s="2573">
        <f t="shared" si="157"/>
        <v>1252105.8599999999</v>
      </c>
    </row>
    <row r="37" spans="1:38" ht="35" customHeight="1" thickBot="1" x14ac:dyDescent="0.35">
      <c r="C37" s="8"/>
      <c r="D37" s="635" t="s">
        <v>5</v>
      </c>
      <c r="E37" s="636" t="s">
        <v>281</v>
      </c>
      <c r="F37" s="3751">
        <f>+F717</f>
        <v>235289</v>
      </c>
      <c r="G37" s="3751">
        <f>+G717</f>
        <v>239020</v>
      </c>
      <c r="H37" s="523">
        <f t="shared" si="52"/>
        <v>474309</v>
      </c>
      <c r="I37" s="3751">
        <f>+I717</f>
        <v>260541</v>
      </c>
      <c r="J37" s="557">
        <f t="shared" si="52"/>
        <v>734850</v>
      </c>
      <c r="K37" s="3751">
        <f>+K717</f>
        <v>0</v>
      </c>
      <c r="L37" s="2384">
        <f t="shared" si="52"/>
        <v>734850</v>
      </c>
      <c r="M37" s="3751">
        <f>+M717</f>
        <v>335875</v>
      </c>
      <c r="N37" s="634">
        <f t="shared" si="53"/>
        <v>1070725</v>
      </c>
      <c r="O37" s="3751">
        <f>+O717</f>
        <v>248691</v>
      </c>
      <c r="P37" s="1992">
        <f>+K37+M37+O37</f>
        <v>584566</v>
      </c>
      <c r="Q37" s="780">
        <f t="shared" si="55"/>
        <v>1319416</v>
      </c>
      <c r="R37" s="3751">
        <f>+R717</f>
        <v>276292</v>
      </c>
      <c r="S37" s="641">
        <f t="shared" ref="S37:S49" si="158">+Q37+R37</f>
        <v>1595708</v>
      </c>
      <c r="T37" s="3751">
        <f>+T717</f>
        <v>310927</v>
      </c>
      <c r="U37" s="641">
        <f t="shared" si="57"/>
        <v>1906635</v>
      </c>
      <c r="V37" s="3751">
        <f>+V717</f>
        <v>366651</v>
      </c>
      <c r="W37" s="778">
        <f>+R37+T37+V37</f>
        <v>953870</v>
      </c>
      <c r="X37" s="634">
        <f>+U37+V37</f>
        <v>2273286</v>
      </c>
      <c r="Y37" s="3751">
        <f>+Y717</f>
        <v>347065</v>
      </c>
      <c r="Z37" s="641">
        <f t="shared" si="60"/>
        <v>2620351</v>
      </c>
      <c r="AA37" s="3751">
        <f>+AA717</f>
        <v>341012</v>
      </c>
      <c r="AB37" s="634">
        <f t="shared" si="60"/>
        <v>2961363</v>
      </c>
      <c r="AC37" s="3751">
        <f>+AC717</f>
        <v>320002</v>
      </c>
      <c r="AD37" s="1286">
        <f>+Y37+AA37+AC37</f>
        <v>1008079</v>
      </c>
      <c r="AE37" s="1287">
        <f t="shared" ref="AE37" si="159">+W37+AD37</f>
        <v>1961949</v>
      </c>
      <c r="AF37" s="2572">
        <f>+AB37+AC37</f>
        <v>3281365</v>
      </c>
    </row>
    <row r="38" spans="1:38" s="3170" customFormat="1" ht="35" customHeight="1" x14ac:dyDescent="0.25">
      <c r="C38" s="4353"/>
      <c r="D38" s="8489" t="s">
        <v>6</v>
      </c>
      <c r="E38" s="3603" t="s">
        <v>3</v>
      </c>
      <c r="F38" s="3603"/>
      <c r="G38" s="3603"/>
      <c r="H38" s="3603"/>
      <c r="I38" s="3603"/>
      <c r="J38" s="3603"/>
      <c r="K38" s="3603"/>
      <c r="L38" s="3602"/>
      <c r="M38" s="3603"/>
      <c r="N38" s="3602"/>
      <c r="O38" s="3603"/>
      <c r="P38" s="3602"/>
      <c r="Q38" s="3602"/>
      <c r="R38" s="3603"/>
      <c r="S38" s="3602"/>
      <c r="T38" s="3603"/>
      <c r="U38" s="3602"/>
      <c r="V38" s="3603"/>
      <c r="W38" s="3602"/>
      <c r="X38" s="3602"/>
      <c r="Y38" s="3603"/>
      <c r="Z38" s="3602"/>
      <c r="AA38" s="3603"/>
      <c r="AB38" s="4354"/>
      <c r="AC38" s="3603"/>
      <c r="AD38" s="4354"/>
      <c r="AE38" s="3602"/>
      <c r="AF38" s="3602"/>
      <c r="AG38" s="4756"/>
      <c r="AH38" s="4756"/>
      <c r="AI38" s="4756"/>
      <c r="AJ38" s="4756"/>
      <c r="AK38" s="4756"/>
      <c r="AL38" s="4756"/>
    </row>
    <row r="39" spans="1:38" ht="35" customHeight="1" thickBot="1" x14ac:dyDescent="0.3">
      <c r="D39" s="8489"/>
      <c r="E39" s="637" t="s">
        <v>282</v>
      </c>
      <c r="F39" s="3165">
        <v>143766</v>
      </c>
      <c r="G39" s="3165">
        <v>152132</v>
      </c>
      <c r="H39" s="3506">
        <f t="shared" si="52"/>
        <v>295898</v>
      </c>
      <c r="I39" s="3165">
        <v>167381</v>
      </c>
      <c r="J39" s="3472">
        <f t="shared" si="52"/>
        <v>463279</v>
      </c>
      <c r="K39" s="3165">
        <v>190559</v>
      </c>
      <c r="L39" s="3567">
        <f t="shared" si="52"/>
        <v>653838</v>
      </c>
      <c r="M39" s="3165">
        <v>229309</v>
      </c>
      <c r="N39" s="616">
        <f t="shared" si="53"/>
        <v>883147</v>
      </c>
      <c r="O39" s="3165">
        <v>166018</v>
      </c>
      <c r="P39" s="3018">
        <f t="shared" ref="P39" si="160">+K39+M39+O39</f>
        <v>585886</v>
      </c>
      <c r="Q39" s="782">
        <f t="shared" ref="Q39" si="161">+N39+O39</f>
        <v>1049165</v>
      </c>
      <c r="R39" s="3165">
        <v>195036</v>
      </c>
      <c r="S39" s="616">
        <f t="shared" si="158"/>
        <v>1244201</v>
      </c>
      <c r="T39" s="3165">
        <v>211077</v>
      </c>
      <c r="U39" s="616">
        <f t="shared" si="57"/>
        <v>1455278</v>
      </c>
      <c r="V39" s="3165">
        <v>250305</v>
      </c>
      <c r="W39" s="1178">
        <f t="shared" ref="W39" si="162">+R39+T39+V39</f>
        <v>656418</v>
      </c>
      <c r="X39" s="1179">
        <f t="shared" ref="X39" si="163">+U39+V39</f>
        <v>1705583</v>
      </c>
      <c r="Y39" s="3165">
        <v>240311</v>
      </c>
      <c r="Z39" s="616">
        <f t="shared" si="60"/>
        <v>1945894</v>
      </c>
      <c r="AA39" s="3165">
        <v>234647</v>
      </c>
      <c r="AB39" s="620">
        <f t="shared" si="60"/>
        <v>2180541</v>
      </c>
      <c r="AC39" s="3165">
        <v>219210</v>
      </c>
      <c r="AD39" s="615">
        <f t="shared" ref="AD39" si="164">+Y39+AA39+AC39</f>
        <v>694168</v>
      </c>
      <c r="AE39" s="1280">
        <f t="shared" ref="AE39" si="165">+W39+AD39</f>
        <v>1350586</v>
      </c>
      <c r="AF39" s="2572">
        <f>+AB39+AC39</f>
        <v>2399751</v>
      </c>
    </row>
    <row r="40" spans="1:38" ht="35" customHeight="1" thickBot="1" x14ac:dyDescent="0.3">
      <c r="D40" s="8524"/>
      <c r="E40" s="638" t="s">
        <v>97</v>
      </c>
      <c r="F40" s="639">
        <f t="shared" ref="F40:G40" si="166">SUM(F39:F39)</f>
        <v>143766</v>
      </c>
      <c r="G40" s="639">
        <f t="shared" si="166"/>
        <v>152132</v>
      </c>
      <c r="H40" s="1922">
        <f t="shared" ref="H40:AF40" si="167">SUM(H39:H39)</f>
        <v>295898</v>
      </c>
      <c r="I40" s="639">
        <f t="shared" ref="I40" si="168">SUM(I39:I39)</f>
        <v>167381</v>
      </c>
      <c r="J40" s="1943">
        <f t="shared" si="167"/>
        <v>463279</v>
      </c>
      <c r="K40" s="639">
        <f t="shared" ref="K40" si="169">SUM(K39:K39)</f>
        <v>190559</v>
      </c>
      <c r="L40" s="3571">
        <f t="shared" si="167"/>
        <v>653838</v>
      </c>
      <c r="M40" s="639">
        <f t="shared" ref="M40" si="170">SUM(M39:M39)</f>
        <v>229309</v>
      </c>
      <c r="N40" s="641">
        <f t="shared" si="167"/>
        <v>883147</v>
      </c>
      <c r="O40" s="639">
        <f t="shared" ref="O40" si="171">SUM(O39:O39)</f>
        <v>166018</v>
      </c>
      <c r="P40" s="640">
        <f t="shared" si="167"/>
        <v>585886</v>
      </c>
      <c r="Q40" s="861">
        <f t="shared" si="167"/>
        <v>1049165</v>
      </c>
      <c r="R40" s="639">
        <f t="shared" ref="R40" si="172">SUM(R39:R39)</f>
        <v>195036</v>
      </c>
      <c r="S40" s="641">
        <f t="shared" si="167"/>
        <v>1244201</v>
      </c>
      <c r="T40" s="639">
        <f t="shared" ref="T40" si="173">SUM(T39:T39)</f>
        <v>211077</v>
      </c>
      <c r="U40" s="641">
        <f t="shared" si="167"/>
        <v>1455278</v>
      </c>
      <c r="V40" s="639">
        <f t="shared" ref="V40" si="174">SUM(V39:V39)</f>
        <v>250305</v>
      </c>
      <c r="W40" s="778">
        <f t="shared" si="167"/>
        <v>656418</v>
      </c>
      <c r="X40" s="634">
        <f t="shared" si="167"/>
        <v>1705583</v>
      </c>
      <c r="Y40" s="639">
        <f t="shared" ref="Y40" si="175">SUM(Y39:Y39)</f>
        <v>240311</v>
      </c>
      <c r="Z40" s="641">
        <f t="shared" si="167"/>
        <v>1945894</v>
      </c>
      <c r="AA40" s="639">
        <f t="shared" ref="AA40" si="176">SUM(AA39:AA39)</f>
        <v>234647</v>
      </c>
      <c r="AB40" s="634">
        <f t="shared" si="167"/>
        <v>2180541</v>
      </c>
      <c r="AC40" s="639">
        <f t="shared" ref="AC40" si="177">SUM(AC39:AC39)</f>
        <v>219210</v>
      </c>
      <c r="AD40" s="640">
        <f t="shared" si="167"/>
        <v>694168</v>
      </c>
      <c r="AE40" s="1278">
        <f t="shared" si="167"/>
        <v>1350586</v>
      </c>
      <c r="AF40" s="2574">
        <f t="shared" si="167"/>
        <v>2399751</v>
      </c>
    </row>
    <row r="41" spans="1:38" s="3170" customFormat="1" ht="35" customHeight="1" x14ac:dyDescent="0.25">
      <c r="C41" s="3170">
        <v>26.524979999999999</v>
      </c>
      <c r="D41" s="8488" t="s">
        <v>7</v>
      </c>
      <c r="E41" s="3603" t="s">
        <v>499</v>
      </c>
      <c r="F41" s="3602"/>
      <c r="G41" s="3602"/>
      <c r="H41" s="3603"/>
      <c r="I41" s="3602"/>
      <c r="J41" s="3602"/>
      <c r="K41" s="3602"/>
      <c r="L41" s="3602"/>
      <c r="M41" s="3602"/>
      <c r="N41" s="3602"/>
      <c r="O41" s="3602"/>
      <c r="P41" s="3602"/>
      <c r="Q41" s="3602"/>
      <c r="R41" s="3602"/>
      <c r="S41" s="3602"/>
      <c r="T41" s="3602"/>
      <c r="U41" s="3602"/>
      <c r="V41" s="3602"/>
      <c r="W41" s="3602"/>
      <c r="X41" s="3602"/>
      <c r="Y41" s="3602"/>
      <c r="Z41" s="3602"/>
      <c r="AA41" s="3602"/>
      <c r="AB41" s="3602"/>
      <c r="AC41" s="3602"/>
      <c r="AD41" s="3602"/>
      <c r="AE41" s="3602"/>
      <c r="AF41" s="3602"/>
      <c r="AG41" s="4756"/>
      <c r="AH41" s="4756"/>
      <c r="AI41" s="4756"/>
      <c r="AJ41" s="4756"/>
      <c r="AK41" s="4756"/>
      <c r="AL41" s="4756"/>
    </row>
    <row r="42" spans="1:38" ht="35" customHeight="1" x14ac:dyDescent="0.25">
      <c r="C42" s="2">
        <v>15.830399999999999</v>
      </c>
      <c r="D42" s="8489"/>
      <c r="E42" s="4974" t="s">
        <v>1425</v>
      </c>
      <c r="F42" s="4976">
        <v>3047</v>
      </c>
      <c r="G42" s="4976">
        <v>2899</v>
      </c>
      <c r="H42" s="4975">
        <f t="shared" ref="H42:H43" si="178">SUM(F42:G42)</f>
        <v>5946</v>
      </c>
      <c r="I42" s="4976">
        <v>2804</v>
      </c>
      <c r="J42" s="4975">
        <f t="shared" si="52"/>
        <v>8750</v>
      </c>
      <c r="K42" s="4976">
        <v>8503</v>
      </c>
      <c r="L42" s="4977">
        <f t="shared" si="52"/>
        <v>17253</v>
      </c>
      <c r="M42" s="4976">
        <v>5056</v>
      </c>
      <c r="N42" s="4977">
        <f t="shared" si="53"/>
        <v>22309</v>
      </c>
      <c r="O42" s="4976">
        <f>3479+1178</f>
        <v>4657</v>
      </c>
      <c r="P42" s="4978">
        <f t="shared" ref="P42:P49" si="179">+K42+M42+O42</f>
        <v>18216</v>
      </c>
      <c r="Q42" s="4977">
        <f t="shared" si="55"/>
        <v>26966</v>
      </c>
      <c r="R42" s="4976">
        <v>6703</v>
      </c>
      <c r="S42" s="4979">
        <f t="shared" ref="S42:S43" si="180">+Q42+R42</f>
        <v>33669</v>
      </c>
      <c r="T42" s="4976">
        <v>13729</v>
      </c>
      <c r="U42" s="4979">
        <f t="shared" ref="U42" si="181">+S42+T42</f>
        <v>47398</v>
      </c>
      <c r="V42" s="4976">
        <v>12623</v>
      </c>
      <c r="W42" s="1176">
        <f t="shared" ref="W42:W44" si="182">+R42+T42+V42</f>
        <v>33055</v>
      </c>
      <c r="X42" s="620">
        <f t="shared" ref="X42:X44" si="183">+U42+V42</f>
        <v>60021</v>
      </c>
      <c r="Y42" s="4976">
        <v>8529</v>
      </c>
      <c r="Z42" s="4979">
        <f t="shared" ref="Z42:Z44" si="184">+X42+Y42</f>
        <v>68550</v>
      </c>
      <c r="AA42" s="4976">
        <v>9429</v>
      </c>
      <c r="AB42" s="620">
        <f t="shared" ref="AB42:AB44" si="185">+Z42+AA42</f>
        <v>77979</v>
      </c>
      <c r="AC42" s="4976">
        <v>13226</v>
      </c>
      <c r="AD42" s="615">
        <f t="shared" ref="AD42:AD44" si="186">+Y42+AA42+AC42</f>
        <v>31184</v>
      </c>
      <c r="AE42" s="1280">
        <f t="shared" ref="AE42:AE44" si="187">+W42+AD42</f>
        <v>64239</v>
      </c>
      <c r="AF42" s="2572">
        <f t="shared" ref="AF42:AF49" si="188">+AB42+AC42</f>
        <v>91205</v>
      </c>
    </row>
    <row r="43" spans="1:38" ht="35" customHeight="1" x14ac:dyDescent="0.25">
      <c r="D43" s="8489"/>
      <c r="E43" s="4974" t="s">
        <v>1426</v>
      </c>
      <c r="F43" s="4976">
        <v>201</v>
      </c>
      <c r="G43" s="4976">
        <v>191</v>
      </c>
      <c r="H43" s="4975">
        <f t="shared" si="178"/>
        <v>392</v>
      </c>
      <c r="I43" s="4976">
        <v>185</v>
      </c>
      <c r="J43" s="4975">
        <f t="shared" si="52"/>
        <v>577</v>
      </c>
      <c r="K43" s="4976">
        <v>561</v>
      </c>
      <c r="L43" s="4977">
        <f t="shared" si="52"/>
        <v>1138</v>
      </c>
      <c r="M43" s="4976">
        <v>341</v>
      </c>
      <c r="N43" s="4977">
        <f t="shared" si="53"/>
        <v>1479</v>
      </c>
      <c r="O43" s="4976">
        <v>313</v>
      </c>
      <c r="P43" s="4978">
        <f t="shared" si="179"/>
        <v>1215</v>
      </c>
      <c r="Q43" s="4977">
        <f t="shared" si="55"/>
        <v>1792</v>
      </c>
      <c r="R43" s="4976">
        <v>518</v>
      </c>
      <c r="S43" s="4979">
        <f t="shared" si="180"/>
        <v>2310</v>
      </c>
      <c r="T43" s="4976">
        <v>905</v>
      </c>
      <c r="U43" s="4979">
        <f>SUM(S43:T43)</f>
        <v>3215</v>
      </c>
      <c r="V43" s="4976">
        <v>832</v>
      </c>
      <c r="W43" s="1176">
        <f t="shared" si="182"/>
        <v>2255</v>
      </c>
      <c r="X43" s="620">
        <f t="shared" si="183"/>
        <v>4047</v>
      </c>
      <c r="Y43" s="4976">
        <v>562</v>
      </c>
      <c r="Z43" s="4979">
        <f t="shared" si="184"/>
        <v>4609</v>
      </c>
      <c r="AA43" s="4976">
        <v>622</v>
      </c>
      <c r="AB43" s="620">
        <f>+Z43+AA43</f>
        <v>5231</v>
      </c>
      <c r="AC43" s="4976">
        <v>872</v>
      </c>
      <c r="AD43" s="615">
        <f t="shared" ref="AD43" si="189">+Y43+AA43+AC43</f>
        <v>2056</v>
      </c>
      <c r="AE43" s="1280">
        <f t="shared" ref="AE43" si="190">+W43+AD43</f>
        <v>4311</v>
      </c>
      <c r="AF43" s="2572">
        <f t="shared" si="188"/>
        <v>6103</v>
      </c>
    </row>
    <row r="44" spans="1:38" ht="33.75" customHeight="1" thickBot="1" x14ac:dyDescent="0.3">
      <c r="D44" s="8489"/>
      <c r="E44" s="4980" t="s">
        <v>507</v>
      </c>
      <c r="F44" s="5003">
        <v>2418</v>
      </c>
      <c r="G44" s="5003">
        <v>4190</v>
      </c>
      <c r="H44" s="4977">
        <f t="shared" si="52"/>
        <v>6608</v>
      </c>
      <c r="I44" s="5003">
        <v>4452</v>
      </c>
      <c r="J44" s="4977">
        <f t="shared" si="52"/>
        <v>11060</v>
      </c>
      <c r="K44" s="5003">
        <v>2813</v>
      </c>
      <c r="L44" s="4982">
        <f t="shared" si="52"/>
        <v>13873</v>
      </c>
      <c r="M44" s="4981">
        <v>6142</v>
      </c>
      <c r="N44" s="4983">
        <f t="shared" si="53"/>
        <v>20015</v>
      </c>
      <c r="O44" s="4981">
        <v>6105</v>
      </c>
      <c r="P44" s="4984">
        <f t="shared" si="179"/>
        <v>15060</v>
      </c>
      <c r="Q44" s="4975">
        <f t="shared" si="55"/>
        <v>26120</v>
      </c>
      <c r="R44" s="4981">
        <v>5596</v>
      </c>
      <c r="S44" s="4985">
        <f t="shared" si="158"/>
        <v>31716</v>
      </c>
      <c r="T44" s="5003">
        <v>5686.5</v>
      </c>
      <c r="U44" s="4979">
        <f t="shared" si="57"/>
        <v>37402.5</v>
      </c>
      <c r="V44" s="5003">
        <v>2905.92</v>
      </c>
      <c r="W44" s="1176">
        <f t="shared" si="182"/>
        <v>14188.42</v>
      </c>
      <c r="X44" s="620">
        <f t="shared" si="183"/>
        <v>40308.42</v>
      </c>
      <c r="Y44" s="5003">
        <v>7767.28</v>
      </c>
      <c r="Z44" s="4979">
        <f t="shared" si="184"/>
        <v>48075.7</v>
      </c>
      <c r="AA44" s="5003">
        <v>3268</v>
      </c>
      <c r="AB44" s="620">
        <f t="shared" si="185"/>
        <v>51343.7</v>
      </c>
      <c r="AC44" s="5003">
        <v>6946</v>
      </c>
      <c r="AD44" s="647">
        <f t="shared" si="186"/>
        <v>17981.28</v>
      </c>
      <c r="AE44" s="1280">
        <f t="shared" si="187"/>
        <v>32169.699999999997</v>
      </c>
      <c r="AF44" s="2572">
        <f t="shared" si="188"/>
        <v>58289.7</v>
      </c>
    </row>
    <row r="45" spans="1:38" ht="35" customHeight="1" thickBot="1" x14ac:dyDescent="0.3">
      <c r="D45" s="8487"/>
      <c r="E45" s="4986" t="s">
        <v>97</v>
      </c>
      <c r="F45" s="4987">
        <f t="shared" ref="F45:G45" si="191">SUM(F42:F44)</f>
        <v>5666</v>
      </c>
      <c r="G45" s="4987">
        <f t="shared" si="191"/>
        <v>7280</v>
      </c>
      <c r="H45" s="4988">
        <f t="shared" ref="H45:U45" si="192">SUM(H42:H44)</f>
        <v>12946</v>
      </c>
      <c r="I45" s="4987">
        <f t="shared" ref="I45" si="193">SUM(I42:I44)</f>
        <v>7441</v>
      </c>
      <c r="J45" s="4988">
        <f t="shared" si="192"/>
        <v>20387</v>
      </c>
      <c r="K45" s="4987">
        <f t="shared" ref="K45" si="194">SUM(K42:K44)</f>
        <v>11877</v>
      </c>
      <c r="L45" s="4988">
        <f t="shared" si="192"/>
        <v>32264</v>
      </c>
      <c r="M45" s="4987">
        <f t="shared" ref="M45" si="195">SUM(M42:M44)</f>
        <v>11539</v>
      </c>
      <c r="N45" s="4988">
        <f t="shared" si="192"/>
        <v>43803</v>
      </c>
      <c r="O45" s="4987">
        <f t="shared" si="192"/>
        <v>11075</v>
      </c>
      <c r="P45" s="4988">
        <f t="shared" si="192"/>
        <v>34491</v>
      </c>
      <c r="Q45" s="4988">
        <f t="shared" si="192"/>
        <v>54878</v>
      </c>
      <c r="R45" s="4987">
        <f t="shared" si="192"/>
        <v>12817</v>
      </c>
      <c r="S45" s="4988">
        <f t="shared" si="192"/>
        <v>67695</v>
      </c>
      <c r="T45" s="4987">
        <f t="shared" ref="T45" si="196">SUM(T42:T44)</f>
        <v>20320.5</v>
      </c>
      <c r="U45" s="4988">
        <f t="shared" si="192"/>
        <v>88015.5</v>
      </c>
      <c r="V45" s="4987">
        <f t="shared" ref="V45" si="197">SUM(V42:V44)</f>
        <v>16360.92</v>
      </c>
      <c r="W45" s="778">
        <f>SUM(W42:W42)</f>
        <v>33055</v>
      </c>
      <c r="X45" s="634">
        <f t="shared" ref="X45:AF45" si="198">SUM(X42:X44)</f>
        <v>104376.42</v>
      </c>
      <c r="Y45" s="4987">
        <f t="shared" si="198"/>
        <v>16858.28</v>
      </c>
      <c r="Z45" s="4988">
        <f t="shared" si="198"/>
        <v>121234.7</v>
      </c>
      <c r="AA45" s="4987">
        <f t="shared" ref="AA45" si="199">SUM(AA42:AA44)</f>
        <v>13319</v>
      </c>
      <c r="AB45" s="634">
        <f t="shared" si="198"/>
        <v>134553.70000000001</v>
      </c>
      <c r="AC45" s="4987">
        <f t="shared" ref="AC45" si="200">SUM(AC42:AC44)</f>
        <v>21044</v>
      </c>
      <c r="AD45" s="633">
        <f t="shared" si="198"/>
        <v>51221.279999999999</v>
      </c>
      <c r="AE45" s="1278">
        <f t="shared" si="198"/>
        <v>100719.7</v>
      </c>
      <c r="AF45" s="2574">
        <f t="shared" si="198"/>
        <v>155597.70000000001</v>
      </c>
    </row>
    <row r="46" spans="1:38" ht="31" x14ac:dyDescent="0.25">
      <c r="A46" s="2">
        <f>86703-76333</f>
        <v>10370</v>
      </c>
      <c r="D46" s="8486" t="s">
        <v>8</v>
      </c>
      <c r="E46" s="4989" t="s">
        <v>1085</v>
      </c>
      <c r="F46" s="4990">
        <v>53267</v>
      </c>
      <c r="G46" s="4990">
        <v>56520</v>
      </c>
      <c r="H46" s="4991">
        <f>SUM(F46:G46)</f>
        <v>109787</v>
      </c>
      <c r="I46" s="4990">
        <v>62698</v>
      </c>
      <c r="J46" s="4991">
        <f>SUM(H46:I46)</f>
        <v>172485</v>
      </c>
      <c r="K46" s="4990">
        <v>73739</v>
      </c>
      <c r="L46" s="4991">
        <f>SUM(J46:K46)</f>
        <v>246224</v>
      </c>
      <c r="M46" s="4990">
        <f>74162+13000</f>
        <v>87162</v>
      </c>
      <c r="N46" s="4991">
        <f>SUM(L46:M46)</f>
        <v>333386</v>
      </c>
      <c r="O46" s="4990">
        <v>52687</v>
      </c>
      <c r="P46" s="4978">
        <f t="shared" si="179"/>
        <v>213588</v>
      </c>
      <c r="Q46" s="4991">
        <f>+N46+O46</f>
        <v>386073</v>
      </c>
      <c r="R46" s="4990">
        <f>57374+14000</f>
        <v>71374</v>
      </c>
      <c r="S46" s="4991">
        <f>SUM(Q46:R46)</f>
        <v>457447</v>
      </c>
      <c r="T46" s="4990">
        <f>69190+20000</f>
        <v>89190</v>
      </c>
      <c r="U46" s="4991">
        <f>SUM(S46:T46)</f>
        <v>546637</v>
      </c>
      <c r="V46" s="4990">
        <v>77243</v>
      </c>
      <c r="W46" s="2385">
        <f t="shared" si="58"/>
        <v>237807</v>
      </c>
      <c r="X46" s="643">
        <f t="shared" si="59"/>
        <v>623880</v>
      </c>
      <c r="Y46" s="4990">
        <v>77620</v>
      </c>
      <c r="Z46" s="4991">
        <f t="shared" si="60"/>
        <v>701500</v>
      </c>
      <c r="AA46" s="4990">
        <v>82236</v>
      </c>
      <c r="AB46" s="643">
        <f t="shared" si="60"/>
        <v>783736</v>
      </c>
      <c r="AC46" s="4990">
        <v>76133</v>
      </c>
      <c r="AD46" s="624">
        <f t="shared" ref="AD46" si="201">+Y46+AA46+AC46</f>
        <v>235989</v>
      </c>
      <c r="AE46" s="1282">
        <f t="shared" ref="AE46" si="202">+W46+AD46</f>
        <v>473796</v>
      </c>
      <c r="AF46" s="2572">
        <f t="shared" si="188"/>
        <v>859869</v>
      </c>
    </row>
    <row r="47" spans="1:38" ht="35" customHeight="1" x14ac:dyDescent="0.25">
      <c r="D47" s="8487"/>
      <c r="E47" s="645" t="s">
        <v>421</v>
      </c>
      <c r="F47" s="3147">
        <v>55719</v>
      </c>
      <c r="G47" s="3147">
        <v>52052</v>
      </c>
      <c r="H47" s="367">
        <f t="shared" si="52"/>
        <v>107771</v>
      </c>
      <c r="I47" s="3147">
        <v>61691</v>
      </c>
      <c r="J47" s="369">
        <f t="shared" si="52"/>
        <v>169462</v>
      </c>
      <c r="K47" s="3147">
        <v>63617</v>
      </c>
      <c r="L47" s="2478">
        <f t="shared" si="52"/>
        <v>233079</v>
      </c>
      <c r="M47" s="3147">
        <v>72679</v>
      </c>
      <c r="N47" s="643">
        <f t="shared" si="53"/>
        <v>305758</v>
      </c>
      <c r="O47" s="3147">
        <v>52687</v>
      </c>
      <c r="P47" s="1945">
        <f t="shared" si="179"/>
        <v>188983</v>
      </c>
      <c r="Q47" s="2219">
        <f t="shared" si="55"/>
        <v>358445</v>
      </c>
      <c r="R47" s="4962">
        <v>57374</v>
      </c>
      <c r="S47" s="643">
        <f t="shared" si="158"/>
        <v>415819</v>
      </c>
      <c r="T47" s="3147">
        <v>69190</v>
      </c>
      <c r="U47" s="643">
        <f t="shared" si="57"/>
        <v>485009</v>
      </c>
      <c r="V47" s="3147">
        <v>77243</v>
      </c>
      <c r="W47" s="2385">
        <f t="shared" si="58"/>
        <v>203807</v>
      </c>
      <c r="X47" s="643">
        <f t="shared" si="59"/>
        <v>562252</v>
      </c>
      <c r="Y47" s="3147">
        <v>74753</v>
      </c>
      <c r="Z47" s="643">
        <f t="shared" si="60"/>
        <v>637005</v>
      </c>
      <c r="AA47" s="3147">
        <v>81888</v>
      </c>
      <c r="AB47" s="643">
        <f t="shared" si="60"/>
        <v>718893</v>
      </c>
      <c r="AC47" s="3147">
        <v>88816</v>
      </c>
      <c r="AD47" s="624">
        <f t="shared" si="61"/>
        <v>245457</v>
      </c>
      <c r="AE47" s="1282">
        <f t="shared" si="62"/>
        <v>449264</v>
      </c>
      <c r="AF47" s="2572">
        <f t="shared" si="188"/>
        <v>807709</v>
      </c>
    </row>
    <row r="48" spans="1:38" ht="35" customHeight="1" x14ac:dyDescent="0.25">
      <c r="A48" s="2">
        <f>+A46/3</f>
        <v>3456.6666666666665</v>
      </c>
      <c r="D48" s="4178"/>
      <c r="E48" s="646" t="s">
        <v>346</v>
      </c>
      <c r="F48" s="2479">
        <v>131608</v>
      </c>
      <c r="G48" s="2479">
        <v>136603</v>
      </c>
      <c r="H48" s="1813">
        <f t="shared" si="52"/>
        <v>268211</v>
      </c>
      <c r="I48" s="2479">
        <v>149590</v>
      </c>
      <c r="J48" s="1945">
        <f t="shared" si="52"/>
        <v>417801</v>
      </c>
      <c r="K48" s="2479">
        <v>163478</v>
      </c>
      <c r="L48" s="3572">
        <f t="shared" si="52"/>
        <v>581279</v>
      </c>
      <c r="M48" s="2479">
        <v>208900</v>
      </c>
      <c r="N48" s="642">
        <f t="shared" si="53"/>
        <v>790179</v>
      </c>
      <c r="O48" s="2479">
        <v>155000</v>
      </c>
      <c r="P48" s="1945">
        <f t="shared" si="179"/>
        <v>527378</v>
      </c>
      <c r="Q48" s="2219">
        <f t="shared" si="55"/>
        <v>945179</v>
      </c>
      <c r="R48" s="2479">
        <v>178280</v>
      </c>
      <c r="S48" s="642">
        <f t="shared" si="158"/>
        <v>1123459</v>
      </c>
      <c r="T48" s="2479">
        <v>182777</v>
      </c>
      <c r="U48" s="642">
        <f t="shared" si="57"/>
        <v>1306236</v>
      </c>
      <c r="V48" s="2479">
        <v>213280</v>
      </c>
      <c r="W48" s="1188">
        <f t="shared" ref="W48" si="203">+R48+T48+V48</f>
        <v>574337</v>
      </c>
      <c r="X48" s="642">
        <f t="shared" ref="X48" si="204">+U48+V48</f>
        <v>1519516</v>
      </c>
      <c r="Y48" s="2479">
        <v>212375</v>
      </c>
      <c r="Z48" s="642">
        <f t="shared" si="60"/>
        <v>1731891</v>
      </c>
      <c r="AA48" s="2479">
        <v>200520</v>
      </c>
      <c r="AB48" s="643">
        <f t="shared" si="60"/>
        <v>1932411</v>
      </c>
      <c r="AC48" s="2479">
        <v>187422</v>
      </c>
      <c r="AD48" s="647">
        <f t="shared" ref="AD48" si="205">+Y48+AA48+AC48</f>
        <v>600317</v>
      </c>
      <c r="AE48" s="1281">
        <f t="shared" ref="AE48" si="206">+W48+AD48</f>
        <v>1174654</v>
      </c>
      <c r="AF48" s="2572">
        <f t="shared" si="188"/>
        <v>2119833</v>
      </c>
    </row>
    <row r="49" spans="1:77" ht="34.5" customHeight="1" x14ac:dyDescent="0.3">
      <c r="A49" s="2">
        <f>+A48/140</f>
        <v>24.69047619047619</v>
      </c>
      <c r="C49" s="14"/>
      <c r="D49" s="648" t="s">
        <v>74</v>
      </c>
      <c r="E49" s="646" t="s">
        <v>310</v>
      </c>
      <c r="F49" s="3293">
        <v>129292</v>
      </c>
      <c r="G49" s="3293">
        <v>134303</v>
      </c>
      <c r="H49" s="1813">
        <f t="shared" si="52"/>
        <v>263595</v>
      </c>
      <c r="I49" s="3293">
        <v>147382</v>
      </c>
      <c r="J49" s="1945">
        <f t="shared" si="52"/>
        <v>410977</v>
      </c>
      <c r="K49" s="3293">
        <v>160929</v>
      </c>
      <c r="L49" s="3572">
        <f t="shared" si="52"/>
        <v>571906</v>
      </c>
      <c r="M49" s="3293">
        <v>202150</v>
      </c>
      <c r="N49" s="642">
        <f t="shared" si="53"/>
        <v>774056</v>
      </c>
      <c r="O49" s="3293">
        <v>150010</v>
      </c>
      <c r="P49" s="1945">
        <f t="shared" si="179"/>
        <v>513089</v>
      </c>
      <c r="Q49" s="2219">
        <f t="shared" si="55"/>
        <v>924066</v>
      </c>
      <c r="R49" s="3293">
        <v>173129</v>
      </c>
      <c r="S49" s="642">
        <f t="shared" si="158"/>
        <v>1097195</v>
      </c>
      <c r="T49" s="3293">
        <v>176039</v>
      </c>
      <c r="U49" s="642">
        <f t="shared" si="57"/>
        <v>1273234</v>
      </c>
      <c r="V49" s="3293">
        <v>207005</v>
      </c>
      <c r="W49" s="1188">
        <f t="shared" si="58"/>
        <v>556173</v>
      </c>
      <c r="X49" s="642">
        <f t="shared" si="59"/>
        <v>1480239</v>
      </c>
      <c r="Y49" s="3293">
        <v>208345</v>
      </c>
      <c r="Z49" s="642">
        <f t="shared" si="60"/>
        <v>1688584</v>
      </c>
      <c r="AA49" s="3293">
        <v>197000</v>
      </c>
      <c r="AB49" s="642">
        <f t="shared" si="60"/>
        <v>1885584</v>
      </c>
      <c r="AC49" s="3293">
        <v>183944</v>
      </c>
      <c r="AD49" s="647">
        <f t="shared" si="61"/>
        <v>589289</v>
      </c>
      <c r="AE49" s="1281">
        <f t="shared" si="62"/>
        <v>1145462</v>
      </c>
      <c r="AF49" s="2572">
        <f t="shared" si="188"/>
        <v>2069528</v>
      </c>
    </row>
    <row r="50" spans="1:77" ht="35" customHeight="1" thickBot="1" x14ac:dyDescent="0.4">
      <c r="C50" s="14"/>
      <c r="D50" s="8483" t="s">
        <v>75</v>
      </c>
      <c r="E50" s="649" t="s">
        <v>124</v>
      </c>
      <c r="F50" s="3384"/>
      <c r="G50" s="3384"/>
      <c r="H50" s="3752"/>
      <c r="I50" s="3384"/>
      <c r="J50" s="3384"/>
      <c r="K50" s="3384"/>
      <c r="L50" s="3384"/>
      <c r="M50" s="3384"/>
      <c r="N50" s="3384"/>
      <c r="O50" s="3384"/>
      <c r="P50" s="346"/>
      <c r="Q50" s="2273"/>
      <c r="R50" s="3384"/>
      <c r="S50" s="2273"/>
      <c r="T50" s="3384"/>
      <c r="U50" s="2273"/>
      <c r="V50" s="3384"/>
      <c r="W50" s="650"/>
      <c r="X50" s="2442"/>
      <c r="Y50" s="3384"/>
      <c r="Z50" s="2273"/>
      <c r="AA50" s="3384"/>
      <c r="AB50" s="2468"/>
      <c r="AC50" s="3384"/>
      <c r="AD50" s="2468"/>
      <c r="AE50" s="1288"/>
      <c r="AF50" s="2575"/>
    </row>
    <row r="51" spans="1:77" ht="34.5" customHeight="1" x14ac:dyDescent="0.35">
      <c r="A51" s="70">
        <f>241830/AB56</f>
        <v>0.13175438797216527</v>
      </c>
      <c r="D51" s="8484"/>
      <c r="E51" s="646" t="s">
        <v>552</v>
      </c>
      <c r="F51" s="3293">
        <v>21768</v>
      </c>
      <c r="G51" s="3293">
        <v>36077</v>
      </c>
      <c r="H51" s="1813">
        <f t="shared" ref="H51:L56" si="207">+F51+G51</f>
        <v>57845</v>
      </c>
      <c r="I51" s="3293">
        <v>43155.667699999991</v>
      </c>
      <c r="J51" s="1945">
        <f>SUM(H51:I51)</f>
        <v>101000.66769999999</v>
      </c>
      <c r="K51" s="3293">
        <v>59289.8</v>
      </c>
      <c r="L51" s="3572">
        <f t="shared" si="207"/>
        <v>160290.46769999998</v>
      </c>
      <c r="M51" s="3293">
        <v>38786</v>
      </c>
      <c r="N51" s="642">
        <f t="shared" ref="N51:N56" si="208">+L51+M51</f>
        <v>199076.46769999998</v>
      </c>
      <c r="O51" s="3293">
        <v>20264</v>
      </c>
      <c r="P51" s="1945">
        <f t="shared" ref="P51:P55" si="209">+K51+M51+O51</f>
        <v>118339.8</v>
      </c>
      <c r="Q51" s="784">
        <f t="shared" ref="Q51" si="210">+N51+O51</f>
        <v>219340.46769999998</v>
      </c>
      <c r="R51" s="3293">
        <v>2702</v>
      </c>
      <c r="S51" s="620">
        <f t="shared" ref="S51:S56" si="211">+Q51+R51</f>
        <v>222042.46769999998</v>
      </c>
      <c r="T51" s="3293">
        <v>31761</v>
      </c>
      <c r="U51" s="620">
        <f t="shared" ref="U51:U56" si="212">+S51+T51</f>
        <v>253803.46769999998</v>
      </c>
      <c r="V51" s="3293">
        <v>46722</v>
      </c>
      <c r="W51" s="1176">
        <f t="shared" si="58"/>
        <v>81185</v>
      </c>
      <c r="X51" s="620">
        <f t="shared" ref="X51:X55" si="213">+U51+V51</f>
        <v>300525.46769999998</v>
      </c>
      <c r="Y51" s="3293">
        <v>29641</v>
      </c>
      <c r="Z51" s="620">
        <f>+X51+Y51</f>
        <v>330166.46769999998</v>
      </c>
      <c r="AA51" s="3293">
        <v>19842</v>
      </c>
      <c r="AB51" s="620">
        <f t="shared" si="60"/>
        <v>350008.46769999998</v>
      </c>
      <c r="AC51" s="3293">
        <v>8025</v>
      </c>
      <c r="AD51" s="647">
        <f>+Y51+AA51+AC51</f>
        <v>57508</v>
      </c>
      <c r="AE51" s="1281">
        <f t="shared" ref="AE51" si="214">+W51+AD51</f>
        <v>138693</v>
      </c>
      <c r="AF51" s="2572">
        <f t="shared" ref="AF51:AF55" si="215">+AB51+AC51</f>
        <v>358033.46769999998</v>
      </c>
    </row>
    <row r="52" spans="1:77" ht="35" customHeight="1" x14ac:dyDescent="0.25">
      <c r="D52" s="8484"/>
      <c r="E52" s="646" t="s">
        <v>473</v>
      </c>
      <c r="F52" s="3294">
        <v>73040</v>
      </c>
      <c r="G52" s="3294">
        <v>29860</v>
      </c>
      <c r="H52" s="1813">
        <f t="shared" si="207"/>
        <v>102900</v>
      </c>
      <c r="I52" s="3294">
        <v>28297</v>
      </c>
      <c r="J52" s="1945">
        <f t="shared" si="207"/>
        <v>131197</v>
      </c>
      <c r="K52" s="3294">
        <v>63899.25</v>
      </c>
      <c r="L52" s="3572">
        <f t="shared" si="207"/>
        <v>195096.25</v>
      </c>
      <c r="M52" s="3294">
        <v>40971.800000000003</v>
      </c>
      <c r="N52" s="642">
        <f t="shared" si="208"/>
        <v>236068.05</v>
      </c>
      <c r="O52" s="3294">
        <v>54648</v>
      </c>
      <c r="P52" s="1945">
        <f t="shared" si="209"/>
        <v>159519.04999999999</v>
      </c>
      <c r="Q52" s="784">
        <f t="shared" ref="Q52:Q56" si="216">+N52+O52</f>
        <v>290716.05</v>
      </c>
      <c r="R52" s="3294">
        <v>51102</v>
      </c>
      <c r="S52" s="620">
        <f t="shared" si="211"/>
        <v>341818.05</v>
      </c>
      <c r="T52" s="3294">
        <v>50426</v>
      </c>
      <c r="U52" s="620">
        <f t="shared" si="212"/>
        <v>392244.05</v>
      </c>
      <c r="V52" s="3294">
        <v>70891.92929999996</v>
      </c>
      <c r="W52" s="1176">
        <f t="shared" si="58"/>
        <v>172419.92929999996</v>
      </c>
      <c r="X52" s="620">
        <f t="shared" si="213"/>
        <v>463135.97929999995</v>
      </c>
      <c r="Y52" s="3294">
        <v>78377.962302249973</v>
      </c>
      <c r="Z52" s="620">
        <f>+X52+Y52</f>
        <v>541513.94160224986</v>
      </c>
      <c r="AA52" s="3294">
        <v>53239.635904759052</v>
      </c>
      <c r="AB52" s="620">
        <f t="shared" si="60"/>
        <v>594753.57750700891</v>
      </c>
      <c r="AC52" s="3294">
        <v>58416.328000000001</v>
      </c>
      <c r="AD52" s="647">
        <f>+Y52+AA52+AC52</f>
        <v>190033.92620700903</v>
      </c>
      <c r="AE52" s="1281">
        <f t="shared" ref="AE52:AE55" si="217">+W52+AD52</f>
        <v>362453.85550700896</v>
      </c>
      <c r="AF52" s="2572">
        <f t="shared" si="215"/>
        <v>653169.90550700889</v>
      </c>
    </row>
    <row r="53" spans="1:77" ht="35" customHeight="1" x14ac:dyDescent="0.25">
      <c r="D53" s="8484"/>
      <c r="E53" s="646" t="s">
        <v>621</v>
      </c>
      <c r="F53" s="3293">
        <v>0</v>
      </c>
      <c r="G53" s="3293">
        <v>0</v>
      </c>
      <c r="H53" s="1813">
        <f t="shared" si="207"/>
        <v>0</v>
      </c>
      <c r="I53" s="3293">
        <v>0</v>
      </c>
      <c r="J53" s="1945">
        <f t="shared" si="207"/>
        <v>0</v>
      </c>
      <c r="K53" s="3293">
        <v>0</v>
      </c>
      <c r="L53" s="3572">
        <f t="shared" si="207"/>
        <v>0</v>
      </c>
      <c r="M53" s="3293">
        <v>12459.891338040299</v>
      </c>
      <c r="N53" s="642">
        <f t="shared" si="208"/>
        <v>12459.891338040299</v>
      </c>
      <c r="O53" s="3293">
        <v>2335.96</v>
      </c>
      <c r="P53" s="1945">
        <f t="shared" si="209"/>
        <v>14795.851338040298</v>
      </c>
      <c r="Q53" s="784">
        <f t="shared" si="216"/>
        <v>14795.851338040298</v>
      </c>
      <c r="R53" s="3293">
        <v>11735.992649846499</v>
      </c>
      <c r="S53" s="620">
        <f t="shared" si="211"/>
        <v>26531.843987886798</v>
      </c>
      <c r="T53" s="3293">
        <v>5543.1141904971</v>
      </c>
      <c r="U53" s="620">
        <f t="shared" si="212"/>
        <v>32074.958178383898</v>
      </c>
      <c r="V53" s="3293">
        <v>0</v>
      </c>
      <c r="W53" s="1176">
        <f t="shared" si="58"/>
        <v>17279.1068403436</v>
      </c>
      <c r="X53" s="620">
        <f t="shared" si="213"/>
        <v>32074.958178383898</v>
      </c>
      <c r="Y53" s="3293">
        <v>16592.98619775</v>
      </c>
      <c r="Z53" s="620">
        <f t="shared" si="60"/>
        <v>48667.944376133899</v>
      </c>
      <c r="AA53" s="3293">
        <v>18479.346495240959</v>
      </c>
      <c r="AB53" s="620">
        <f t="shared" si="60"/>
        <v>67147.290871374862</v>
      </c>
      <c r="AC53" s="3293">
        <v>16189.673317831108</v>
      </c>
      <c r="AD53" s="647">
        <f t="shared" ref="AD53:AD55" si="218">+Y53+AA53+AC53</f>
        <v>51262.006010822064</v>
      </c>
      <c r="AE53" s="1281">
        <f t="shared" si="217"/>
        <v>68541.112851165672</v>
      </c>
      <c r="AF53" s="2572">
        <f t="shared" si="215"/>
        <v>83336.964189205974</v>
      </c>
    </row>
    <row r="54" spans="1:77" ht="35" customHeight="1" x14ac:dyDescent="0.25">
      <c r="D54" s="8484"/>
      <c r="E54" s="646" t="s">
        <v>622</v>
      </c>
      <c r="F54" s="3293">
        <v>8073.1400000000012</v>
      </c>
      <c r="G54" s="3293">
        <v>43712</v>
      </c>
      <c r="H54" s="1813">
        <f t="shared" si="207"/>
        <v>51785.14</v>
      </c>
      <c r="I54" s="3293">
        <v>32149.444999999996</v>
      </c>
      <c r="J54" s="1945">
        <f t="shared" si="207"/>
        <v>83934.584999999992</v>
      </c>
      <c r="K54" s="3293">
        <v>24173.96</v>
      </c>
      <c r="L54" s="3572">
        <f t="shared" si="207"/>
        <v>108108.54499999998</v>
      </c>
      <c r="M54" s="3293">
        <v>61631.08</v>
      </c>
      <c r="N54" s="642">
        <f t="shared" si="208"/>
        <v>169739.625</v>
      </c>
      <c r="O54" s="3293">
        <v>29247.88</v>
      </c>
      <c r="P54" s="1945">
        <f t="shared" si="209"/>
        <v>115052.92000000001</v>
      </c>
      <c r="Q54" s="784">
        <f t="shared" si="216"/>
        <v>198987.505</v>
      </c>
      <c r="R54" s="3293">
        <v>61701.120000000003</v>
      </c>
      <c r="S54" s="620">
        <f t="shared" si="211"/>
        <v>260688.625</v>
      </c>
      <c r="T54" s="3293">
        <v>50406.139999999992</v>
      </c>
      <c r="U54" s="620">
        <f t="shared" si="212"/>
        <v>311094.76500000001</v>
      </c>
      <c r="V54" s="3293">
        <v>57486.36</v>
      </c>
      <c r="W54" s="1176">
        <f t="shared" si="58"/>
        <v>169593.62</v>
      </c>
      <c r="X54" s="620">
        <f t="shared" si="213"/>
        <v>368581.125</v>
      </c>
      <c r="Y54" s="3293">
        <v>49884.960000000006</v>
      </c>
      <c r="Z54" s="620">
        <f t="shared" si="60"/>
        <v>418466.08500000002</v>
      </c>
      <c r="AA54" s="3293">
        <v>61851.500000000007</v>
      </c>
      <c r="AB54" s="620">
        <f t="shared" si="60"/>
        <v>480317.58500000002</v>
      </c>
      <c r="AC54" s="3293">
        <v>52820.460000000006</v>
      </c>
      <c r="AD54" s="647">
        <f t="shared" si="218"/>
        <v>164556.92000000004</v>
      </c>
      <c r="AE54" s="1281">
        <f t="shared" si="217"/>
        <v>334150.54000000004</v>
      </c>
      <c r="AF54" s="2572">
        <f t="shared" si="215"/>
        <v>533138.04500000004</v>
      </c>
    </row>
    <row r="55" spans="1:77" ht="35" customHeight="1" thickBot="1" x14ac:dyDescent="0.3">
      <c r="D55" s="8484"/>
      <c r="E55" s="652" t="s">
        <v>474</v>
      </c>
      <c r="F55" s="3295">
        <v>14366.399999999998</v>
      </c>
      <c r="G55" s="3295">
        <v>17668</v>
      </c>
      <c r="H55" s="3511">
        <f t="shared" si="207"/>
        <v>32034.399999999998</v>
      </c>
      <c r="I55" s="3295">
        <v>31338.144000000004</v>
      </c>
      <c r="J55" s="1992">
        <f t="shared" si="207"/>
        <v>63372.544000000002</v>
      </c>
      <c r="K55" s="3295">
        <v>32647.336000000003</v>
      </c>
      <c r="L55" s="2383">
        <f t="shared" si="207"/>
        <v>96019.88</v>
      </c>
      <c r="M55" s="3295">
        <v>37622.25</v>
      </c>
      <c r="N55" s="1239">
        <f t="shared" si="208"/>
        <v>133642.13</v>
      </c>
      <c r="O55" s="3295">
        <v>33300.090000000004</v>
      </c>
      <c r="P55" s="1945">
        <f t="shared" si="209"/>
        <v>103569.67600000001</v>
      </c>
      <c r="Q55" s="844">
        <f t="shared" si="216"/>
        <v>166942.22</v>
      </c>
      <c r="R55" s="3295">
        <v>26479.439999999995</v>
      </c>
      <c r="S55" s="653">
        <f t="shared" si="211"/>
        <v>193421.66</v>
      </c>
      <c r="T55" s="3295">
        <v>41161.949999999997</v>
      </c>
      <c r="U55" s="653">
        <f t="shared" si="212"/>
        <v>234583.61</v>
      </c>
      <c r="V55" s="3295">
        <v>35411.490000000005</v>
      </c>
      <c r="W55" s="1177">
        <f t="shared" si="58"/>
        <v>103052.87999999999</v>
      </c>
      <c r="X55" s="622">
        <f t="shared" si="213"/>
        <v>269995.09999999998</v>
      </c>
      <c r="Y55" s="3295">
        <v>35558.46</v>
      </c>
      <c r="Z55" s="653">
        <f t="shared" si="60"/>
        <v>305553.56</v>
      </c>
      <c r="AA55" s="3295">
        <v>37680.21</v>
      </c>
      <c r="AB55" s="622">
        <f t="shared" si="60"/>
        <v>343233.77</v>
      </c>
      <c r="AC55" s="3295">
        <v>33527.79</v>
      </c>
      <c r="AD55" s="624">
        <f t="shared" si="218"/>
        <v>106766.45999999999</v>
      </c>
      <c r="AE55" s="1282">
        <f t="shared" si="217"/>
        <v>209819.33999999997</v>
      </c>
      <c r="AF55" s="2572">
        <f t="shared" si="215"/>
        <v>376761.56</v>
      </c>
    </row>
    <row r="56" spans="1:77" ht="35" customHeight="1" thickBot="1" x14ac:dyDescent="0.35">
      <c r="D56" s="8485"/>
      <c r="E56" s="636" t="s">
        <v>15</v>
      </c>
      <c r="F56" s="632">
        <f t="shared" ref="F56:G56" si="219">SUM(F51:F55)</f>
        <v>117247.54</v>
      </c>
      <c r="G56" s="632">
        <f t="shared" si="219"/>
        <v>127317</v>
      </c>
      <c r="H56" s="3512">
        <f t="shared" si="207"/>
        <v>244564.53999999998</v>
      </c>
      <c r="I56" s="632">
        <f t="shared" ref="I56" si="220">SUM(I51:I55)</f>
        <v>134940.2567</v>
      </c>
      <c r="J56" s="3475">
        <f t="shared" si="207"/>
        <v>379504.79669999995</v>
      </c>
      <c r="K56" s="632">
        <f t="shared" ref="K56" si="221">SUM(K51:K55)</f>
        <v>180010.34600000002</v>
      </c>
      <c r="L56" s="2384">
        <f t="shared" si="207"/>
        <v>559515.14269999997</v>
      </c>
      <c r="M56" s="632">
        <f t="shared" ref="M56" si="222">SUM(M51:M55)</f>
        <v>191471.0213380403</v>
      </c>
      <c r="N56" s="634">
        <f t="shared" si="208"/>
        <v>750986.16403804021</v>
      </c>
      <c r="O56" s="632">
        <f t="shared" ref="O56" si="223">SUM(O51:O55)</f>
        <v>139795.93000000002</v>
      </c>
      <c r="P56" s="633">
        <f t="shared" ref="P56" si="224">+Q56-J56</f>
        <v>511277.29733804031</v>
      </c>
      <c r="Q56" s="780">
        <f t="shared" si="216"/>
        <v>890782.09403804026</v>
      </c>
      <c r="R56" s="632">
        <f t="shared" ref="R56" si="225">SUM(R51:R55)</f>
        <v>153720.5526498465</v>
      </c>
      <c r="S56" s="634">
        <f t="shared" si="211"/>
        <v>1044502.6466878868</v>
      </c>
      <c r="T56" s="632">
        <f t="shared" ref="T56" si="226">SUM(T51:T55)</f>
        <v>179298.20419049711</v>
      </c>
      <c r="U56" s="634">
        <f t="shared" si="212"/>
        <v>1223800.850878384</v>
      </c>
      <c r="V56" s="632">
        <f t="shared" ref="V56" si="227">SUM(V51:V55)</f>
        <v>210511.77929999994</v>
      </c>
      <c r="W56" s="778">
        <f t="shared" ref="W56:AD56" si="228">SUM(W51:W55)</f>
        <v>543530.53614034352</v>
      </c>
      <c r="X56" s="634">
        <f t="shared" si="228"/>
        <v>1434312.630178384</v>
      </c>
      <c r="Y56" s="632">
        <f t="shared" si="228"/>
        <v>210055.36849999995</v>
      </c>
      <c r="Z56" s="634">
        <f t="shared" si="228"/>
        <v>1644367.9986783837</v>
      </c>
      <c r="AA56" s="632">
        <f t="shared" ref="AA56" si="229">SUM(AA51:AA55)</f>
        <v>191092.6924</v>
      </c>
      <c r="AB56" s="634">
        <f t="shared" si="228"/>
        <v>1835460.6910783839</v>
      </c>
      <c r="AC56" s="632">
        <f t="shared" ref="AC56" si="230">SUM(AC51:AC55)</f>
        <v>168979.25131783113</v>
      </c>
      <c r="AD56" s="633">
        <f t="shared" si="228"/>
        <v>570127.31221783115</v>
      </c>
      <c r="AE56" s="763">
        <f>+W56+AD56</f>
        <v>1113657.8483581748</v>
      </c>
      <c r="AF56" s="2576">
        <f>SUM(AF51:AF55)</f>
        <v>2004439.9423962152</v>
      </c>
      <c r="BY56" s="51"/>
    </row>
    <row r="57" spans="1:77" ht="34" hidden="1" thickBot="1" x14ac:dyDescent="0.35">
      <c r="D57" s="654" t="s">
        <v>1472</v>
      </c>
      <c r="E57" s="655"/>
      <c r="F57" s="1167"/>
      <c r="G57" s="1167"/>
      <c r="H57" s="3597"/>
      <c r="I57" s="1167"/>
      <c r="J57" s="3597"/>
      <c r="K57" s="1167"/>
      <c r="L57" s="3597"/>
      <c r="M57" s="1167"/>
      <c r="N57" s="655"/>
      <c r="O57" s="1167"/>
      <c r="P57" s="28"/>
      <c r="Q57" s="28"/>
      <c r="R57" s="1167"/>
      <c r="S57" s="28"/>
      <c r="T57" s="1167"/>
      <c r="U57" s="28"/>
      <c r="V57" s="1167"/>
      <c r="W57" s="1167"/>
      <c r="X57" s="1167"/>
      <c r="Y57" s="1167"/>
      <c r="Z57" s="28"/>
      <c r="AA57" s="1167"/>
      <c r="AB57" s="1167"/>
      <c r="AC57" s="1167"/>
      <c r="AD57" s="51"/>
      <c r="AE57" s="51"/>
      <c r="AF57" s="2577"/>
    </row>
    <row r="58" spans="1:77" ht="35" hidden="1" customHeight="1" x14ac:dyDescent="0.25">
      <c r="D58" s="656" t="s">
        <v>10</v>
      </c>
      <c r="E58" s="657" t="s">
        <v>1</v>
      </c>
      <c r="F58" s="2443" t="s">
        <v>9</v>
      </c>
      <c r="G58" s="2443" t="s">
        <v>51</v>
      </c>
      <c r="H58" s="3513" t="s">
        <v>52</v>
      </c>
      <c r="I58" s="2443" t="s">
        <v>1073</v>
      </c>
      <c r="J58" s="3476" t="s">
        <v>60</v>
      </c>
      <c r="K58" s="2443" t="s">
        <v>2117</v>
      </c>
      <c r="L58" s="3513" t="s">
        <v>62</v>
      </c>
      <c r="M58" s="2443" t="s">
        <v>63</v>
      </c>
      <c r="N58" s="661" t="s">
        <v>64</v>
      </c>
      <c r="O58" s="2443" t="s">
        <v>65</v>
      </c>
      <c r="P58" s="30" t="s">
        <v>66</v>
      </c>
      <c r="Q58" s="31" t="s">
        <v>82</v>
      </c>
      <c r="R58" s="2443" t="s">
        <v>100</v>
      </c>
      <c r="S58" s="29" t="s">
        <v>101</v>
      </c>
      <c r="T58" s="2443" t="s">
        <v>104</v>
      </c>
      <c r="U58" s="29" t="s">
        <v>105</v>
      </c>
      <c r="V58" s="2443" t="s">
        <v>106</v>
      </c>
      <c r="W58" s="1181" t="s">
        <v>107</v>
      </c>
      <c r="X58" s="1168" t="s">
        <v>108</v>
      </c>
      <c r="Y58" s="2443" t="s">
        <v>109</v>
      </c>
      <c r="Z58" s="29" t="s">
        <v>110</v>
      </c>
      <c r="AA58" s="2443" t="s">
        <v>112</v>
      </c>
      <c r="AB58" s="1168" t="str">
        <f>+AB3</f>
        <v>11M</v>
      </c>
      <c r="AC58" s="2443" t="s">
        <v>114</v>
      </c>
      <c r="AD58" s="47" t="s">
        <v>115</v>
      </c>
      <c r="AE58" s="274" t="s">
        <v>116</v>
      </c>
      <c r="AF58" s="2578" t="s">
        <v>117</v>
      </c>
    </row>
    <row r="59" spans="1:77" ht="35" hidden="1" customHeight="1" x14ac:dyDescent="0.35">
      <c r="D59" s="662" t="s">
        <v>76</v>
      </c>
      <c r="E59" s="663" t="s">
        <v>79</v>
      </c>
      <c r="F59" s="38"/>
      <c r="G59" s="38"/>
      <c r="H59" s="3598">
        <f>38560+6105-6101</f>
        <v>38564</v>
      </c>
      <c r="I59" s="38"/>
      <c r="J59" s="3598"/>
      <c r="K59" s="38"/>
      <c r="L59" s="3598"/>
      <c r="M59" s="38"/>
      <c r="N59" s="663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1250"/>
      <c r="AC59" s="38"/>
      <c r="AD59" s="51"/>
      <c r="AE59" s="51"/>
      <c r="AF59" s="2579"/>
    </row>
    <row r="60" spans="1:77" ht="35" hidden="1" customHeight="1" x14ac:dyDescent="0.35">
      <c r="D60" s="665"/>
      <c r="E60" s="567" t="s">
        <v>450</v>
      </c>
      <c r="F60" s="4138"/>
      <c r="G60" s="4138"/>
      <c r="H60" s="3599"/>
      <c r="I60" s="4138"/>
      <c r="J60" s="3599"/>
      <c r="K60" s="4138"/>
      <c r="L60" s="3598"/>
      <c r="M60" s="4138"/>
      <c r="N60" s="663"/>
      <c r="O60" s="4138"/>
      <c r="P60" s="565"/>
      <c r="Q60" s="38"/>
      <c r="R60" s="4138"/>
      <c r="S60" s="38"/>
      <c r="T60" s="4138"/>
      <c r="U60" s="38"/>
      <c r="V60" s="4138"/>
      <c r="W60" s="565"/>
      <c r="X60" s="38"/>
      <c r="Y60" s="4138"/>
      <c r="Z60" s="38"/>
      <c r="AA60" s="4138"/>
      <c r="AB60" s="2488"/>
      <c r="AC60" s="4138"/>
      <c r="AD60" s="1250"/>
      <c r="AE60" s="1250"/>
      <c r="AF60" s="1250"/>
    </row>
    <row r="61" spans="1:77" ht="35" hidden="1" customHeight="1" x14ac:dyDescent="0.35">
      <c r="D61" s="665"/>
      <c r="E61" s="666" t="s">
        <v>446</v>
      </c>
      <c r="F61" s="38"/>
      <c r="G61" s="38"/>
      <c r="H61" s="3600"/>
      <c r="I61" s="38"/>
      <c r="J61" s="3600"/>
      <c r="K61" s="38"/>
      <c r="L61" s="3598"/>
      <c r="M61" s="38"/>
      <c r="N61" s="663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1250"/>
      <c r="AC61" s="38"/>
      <c r="AD61" s="1250"/>
      <c r="AE61" s="1250"/>
      <c r="AF61" s="1250"/>
    </row>
    <row r="62" spans="1:77" ht="35" hidden="1" customHeight="1" x14ac:dyDescent="0.25">
      <c r="D62" s="665"/>
      <c r="E62" s="667" t="s">
        <v>244</v>
      </c>
      <c r="F62" s="3296"/>
      <c r="G62" s="3296"/>
      <c r="H62" s="669">
        <f>SUM(F62:G62)</f>
        <v>0</v>
      </c>
      <c r="I62" s="3296"/>
      <c r="J62" s="670">
        <f>SUM(H62:I62)</f>
        <v>0</v>
      </c>
      <c r="K62" s="3296"/>
      <c r="L62" s="669">
        <f>SUM(J62:K62)</f>
        <v>0</v>
      </c>
      <c r="M62" s="3296">
        <v>9662.5600000000031</v>
      </c>
      <c r="N62" s="821">
        <f>SUM(L62:M62)</f>
        <v>9662.5600000000031</v>
      </c>
      <c r="O62" s="3296">
        <v>13230.589999999993</v>
      </c>
      <c r="P62" s="815">
        <f t="shared" ref="P62:P65" si="231">+K62+M62+O62</f>
        <v>22893.149999999994</v>
      </c>
      <c r="Q62" s="773">
        <f>+N62+O62</f>
        <v>22893.149999999994</v>
      </c>
      <c r="R62" s="3296">
        <v>12733.489999999991</v>
      </c>
      <c r="S62" s="821">
        <f>SUM(Q62:R62)</f>
        <v>35626.639999999985</v>
      </c>
      <c r="T62" s="3296">
        <v>22803.519999999975</v>
      </c>
      <c r="U62" s="821">
        <f>SUM(S62:T62)</f>
        <v>58430.15999999996</v>
      </c>
      <c r="V62" s="3296">
        <f>314.01+22799.721</f>
        <v>23113.731</v>
      </c>
      <c r="W62" s="1176">
        <f t="shared" ref="W62:W65" si="232">+R62+T62+V62</f>
        <v>58650.740999999965</v>
      </c>
      <c r="X62" s="714">
        <f>+U62+V62</f>
        <v>81543.89099999996</v>
      </c>
      <c r="Y62" s="3296">
        <f>29104.208-61.84</f>
        <v>29042.367999999999</v>
      </c>
      <c r="Z62" s="821">
        <f>SUM(X62:Y62)</f>
        <v>110586.25899999996</v>
      </c>
      <c r="AA62" s="3296">
        <v>18917.775000000005</v>
      </c>
      <c r="AB62" s="821">
        <f>SUM(Z62:AA62)</f>
        <v>129504.03399999997</v>
      </c>
      <c r="AC62" s="3296">
        <v>11485.227999999999</v>
      </c>
      <c r="AD62" s="1291">
        <f>+Y62+AA62+AC62</f>
        <v>59445.370999999999</v>
      </c>
      <c r="AE62" s="2209">
        <f t="shared" ref="AE62:AE65" si="233">+W62+AD62</f>
        <v>118096.11199999996</v>
      </c>
      <c r="AF62" s="2580">
        <f>+AB62+AC62</f>
        <v>140989.26199999996</v>
      </c>
    </row>
    <row r="63" spans="1:77" ht="35" hidden="1" customHeight="1" x14ac:dyDescent="0.25">
      <c r="D63" s="665"/>
      <c r="E63" s="671" t="s">
        <v>1265</v>
      </c>
      <c r="F63" s="3296"/>
      <c r="G63" s="3296"/>
      <c r="H63" s="669">
        <f>SUM(F63:G63)</f>
        <v>0</v>
      </c>
      <c r="I63" s="3296"/>
      <c r="J63" s="670">
        <f>SUM(H63:I63)</f>
        <v>0</v>
      </c>
      <c r="K63" s="3296"/>
      <c r="L63" s="669">
        <f>SUM(J63:K63)</f>
        <v>0</v>
      </c>
      <c r="M63" s="3296">
        <v>48.019999999999996</v>
      </c>
      <c r="N63" s="821">
        <f>SUM(L63:M63)</f>
        <v>48.019999999999996</v>
      </c>
      <c r="O63" s="3296">
        <v>0</v>
      </c>
      <c r="P63" s="815">
        <f t="shared" si="231"/>
        <v>48.019999999999996</v>
      </c>
      <c r="Q63" s="773">
        <f>+N63+O63</f>
        <v>48.019999999999996</v>
      </c>
      <c r="R63" s="3296">
        <v>0</v>
      </c>
      <c r="S63" s="821">
        <f>SUM(Q63:R63)</f>
        <v>48.019999999999996</v>
      </c>
      <c r="T63" s="3296">
        <v>0</v>
      </c>
      <c r="U63" s="821">
        <f>SUM(S63:T63)</f>
        <v>48.019999999999996</v>
      </c>
      <c r="V63" s="3296">
        <v>0</v>
      </c>
      <c r="W63" s="1176">
        <f t="shared" si="232"/>
        <v>0</v>
      </c>
      <c r="X63" s="714">
        <f>+U63+V63</f>
        <v>48.019999999999996</v>
      </c>
      <c r="Y63" s="3296">
        <v>0</v>
      </c>
      <c r="Z63" s="821">
        <f>SUM(X63:Y63)</f>
        <v>48.019999999999996</v>
      </c>
      <c r="AA63" s="3296">
        <v>0</v>
      </c>
      <c r="AB63" s="821">
        <f>SUM(Z63:AA63)</f>
        <v>48.019999999999996</v>
      </c>
      <c r="AC63" s="3296">
        <v>0</v>
      </c>
      <c r="AD63" s="1291">
        <f>+Y63+AA63+AC63</f>
        <v>0</v>
      </c>
      <c r="AE63" s="2209">
        <f t="shared" si="233"/>
        <v>0</v>
      </c>
      <c r="AF63" s="2580">
        <f>+AB63+AC63</f>
        <v>48.019999999999996</v>
      </c>
    </row>
    <row r="64" spans="1:77" ht="35" hidden="1" customHeight="1" x14ac:dyDescent="0.25">
      <c r="D64" s="3448"/>
      <c r="E64" s="667" t="s">
        <v>599</v>
      </c>
      <c r="F64" s="3296"/>
      <c r="G64" s="3296"/>
      <c r="H64" s="669">
        <f>SUM(F64:G64)</f>
        <v>0</v>
      </c>
      <c r="I64" s="3296"/>
      <c r="J64" s="670">
        <f>SUM(H64:I64)</f>
        <v>0</v>
      </c>
      <c r="K64" s="3296"/>
      <c r="L64" s="669">
        <f>SUM(J64:K64)</f>
        <v>0</v>
      </c>
      <c r="M64" s="3296">
        <v>367.08</v>
      </c>
      <c r="N64" s="821">
        <f>SUM(L64:M64)</f>
        <v>367.08</v>
      </c>
      <c r="O64" s="3296">
        <v>7596.5399999999981</v>
      </c>
      <c r="P64" s="815">
        <f t="shared" si="231"/>
        <v>7963.6199999999981</v>
      </c>
      <c r="Q64" s="773">
        <f>+N64+O64</f>
        <v>7963.6199999999981</v>
      </c>
      <c r="R64" s="3296">
        <v>6079.6499999999978</v>
      </c>
      <c r="S64" s="821">
        <f>SUM(Q64:R64)</f>
        <v>14043.269999999997</v>
      </c>
      <c r="T64" s="3296">
        <v>6418.2199999999993</v>
      </c>
      <c r="U64" s="821">
        <f>SUM(S64:T64)</f>
        <v>20461.489999999998</v>
      </c>
      <c r="V64" s="3296">
        <f>62.94+5279.59</f>
        <v>5342.53</v>
      </c>
      <c r="W64" s="1176">
        <f t="shared" ref="W64" si="234">+R64+T64+V64</f>
        <v>17840.399999999998</v>
      </c>
      <c r="X64" s="714">
        <f>+U64+V64</f>
        <v>25804.019999999997</v>
      </c>
      <c r="Y64" s="3296">
        <v>10368.700999999999</v>
      </c>
      <c r="Z64" s="821">
        <f>SUM(X64:Y64)</f>
        <v>36172.720999999998</v>
      </c>
      <c r="AA64" s="3296">
        <v>2650.0319999999992</v>
      </c>
      <c r="AB64" s="821">
        <f>SUM(Z64:AA64)</f>
        <v>38822.752999999997</v>
      </c>
      <c r="AC64" s="3296">
        <v>11169.257000000001</v>
      </c>
      <c r="AD64" s="1291">
        <f>+Y64+AA64+AC64</f>
        <v>24187.989999999998</v>
      </c>
      <c r="AE64" s="2209">
        <f t="shared" si="233"/>
        <v>42028.39</v>
      </c>
      <c r="AF64" s="2580">
        <f>+AB64+AC64</f>
        <v>49992.009999999995</v>
      </c>
    </row>
    <row r="65" spans="2:32" ht="35" hidden="1" customHeight="1" thickBot="1" x14ac:dyDescent="0.3">
      <c r="D65" s="665"/>
      <c r="E65" s="671" t="s">
        <v>245</v>
      </c>
      <c r="F65" s="3297"/>
      <c r="G65" s="3297"/>
      <c r="H65" s="673">
        <f>SUM(F65:G65)</f>
        <v>0</v>
      </c>
      <c r="I65" s="3297"/>
      <c r="J65" s="674">
        <f>SUM(H65:I65)</f>
        <v>0</v>
      </c>
      <c r="K65" s="3297"/>
      <c r="L65" s="669">
        <f>SUM(J65:K65)</f>
        <v>0</v>
      </c>
      <c r="M65" s="3297">
        <v>20975.069999999989</v>
      </c>
      <c r="N65" s="675">
        <f>SUM(L65:M65)</f>
        <v>20975.069999999989</v>
      </c>
      <c r="O65" s="3297">
        <v>12510.200000000008</v>
      </c>
      <c r="P65" s="815">
        <f t="shared" si="231"/>
        <v>33485.269999999997</v>
      </c>
      <c r="Q65" s="773">
        <f>+N65+O65</f>
        <v>33485.269999999997</v>
      </c>
      <c r="R65" s="3297">
        <v>10129.950000000004</v>
      </c>
      <c r="S65" s="821">
        <f>SUM(Q65:R65)</f>
        <v>43615.22</v>
      </c>
      <c r="T65" s="3297">
        <v>10369.430000000002</v>
      </c>
      <c r="U65" s="821">
        <f>SUM(S65:T65)</f>
        <v>53984.65</v>
      </c>
      <c r="V65" s="3296">
        <f>785.46+7194.92</f>
        <v>7980.38</v>
      </c>
      <c r="W65" s="1176">
        <f t="shared" si="232"/>
        <v>28479.760000000006</v>
      </c>
      <c r="X65" s="714">
        <f>+U65+V65</f>
        <v>61965.03</v>
      </c>
      <c r="Y65" s="3297">
        <v>237.45000000000002</v>
      </c>
      <c r="Z65" s="821">
        <f>SUM(X65:Y65)</f>
        <v>62202.479999999996</v>
      </c>
      <c r="AA65" s="3297">
        <v>10077.649000000001</v>
      </c>
      <c r="AB65" s="821">
        <f>SUM(Z65:AA65)</f>
        <v>72280.129000000001</v>
      </c>
      <c r="AC65" s="3297">
        <v>8329.0929999999971</v>
      </c>
      <c r="AD65" s="1291">
        <f>+Y65+AA65+AC65</f>
        <v>18644.191999999999</v>
      </c>
      <c r="AE65" s="2209">
        <f t="shared" si="233"/>
        <v>47123.952000000005</v>
      </c>
      <c r="AF65" s="2580">
        <f>+AB65+AC65</f>
        <v>80609.221999999994</v>
      </c>
    </row>
    <row r="66" spans="2:32" ht="35" hidden="1" customHeight="1" thickBot="1" x14ac:dyDescent="0.3">
      <c r="D66" s="665"/>
      <c r="E66" s="676" t="s">
        <v>15</v>
      </c>
      <c r="F66" s="677">
        <f t="shared" ref="F66:G66" si="235">SUM(F62:F65)</f>
        <v>0</v>
      </c>
      <c r="G66" s="677">
        <f t="shared" si="235"/>
        <v>0</v>
      </c>
      <c r="H66" s="675">
        <f t="shared" ref="H66:L66" si="236">SUM(H62:H65)</f>
        <v>0</v>
      </c>
      <c r="I66" s="677">
        <f t="shared" ref="I66" si="237">SUM(I62:I65)</f>
        <v>0</v>
      </c>
      <c r="J66" s="678">
        <f t="shared" si="236"/>
        <v>0</v>
      </c>
      <c r="K66" s="677">
        <f t="shared" ref="K66" si="238">SUM(K62:K65)</f>
        <v>0</v>
      </c>
      <c r="L66" s="679">
        <f t="shared" si="236"/>
        <v>0</v>
      </c>
      <c r="M66" s="677">
        <f t="shared" ref="M66" si="239">SUM(M62:M65)</f>
        <v>31052.729999999992</v>
      </c>
      <c r="N66" s="679">
        <f t="shared" ref="N66:S66" si="240">SUM(N62:N65)</f>
        <v>31052.729999999992</v>
      </c>
      <c r="O66" s="677">
        <f t="shared" si="240"/>
        <v>33337.33</v>
      </c>
      <c r="P66" s="678">
        <f t="shared" si="240"/>
        <v>64390.05999999999</v>
      </c>
      <c r="Q66" s="774">
        <f t="shared" si="240"/>
        <v>64390.05999999999</v>
      </c>
      <c r="R66" s="677">
        <f t="shared" si="240"/>
        <v>28943.089999999993</v>
      </c>
      <c r="S66" s="679">
        <f t="shared" si="240"/>
        <v>93333.14999999998</v>
      </c>
      <c r="T66" s="677">
        <f t="shared" ref="T66" si="241">SUM(T62:T65)</f>
        <v>39591.169999999976</v>
      </c>
      <c r="U66" s="679">
        <f t="shared" ref="U66:V66" si="242">SUM(U62:U65)</f>
        <v>132924.31999999995</v>
      </c>
      <c r="V66" s="677">
        <f t="shared" si="242"/>
        <v>36436.640999999996</v>
      </c>
      <c r="W66" s="1185">
        <f>SUM(W62:W65)</f>
        <v>104970.90099999997</v>
      </c>
      <c r="X66" s="679">
        <f>SUM(X62:X65)</f>
        <v>169360.96099999995</v>
      </c>
      <c r="Y66" s="677">
        <f t="shared" ref="Y66" si="243">SUM(Y62:Y65)</f>
        <v>39648.518999999993</v>
      </c>
      <c r="Z66" s="679">
        <f>SUM(Z62:Z65)</f>
        <v>209009.47999999998</v>
      </c>
      <c r="AA66" s="677">
        <f t="shared" ref="AA66" si="244">SUM(AA62:AA65)</f>
        <v>31645.456000000006</v>
      </c>
      <c r="AB66" s="679">
        <f>SUM(AB62:AB65)</f>
        <v>240654.93599999999</v>
      </c>
      <c r="AC66" s="677">
        <f t="shared" ref="AC66" si="245">SUM(AC62:AC65)</f>
        <v>30983.577999999998</v>
      </c>
      <c r="AD66" s="678">
        <f>SUM(AD62:AD65)</f>
        <v>102277.553</v>
      </c>
      <c r="AE66" s="775">
        <f>SUM(AE62:AE65)</f>
        <v>207248.45399999997</v>
      </c>
      <c r="AF66" s="2581">
        <f>SUM(AF62:AF65)</f>
        <v>271638.51399999997</v>
      </c>
    </row>
    <row r="67" spans="2:32" ht="35" hidden="1" customHeight="1" x14ac:dyDescent="0.25">
      <c r="D67" s="665"/>
      <c r="E67" s="680" t="s">
        <v>341</v>
      </c>
      <c r="F67" s="2751"/>
      <c r="G67" s="2751"/>
      <c r="H67" s="3596"/>
      <c r="I67" s="2751"/>
      <c r="J67" s="3595"/>
      <c r="K67" s="2751"/>
      <c r="L67" s="3595"/>
      <c r="M67" s="2751"/>
      <c r="N67" s="680"/>
      <c r="O67" s="2751"/>
      <c r="P67" s="706"/>
      <c r="Q67" s="706"/>
      <c r="R67" s="2751"/>
      <c r="S67" s="706"/>
      <c r="T67" s="2751"/>
      <c r="U67" s="706"/>
      <c r="V67" s="2751"/>
      <c r="W67" s="1182"/>
      <c r="X67" s="1182"/>
      <c r="Y67" s="2751"/>
      <c r="Z67" s="706"/>
      <c r="AA67" s="2751"/>
      <c r="AB67" s="706"/>
      <c r="AC67" s="2751"/>
      <c r="AD67" s="706"/>
      <c r="AE67" s="879"/>
      <c r="AF67" s="879"/>
    </row>
    <row r="68" spans="2:32" ht="35" hidden="1" customHeight="1" x14ac:dyDescent="0.25">
      <c r="D68" s="665"/>
      <c r="E68" s="667" t="s">
        <v>244</v>
      </c>
      <c r="F68" s="3296"/>
      <c r="G68" s="3296"/>
      <c r="H68" s="669">
        <f>SUM(F68:G68)</f>
        <v>0</v>
      </c>
      <c r="I68" s="3296"/>
      <c r="J68" s="670">
        <f>SUM(H68:I68)</f>
        <v>0</v>
      </c>
      <c r="K68" s="3296"/>
      <c r="L68" s="669">
        <f>SUM(J68:K68)</f>
        <v>0</v>
      </c>
      <c r="M68" s="3296">
        <v>409.20000000000005</v>
      </c>
      <c r="N68" s="821">
        <f>SUM(L68:M68)</f>
        <v>409.20000000000005</v>
      </c>
      <c r="O68" s="3296">
        <v>2476.5799999999995</v>
      </c>
      <c r="P68" s="815">
        <f t="shared" ref="P68:P71" si="246">+K68+M68+O68</f>
        <v>2885.7799999999997</v>
      </c>
      <c r="Q68" s="773">
        <f>+N68+O68</f>
        <v>2885.7799999999997</v>
      </c>
      <c r="R68" s="3296">
        <v>3895.4099999999994</v>
      </c>
      <c r="S68" s="821">
        <f t="shared" ref="S68:U71" si="247">SUM(Q68:R68)</f>
        <v>6781.1899999999987</v>
      </c>
      <c r="T68" s="3296">
        <v>3907.6400000000021</v>
      </c>
      <c r="U68" s="821">
        <f t="shared" si="247"/>
        <v>10688.830000000002</v>
      </c>
      <c r="V68" s="3296">
        <f>349.2+8325.53</f>
        <v>8674.7300000000014</v>
      </c>
      <c r="W68" s="1176">
        <f t="shared" ref="W68:W71" si="248">+R68+T68+V68</f>
        <v>16477.780000000002</v>
      </c>
      <c r="X68" s="714">
        <f>+U68+V68</f>
        <v>19363.560000000005</v>
      </c>
      <c r="Y68" s="3296">
        <v>17277.715</v>
      </c>
      <c r="Z68" s="821">
        <f t="shared" ref="Z68:AB71" si="249">SUM(X68:Y68)</f>
        <v>36641.275000000009</v>
      </c>
      <c r="AA68" s="3296">
        <v>16984.759999999998</v>
      </c>
      <c r="AB68" s="821">
        <f t="shared" si="249"/>
        <v>53626.035000000003</v>
      </c>
      <c r="AC68" s="3296">
        <v>5435.1099999999988</v>
      </c>
      <c r="AD68" s="1291">
        <f t="shared" ref="AD68:AD71" si="250">+Y68+AA68+AC68</f>
        <v>39697.584999999999</v>
      </c>
      <c r="AE68" s="2209">
        <f t="shared" ref="AE68:AE71" si="251">+W68+AD68</f>
        <v>56175.365000000005</v>
      </c>
      <c r="AF68" s="2580">
        <f t="shared" ref="AF68:AF71" si="252">+AB68+AC68</f>
        <v>59061.145000000004</v>
      </c>
    </row>
    <row r="69" spans="2:32" ht="35" hidden="1" customHeight="1" x14ac:dyDescent="0.25">
      <c r="D69" s="665"/>
      <c r="E69" s="671" t="s">
        <v>1265</v>
      </c>
      <c r="F69" s="3297"/>
      <c r="G69" s="3297"/>
      <c r="H69" s="669">
        <f t="shared" ref="H69:H70" si="253">SUM(F69:G69)</f>
        <v>0</v>
      </c>
      <c r="I69" s="3297"/>
      <c r="J69" s="670">
        <f t="shared" ref="J69:J70" si="254">SUM(H69:I69)</f>
        <v>0</v>
      </c>
      <c r="K69" s="3297"/>
      <c r="L69" s="669">
        <f t="shared" ref="L69:L70" si="255">SUM(J69:K69)</f>
        <v>0</v>
      </c>
      <c r="M69" s="3297">
        <v>0</v>
      </c>
      <c r="N69" s="821">
        <f t="shared" ref="N69:N70" si="256">SUM(L69:M69)</f>
        <v>0</v>
      </c>
      <c r="O69" s="3297">
        <v>0</v>
      </c>
      <c r="P69" s="815">
        <f t="shared" si="246"/>
        <v>0</v>
      </c>
      <c r="Q69" s="773">
        <f t="shared" ref="Q69:Q71" si="257">+N69+O69</f>
        <v>0</v>
      </c>
      <c r="R69" s="3297">
        <v>0</v>
      </c>
      <c r="S69" s="821">
        <f t="shared" si="247"/>
        <v>0</v>
      </c>
      <c r="T69" s="3297">
        <v>0</v>
      </c>
      <c r="U69" s="821">
        <f t="shared" si="247"/>
        <v>0</v>
      </c>
      <c r="V69" s="3297">
        <v>0</v>
      </c>
      <c r="W69" s="1176">
        <f t="shared" si="248"/>
        <v>0</v>
      </c>
      <c r="X69" s="714">
        <f t="shared" ref="X69:X70" si="258">+U69+V69</f>
        <v>0</v>
      </c>
      <c r="Y69" s="3297">
        <v>0</v>
      </c>
      <c r="Z69" s="821">
        <f t="shared" si="249"/>
        <v>0</v>
      </c>
      <c r="AA69" s="3297">
        <v>0</v>
      </c>
      <c r="AB69" s="821">
        <f t="shared" si="249"/>
        <v>0</v>
      </c>
      <c r="AC69" s="3297">
        <v>0</v>
      </c>
      <c r="AD69" s="1291">
        <f t="shared" si="250"/>
        <v>0</v>
      </c>
      <c r="AE69" s="2209">
        <f t="shared" si="251"/>
        <v>0</v>
      </c>
      <c r="AF69" s="2580">
        <f t="shared" si="252"/>
        <v>0</v>
      </c>
    </row>
    <row r="70" spans="2:32" ht="35" hidden="1" customHeight="1" x14ac:dyDescent="0.25">
      <c r="D70" s="665"/>
      <c r="E70" s="667" t="s">
        <v>599</v>
      </c>
      <c r="F70" s="3297"/>
      <c r="G70" s="3297"/>
      <c r="H70" s="669">
        <f t="shared" si="253"/>
        <v>0</v>
      </c>
      <c r="I70" s="3297"/>
      <c r="J70" s="670">
        <f t="shared" si="254"/>
        <v>0</v>
      </c>
      <c r="K70" s="3297"/>
      <c r="L70" s="669">
        <f t="shared" si="255"/>
        <v>0</v>
      </c>
      <c r="M70" s="3297">
        <v>0</v>
      </c>
      <c r="N70" s="821">
        <f t="shared" si="256"/>
        <v>0</v>
      </c>
      <c r="O70" s="3297">
        <v>0</v>
      </c>
      <c r="P70" s="815">
        <f t="shared" si="246"/>
        <v>0</v>
      </c>
      <c r="Q70" s="773">
        <f t="shared" si="257"/>
        <v>0</v>
      </c>
      <c r="R70" s="3297">
        <v>0</v>
      </c>
      <c r="S70" s="821">
        <f t="shared" si="247"/>
        <v>0</v>
      </c>
      <c r="T70" s="3297">
        <v>0</v>
      </c>
      <c r="U70" s="821">
        <f t="shared" si="247"/>
        <v>0</v>
      </c>
      <c r="V70" s="3297">
        <v>0</v>
      </c>
      <c r="W70" s="1176">
        <f t="shared" si="248"/>
        <v>0</v>
      </c>
      <c r="X70" s="714">
        <f t="shared" si="258"/>
        <v>0</v>
      </c>
      <c r="Y70" s="3297">
        <v>0</v>
      </c>
      <c r="Z70" s="821">
        <f t="shared" si="249"/>
        <v>0</v>
      </c>
      <c r="AA70" s="3297">
        <v>0</v>
      </c>
      <c r="AB70" s="821">
        <f t="shared" si="249"/>
        <v>0</v>
      </c>
      <c r="AC70" s="3297">
        <v>0</v>
      </c>
      <c r="AD70" s="1291">
        <f t="shared" si="250"/>
        <v>0</v>
      </c>
      <c r="AE70" s="2209">
        <f t="shared" si="251"/>
        <v>0</v>
      </c>
      <c r="AF70" s="2580">
        <f t="shared" si="252"/>
        <v>0</v>
      </c>
    </row>
    <row r="71" spans="2:32" ht="35" hidden="1" customHeight="1" thickBot="1" x14ac:dyDescent="0.3">
      <c r="D71" s="665"/>
      <c r="E71" s="671" t="s">
        <v>245</v>
      </c>
      <c r="F71" s="3297"/>
      <c r="G71" s="3297"/>
      <c r="H71" s="673">
        <f>SUM(F71:G71)</f>
        <v>0</v>
      </c>
      <c r="I71" s="3297"/>
      <c r="J71" s="674">
        <f>SUM(H71:I71)</f>
        <v>0</v>
      </c>
      <c r="K71" s="3297"/>
      <c r="L71" s="669">
        <f>SUM(J71:K71)</f>
        <v>0</v>
      </c>
      <c r="M71" s="3297">
        <v>62529.339999999967</v>
      </c>
      <c r="N71" s="675">
        <f>SUM(L71:M71)</f>
        <v>62529.339999999967</v>
      </c>
      <c r="O71" s="3297">
        <v>29950.909999999993</v>
      </c>
      <c r="P71" s="815">
        <f t="shared" si="246"/>
        <v>92480.249999999956</v>
      </c>
      <c r="Q71" s="773">
        <f t="shared" si="257"/>
        <v>92480.249999999956</v>
      </c>
      <c r="R71" s="3297">
        <v>51343.840000000004</v>
      </c>
      <c r="S71" s="821">
        <f t="shared" si="247"/>
        <v>143824.08999999997</v>
      </c>
      <c r="T71" s="3297">
        <v>47429.369999999981</v>
      </c>
      <c r="U71" s="821">
        <f t="shared" si="247"/>
        <v>191253.45999999996</v>
      </c>
      <c r="V71" s="3297">
        <f>5827.25+39829.546</f>
        <v>45656.796000000002</v>
      </c>
      <c r="W71" s="1176">
        <f t="shared" si="248"/>
        <v>144430.00599999999</v>
      </c>
      <c r="X71" s="714">
        <f>+U71+V71</f>
        <v>236910.25599999996</v>
      </c>
      <c r="Y71" s="3297">
        <v>35678.917999999991</v>
      </c>
      <c r="Z71" s="821">
        <f t="shared" si="249"/>
        <v>272589.17399999994</v>
      </c>
      <c r="AA71" s="3297">
        <v>41652.732999999993</v>
      </c>
      <c r="AB71" s="821">
        <f t="shared" si="249"/>
        <v>314241.90699999995</v>
      </c>
      <c r="AC71" s="3297">
        <v>48684.704999999994</v>
      </c>
      <c r="AD71" s="1291">
        <f t="shared" si="250"/>
        <v>126016.35599999997</v>
      </c>
      <c r="AE71" s="2209">
        <f t="shared" si="251"/>
        <v>270446.36199999996</v>
      </c>
      <c r="AF71" s="2580">
        <f t="shared" si="252"/>
        <v>362926.61199999996</v>
      </c>
    </row>
    <row r="72" spans="2:32" ht="35" hidden="1" customHeight="1" thickBot="1" x14ac:dyDescent="0.4">
      <c r="D72" s="665"/>
      <c r="E72" s="676" t="s">
        <v>15</v>
      </c>
      <c r="F72" s="677">
        <f t="shared" ref="F72:G72" si="259">SUM(F68:F71)</f>
        <v>0</v>
      </c>
      <c r="G72" s="677">
        <f t="shared" si="259"/>
        <v>0</v>
      </c>
      <c r="H72" s="675">
        <f t="shared" ref="H72:L72" si="260">SUM(H68:H71)</f>
        <v>0</v>
      </c>
      <c r="I72" s="677">
        <f t="shared" ref="I72" si="261">SUM(I68:I71)</f>
        <v>0</v>
      </c>
      <c r="J72" s="678">
        <f t="shared" si="260"/>
        <v>0</v>
      </c>
      <c r="K72" s="677">
        <f t="shared" ref="K72" si="262">SUM(K68:K71)</f>
        <v>0</v>
      </c>
      <c r="L72" s="679">
        <f t="shared" si="260"/>
        <v>0</v>
      </c>
      <c r="M72" s="677">
        <f t="shared" ref="M72:O72" si="263">SUM(M68:M71)</f>
        <v>62938.539999999964</v>
      </c>
      <c r="N72" s="679">
        <f t="shared" ref="N72:T72" si="264">SUM(N68:N71)</f>
        <v>62938.539999999964</v>
      </c>
      <c r="O72" s="677">
        <f t="shared" si="263"/>
        <v>32427.489999999991</v>
      </c>
      <c r="P72" s="678">
        <f t="shared" si="264"/>
        <v>95366.029999999955</v>
      </c>
      <c r="Q72" s="774">
        <f t="shared" si="264"/>
        <v>95366.029999999955</v>
      </c>
      <c r="R72" s="677">
        <f t="shared" si="264"/>
        <v>55239.25</v>
      </c>
      <c r="S72" s="679">
        <f t="shared" si="264"/>
        <v>150605.27999999997</v>
      </c>
      <c r="T72" s="677">
        <f t="shared" si="264"/>
        <v>51337.00999999998</v>
      </c>
      <c r="U72" s="679">
        <f t="shared" ref="U72:V72" si="265">SUM(U68:U71)</f>
        <v>201942.28999999998</v>
      </c>
      <c r="V72" s="677">
        <f t="shared" si="265"/>
        <v>54331.526000000005</v>
      </c>
      <c r="W72" s="1183">
        <f>SUM(W68:W71)</f>
        <v>160907.78599999999</v>
      </c>
      <c r="X72" s="1184">
        <f>SUM(X68:X71)</f>
        <v>256273.81599999996</v>
      </c>
      <c r="Y72" s="677">
        <f t="shared" ref="Y72" si="266">SUM(Y68:Y71)</f>
        <v>52956.632999999987</v>
      </c>
      <c r="Z72" s="679">
        <f>SUM(Z68:Z71)</f>
        <v>309230.44899999996</v>
      </c>
      <c r="AA72" s="677">
        <f t="shared" ref="AA72" si="267">SUM(AA68:AA71)</f>
        <v>58637.492999999988</v>
      </c>
      <c r="AB72" s="1184">
        <f>SUM(AB68:AB71)</f>
        <v>367867.94199999992</v>
      </c>
      <c r="AC72" s="677">
        <f t="shared" ref="AC72" si="268">SUM(AC68:AC71)</f>
        <v>54119.814999999995</v>
      </c>
      <c r="AD72" s="1289">
        <f>SUM(AD68:AD71)</f>
        <v>165713.94099999996</v>
      </c>
      <c r="AE72" s="775">
        <f>SUM(AE68:AE71)</f>
        <v>326621.72699999996</v>
      </c>
      <c r="AF72" s="2581">
        <f>SUM(AF68:AF71)</f>
        <v>421987.75699999998</v>
      </c>
    </row>
    <row r="73" spans="2:32" ht="35" hidden="1" customHeight="1" x14ac:dyDescent="0.25">
      <c r="D73" s="665"/>
      <c r="E73" s="680" t="s">
        <v>447</v>
      </c>
      <c r="F73" s="2751"/>
      <c r="G73" s="2751"/>
      <c r="H73" s="3596"/>
      <c r="I73" s="2751"/>
      <c r="J73" s="3595"/>
      <c r="K73" s="2751"/>
      <c r="L73" s="3595"/>
      <c r="M73" s="2751"/>
      <c r="N73" s="680"/>
      <c r="O73" s="2751"/>
      <c r="P73" s="706"/>
      <c r="Q73" s="706"/>
      <c r="R73" s="2751"/>
      <c r="S73" s="706"/>
      <c r="T73" s="2751"/>
      <c r="U73" s="706"/>
      <c r="V73" s="2751"/>
      <c r="W73" s="1186"/>
      <c r="X73" s="706"/>
      <c r="Y73" s="2751"/>
      <c r="Z73" s="706"/>
      <c r="AA73" s="2751"/>
      <c r="AB73" s="706"/>
      <c r="AC73" s="2751"/>
      <c r="AD73" s="706"/>
      <c r="AE73" s="879"/>
      <c r="AF73" s="879"/>
    </row>
    <row r="74" spans="2:32" ht="35" hidden="1" customHeight="1" x14ac:dyDescent="0.25">
      <c r="D74" s="665"/>
      <c r="E74" s="667" t="s">
        <v>244</v>
      </c>
      <c r="F74" s="3296"/>
      <c r="G74" s="3296"/>
      <c r="H74" s="669">
        <f>SUM(F74:G74)</f>
        <v>0</v>
      </c>
      <c r="I74" s="3296"/>
      <c r="J74" s="670">
        <f>SUM(H74:I74)</f>
        <v>0</v>
      </c>
      <c r="K74" s="3296"/>
      <c r="L74" s="669">
        <f>SUM(J74:K74)</f>
        <v>0</v>
      </c>
      <c r="M74" s="3296">
        <v>2958.2200000000007</v>
      </c>
      <c r="N74" s="821">
        <f>SUM(L74:M74)</f>
        <v>2958.2200000000007</v>
      </c>
      <c r="O74" s="3296">
        <v>4292.4699999999984</v>
      </c>
      <c r="P74" s="815">
        <f t="shared" ref="P74:P77" si="269">+K74+M74+O74</f>
        <v>7250.6899999999987</v>
      </c>
      <c r="Q74" s="773">
        <f>+N74+O74</f>
        <v>7250.6899999999987</v>
      </c>
      <c r="R74" s="3296">
        <v>5049.9799999999987</v>
      </c>
      <c r="S74" s="821">
        <f t="shared" ref="S74:U77" si="270">SUM(Q74:R74)</f>
        <v>12300.669999999998</v>
      </c>
      <c r="T74" s="3296">
        <v>5245.54</v>
      </c>
      <c r="U74" s="821">
        <f t="shared" si="270"/>
        <v>17546.21</v>
      </c>
      <c r="V74" s="3296">
        <f>410.86+2509.4</f>
        <v>2920.26</v>
      </c>
      <c r="W74" s="846">
        <f t="shared" ref="W74:W77" si="271">+R74+T74+V74</f>
        <v>13215.779999999999</v>
      </c>
      <c r="X74" s="714">
        <f>+U74+V74</f>
        <v>20466.47</v>
      </c>
      <c r="Y74" s="3296">
        <v>5324.7779999999993</v>
      </c>
      <c r="Z74" s="821">
        <f t="shared" ref="Z74:Z77" si="272">SUM(X74:Y74)</f>
        <v>25791.248</v>
      </c>
      <c r="AA74" s="3296">
        <v>2842.1790000000001</v>
      </c>
      <c r="AB74" s="821">
        <f t="shared" ref="AB74:AB77" si="273">SUM(Z74:AA74)</f>
        <v>28633.427</v>
      </c>
      <c r="AC74" s="3296">
        <v>3105.16</v>
      </c>
      <c r="AD74" s="1291">
        <f t="shared" ref="AD74:AD77" si="274">+Y74+AA74+AC74</f>
        <v>11272.116999999998</v>
      </c>
      <c r="AE74" s="2209">
        <f t="shared" ref="AE74:AE77" si="275">+W74+AD74</f>
        <v>24487.896999999997</v>
      </c>
      <c r="AF74" s="2580">
        <f t="shared" ref="AF74:AF77" si="276">+AB74+AC74</f>
        <v>31738.587</v>
      </c>
    </row>
    <row r="75" spans="2:32" ht="35" hidden="1" customHeight="1" x14ac:dyDescent="0.25">
      <c r="D75" s="665"/>
      <c r="E75" s="671" t="s">
        <v>1265</v>
      </c>
      <c r="F75" s="3296"/>
      <c r="G75" s="3296"/>
      <c r="H75" s="669">
        <f t="shared" ref="H75:H76" si="277">SUM(F75:G75)</f>
        <v>0</v>
      </c>
      <c r="I75" s="3296"/>
      <c r="J75" s="670">
        <f t="shared" ref="J75:J76" si="278">SUM(H75:I75)</f>
        <v>0</v>
      </c>
      <c r="K75" s="3296"/>
      <c r="L75" s="669">
        <f t="shared" ref="L75:L76" si="279">SUM(J75:K75)</f>
        <v>0</v>
      </c>
      <c r="M75" s="3296">
        <v>0</v>
      </c>
      <c r="N75" s="821">
        <f t="shared" ref="N75:N76" si="280">SUM(L75:M75)</f>
        <v>0</v>
      </c>
      <c r="O75" s="3296">
        <v>0</v>
      </c>
      <c r="P75" s="815">
        <f t="shared" si="269"/>
        <v>0</v>
      </c>
      <c r="Q75" s="773">
        <f t="shared" ref="Q75:Q77" si="281">+N75+O75</f>
        <v>0</v>
      </c>
      <c r="R75" s="3296">
        <v>0</v>
      </c>
      <c r="S75" s="821">
        <f t="shared" si="270"/>
        <v>0</v>
      </c>
      <c r="T75" s="3296">
        <v>0</v>
      </c>
      <c r="U75" s="821">
        <f t="shared" si="270"/>
        <v>0</v>
      </c>
      <c r="V75" s="3296">
        <v>0</v>
      </c>
      <c r="W75" s="846">
        <f t="shared" si="271"/>
        <v>0</v>
      </c>
      <c r="X75" s="714">
        <f t="shared" ref="X75:X76" si="282">+U75+V75</f>
        <v>0</v>
      </c>
      <c r="Y75" s="3296">
        <v>0</v>
      </c>
      <c r="Z75" s="821">
        <f t="shared" si="272"/>
        <v>0</v>
      </c>
      <c r="AA75" s="3296">
        <v>0</v>
      </c>
      <c r="AB75" s="821">
        <f t="shared" si="273"/>
        <v>0</v>
      </c>
      <c r="AC75" s="3296">
        <v>0</v>
      </c>
      <c r="AD75" s="1291">
        <f t="shared" si="274"/>
        <v>0</v>
      </c>
      <c r="AE75" s="2209">
        <f t="shared" si="275"/>
        <v>0</v>
      </c>
      <c r="AF75" s="2580">
        <f t="shared" si="276"/>
        <v>0</v>
      </c>
    </row>
    <row r="76" spans="2:32" ht="35" hidden="1" customHeight="1" x14ac:dyDescent="0.25">
      <c r="D76" s="665"/>
      <c r="E76" s="667" t="s">
        <v>599</v>
      </c>
      <c r="F76" s="3296"/>
      <c r="G76" s="3296"/>
      <c r="H76" s="669">
        <f t="shared" si="277"/>
        <v>0</v>
      </c>
      <c r="I76" s="3296"/>
      <c r="J76" s="682">
        <f t="shared" si="278"/>
        <v>0</v>
      </c>
      <c r="K76" s="3296"/>
      <c r="L76" s="669">
        <f t="shared" si="279"/>
        <v>0</v>
      </c>
      <c r="M76" s="3296">
        <v>0</v>
      </c>
      <c r="N76" s="821">
        <f t="shared" si="280"/>
        <v>0</v>
      </c>
      <c r="O76" s="3296">
        <v>0</v>
      </c>
      <c r="P76" s="815">
        <f t="shared" si="269"/>
        <v>0</v>
      </c>
      <c r="Q76" s="773">
        <f t="shared" si="281"/>
        <v>0</v>
      </c>
      <c r="R76" s="3296">
        <v>0</v>
      </c>
      <c r="S76" s="821">
        <f t="shared" si="270"/>
        <v>0</v>
      </c>
      <c r="T76" s="3296">
        <v>0</v>
      </c>
      <c r="U76" s="821">
        <f t="shared" si="270"/>
        <v>0</v>
      </c>
      <c r="V76" s="3296">
        <v>24.41</v>
      </c>
      <c r="W76" s="846">
        <f t="shared" si="271"/>
        <v>24.41</v>
      </c>
      <c r="X76" s="714">
        <f t="shared" si="282"/>
        <v>24.41</v>
      </c>
      <c r="Y76" s="3296">
        <v>0</v>
      </c>
      <c r="Z76" s="821">
        <f t="shared" si="272"/>
        <v>24.41</v>
      </c>
      <c r="AA76" s="3296">
        <v>55.92</v>
      </c>
      <c r="AB76" s="821">
        <f t="shared" si="273"/>
        <v>80.33</v>
      </c>
      <c r="AC76" s="3296">
        <v>0</v>
      </c>
      <c r="AD76" s="1291">
        <f t="shared" si="274"/>
        <v>55.92</v>
      </c>
      <c r="AE76" s="2209">
        <f t="shared" si="275"/>
        <v>80.33</v>
      </c>
      <c r="AF76" s="2580">
        <f t="shared" si="276"/>
        <v>80.33</v>
      </c>
    </row>
    <row r="77" spans="2:32" ht="35" hidden="1" customHeight="1" thickBot="1" x14ac:dyDescent="0.3">
      <c r="D77" s="3448"/>
      <c r="E77" s="683" t="s">
        <v>245</v>
      </c>
      <c r="F77" s="3296"/>
      <c r="G77" s="3296"/>
      <c r="H77" s="686">
        <f>SUM(F77:G77)</f>
        <v>0</v>
      </c>
      <c r="I77" s="3296"/>
      <c r="J77" s="687">
        <f>SUM(H77:I77)</f>
        <v>0</v>
      </c>
      <c r="K77" s="3296"/>
      <c r="L77" s="686">
        <f>SUM(J77:K77)</f>
        <v>0</v>
      </c>
      <c r="M77" s="3296">
        <v>10350.159999999998</v>
      </c>
      <c r="N77" s="675">
        <f>SUM(L77:M77)</f>
        <v>10350.159999999998</v>
      </c>
      <c r="O77" s="3296">
        <v>4632.5100000000011</v>
      </c>
      <c r="P77" s="815">
        <f t="shared" si="269"/>
        <v>14982.669999999998</v>
      </c>
      <c r="Q77" s="773">
        <f t="shared" si="281"/>
        <v>14982.669999999998</v>
      </c>
      <c r="R77" s="3296">
        <v>3312.8500000000004</v>
      </c>
      <c r="S77" s="821">
        <f t="shared" si="270"/>
        <v>18295.519999999997</v>
      </c>
      <c r="T77" s="3296">
        <v>5133.4700000000021</v>
      </c>
      <c r="U77" s="821">
        <f t="shared" si="270"/>
        <v>23428.989999999998</v>
      </c>
      <c r="V77" s="3296">
        <v>1928.39</v>
      </c>
      <c r="W77" s="846">
        <f t="shared" si="271"/>
        <v>10374.710000000003</v>
      </c>
      <c r="X77" s="714">
        <f>+U77+V77</f>
        <v>25357.379999999997</v>
      </c>
      <c r="Y77" s="3296">
        <v>7005.0009999999993</v>
      </c>
      <c r="Z77" s="821">
        <f t="shared" si="272"/>
        <v>32362.380999999998</v>
      </c>
      <c r="AA77" s="3296">
        <v>10789.968000000001</v>
      </c>
      <c r="AB77" s="821">
        <f t="shared" si="273"/>
        <v>43152.349000000002</v>
      </c>
      <c r="AC77" s="3296">
        <v>13108.446000000002</v>
      </c>
      <c r="AD77" s="1291">
        <f t="shared" si="274"/>
        <v>30903.415000000001</v>
      </c>
      <c r="AE77" s="2209">
        <f t="shared" si="275"/>
        <v>41278.125</v>
      </c>
      <c r="AF77" s="2580">
        <f t="shared" si="276"/>
        <v>56260.795000000006</v>
      </c>
    </row>
    <row r="78" spans="2:32" ht="35" hidden="1" customHeight="1" thickBot="1" x14ac:dyDescent="0.4">
      <c r="B78" s="2">
        <f>46227+13099</f>
        <v>59326</v>
      </c>
      <c r="D78" s="665"/>
      <c r="E78" s="676" t="s">
        <v>15</v>
      </c>
      <c r="F78" s="677">
        <f t="shared" ref="F78:G78" si="283">SUM(F74:F77)</f>
        <v>0</v>
      </c>
      <c r="G78" s="677">
        <f t="shared" si="283"/>
        <v>0</v>
      </c>
      <c r="H78" s="679">
        <f t="shared" ref="H78:L78" si="284">SUM(H74:H77)</f>
        <v>0</v>
      </c>
      <c r="I78" s="677">
        <f t="shared" si="284"/>
        <v>0</v>
      </c>
      <c r="J78" s="678">
        <f t="shared" si="284"/>
        <v>0</v>
      </c>
      <c r="K78" s="677">
        <f t="shared" si="284"/>
        <v>0</v>
      </c>
      <c r="L78" s="679">
        <f t="shared" si="284"/>
        <v>0</v>
      </c>
      <c r="M78" s="677">
        <f t="shared" ref="M78:O78" si="285">SUM(M74:M77)</f>
        <v>13308.38</v>
      </c>
      <c r="N78" s="679">
        <f t="shared" ref="N78:T78" si="286">SUM(N74:N77)</f>
        <v>13308.38</v>
      </c>
      <c r="O78" s="677">
        <f t="shared" si="285"/>
        <v>8924.98</v>
      </c>
      <c r="P78" s="678">
        <f t="shared" si="286"/>
        <v>22233.359999999997</v>
      </c>
      <c r="Q78" s="774">
        <f t="shared" si="286"/>
        <v>22233.359999999997</v>
      </c>
      <c r="R78" s="677">
        <f t="shared" si="286"/>
        <v>8362.8299999999981</v>
      </c>
      <c r="S78" s="679">
        <f t="shared" si="286"/>
        <v>30596.189999999995</v>
      </c>
      <c r="T78" s="677">
        <f t="shared" si="286"/>
        <v>10379.010000000002</v>
      </c>
      <c r="U78" s="679">
        <f t="shared" ref="U78:V78" si="287">SUM(U74:U77)</f>
        <v>40975.199999999997</v>
      </c>
      <c r="V78" s="677">
        <f t="shared" si="287"/>
        <v>4873.0600000000004</v>
      </c>
      <c r="W78" s="1183">
        <f>SUM(W74:W77)</f>
        <v>23614.9</v>
      </c>
      <c r="X78" s="1184">
        <f>SUM(X74:X77)</f>
        <v>45848.259999999995</v>
      </c>
      <c r="Y78" s="677">
        <f t="shared" ref="Y78" si="288">SUM(Y74:Y77)</f>
        <v>12329.778999999999</v>
      </c>
      <c r="Z78" s="679">
        <f>SUM(Z74:Z77)</f>
        <v>58178.038999999997</v>
      </c>
      <c r="AA78" s="677">
        <f t="shared" ref="AA78" si="289">SUM(AA74:AA77)</f>
        <v>13688.067000000001</v>
      </c>
      <c r="AB78" s="1184">
        <f>SUM(AB74:AB77)</f>
        <v>71866.106</v>
      </c>
      <c r="AC78" s="677">
        <f t="shared" ref="AC78" si="290">SUM(AC74:AC77)</f>
        <v>16213.606000000002</v>
      </c>
      <c r="AD78" s="1289">
        <f>SUM(AD74:AD77)</f>
        <v>42231.451999999997</v>
      </c>
      <c r="AE78" s="775">
        <f>SUM(AE74:AE77)</f>
        <v>65846.351999999999</v>
      </c>
      <c r="AF78" s="2581">
        <f>SUM(AF74:AF77)</f>
        <v>88079.712</v>
      </c>
    </row>
    <row r="79" spans="2:32" ht="35" hidden="1" customHeight="1" x14ac:dyDescent="0.25">
      <c r="B79" s="2">
        <v>41574</v>
      </c>
      <c r="D79" s="665"/>
      <c r="E79" s="680" t="s">
        <v>1135</v>
      </c>
      <c r="F79" s="2751"/>
      <c r="G79" s="2751"/>
      <c r="H79" s="3596"/>
      <c r="I79" s="2751"/>
      <c r="J79" s="3595"/>
      <c r="K79" s="2751"/>
      <c r="L79" s="3595"/>
      <c r="M79" s="2751"/>
      <c r="N79" s="680"/>
      <c r="O79" s="2751"/>
      <c r="P79" s="706"/>
      <c r="Q79" s="706"/>
      <c r="R79" s="2751"/>
      <c r="S79" s="706"/>
      <c r="T79" s="2751"/>
      <c r="U79" s="706"/>
      <c r="V79" s="2751"/>
      <c r="W79" s="1186"/>
      <c r="X79" s="706"/>
      <c r="Y79" s="2751"/>
      <c r="Z79" s="706"/>
      <c r="AA79" s="2751"/>
      <c r="AB79" s="706"/>
      <c r="AC79" s="2751"/>
      <c r="AD79" s="706"/>
      <c r="AE79" s="879"/>
      <c r="AF79" s="879"/>
    </row>
    <row r="80" spans="2:32" ht="35" hidden="1" customHeight="1" x14ac:dyDescent="0.25">
      <c r="B80" s="2">
        <f>SUM(B78:B79)</f>
        <v>100900</v>
      </c>
      <c r="D80" s="665"/>
      <c r="E80" s="667" t="s">
        <v>244</v>
      </c>
      <c r="F80" s="3296"/>
      <c r="G80" s="3296"/>
      <c r="H80" s="669">
        <f>SUM(F80:G80)</f>
        <v>0</v>
      </c>
      <c r="I80" s="3296"/>
      <c r="J80" s="670">
        <f>SUM(H80:I80)</f>
        <v>0</v>
      </c>
      <c r="K80" s="3296"/>
      <c r="L80" s="669">
        <f>SUM(J80:K80)</f>
        <v>0</v>
      </c>
      <c r="M80" s="3296">
        <v>19328.310000000012</v>
      </c>
      <c r="N80" s="686">
        <f t="shared" ref="N80:AB84" si="291">SUM(L80:M80)</f>
        <v>19328.310000000012</v>
      </c>
      <c r="O80" s="3296">
        <v>27486.429999999978</v>
      </c>
      <c r="P80" s="815">
        <f t="shared" ref="P80:P91" si="292">+K80+M80+O80</f>
        <v>46814.739999999991</v>
      </c>
      <c r="Q80" s="773">
        <f>+N80+O80</f>
        <v>46814.739999999991</v>
      </c>
      <c r="R80" s="3296">
        <v>29307.739999999998</v>
      </c>
      <c r="S80" s="686">
        <f t="shared" si="291"/>
        <v>76122.479999999981</v>
      </c>
      <c r="T80" s="3296">
        <v>28391.09</v>
      </c>
      <c r="U80" s="686">
        <f t="shared" si="291"/>
        <v>104513.56999999998</v>
      </c>
      <c r="V80" s="3296">
        <f>2139.14+26442.881</f>
        <v>28582.021000000001</v>
      </c>
      <c r="W80" s="1176">
        <f t="shared" ref="W80:W84" si="293">+R80+T80+V80</f>
        <v>86280.850999999995</v>
      </c>
      <c r="X80" s="714">
        <f>+U80+V80</f>
        <v>133095.59099999999</v>
      </c>
      <c r="Y80" s="3296">
        <v>43082.954999999987</v>
      </c>
      <c r="Z80" s="686">
        <f t="shared" si="291"/>
        <v>176178.54599999997</v>
      </c>
      <c r="AA80" s="3296">
        <v>23399.195</v>
      </c>
      <c r="AB80" s="669">
        <f t="shared" si="291"/>
        <v>199577.74099999998</v>
      </c>
      <c r="AC80" s="3296">
        <v>11134.412</v>
      </c>
      <c r="AD80" s="1291">
        <f t="shared" ref="AD80:AD84" si="294">+Y80+AA80+AC80</f>
        <v>77616.561999999991</v>
      </c>
      <c r="AE80" s="2209">
        <f t="shared" ref="AE80:AE84" si="295">+W80+AD80</f>
        <v>163897.413</v>
      </c>
      <c r="AF80" s="2580">
        <f t="shared" ref="AF80:AF91" si="296">+AB80+AC80</f>
        <v>210712.15299999999</v>
      </c>
    </row>
    <row r="81" spans="1:38" ht="35" hidden="1" customHeight="1" x14ac:dyDescent="0.25">
      <c r="D81" s="665"/>
      <c r="E81" s="671" t="s">
        <v>1736</v>
      </c>
      <c r="F81" s="3296"/>
      <c r="G81" s="3296"/>
      <c r="H81" s="669">
        <f>SUM(F81:G81)</f>
        <v>0</v>
      </c>
      <c r="I81" s="3296"/>
      <c r="J81" s="670">
        <f t="shared" ref="J81:J83" si="297">SUM(H81:I81)</f>
        <v>0</v>
      </c>
      <c r="K81" s="3296"/>
      <c r="L81" s="669">
        <f>SUM(J81:K81)</f>
        <v>0</v>
      </c>
      <c r="M81" s="3296">
        <v>1171.7200000000003</v>
      </c>
      <c r="N81" s="686">
        <f t="shared" si="291"/>
        <v>1171.7200000000003</v>
      </c>
      <c r="O81" s="3296">
        <v>4125.8499999999995</v>
      </c>
      <c r="P81" s="815">
        <f t="shared" si="292"/>
        <v>5297.57</v>
      </c>
      <c r="Q81" s="773">
        <f t="shared" ref="Q81:Q84" si="298">+N81+O81</f>
        <v>5297.57</v>
      </c>
      <c r="R81" s="3296">
        <f>2017.82+1336.38</f>
        <v>3354.2</v>
      </c>
      <c r="S81" s="686">
        <f t="shared" si="291"/>
        <v>8651.77</v>
      </c>
      <c r="T81" s="3296">
        <f>2099.27+254.78</f>
        <v>2354.0500000000002</v>
      </c>
      <c r="U81" s="686">
        <f t="shared" si="291"/>
        <v>11005.82</v>
      </c>
      <c r="V81" s="3296">
        <v>3697.62</v>
      </c>
      <c r="W81" s="1176">
        <f t="shared" si="293"/>
        <v>9405.869999999999</v>
      </c>
      <c r="X81" s="714">
        <f t="shared" ref="X81:X84" si="299">+U81+V81</f>
        <v>14703.439999999999</v>
      </c>
      <c r="Y81" s="3296">
        <f>2164.93+1496.2</f>
        <v>3661.13</v>
      </c>
      <c r="Z81" s="686">
        <f t="shared" si="291"/>
        <v>18364.57</v>
      </c>
      <c r="AA81" s="3296">
        <v>298.61</v>
      </c>
      <c r="AB81" s="669">
        <f t="shared" si="291"/>
        <v>18663.18</v>
      </c>
      <c r="AC81" s="3296">
        <v>999.30000000000007</v>
      </c>
      <c r="AD81" s="1291">
        <f t="shared" si="294"/>
        <v>4959.04</v>
      </c>
      <c r="AE81" s="2209">
        <f t="shared" si="295"/>
        <v>14364.91</v>
      </c>
      <c r="AF81" s="2580">
        <f t="shared" si="296"/>
        <v>19662.48</v>
      </c>
    </row>
    <row r="82" spans="1:38" ht="35" hidden="1" customHeight="1" x14ac:dyDescent="0.25">
      <c r="D82" s="665"/>
      <c r="E82" s="683" t="s">
        <v>245</v>
      </c>
      <c r="F82" s="3296"/>
      <c r="G82" s="3296"/>
      <c r="H82" s="686">
        <f>SUM(F82:G82)</f>
        <v>0</v>
      </c>
      <c r="I82" s="3296"/>
      <c r="J82" s="670">
        <f t="shared" si="297"/>
        <v>0</v>
      </c>
      <c r="K82" s="3296"/>
      <c r="L82" s="686">
        <f>SUM(J82:K82)</f>
        <v>0</v>
      </c>
      <c r="M82" s="3296">
        <v>1119.74</v>
      </c>
      <c r="N82" s="821">
        <f>SUM(L82:M82)</f>
        <v>1119.74</v>
      </c>
      <c r="O82" s="3296">
        <v>2955.3200000000006</v>
      </c>
      <c r="P82" s="815">
        <f t="shared" si="292"/>
        <v>4075.0600000000004</v>
      </c>
      <c r="Q82" s="773">
        <f t="shared" si="298"/>
        <v>4075.0600000000004</v>
      </c>
      <c r="R82" s="3296">
        <v>4628.8900000000003</v>
      </c>
      <c r="S82" s="686">
        <f t="shared" si="291"/>
        <v>8703.9500000000007</v>
      </c>
      <c r="T82" s="3296">
        <v>7369.99</v>
      </c>
      <c r="U82" s="686">
        <f t="shared" si="291"/>
        <v>16073.94</v>
      </c>
      <c r="V82" s="3296">
        <f>595.31+6895.522</f>
        <v>7490.8320000000003</v>
      </c>
      <c r="W82" s="1176">
        <f t="shared" si="293"/>
        <v>19489.712</v>
      </c>
      <c r="X82" s="714">
        <f t="shared" si="299"/>
        <v>23564.772000000001</v>
      </c>
      <c r="Y82" s="3296">
        <v>6502.5230000000001</v>
      </c>
      <c r="Z82" s="686">
        <f t="shared" ref="Z82:Z84" si="300">SUM(X82:Y82)</f>
        <v>30067.295000000002</v>
      </c>
      <c r="AA82" s="3296">
        <v>27861.384999999998</v>
      </c>
      <c r="AB82" s="669">
        <f t="shared" si="291"/>
        <v>57928.68</v>
      </c>
      <c r="AC82" s="3296">
        <v>9231.8649999999998</v>
      </c>
      <c r="AD82" s="1291">
        <f t="shared" si="294"/>
        <v>43595.772999999994</v>
      </c>
      <c r="AE82" s="2209">
        <f t="shared" si="295"/>
        <v>63085.484999999993</v>
      </c>
      <c r="AF82" s="2580">
        <f t="shared" si="296"/>
        <v>67160.544999999998</v>
      </c>
    </row>
    <row r="83" spans="1:38" ht="35" hidden="1" customHeight="1" x14ac:dyDescent="0.25">
      <c r="D83" s="665"/>
      <c r="E83" s="1515" t="s">
        <v>250</v>
      </c>
      <c r="F83" s="3296"/>
      <c r="G83" s="3296"/>
      <c r="H83" s="686">
        <f>SUM(F83:G83)</f>
        <v>0</v>
      </c>
      <c r="I83" s="3296"/>
      <c r="J83" s="670">
        <f t="shared" si="297"/>
        <v>0</v>
      </c>
      <c r="K83" s="3296"/>
      <c r="L83" s="686">
        <f>SUM(J83:K83)</f>
        <v>0</v>
      </c>
      <c r="M83" s="3296">
        <v>0</v>
      </c>
      <c r="N83" s="821">
        <f>SUM(L83:M83)</f>
        <v>0</v>
      </c>
      <c r="O83" s="3296">
        <v>0</v>
      </c>
      <c r="P83" s="815">
        <f t="shared" si="292"/>
        <v>0</v>
      </c>
      <c r="Q83" s="773">
        <f t="shared" si="298"/>
        <v>0</v>
      </c>
      <c r="R83" s="3296">
        <v>0</v>
      </c>
      <c r="S83" s="686">
        <f t="shared" si="291"/>
        <v>0</v>
      </c>
      <c r="T83" s="3296">
        <v>0</v>
      </c>
      <c r="U83" s="686">
        <f t="shared" si="291"/>
        <v>0</v>
      </c>
      <c r="V83" s="3296">
        <v>0</v>
      </c>
      <c r="W83" s="1176">
        <f t="shared" si="293"/>
        <v>0</v>
      </c>
      <c r="X83" s="714">
        <f t="shared" si="299"/>
        <v>0</v>
      </c>
      <c r="Y83" s="3296">
        <v>545.92000000000007</v>
      </c>
      <c r="Z83" s="686">
        <f t="shared" si="300"/>
        <v>545.92000000000007</v>
      </c>
      <c r="AA83" s="3296">
        <v>2180.3539999999998</v>
      </c>
      <c r="AB83" s="669">
        <f t="shared" si="291"/>
        <v>2726.2739999999999</v>
      </c>
      <c r="AC83" s="3296">
        <v>2833.6950000000006</v>
      </c>
      <c r="AD83" s="1291">
        <f t="shared" si="294"/>
        <v>5559.969000000001</v>
      </c>
      <c r="AE83" s="2209">
        <f t="shared" si="295"/>
        <v>5559.969000000001</v>
      </c>
      <c r="AF83" s="2580">
        <f t="shared" si="296"/>
        <v>5559.969000000001</v>
      </c>
    </row>
    <row r="84" spans="1:38" ht="35" hidden="1" customHeight="1" thickBot="1" x14ac:dyDescent="0.3">
      <c r="B84" s="2">
        <f>+B78/B80*100</f>
        <v>58.796828543111992</v>
      </c>
      <c r="D84" s="3448"/>
      <c r="E84" s="688" t="s">
        <v>1748</v>
      </c>
      <c r="F84" s="3298"/>
      <c r="G84" s="3298"/>
      <c r="H84" s="675">
        <f>SUM(F84:G84)</f>
        <v>0</v>
      </c>
      <c r="I84" s="3298"/>
      <c r="J84" s="1932">
        <f>SUM(H84:I84)</f>
        <v>0</v>
      </c>
      <c r="K84" s="3298"/>
      <c r="L84" s="675">
        <f>SUM(J84:K84)</f>
        <v>0</v>
      </c>
      <c r="M84" s="3298">
        <v>45590.259999999987</v>
      </c>
      <c r="N84" s="675">
        <f>SUM(L84:M84)</f>
        <v>45590.259999999987</v>
      </c>
      <c r="O84" s="3298">
        <v>45646.23999999994</v>
      </c>
      <c r="P84" s="815">
        <f t="shared" si="292"/>
        <v>91236.499999999927</v>
      </c>
      <c r="Q84" s="773">
        <f t="shared" si="298"/>
        <v>91236.499999999927</v>
      </c>
      <c r="R84" s="3298">
        <v>39619.599999999984</v>
      </c>
      <c r="S84" s="686">
        <f t="shared" si="291"/>
        <v>130856.09999999992</v>
      </c>
      <c r="T84" s="3298">
        <v>48823.54000000003</v>
      </c>
      <c r="U84" s="686">
        <f t="shared" si="291"/>
        <v>179679.63999999996</v>
      </c>
      <c r="V84" s="3298">
        <f>19255.9+50901.9729999999</f>
        <v>70157.872999999905</v>
      </c>
      <c r="W84" s="1176">
        <f t="shared" si="293"/>
        <v>158601.01299999992</v>
      </c>
      <c r="X84" s="714">
        <f t="shared" si="299"/>
        <v>249837.51299999986</v>
      </c>
      <c r="Y84" s="3298">
        <v>54434.998999999996</v>
      </c>
      <c r="Z84" s="686">
        <f t="shared" si="300"/>
        <v>304272.51199999987</v>
      </c>
      <c r="AA84" s="3298">
        <v>19341.118999999999</v>
      </c>
      <c r="AB84" s="669">
        <f t="shared" si="291"/>
        <v>323613.63099999988</v>
      </c>
      <c r="AC84" s="3298">
        <v>21235.675000000003</v>
      </c>
      <c r="AD84" s="1291">
        <f t="shared" si="294"/>
        <v>95011.792999999991</v>
      </c>
      <c r="AE84" s="2209">
        <f t="shared" si="295"/>
        <v>253612.80599999992</v>
      </c>
      <c r="AF84" s="2580">
        <f t="shared" si="296"/>
        <v>344849.30599999987</v>
      </c>
    </row>
    <row r="85" spans="1:38" ht="35" hidden="1" customHeight="1" thickBot="1" x14ac:dyDescent="0.4">
      <c r="D85" s="665"/>
      <c r="E85" s="676" t="s">
        <v>15</v>
      </c>
      <c r="F85" s="677">
        <f t="shared" ref="F85:G85" si="301">SUM(F80:F84)</f>
        <v>0</v>
      </c>
      <c r="G85" s="677">
        <f t="shared" si="301"/>
        <v>0</v>
      </c>
      <c r="H85" s="679">
        <f t="shared" ref="H85:AF85" si="302">SUM(H80:H84)</f>
        <v>0</v>
      </c>
      <c r="I85" s="677">
        <f t="shared" ref="I85" si="303">SUM(I80:I84)</f>
        <v>0</v>
      </c>
      <c r="J85" s="678">
        <f t="shared" si="302"/>
        <v>0</v>
      </c>
      <c r="K85" s="677">
        <f t="shared" ref="K85" si="304">SUM(K80:K84)</f>
        <v>0</v>
      </c>
      <c r="L85" s="679">
        <f t="shared" si="302"/>
        <v>0</v>
      </c>
      <c r="M85" s="677">
        <f t="shared" ref="M85:O85" si="305">SUM(M80:M84)</f>
        <v>67210.03</v>
      </c>
      <c r="N85" s="679">
        <f t="shared" si="302"/>
        <v>67210.03</v>
      </c>
      <c r="O85" s="677">
        <f t="shared" si="305"/>
        <v>80213.839999999909</v>
      </c>
      <c r="P85" s="678">
        <f t="shared" si="302"/>
        <v>147423.86999999991</v>
      </c>
      <c r="Q85" s="774">
        <f t="shared" si="302"/>
        <v>147423.86999999991</v>
      </c>
      <c r="R85" s="677">
        <f t="shared" si="302"/>
        <v>76910.429999999993</v>
      </c>
      <c r="S85" s="679">
        <f t="shared" si="302"/>
        <v>224334.2999999999</v>
      </c>
      <c r="T85" s="677">
        <f t="shared" si="302"/>
        <v>86938.670000000027</v>
      </c>
      <c r="U85" s="679">
        <f t="shared" si="302"/>
        <v>311272.96999999997</v>
      </c>
      <c r="V85" s="677">
        <f t="shared" ref="V85" si="306">SUM(V80:V84)</f>
        <v>109928.3459999999</v>
      </c>
      <c r="W85" s="1183">
        <f t="shared" si="302"/>
        <v>273777.44599999988</v>
      </c>
      <c r="X85" s="1184">
        <f t="shared" si="302"/>
        <v>421201.31599999988</v>
      </c>
      <c r="Y85" s="677">
        <f t="shared" si="302"/>
        <v>108227.52699999997</v>
      </c>
      <c r="Z85" s="679">
        <f t="shared" si="302"/>
        <v>529428.84299999988</v>
      </c>
      <c r="AA85" s="677">
        <f t="shared" ref="AA85" si="307">SUM(AA80:AA84)</f>
        <v>73080.663</v>
      </c>
      <c r="AB85" s="1184">
        <f t="shared" si="302"/>
        <v>602509.50599999982</v>
      </c>
      <c r="AC85" s="677">
        <f t="shared" ref="AC85" si="308">SUM(AC80:AC84)</f>
        <v>45434.947</v>
      </c>
      <c r="AD85" s="1289">
        <f t="shared" si="302"/>
        <v>226743.13699999999</v>
      </c>
      <c r="AE85" s="775">
        <f t="shared" si="302"/>
        <v>500520.58299999993</v>
      </c>
      <c r="AF85" s="2581">
        <f t="shared" si="302"/>
        <v>647944.45299999986</v>
      </c>
    </row>
    <row r="86" spans="1:38" ht="35" hidden="1" customHeight="1" thickBot="1" x14ac:dyDescent="0.3">
      <c r="D86" s="3006"/>
      <c r="E86" s="3010" t="s">
        <v>451</v>
      </c>
      <c r="F86" s="3011">
        <f>+F87+F88+F89+F90+F91</f>
        <v>0</v>
      </c>
      <c r="G86" s="3011">
        <f>+G87+G88+G89+G90+G91</f>
        <v>0</v>
      </c>
      <c r="H86" s="3012">
        <f t="shared" ref="H86:H171" si="309">+F86+G86</f>
        <v>0</v>
      </c>
      <c r="I86" s="3011">
        <f>+I87+I88+I89+I90+I91</f>
        <v>0</v>
      </c>
      <c r="J86" s="3013">
        <f t="shared" ref="J86:J171" si="310">+H86+I86</f>
        <v>0</v>
      </c>
      <c r="K86" s="3011">
        <f>+K87+K88+K89+K90+K91</f>
        <v>0</v>
      </c>
      <c r="L86" s="3012">
        <f t="shared" ref="L86:L171" si="311">+J86+K86</f>
        <v>0</v>
      </c>
      <c r="M86" s="3011">
        <f>+M87+M88+M89+M90+M91</f>
        <v>174509.67999999996</v>
      </c>
      <c r="N86" s="3012">
        <f t="shared" ref="N86" si="312">+L86+M86</f>
        <v>174509.67999999996</v>
      </c>
      <c r="O86" s="3011">
        <f>+O87+O88+O89+O90+O91</f>
        <v>154903.6399999999</v>
      </c>
      <c r="P86" s="704">
        <f t="shared" si="292"/>
        <v>329413.31999999983</v>
      </c>
      <c r="Q86" s="767">
        <f t="shared" ref="Q86:Q192" si="313">+N86+O86</f>
        <v>329413.31999999983</v>
      </c>
      <c r="R86" s="3011">
        <f>+R87+R88+R89+R90+R91</f>
        <v>169455.59999999998</v>
      </c>
      <c r="S86" s="599">
        <f>+Q86+R86</f>
        <v>498868.91999999981</v>
      </c>
      <c r="T86" s="3011">
        <f>+T87+T88+T89+T90+T91</f>
        <v>188245.86000000002</v>
      </c>
      <c r="U86" s="599">
        <f>+S86+T86</f>
        <v>687114.7799999998</v>
      </c>
      <c r="V86" s="3011">
        <f>+V87+V88+V89+V90+V91</f>
        <v>205569.57299999992</v>
      </c>
      <c r="W86" s="923">
        <f t="shared" ref="W86:W147" si="314">+R86+T86+V86</f>
        <v>563271.03299999982</v>
      </c>
      <c r="X86" s="599">
        <f>+U86+V86</f>
        <v>892684.35299999965</v>
      </c>
      <c r="Y86" s="3011">
        <f>+Y87+Y88+Y89+Y90+Y91</f>
        <v>213162.45799999998</v>
      </c>
      <c r="Z86" s="599">
        <f>+X86+Y86</f>
        <v>1105846.8109999998</v>
      </c>
      <c r="AA86" s="3011">
        <f>+AA87+AA88+AA89+AA90+AA91</f>
        <v>177051.679</v>
      </c>
      <c r="AB86" s="599">
        <f>+Z86+AA86</f>
        <v>1282898.4899999998</v>
      </c>
      <c r="AC86" s="3011">
        <f>+AC87+AC88+AC89+AC90+AC91</f>
        <v>146751.946</v>
      </c>
      <c r="AD86" s="573">
        <f>+Y86+AA86+AC86</f>
        <v>536966.08299999998</v>
      </c>
      <c r="AE86" s="1294">
        <f>+W86+AD86</f>
        <v>1100237.1159999999</v>
      </c>
      <c r="AF86" s="575">
        <f t="shared" si="296"/>
        <v>1429650.4359999998</v>
      </c>
    </row>
    <row r="87" spans="1:38" ht="35" hidden="1" customHeight="1" x14ac:dyDescent="0.25">
      <c r="D87" s="665"/>
      <c r="E87" s="3007" t="s">
        <v>244</v>
      </c>
      <c r="F87" s="3008">
        <f>+F62+F68+F74+F80</f>
        <v>0</v>
      </c>
      <c r="G87" s="3008">
        <f>+G62+G68+G74+G80</f>
        <v>0</v>
      </c>
      <c r="H87" s="3009">
        <f>SUM(F87:G87)</f>
        <v>0</v>
      </c>
      <c r="I87" s="3008">
        <f>+I62+I68+I74+I80</f>
        <v>0</v>
      </c>
      <c r="J87" s="3477">
        <f>SUM(H87:I87)</f>
        <v>0</v>
      </c>
      <c r="K87" s="3008">
        <f>+K62+K68+K74+K80</f>
        <v>0</v>
      </c>
      <c r="L87" s="3009">
        <f>SUM(J87:K87)</f>
        <v>0</v>
      </c>
      <c r="M87" s="3008">
        <f>+M62+M68+M74+M80</f>
        <v>32358.290000000015</v>
      </c>
      <c r="N87" s="3009">
        <f>SUM(L87:M87)</f>
        <v>32358.290000000015</v>
      </c>
      <c r="O87" s="3008">
        <f>+O62+O68+O74+O80</f>
        <v>47486.069999999971</v>
      </c>
      <c r="P87" s="815">
        <f t="shared" si="292"/>
        <v>79844.359999999986</v>
      </c>
      <c r="Q87" s="773">
        <f t="shared" si="313"/>
        <v>79844.359999999986</v>
      </c>
      <c r="R87" s="3008">
        <f>+R62+R68+R74+R80</f>
        <v>50986.619999999988</v>
      </c>
      <c r="S87" s="690">
        <f t="shared" ref="S87:U91" si="315">+Q87+R87</f>
        <v>130830.97999999998</v>
      </c>
      <c r="T87" s="3008">
        <f>+T62+T68+T74+T80</f>
        <v>60347.789999999979</v>
      </c>
      <c r="U87" s="690">
        <f t="shared" si="315"/>
        <v>191178.76999999996</v>
      </c>
      <c r="V87" s="3008">
        <f>+V62+V68+V74+V80</f>
        <v>63290.742000000006</v>
      </c>
      <c r="W87" s="1177">
        <f t="shared" ref="W87:W97" si="316">+R87+T87+V87</f>
        <v>174625.15199999997</v>
      </c>
      <c r="X87" s="690">
        <f t="shared" ref="X87:X97" si="317">+U87+V87</f>
        <v>254469.51199999996</v>
      </c>
      <c r="Y87" s="3008">
        <f>+Y62+Y68+Y74+Y80</f>
        <v>94727.815999999992</v>
      </c>
      <c r="Z87" s="690">
        <f t="shared" ref="Z87:Z91" si="318">+X87+Y87</f>
        <v>349197.32799999998</v>
      </c>
      <c r="AA87" s="3008">
        <f>+AA62+AA68+AA74+AA80</f>
        <v>62143.909000000007</v>
      </c>
      <c r="AB87" s="690">
        <f t="shared" ref="AB87:AB91" si="319">+Z87+AA87</f>
        <v>411341.23699999996</v>
      </c>
      <c r="AC87" s="3008">
        <f>+AC62+AC68+AC74+AC80</f>
        <v>31159.909999999996</v>
      </c>
      <c r="AD87" s="721">
        <f t="shared" ref="AD87:AD97" si="320">+Y87+AA87+AC87</f>
        <v>188031.63500000001</v>
      </c>
      <c r="AE87" s="2209">
        <f t="shared" ref="AE87:AE91" si="321">+W87+AD87</f>
        <v>362656.78700000001</v>
      </c>
      <c r="AF87" s="2580">
        <f t="shared" si="296"/>
        <v>442501.14699999994</v>
      </c>
    </row>
    <row r="88" spans="1:38" ht="35" hidden="1" customHeight="1" x14ac:dyDescent="0.25">
      <c r="D88" s="665"/>
      <c r="E88" s="691" t="s">
        <v>1265</v>
      </c>
      <c r="F88" s="1514">
        <f>+F63+F69+F75+F81</f>
        <v>0</v>
      </c>
      <c r="G88" s="1514">
        <f>+G63+G69+G75+G81</f>
        <v>0</v>
      </c>
      <c r="H88" s="2777">
        <f t="shared" ref="H88:H91" si="322">SUM(F88:G88)</f>
        <v>0</v>
      </c>
      <c r="I88" s="1514">
        <f>+I63+I69+I75+I81</f>
        <v>0</v>
      </c>
      <c r="J88" s="3478">
        <f>SUM(H88:I88)</f>
        <v>0</v>
      </c>
      <c r="K88" s="1514">
        <f>+K63+K69+K75+K81</f>
        <v>0</v>
      </c>
      <c r="L88" s="2777">
        <f t="shared" ref="L88:L91" si="323">SUM(J88:K88)</f>
        <v>0</v>
      </c>
      <c r="M88" s="1514">
        <f>+M63+M69+M75+M81</f>
        <v>1219.7400000000002</v>
      </c>
      <c r="N88" s="2777">
        <f t="shared" ref="N88:N91" si="324">SUM(L88:M88)</f>
        <v>1219.7400000000002</v>
      </c>
      <c r="O88" s="1514">
        <f>+O63+O69+O75+O81</f>
        <v>4125.8499999999995</v>
      </c>
      <c r="P88" s="815">
        <f t="shared" si="292"/>
        <v>5345.59</v>
      </c>
      <c r="Q88" s="773">
        <f t="shared" si="313"/>
        <v>5345.59</v>
      </c>
      <c r="R88" s="1514">
        <f>+R63+R69+R75+R81</f>
        <v>3354.2</v>
      </c>
      <c r="S88" s="690">
        <f t="shared" si="315"/>
        <v>8699.7900000000009</v>
      </c>
      <c r="T88" s="1514">
        <f>+T63+T69+T75+T81</f>
        <v>2354.0500000000002</v>
      </c>
      <c r="U88" s="690">
        <f t="shared" si="315"/>
        <v>11053.84</v>
      </c>
      <c r="V88" s="1514">
        <f>+V63+V69+V75+V81</f>
        <v>3697.62</v>
      </c>
      <c r="W88" s="1177">
        <f t="shared" si="316"/>
        <v>9405.869999999999</v>
      </c>
      <c r="X88" s="690">
        <f t="shared" si="317"/>
        <v>14751.46</v>
      </c>
      <c r="Y88" s="1514">
        <f>+Y63+Y69+Y75+Y81</f>
        <v>3661.13</v>
      </c>
      <c r="Z88" s="690">
        <f t="shared" si="318"/>
        <v>18412.59</v>
      </c>
      <c r="AA88" s="1514">
        <f>+AA63+AA69+AA75+AA81</f>
        <v>298.61</v>
      </c>
      <c r="AB88" s="690">
        <f t="shared" si="319"/>
        <v>18711.2</v>
      </c>
      <c r="AC88" s="1514">
        <f>+AC63+AC69+AC75+AC81</f>
        <v>999.30000000000007</v>
      </c>
      <c r="AD88" s="721">
        <f t="shared" si="320"/>
        <v>4959.04</v>
      </c>
      <c r="AE88" s="2209">
        <f t="shared" si="321"/>
        <v>14364.91</v>
      </c>
      <c r="AF88" s="2580">
        <f t="shared" si="296"/>
        <v>19710.5</v>
      </c>
    </row>
    <row r="89" spans="1:38" ht="35" hidden="1" customHeight="1" x14ac:dyDescent="0.25">
      <c r="D89" s="665"/>
      <c r="E89" s="691" t="s">
        <v>245</v>
      </c>
      <c r="F89" s="1514">
        <f>+F65+F71+F77+F82</f>
        <v>0</v>
      </c>
      <c r="G89" s="1514">
        <f>+G65+G71+G77+G82</f>
        <v>0</v>
      </c>
      <c r="H89" s="2777">
        <f t="shared" si="322"/>
        <v>0</v>
      </c>
      <c r="I89" s="1514">
        <f>+I65+I71+I77+I82</f>
        <v>0</v>
      </c>
      <c r="J89" s="3478">
        <f>SUM(H89:I89)</f>
        <v>0</v>
      </c>
      <c r="K89" s="1514">
        <f>+K65+K71+K77+K82</f>
        <v>0</v>
      </c>
      <c r="L89" s="2777">
        <f t="shared" si="323"/>
        <v>0</v>
      </c>
      <c r="M89" s="1514">
        <f>+M65+M71+M77+M82</f>
        <v>94974.309999999969</v>
      </c>
      <c r="N89" s="2777">
        <f t="shared" si="324"/>
        <v>94974.309999999969</v>
      </c>
      <c r="O89" s="1514">
        <f>+O65+O71+O77+O82</f>
        <v>50048.94</v>
      </c>
      <c r="P89" s="815">
        <f t="shared" si="292"/>
        <v>145023.24999999997</v>
      </c>
      <c r="Q89" s="773">
        <f t="shared" si="313"/>
        <v>145023.24999999997</v>
      </c>
      <c r="R89" s="1514">
        <f>+R65+R71+R77+R82</f>
        <v>69415.530000000013</v>
      </c>
      <c r="S89" s="714">
        <f t="shared" si="315"/>
        <v>214438.77999999997</v>
      </c>
      <c r="T89" s="1514">
        <f>+T65+T71+T77+T82</f>
        <v>70302.25999999998</v>
      </c>
      <c r="U89" s="714">
        <f t="shared" si="315"/>
        <v>284741.03999999992</v>
      </c>
      <c r="V89" s="1514">
        <f>+V65+V71+V77+V82</f>
        <v>63056.398000000001</v>
      </c>
      <c r="W89" s="1177">
        <f t="shared" si="316"/>
        <v>202774.18799999997</v>
      </c>
      <c r="X89" s="690">
        <f t="shared" si="317"/>
        <v>347797.43799999991</v>
      </c>
      <c r="Y89" s="1514">
        <f>+Y65+Y71+Y77+Y82</f>
        <v>49423.891999999985</v>
      </c>
      <c r="Z89" s="714">
        <f t="shared" si="318"/>
        <v>397221.3299999999</v>
      </c>
      <c r="AA89" s="1514">
        <f>+AA65+AA71+AA77+AA82</f>
        <v>90381.735000000001</v>
      </c>
      <c r="AB89" s="690">
        <f t="shared" si="319"/>
        <v>487603.06499999989</v>
      </c>
      <c r="AC89" s="1514">
        <f>+AC65+AC71+AC77+AC82</f>
        <v>79354.108999999997</v>
      </c>
      <c r="AD89" s="721">
        <f t="shared" si="320"/>
        <v>219159.73599999998</v>
      </c>
      <c r="AE89" s="2209">
        <f t="shared" si="321"/>
        <v>421933.92399999994</v>
      </c>
      <c r="AF89" s="2580">
        <f t="shared" si="296"/>
        <v>566957.17399999988</v>
      </c>
    </row>
    <row r="90" spans="1:38" ht="35" hidden="1" customHeight="1" x14ac:dyDescent="0.25">
      <c r="D90" s="665"/>
      <c r="E90" s="691" t="s">
        <v>250</v>
      </c>
      <c r="F90" s="1514">
        <f>+F83</f>
        <v>0</v>
      </c>
      <c r="G90" s="1514">
        <f>+G83</f>
        <v>0</v>
      </c>
      <c r="H90" s="2777">
        <f t="shared" si="322"/>
        <v>0</v>
      </c>
      <c r="I90" s="1514">
        <f>+I83</f>
        <v>0</v>
      </c>
      <c r="J90" s="3478">
        <f>SUM(H90:I90)</f>
        <v>0</v>
      </c>
      <c r="K90" s="1514">
        <f>+K83</f>
        <v>0</v>
      </c>
      <c r="L90" s="2777">
        <f t="shared" si="323"/>
        <v>0</v>
      </c>
      <c r="M90" s="1514">
        <f>+M83</f>
        <v>0</v>
      </c>
      <c r="N90" s="2777">
        <f t="shared" si="324"/>
        <v>0</v>
      </c>
      <c r="O90" s="1514">
        <f>+O83</f>
        <v>0</v>
      </c>
      <c r="P90" s="815">
        <f t="shared" si="292"/>
        <v>0</v>
      </c>
      <c r="Q90" s="773">
        <f t="shared" si="313"/>
        <v>0</v>
      </c>
      <c r="R90" s="1514">
        <f>+R83</f>
        <v>0</v>
      </c>
      <c r="S90" s="714">
        <f t="shared" si="315"/>
        <v>0</v>
      </c>
      <c r="T90" s="1514">
        <f>+T83</f>
        <v>0</v>
      </c>
      <c r="U90" s="714">
        <f t="shared" si="315"/>
        <v>0</v>
      </c>
      <c r="V90" s="1514">
        <f>+V83</f>
        <v>0</v>
      </c>
      <c r="W90" s="1177">
        <f t="shared" si="316"/>
        <v>0</v>
      </c>
      <c r="X90" s="690">
        <f t="shared" si="317"/>
        <v>0</v>
      </c>
      <c r="Y90" s="1514">
        <f>+Y83</f>
        <v>545.92000000000007</v>
      </c>
      <c r="Z90" s="714">
        <f t="shared" si="318"/>
        <v>545.92000000000007</v>
      </c>
      <c r="AA90" s="1514">
        <f>+AA83</f>
        <v>2180.3539999999998</v>
      </c>
      <c r="AB90" s="690">
        <f t="shared" si="319"/>
        <v>2726.2739999999999</v>
      </c>
      <c r="AC90" s="1514">
        <f>+AC83</f>
        <v>2833.6950000000006</v>
      </c>
      <c r="AD90" s="721">
        <f t="shared" si="320"/>
        <v>5559.969000000001</v>
      </c>
      <c r="AE90" s="2209">
        <f t="shared" si="321"/>
        <v>5559.969000000001</v>
      </c>
      <c r="AF90" s="2580">
        <f t="shared" si="296"/>
        <v>5559.969000000001</v>
      </c>
    </row>
    <row r="91" spans="1:38" ht="35" hidden="1" customHeight="1" x14ac:dyDescent="0.25">
      <c r="D91" s="665"/>
      <c r="E91" s="691" t="s">
        <v>467</v>
      </c>
      <c r="F91" s="692">
        <f>+F64+F70+F76+F84</f>
        <v>0</v>
      </c>
      <c r="G91" s="692">
        <f>+G64+G70+G76+G84</f>
        <v>0</v>
      </c>
      <c r="H91" s="2777">
        <f t="shared" si="322"/>
        <v>0</v>
      </c>
      <c r="I91" s="692">
        <f>+I64+I70+I76+I84</f>
        <v>0</v>
      </c>
      <c r="J91" s="3478">
        <f>SUM(H91:I91)</f>
        <v>0</v>
      </c>
      <c r="K91" s="692">
        <f>+K64+K70+K76+K84</f>
        <v>0</v>
      </c>
      <c r="L91" s="2777">
        <f t="shared" si="323"/>
        <v>0</v>
      </c>
      <c r="M91" s="692">
        <f>+M64+M70+M76+M84</f>
        <v>45957.339999999989</v>
      </c>
      <c r="N91" s="2777">
        <f t="shared" si="324"/>
        <v>45957.339999999989</v>
      </c>
      <c r="O91" s="692">
        <f>+O64+O70+O76+O84</f>
        <v>53242.779999999941</v>
      </c>
      <c r="P91" s="815">
        <f t="shared" si="292"/>
        <v>99200.119999999937</v>
      </c>
      <c r="Q91" s="1164">
        <f t="shared" si="313"/>
        <v>99200.119999999937</v>
      </c>
      <c r="R91" s="692">
        <f>+R64+R70+R76+R84</f>
        <v>45699.249999999985</v>
      </c>
      <c r="S91" s="821">
        <f>SUM(Q91:R91)</f>
        <v>144899.36999999994</v>
      </c>
      <c r="T91" s="692">
        <f>+T64+T70+T76+T84</f>
        <v>55241.760000000031</v>
      </c>
      <c r="U91" s="821">
        <f t="shared" si="315"/>
        <v>200141.12999999998</v>
      </c>
      <c r="V91" s="692">
        <f>+V64+V70+V76+V84</f>
        <v>75524.812999999907</v>
      </c>
      <c r="W91" s="1177">
        <f t="shared" si="316"/>
        <v>176465.82299999992</v>
      </c>
      <c r="X91" s="690">
        <f t="shared" si="317"/>
        <v>275665.94299999985</v>
      </c>
      <c r="Y91" s="692">
        <f>+Y64+Y70+Y76+Y84</f>
        <v>64803.7</v>
      </c>
      <c r="Z91" s="821">
        <f t="shared" si="318"/>
        <v>340469.64299999987</v>
      </c>
      <c r="AA91" s="692">
        <f>+AA64+AA70+AA76+AA84</f>
        <v>22047.070999999996</v>
      </c>
      <c r="AB91" s="690">
        <f t="shared" si="319"/>
        <v>362516.71399999986</v>
      </c>
      <c r="AC91" s="692">
        <f>+AC64+AC70+AC76+AC84</f>
        <v>32404.932000000004</v>
      </c>
      <c r="AD91" s="721">
        <f t="shared" si="320"/>
        <v>119255.70299999999</v>
      </c>
      <c r="AE91" s="2209">
        <f t="shared" si="321"/>
        <v>295721.5259999999</v>
      </c>
      <c r="AF91" s="2580">
        <f t="shared" si="296"/>
        <v>394921.64599999989</v>
      </c>
    </row>
    <row r="92" spans="1:38" ht="35" hidden="1" customHeight="1" x14ac:dyDescent="0.25">
      <c r="D92" s="665"/>
      <c r="E92" s="694" t="s">
        <v>1158</v>
      </c>
      <c r="F92" s="695" t="e">
        <f>+((F87+F88+F91)/F86)*100</f>
        <v>#DIV/0!</v>
      </c>
      <c r="G92" s="695" t="e">
        <f>+((G87+G88+G91)/G86)*100</f>
        <v>#DIV/0!</v>
      </c>
      <c r="H92" s="1254" t="e">
        <f t="shared" ref="H92:L92" si="325">+((H87+H88+H91)/H86)*100</f>
        <v>#DIV/0!</v>
      </c>
      <c r="I92" s="695" t="e">
        <f>+((I87+I88+I91)/I86)*100</f>
        <v>#DIV/0!</v>
      </c>
      <c r="J92" s="2533" t="e">
        <f t="shared" si="325"/>
        <v>#DIV/0!</v>
      </c>
      <c r="K92" s="695" t="e">
        <f>+((K87+K88+K91)/K86)*100</f>
        <v>#DIV/0!</v>
      </c>
      <c r="L92" s="1254" t="e">
        <f t="shared" si="325"/>
        <v>#DIV/0!</v>
      </c>
      <c r="M92" s="695">
        <f t="shared" ref="M92" si="326">+((M87+M88+M91)/M86)*100</f>
        <v>45.576480341950095</v>
      </c>
      <c r="N92" s="1254">
        <f t="shared" ref="N92:AE92" si="327">+((N87+N88+N91)/N86)*100</f>
        <v>45.576480341950095</v>
      </c>
      <c r="O92" s="695">
        <f>+((O87+O88+O91)/O86)*100</f>
        <v>67.690275063904224</v>
      </c>
      <c r="P92" s="2533">
        <f t="shared" si="327"/>
        <v>55.97529268093956</v>
      </c>
      <c r="Q92" s="3019">
        <f t="shared" si="327"/>
        <v>55.97529268093956</v>
      </c>
      <c r="R92" s="695">
        <f t="shared" si="327"/>
        <v>59.036154603329713</v>
      </c>
      <c r="S92" s="1254">
        <f t="shared" si="327"/>
        <v>57.015005063855249</v>
      </c>
      <c r="T92" s="695">
        <f>+((T87+T88+T91)/T86)*100</f>
        <v>62.654020651503309</v>
      </c>
      <c r="U92" s="1254">
        <f t="shared" si="327"/>
        <v>58.559901738687678</v>
      </c>
      <c r="V92" s="695">
        <f t="shared" ref="V92" si="328">+((V87+V88+V91)/V86)*100</f>
        <v>69.326006237314104</v>
      </c>
      <c r="W92" s="2533">
        <f t="shared" si="327"/>
        <v>64.000600755196288</v>
      </c>
      <c r="X92" s="1254">
        <f t="shared" si="327"/>
        <v>61.039147058960495</v>
      </c>
      <c r="Y92" s="695">
        <f>+((Y87+Y88+Y91)/Y86)*100</f>
        <v>76.557873994866398</v>
      </c>
      <c r="Z92" s="1254">
        <f t="shared" si="327"/>
        <v>64.03052881797386</v>
      </c>
      <c r="AA92" s="695">
        <f>+((AA87+AA88+AA91)/AA86)*100</f>
        <v>47.720298659240612</v>
      </c>
      <c r="AB92" s="1254">
        <f t="shared" si="327"/>
        <v>61.779568467650158</v>
      </c>
      <c r="AC92" s="695">
        <f>+((AC87+AC88+AC91)/AC86)*100</f>
        <v>43.995424769358763</v>
      </c>
      <c r="AD92" s="1360">
        <f t="shared" si="327"/>
        <v>58.150111875874302</v>
      </c>
      <c r="AE92" s="3019">
        <f t="shared" si="327"/>
        <v>61.145294338534192</v>
      </c>
      <c r="AF92" s="1254">
        <f t="shared" ref="AF92" si="329">+((AF87+AF88+AF91)/AF86)*100</f>
        <v>59.954046906610394</v>
      </c>
    </row>
    <row r="93" spans="1:38" s="3170" customFormat="1" ht="35" hidden="1" customHeight="1" x14ac:dyDescent="0.25">
      <c r="D93" s="4331"/>
      <c r="E93" s="3619" t="s">
        <v>448</v>
      </c>
      <c r="F93" s="4350"/>
      <c r="G93" s="4350"/>
      <c r="H93" s="3618"/>
      <c r="I93" s="4350"/>
      <c r="J93" s="3618"/>
      <c r="K93" s="4350"/>
      <c r="L93" s="4351"/>
      <c r="M93" s="4350"/>
      <c r="N93" s="4351"/>
      <c r="O93" s="4350"/>
      <c r="P93" s="4350"/>
      <c r="Q93" s="4351"/>
      <c r="R93" s="4350"/>
      <c r="S93" s="4351"/>
      <c r="T93" s="4350"/>
      <c r="U93" s="4351"/>
      <c r="V93" s="4350"/>
      <c r="W93" s="4351"/>
      <c r="X93" s="4351"/>
      <c r="Y93" s="4350"/>
      <c r="Z93" s="4351"/>
      <c r="AA93" s="4350"/>
      <c r="AB93" s="4352"/>
      <c r="AC93" s="4350"/>
      <c r="AD93" s="4352"/>
      <c r="AE93" s="4352"/>
      <c r="AF93" s="4352"/>
      <c r="AG93" s="4756"/>
      <c r="AH93" s="4756"/>
      <c r="AI93" s="4756"/>
      <c r="AJ93" s="4756"/>
      <c r="AK93" s="4756"/>
      <c r="AL93" s="4756"/>
    </row>
    <row r="94" spans="1:38" ht="35" hidden="1" customHeight="1" x14ac:dyDescent="0.35">
      <c r="A94" s="70">
        <f>747517+135000</f>
        <v>882517</v>
      </c>
      <c r="D94" s="665"/>
      <c r="E94" s="1515" t="s">
        <v>446</v>
      </c>
      <c r="F94" s="711">
        <f>+F66</f>
        <v>0</v>
      </c>
      <c r="G94" s="711">
        <f>+G66</f>
        <v>0</v>
      </c>
      <c r="H94" s="3076">
        <f t="shared" ref="H94:H97" si="330">SUM(F94:G94)</f>
        <v>0</v>
      </c>
      <c r="I94" s="711">
        <f>+I66</f>
        <v>0</v>
      </c>
      <c r="J94" s="1061">
        <f t="shared" ref="J94:J97" si="331">SUM(H94:I94)</f>
        <v>0</v>
      </c>
      <c r="K94" s="711">
        <f>+K66</f>
        <v>0</v>
      </c>
      <c r="L94" s="3076">
        <f t="shared" ref="L94:L97" si="332">SUM(J94:K94)</f>
        <v>0</v>
      </c>
      <c r="M94" s="711">
        <f>+M66</f>
        <v>31052.729999999992</v>
      </c>
      <c r="N94" s="693">
        <f>SUM(L94:M94)</f>
        <v>31052.729999999992</v>
      </c>
      <c r="O94" s="711">
        <f>+O66</f>
        <v>33337.33</v>
      </c>
      <c r="P94" s="815">
        <f t="shared" ref="P94:P97" si="333">+K94+M94+O94</f>
        <v>64390.06</v>
      </c>
      <c r="Q94" s="773">
        <f t="shared" si="313"/>
        <v>64390.06</v>
      </c>
      <c r="R94" s="711">
        <f>+R66</f>
        <v>28943.089999999993</v>
      </c>
      <c r="S94" s="821">
        <f t="shared" ref="S94:U97" si="334">SUM(Q94:R94)</f>
        <v>93333.15</v>
      </c>
      <c r="T94" s="711">
        <f>+T66</f>
        <v>39591.169999999976</v>
      </c>
      <c r="U94" s="821">
        <f t="shared" si="334"/>
        <v>132924.31999999998</v>
      </c>
      <c r="V94" s="711">
        <f>+V66</f>
        <v>36436.640999999996</v>
      </c>
      <c r="W94" s="1177">
        <f t="shared" si="316"/>
        <v>104970.90099999995</v>
      </c>
      <c r="X94" s="714">
        <f t="shared" si="317"/>
        <v>169360.96099999998</v>
      </c>
      <c r="Y94" s="711">
        <f>+Y66</f>
        <v>39648.518999999993</v>
      </c>
      <c r="Z94" s="821">
        <f t="shared" ref="Z94:AB97" si="335">SUM(X94:Y94)</f>
        <v>209009.47999999998</v>
      </c>
      <c r="AA94" s="711">
        <f>+AA66</f>
        <v>31645.456000000006</v>
      </c>
      <c r="AB94" s="821">
        <f t="shared" si="335"/>
        <v>240654.93599999999</v>
      </c>
      <c r="AC94" s="711">
        <f>+AC66</f>
        <v>30983.577999999998</v>
      </c>
      <c r="AD94" s="721">
        <f t="shared" si="320"/>
        <v>102277.553</v>
      </c>
      <c r="AE94" s="1290">
        <f t="shared" ref="AE94:AE97" si="336">+W94+AD94</f>
        <v>207248.45399999997</v>
      </c>
      <c r="AF94" s="2582">
        <f>+AB94+AC94</f>
        <v>271638.51399999997</v>
      </c>
    </row>
    <row r="95" spans="1:38" ht="35" hidden="1" customHeight="1" x14ac:dyDescent="0.25">
      <c r="D95" s="665"/>
      <c r="E95" s="1515" t="s">
        <v>341</v>
      </c>
      <c r="F95" s="711">
        <f>+F72</f>
        <v>0</v>
      </c>
      <c r="G95" s="711">
        <f>+G72</f>
        <v>0</v>
      </c>
      <c r="H95" s="3076">
        <f t="shared" si="330"/>
        <v>0</v>
      </c>
      <c r="I95" s="711">
        <f>+I72</f>
        <v>0</v>
      </c>
      <c r="J95" s="1061">
        <f t="shared" si="331"/>
        <v>0</v>
      </c>
      <c r="K95" s="711">
        <f>+K72</f>
        <v>0</v>
      </c>
      <c r="L95" s="3076">
        <f t="shared" si="332"/>
        <v>0</v>
      </c>
      <c r="M95" s="711">
        <f>+M72</f>
        <v>62938.539999999964</v>
      </c>
      <c r="N95" s="693">
        <f>SUM(L95:M95)</f>
        <v>62938.539999999964</v>
      </c>
      <c r="O95" s="711">
        <f>+O72</f>
        <v>32427.489999999991</v>
      </c>
      <c r="P95" s="815">
        <f t="shared" si="333"/>
        <v>95366.029999999955</v>
      </c>
      <c r="Q95" s="773">
        <f t="shared" si="313"/>
        <v>95366.029999999955</v>
      </c>
      <c r="R95" s="711">
        <f>+R72</f>
        <v>55239.25</v>
      </c>
      <c r="S95" s="821">
        <f t="shared" si="334"/>
        <v>150605.27999999997</v>
      </c>
      <c r="T95" s="711">
        <f>+T72</f>
        <v>51337.00999999998</v>
      </c>
      <c r="U95" s="821">
        <f t="shared" si="334"/>
        <v>201942.28999999995</v>
      </c>
      <c r="V95" s="711">
        <f>+V72</f>
        <v>54331.526000000005</v>
      </c>
      <c r="W95" s="1176">
        <f t="shared" si="316"/>
        <v>160907.78599999999</v>
      </c>
      <c r="X95" s="714">
        <f t="shared" si="317"/>
        <v>256273.81599999996</v>
      </c>
      <c r="Y95" s="711">
        <f>+Y72</f>
        <v>52956.632999999987</v>
      </c>
      <c r="Z95" s="821">
        <f t="shared" si="335"/>
        <v>309230.44899999996</v>
      </c>
      <c r="AA95" s="711">
        <f>+AA72</f>
        <v>58637.492999999988</v>
      </c>
      <c r="AB95" s="821">
        <f t="shared" si="335"/>
        <v>367867.94199999992</v>
      </c>
      <c r="AC95" s="711">
        <f>+AC72</f>
        <v>54119.814999999995</v>
      </c>
      <c r="AD95" s="721">
        <f t="shared" si="320"/>
        <v>165713.94099999996</v>
      </c>
      <c r="AE95" s="1290">
        <f t="shared" si="336"/>
        <v>326621.72699999996</v>
      </c>
      <c r="AF95" s="2582">
        <f t="shared" ref="AF95:AF97" si="337">+AB95+AC95</f>
        <v>421987.75699999993</v>
      </c>
    </row>
    <row r="96" spans="1:38" ht="35" hidden="1" customHeight="1" x14ac:dyDescent="0.25">
      <c r="D96" s="665"/>
      <c r="E96" s="1515" t="s">
        <v>447</v>
      </c>
      <c r="F96" s="711">
        <f>+F78</f>
        <v>0</v>
      </c>
      <c r="G96" s="711">
        <f>+G78</f>
        <v>0</v>
      </c>
      <c r="H96" s="3076">
        <f t="shared" si="330"/>
        <v>0</v>
      </c>
      <c r="I96" s="711">
        <f>+I78</f>
        <v>0</v>
      </c>
      <c r="J96" s="1061">
        <f t="shared" si="331"/>
        <v>0</v>
      </c>
      <c r="K96" s="711">
        <f>+K78</f>
        <v>0</v>
      </c>
      <c r="L96" s="3076">
        <f t="shared" si="332"/>
        <v>0</v>
      </c>
      <c r="M96" s="711">
        <f>+M78</f>
        <v>13308.38</v>
      </c>
      <c r="N96" s="693">
        <f>SUM(L96:M96)</f>
        <v>13308.38</v>
      </c>
      <c r="O96" s="711">
        <f>+O78</f>
        <v>8924.98</v>
      </c>
      <c r="P96" s="815">
        <f t="shared" si="333"/>
        <v>22233.360000000001</v>
      </c>
      <c r="Q96" s="773">
        <f t="shared" si="313"/>
        <v>22233.360000000001</v>
      </c>
      <c r="R96" s="711">
        <f>+R78</f>
        <v>8362.8299999999981</v>
      </c>
      <c r="S96" s="821">
        <f t="shared" si="334"/>
        <v>30596.19</v>
      </c>
      <c r="T96" s="711">
        <f>+T78</f>
        <v>10379.010000000002</v>
      </c>
      <c r="U96" s="821">
        <f t="shared" si="334"/>
        <v>40975.199999999997</v>
      </c>
      <c r="V96" s="711">
        <f>+V78</f>
        <v>4873.0600000000004</v>
      </c>
      <c r="W96" s="1176">
        <f t="shared" si="316"/>
        <v>23614.9</v>
      </c>
      <c r="X96" s="714">
        <f t="shared" si="317"/>
        <v>45848.259999999995</v>
      </c>
      <c r="Y96" s="711">
        <f>+Y78</f>
        <v>12329.778999999999</v>
      </c>
      <c r="Z96" s="821">
        <f t="shared" si="335"/>
        <v>58178.03899999999</v>
      </c>
      <c r="AA96" s="711">
        <f>+AA78</f>
        <v>13688.067000000001</v>
      </c>
      <c r="AB96" s="821">
        <f t="shared" si="335"/>
        <v>71866.105999999985</v>
      </c>
      <c r="AC96" s="711">
        <f>+AC78</f>
        <v>16213.606000000002</v>
      </c>
      <c r="AD96" s="721">
        <f t="shared" si="320"/>
        <v>42231.451999999997</v>
      </c>
      <c r="AE96" s="1290">
        <f t="shared" si="336"/>
        <v>65846.351999999999</v>
      </c>
      <c r="AF96" s="2582">
        <f t="shared" si="337"/>
        <v>88079.711999999985</v>
      </c>
    </row>
    <row r="97" spans="4:86" ht="35" hidden="1" customHeight="1" thickBot="1" x14ac:dyDescent="0.3">
      <c r="D97" s="665"/>
      <c r="E97" s="1516" t="s">
        <v>1135</v>
      </c>
      <c r="F97" s="920">
        <f>+F85</f>
        <v>0</v>
      </c>
      <c r="G97" s="920">
        <f>+G85</f>
        <v>0</v>
      </c>
      <c r="H97" s="3514">
        <f t="shared" si="330"/>
        <v>0</v>
      </c>
      <c r="I97" s="920">
        <f>+I85</f>
        <v>0</v>
      </c>
      <c r="J97" s="3020">
        <f t="shared" si="331"/>
        <v>0</v>
      </c>
      <c r="K97" s="920">
        <f>+K85</f>
        <v>0</v>
      </c>
      <c r="L97" s="3514">
        <f t="shared" si="332"/>
        <v>0</v>
      </c>
      <c r="M97" s="920">
        <f>+M85</f>
        <v>67210.03</v>
      </c>
      <c r="N97" s="909">
        <f>SUM(L97:M97)</f>
        <v>67210.03</v>
      </c>
      <c r="O97" s="920">
        <f>+O85</f>
        <v>80213.839999999909</v>
      </c>
      <c r="P97" s="815">
        <f t="shared" si="333"/>
        <v>147423.86999999991</v>
      </c>
      <c r="Q97" s="773">
        <f t="shared" si="313"/>
        <v>147423.86999999991</v>
      </c>
      <c r="R97" s="920">
        <f>+R85</f>
        <v>76910.429999999993</v>
      </c>
      <c r="S97" s="821">
        <f t="shared" si="334"/>
        <v>224334.2999999999</v>
      </c>
      <c r="T97" s="920">
        <f>+T85</f>
        <v>86938.670000000027</v>
      </c>
      <c r="U97" s="821">
        <f t="shared" si="334"/>
        <v>311272.96999999991</v>
      </c>
      <c r="V97" s="920">
        <f>+V85</f>
        <v>109928.3459999999</v>
      </c>
      <c r="W97" s="1176">
        <f t="shared" si="316"/>
        <v>273777.44599999994</v>
      </c>
      <c r="X97" s="714">
        <f t="shared" si="317"/>
        <v>421201.31599999982</v>
      </c>
      <c r="Y97" s="920">
        <f>+Y85</f>
        <v>108227.52699999997</v>
      </c>
      <c r="Z97" s="821">
        <f t="shared" si="335"/>
        <v>529428.84299999976</v>
      </c>
      <c r="AA97" s="920">
        <f>+AA85</f>
        <v>73080.663</v>
      </c>
      <c r="AB97" s="821">
        <f t="shared" si="335"/>
        <v>602509.50599999982</v>
      </c>
      <c r="AC97" s="920">
        <f>+AC85</f>
        <v>45434.947</v>
      </c>
      <c r="AD97" s="721">
        <f t="shared" si="320"/>
        <v>226743.13699999999</v>
      </c>
      <c r="AE97" s="1290">
        <f t="shared" si="336"/>
        <v>500520.58299999993</v>
      </c>
      <c r="AF97" s="2582">
        <f t="shared" si="337"/>
        <v>647944.45299999986</v>
      </c>
    </row>
    <row r="98" spans="4:86" s="3170" customFormat="1" ht="35" hidden="1" customHeight="1" thickBot="1" x14ac:dyDescent="0.3">
      <c r="D98" s="4331"/>
      <c r="E98" s="4785" t="s">
        <v>15</v>
      </c>
      <c r="F98" s="4786">
        <f t="shared" ref="F98:G98" si="338">SUM(F94:F97)</f>
        <v>0</v>
      </c>
      <c r="G98" s="4786">
        <f t="shared" si="338"/>
        <v>0</v>
      </c>
      <c r="H98" s="3593">
        <f t="shared" ref="H98:L98" si="339">SUM(H94:H97)</f>
        <v>0</v>
      </c>
      <c r="I98" s="4786">
        <f t="shared" si="339"/>
        <v>0</v>
      </c>
      <c r="J98" s="3593">
        <f t="shared" si="339"/>
        <v>0</v>
      </c>
      <c r="K98" s="4786">
        <f t="shared" si="339"/>
        <v>0</v>
      </c>
      <c r="L98" s="3593">
        <f t="shared" si="339"/>
        <v>0</v>
      </c>
      <c r="M98" s="4786">
        <f t="shared" ref="M98:O98" si="340">SUM(M94:M97)</f>
        <v>174509.67999999996</v>
      </c>
      <c r="N98" s="4787">
        <f>SUM(N94:N97)</f>
        <v>174509.67999999996</v>
      </c>
      <c r="O98" s="4786">
        <f t="shared" si="340"/>
        <v>154903.6399999999</v>
      </c>
      <c r="P98" s="3593">
        <f t="shared" ref="P98:R98" si="341">SUM(P94:P97)</f>
        <v>329413.31999999983</v>
      </c>
      <c r="Q98" s="3593">
        <f t="shared" si="341"/>
        <v>329413.31999999983</v>
      </c>
      <c r="R98" s="4786">
        <f t="shared" si="341"/>
        <v>169455.59999999998</v>
      </c>
      <c r="S98" s="4787">
        <f>SUM(S94:S97)</f>
        <v>498868.91999999981</v>
      </c>
      <c r="T98" s="4786">
        <f t="shared" ref="T98" si="342">SUM(T94:T97)</f>
        <v>188245.86</v>
      </c>
      <c r="U98" s="4787">
        <f>SUM(U94:U97)</f>
        <v>687114.7799999998</v>
      </c>
      <c r="V98" s="4786">
        <f t="shared" ref="V98" si="343">SUM(V94:V97)</f>
        <v>205569.57299999992</v>
      </c>
      <c r="W98" s="3593">
        <f t="shared" ref="W98:AD98" si="344">SUM(W94:W97)</f>
        <v>563271.03299999982</v>
      </c>
      <c r="X98" s="3593">
        <f t="shared" si="344"/>
        <v>892684.35299999977</v>
      </c>
      <c r="Y98" s="4786">
        <f t="shared" si="344"/>
        <v>213162.45799999993</v>
      </c>
      <c r="Z98" s="4787">
        <f t="shared" si="344"/>
        <v>1105846.8109999998</v>
      </c>
      <c r="AA98" s="4786">
        <f t="shared" ref="AA98" si="345">SUM(AA94:AA97)</f>
        <v>177051.679</v>
      </c>
      <c r="AB98" s="3593">
        <f t="shared" si="344"/>
        <v>1282898.4899999998</v>
      </c>
      <c r="AC98" s="4786">
        <f t="shared" ref="AC98" si="346">SUM(AC94:AC97)</f>
        <v>146751.946</v>
      </c>
      <c r="AD98" s="4789">
        <f t="shared" si="344"/>
        <v>536966.08299999987</v>
      </c>
      <c r="AE98" s="3593">
        <f>SUM(AE94:AE97)</f>
        <v>1100237.1159999997</v>
      </c>
      <c r="AF98" s="4790">
        <f>SUM(AF94:AF97)</f>
        <v>1429650.4359999998</v>
      </c>
      <c r="AG98" s="4756"/>
      <c r="AH98" s="4756"/>
      <c r="AI98" s="4756"/>
      <c r="AJ98" s="4756"/>
      <c r="AK98" s="4756"/>
      <c r="AL98" s="4756"/>
    </row>
    <row r="99" spans="4:86" s="3170" customFormat="1" ht="35" hidden="1" customHeight="1" x14ac:dyDescent="0.35">
      <c r="D99" s="4331"/>
      <c r="E99" s="3618" t="s">
        <v>1225</v>
      </c>
      <c r="F99" s="3599"/>
      <c r="G99" s="3599"/>
      <c r="H99" s="3599"/>
      <c r="I99" s="3599"/>
      <c r="J99" s="3599"/>
      <c r="K99" s="3599"/>
      <c r="L99" s="4346"/>
      <c r="M99" s="3599"/>
      <c r="N99" s="4346"/>
      <c r="O99" s="3599"/>
      <c r="P99" s="4308"/>
      <c r="Q99" s="4308"/>
      <c r="R99" s="3599"/>
      <c r="S99" s="4308"/>
      <c r="T99" s="3599"/>
      <c r="U99" s="4308"/>
      <c r="V99" s="3599"/>
      <c r="W99" s="3604"/>
      <c r="X99" s="3604"/>
      <c r="Y99" s="3599"/>
      <c r="Z99" s="4308"/>
      <c r="AA99" s="3599"/>
      <c r="AB99" s="4345"/>
      <c r="AC99" s="3599"/>
      <c r="AD99" s="4345"/>
      <c r="AE99" s="4345"/>
      <c r="AF99" s="4345"/>
      <c r="AG99" s="4756"/>
      <c r="AH99" s="4756"/>
      <c r="AI99" s="4756"/>
      <c r="AJ99" s="4756"/>
      <c r="AK99" s="4756"/>
      <c r="AL99" s="4756"/>
    </row>
    <row r="100" spans="4:86" s="3170" customFormat="1" ht="35" hidden="1" customHeight="1" x14ac:dyDescent="0.25">
      <c r="D100" s="4331"/>
      <c r="E100" s="3600" t="s">
        <v>446</v>
      </c>
      <c r="F100" s="3600"/>
      <c r="G100" s="3600"/>
      <c r="H100" s="3600"/>
      <c r="I100" s="3600"/>
      <c r="J100" s="3600"/>
      <c r="K100" s="3600"/>
      <c r="L100" s="3600"/>
      <c r="M100" s="3600"/>
      <c r="N100" s="3600"/>
      <c r="O100" s="3600"/>
      <c r="P100" s="4347"/>
      <c r="Q100" s="4347"/>
      <c r="R100" s="3600"/>
      <c r="S100" s="4347"/>
      <c r="T100" s="3600"/>
      <c r="U100" s="4347"/>
      <c r="V100" s="3600"/>
      <c r="W100" s="4347"/>
      <c r="X100" s="4347"/>
      <c r="Y100" s="3600"/>
      <c r="Z100" s="4347"/>
      <c r="AA100" s="3600"/>
      <c r="AB100" s="4349"/>
      <c r="AC100" s="3600"/>
      <c r="AD100" s="4349"/>
      <c r="AE100" s="4348"/>
      <c r="AF100" s="4348"/>
      <c r="AG100" s="4756"/>
      <c r="AH100" s="4756"/>
      <c r="AI100" s="4756"/>
      <c r="AJ100" s="4756"/>
      <c r="AK100" s="4756"/>
      <c r="AL100" s="4756"/>
    </row>
    <row r="101" spans="4:86" ht="35" hidden="1" customHeight="1" x14ac:dyDescent="0.25">
      <c r="D101" s="665"/>
      <c r="E101" s="667" t="s">
        <v>98</v>
      </c>
      <c r="F101" s="3296"/>
      <c r="G101" s="3296"/>
      <c r="H101" s="669">
        <f>SUM(F101:G101)</f>
        <v>0</v>
      </c>
      <c r="I101" s="3296"/>
      <c r="J101" s="670">
        <f>SUM(H101:I101)</f>
        <v>0</v>
      </c>
      <c r="K101" s="3296"/>
      <c r="L101" s="669">
        <f>SUM(J101:K101)</f>
        <v>0</v>
      </c>
      <c r="M101" s="3296">
        <v>27782.980000000007</v>
      </c>
      <c r="N101" s="690">
        <f>SUM(L101:M101)</f>
        <v>27782.980000000007</v>
      </c>
      <c r="O101" s="3296">
        <v>27477.009999999991</v>
      </c>
      <c r="P101" s="815">
        <f t="shared" ref="P101:P102" si="347">+K101+M101+O101</f>
        <v>55259.99</v>
      </c>
      <c r="Q101" s="773">
        <f t="shared" si="313"/>
        <v>55259.99</v>
      </c>
      <c r="R101" s="3296">
        <v>24123.539999999994</v>
      </c>
      <c r="S101" s="821">
        <f t="shared" ref="S101:U102" si="348">SUM(Q101:R101)</f>
        <v>79383.53</v>
      </c>
      <c r="T101" s="3296">
        <v>29640.270000000008</v>
      </c>
      <c r="U101" s="821">
        <f t="shared" si="348"/>
        <v>109023.8</v>
      </c>
      <c r="V101" s="3296">
        <f>785.46+25014.761</f>
        <v>25800.220999999998</v>
      </c>
      <c r="W101" s="1177">
        <f t="shared" ref="W101:W102" si="349">+R101+T101+V101</f>
        <v>79564.030999999988</v>
      </c>
      <c r="X101" s="714">
        <f t="shared" ref="X101:X102" si="350">+U101+V101</f>
        <v>134824.02100000001</v>
      </c>
      <c r="Y101" s="3296">
        <f>33237.519-61.84</f>
        <v>33175.679000000004</v>
      </c>
      <c r="Z101" s="821">
        <f>SUM(X101:Y101)</f>
        <v>167999.7</v>
      </c>
      <c r="AA101" s="3296">
        <v>23834.356</v>
      </c>
      <c r="AB101" s="714">
        <f>SUM(Z101:AA101)</f>
        <v>191834.05600000001</v>
      </c>
      <c r="AC101" s="3296">
        <v>27384.358000000004</v>
      </c>
      <c r="AD101" s="721">
        <f>+Y101+AA101+AC101</f>
        <v>84394.393000000011</v>
      </c>
      <c r="AE101" s="1290">
        <f>+W101+AD101</f>
        <v>163958.424</v>
      </c>
      <c r="AF101" s="2582">
        <f>+AB101+AC101</f>
        <v>219218.41400000002</v>
      </c>
    </row>
    <row r="102" spans="4:86" ht="35" hidden="1" customHeight="1" thickBot="1" x14ac:dyDescent="0.3">
      <c r="D102" s="665"/>
      <c r="E102" s="671" t="s">
        <v>99</v>
      </c>
      <c r="F102" s="3810"/>
      <c r="G102" s="3810"/>
      <c r="H102" s="673">
        <f>SUM(F102:G102)</f>
        <v>0</v>
      </c>
      <c r="I102" s="3810"/>
      <c r="J102" s="674">
        <f>SUM(H102:I102)</f>
        <v>0</v>
      </c>
      <c r="K102" s="3810"/>
      <c r="L102" s="669">
        <f>SUM(J102:K102)</f>
        <v>0</v>
      </c>
      <c r="M102" s="3810">
        <f>3221.73+M63</f>
        <v>3269.75</v>
      </c>
      <c r="N102" s="570">
        <f>SUM(L102:M102)</f>
        <v>3269.75</v>
      </c>
      <c r="O102" s="3810">
        <f>5860.32+O63</f>
        <v>5860.32</v>
      </c>
      <c r="P102" s="815">
        <f t="shared" si="347"/>
        <v>9130.07</v>
      </c>
      <c r="Q102" s="773">
        <f t="shared" si="313"/>
        <v>9130.07</v>
      </c>
      <c r="R102" s="3810">
        <f>4819.55+R63</f>
        <v>4819.55</v>
      </c>
      <c r="S102" s="821">
        <f t="shared" si="348"/>
        <v>13949.619999999999</v>
      </c>
      <c r="T102" s="3810">
        <f>9950.9+T63</f>
        <v>9950.9</v>
      </c>
      <c r="U102" s="821">
        <f t="shared" si="348"/>
        <v>23900.519999999997</v>
      </c>
      <c r="V102" s="3296">
        <f>376.95+10259.47</f>
        <v>10636.42</v>
      </c>
      <c r="W102" s="1176">
        <f t="shared" si="349"/>
        <v>25406.870000000003</v>
      </c>
      <c r="X102" s="714">
        <f t="shared" si="350"/>
        <v>34536.939999999995</v>
      </c>
      <c r="Y102" s="3810">
        <v>6472.84</v>
      </c>
      <c r="Z102" s="821">
        <f>SUM(X102:Y102)</f>
        <v>41009.78</v>
      </c>
      <c r="AA102" s="3810">
        <v>7811.0999999999985</v>
      </c>
      <c r="AB102" s="690">
        <f>SUM(Z102:AA102)</f>
        <v>48820.88</v>
      </c>
      <c r="AC102" s="3810">
        <v>3599.2199999999989</v>
      </c>
      <c r="AD102" s="721">
        <f>+Y102+AA102+AC102</f>
        <v>17883.159999999996</v>
      </c>
      <c r="AE102" s="1290">
        <f>+W102+AD102</f>
        <v>43290.03</v>
      </c>
      <c r="AF102" s="2582">
        <f>+AB102+AC102</f>
        <v>52420.1</v>
      </c>
    </row>
    <row r="103" spans="4:86" ht="35" hidden="1" customHeight="1" thickBot="1" x14ac:dyDescent="0.3">
      <c r="D103" s="665"/>
      <c r="E103" s="676" t="s">
        <v>15</v>
      </c>
      <c r="F103" s="677">
        <f t="shared" ref="F103:G103" si="351">SUM(F101:F102)</f>
        <v>0</v>
      </c>
      <c r="G103" s="677">
        <f t="shared" si="351"/>
        <v>0</v>
      </c>
      <c r="H103" s="675">
        <f t="shared" ref="H103:L103" si="352">SUM(H101:H102)</f>
        <v>0</v>
      </c>
      <c r="I103" s="677">
        <f t="shared" ref="I103" si="353">SUM(I101:I102)</f>
        <v>0</v>
      </c>
      <c r="J103" s="678">
        <f t="shared" si="352"/>
        <v>0</v>
      </c>
      <c r="K103" s="677">
        <f t="shared" ref="K103" si="354">SUM(K101:K102)</f>
        <v>0</v>
      </c>
      <c r="L103" s="679">
        <f t="shared" si="352"/>
        <v>0</v>
      </c>
      <c r="M103" s="677">
        <f t="shared" ref="M103" si="355">SUM(M101:M102)</f>
        <v>31052.730000000007</v>
      </c>
      <c r="N103" s="599">
        <f t="shared" ref="N103:R103" si="356">SUM(N101:N102)</f>
        <v>31052.730000000007</v>
      </c>
      <c r="O103" s="677">
        <f t="shared" si="356"/>
        <v>33337.329999999987</v>
      </c>
      <c r="P103" s="573">
        <f t="shared" si="356"/>
        <v>64390.06</v>
      </c>
      <c r="Q103" s="767">
        <f t="shared" si="356"/>
        <v>64390.06</v>
      </c>
      <c r="R103" s="677">
        <f t="shared" si="356"/>
        <v>28943.089999999993</v>
      </c>
      <c r="S103" s="679">
        <f>SUM(S101:S102)</f>
        <v>93333.15</v>
      </c>
      <c r="T103" s="677">
        <f t="shared" ref="T103" si="357">SUM(T101:T102)</f>
        <v>39591.170000000006</v>
      </c>
      <c r="U103" s="679">
        <f>SUM(U101:U102)</f>
        <v>132924.32</v>
      </c>
      <c r="V103" s="677">
        <f t="shared" ref="V103" si="358">SUM(V101:V102)</f>
        <v>36436.640999999996</v>
      </c>
      <c r="W103" s="678">
        <f>SUM(W101:W102)</f>
        <v>104970.90099999998</v>
      </c>
      <c r="X103" s="679">
        <f>SUM(X101:X102)</f>
        <v>169360.96100000001</v>
      </c>
      <c r="Y103" s="677">
        <f t="shared" ref="Y103" si="359">SUM(Y101:Y102)</f>
        <v>39648.519</v>
      </c>
      <c r="Z103" s="679">
        <f>SUM(Z101:Z102)</f>
        <v>209009.48</v>
      </c>
      <c r="AA103" s="677">
        <f t="shared" ref="AA103" si="360">SUM(AA101:AA102)</f>
        <v>31645.455999999998</v>
      </c>
      <c r="AB103" s="679">
        <f>SUM(AB101:AB102)</f>
        <v>240654.93600000002</v>
      </c>
      <c r="AC103" s="677">
        <f t="shared" ref="AC103" si="361">SUM(AC101:AC102)</f>
        <v>30983.578000000001</v>
      </c>
      <c r="AD103" s="573">
        <f>SUM(AD101:AD102)</f>
        <v>102277.55300000001</v>
      </c>
      <c r="AE103" s="1294">
        <f>SUM(AE101:AE102)</f>
        <v>207248.454</v>
      </c>
      <c r="AF103" s="2583">
        <f>SUM(AF101:AF102)</f>
        <v>271638.51400000002</v>
      </c>
    </row>
    <row r="104" spans="4:86" s="3170" customFormat="1" ht="35" hidden="1" customHeight="1" x14ac:dyDescent="0.35">
      <c r="D104" s="4331"/>
      <c r="E104" s="3595" t="s">
        <v>341</v>
      </c>
      <c r="F104" s="3596"/>
      <c r="G104" s="3596"/>
      <c r="H104" s="3596"/>
      <c r="I104" s="3596"/>
      <c r="J104" s="3595"/>
      <c r="K104" s="3596"/>
      <c r="L104" s="3595"/>
      <c r="M104" s="3596"/>
      <c r="N104" s="3595"/>
      <c r="O104" s="3596"/>
      <c r="P104" s="3595"/>
      <c r="Q104" s="4330"/>
      <c r="R104" s="3596"/>
      <c r="S104" s="4330"/>
      <c r="T104" s="3596"/>
      <c r="U104" s="4330"/>
      <c r="V104" s="3596"/>
      <c r="W104" s="4330"/>
      <c r="X104" s="4330"/>
      <c r="Y104" s="3596"/>
      <c r="Z104" s="4330"/>
      <c r="AA104" s="3596"/>
      <c r="AB104" s="4330"/>
      <c r="AC104" s="3596"/>
      <c r="AD104" s="4330"/>
      <c r="AE104" s="4330"/>
      <c r="AF104" s="4330"/>
      <c r="AG104" s="4756"/>
      <c r="AH104" s="4756"/>
      <c r="AI104" s="4756"/>
      <c r="AJ104" s="4756"/>
      <c r="AK104" s="4756"/>
      <c r="AL104" s="4756"/>
      <c r="CH104" s="4518"/>
    </row>
    <row r="105" spans="4:86" ht="35" hidden="1" customHeight="1" x14ac:dyDescent="0.25">
      <c r="D105" s="665"/>
      <c r="E105" s="667" t="s">
        <v>98</v>
      </c>
      <c r="F105" s="3296"/>
      <c r="G105" s="3296"/>
      <c r="H105" s="669">
        <f>SUM(F105:G105)</f>
        <v>0</v>
      </c>
      <c r="I105" s="3296"/>
      <c r="J105" s="670">
        <f>SUM(H105:I105)</f>
        <v>0</v>
      </c>
      <c r="K105" s="3296"/>
      <c r="L105" s="669">
        <f>SUM(J105:K105)</f>
        <v>0</v>
      </c>
      <c r="M105" s="3296">
        <v>51150.769999999975</v>
      </c>
      <c r="N105" s="690">
        <f>SUM(L105:M105)</f>
        <v>51150.769999999975</v>
      </c>
      <c r="O105" s="3296">
        <v>24720.909999999993</v>
      </c>
      <c r="P105" s="815">
        <f t="shared" ref="P105:P106" si="362">+K105+M105+O105</f>
        <v>75871.679999999964</v>
      </c>
      <c r="Q105" s="773">
        <f t="shared" si="313"/>
        <v>75871.679999999964</v>
      </c>
      <c r="R105" s="3296">
        <v>36123.919999999947</v>
      </c>
      <c r="S105" s="821">
        <f t="shared" ref="S105:U106" si="363">SUM(Q105:R105)</f>
        <v>111995.59999999992</v>
      </c>
      <c r="T105" s="3296">
        <v>34530.169999999976</v>
      </c>
      <c r="U105" s="821">
        <f t="shared" si="363"/>
        <v>146525.7699999999</v>
      </c>
      <c r="V105" s="3296">
        <f>4381+29869.176</f>
        <v>34250.175999999999</v>
      </c>
      <c r="W105" s="1177">
        <f t="shared" ref="W105:W106" si="364">+R105+T105+V105</f>
        <v>104904.26599999992</v>
      </c>
      <c r="X105" s="714">
        <f t="shared" ref="X105:X106" si="365">+U105+V105</f>
        <v>180775.94599999991</v>
      </c>
      <c r="Y105" s="3296">
        <v>34540.542999999998</v>
      </c>
      <c r="Z105" s="821">
        <f>SUM(X105:Y105)</f>
        <v>215316.48899999991</v>
      </c>
      <c r="AA105" s="3296">
        <v>39257.492999999995</v>
      </c>
      <c r="AB105" s="690">
        <f>SUM(Z105:AA105)</f>
        <v>254573.9819999999</v>
      </c>
      <c r="AC105" s="3296">
        <v>45607.815000000002</v>
      </c>
      <c r="AD105" s="721">
        <f>+Y105+AA105+AC105</f>
        <v>119405.851</v>
      </c>
      <c r="AE105" s="1290">
        <f>+W105+AD105</f>
        <v>224310.11699999991</v>
      </c>
      <c r="AF105" s="2582">
        <f>+AB105+AC105</f>
        <v>300181.7969999999</v>
      </c>
    </row>
    <row r="106" spans="4:86" ht="35" hidden="1" customHeight="1" thickBot="1" x14ac:dyDescent="0.3">
      <c r="D106" s="665"/>
      <c r="E106" s="671" t="s">
        <v>99</v>
      </c>
      <c r="F106" s="3810"/>
      <c r="G106" s="3810"/>
      <c r="H106" s="673">
        <f>SUM(F106:G106)</f>
        <v>0</v>
      </c>
      <c r="I106" s="3810"/>
      <c r="J106" s="674">
        <f>SUM(H106:I106)</f>
        <v>0</v>
      </c>
      <c r="K106" s="3810"/>
      <c r="L106" s="669">
        <f>SUM(J106:K106)</f>
        <v>0</v>
      </c>
      <c r="M106" s="3810">
        <f>11787.77+M69</f>
        <v>11787.77</v>
      </c>
      <c r="N106" s="570">
        <f>SUM(L106:M106)</f>
        <v>11787.77</v>
      </c>
      <c r="O106" s="3810">
        <f>7706.58+O69</f>
        <v>7706.58</v>
      </c>
      <c r="P106" s="815">
        <f t="shared" si="362"/>
        <v>19494.349999999999</v>
      </c>
      <c r="Q106" s="773">
        <f t="shared" si="313"/>
        <v>19494.349999999999</v>
      </c>
      <c r="R106" s="3810">
        <f>19115.33+R69</f>
        <v>19115.330000000002</v>
      </c>
      <c r="S106" s="821">
        <f t="shared" si="363"/>
        <v>38609.68</v>
      </c>
      <c r="T106" s="3810">
        <f>16806.84+T69</f>
        <v>16806.84</v>
      </c>
      <c r="U106" s="821">
        <f t="shared" si="363"/>
        <v>55416.520000000004</v>
      </c>
      <c r="V106" s="3296">
        <f>1795.45+18285.9</f>
        <v>20081.350000000002</v>
      </c>
      <c r="W106" s="1176">
        <f t="shared" si="364"/>
        <v>56003.520000000004</v>
      </c>
      <c r="X106" s="714">
        <f t="shared" si="365"/>
        <v>75497.87000000001</v>
      </c>
      <c r="Y106" s="3810">
        <v>18416.090000000004</v>
      </c>
      <c r="Z106" s="821">
        <f>SUM(X106:Y106)</f>
        <v>93913.960000000021</v>
      </c>
      <c r="AA106" s="3810">
        <v>19380</v>
      </c>
      <c r="AB106" s="690">
        <f>SUM(Z106:AA106)</f>
        <v>113293.96000000002</v>
      </c>
      <c r="AC106" s="3810">
        <v>8512</v>
      </c>
      <c r="AD106" s="721">
        <f>+Y106+AA106+AC106</f>
        <v>46308.090000000004</v>
      </c>
      <c r="AE106" s="1290">
        <f>+W106+AD106</f>
        <v>102311.61000000002</v>
      </c>
      <c r="AF106" s="2582">
        <f>+AB106+AC106</f>
        <v>121805.96000000002</v>
      </c>
    </row>
    <row r="107" spans="4:86" ht="35" hidden="1" customHeight="1" thickBot="1" x14ac:dyDescent="0.3">
      <c r="D107" s="665"/>
      <c r="E107" s="676" t="s">
        <v>15</v>
      </c>
      <c r="F107" s="677">
        <f t="shared" ref="F107:G107" si="366">SUM(F105:F106)</f>
        <v>0</v>
      </c>
      <c r="G107" s="677">
        <f t="shared" si="366"/>
        <v>0</v>
      </c>
      <c r="H107" s="675">
        <f t="shared" ref="H107:L107" si="367">SUM(H105:H106)</f>
        <v>0</v>
      </c>
      <c r="I107" s="677">
        <f t="shared" ref="I107" si="368">SUM(I105:I106)</f>
        <v>0</v>
      </c>
      <c r="J107" s="678">
        <f t="shared" si="367"/>
        <v>0</v>
      </c>
      <c r="K107" s="677">
        <f t="shared" ref="K107" si="369">SUM(K105:K106)</f>
        <v>0</v>
      </c>
      <c r="L107" s="679">
        <f t="shared" si="367"/>
        <v>0</v>
      </c>
      <c r="M107" s="677">
        <f t="shared" ref="M107" si="370">SUM(M105:M106)</f>
        <v>62938.539999999979</v>
      </c>
      <c r="N107" s="599">
        <f t="shared" ref="N107:AB107" si="371">SUM(N105:N106)</f>
        <v>62938.539999999979</v>
      </c>
      <c r="O107" s="677">
        <f t="shared" si="371"/>
        <v>32427.489999999991</v>
      </c>
      <c r="P107" s="573">
        <f t="shared" si="371"/>
        <v>95366.02999999997</v>
      </c>
      <c r="Q107" s="767">
        <f t="shared" si="371"/>
        <v>95366.02999999997</v>
      </c>
      <c r="R107" s="677">
        <f t="shared" si="371"/>
        <v>55239.249999999949</v>
      </c>
      <c r="S107" s="599">
        <f>SUM(S105:S106)</f>
        <v>150605.27999999991</v>
      </c>
      <c r="T107" s="677">
        <f t="shared" ref="T107" si="372">SUM(T105:T106)</f>
        <v>51337.00999999998</v>
      </c>
      <c r="U107" s="599">
        <f>SUM(U105:U106)</f>
        <v>201942.28999999992</v>
      </c>
      <c r="V107" s="677">
        <f t="shared" ref="V107" si="373">SUM(V105:V106)</f>
        <v>54331.525999999998</v>
      </c>
      <c r="W107" s="704">
        <f t="shared" si="371"/>
        <v>160907.78599999991</v>
      </c>
      <c r="X107" s="575">
        <f t="shared" si="371"/>
        <v>256273.81599999993</v>
      </c>
      <c r="Y107" s="677">
        <f t="shared" si="371"/>
        <v>52956.633000000002</v>
      </c>
      <c r="Z107" s="599">
        <f>SUM(Z105:Z106)</f>
        <v>309230.44899999991</v>
      </c>
      <c r="AA107" s="677">
        <f t="shared" ref="AA107" si="374">SUM(AA105:AA106)</f>
        <v>58637.492999999995</v>
      </c>
      <c r="AB107" s="575">
        <f t="shared" si="371"/>
        <v>367867.94199999992</v>
      </c>
      <c r="AC107" s="677">
        <f t="shared" ref="AC107" si="375">SUM(AC105:AC106)</f>
        <v>54119.815000000002</v>
      </c>
      <c r="AD107" s="573">
        <f>SUM(AD105:AD106)</f>
        <v>165713.94099999999</v>
      </c>
      <c r="AE107" s="1294">
        <f>SUM(AE105:AE106)</f>
        <v>326621.72699999996</v>
      </c>
      <c r="AF107" s="2583">
        <f>SUM(AF105:AF106)</f>
        <v>421987.75699999993</v>
      </c>
    </row>
    <row r="108" spans="4:86" s="3170" customFormat="1" ht="35" hidden="1" customHeight="1" x14ac:dyDescent="0.25">
      <c r="D108" s="4331"/>
      <c r="E108" s="3595" t="s">
        <v>447</v>
      </c>
      <c r="F108" s="3596"/>
      <c r="G108" s="3596"/>
      <c r="H108" s="3596"/>
      <c r="I108" s="3596"/>
      <c r="J108" s="3595"/>
      <c r="K108" s="3596"/>
      <c r="L108" s="3595"/>
      <c r="M108" s="3596"/>
      <c r="N108" s="3595"/>
      <c r="O108" s="3596"/>
      <c r="P108" s="4330"/>
      <c r="Q108" s="4330"/>
      <c r="R108" s="3596"/>
      <c r="S108" s="4330"/>
      <c r="T108" s="3596"/>
      <c r="U108" s="4330"/>
      <c r="V108" s="3596"/>
      <c r="W108" s="4330"/>
      <c r="X108" s="4330"/>
      <c r="Y108" s="3596"/>
      <c r="Z108" s="4330"/>
      <c r="AA108" s="3596"/>
      <c r="AB108" s="4330"/>
      <c r="AC108" s="3596"/>
      <c r="AD108" s="4330"/>
      <c r="AE108" s="4330"/>
      <c r="AF108" s="4330"/>
      <c r="AG108" s="4756"/>
      <c r="AH108" s="4756"/>
      <c r="AI108" s="4756"/>
      <c r="AJ108" s="4756"/>
      <c r="AK108" s="4756"/>
      <c r="AL108" s="4756"/>
    </row>
    <row r="109" spans="4:86" ht="35" hidden="1" customHeight="1" x14ac:dyDescent="0.25">
      <c r="D109" s="665"/>
      <c r="E109" s="667" t="s">
        <v>98</v>
      </c>
      <c r="F109" s="3296"/>
      <c r="G109" s="3296"/>
      <c r="H109" s="669">
        <f>SUM(F109:G109)</f>
        <v>0</v>
      </c>
      <c r="I109" s="3296"/>
      <c r="J109" s="670">
        <f>SUM(H109:I109)</f>
        <v>0</v>
      </c>
      <c r="K109" s="3296"/>
      <c r="L109" s="669">
        <f>SUM(J109:K109)</f>
        <v>0</v>
      </c>
      <c r="M109" s="3296">
        <v>11281.38</v>
      </c>
      <c r="N109" s="690">
        <f>SUM(L109:M109)</f>
        <v>11281.38</v>
      </c>
      <c r="O109" s="3296">
        <v>5307.6200000000008</v>
      </c>
      <c r="P109" s="815">
        <f t="shared" ref="P109:P110" si="376">+K109+M109+O109</f>
        <v>16589</v>
      </c>
      <c r="Q109" s="773">
        <f t="shared" si="313"/>
        <v>16589</v>
      </c>
      <c r="R109" s="3296">
        <v>4208.1200000000008</v>
      </c>
      <c r="S109" s="821">
        <f t="shared" ref="S109:U110" si="377">SUM(Q109:R109)</f>
        <v>20797.120000000003</v>
      </c>
      <c r="T109" s="3296">
        <v>6038.1200000000008</v>
      </c>
      <c r="U109" s="821">
        <f t="shared" si="377"/>
        <v>26835.240000000005</v>
      </c>
      <c r="V109" s="3296">
        <f>371.32+2521.06</f>
        <v>2892.38</v>
      </c>
      <c r="W109" s="1177">
        <f t="shared" ref="W109:W110" si="378">+R109+T109+V109</f>
        <v>13138.620000000003</v>
      </c>
      <c r="X109" s="714">
        <f t="shared" ref="X109:X110" si="379">+U109+V109</f>
        <v>29727.620000000006</v>
      </c>
      <c r="Y109" s="3296">
        <v>9585.7390000000014</v>
      </c>
      <c r="Z109" s="821">
        <f>SUM(X109:Y109)</f>
        <v>39313.359000000011</v>
      </c>
      <c r="AA109" s="3296">
        <v>11632.497000000001</v>
      </c>
      <c r="AB109" s="690">
        <f>SUM(Z109:AA109)</f>
        <v>50945.856000000014</v>
      </c>
      <c r="AC109" s="3296">
        <v>14214.585999999999</v>
      </c>
      <c r="AD109" s="721">
        <f>+Y109+AA109+AC109</f>
        <v>35432.822</v>
      </c>
      <c r="AE109" s="1290">
        <f>+W109+AD109</f>
        <v>48571.442000000003</v>
      </c>
      <c r="AF109" s="2582">
        <f>+AB109+AC109</f>
        <v>65160.44200000001</v>
      </c>
    </row>
    <row r="110" spans="4:86" ht="35" hidden="1" customHeight="1" thickBot="1" x14ac:dyDescent="0.3">
      <c r="D110" s="665"/>
      <c r="E110" s="671" t="s">
        <v>99</v>
      </c>
      <c r="F110" s="3810"/>
      <c r="G110" s="3810"/>
      <c r="H110" s="673">
        <f>SUM(F110:G110)</f>
        <v>0</v>
      </c>
      <c r="I110" s="3810"/>
      <c r="J110" s="674">
        <f>SUM(H110:I110)</f>
        <v>0</v>
      </c>
      <c r="K110" s="3810"/>
      <c r="L110" s="673">
        <f>SUM(J110:K110)</f>
        <v>0</v>
      </c>
      <c r="M110" s="3810">
        <f>2027+M75</f>
        <v>2027</v>
      </c>
      <c r="N110" s="570">
        <f>SUM(L110:M110)</f>
        <v>2027</v>
      </c>
      <c r="O110" s="3810">
        <f>3617.36+O75</f>
        <v>3617.36</v>
      </c>
      <c r="P110" s="815">
        <f t="shared" si="376"/>
        <v>5644.3600000000006</v>
      </c>
      <c r="Q110" s="773">
        <f t="shared" si="313"/>
        <v>5644.3600000000006</v>
      </c>
      <c r="R110" s="3810">
        <f>4154.71+R75</f>
        <v>4154.71</v>
      </c>
      <c r="S110" s="821">
        <f t="shared" si="377"/>
        <v>9799.07</v>
      </c>
      <c r="T110" s="3810">
        <f>4340.89+T75</f>
        <v>4340.8900000000003</v>
      </c>
      <c r="U110" s="821">
        <f t="shared" si="377"/>
        <v>14139.96</v>
      </c>
      <c r="V110" s="3296">
        <f>39.54+1941.14</f>
        <v>1980.68</v>
      </c>
      <c r="W110" s="1176">
        <f t="shared" si="378"/>
        <v>10476.280000000001</v>
      </c>
      <c r="X110" s="714">
        <f t="shared" si="379"/>
        <v>16120.64</v>
      </c>
      <c r="Y110" s="3810">
        <v>2744.04</v>
      </c>
      <c r="Z110" s="821">
        <f>SUM(X110:Y110)</f>
        <v>18864.68</v>
      </c>
      <c r="AA110" s="3810">
        <v>2055.5699999999997</v>
      </c>
      <c r="AB110" s="690">
        <f>SUM(Z110:AA110)</f>
        <v>20920.25</v>
      </c>
      <c r="AC110" s="3810">
        <v>1999.02</v>
      </c>
      <c r="AD110" s="721">
        <f>+Y110+AA110+AC110</f>
        <v>6798.6299999999992</v>
      </c>
      <c r="AE110" s="1290">
        <f>+W110+AD110</f>
        <v>17274.91</v>
      </c>
      <c r="AF110" s="2582">
        <f>+AB110+AC110</f>
        <v>22919.27</v>
      </c>
    </row>
    <row r="111" spans="4:86" ht="35" hidden="1" customHeight="1" thickBot="1" x14ac:dyDescent="0.3">
      <c r="D111" s="665"/>
      <c r="E111" s="676" t="s">
        <v>15</v>
      </c>
      <c r="F111" s="677">
        <f t="shared" ref="F111:G111" si="380">SUM(F109:F110)</f>
        <v>0</v>
      </c>
      <c r="G111" s="677">
        <f t="shared" si="380"/>
        <v>0</v>
      </c>
      <c r="H111" s="675">
        <f t="shared" ref="H111:L111" si="381">SUM(H109:H110)</f>
        <v>0</v>
      </c>
      <c r="I111" s="677">
        <f t="shared" ref="I111" si="382">SUM(I109:I110)</f>
        <v>0</v>
      </c>
      <c r="J111" s="678">
        <f t="shared" si="381"/>
        <v>0</v>
      </c>
      <c r="K111" s="677">
        <f t="shared" ref="K111" si="383">SUM(K109:K110)</f>
        <v>0</v>
      </c>
      <c r="L111" s="675">
        <f t="shared" si="381"/>
        <v>0</v>
      </c>
      <c r="M111" s="677">
        <f t="shared" ref="M111" si="384">SUM(M109:M110)</f>
        <v>13308.38</v>
      </c>
      <c r="N111" s="599">
        <f t="shared" ref="N111:AB111" si="385">SUM(N109:N110)</f>
        <v>13308.38</v>
      </c>
      <c r="O111" s="677">
        <f t="shared" si="385"/>
        <v>8924.9800000000014</v>
      </c>
      <c r="P111" s="573">
        <f t="shared" si="385"/>
        <v>22233.360000000001</v>
      </c>
      <c r="Q111" s="767">
        <f t="shared" si="385"/>
        <v>22233.360000000001</v>
      </c>
      <c r="R111" s="677">
        <f t="shared" si="385"/>
        <v>8362.8300000000017</v>
      </c>
      <c r="S111" s="599">
        <f>SUM(S109:S110)</f>
        <v>30596.190000000002</v>
      </c>
      <c r="T111" s="677">
        <f t="shared" ref="T111" si="386">SUM(T109:T110)</f>
        <v>10379.010000000002</v>
      </c>
      <c r="U111" s="599">
        <f>SUM(U109:U110)</f>
        <v>40975.200000000004</v>
      </c>
      <c r="V111" s="677">
        <f t="shared" ref="V111" si="387">SUM(V109:V110)</f>
        <v>4873.0600000000004</v>
      </c>
      <c r="W111" s="704">
        <f t="shared" si="385"/>
        <v>23614.9</v>
      </c>
      <c r="X111" s="575">
        <f t="shared" si="385"/>
        <v>45848.260000000009</v>
      </c>
      <c r="Y111" s="677">
        <f t="shared" si="385"/>
        <v>12329.779000000002</v>
      </c>
      <c r="Z111" s="599">
        <f>SUM(Z109:Z110)</f>
        <v>58178.039000000012</v>
      </c>
      <c r="AA111" s="677">
        <f t="shared" ref="AA111" si="388">SUM(AA109:AA110)</f>
        <v>13688.067000000001</v>
      </c>
      <c r="AB111" s="575">
        <f t="shared" si="385"/>
        <v>71866.106000000014</v>
      </c>
      <c r="AC111" s="677">
        <f t="shared" ref="AC111" si="389">SUM(AC109:AC110)</f>
        <v>16213.606</v>
      </c>
      <c r="AD111" s="573">
        <f>SUM(AD109:AD110)</f>
        <v>42231.451999999997</v>
      </c>
      <c r="AE111" s="1294">
        <f>SUM(AE109:AE110)</f>
        <v>65846.351999999999</v>
      </c>
      <c r="AF111" s="2583">
        <f>SUM(AF109:AF110)</f>
        <v>88079.712000000014</v>
      </c>
    </row>
    <row r="112" spans="4:86" s="3170" customFormat="1" ht="35" hidden="1" customHeight="1" x14ac:dyDescent="0.25">
      <c r="D112" s="4331"/>
      <c r="E112" s="3595" t="s">
        <v>1135</v>
      </c>
      <c r="F112" s="3596"/>
      <c r="G112" s="3596"/>
      <c r="H112" s="3596"/>
      <c r="I112" s="3596"/>
      <c r="J112" s="3595"/>
      <c r="K112" s="3596"/>
      <c r="L112" s="3595"/>
      <c r="M112" s="3596"/>
      <c r="N112" s="3595"/>
      <c r="O112" s="3596"/>
      <c r="P112" s="4330"/>
      <c r="Q112" s="4330"/>
      <c r="R112" s="3596"/>
      <c r="S112" s="4330"/>
      <c r="T112" s="3596"/>
      <c r="U112" s="4330"/>
      <c r="V112" s="3596"/>
      <c r="W112" s="4330"/>
      <c r="X112" s="4330"/>
      <c r="Y112" s="3596"/>
      <c r="Z112" s="4330"/>
      <c r="AA112" s="3596"/>
      <c r="AB112" s="4330"/>
      <c r="AC112" s="3596"/>
      <c r="AD112" s="4330"/>
      <c r="AE112" s="4330"/>
      <c r="AF112" s="4330"/>
      <c r="AG112" s="4756"/>
      <c r="AH112" s="4756"/>
      <c r="AI112" s="4756"/>
      <c r="AJ112" s="4756"/>
      <c r="AK112" s="4756"/>
      <c r="AL112" s="4756"/>
    </row>
    <row r="113" spans="4:38" ht="35" hidden="1" customHeight="1" x14ac:dyDescent="0.25">
      <c r="D113" s="665"/>
      <c r="E113" s="667" t="s">
        <v>98</v>
      </c>
      <c r="F113" s="3296"/>
      <c r="G113" s="3296"/>
      <c r="H113" s="669">
        <f>SUM(F113:G113)</f>
        <v>0</v>
      </c>
      <c r="I113" s="3296"/>
      <c r="J113" s="670">
        <f>SUM(H113:I113)</f>
        <v>0</v>
      </c>
      <c r="K113" s="3296"/>
      <c r="L113" s="669">
        <f>SUM(J113:K113)</f>
        <v>0</v>
      </c>
      <c r="M113" s="3296">
        <v>64749.139999999985</v>
      </c>
      <c r="N113" s="690">
        <f>SUM(L113:M113)</f>
        <v>64749.139999999985</v>
      </c>
      <c r="O113" s="3296">
        <v>68396.420000000013</v>
      </c>
      <c r="P113" s="815">
        <f t="shared" ref="P113:P114" si="390">+K113+M113+O113</f>
        <v>133145.56</v>
      </c>
      <c r="Q113" s="773">
        <f t="shared" si="313"/>
        <v>133145.56</v>
      </c>
      <c r="R113" s="3296">
        <v>66774.879999999932</v>
      </c>
      <c r="S113" s="821">
        <f t="shared" ref="S113:U114" si="391">SUM(Q113:R113)</f>
        <v>199920.43999999994</v>
      </c>
      <c r="T113" s="3296">
        <v>80351.320000000007</v>
      </c>
      <c r="U113" s="821">
        <f t="shared" si="391"/>
        <v>280271.75999999995</v>
      </c>
      <c r="V113" s="3296">
        <f>21395.04+72697.126</f>
        <v>94092.165999999997</v>
      </c>
      <c r="W113" s="1177">
        <f t="shared" ref="W113:W114" si="392">+R113+T113+V113</f>
        <v>241218.36599999995</v>
      </c>
      <c r="X113" s="714">
        <f t="shared" ref="X113:X114" si="393">+U113+V113</f>
        <v>374363.92599999998</v>
      </c>
      <c r="Y113" s="3296">
        <f>102184.587+Y83</f>
        <v>102730.507</v>
      </c>
      <c r="Z113" s="821">
        <f>SUM(X113:Y113)</f>
        <v>477094.43299999996</v>
      </c>
      <c r="AA113" s="3296">
        <f>67552.379+1904.204</f>
        <v>69456.582999999999</v>
      </c>
      <c r="AB113" s="690">
        <f>SUM(Z113:AA113)</f>
        <v>546551.01599999995</v>
      </c>
      <c r="AC113" s="3296">
        <f>39896.142+2730.885</f>
        <v>42627.027000000002</v>
      </c>
      <c r="AD113" s="721">
        <f>+Y113+AA113+AC113</f>
        <v>214814.117</v>
      </c>
      <c r="AE113" s="1290">
        <f>+W113+AD113</f>
        <v>456032.48299999995</v>
      </c>
      <c r="AF113" s="2582">
        <f>+AB113+AC113</f>
        <v>589178.04299999995</v>
      </c>
    </row>
    <row r="114" spans="4:38" ht="35" hidden="1" customHeight="1" thickBot="1" x14ac:dyDescent="0.3">
      <c r="D114" s="665"/>
      <c r="E114" s="671" t="s">
        <v>99</v>
      </c>
      <c r="F114" s="3810"/>
      <c r="G114" s="3810"/>
      <c r="H114" s="673">
        <f>SUM(F114:G114)</f>
        <v>0</v>
      </c>
      <c r="I114" s="3810"/>
      <c r="J114" s="674">
        <f>SUM(H114:I114)</f>
        <v>0</v>
      </c>
      <c r="K114" s="3810"/>
      <c r="L114" s="673">
        <f>SUM(J114:K114)</f>
        <v>0</v>
      </c>
      <c r="M114" s="3297">
        <f>1289.17+M81</f>
        <v>2460.8900000000003</v>
      </c>
      <c r="N114" s="570">
        <f>SUM(L114:M114)</f>
        <v>2460.8900000000003</v>
      </c>
      <c r="O114" s="3810">
        <f>7691.57+O81</f>
        <v>11817.419999999998</v>
      </c>
      <c r="P114" s="815">
        <f t="shared" si="390"/>
        <v>14278.309999999998</v>
      </c>
      <c r="Q114" s="773">
        <f t="shared" si="313"/>
        <v>14278.309999999998</v>
      </c>
      <c r="R114" s="3810">
        <f>6781.35+R81</f>
        <v>10135.549999999999</v>
      </c>
      <c r="S114" s="821">
        <f t="shared" si="391"/>
        <v>24413.859999999997</v>
      </c>
      <c r="T114" s="3810">
        <f>4233.3+T81</f>
        <v>6587.35</v>
      </c>
      <c r="U114" s="821">
        <f t="shared" si="391"/>
        <v>31001.21</v>
      </c>
      <c r="V114" s="3296">
        <f>595.31+11543.25+3697.62</f>
        <v>15836.18</v>
      </c>
      <c r="W114" s="1176">
        <f t="shared" si="392"/>
        <v>32559.08</v>
      </c>
      <c r="X114" s="714">
        <f t="shared" si="393"/>
        <v>46837.39</v>
      </c>
      <c r="Y114" s="3810">
        <f>1835.89+Y81</f>
        <v>5497.02</v>
      </c>
      <c r="Z114" s="821">
        <f>SUM(X114:Y114)</f>
        <v>52334.41</v>
      </c>
      <c r="AA114" s="3810">
        <f>3049.32+574.76</f>
        <v>3624.08</v>
      </c>
      <c r="AB114" s="690">
        <f>SUM(Z114:AA114)</f>
        <v>55958.490000000005</v>
      </c>
      <c r="AC114" s="3810">
        <f>1705.81+102.81+999.3</f>
        <v>2807.92</v>
      </c>
      <c r="AD114" s="721">
        <f>+Y114+AA114+AC114</f>
        <v>11929.02</v>
      </c>
      <c r="AE114" s="1290">
        <f>+W114+AD114</f>
        <v>44488.100000000006</v>
      </c>
      <c r="AF114" s="2582">
        <f>+AB114+AC114</f>
        <v>58766.41</v>
      </c>
      <c r="AI114" s="4756">
        <v>298.61</v>
      </c>
    </row>
    <row r="115" spans="4:38" ht="35" hidden="1" customHeight="1" thickBot="1" x14ac:dyDescent="0.3">
      <c r="D115" s="665"/>
      <c r="E115" s="676" t="s">
        <v>15</v>
      </c>
      <c r="F115" s="677">
        <f t="shared" ref="F115:G115" si="394">SUM(F113:F114)</f>
        <v>0</v>
      </c>
      <c r="G115" s="677">
        <f t="shared" si="394"/>
        <v>0</v>
      </c>
      <c r="H115" s="679">
        <f t="shared" ref="H115:L115" si="395">SUM(H113:H114)</f>
        <v>0</v>
      </c>
      <c r="I115" s="677">
        <f t="shared" ref="I115" si="396">SUM(I113:I114)</f>
        <v>0</v>
      </c>
      <c r="J115" s="678">
        <f t="shared" si="395"/>
        <v>0</v>
      </c>
      <c r="K115" s="677">
        <f t="shared" ref="K115" si="397">SUM(K113:K114)</f>
        <v>0</v>
      </c>
      <c r="L115" s="679">
        <f t="shared" si="395"/>
        <v>0</v>
      </c>
      <c r="M115" s="677">
        <f t="shared" ref="M115" si="398">SUM(M113:M114)</f>
        <v>67210.029999999984</v>
      </c>
      <c r="N115" s="599">
        <f t="shared" ref="N115:AB115" si="399">SUM(N113:N114)</f>
        <v>67210.029999999984</v>
      </c>
      <c r="O115" s="677">
        <f t="shared" si="399"/>
        <v>80213.840000000011</v>
      </c>
      <c r="P115" s="573">
        <f t="shared" si="399"/>
        <v>147423.87</v>
      </c>
      <c r="Q115" s="767">
        <f t="shared" si="399"/>
        <v>147423.87</v>
      </c>
      <c r="R115" s="677">
        <f t="shared" si="399"/>
        <v>76910.429999999935</v>
      </c>
      <c r="S115" s="599">
        <f>SUM(S113:S114)</f>
        <v>224334.29999999993</v>
      </c>
      <c r="T115" s="677">
        <f t="shared" ref="T115" si="400">SUM(T113:T114)</f>
        <v>86938.670000000013</v>
      </c>
      <c r="U115" s="599">
        <f>SUM(U113:U114)</f>
        <v>311272.96999999997</v>
      </c>
      <c r="V115" s="677">
        <f>SUM(V113:V114)</f>
        <v>109928.34599999999</v>
      </c>
      <c r="W115" s="704">
        <f t="shared" si="399"/>
        <v>273777.44599999994</v>
      </c>
      <c r="X115" s="575">
        <f t="shared" si="399"/>
        <v>421201.31599999999</v>
      </c>
      <c r="Y115" s="677">
        <f>SUM(Y113:Y114)</f>
        <v>108227.527</v>
      </c>
      <c r="Z115" s="599">
        <f>SUM(Z113:Z114)</f>
        <v>529428.84299999999</v>
      </c>
      <c r="AA115" s="677">
        <f>SUM(AA113:AA114)</f>
        <v>73080.663</v>
      </c>
      <c r="AB115" s="575">
        <f t="shared" si="399"/>
        <v>602509.50599999994</v>
      </c>
      <c r="AC115" s="677">
        <f>SUM(AC113:AC114)</f>
        <v>45434.947</v>
      </c>
      <c r="AD115" s="573">
        <f>SUM(AD113:AD114)</f>
        <v>226743.13699999999</v>
      </c>
      <c r="AE115" s="1294">
        <f>SUM(AE113:AE114)</f>
        <v>500520.58299999998</v>
      </c>
      <c r="AF115" s="2583">
        <f>SUM(AF113:AF114)</f>
        <v>647944.45299999998</v>
      </c>
    </row>
    <row r="116" spans="4:38" s="3170" customFormat="1" ht="35" hidden="1" customHeight="1" x14ac:dyDescent="0.25">
      <c r="D116" s="4331"/>
      <c r="E116" s="4344" t="s">
        <v>449</v>
      </c>
      <c r="F116" s="3604"/>
      <c r="G116" s="3604"/>
      <c r="H116" s="3604"/>
      <c r="I116" s="3604"/>
      <c r="J116" s="3604"/>
      <c r="K116" s="3604"/>
      <c r="L116" s="3604"/>
      <c r="M116" s="3604"/>
      <c r="N116" s="3604"/>
      <c r="O116" s="3604"/>
      <c r="P116" s="3604"/>
      <c r="Q116" s="3604"/>
      <c r="R116" s="3604"/>
      <c r="S116" s="3604"/>
      <c r="T116" s="3604"/>
      <c r="U116" s="3604"/>
      <c r="V116" s="3604"/>
      <c r="W116" s="3604"/>
      <c r="X116" s="3604"/>
      <c r="Y116" s="3604"/>
      <c r="Z116" s="3604"/>
      <c r="AA116" s="3604"/>
      <c r="AB116" s="4345"/>
      <c r="AC116" s="3604"/>
      <c r="AD116" s="4345"/>
      <c r="AE116" s="3604"/>
      <c r="AF116" s="3604"/>
      <c r="AG116" s="4756"/>
      <c r="AH116" s="4756"/>
      <c r="AI116" s="4756"/>
      <c r="AJ116" s="4756"/>
      <c r="AK116" s="4756"/>
      <c r="AL116" s="4756"/>
    </row>
    <row r="117" spans="4:38" ht="35" hidden="1" customHeight="1" x14ac:dyDescent="0.25">
      <c r="D117" s="665"/>
      <c r="E117" s="667" t="s">
        <v>98</v>
      </c>
      <c r="F117" s="668">
        <f>+F101+F105+F109+F113</f>
        <v>0</v>
      </c>
      <c r="G117" s="668">
        <f>+G101+G105+G109+G113</f>
        <v>0</v>
      </c>
      <c r="H117" s="669">
        <f>SUM(F117:G117)</f>
        <v>0</v>
      </c>
      <c r="I117" s="668">
        <f>+I101+I105+I109+I113</f>
        <v>0</v>
      </c>
      <c r="J117" s="670">
        <f>SUM(H117:I117)</f>
        <v>0</v>
      </c>
      <c r="K117" s="668">
        <f>+K101+K105+K109+K113</f>
        <v>0</v>
      </c>
      <c r="L117" s="669">
        <f>SUM(J117:K117)</f>
        <v>0</v>
      </c>
      <c r="M117" s="668">
        <f>+M101+M105+M109+M113</f>
        <v>154964.26999999996</v>
      </c>
      <c r="N117" s="690">
        <f>SUM(L117:M117)</f>
        <v>154964.26999999996</v>
      </c>
      <c r="O117" s="668">
        <f>+O101+O105+O109+O113</f>
        <v>125901.95999999999</v>
      </c>
      <c r="P117" s="815">
        <f t="shared" ref="P117:P118" si="401">+K117+M117+O117</f>
        <v>280866.23</v>
      </c>
      <c r="Q117" s="1164">
        <f t="shared" si="313"/>
        <v>280866.23</v>
      </c>
      <c r="R117" s="668">
        <f>+R101+R105+R109+R113</f>
        <v>131230.45999999988</v>
      </c>
      <c r="S117" s="821">
        <f t="shared" ref="S117:U118" si="402">SUM(Q117:R117)</f>
        <v>412096.68999999983</v>
      </c>
      <c r="T117" s="668">
        <f>+T101+T105+T109+T113</f>
        <v>150559.88</v>
      </c>
      <c r="U117" s="821">
        <f t="shared" si="402"/>
        <v>562656.56999999983</v>
      </c>
      <c r="V117" s="668">
        <f>+V101+V105+V109+V113</f>
        <v>157034.943</v>
      </c>
      <c r="W117" s="1177">
        <f t="shared" ref="W117:W118" si="403">+R117+T117+V117</f>
        <v>438825.28299999982</v>
      </c>
      <c r="X117" s="714">
        <f t="shared" ref="X117:X118" si="404">+U117+V117</f>
        <v>719691.5129999998</v>
      </c>
      <c r="Y117" s="668">
        <f>+Y101+Y105+Y109+Y113</f>
        <v>180032.46799999999</v>
      </c>
      <c r="Z117" s="821">
        <f t="shared" ref="Z117:Z118" si="405">SUM(X117:Y117)</f>
        <v>899723.9809999998</v>
      </c>
      <c r="AA117" s="668">
        <f>+AA101+AA105+AA109+AA113</f>
        <v>144180.929</v>
      </c>
      <c r="AB117" s="690">
        <f>SUM(Z117:AA117)</f>
        <v>1043904.9099999998</v>
      </c>
      <c r="AC117" s="668">
        <f>+AC101+AC105+AC109+AC113</f>
        <v>129833.78600000001</v>
      </c>
      <c r="AD117" s="721">
        <f>+Y117+AA117+AC117</f>
        <v>454047.18300000002</v>
      </c>
      <c r="AE117" s="1290">
        <f>+W117+AD117</f>
        <v>892872.46599999978</v>
      </c>
      <c r="AF117" s="2582">
        <f>+AB117+AC117</f>
        <v>1173738.6959999998</v>
      </c>
    </row>
    <row r="118" spans="4:38" ht="35" hidden="1" customHeight="1" thickBot="1" x14ac:dyDescent="0.3">
      <c r="D118" s="665"/>
      <c r="E118" s="671" t="s">
        <v>99</v>
      </c>
      <c r="F118" s="672">
        <f>+F102+F106+F110+F114</f>
        <v>0</v>
      </c>
      <c r="G118" s="672">
        <f>+G102+G106+G110+G114</f>
        <v>0</v>
      </c>
      <c r="H118" s="673">
        <f>SUM(F118:G118)</f>
        <v>0</v>
      </c>
      <c r="I118" s="672">
        <f>+I102+I106+I110+I114</f>
        <v>0</v>
      </c>
      <c r="J118" s="674">
        <f>SUM(H118:I118)</f>
        <v>0</v>
      </c>
      <c r="K118" s="672">
        <f>+K102+K106+K110+K114</f>
        <v>0</v>
      </c>
      <c r="L118" s="673">
        <f>SUM(J118:K118)</f>
        <v>0</v>
      </c>
      <c r="M118" s="672">
        <f>+M102+M106+M110+M114</f>
        <v>19545.41</v>
      </c>
      <c r="N118" s="570">
        <f>SUM(L118:M118)</f>
        <v>19545.41</v>
      </c>
      <c r="O118" s="672">
        <f>+O102+O106+O110+O114</f>
        <v>29001.679999999997</v>
      </c>
      <c r="P118" s="815">
        <f t="shared" si="401"/>
        <v>48547.09</v>
      </c>
      <c r="Q118" s="1165">
        <f t="shared" si="313"/>
        <v>48547.09</v>
      </c>
      <c r="R118" s="672">
        <f>+R102+R106+R110+R114</f>
        <v>38225.14</v>
      </c>
      <c r="S118" s="821">
        <f t="shared" si="402"/>
        <v>86772.23</v>
      </c>
      <c r="T118" s="672">
        <f>+T102+T106+T110+T114</f>
        <v>37685.979999999996</v>
      </c>
      <c r="U118" s="821">
        <f t="shared" si="402"/>
        <v>124458.20999999999</v>
      </c>
      <c r="V118" s="672">
        <f>+V102+V106+V110+V114</f>
        <v>48534.630000000005</v>
      </c>
      <c r="W118" s="1176">
        <f t="shared" si="403"/>
        <v>124445.75</v>
      </c>
      <c r="X118" s="714">
        <f t="shared" si="404"/>
        <v>172992.84</v>
      </c>
      <c r="Y118" s="672">
        <f>+Y102+Y106+Y110+Y114</f>
        <v>33129.990000000005</v>
      </c>
      <c r="Z118" s="821">
        <f t="shared" si="405"/>
        <v>206122.83000000002</v>
      </c>
      <c r="AA118" s="672">
        <f>+AA102+AA106+AA110+AA114</f>
        <v>32870.75</v>
      </c>
      <c r="AB118" s="690">
        <f>SUM(Z118:AA118)</f>
        <v>238993.58000000002</v>
      </c>
      <c r="AC118" s="672">
        <f>+AC102+AC106+AC110+AC114</f>
        <v>16918.16</v>
      </c>
      <c r="AD118" s="721">
        <f>+Y118+AA118+AC118</f>
        <v>82918.900000000009</v>
      </c>
      <c r="AE118" s="1290">
        <f>+W118+AD118</f>
        <v>207364.65000000002</v>
      </c>
      <c r="AF118" s="2582">
        <f>+AB118+AC118</f>
        <v>255911.74000000002</v>
      </c>
    </row>
    <row r="119" spans="4:38" s="3170" customFormat="1" ht="35" hidden="1" customHeight="1" thickBot="1" x14ac:dyDescent="0.3">
      <c r="D119" s="4331"/>
      <c r="E119" s="4894" t="s">
        <v>15</v>
      </c>
      <c r="F119" s="4895">
        <f t="shared" ref="F119:G119" si="406">SUM(F117:F118)</f>
        <v>0</v>
      </c>
      <c r="G119" s="4895">
        <f t="shared" si="406"/>
        <v>0</v>
      </c>
      <c r="H119" s="4896">
        <f t="shared" ref="H119:L119" si="407">SUM(H117:H118)</f>
        <v>0</v>
      </c>
      <c r="I119" s="4895">
        <f t="shared" ref="I119" si="408">SUM(I117:I118)</f>
        <v>0</v>
      </c>
      <c r="J119" s="4896">
        <f t="shared" si="407"/>
        <v>0</v>
      </c>
      <c r="K119" s="4895">
        <f t="shared" ref="K119" si="409">SUM(K117:K118)</f>
        <v>0</v>
      </c>
      <c r="L119" s="4896">
        <f t="shared" si="407"/>
        <v>0</v>
      </c>
      <c r="M119" s="4895">
        <f t="shared" ref="M119" si="410">SUM(M117:M118)</f>
        <v>174509.67999999996</v>
      </c>
      <c r="N119" s="4896">
        <f t="shared" ref="N119:R119" si="411">SUM(N117:N118)</f>
        <v>174509.67999999996</v>
      </c>
      <c r="O119" s="4895">
        <f t="shared" si="411"/>
        <v>154903.63999999998</v>
      </c>
      <c r="P119" s="3593">
        <f t="shared" si="411"/>
        <v>329413.31999999995</v>
      </c>
      <c r="Q119" s="3593">
        <f t="shared" si="411"/>
        <v>329413.31999999995</v>
      </c>
      <c r="R119" s="4895">
        <f t="shared" si="411"/>
        <v>169455.59999999986</v>
      </c>
      <c r="S119" s="4787">
        <f>SUM(S117:S118)</f>
        <v>498868.91999999981</v>
      </c>
      <c r="T119" s="4895">
        <f t="shared" ref="T119" si="412">SUM(T117:T118)</f>
        <v>188245.86</v>
      </c>
      <c r="U119" s="4787">
        <f>SUM(U117:U118)</f>
        <v>687114.7799999998</v>
      </c>
      <c r="V119" s="4895">
        <f t="shared" ref="V119" si="413">SUM(V117:V118)</f>
        <v>205569.573</v>
      </c>
      <c r="W119" s="3593">
        <f t="shared" ref="W119:AC119" si="414">SUM(W117:W118)</f>
        <v>563271.03299999982</v>
      </c>
      <c r="X119" s="3780">
        <f>SUM(X117:X118)</f>
        <v>892684.35299999977</v>
      </c>
      <c r="Y119" s="4895">
        <f t="shared" ref="Y119" si="415">SUM(Y117:Y118)</f>
        <v>213162.45799999998</v>
      </c>
      <c r="Z119" s="4787">
        <f t="shared" si="414"/>
        <v>1105846.8109999998</v>
      </c>
      <c r="AA119" s="4895">
        <f t="shared" si="414"/>
        <v>177051.679</v>
      </c>
      <c r="AB119" s="3593">
        <f t="shared" si="414"/>
        <v>1282898.4899999998</v>
      </c>
      <c r="AC119" s="4895">
        <f t="shared" si="414"/>
        <v>146751.946</v>
      </c>
      <c r="AD119" s="3593">
        <f>SUM(AD117:AD118)</f>
        <v>536966.08299999998</v>
      </c>
      <c r="AE119" s="4788">
        <f>SUM(AE117:AE118)</f>
        <v>1100237.1159999999</v>
      </c>
      <c r="AF119" s="4790">
        <f>SUM(AF117:AF118)</f>
        <v>1429650.4359999998</v>
      </c>
      <c r="AG119" s="4756"/>
      <c r="AH119" s="4756"/>
      <c r="AI119" s="4756"/>
      <c r="AJ119" s="4756"/>
      <c r="AK119" s="4756"/>
      <c r="AL119" s="4756"/>
    </row>
    <row r="120" spans="4:38" ht="35" hidden="1" customHeight="1" thickBot="1" x14ac:dyDescent="0.3">
      <c r="D120" s="665"/>
      <c r="E120" s="703" t="s">
        <v>495</v>
      </c>
      <c r="F120" s="708" t="e">
        <f t="shared" ref="F120:G120" si="416">+F117/F119*100</f>
        <v>#DIV/0!</v>
      </c>
      <c r="G120" s="708" t="e">
        <f t="shared" si="416"/>
        <v>#DIV/0!</v>
      </c>
      <c r="H120" s="709" t="e">
        <f t="shared" ref="H120:T120" si="417">+H117/H119*100</f>
        <v>#DIV/0!</v>
      </c>
      <c r="I120" s="708" t="e">
        <f t="shared" si="417"/>
        <v>#DIV/0!</v>
      </c>
      <c r="J120" s="710" t="e">
        <f t="shared" si="417"/>
        <v>#DIV/0!</v>
      </c>
      <c r="K120" s="708" t="e">
        <f t="shared" si="417"/>
        <v>#DIV/0!</v>
      </c>
      <c r="L120" s="709" t="e">
        <f t="shared" si="417"/>
        <v>#DIV/0!</v>
      </c>
      <c r="M120" s="708">
        <f t="shared" ref="M120:O120" si="418">+M117/M119*100</f>
        <v>88.799813282564031</v>
      </c>
      <c r="N120" s="709">
        <f t="shared" si="417"/>
        <v>88.799813282564031</v>
      </c>
      <c r="O120" s="708">
        <f t="shared" si="418"/>
        <v>81.277599415998239</v>
      </c>
      <c r="P120" s="710">
        <f t="shared" si="417"/>
        <v>85.262560117484014</v>
      </c>
      <c r="Q120" s="777">
        <f t="shared" si="417"/>
        <v>85.262560117484014</v>
      </c>
      <c r="R120" s="708">
        <f t="shared" si="417"/>
        <v>77.442386088155232</v>
      </c>
      <c r="S120" s="709">
        <f t="shared" si="417"/>
        <v>82.606206455996485</v>
      </c>
      <c r="T120" s="708">
        <f t="shared" si="417"/>
        <v>79.980446847542893</v>
      </c>
      <c r="U120" s="709">
        <f t="shared" ref="U120:AF120" si="419">+U117/U119*100</f>
        <v>81.886838469694979</v>
      </c>
      <c r="V120" s="708">
        <f t="shared" si="419"/>
        <v>76.390168402986376</v>
      </c>
      <c r="W120" s="710">
        <f t="shared" si="419"/>
        <v>77.906595100905889</v>
      </c>
      <c r="X120" s="709">
        <f t="shared" si="419"/>
        <v>80.621051615990396</v>
      </c>
      <c r="Y120" s="708">
        <f t="shared" ref="Y120" si="420">+Y117/Y119*100</f>
        <v>84.457868279976395</v>
      </c>
      <c r="Z120" s="709">
        <f t="shared" si="419"/>
        <v>81.360634407074301</v>
      </c>
      <c r="AA120" s="708">
        <f t="shared" si="419"/>
        <v>81.434375440178684</v>
      </c>
      <c r="AB120" s="709">
        <f t="shared" si="419"/>
        <v>81.370811341433566</v>
      </c>
      <c r="AC120" s="708">
        <f t="shared" si="419"/>
        <v>88.471594100701068</v>
      </c>
      <c r="AD120" s="710">
        <f t="shared" si="419"/>
        <v>84.557888733542228</v>
      </c>
      <c r="AE120" s="1293">
        <f t="shared" si="419"/>
        <v>81.152730899145553</v>
      </c>
      <c r="AF120" s="2584">
        <f t="shared" si="419"/>
        <v>82.099698390886928</v>
      </c>
    </row>
    <row r="121" spans="4:38" s="3170" customFormat="1" ht="35" hidden="1" thickBot="1" x14ac:dyDescent="0.45">
      <c r="D121" s="4331"/>
      <c r="E121" s="3618" t="s">
        <v>132</v>
      </c>
      <c r="F121" s="4342"/>
      <c r="G121" s="4342"/>
      <c r="H121" s="3605"/>
      <c r="I121" s="4342"/>
      <c r="J121" s="3605"/>
      <c r="K121" s="4342"/>
      <c r="L121" s="3606"/>
      <c r="M121" s="4342"/>
      <c r="N121" s="3606"/>
      <c r="O121" s="4342"/>
      <c r="P121" s="4343"/>
      <c r="Q121" s="4343"/>
      <c r="R121" s="4342"/>
      <c r="S121" s="4343"/>
      <c r="T121" s="4342"/>
      <c r="U121" s="4343"/>
      <c r="V121" s="4342"/>
      <c r="W121" s="4343"/>
      <c r="X121" s="4343"/>
      <c r="Y121" s="4342"/>
      <c r="Z121" s="4343"/>
      <c r="AA121" s="4342"/>
      <c r="AB121" s="4343"/>
      <c r="AC121" s="4342"/>
      <c r="AD121" s="4343"/>
      <c r="AE121" s="4343"/>
      <c r="AF121" s="4343"/>
      <c r="AG121" s="4756"/>
      <c r="AH121" s="4756"/>
      <c r="AI121" s="4756"/>
      <c r="AJ121" s="4756"/>
      <c r="AK121" s="4756"/>
      <c r="AL121" s="4756"/>
    </row>
    <row r="122" spans="4:38" ht="35" hidden="1" customHeight="1" x14ac:dyDescent="0.25">
      <c r="D122" s="665"/>
      <c r="E122" s="671" t="s">
        <v>1269</v>
      </c>
      <c r="F122" s="1094"/>
      <c r="G122" s="1094"/>
      <c r="H122" s="712">
        <f t="shared" ref="H122" si="421">SUM(F122:G122)</f>
        <v>0</v>
      </c>
      <c r="I122" s="1094"/>
      <c r="J122" s="713">
        <f t="shared" ref="J122" si="422">+H122+I122</f>
        <v>0</v>
      </c>
      <c r="K122" s="1094"/>
      <c r="L122" s="712">
        <f t="shared" ref="L122" si="423">+J122+K122</f>
        <v>0</v>
      </c>
      <c r="M122" s="1094">
        <v>7398.0699999999979</v>
      </c>
      <c r="N122" s="712">
        <f t="shared" ref="N122" si="424">+L122+M122</f>
        <v>7398.0699999999979</v>
      </c>
      <c r="O122" s="1094">
        <v>6100.7999999999965</v>
      </c>
      <c r="P122" s="815">
        <f t="shared" ref="P122:P126" si="425">+K122+M122+O122</f>
        <v>13498.869999999995</v>
      </c>
      <c r="Q122" s="773">
        <f t="shared" si="313"/>
        <v>13498.869999999995</v>
      </c>
      <c r="R122" s="1094">
        <v>5690.19</v>
      </c>
      <c r="S122" s="821">
        <f t="shared" ref="S122:U126" si="426">SUM(Q122:R122)</f>
        <v>19189.059999999994</v>
      </c>
      <c r="T122" s="1094">
        <v>4736.9799999999996</v>
      </c>
      <c r="U122" s="821">
        <f t="shared" si="426"/>
        <v>23926.039999999994</v>
      </c>
      <c r="V122" s="1094">
        <v>2905.92</v>
      </c>
      <c r="W122" s="1088">
        <f t="shared" ref="W122:W126" si="427">+R122+T122+V122</f>
        <v>13333.089999999998</v>
      </c>
      <c r="X122" s="714">
        <f t="shared" ref="X122:X126" si="428">+U122+V122</f>
        <v>26831.959999999992</v>
      </c>
      <c r="Y122" s="1094">
        <v>4388.32</v>
      </c>
      <c r="Z122" s="821">
        <f t="shared" ref="Z122:AB126" si="429">SUM(X122:Y122)</f>
        <v>31220.279999999992</v>
      </c>
      <c r="AA122" s="1094">
        <v>2867.8199999999993</v>
      </c>
      <c r="AB122" s="821">
        <f t="shared" si="429"/>
        <v>34088.099999999991</v>
      </c>
      <c r="AC122" s="1094">
        <v>2033.0399999999997</v>
      </c>
      <c r="AD122" s="718">
        <f>+Y122+AA122+AC122</f>
        <v>9289.1799999999985</v>
      </c>
      <c r="AE122" s="1296">
        <f>+W122+AD122</f>
        <v>22622.269999999997</v>
      </c>
      <c r="AF122" s="723">
        <f>+AB122+AC122</f>
        <v>36121.139999999992</v>
      </c>
    </row>
    <row r="123" spans="4:38" ht="35" hidden="1" customHeight="1" x14ac:dyDescent="0.25">
      <c r="D123" s="665"/>
      <c r="E123" s="671" t="s">
        <v>497</v>
      </c>
      <c r="F123" s="1094"/>
      <c r="G123" s="1094"/>
      <c r="H123" s="712">
        <f t="shared" ref="H123" si="430">SUM(F123:G123)</f>
        <v>0</v>
      </c>
      <c r="I123" s="1094"/>
      <c r="J123" s="713">
        <f t="shared" ref="J123" si="431">+H123+I123</f>
        <v>0</v>
      </c>
      <c r="K123" s="1094"/>
      <c r="L123" s="712">
        <f t="shared" ref="L123" si="432">+J123+K123</f>
        <v>0</v>
      </c>
      <c r="M123" s="1094">
        <v>0</v>
      </c>
      <c r="N123" s="712">
        <f t="shared" ref="N123" si="433">+L123+M123</f>
        <v>0</v>
      </c>
      <c r="O123" s="1094">
        <v>0</v>
      </c>
      <c r="P123" s="815">
        <f t="shared" si="425"/>
        <v>0</v>
      </c>
      <c r="Q123" s="773">
        <f t="shared" si="313"/>
        <v>0</v>
      </c>
      <c r="R123" s="1094">
        <v>0</v>
      </c>
      <c r="S123" s="821">
        <f t="shared" si="426"/>
        <v>0</v>
      </c>
      <c r="T123" s="1094">
        <v>0</v>
      </c>
      <c r="U123" s="821">
        <f t="shared" si="426"/>
        <v>0</v>
      </c>
      <c r="V123" s="1094">
        <v>0</v>
      </c>
      <c r="W123" s="1088">
        <f t="shared" si="427"/>
        <v>0</v>
      </c>
      <c r="X123" s="714">
        <f t="shared" si="428"/>
        <v>0</v>
      </c>
      <c r="Y123" s="1094">
        <v>0</v>
      </c>
      <c r="Z123" s="821">
        <f t="shared" si="429"/>
        <v>0</v>
      </c>
      <c r="AA123" s="1094">
        <v>0</v>
      </c>
      <c r="AB123" s="821">
        <f t="shared" si="429"/>
        <v>0</v>
      </c>
      <c r="AC123" s="1094">
        <v>0</v>
      </c>
      <c r="AD123" s="718">
        <f t="shared" ref="AD123:AD126" si="434">+Y123+AA123+AC123</f>
        <v>0</v>
      </c>
      <c r="AE123" s="1296">
        <f t="shared" ref="AE123:AE126" si="435">+W123+AD123</f>
        <v>0</v>
      </c>
      <c r="AF123" s="723">
        <f t="shared" ref="AF123:AF126" si="436">+AB123+AC123</f>
        <v>0</v>
      </c>
    </row>
    <row r="124" spans="4:38" ht="35" hidden="1" customHeight="1" x14ac:dyDescent="0.25">
      <c r="D124" s="665"/>
      <c r="E124" s="667" t="s">
        <v>498</v>
      </c>
      <c r="F124" s="3296"/>
      <c r="G124" s="3296"/>
      <c r="H124" s="686">
        <f>SUM(F124:G124)</f>
        <v>0</v>
      </c>
      <c r="I124" s="3296"/>
      <c r="J124" s="815">
        <f>SUM(H124:I124)</f>
        <v>0</v>
      </c>
      <c r="K124" s="3296"/>
      <c r="L124" s="686">
        <f>SUM(J124:K124)</f>
        <v>0</v>
      </c>
      <c r="M124" s="3296">
        <v>0</v>
      </c>
      <c r="N124" s="714">
        <f t="shared" ref="N124:N125" si="437">+L124+M124</f>
        <v>0</v>
      </c>
      <c r="O124" s="3296">
        <v>0</v>
      </c>
      <c r="P124" s="815">
        <f t="shared" si="425"/>
        <v>0</v>
      </c>
      <c r="Q124" s="773">
        <f t="shared" si="313"/>
        <v>0</v>
      </c>
      <c r="R124" s="3296">
        <v>0</v>
      </c>
      <c r="S124" s="821">
        <f t="shared" si="426"/>
        <v>0</v>
      </c>
      <c r="T124" s="3296">
        <v>0</v>
      </c>
      <c r="U124" s="821">
        <f t="shared" si="426"/>
        <v>0</v>
      </c>
      <c r="V124" s="3296">
        <v>0</v>
      </c>
      <c r="W124" s="1088">
        <f t="shared" si="427"/>
        <v>0</v>
      </c>
      <c r="X124" s="714">
        <f t="shared" si="428"/>
        <v>0</v>
      </c>
      <c r="Y124" s="3296">
        <v>0</v>
      </c>
      <c r="Z124" s="821">
        <f t="shared" si="429"/>
        <v>0</v>
      </c>
      <c r="AA124" s="3296">
        <v>0</v>
      </c>
      <c r="AB124" s="821">
        <f t="shared" si="429"/>
        <v>0</v>
      </c>
      <c r="AC124" s="3296">
        <v>0</v>
      </c>
      <c r="AD124" s="718">
        <f t="shared" si="434"/>
        <v>0</v>
      </c>
      <c r="AE124" s="1296">
        <f t="shared" si="435"/>
        <v>0</v>
      </c>
      <c r="AF124" s="723">
        <f t="shared" si="436"/>
        <v>0</v>
      </c>
    </row>
    <row r="125" spans="4:38" ht="35" hidden="1" customHeight="1" x14ac:dyDescent="0.25">
      <c r="D125" s="665"/>
      <c r="E125" s="671" t="s">
        <v>1328</v>
      </c>
      <c r="F125" s="3297"/>
      <c r="G125" s="3297"/>
      <c r="H125" s="686">
        <f>SUM(F125:G125)</f>
        <v>0</v>
      </c>
      <c r="I125" s="3297"/>
      <c r="J125" s="815">
        <f>SUM(H125:I125)</f>
        <v>0</v>
      </c>
      <c r="K125" s="3297"/>
      <c r="L125" s="686">
        <f>SUM(J125:K125)</f>
        <v>0</v>
      </c>
      <c r="M125" s="3297"/>
      <c r="N125" s="714">
        <f t="shared" si="437"/>
        <v>0</v>
      </c>
      <c r="O125" s="3297"/>
      <c r="P125" s="815">
        <f t="shared" si="425"/>
        <v>0</v>
      </c>
      <c r="Q125" s="773">
        <f t="shared" si="313"/>
        <v>0</v>
      </c>
      <c r="R125" s="3297"/>
      <c r="S125" s="821">
        <f t="shared" si="426"/>
        <v>0</v>
      </c>
      <c r="T125" s="3297"/>
      <c r="U125" s="821">
        <f t="shared" si="426"/>
        <v>0</v>
      </c>
      <c r="V125" s="3297">
        <v>0</v>
      </c>
      <c r="W125" s="1088">
        <f t="shared" si="427"/>
        <v>0</v>
      </c>
      <c r="X125" s="714">
        <f t="shared" si="428"/>
        <v>0</v>
      </c>
      <c r="Y125" s="3297">
        <v>2737.31</v>
      </c>
      <c r="Z125" s="821">
        <f t="shared" si="429"/>
        <v>2737.31</v>
      </c>
      <c r="AA125" s="3297">
        <v>2354.8800000000006</v>
      </c>
      <c r="AB125" s="821">
        <f t="shared" si="429"/>
        <v>5092.1900000000005</v>
      </c>
      <c r="AC125" s="3297">
        <v>1564.6300000000003</v>
      </c>
      <c r="AD125" s="718">
        <f t="shared" si="434"/>
        <v>6656.8200000000006</v>
      </c>
      <c r="AE125" s="1296">
        <f t="shared" si="435"/>
        <v>6656.8200000000006</v>
      </c>
      <c r="AF125" s="723">
        <f t="shared" si="436"/>
        <v>6656.8200000000006</v>
      </c>
    </row>
    <row r="126" spans="4:38" ht="35" hidden="1" customHeight="1" thickBot="1" x14ac:dyDescent="0.3">
      <c r="D126" s="665"/>
      <c r="E126" s="716" t="s">
        <v>1329</v>
      </c>
      <c r="F126" s="3469">
        <f>+F63+F69+F75+F81</f>
        <v>0</v>
      </c>
      <c r="G126" s="3469">
        <f>+G63+G69+G75+G81</f>
        <v>0</v>
      </c>
      <c r="H126" s="669">
        <f>SUM(F126:G126)</f>
        <v>0</v>
      </c>
      <c r="I126" s="3469">
        <f>+I63+I69+I75+I81</f>
        <v>0</v>
      </c>
      <c r="J126" s="2529">
        <f>SUM(H126:I126)</f>
        <v>0</v>
      </c>
      <c r="K126" s="3469">
        <f>+K63+K69+K75+K81</f>
        <v>0</v>
      </c>
      <c r="L126" s="669">
        <f>SUM(J126:K126)</f>
        <v>0</v>
      </c>
      <c r="M126" s="3469">
        <f>+M63+M69+M75+M81</f>
        <v>1219.7400000000002</v>
      </c>
      <c r="N126" s="717">
        <f t="shared" ref="N126:N171" si="438">+L126+M126</f>
        <v>1219.7400000000002</v>
      </c>
      <c r="O126" s="3469">
        <f>+O63+O69+O75+O81</f>
        <v>4125.8499999999995</v>
      </c>
      <c r="P126" s="815">
        <f t="shared" si="425"/>
        <v>5345.59</v>
      </c>
      <c r="Q126" s="773">
        <f t="shared" si="313"/>
        <v>5345.59</v>
      </c>
      <c r="R126" s="3469">
        <f>+R63+R69+R75+R81</f>
        <v>3354.2</v>
      </c>
      <c r="S126" s="821">
        <f t="shared" si="426"/>
        <v>8699.7900000000009</v>
      </c>
      <c r="T126" s="3469">
        <f>+T63+T69+T75+T81</f>
        <v>2354.0500000000002</v>
      </c>
      <c r="U126" s="821">
        <f t="shared" si="426"/>
        <v>11053.84</v>
      </c>
      <c r="V126" s="3469">
        <f>+V63+V69+V75+V81</f>
        <v>3697.62</v>
      </c>
      <c r="W126" s="1088">
        <f t="shared" si="427"/>
        <v>9405.869999999999</v>
      </c>
      <c r="X126" s="714">
        <f t="shared" si="428"/>
        <v>14751.46</v>
      </c>
      <c r="Y126" s="3469">
        <f>+Y63+Y69+Y75+Y81</f>
        <v>3661.13</v>
      </c>
      <c r="Z126" s="821">
        <f t="shared" si="429"/>
        <v>18412.59</v>
      </c>
      <c r="AA126" s="3469">
        <f>+AA63+AA69+AA75+AA81</f>
        <v>298.61</v>
      </c>
      <c r="AB126" s="821">
        <f t="shared" si="429"/>
        <v>18711.2</v>
      </c>
      <c r="AC126" s="3469">
        <f>+AC63+AC69+AC75+AC81</f>
        <v>999.30000000000007</v>
      </c>
      <c r="AD126" s="718">
        <f t="shared" si="434"/>
        <v>4959.04</v>
      </c>
      <c r="AE126" s="1296">
        <f t="shared" si="435"/>
        <v>14364.91</v>
      </c>
      <c r="AF126" s="723">
        <f t="shared" si="436"/>
        <v>19710.5</v>
      </c>
    </row>
    <row r="127" spans="4:38" ht="35" hidden="1" customHeight="1" thickBot="1" x14ac:dyDescent="0.3">
      <c r="D127" s="665"/>
      <c r="E127" s="703" t="s">
        <v>133</v>
      </c>
      <c r="F127" s="571">
        <f t="shared" ref="F127:G127" si="439">SUM(F122:F126)</f>
        <v>0</v>
      </c>
      <c r="G127" s="571">
        <f t="shared" si="439"/>
        <v>0</v>
      </c>
      <c r="H127" s="679">
        <f t="shared" ref="H127:U127" si="440">SUM(H122:H126)</f>
        <v>0</v>
      </c>
      <c r="I127" s="571">
        <f t="shared" ref="I127" si="441">SUM(I122:I126)</f>
        <v>0</v>
      </c>
      <c r="J127" s="704">
        <f t="shared" si="440"/>
        <v>0</v>
      </c>
      <c r="K127" s="571">
        <f t="shared" ref="K127" si="442">SUM(K122:K126)</f>
        <v>0</v>
      </c>
      <c r="L127" s="679">
        <f t="shared" si="440"/>
        <v>0</v>
      </c>
      <c r="M127" s="571">
        <f t="shared" ref="M127" si="443">SUM(M122:M126)</f>
        <v>8617.8099999999977</v>
      </c>
      <c r="N127" s="599">
        <f t="shared" si="440"/>
        <v>8617.8099999999977</v>
      </c>
      <c r="O127" s="571">
        <f t="shared" si="440"/>
        <v>10226.649999999996</v>
      </c>
      <c r="P127" s="573">
        <f t="shared" si="440"/>
        <v>18844.459999999995</v>
      </c>
      <c r="Q127" s="775">
        <f t="shared" si="440"/>
        <v>18844.459999999995</v>
      </c>
      <c r="R127" s="571">
        <f t="shared" si="440"/>
        <v>9044.39</v>
      </c>
      <c r="S127" s="599">
        <f t="shared" si="440"/>
        <v>27888.849999999995</v>
      </c>
      <c r="T127" s="571">
        <f t="shared" ref="T127" si="444">SUM(T122:T126)</f>
        <v>7091.03</v>
      </c>
      <c r="U127" s="599">
        <f t="shared" si="440"/>
        <v>34979.87999999999</v>
      </c>
      <c r="V127" s="571">
        <f t="shared" ref="V127" si="445">SUM(V122:V126)</f>
        <v>6603.54</v>
      </c>
      <c r="W127" s="923">
        <f t="shared" si="314"/>
        <v>22738.959999999999</v>
      </c>
      <c r="X127" s="599">
        <f>+U127+V127</f>
        <v>41583.419999999991</v>
      </c>
      <c r="Y127" s="571">
        <f t="shared" ref="Y127" si="446">SUM(Y122:Y126)</f>
        <v>10786.759999999998</v>
      </c>
      <c r="Z127" s="599">
        <f>SUM(X127:Y127)</f>
        <v>52370.179999999993</v>
      </c>
      <c r="AA127" s="571">
        <f t="shared" ref="AA127" si="447">SUM(AA122:AA126)</f>
        <v>5521.3099999999995</v>
      </c>
      <c r="AB127" s="1202">
        <f>SUM(Z127:AA127)</f>
        <v>57891.489999999991</v>
      </c>
      <c r="AC127" s="571">
        <f t="shared" ref="AC127" si="448">SUM(AC122:AC126)</f>
        <v>4596.97</v>
      </c>
      <c r="AD127" s="923">
        <f t="shared" ref="AD127" si="449">+Y127+AA127+AC127</f>
        <v>20905.039999999997</v>
      </c>
      <c r="AE127" s="775">
        <f t="shared" ref="AE127" si="450">+W127+AD127</f>
        <v>43644</v>
      </c>
      <c r="AF127" s="2583">
        <f>SUM(AF122:AF126)</f>
        <v>62488.459999999992</v>
      </c>
    </row>
    <row r="128" spans="4:38" ht="35" hidden="1" customHeight="1" x14ac:dyDescent="0.25">
      <c r="D128" s="665"/>
      <c r="E128" s="568" t="s">
        <v>453</v>
      </c>
      <c r="F128" s="569"/>
      <c r="G128" s="569"/>
      <c r="H128" s="3607"/>
      <c r="I128" s="569"/>
      <c r="J128" s="3607"/>
      <c r="K128" s="569"/>
      <c r="L128" s="3607"/>
      <c r="M128" s="569"/>
      <c r="N128" s="569"/>
      <c r="O128" s="569"/>
      <c r="P128" s="766"/>
      <c r="Q128" s="766"/>
      <c r="R128" s="569"/>
      <c r="S128" s="766"/>
      <c r="T128" s="569"/>
      <c r="U128" s="766"/>
      <c r="V128" s="569"/>
      <c r="W128" s="766"/>
      <c r="X128" s="766"/>
      <c r="Y128" s="569"/>
      <c r="Z128" s="766"/>
      <c r="AA128" s="569"/>
      <c r="AB128" s="766"/>
      <c r="AC128" s="569"/>
      <c r="AD128" s="766"/>
      <c r="AE128" s="766"/>
      <c r="AF128" s="766"/>
    </row>
    <row r="129" spans="3:75" ht="35" hidden="1" customHeight="1" x14ac:dyDescent="0.25">
      <c r="D129" s="665"/>
      <c r="E129" s="696" t="s">
        <v>246</v>
      </c>
      <c r="F129" s="3245"/>
      <c r="G129" s="3245"/>
      <c r="H129" s="712">
        <f>+F129+G129</f>
        <v>0</v>
      </c>
      <c r="I129" s="3245"/>
      <c r="J129" s="713">
        <f>+H129+I129</f>
        <v>0</v>
      </c>
      <c r="K129" s="3245"/>
      <c r="L129" s="712">
        <f>+J129+K129</f>
        <v>0</v>
      </c>
      <c r="M129" s="3245">
        <v>19437.500000000018</v>
      </c>
      <c r="N129" s="714">
        <f>SUM(L129:M129)</f>
        <v>19437.500000000018</v>
      </c>
      <c r="O129" s="3245">
        <v>3697.0200000000004</v>
      </c>
      <c r="P129" s="815">
        <f t="shared" ref="P129:P131" si="451">+K129+M129+O129</f>
        <v>23134.520000000019</v>
      </c>
      <c r="Q129" s="773">
        <f t="shared" si="313"/>
        <v>23134.520000000019</v>
      </c>
      <c r="R129" s="3245">
        <v>11090.620000000006</v>
      </c>
      <c r="S129" s="821">
        <f t="shared" ref="S129:U131" si="452">SUM(Q129:R129)</f>
        <v>34225.140000000029</v>
      </c>
      <c r="T129" s="3245">
        <v>10093.960000000001</v>
      </c>
      <c r="U129" s="821">
        <f t="shared" si="452"/>
        <v>44319.100000000028</v>
      </c>
      <c r="V129" s="3245">
        <v>14848.460000000003</v>
      </c>
      <c r="W129" s="1177">
        <f t="shared" ref="W129:W131" si="453">+R129+T129+V129</f>
        <v>36033.040000000008</v>
      </c>
      <c r="X129" s="714">
        <f t="shared" ref="X129:X131" si="454">+U129+V129</f>
        <v>59167.560000000027</v>
      </c>
      <c r="Y129" s="3245">
        <v>7454.7000000000016</v>
      </c>
      <c r="Z129" s="821">
        <f t="shared" ref="Z129:Z131" si="455">SUM(X129:Y129)</f>
        <v>66622.260000000024</v>
      </c>
      <c r="AA129" s="3245">
        <v>5674.7200000000012</v>
      </c>
      <c r="AB129" s="821">
        <f t="shared" ref="AB129:AB131" si="456">SUM(Z129:AA129)</f>
        <v>72296.980000000025</v>
      </c>
      <c r="AC129" s="3245">
        <v>3696.5999999999995</v>
      </c>
      <c r="AD129" s="718">
        <f t="shared" ref="AD129:AD131" si="457">+Y129+AA129+AC129</f>
        <v>16826.02</v>
      </c>
      <c r="AE129" s="1296">
        <f t="shared" ref="AE129:AE131" si="458">+W129+AD129</f>
        <v>52859.060000000012</v>
      </c>
      <c r="AF129" s="723">
        <f t="shared" ref="AF129:AF131" si="459">+AB129+AC129</f>
        <v>75993.580000000031</v>
      </c>
    </row>
    <row r="130" spans="3:75" ht="35" hidden="1" customHeight="1" x14ac:dyDescent="0.25">
      <c r="D130" s="665"/>
      <c r="E130" s="700" t="s">
        <v>250</v>
      </c>
      <c r="F130" s="3299"/>
      <c r="G130" s="3299"/>
      <c r="H130" s="712">
        <f>+F130+G130</f>
        <v>0</v>
      </c>
      <c r="I130" s="3299"/>
      <c r="J130" s="713">
        <f>+H130+I130</f>
        <v>0</v>
      </c>
      <c r="K130" s="3299"/>
      <c r="L130" s="712">
        <f>+J130+K130</f>
        <v>0</v>
      </c>
      <c r="M130" s="3299">
        <v>0</v>
      </c>
      <c r="N130" s="714">
        <f>SUM(L130:M130)</f>
        <v>0</v>
      </c>
      <c r="O130" s="3299">
        <v>0</v>
      </c>
      <c r="P130" s="815">
        <f t="shared" si="451"/>
        <v>0</v>
      </c>
      <c r="Q130" s="773">
        <f t="shared" si="313"/>
        <v>0</v>
      </c>
      <c r="R130" s="3299">
        <v>0</v>
      </c>
      <c r="S130" s="821">
        <f t="shared" si="452"/>
        <v>0</v>
      </c>
      <c r="T130" s="3299">
        <v>0</v>
      </c>
      <c r="U130" s="821">
        <f t="shared" si="452"/>
        <v>0</v>
      </c>
      <c r="V130" s="3299">
        <v>0</v>
      </c>
      <c r="W130" s="1177">
        <f t="shared" si="453"/>
        <v>0</v>
      </c>
      <c r="X130" s="714">
        <f t="shared" si="454"/>
        <v>0</v>
      </c>
      <c r="Y130" s="3299">
        <v>0</v>
      </c>
      <c r="Z130" s="821">
        <f t="shared" si="455"/>
        <v>0</v>
      </c>
      <c r="AA130" s="3299">
        <v>0</v>
      </c>
      <c r="AB130" s="821">
        <f t="shared" si="456"/>
        <v>0</v>
      </c>
      <c r="AC130" s="3299">
        <v>0</v>
      </c>
      <c r="AD130" s="718">
        <f t="shared" si="457"/>
        <v>0</v>
      </c>
      <c r="AE130" s="1296">
        <f t="shared" si="458"/>
        <v>0</v>
      </c>
      <c r="AF130" s="723">
        <f t="shared" si="459"/>
        <v>0</v>
      </c>
    </row>
    <row r="131" spans="3:75" ht="35" hidden="1" customHeight="1" thickBot="1" x14ac:dyDescent="0.3">
      <c r="D131" s="665"/>
      <c r="E131" s="700" t="s">
        <v>503</v>
      </c>
      <c r="F131" s="3297"/>
      <c r="G131" s="3297"/>
      <c r="H131" s="669">
        <f>SUM(F131:G131)</f>
        <v>0</v>
      </c>
      <c r="I131" s="3297"/>
      <c r="J131" s="2529">
        <f>SUM(H131:I131)</f>
        <v>0</v>
      </c>
      <c r="K131" s="3297"/>
      <c r="L131" s="669">
        <f>SUM(J131:K131)</f>
        <v>0</v>
      </c>
      <c r="M131" s="3297">
        <v>0</v>
      </c>
      <c r="N131" s="717">
        <f>SUM(L131:M131)</f>
        <v>0</v>
      </c>
      <c r="O131" s="3297">
        <v>0</v>
      </c>
      <c r="P131" s="815">
        <f t="shared" si="451"/>
        <v>0</v>
      </c>
      <c r="Q131" s="773">
        <f t="shared" si="313"/>
        <v>0</v>
      </c>
      <c r="R131" s="3297">
        <v>0</v>
      </c>
      <c r="S131" s="821">
        <f t="shared" si="452"/>
        <v>0</v>
      </c>
      <c r="T131" s="3297">
        <v>0</v>
      </c>
      <c r="U131" s="821">
        <f t="shared" si="452"/>
        <v>0</v>
      </c>
      <c r="V131" s="3297">
        <v>0</v>
      </c>
      <c r="W131" s="1177">
        <f t="shared" si="453"/>
        <v>0</v>
      </c>
      <c r="X131" s="714">
        <f t="shared" si="454"/>
        <v>0</v>
      </c>
      <c r="Y131" s="3297">
        <v>0</v>
      </c>
      <c r="Z131" s="821">
        <f t="shared" si="455"/>
        <v>0</v>
      </c>
      <c r="AA131" s="3297">
        <v>0</v>
      </c>
      <c r="AB131" s="821">
        <f t="shared" si="456"/>
        <v>0</v>
      </c>
      <c r="AC131" s="3297">
        <v>0</v>
      </c>
      <c r="AD131" s="718">
        <f t="shared" si="457"/>
        <v>0</v>
      </c>
      <c r="AE131" s="1296">
        <f t="shared" si="458"/>
        <v>0</v>
      </c>
      <c r="AF131" s="723">
        <f t="shared" si="459"/>
        <v>0</v>
      </c>
    </row>
    <row r="132" spans="3:75" ht="35" hidden="1" customHeight="1" thickBot="1" x14ac:dyDescent="0.3">
      <c r="D132" s="665"/>
      <c r="E132" s="703" t="s">
        <v>15</v>
      </c>
      <c r="F132" s="677">
        <f t="shared" ref="F132:G132" si="460">SUM(F129:F131)</f>
        <v>0</v>
      </c>
      <c r="G132" s="677">
        <f t="shared" si="460"/>
        <v>0</v>
      </c>
      <c r="H132" s="679">
        <f t="shared" ref="H132:L132" si="461">SUM(H129:H131)</f>
        <v>0</v>
      </c>
      <c r="I132" s="677">
        <f t="shared" si="461"/>
        <v>0</v>
      </c>
      <c r="J132" s="704">
        <f t="shared" si="461"/>
        <v>0</v>
      </c>
      <c r="K132" s="677">
        <f t="shared" si="461"/>
        <v>0</v>
      </c>
      <c r="L132" s="679">
        <f t="shared" si="461"/>
        <v>0</v>
      </c>
      <c r="M132" s="677">
        <f t="shared" ref="M132:O132" si="462">SUM(M129:M131)</f>
        <v>19437.500000000018</v>
      </c>
      <c r="N132" s="599">
        <f t="shared" ref="N132:T132" si="463">SUM(N129:N131)</f>
        <v>19437.500000000018</v>
      </c>
      <c r="O132" s="677">
        <f t="shared" si="462"/>
        <v>3697.0200000000004</v>
      </c>
      <c r="P132" s="882">
        <f t="shared" si="463"/>
        <v>23134.520000000019</v>
      </c>
      <c r="Q132" s="767">
        <f t="shared" si="463"/>
        <v>23134.520000000019</v>
      </c>
      <c r="R132" s="677">
        <f t="shared" si="463"/>
        <v>11090.620000000006</v>
      </c>
      <c r="S132" s="599">
        <f t="shared" si="463"/>
        <v>34225.140000000029</v>
      </c>
      <c r="T132" s="677">
        <f t="shared" si="463"/>
        <v>10093.960000000001</v>
      </c>
      <c r="U132" s="599">
        <f t="shared" ref="U132:V132" si="464">SUM(U129:U131)</f>
        <v>44319.100000000028</v>
      </c>
      <c r="V132" s="677">
        <f t="shared" si="464"/>
        <v>14848.460000000003</v>
      </c>
      <c r="W132" s="778">
        <f>SUM(W129:W131)</f>
        <v>36033.040000000008</v>
      </c>
      <c r="X132" s="634">
        <f>SUM(X129:X131)</f>
        <v>59167.560000000027</v>
      </c>
      <c r="Y132" s="677">
        <f t="shared" ref="Y132" si="465">SUM(Y129:Y131)</f>
        <v>7454.7000000000016</v>
      </c>
      <c r="Z132" s="599">
        <f>SUM(Z129:Z131)</f>
        <v>66622.260000000024</v>
      </c>
      <c r="AA132" s="677">
        <f t="shared" ref="AA132" si="466">SUM(AA129:AA131)</f>
        <v>5674.7200000000012</v>
      </c>
      <c r="AB132" s="634">
        <f>SUM(AB129:AB131)</f>
        <v>72296.980000000025</v>
      </c>
      <c r="AC132" s="677">
        <f t="shared" ref="AC132" si="467">SUM(AC129:AC131)</f>
        <v>3696.5999999999995</v>
      </c>
      <c r="AD132" s="573">
        <f>SUM(AD129:AD131)</f>
        <v>16826.02</v>
      </c>
      <c r="AE132" s="1294">
        <f>SUM(AE129:AE131)</f>
        <v>52859.060000000012</v>
      </c>
      <c r="AF132" s="2583">
        <f>SUM(AF129:AF131)</f>
        <v>75993.580000000031</v>
      </c>
    </row>
    <row r="133" spans="3:75" ht="35" hidden="1" customHeight="1" x14ac:dyDescent="0.25">
      <c r="C133" s="14"/>
      <c r="D133" s="665"/>
      <c r="E133" s="569" t="s">
        <v>452</v>
      </c>
      <c r="F133" s="569"/>
      <c r="G133" s="569"/>
      <c r="H133" s="3607"/>
      <c r="I133" s="569"/>
      <c r="J133" s="3607"/>
      <c r="K133" s="569"/>
      <c r="L133" s="3607"/>
      <c r="M133" s="569"/>
      <c r="N133" s="569"/>
      <c r="O133" s="569"/>
      <c r="P133" s="766"/>
      <c r="Q133" s="766"/>
      <c r="R133" s="569"/>
      <c r="S133" s="766"/>
      <c r="T133" s="569"/>
      <c r="U133" s="766"/>
      <c r="V133" s="569"/>
      <c r="W133" s="766"/>
      <c r="X133" s="766"/>
      <c r="Y133" s="569"/>
      <c r="Z133" s="766"/>
      <c r="AA133" s="569"/>
      <c r="AB133" s="766"/>
      <c r="AC133" s="569"/>
      <c r="AD133" s="766"/>
      <c r="AE133" s="766"/>
      <c r="AF133" s="766"/>
    </row>
    <row r="134" spans="3:75" ht="35" hidden="1" customHeight="1" x14ac:dyDescent="0.25">
      <c r="D134" s="665"/>
      <c r="E134" s="696" t="s">
        <v>98</v>
      </c>
      <c r="F134" s="3245"/>
      <c r="G134" s="3245"/>
      <c r="H134" s="712">
        <f>+F134+G134</f>
        <v>0</v>
      </c>
      <c r="I134" s="3245"/>
      <c r="J134" s="713">
        <f>+H134+I134</f>
        <v>0</v>
      </c>
      <c r="K134" s="3245"/>
      <c r="L134" s="712">
        <f>+J134+K134</f>
        <v>0</v>
      </c>
      <c r="M134" s="3245">
        <v>19437.500000000018</v>
      </c>
      <c r="N134" s="714">
        <f>SUM(L134:M134)</f>
        <v>19437.500000000018</v>
      </c>
      <c r="O134" s="3245">
        <v>3697.0200000000004</v>
      </c>
      <c r="P134" s="815">
        <f t="shared" ref="P134:P135" si="468">+K134+M134+O134</f>
        <v>23134.520000000019</v>
      </c>
      <c r="Q134" s="773">
        <f t="shared" si="313"/>
        <v>23134.520000000019</v>
      </c>
      <c r="R134" s="3245">
        <v>11090.620000000006</v>
      </c>
      <c r="S134" s="821">
        <f t="shared" ref="S134:U135" si="469">SUM(Q134:R134)</f>
        <v>34225.140000000029</v>
      </c>
      <c r="T134" s="3245">
        <v>10093.960000000001</v>
      </c>
      <c r="U134" s="821">
        <f t="shared" si="469"/>
        <v>44319.100000000028</v>
      </c>
      <c r="V134" s="3245">
        <v>14848.460000000003</v>
      </c>
      <c r="W134" s="1177">
        <f t="shared" ref="W134:W135" si="470">+R134+T134+V134</f>
        <v>36033.040000000008</v>
      </c>
      <c r="X134" s="714">
        <f t="shared" ref="X134:X135" si="471">+U134+V134</f>
        <v>59167.560000000027</v>
      </c>
      <c r="Y134" s="3245">
        <v>7454.7000000000016</v>
      </c>
      <c r="Z134" s="821">
        <f t="shared" ref="Z134:Z135" si="472">SUM(X134:Y134)</f>
        <v>66622.260000000024</v>
      </c>
      <c r="AA134" s="3245">
        <v>5674.7200000000012</v>
      </c>
      <c r="AB134" s="821">
        <f>SUM(Z134:AA134)</f>
        <v>72296.980000000025</v>
      </c>
      <c r="AC134" s="3245">
        <v>3696.5999999999995</v>
      </c>
      <c r="AD134" s="718">
        <f t="shared" ref="AD134:AD135" si="473">+Y134+AA134+AC134</f>
        <v>16826.02</v>
      </c>
      <c r="AE134" s="1296">
        <f t="shared" ref="AE134:AE135" si="474">+W134+AD134</f>
        <v>52859.060000000012</v>
      </c>
      <c r="AF134" s="723">
        <f t="shared" ref="AF134:AF135" si="475">+AB134+AC134</f>
        <v>75993.580000000031</v>
      </c>
    </row>
    <row r="135" spans="3:75" ht="35" hidden="1" customHeight="1" thickBot="1" x14ac:dyDescent="0.3">
      <c r="D135" s="665"/>
      <c r="E135" s="700" t="s">
        <v>99</v>
      </c>
      <c r="F135" s="3297"/>
      <c r="G135" s="3297"/>
      <c r="H135" s="669">
        <f>SUM(F135:G135)</f>
        <v>0</v>
      </c>
      <c r="I135" s="3297"/>
      <c r="J135" s="2529">
        <f>SUM(H135:I135)</f>
        <v>0</v>
      </c>
      <c r="K135" s="3297"/>
      <c r="L135" s="669">
        <f>SUM(J135:K135)</f>
        <v>0</v>
      </c>
      <c r="M135" s="3297">
        <v>0</v>
      </c>
      <c r="N135" s="717">
        <f>SUM(L135:M135)</f>
        <v>0</v>
      </c>
      <c r="O135" s="3297">
        <v>0</v>
      </c>
      <c r="P135" s="815">
        <f t="shared" si="468"/>
        <v>0</v>
      </c>
      <c r="Q135" s="773">
        <f t="shared" si="313"/>
        <v>0</v>
      </c>
      <c r="R135" s="3297">
        <v>0</v>
      </c>
      <c r="S135" s="821">
        <f t="shared" si="469"/>
        <v>0</v>
      </c>
      <c r="T135" s="3297">
        <v>0</v>
      </c>
      <c r="U135" s="821">
        <f t="shared" si="469"/>
        <v>0</v>
      </c>
      <c r="V135" s="3297">
        <v>0</v>
      </c>
      <c r="W135" s="1176">
        <f t="shared" si="470"/>
        <v>0</v>
      </c>
      <c r="X135" s="714">
        <f t="shared" si="471"/>
        <v>0</v>
      </c>
      <c r="Y135" s="3297">
        <v>0</v>
      </c>
      <c r="Z135" s="821">
        <f t="shared" si="472"/>
        <v>0</v>
      </c>
      <c r="AA135" s="3297">
        <v>0</v>
      </c>
      <c r="AB135" s="821">
        <f t="shared" ref="AB135" si="476">SUM(Z135:AA135)</f>
        <v>0</v>
      </c>
      <c r="AC135" s="3297">
        <v>0</v>
      </c>
      <c r="AD135" s="718">
        <f t="shared" si="473"/>
        <v>0</v>
      </c>
      <c r="AE135" s="1296">
        <f t="shared" si="474"/>
        <v>0</v>
      </c>
      <c r="AF135" s="723">
        <f t="shared" si="475"/>
        <v>0</v>
      </c>
    </row>
    <row r="136" spans="3:75" ht="35" hidden="1" customHeight="1" thickBot="1" x14ac:dyDescent="0.3">
      <c r="D136" s="665"/>
      <c r="E136" s="703" t="s">
        <v>15</v>
      </c>
      <c r="F136" s="677">
        <f t="shared" ref="F136:G136" si="477">SUM(F134:F135)</f>
        <v>0</v>
      </c>
      <c r="G136" s="677">
        <f t="shared" si="477"/>
        <v>0</v>
      </c>
      <c r="H136" s="679">
        <f t="shared" ref="H136:L136" si="478">SUM(H134:H135)</f>
        <v>0</v>
      </c>
      <c r="I136" s="677">
        <f t="shared" si="478"/>
        <v>0</v>
      </c>
      <c r="J136" s="704">
        <f t="shared" si="478"/>
        <v>0</v>
      </c>
      <c r="K136" s="677">
        <f t="shared" si="478"/>
        <v>0</v>
      </c>
      <c r="L136" s="679">
        <f t="shared" si="478"/>
        <v>0</v>
      </c>
      <c r="M136" s="677">
        <f t="shared" ref="M136:O136" si="479">SUM(M134:M135)</f>
        <v>19437.500000000018</v>
      </c>
      <c r="N136" s="599">
        <f t="shared" ref="N136:T136" si="480">SUM(N134:N135)</f>
        <v>19437.500000000018</v>
      </c>
      <c r="O136" s="677">
        <f t="shared" si="479"/>
        <v>3697.0200000000004</v>
      </c>
      <c r="P136" s="882">
        <f t="shared" si="480"/>
        <v>23134.520000000019</v>
      </c>
      <c r="Q136" s="767">
        <f t="shared" si="480"/>
        <v>23134.520000000019</v>
      </c>
      <c r="R136" s="677">
        <f t="shared" si="480"/>
        <v>11090.620000000006</v>
      </c>
      <c r="S136" s="599">
        <f t="shared" si="480"/>
        <v>34225.140000000029</v>
      </c>
      <c r="T136" s="677">
        <f t="shared" si="480"/>
        <v>10093.960000000001</v>
      </c>
      <c r="U136" s="599">
        <f t="shared" ref="U136:V136" si="481">SUM(U134:U135)</f>
        <v>44319.100000000028</v>
      </c>
      <c r="V136" s="677">
        <f t="shared" si="481"/>
        <v>14848.460000000003</v>
      </c>
      <c r="W136" s="778">
        <f>SUM(W134:W135)</f>
        <v>36033.040000000008</v>
      </c>
      <c r="X136" s="634">
        <f>SUM(X134:X135)</f>
        <v>59167.560000000027</v>
      </c>
      <c r="Y136" s="677">
        <f t="shared" ref="Y136" si="482">SUM(Y134:Y135)</f>
        <v>7454.7000000000016</v>
      </c>
      <c r="Z136" s="599">
        <f>SUM(Z134:Z135)</f>
        <v>66622.260000000024</v>
      </c>
      <c r="AA136" s="677">
        <f t="shared" ref="AA136" si="483">SUM(AA134:AA135)</f>
        <v>5674.7200000000012</v>
      </c>
      <c r="AB136" s="634">
        <f>SUM(AB134:AB135)</f>
        <v>72296.980000000025</v>
      </c>
      <c r="AC136" s="677">
        <f t="shared" ref="AC136" si="484">SUM(AC134:AC135)</f>
        <v>3696.5999999999995</v>
      </c>
      <c r="AD136" s="573">
        <f>SUM(AD134:AD135)</f>
        <v>16826.02</v>
      </c>
      <c r="AE136" s="1294">
        <f>SUM(AE134:AE135)</f>
        <v>52859.060000000012</v>
      </c>
      <c r="AF136" s="2583">
        <f>SUM(AF134:AF135)</f>
        <v>75993.580000000031</v>
      </c>
    </row>
    <row r="137" spans="3:75" ht="35" hidden="1" customHeight="1" x14ac:dyDescent="0.25">
      <c r="D137" s="665"/>
      <c r="E137" s="569" t="s">
        <v>454</v>
      </c>
      <c r="F137" s="569"/>
      <c r="G137" s="569"/>
      <c r="H137" s="3607"/>
      <c r="I137" s="569"/>
      <c r="J137" s="3607"/>
      <c r="K137" s="569"/>
      <c r="L137" s="3607"/>
      <c r="M137" s="569"/>
      <c r="N137" s="569"/>
      <c r="O137" s="569"/>
      <c r="P137" s="766"/>
      <c r="Q137" s="766"/>
      <c r="R137" s="569"/>
      <c r="S137" s="766"/>
      <c r="T137" s="569"/>
      <c r="U137" s="766"/>
      <c r="V137" s="569"/>
      <c r="W137" s="766"/>
      <c r="X137" s="766"/>
      <c r="Y137" s="569"/>
      <c r="Z137" s="766"/>
      <c r="AA137" s="569"/>
      <c r="AB137" s="766"/>
      <c r="AC137" s="569"/>
      <c r="AD137" s="766"/>
      <c r="AE137" s="766"/>
      <c r="AF137" s="766"/>
    </row>
    <row r="138" spans="3:75" ht="35" hidden="1" customHeight="1" x14ac:dyDescent="0.25">
      <c r="D138" s="665"/>
      <c r="E138" s="696" t="s">
        <v>1498</v>
      </c>
      <c r="F138" s="3296"/>
      <c r="G138" s="3296"/>
      <c r="H138" s="686">
        <f>SUM(F138:G138)</f>
        <v>0</v>
      </c>
      <c r="I138" s="3296"/>
      <c r="J138" s="815">
        <f>SUM(H138:I138)</f>
        <v>0</v>
      </c>
      <c r="K138" s="3296"/>
      <c r="L138" s="821">
        <f>SUM(J138:K138)</f>
        <v>0</v>
      </c>
      <c r="M138" s="3296">
        <v>19437.500000000018</v>
      </c>
      <c r="N138" s="714">
        <f>SUM(L138:M138)</f>
        <v>19437.500000000018</v>
      </c>
      <c r="O138" s="3296">
        <v>3697.0200000000004</v>
      </c>
      <c r="P138" s="815">
        <f t="shared" ref="P138:P139" si="485">+K138+M138+O138</f>
        <v>23134.520000000019</v>
      </c>
      <c r="Q138" s="773">
        <f t="shared" si="313"/>
        <v>23134.520000000019</v>
      </c>
      <c r="R138" s="3296">
        <v>11090.620000000006</v>
      </c>
      <c r="S138" s="821">
        <f t="shared" ref="S138:U139" si="486">SUM(Q138:R138)</f>
        <v>34225.140000000029</v>
      </c>
      <c r="T138" s="3296">
        <v>10093.960000000001</v>
      </c>
      <c r="U138" s="821">
        <f t="shared" si="486"/>
        <v>44319.100000000028</v>
      </c>
      <c r="V138" s="3296">
        <v>14848.460000000003</v>
      </c>
      <c r="W138" s="1177">
        <f t="shared" ref="W138:W145" si="487">+R138+T138+V138</f>
        <v>36033.040000000008</v>
      </c>
      <c r="X138" s="714">
        <f t="shared" ref="X138:X145" si="488">+U138+V138</f>
        <v>59167.560000000027</v>
      </c>
      <c r="Y138" s="3296">
        <v>7454.7000000000016</v>
      </c>
      <c r="Z138" s="821">
        <f t="shared" ref="Z138" si="489">SUM(X138:Y138)</f>
        <v>66622.260000000024</v>
      </c>
      <c r="AA138" s="3296">
        <v>5674.7200000000012</v>
      </c>
      <c r="AB138" s="821">
        <f t="shared" ref="AB138:AB139" si="490">SUM(Z138:AA138)</f>
        <v>72296.980000000025</v>
      </c>
      <c r="AC138" s="3245">
        <v>3696.5999999999995</v>
      </c>
      <c r="AD138" s="718">
        <f t="shared" ref="AD138:AD139" si="491">+Y138+AA138+AC138</f>
        <v>16826.02</v>
      </c>
      <c r="AE138" s="1296">
        <f t="shared" ref="AE138:AE139" si="492">+W138+AD138</f>
        <v>52859.060000000012</v>
      </c>
      <c r="AF138" s="723">
        <f t="shared" ref="AF138:AF139" si="493">+AB138+AC138</f>
        <v>75993.580000000031</v>
      </c>
    </row>
    <row r="139" spans="3:75" ht="35" hidden="1" customHeight="1" thickBot="1" x14ac:dyDescent="0.3">
      <c r="D139" s="665"/>
      <c r="E139" s="722" t="s">
        <v>95</v>
      </c>
      <c r="F139" s="3300"/>
      <c r="G139" s="3300"/>
      <c r="H139" s="686">
        <f t="shared" ref="H139" si="494">SUM(F139:G139)</f>
        <v>0</v>
      </c>
      <c r="I139" s="3300"/>
      <c r="J139" s="815">
        <f t="shared" ref="J139" si="495">SUM(H139:I139)</f>
        <v>0</v>
      </c>
      <c r="K139" s="3300"/>
      <c r="L139" s="686">
        <f t="shared" ref="L139" si="496">SUM(J139:K139)</f>
        <v>0</v>
      </c>
      <c r="M139" s="3300">
        <v>0</v>
      </c>
      <c r="N139" s="717">
        <f>SUM(L139:M139)</f>
        <v>0</v>
      </c>
      <c r="O139" s="3300">
        <v>0</v>
      </c>
      <c r="P139" s="815">
        <f t="shared" si="485"/>
        <v>0</v>
      </c>
      <c r="Q139" s="773">
        <f t="shared" si="313"/>
        <v>0</v>
      </c>
      <c r="R139" s="3300">
        <v>0</v>
      </c>
      <c r="S139" s="821">
        <f t="shared" si="486"/>
        <v>0</v>
      </c>
      <c r="T139" s="3300">
        <v>0</v>
      </c>
      <c r="U139" s="821">
        <f t="shared" si="486"/>
        <v>0</v>
      </c>
      <c r="V139" s="3300">
        <v>0</v>
      </c>
      <c r="W139" s="1176">
        <f t="shared" si="487"/>
        <v>0</v>
      </c>
      <c r="X139" s="714">
        <f t="shared" si="488"/>
        <v>0</v>
      </c>
      <c r="Y139" s="3300">
        <v>0</v>
      </c>
      <c r="Z139" s="821">
        <f t="shared" ref="Z139" si="497">SUM(X139:Y139)</f>
        <v>0</v>
      </c>
      <c r="AA139" s="3300">
        <v>0</v>
      </c>
      <c r="AB139" s="821">
        <f t="shared" si="490"/>
        <v>0</v>
      </c>
      <c r="AC139" s="3300">
        <v>0</v>
      </c>
      <c r="AD139" s="718">
        <f t="shared" si="491"/>
        <v>0</v>
      </c>
      <c r="AE139" s="1296">
        <f t="shared" si="492"/>
        <v>0</v>
      </c>
      <c r="AF139" s="723">
        <f t="shared" si="493"/>
        <v>0</v>
      </c>
    </row>
    <row r="140" spans="3:75" ht="35" hidden="1" customHeight="1" thickBot="1" x14ac:dyDescent="0.3">
      <c r="D140" s="665"/>
      <c r="E140" s="703" t="s">
        <v>15</v>
      </c>
      <c r="F140" s="677">
        <f t="shared" ref="F140:G140" si="498">SUM(F138:F139)</f>
        <v>0</v>
      </c>
      <c r="G140" s="677">
        <f t="shared" si="498"/>
        <v>0</v>
      </c>
      <c r="H140" s="679">
        <f t="shared" ref="H140:L140" si="499">SUM(H138:H139)</f>
        <v>0</v>
      </c>
      <c r="I140" s="677">
        <f t="shared" si="499"/>
        <v>0</v>
      </c>
      <c r="J140" s="704">
        <f t="shared" si="499"/>
        <v>0</v>
      </c>
      <c r="K140" s="677">
        <f t="shared" si="499"/>
        <v>0</v>
      </c>
      <c r="L140" s="679">
        <f t="shared" si="499"/>
        <v>0</v>
      </c>
      <c r="M140" s="677">
        <f t="shared" ref="M140:O140" si="500">SUM(M138:M139)</f>
        <v>19437.500000000018</v>
      </c>
      <c r="N140" s="599">
        <f t="shared" ref="N140:T140" si="501">SUM(N138:N139)</f>
        <v>19437.500000000018</v>
      </c>
      <c r="O140" s="677">
        <f t="shared" si="500"/>
        <v>3697.0200000000004</v>
      </c>
      <c r="P140" s="882">
        <f t="shared" si="501"/>
        <v>23134.520000000019</v>
      </c>
      <c r="Q140" s="767">
        <f t="shared" si="501"/>
        <v>23134.520000000019</v>
      </c>
      <c r="R140" s="677">
        <f t="shared" si="501"/>
        <v>11090.620000000006</v>
      </c>
      <c r="S140" s="599">
        <f t="shared" si="501"/>
        <v>34225.140000000029</v>
      </c>
      <c r="T140" s="677">
        <f t="shared" si="501"/>
        <v>10093.960000000001</v>
      </c>
      <c r="U140" s="599">
        <f t="shared" ref="U140:V140" si="502">SUM(U138:U139)</f>
        <v>44319.100000000028</v>
      </c>
      <c r="V140" s="677">
        <f t="shared" si="502"/>
        <v>14848.460000000003</v>
      </c>
      <c r="W140" s="778">
        <f>SUM(W138:W139)</f>
        <v>36033.040000000008</v>
      </c>
      <c r="X140" s="634">
        <f>SUM(X138:X139)</f>
        <v>59167.560000000027</v>
      </c>
      <c r="Y140" s="677">
        <f t="shared" ref="Y140" si="503">SUM(Y138:Y139)</f>
        <v>7454.7000000000016</v>
      </c>
      <c r="Z140" s="599">
        <f>SUM(Z138:Z139)</f>
        <v>66622.260000000024</v>
      </c>
      <c r="AA140" s="677">
        <f t="shared" ref="AA140" si="504">SUM(AA138:AA139)</f>
        <v>5674.7200000000012</v>
      </c>
      <c r="AB140" s="634">
        <f>SUM(AB138:AB139)</f>
        <v>72296.980000000025</v>
      </c>
      <c r="AC140" s="677">
        <f t="shared" ref="AC140" si="505">SUM(AC138:AC139)</f>
        <v>3696.5999999999995</v>
      </c>
      <c r="AD140" s="573">
        <f>SUM(AD138:AD139)</f>
        <v>16826.02</v>
      </c>
      <c r="AE140" s="1294">
        <f>SUM(AE138:AE139)</f>
        <v>52859.060000000012</v>
      </c>
      <c r="AF140" s="2583">
        <f>SUM(AF138:AF139)</f>
        <v>75993.580000000031</v>
      </c>
    </row>
    <row r="141" spans="3:75" ht="35" hidden="1" customHeight="1" thickBot="1" x14ac:dyDescent="0.3">
      <c r="D141" s="665"/>
      <c r="E141" s="4534" t="s">
        <v>455</v>
      </c>
      <c r="F141" s="4535"/>
      <c r="G141" s="4535"/>
      <c r="H141" s="669">
        <f>SUM(F141:G141)</f>
        <v>0</v>
      </c>
      <c r="I141" s="4535"/>
      <c r="J141" s="2529">
        <f>SUM(H141:I141)</f>
        <v>0</v>
      </c>
      <c r="K141" s="4535"/>
      <c r="L141" s="669">
        <f>SUM(J141:K141)</f>
        <v>0</v>
      </c>
      <c r="M141" s="4535">
        <v>0</v>
      </c>
      <c r="N141" s="776">
        <f>SUM(L141:M141)</f>
        <v>0</v>
      </c>
      <c r="O141" s="4535">
        <v>0</v>
      </c>
      <c r="P141" s="2529">
        <f t="shared" ref="P141" si="506">+K141+M141+O141</f>
        <v>0</v>
      </c>
      <c r="Q141" s="4536">
        <f t="shared" si="313"/>
        <v>0</v>
      </c>
      <c r="R141" s="4535">
        <v>0</v>
      </c>
      <c r="S141" s="675">
        <f t="shared" ref="S141:U141" si="507">SUM(Q141:R141)</f>
        <v>0</v>
      </c>
      <c r="T141" s="4535">
        <v>0</v>
      </c>
      <c r="U141" s="675">
        <f t="shared" si="507"/>
        <v>0</v>
      </c>
      <c r="V141" s="4535">
        <v>0</v>
      </c>
      <c r="W141" s="1425">
        <f t="shared" si="487"/>
        <v>0</v>
      </c>
      <c r="X141" s="776">
        <f t="shared" si="488"/>
        <v>0</v>
      </c>
      <c r="Y141" s="4535">
        <v>0</v>
      </c>
      <c r="Z141" s="675">
        <f t="shared" ref="Z141:AB141" si="508">SUM(X141:Y141)</f>
        <v>0</v>
      </c>
      <c r="AA141" s="4535">
        <v>0</v>
      </c>
      <c r="AB141" s="4537">
        <f t="shared" si="508"/>
        <v>0</v>
      </c>
      <c r="AC141" s="4535">
        <v>0</v>
      </c>
      <c r="AD141" s="718">
        <f t="shared" ref="AD141" si="509">+Y141+AA141+AC141</f>
        <v>0</v>
      </c>
      <c r="AE141" s="1296">
        <f t="shared" ref="AE141" si="510">+W141+AD141</f>
        <v>0</v>
      </c>
      <c r="AF141" s="4538">
        <f t="shared" ref="AF141" si="511">+AB141+AC141</f>
        <v>0</v>
      </c>
    </row>
    <row r="142" spans="3:75" s="3170" customFormat="1" ht="61" hidden="1" thickBot="1" x14ac:dyDescent="0.3">
      <c r="D142" s="4631"/>
      <c r="E142" s="4632" t="s">
        <v>1529</v>
      </c>
      <c r="F142" s="4633"/>
      <c r="G142" s="4633"/>
      <c r="H142" s="4633"/>
      <c r="I142" s="4633"/>
      <c r="J142" s="4634"/>
      <c r="K142" s="4633"/>
      <c r="L142" s="4633"/>
      <c r="M142" s="4633"/>
      <c r="N142" s="4635"/>
      <c r="O142" s="4633"/>
      <c r="P142" s="4634"/>
      <c r="Q142" s="4633"/>
      <c r="R142" s="4633"/>
      <c r="S142" s="4633"/>
      <c r="T142" s="4633"/>
      <c r="U142" s="4633"/>
      <c r="V142" s="4633"/>
      <c r="W142" s="4635"/>
      <c r="X142" s="4635"/>
      <c r="Y142" s="4633"/>
      <c r="Z142" s="4633"/>
      <c r="AA142" s="4633"/>
      <c r="AB142" s="4635"/>
      <c r="AC142" s="4633"/>
      <c r="AD142" s="4636"/>
      <c r="AE142" s="4636"/>
      <c r="AF142" s="4633"/>
      <c r="AG142" s="4756"/>
      <c r="AH142" s="4756"/>
      <c r="AI142" s="4756"/>
      <c r="AJ142" s="4756"/>
      <c r="AK142" s="4756"/>
      <c r="AL142" s="4756"/>
      <c r="AM142" s="3704"/>
      <c r="AN142" s="3704"/>
      <c r="AO142" s="3704"/>
      <c r="AP142" s="3704"/>
      <c r="AQ142" s="3704"/>
      <c r="AR142" s="3704"/>
      <c r="AS142" s="3704"/>
      <c r="AT142" s="3704"/>
      <c r="AU142" s="3704"/>
      <c r="AV142" s="3704"/>
      <c r="AW142" s="3704"/>
      <c r="AX142" s="3704"/>
      <c r="AY142" s="3704"/>
      <c r="AZ142" s="3704"/>
      <c r="BA142" s="3704"/>
      <c r="BB142" s="3704"/>
      <c r="BC142" s="3704"/>
      <c r="BD142" s="3704"/>
      <c r="BE142" s="3704"/>
      <c r="BF142" s="3704"/>
      <c r="BG142" s="3704"/>
      <c r="BH142" s="3704"/>
      <c r="BI142" s="3704"/>
      <c r="BJ142" s="3704"/>
      <c r="BK142" s="3704"/>
      <c r="BL142" s="3704"/>
      <c r="BM142" s="3704"/>
      <c r="BN142" s="3704"/>
      <c r="BO142" s="3704"/>
      <c r="BP142" s="3704"/>
      <c r="BQ142" s="3704"/>
      <c r="BR142" s="3704"/>
      <c r="BS142" s="3704"/>
      <c r="BT142" s="3704"/>
      <c r="BU142" s="3704"/>
      <c r="BV142" s="3704"/>
      <c r="BW142" s="4637"/>
    </row>
    <row r="143" spans="3:75" ht="35" hidden="1" customHeight="1" x14ac:dyDescent="0.25">
      <c r="D143" s="3006"/>
      <c r="E143" s="4546" t="s">
        <v>1270</v>
      </c>
      <c r="F143" s="569"/>
      <c r="G143" s="569"/>
      <c r="H143" s="3607"/>
      <c r="I143" s="569"/>
      <c r="J143" s="3607"/>
      <c r="K143" s="569"/>
      <c r="L143" s="3607"/>
      <c r="M143" s="569"/>
      <c r="N143" s="569"/>
      <c r="O143" s="569"/>
      <c r="P143" s="766"/>
      <c r="Q143" s="766"/>
      <c r="R143" s="569"/>
      <c r="S143" s="766"/>
      <c r="T143" s="569"/>
      <c r="U143" s="766"/>
      <c r="V143" s="569"/>
      <c r="W143" s="766"/>
      <c r="X143" s="766"/>
      <c r="Y143" s="569"/>
      <c r="Z143" s="766"/>
      <c r="AA143" s="569"/>
      <c r="AB143" s="766"/>
      <c r="AC143" s="569"/>
      <c r="AD143" s="766"/>
      <c r="AE143" s="766"/>
      <c r="AF143" s="766"/>
      <c r="AM143" s="4527"/>
      <c r="AN143" s="4527"/>
      <c r="AO143" s="4527"/>
      <c r="AP143" s="4527"/>
      <c r="AQ143" s="4527"/>
      <c r="AR143" s="4527"/>
      <c r="AS143" s="4527"/>
      <c r="AT143" s="4527"/>
      <c r="AU143" s="4527"/>
      <c r="AV143" s="4527"/>
      <c r="AW143" s="4527"/>
      <c r="AX143" s="4527"/>
      <c r="AY143" s="4527"/>
      <c r="AZ143" s="4527"/>
      <c r="BA143" s="4527"/>
      <c r="BB143" s="4527"/>
      <c r="BC143" s="4527"/>
      <c r="BD143" s="4527"/>
      <c r="BE143" s="4527"/>
      <c r="BF143" s="4527"/>
      <c r="BG143" s="4527"/>
      <c r="BH143" s="4527"/>
      <c r="BI143" s="4527"/>
      <c r="BJ143" s="4527"/>
      <c r="BK143" s="4527"/>
      <c r="BL143" s="4527"/>
      <c r="BM143" s="4527"/>
      <c r="BN143" s="4527"/>
      <c r="BO143" s="4527"/>
      <c r="BP143" s="4527"/>
      <c r="BQ143" s="4527"/>
      <c r="BR143" s="4527"/>
      <c r="BS143" s="4527"/>
      <c r="BT143" s="4527"/>
      <c r="BU143" s="4527"/>
      <c r="BV143" s="4527"/>
      <c r="BW143" s="16"/>
    </row>
    <row r="144" spans="3:75" ht="35" hidden="1" customHeight="1" x14ac:dyDescent="0.25">
      <c r="D144" s="3006"/>
      <c r="E144" s="4547" t="s">
        <v>98</v>
      </c>
      <c r="F144" s="3245"/>
      <c r="G144" s="3245"/>
      <c r="H144" s="712">
        <f>+F144+G144</f>
        <v>0</v>
      </c>
      <c r="I144" s="3245"/>
      <c r="J144" s="713">
        <f>+H144+I144</f>
        <v>0</v>
      </c>
      <c r="K144" s="3245"/>
      <c r="L144" s="712">
        <f>+J144+K144</f>
        <v>0</v>
      </c>
      <c r="M144" s="3245">
        <v>0</v>
      </c>
      <c r="N144" s="714">
        <f>SUM(L144:M144)</f>
        <v>0</v>
      </c>
      <c r="O144" s="3245">
        <v>0</v>
      </c>
      <c r="P144" s="815">
        <f t="shared" ref="P144:P145" si="512">+K144+M144+O144</f>
        <v>0</v>
      </c>
      <c r="Q144" s="773">
        <f t="shared" si="313"/>
        <v>0</v>
      </c>
      <c r="R144" s="3245">
        <v>0</v>
      </c>
      <c r="S144" s="821">
        <f t="shared" ref="S144:U145" si="513">SUM(Q144:R144)</f>
        <v>0</v>
      </c>
      <c r="T144" s="3245">
        <v>0</v>
      </c>
      <c r="U144" s="821">
        <f t="shared" si="513"/>
        <v>0</v>
      </c>
      <c r="V144" s="3245">
        <v>0</v>
      </c>
      <c r="W144" s="1088">
        <f t="shared" si="487"/>
        <v>0</v>
      </c>
      <c r="X144" s="714">
        <f t="shared" si="488"/>
        <v>0</v>
      </c>
      <c r="Y144" s="3245">
        <v>0</v>
      </c>
      <c r="Z144" s="821">
        <f t="shared" ref="Z144" si="514">SUM(X144:Y144)</f>
        <v>0</v>
      </c>
      <c r="AA144" s="3245">
        <v>0</v>
      </c>
      <c r="AB144" s="821">
        <f t="shared" ref="AB144:AB145" si="515">SUM(Z144:AA144)</f>
        <v>0</v>
      </c>
      <c r="AC144" s="3245">
        <v>0</v>
      </c>
      <c r="AD144" s="718">
        <f t="shared" ref="AD144:AD145" si="516">+Y144+AA144+AC144</f>
        <v>0</v>
      </c>
      <c r="AE144" s="1296">
        <f t="shared" ref="AE144:AE145" si="517">+W144+AD144</f>
        <v>0</v>
      </c>
      <c r="AF144" s="723">
        <f t="shared" ref="AF144:AF145" si="518">+AB144+AC144</f>
        <v>0</v>
      </c>
      <c r="AM144" s="4527"/>
      <c r="AN144" s="4527"/>
      <c r="AO144" s="4527"/>
      <c r="AP144" s="4527"/>
      <c r="AQ144" s="4527"/>
      <c r="AR144" s="4527"/>
      <c r="AS144" s="4527"/>
      <c r="AT144" s="4527"/>
      <c r="AU144" s="4527"/>
      <c r="AV144" s="4527"/>
      <c r="AW144" s="4527"/>
      <c r="AX144" s="4527"/>
      <c r="AY144" s="4527"/>
      <c r="AZ144" s="4527"/>
      <c r="BA144" s="4527"/>
      <c r="BB144" s="4527"/>
      <c r="BC144" s="4527"/>
      <c r="BD144" s="4527"/>
      <c r="BE144" s="4527"/>
      <c r="BF144" s="4527"/>
      <c r="BG144" s="4527"/>
      <c r="BH144" s="4527"/>
      <c r="BI144" s="4527"/>
      <c r="BJ144" s="4527"/>
      <c r="BK144" s="4527"/>
      <c r="BL144" s="4527"/>
      <c r="BM144" s="4527"/>
      <c r="BN144" s="4527"/>
      <c r="BO144" s="4527"/>
      <c r="BP144" s="4527"/>
      <c r="BQ144" s="4527"/>
      <c r="BR144" s="4527"/>
      <c r="BS144" s="4527"/>
      <c r="BT144" s="4527"/>
      <c r="BU144" s="4527"/>
      <c r="BV144" s="4527"/>
      <c r="BW144" s="16"/>
    </row>
    <row r="145" spans="4:75" ht="35" hidden="1" customHeight="1" thickBot="1" x14ac:dyDescent="0.3">
      <c r="D145" s="3006"/>
      <c r="E145" s="4548" t="s">
        <v>99</v>
      </c>
      <c r="F145" s="3754">
        <f>+F122</f>
        <v>0</v>
      </c>
      <c r="G145" s="3754">
        <f>+G122</f>
        <v>0</v>
      </c>
      <c r="H145" s="669">
        <f>SUM(F145:G145)</f>
        <v>0</v>
      </c>
      <c r="I145" s="3754">
        <f>+I122</f>
        <v>0</v>
      </c>
      <c r="J145" s="2529">
        <f>SUM(H145:I145)</f>
        <v>0</v>
      </c>
      <c r="K145" s="3754">
        <f>+K122</f>
        <v>0</v>
      </c>
      <c r="L145" s="673">
        <f>SUM(J145:K145)</f>
        <v>0</v>
      </c>
      <c r="M145" s="3754">
        <f>+M122</f>
        <v>7398.0699999999979</v>
      </c>
      <c r="N145" s="717">
        <f>SUM(L145:M145)</f>
        <v>7398.0699999999979</v>
      </c>
      <c r="O145" s="3754">
        <f>+O122</f>
        <v>6100.7999999999965</v>
      </c>
      <c r="P145" s="815">
        <f t="shared" si="512"/>
        <v>13498.869999999995</v>
      </c>
      <c r="Q145" s="773">
        <f t="shared" si="313"/>
        <v>13498.869999999995</v>
      </c>
      <c r="R145" s="3754">
        <f>+R122</f>
        <v>5690.19</v>
      </c>
      <c r="S145" s="821">
        <f t="shared" si="513"/>
        <v>19189.059999999994</v>
      </c>
      <c r="T145" s="3754">
        <f>+T122</f>
        <v>4736.9799999999996</v>
      </c>
      <c r="U145" s="821">
        <f t="shared" si="513"/>
        <v>23926.039999999994</v>
      </c>
      <c r="V145" s="3754">
        <f>+V122</f>
        <v>2905.92</v>
      </c>
      <c r="W145" s="1070">
        <f t="shared" si="487"/>
        <v>13333.089999999998</v>
      </c>
      <c r="X145" s="724">
        <f t="shared" si="488"/>
        <v>26831.959999999992</v>
      </c>
      <c r="Y145" s="3754">
        <f>+Y122</f>
        <v>4388.32</v>
      </c>
      <c r="Z145" s="821">
        <f t="shared" ref="Z145" si="519">SUM(X145:Y145)</f>
        <v>31220.279999999992</v>
      </c>
      <c r="AA145" s="3754">
        <f>+AA122</f>
        <v>2867.8199999999993</v>
      </c>
      <c r="AB145" s="821">
        <f t="shared" si="515"/>
        <v>34088.099999999991</v>
      </c>
      <c r="AC145" s="3754">
        <f>+AC122</f>
        <v>2033.0399999999997</v>
      </c>
      <c r="AD145" s="718">
        <f t="shared" si="516"/>
        <v>9289.1799999999985</v>
      </c>
      <c r="AE145" s="1296">
        <f t="shared" si="517"/>
        <v>22622.269999999997</v>
      </c>
      <c r="AF145" s="723">
        <f t="shared" si="518"/>
        <v>36121.139999999992</v>
      </c>
      <c r="AM145" s="4527"/>
      <c r="AN145" s="4527"/>
      <c r="AO145" s="4527"/>
      <c r="AP145" s="4527"/>
      <c r="AQ145" s="4527"/>
      <c r="AR145" s="4527"/>
      <c r="AS145" s="4527"/>
      <c r="AT145" s="4527"/>
      <c r="AU145" s="4527"/>
      <c r="AV145" s="4527"/>
      <c r="AW145" s="4527"/>
      <c r="AX145" s="4527"/>
      <c r="AY145" s="4527"/>
      <c r="AZ145" s="4527"/>
      <c r="BA145" s="4527"/>
      <c r="BB145" s="4527"/>
      <c r="BC145" s="4527"/>
      <c r="BD145" s="4527"/>
      <c r="BE145" s="4527"/>
      <c r="BF145" s="4527"/>
      <c r="BG145" s="4527"/>
      <c r="BH145" s="4527"/>
      <c r="BI145" s="4527"/>
      <c r="BJ145" s="4527"/>
      <c r="BK145" s="4527"/>
      <c r="BL145" s="4527"/>
      <c r="BM145" s="4527"/>
      <c r="BN145" s="4527"/>
      <c r="BO145" s="4527"/>
      <c r="BP145" s="4527"/>
      <c r="BQ145" s="4527"/>
      <c r="BR145" s="4527"/>
      <c r="BS145" s="4527"/>
      <c r="BT145" s="4527"/>
      <c r="BU145" s="4527"/>
      <c r="BV145" s="4527"/>
      <c r="BW145" s="16"/>
    </row>
    <row r="146" spans="4:75" ht="35" hidden="1" customHeight="1" thickBot="1" x14ac:dyDescent="0.3">
      <c r="D146" s="3006"/>
      <c r="E146" s="707" t="s">
        <v>15</v>
      </c>
      <c r="F146" s="677">
        <f t="shared" ref="F146:G146" si="520">SUM(F144:F145)</f>
        <v>0</v>
      </c>
      <c r="G146" s="677">
        <f t="shared" si="520"/>
        <v>0</v>
      </c>
      <c r="H146" s="679">
        <f t="shared" ref="H146:L146" si="521">SUM(H144:H145)</f>
        <v>0</v>
      </c>
      <c r="I146" s="677">
        <f t="shared" si="521"/>
        <v>0</v>
      </c>
      <c r="J146" s="704">
        <f t="shared" si="521"/>
        <v>0</v>
      </c>
      <c r="K146" s="677">
        <f t="shared" si="521"/>
        <v>0</v>
      </c>
      <c r="L146" s="679">
        <f t="shared" si="521"/>
        <v>0</v>
      </c>
      <c r="M146" s="677">
        <f t="shared" ref="M146:O146" si="522">SUM(M144:M145)</f>
        <v>7398.0699999999979</v>
      </c>
      <c r="N146" s="599">
        <f t="shared" ref="N146:U146" si="523">SUM(N144:N145)</f>
        <v>7398.0699999999979</v>
      </c>
      <c r="O146" s="677">
        <f t="shared" si="522"/>
        <v>6100.7999999999965</v>
      </c>
      <c r="P146" s="882">
        <f t="shared" si="523"/>
        <v>13498.869999999995</v>
      </c>
      <c r="Q146" s="767">
        <f t="shared" si="523"/>
        <v>13498.869999999995</v>
      </c>
      <c r="R146" s="677">
        <f t="shared" si="523"/>
        <v>5690.19</v>
      </c>
      <c r="S146" s="599">
        <f t="shared" si="523"/>
        <v>19189.059999999994</v>
      </c>
      <c r="T146" s="677">
        <f t="shared" si="523"/>
        <v>4736.9799999999996</v>
      </c>
      <c r="U146" s="599">
        <f t="shared" si="523"/>
        <v>23926.039999999994</v>
      </c>
      <c r="V146" s="677">
        <f t="shared" ref="V146" si="524">SUM(V144:V145)</f>
        <v>2905.92</v>
      </c>
      <c r="W146" s="923">
        <f t="shared" ref="W146:AB146" si="525">SUM(W144:W145)</f>
        <v>13333.089999999998</v>
      </c>
      <c r="X146" s="1239">
        <f t="shared" si="525"/>
        <v>26831.959999999992</v>
      </c>
      <c r="Y146" s="677">
        <f t="shared" si="525"/>
        <v>4388.32</v>
      </c>
      <c r="Z146" s="599">
        <f t="shared" si="525"/>
        <v>31220.279999999992</v>
      </c>
      <c r="AA146" s="677">
        <f t="shared" ref="AA146" si="526">SUM(AA144:AA145)</f>
        <v>2867.8199999999993</v>
      </c>
      <c r="AB146" s="599">
        <f t="shared" si="525"/>
        <v>34088.099999999991</v>
      </c>
      <c r="AC146" s="677">
        <f t="shared" ref="AC146" si="527">SUM(AC144:AC145)</f>
        <v>2033.0399999999997</v>
      </c>
      <c r="AD146" s="573">
        <f>SUM(AD144:AD145)</f>
        <v>9289.1799999999985</v>
      </c>
      <c r="AE146" s="1294">
        <f>SUM(AE144:AE145)</f>
        <v>22622.269999999997</v>
      </c>
      <c r="AF146" s="2583">
        <f>SUM(AF144:AF145)</f>
        <v>36121.139999999992</v>
      </c>
      <c r="AM146" s="4527"/>
      <c r="AN146" s="4527"/>
      <c r="AO146" s="4527"/>
      <c r="AP146" s="4527"/>
      <c r="AQ146" s="4527"/>
      <c r="AR146" s="4527"/>
      <c r="AS146" s="4527"/>
      <c r="AT146" s="4527"/>
      <c r="AU146" s="4527"/>
      <c r="AV146" s="4527"/>
      <c r="AW146" s="4527"/>
      <c r="AX146" s="4527"/>
      <c r="AY146" s="4527"/>
      <c r="AZ146" s="4527"/>
      <c r="BA146" s="4527"/>
      <c r="BB146" s="4527"/>
      <c r="BC146" s="4527"/>
      <c r="BD146" s="4527"/>
      <c r="BE146" s="4527"/>
      <c r="BF146" s="4527"/>
      <c r="BG146" s="4527"/>
      <c r="BH146" s="4527"/>
      <c r="BI146" s="4527"/>
      <c r="BJ146" s="4527"/>
      <c r="BK146" s="4527"/>
      <c r="BL146" s="4527"/>
      <c r="BM146" s="4527"/>
      <c r="BN146" s="4527"/>
      <c r="BO146" s="4527"/>
      <c r="BP146" s="4527"/>
      <c r="BQ146" s="4527"/>
      <c r="BR146" s="4527"/>
      <c r="BS146" s="4527"/>
      <c r="BT146" s="4527"/>
      <c r="BU146" s="4527"/>
      <c r="BV146" s="4527"/>
      <c r="BW146" s="16"/>
    </row>
    <row r="147" spans="4:75" ht="35" hidden="1" thickBot="1" x14ac:dyDescent="0.3">
      <c r="D147" s="3006"/>
      <c r="E147" s="4549" t="s">
        <v>500</v>
      </c>
      <c r="F147" s="4533">
        <f>+F140+F141+F146</f>
        <v>0</v>
      </c>
      <c r="G147" s="4533">
        <f>+G140+G141+G146</f>
        <v>0</v>
      </c>
      <c r="H147" s="675">
        <f t="shared" si="309"/>
        <v>0</v>
      </c>
      <c r="I147" s="4533">
        <f>+I140+I141+I146</f>
        <v>0</v>
      </c>
      <c r="J147" s="3479">
        <f t="shared" si="310"/>
        <v>0</v>
      </c>
      <c r="K147" s="4533">
        <f>+K140+K141+K146</f>
        <v>0</v>
      </c>
      <c r="L147" s="3515">
        <f t="shared" ref="L147:L148" si="528">+J147+K147</f>
        <v>0</v>
      </c>
      <c r="M147" s="4533">
        <f>+M140+M141+M146</f>
        <v>26835.570000000014</v>
      </c>
      <c r="N147" s="599">
        <f t="shared" si="438"/>
        <v>26835.570000000014</v>
      </c>
      <c r="O147" s="4533">
        <f>+O140+O141+O146</f>
        <v>9797.8199999999961</v>
      </c>
      <c r="P147" s="815">
        <f t="shared" ref="P147" si="529">+K147+M147+O147</f>
        <v>36633.390000000014</v>
      </c>
      <c r="Q147" s="767">
        <f t="shared" si="313"/>
        <v>36633.390000000014</v>
      </c>
      <c r="R147" s="4533">
        <f>+R140+R141+R146</f>
        <v>16780.810000000005</v>
      </c>
      <c r="S147" s="599">
        <f t="shared" ref="S147:S223" si="530">+Q147+R147</f>
        <v>53414.200000000019</v>
      </c>
      <c r="T147" s="4533">
        <f>+T140+T141+T146</f>
        <v>14830.94</v>
      </c>
      <c r="U147" s="599">
        <f t="shared" ref="U147:U223" si="531">+S147+T147</f>
        <v>68245.140000000014</v>
      </c>
      <c r="V147" s="4533">
        <f>+V140+V141+V146</f>
        <v>17754.380000000005</v>
      </c>
      <c r="W147" s="923">
        <f t="shared" si="314"/>
        <v>49366.130000000012</v>
      </c>
      <c r="X147" s="634">
        <f>+U147+V147</f>
        <v>85999.520000000019</v>
      </c>
      <c r="Y147" s="4533">
        <f>+Y140+Y141+Y146</f>
        <v>11843.02</v>
      </c>
      <c r="Z147" s="599">
        <f>+X147+Y147</f>
        <v>97842.540000000023</v>
      </c>
      <c r="AA147" s="4533">
        <f>+AA140+AA141+AA146</f>
        <v>8542.5400000000009</v>
      </c>
      <c r="AB147" s="599">
        <f>+Z147+AA147</f>
        <v>106385.08000000002</v>
      </c>
      <c r="AC147" s="4533">
        <f>+AC140+AC141+AC146</f>
        <v>5729.6399999999994</v>
      </c>
      <c r="AD147" s="1149">
        <f>+Y147+AA147+AC147</f>
        <v>26115.200000000001</v>
      </c>
      <c r="AE147" s="4532">
        <f>+W147+AD147</f>
        <v>75481.330000000016</v>
      </c>
      <c r="AF147" s="2585">
        <f>+AB147+AC147</f>
        <v>112114.72000000002</v>
      </c>
      <c r="AM147" s="4527"/>
      <c r="AN147" s="4527"/>
      <c r="AO147" s="4527"/>
      <c r="AP147" s="4527"/>
      <c r="AQ147" s="4527"/>
      <c r="AR147" s="4527"/>
      <c r="AS147" s="4527"/>
      <c r="AT147" s="4527"/>
      <c r="AU147" s="4527"/>
      <c r="AV147" s="4527"/>
      <c r="AW147" s="4527"/>
      <c r="AX147" s="4527"/>
      <c r="AY147" s="4527"/>
      <c r="AZ147" s="4527"/>
      <c r="BA147" s="4527"/>
      <c r="BB147" s="4527"/>
      <c r="BC147" s="4527"/>
      <c r="BD147" s="4527"/>
      <c r="BE147" s="4527"/>
      <c r="BF147" s="4527"/>
      <c r="BG147" s="4527"/>
      <c r="BH147" s="4527"/>
      <c r="BI147" s="4527"/>
      <c r="BJ147" s="4527"/>
      <c r="BK147" s="4527"/>
      <c r="BL147" s="4527"/>
      <c r="BM147" s="4527"/>
      <c r="BN147" s="4527"/>
      <c r="BO147" s="4527"/>
      <c r="BP147" s="4527"/>
      <c r="BQ147" s="4527"/>
      <c r="BR147" s="4527"/>
      <c r="BS147" s="4527"/>
      <c r="BT147" s="4527"/>
      <c r="BU147" s="4527"/>
      <c r="BV147" s="4527"/>
      <c r="BW147" s="16"/>
    </row>
    <row r="148" spans="4:75" ht="35" hidden="1" customHeight="1" thickBot="1" x14ac:dyDescent="0.3">
      <c r="D148" s="3006"/>
      <c r="E148" s="1037" t="s">
        <v>456</v>
      </c>
      <c r="F148" s="2752">
        <f>+F149+F150</f>
        <v>0</v>
      </c>
      <c r="G148" s="2752">
        <f>+G149+G150</f>
        <v>0</v>
      </c>
      <c r="H148" s="3252">
        <f t="shared" si="309"/>
        <v>0</v>
      </c>
      <c r="I148" s="2752">
        <f>+I149+I150</f>
        <v>0</v>
      </c>
      <c r="J148" s="704">
        <f t="shared" si="310"/>
        <v>0</v>
      </c>
      <c r="K148" s="2752">
        <f>+K149+K150</f>
        <v>0</v>
      </c>
      <c r="L148" s="575">
        <f t="shared" si="528"/>
        <v>0</v>
      </c>
      <c r="M148" s="2752">
        <f>+M149+M150</f>
        <v>81345.81</v>
      </c>
      <c r="N148" s="599">
        <f t="shared" si="438"/>
        <v>81345.81</v>
      </c>
      <c r="O148" s="2752">
        <f>+O149+O150</f>
        <v>66038.7</v>
      </c>
      <c r="P148" s="573">
        <f t="shared" ref="P148" si="532">+Q148-J148</f>
        <v>147384.51</v>
      </c>
      <c r="Q148" s="767">
        <f t="shared" si="313"/>
        <v>147384.51</v>
      </c>
      <c r="R148" s="2752">
        <f>+R149+R150</f>
        <v>74659.72</v>
      </c>
      <c r="S148" s="599">
        <f t="shared" si="530"/>
        <v>222044.23</v>
      </c>
      <c r="T148" s="2752">
        <f>+T149+T150</f>
        <v>73530.73</v>
      </c>
      <c r="U148" s="599">
        <f t="shared" si="531"/>
        <v>295574.96000000002</v>
      </c>
      <c r="V148" s="2752">
        <f>+V149+V150</f>
        <v>76736.610000000015</v>
      </c>
      <c r="W148" s="778">
        <f t="shared" ref="W148:AF148" si="533">+W149+W150</f>
        <v>224927.06000000003</v>
      </c>
      <c r="X148" s="634">
        <f t="shared" si="533"/>
        <v>372311.57000000007</v>
      </c>
      <c r="Y148" s="2752">
        <f>+Y149+Y150</f>
        <v>96207.049999999988</v>
      </c>
      <c r="Z148" s="599">
        <f t="shared" si="533"/>
        <v>468518.62000000005</v>
      </c>
      <c r="AA148" s="2752">
        <f>+AA149+AA150</f>
        <v>77918.62000000001</v>
      </c>
      <c r="AB148" s="599">
        <f>+AB149+AB150</f>
        <v>546437.24000000011</v>
      </c>
      <c r="AC148" s="2752">
        <f>+AC149+AC150</f>
        <v>77333.119999999981</v>
      </c>
      <c r="AD148" s="923">
        <f t="shared" si="533"/>
        <v>251458.78999999998</v>
      </c>
      <c r="AE148" s="774">
        <f t="shared" si="533"/>
        <v>476385.85</v>
      </c>
      <c r="AF148" s="2583">
        <f t="shared" si="533"/>
        <v>623770.3600000001</v>
      </c>
      <c r="AG148" s="8506"/>
      <c r="AH148" s="8506"/>
      <c r="AI148" s="8506"/>
      <c r="AJ148" s="8506"/>
      <c r="AK148" s="8506"/>
      <c r="AM148" s="4527"/>
      <c r="AN148" s="4527"/>
      <c r="AO148" s="4527"/>
      <c r="AP148" s="4527"/>
      <c r="AQ148" s="4527"/>
      <c r="AR148" s="4527"/>
      <c r="AS148" s="4527"/>
      <c r="AT148" s="4527"/>
      <c r="AU148" s="4527"/>
      <c r="AV148" s="4527"/>
      <c r="AW148" s="4527"/>
      <c r="AX148" s="4527"/>
      <c r="AY148" s="4527"/>
      <c r="AZ148" s="4527"/>
      <c r="BA148" s="4527"/>
      <c r="BB148" s="4527"/>
      <c r="BC148" s="4527"/>
      <c r="BD148" s="4527"/>
      <c r="BE148" s="4527"/>
      <c r="BF148" s="4527"/>
      <c r="BG148" s="4527"/>
      <c r="BH148" s="4527"/>
      <c r="BI148" s="4527"/>
      <c r="BJ148" s="4527"/>
      <c r="BK148" s="4527"/>
      <c r="BL148" s="4527"/>
      <c r="BM148" s="4527"/>
      <c r="BN148" s="4527"/>
      <c r="BO148" s="4527"/>
      <c r="BP148" s="4527"/>
      <c r="BQ148" s="4527"/>
      <c r="BR148" s="4527"/>
      <c r="BS148" s="4527"/>
      <c r="BT148" s="4527"/>
      <c r="BU148" s="4527"/>
      <c r="BV148" s="4527"/>
      <c r="BW148" s="16"/>
    </row>
    <row r="149" spans="4:75" ht="35" hidden="1" customHeight="1" thickBot="1" x14ac:dyDescent="0.3">
      <c r="D149" s="3006"/>
      <c r="E149" s="4550" t="s">
        <v>425</v>
      </c>
      <c r="F149" s="3296"/>
      <c r="G149" s="3296"/>
      <c r="H149" s="4170">
        <f t="shared" si="309"/>
        <v>0</v>
      </c>
      <c r="I149" s="3296"/>
      <c r="J149" s="2868">
        <f t="shared" si="310"/>
        <v>0</v>
      </c>
      <c r="K149" s="3296"/>
      <c r="L149" s="3538">
        <f t="shared" si="311"/>
        <v>0</v>
      </c>
      <c r="M149" s="3296">
        <v>0</v>
      </c>
      <c r="N149" s="599">
        <f t="shared" si="438"/>
        <v>0</v>
      </c>
      <c r="O149" s="3296">
        <v>0</v>
      </c>
      <c r="P149" s="1061">
        <f t="shared" ref="P149:P222" si="534">+K149+M149+O149</f>
        <v>0</v>
      </c>
      <c r="Q149" s="727">
        <f t="shared" si="313"/>
        <v>0</v>
      </c>
      <c r="R149" s="3296">
        <v>0</v>
      </c>
      <c r="S149" s="599">
        <f t="shared" si="530"/>
        <v>0</v>
      </c>
      <c r="T149" s="3296">
        <v>0</v>
      </c>
      <c r="U149" s="599">
        <f t="shared" si="531"/>
        <v>0</v>
      </c>
      <c r="V149" s="3296">
        <v>0</v>
      </c>
      <c r="W149" s="726">
        <f>+R149+T149+V149</f>
        <v>0</v>
      </c>
      <c r="X149" s="726">
        <f>+U149+V149</f>
        <v>0</v>
      </c>
      <c r="Y149" s="3296">
        <v>0</v>
      </c>
      <c r="Z149" s="599">
        <f>+X149+Y149</f>
        <v>0</v>
      </c>
      <c r="AA149" s="3296">
        <v>0</v>
      </c>
      <c r="AB149" s="599">
        <f>+Z149+AA149</f>
        <v>0</v>
      </c>
      <c r="AC149" s="3296">
        <v>0</v>
      </c>
      <c r="AD149" s="730">
        <f>+Y149+AA149+AC149</f>
        <v>0</v>
      </c>
      <c r="AE149" s="730">
        <f>+W149+AD149</f>
        <v>0</v>
      </c>
      <c r="AF149" s="2586">
        <f>+AB149+AC149</f>
        <v>0</v>
      </c>
      <c r="AG149" s="8506"/>
      <c r="AH149" s="8506"/>
      <c r="AJ149" s="8506"/>
      <c r="AK149" s="8506"/>
      <c r="AM149" s="4527"/>
      <c r="AN149" s="4527"/>
      <c r="AO149" s="4527"/>
      <c r="AP149" s="4527"/>
      <c r="AQ149" s="4527"/>
      <c r="AR149" s="4527"/>
      <c r="AS149" s="4527"/>
      <c r="AT149" s="4527"/>
      <c r="AU149" s="4527"/>
      <c r="AV149" s="4527"/>
      <c r="AW149" s="4527"/>
      <c r="AX149" s="4527"/>
      <c r="AY149" s="4527"/>
      <c r="AZ149" s="4527"/>
      <c r="BA149" s="4527"/>
      <c r="BB149" s="4527"/>
      <c r="BC149" s="4527"/>
      <c r="BD149" s="4527"/>
      <c r="BE149" s="4527"/>
      <c r="BF149" s="4527"/>
      <c r="BG149" s="4527"/>
      <c r="BH149" s="4527"/>
      <c r="BI149" s="4527"/>
      <c r="BJ149" s="4527"/>
      <c r="BK149" s="4527"/>
      <c r="BL149" s="4527"/>
      <c r="BM149" s="4527"/>
      <c r="BN149" s="4527"/>
      <c r="BO149" s="4527"/>
      <c r="BP149" s="4527"/>
      <c r="BQ149" s="4527"/>
      <c r="BR149" s="4527"/>
      <c r="BS149" s="4527"/>
      <c r="BT149" s="4527"/>
      <c r="BU149" s="4527"/>
      <c r="BV149" s="4527"/>
      <c r="BW149" s="16"/>
    </row>
    <row r="150" spans="4:75" ht="35" hidden="1" customHeight="1" thickBot="1" x14ac:dyDescent="0.3">
      <c r="D150" s="3006"/>
      <c r="E150" s="4550" t="s">
        <v>424</v>
      </c>
      <c r="F150" s="3297"/>
      <c r="G150" s="3297"/>
      <c r="H150" s="4170">
        <f t="shared" si="309"/>
        <v>0</v>
      </c>
      <c r="I150" s="3297"/>
      <c r="J150" s="3480">
        <f t="shared" si="310"/>
        <v>0</v>
      </c>
      <c r="K150" s="3297"/>
      <c r="L150" s="3573">
        <f t="shared" si="311"/>
        <v>0</v>
      </c>
      <c r="M150" s="3296">
        <v>81345.81</v>
      </c>
      <c r="N150" s="599">
        <f t="shared" si="438"/>
        <v>81345.81</v>
      </c>
      <c r="O150" s="3297">
        <v>66038.7</v>
      </c>
      <c r="P150" s="3020">
        <f t="shared" si="534"/>
        <v>147384.51</v>
      </c>
      <c r="Q150" s="727">
        <f t="shared" si="313"/>
        <v>147384.51</v>
      </c>
      <c r="R150" s="3297">
        <v>74659.72</v>
      </c>
      <c r="S150" s="599">
        <f t="shared" si="530"/>
        <v>222044.23</v>
      </c>
      <c r="T150" s="3297">
        <v>73530.73</v>
      </c>
      <c r="U150" s="599">
        <f t="shared" si="531"/>
        <v>295574.96000000002</v>
      </c>
      <c r="V150" s="3297">
        <v>76736.610000000015</v>
      </c>
      <c r="W150" s="729">
        <f>+R150+T150+V150</f>
        <v>224927.06000000003</v>
      </c>
      <c r="X150" s="729">
        <f>+U150+V150</f>
        <v>372311.57000000007</v>
      </c>
      <c r="Y150" s="3297">
        <v>96207.049999999988</v>
      </c>
      <c r="Z150" s="599">
        <f>+X150+Y150</f>
        <v>468518.62000000005</v>
      </c>
      <c r="AA150" s="3297">
        <v>77918.62000000001</v>
      </c>
      <c r="AB150" s="599">
        <f>+Z150+AA150</f>
        <v>546437.24000000011</v>
      </c>
      <c r="AC150" s="3297">
        <v>77333.119999999981</v>
      </c>
      <c r="AD150" s="728">
        <f>+Y150+AA150+AC150</f>
        <v>251458.78999999998</v>
      </c>
      <c r="AE150" s="1303">
        <f>+W150+AD150</f>
        <v>476385.85</v>
      </c>
      <c r="AF150" s="2587">
        <f>+AB150+AC150</f>
        <v>623770.3600000001</v>
      </c>
      <c r="AM150" s="4527"/>
      <c r="AN150" s="4527"/>
      <c r="AO150" s="4527"/>
      <c r="AP150" s="4527"/>
      <c r="AQ150" s="4527"/>
      <c r="AR150" s="4527"/>
      <c r="AS150" s="4527"/>
      <c r="AT150" s="4527"/>
      <c r="AU150" s="4527"/>
      <c r="AV150" s="4527"/>
      <c r="AW150" s="4527"/>
      <c r="AX150" s="4527"/>
      <c r="AY150" s="4527"/>
      <c r="AZ150" s="4527"/>
      <c r="BA150" s="4527"/>
      <c r="BB150" s="4527"/>
      <c r="BC150" s="4527"/>
      <c r="BD150" s="4527"/>
      <c r="BE150" s="4527"/>
      <c r="BF150" s="4527"/>
      <c r="BG150" s="4527"/>
      <c r="BH150" s="4527"/>
      <c r="BI150" s="4527"/>
      <c r="BJ150" s="4527"/>
      <c r="BK150" s="4527"/>
      <c r="BL150" s="4527"/>
      <c r="BM150" s="4527"/>
      <c r="BN150" s="4527"/>
      <c r="BO150" s="4527"/>
      <c r="BP150" s="4527"/>
      <c r="BQ150" s="4527"/>
      <c r="BR150" s="4527"/>
      <c r="BS150" s="4527"/>
      <c r="BT150" s="4527"/>
      <c r="BU150" s="4527"/>
      <c r="BV150" s="4527"/>
      <c r="BW150" s="16"/>
    </row>
    <row r="151" spans="4:75" ht="35" hidden="1" customHeight="1" thickBot="1" x14ac:dyDescent="0.3">
      <c r="D151" s="3006"/>
      <c r="E151" s="4551" t="s">
        <v>457</v>
      </c>
      <c r="F151" s="4944">
        <f>+F152+F153</f>
        <v>0</v>
      </c>
      <c r="G151" s="4944">
        <f>+G152+G153</f>
        <v>0</v>
      </c>
      <c r="H151" s="3252">
        <f t="shared" ref="H151:H153" si="535">+F151+G151</f>
        <v>0</v>
      </c>
      <c r="I151" s="4944">
        <f>+I152+I153</f>
        <v>0</v>
      </c>
      <c r="J151" s="704">
        <f t="shared" ref="J151:L153" si="536">+H151+I151</f>
        <v>0</v>
      </c>
      <c r="K151" s="4944">
        <f>+K152+K153</f>
        <v>0</v>
      </c>
      <c r="L151" s="575">
        <f t="shared" si="536"/>
        <v>0</v>
      </c>
      <c r="M151" s="2752">
        <f>+M152+M153</f>
        <v>81345.81</v>
      </c>
      <c r="N151" s="598">
        <f t="shared" ref="N151:N156" si="537">SUM(L151:M151)</f>
        <v>81345.81</v>
      </c>
      <c r="O151" s="4944">
        <f>+O152+O153</f>
        <v>66038.7</v>
      </c>
      <c r="P151" s="704">
        <f t="shared" si="534"/>
        <v>147384.51</v>
      </c>
      <c r="Q151" s="727">
        <f t="shared" si="313"/>
        <v>147384.51</v>
      </c>
      <c r="R151" s="4944">
        <f>+R152+R153</f>
        <v>74659.72</v>
      </c>
      <c r="S151" s="599">
        <f>SUM(Q151:R151)</f>
        <v>222044.23</v>
      </c>
      <c r="T151" s="4944">
        <f>+T152+T153</f>
        <v>73530.73</v>
      </c>
      <c r="U151" s="599">
        <f>SUM(S151:T151)</f>
        <v>295574.96000000002</v>
      </c>
      <c r="V151" s="4944">
        <f>+V152+V153</f>
        <v>76736.610000000015</v>
      </c>
      <c r="W151" s="678">
        <f t="shared" ref="W151:AF151" si="538">+W152+W153</f>
        <v>224927.06000000003</v>
      </c>
      <c r="X151" s="599">
        <f t="shared" si="538"/>
        <v>372311.57000000007</v>
      </c>
      <c r="Y151" s="4944">
        <f>+Y152+Y153</f>
        <v>96207.049999999988</v>
      </c>
      <c r="Z151" s="599">
        <f t="shared" si="538"/>
        <v>468518.62000000005</v>
      </c>
      <c r="AA151" s="4944">
        <f>+AA152+AA153</f>
        <v>77918.62000000001</v>
      </c>
      <c r="AB151" s="599">
        <f t="shared" si="538"/>
        <v>546437.24000000011</v>
      </c>
      <c r="AC151" s="4944">
        <f>+AC152+AC153</f>
        <v>77333.119999999981</v>
      </c>
      <c r="AD151" s="678">
        <f t="shared" si="538"/>
        <v>251458.78999999998</v>
      </c>
      <c r="AE151" s="774">
        <f t="shared" si="538"/>
        <v>476385.85</v>
      </c>
      <c r="AF151" s="2581">
        <f t="shared" si="538"/>
        <v>623770.3600000001</v>
      </c>
      <c r="AM151" s="4527"/>
      <c r="AN151" s="4527"/>
      <c r="AO151" s="4527"/>
      <c r="AP151" s="4527"/>
      <c r="AQ151" s="4527"/>
      <c r="AR151" s="4527"/>
      <c r="AS151" s="4527"/>
      <c r="AT151" s="4527"/>
      <c r="AU151" s="4527"/>
      <c r="AV151" s="4527"/>
      <c r="AW151" s="4527"/>
      <c r="AX151" s="4527"/>
      <c r="AY151" s="4527"/>
      <c r="AZ151" s="4527"/>
      <c r="BA151" s="4527"/>
      <c r="BB151" s="4527"/>
      <c r="BC151" s="4527"/>
      <c r="BD151" s="4527"/>
      <c r="BE151" s="4527"/>
      <c r="BF151" s="4527"/>
      <c r="BG151" s="4527"/>
      <c r="BH151" s="4527"/>
      <c r="BI151" s="4527"/>
      <c r="BJ151" s="4527"/>
      <c r="BK151" s="4527"/>
      <c r="BL151" s="4527"/>
      <c r="BM151" s="4527"/>
      <c r="BN151" s="4527"/>
      <c r="BO151" s="4527"/>
      <c r="BP151" s="4527"/>
      <c r="BQ151" s="4527"/>
      <c r="BR151" s="4527"/>
      <c r="BS151" s="4527"/>
      <c r="BT151" s="4527"/>
      <c r="BU151" s="4527"/>
      <c r="BV151" s="4527"/>
      <c r="BW151" s="16"/>
    </row>
    <row r="152" spans="4:75" ht="35" hidden="1" customHeight="1" thickBot="1" x14ac:dyDescent="0.3">
      <c r="D152" s="3006"/>
      <c r="E152" s="4550" t="s">
        <v>98</v>
      </c>
      <c r="F152" s="3300"/>
      <c r="G152" s="3300"/>
      <c r="H152" s="4170">
        <f t="shared" si="535"/>
        <v>0</v>
      </c>
      <c r="I152" s="3300"/>
      <c r="J152" s="2868">
        <f t="shared" si="536"/>
        <v>0</v>
      </c>
      <c r="K152" s="3300"/>
      <c r="L152" s="3075">
        <f t="shared" si="536"/>
        <v>0</v>
      </c>
      <c r="M152" s="3296">
        <v>81345.81</v>
      </c>
      <c r="N152" s="598">
        <f t="shared" si="537"/>
        <v>81345.81</v>
      </c>
      <c r="O152" s="3300">
        <v>66038.7</v>
      </c>
      <c r="P152" s="2868">
        <f t="shared" si="534"/>
        <v>147384.51</v>
      </c>
      <c r="Q152" s="727">
        <f t="shared" si="313"/>
        <v>147384.51</v>
      </c>
      <c r="R152" s="3300">
        <v>74659.72</v>
      </c>
      <c r="S152" s="599">
        <f>SUM(Q152:R152)</f>
        <v>222044.23</v>
      </c>
      <c r="T152" s="3300">
        <v>73530.73</v>
      </c>
      <c r="U152" s="599">
        <f>SUM(S152:T152)</f>
        <v>295574.96000000002</v>
      </c>
      <c r="V152" s="3300">
        <v>76736.610000000015</v>
      </c>
      <c r="W152" s="1356">
        <f t="shared" ref="W152:W156" si="539">+R152+T152+V152</f>
        <v>224927.06000000003</v>
      </c>
      <c r="X152" s="772">
        <f t="shared" ref="X152:X156" si="540">+U152+V152</f>
        <v>372311.57000000007</v>
      </c>
      <c r="Y152" s="3300">
        <v>96207.049999999988</v>
      </c>
      <c r="Z152" s="599">
        <f>+X152+Y152</f>
        <v>468518.62000000005</v>
      </c>
      <c r="AA152" s="3300">
        <v>77918.62000000001</v>
      </c>
      <c r="AB152" s="599">
        <f>+Z152+AA152</f>
        <v>546437.24000000011</v>
      </c>
      <c r="AC152" s="3300">
        <v>77333.119999999981</v>
      </c>
      <c r="AD152" s="731">
        <f>+Y152+AA152+AC152</f>
        <v>251458.78999999998</v>
      </c>
      <c r="AE152" s="731">
        <f>+W152+AD152</f>
        <v>476385.85</v>
      </c>
      <c r="AF152" s="2586">
        <f>+AB152+AC152</f>
        <v>623770.3600000001</v>
      </c>
      <c r="AM152" s="4527"/>
      <c r="AN152" s="4527"/>
      <c r="AO152" s="4527"/>
      <c r="AP152" s="4527"/>
      <c r="AQ152" s="4527"/>
      <c r="AR152" s="4527"/>
      <c r="AS152" s="4527"/>
      <c r="AT152" s="4527"/>
      <c r="AU152" s="4527"/>
      <c r="AV152" s="4527"/>
      <c r="AW152" s="4527"/>
      <c r="AX152" s="4527"/>
      <c r="AY152" s="4527"/>
      <c r="AZ152" s="4527"/>
      <c r="BA152" s="4527"/>
      <c r="BB152" s="4527"/>
      <c r="BC152" s="4527"/>
      <c r="BD152" s="4527"/>
      <c r="BE152" s="4527"/>
      <c r="BF152" s="4527"/>
      <c r="BG152" s="4527"/>
      <c r="BH152" s="4527"/>
      <c r="BI152" s="4527"/>
      <c r="BJ152" s="4527"/>
      <c r="BK152" s="4527"/>
      <c r="BL152" s="4527"/>
      <c r="BM152" s="4527"/>
      <c r="BN152" s="4527"/>
      <c r="BO152" s="4527"/>
      <c r="BP152" s="4527"/>
      <c r="BQ152" s="4527"/>
      <c r="BR152" s="4527"/>
      <c r="BS152" s="4527"/>
      <c r="BT152" s="4527"/>
      <c r="BU152" s="4527"/>
      <c r="BV152" s="4527"/>
      <c r="BW152" s="16"/>
    </row>
    <row r="153" spans="4:75" ht="35" hidden="1" customHeight="1" thickBot="1" x14ac:dyDescent="0.3">
      <c r="D153" s="3006"/>
      <c r="E153" s="4550" t="s">
        <v>99</v>
      </c>
      <c r="F153" s="3297"/>
      <c r="G153" s="3297"/>
      <c r="H153" s="4170">
        <f t="shared" si="535"/>
        <v>0</v>
      </c>
      <c r="I153" s="3297"/>
      <c r="J153" s="3480">
        <f t="shared" si="536"/>
        <v>0</v>
      </c>
      <c r="K153" s="3297"/>
      <c r="L153" s="3516">
        <f t="shared" si="536"/>
        <v>0</v>
      </c>
      <c r="M153" s="3296">
        <v>0</v>
      </c>
      <c r="N153" s="598">
        <f t="shared" si="537"/>
        <v>0</v>
      </c>
      <c r="O153" s="3297">
        <v>0</v>
      </c>
      <c r="P153" s="3020">
        <f t="shared" si="534"/>
        <v>0</v>
      </c>
      <c r="Q153" s="727">
        <f t="shared" si="313"/>
        <v>0</v>
      </c>
      <c r="R153" s="3297">
        <v>0</v>
      </c>
      <c r="S153" s="599">
        <f t="shared" ref="S153:U153" si="541">SUM(Q153:R153)</f>
        <v>0</v>
      </c>
      <c r="T153" s="3297">
        <v>0</v>
      </c>
      <c r="U153" s="599">
        <f t="shared" si="541"/>
        <v>0</v>
      </c>
      <c r="V153" s="3297">
        <v>0</v>
      </c>
      <c r="W153" s="2532">
        <f t="shared" si="539"/>
        <v>0</v>
      </c>
      <c r="X153" s="1189">
        <f t="shared" si="540"/>
        <v>0</v>
      </c>
      <c r="Y153" s="3297">
        <v>0</v>
      </c>
      <c r="Z153" s="599">
        <f>+X153+Y153</f>
        <v>0</v>
      </c>
      <c r="AA153" s="3297">
        <v>0</v>
      </c>
      <c r="AB153" s="599">
        <f>+Z153+AA153</f>
        <v>0</v>
      </c>
      <c r="AC153" s="3297">
        <v>0</v>
      </c>
      <c r="AD153" s="728">
        <f>+Y153+AA153+AC153</f>
        <v>0</v>
      </c>
      <c r="AE153" s="1303">
        <f>+W153+AD153</f>
        <v>0</v>
      </c>
      <c r="AF153" s="2587">
        <f>+AB153+AC153</f>
        <v>0</v>
      </c>
      <c r="AM153" s="4527"/>
      <c r="AN153" s="4527"/>
      <c r="AO153" s="4527"/>
      <c r="AP153" s="4527"/>
      <c r="AQ153" s="4527"/>
      <c r="AR153" s="4527"/>
      <c r="AS153" s="4527"/>
      <c r="AT153" s="4527"/>
      <c r="AU153" s="4527"/>
      <c r="AV153" s="4527"/>
      <c r="AW153" s="4527"/>
      <c r="AX153" s="4527"/>
      <c r="AY153" s="4527"/>
      <c r="AZ153" s="4527"/>
      <c r="BA153" s="4527"/>
      <c r="BB153" s="4527"/>
      <c r="BC153" s="4527"/>
      <c r="BD153" s="4527"/>
      <c r="BE153" s="4527"/>
      <c r="BF153" s="4527"/>
      <c r="BG153" s="4527"/>
      <c r="BH153" s="4527"/>
      <c r="BI153" s="4527"/>
      <c r="BJ153" s="4527"/>
      <c r="BK153" s="4527"/>
      <c r="BL153" s="4527"/>
      <c r="BM153" s="4527"/>
      <c r="BN153" s="4527"/>
      <c r="BO153" s="4527"/>
      <c r="BP153" s="4527"/>
      <c r="BQ153" s="4527"/>
      <c r="BR153" s="4527"/>
      <c r="BS153" s="4527"/>
      <c r="BT153" s="4527"/>
      <c r="BU153" s="4527"/>
      <c r="BV153" s="4527"/>
      <c r="BW153" s="16"/>
    </row>
    <row r="154" spans="4:75" ht="35" hidden="1" customHeight="1" thickBot="1" x14ac:dyDescent="0.3">
      <c r="D154" s="3006"/>
      <c r="E154" s="4551" t="s">
        <v>501</v>
      </c>
      <c r="F154" s="4944">
        <f>+F155+F156</f>
        <v>0</v>
      </c>
      <c r="G154" s="4944">
        <f>+G155+G156</f>
        <v>0</v>
      </c>
      <c r="H154" s="3252">
        <f t="shared" ref="H154:H156" si="542">+F154+G154</f>
        <v>0</v>
      </c>
      <c r="I154" s="4944">
        <f>+I155+I156</f>
        <v>0</v>
      </c>
      <c r="J154" s="704">
        <f t="shared" ref="J154:J156" si="543">+H154+I154</f>
        <v>0</v>
      </c>
      <c r="K154" s="4944">
        <f>+K155+K156</f>
        <v>0</v>
      </c>
      <c r="L154" s="575">
        <f t="shared" ref="L154:L156" si="544">+J154+K154</f>
        <v>0</v>
      </c>
      <c r="M154" s="2752">
        <f>+M155+M156</f>
        <v>81345.81</v>
      </c>
      <c r="N154" s="598">
        <f t="shared" si="537"/>
        <v>81345.81</v>
      </c>
      <c r="O154" s="4944">
        <f>+O155+O156</f>
        <v>66038.7</v>
      </c>
      <c r="P154" s="704">
        <f t="shared" si="534"/>
        <v>147384.51</v>
      </c>
      <c r="Q154" s="727">
        <f t="shared" si="313"/>
        <v>147384.51</v>
      </c>
      <c r="R154" s="4944">
        <f>+R155+R156</f>
        <v>74659.72</v>
      </c>
      <c r="S154" s="599">
        <f>SUM(Q154:R154)</f>
        <v>222044.23</v>
      </c>
      <c r="T154" s="4944">
        <f>+T155+T156</f>
        <v>73530.73</v>
      </c>
      <c r="U154" s="599">
        <f>SUM(S154:T154)</f>
        <v>295574.96000000002</v>
      </c>
      <c r="V154" s="4944">
        <f>+V155+V156</f>
        <v>76736.610000000015</v>
      </c>
      <c r="W154" s="678">
        <f t="shared" ref="W154:AF154" si="545">+W155+W156</f>
        <v>224927.06000000003</v>
      </c>
      <c r="X154" s="599">
        <f t="shared" si="545"/>
        <v>372311.56999999995</v>
      </c>
      <c r="Y154" s="4944">
        <f>+Y155+Y156</f>
        <v>96207.05</v>
      </c>
      <c r="Z154" s="599">
        <f t="shared" si="545"/>
        <v>468518.61999999994</v>
      </c>
      <c r="AA154" s="4944">
        <f>+AA155+AA156</f>
        <v>77918.62000000001</v>
      </c>
      <c r="AB154" s="599">
        <f t="shared" si="545"/>
        <v>546437.24</v>
      </c>
      <c r="AC154" s="4944">
        <f>+AC155+AC156</f>
        <v>77333.119999999981</v>
      </c>
      <c r="AD154" s="678">
        <f t="shared" si="545"/>
        <v>251458.79</v>
      </c>
      <c r="AE154" s="774">
        <f t="shared" si="545"/>
        <v>476385.85000000003</v>
      </c>
      <c r="AF154" s="2581">
        <f t="shared" si="545"/>
        <v>623770.35999999987</v>
      </c>
      <c r="AM154" s="4527"/>
      <c r="AN154" s="4527"/>
      <c r="AO154" s="4527"/>
      <c r="AP154" s="4527"/>
      <c r="AQ154" s="4527"/>
      <c r="AR154" s="4527"/>
      <c r="AS154" s="4527"/>
      <c r="AT154" s="4527"/>
      <c r="AU154" s="4527"/>
      <c r="AV154" s="4527"/>
      <c r="AW154" s="4527"/>
      <c r="AX154" s="4527"/>
      <c r="AY154" s="4527"/>
      <c r="AZ154" s="4527"/>
      <c r="BA154" s="4527"/>
      <c r="BB154" s="4527"/>
      <c r="BC154" s="4527"/>
      <c r="BD154" s="4527"/>
      <c r="BE154" s="4527"/>
      <c r="BF154" s="4527"/>
      <c r="BG154" s="4527"/>
      <c r="BH154" s="4527"/>
      <c r="BI154" s="4527"/>
      <c r="BJ154" s="4527"/>
      <c r="BK154" s="4527"/>
      <c r="BL154" s="4527"/>
      <c r="BM154" s="4527"/>
      <c r="BN154" s="4527"/>
      <c r="BO154" s="4527"/>
      <c r="BP154" s="4527"/>
      <c r="BQ154" s="4527"/>
      <c r="BR154" s="4527"/>
      <c r="BS154" s="4527"/>
      <c r="BT154" s="4527"/>
      <c r="BU154" s="4527"/>
      <c r="BV154" s="4527"/>
      <c r="BW154" s="16"/>
    </row>
    <row r="155" spans="4:75" ht="34.5" hidden="1" customHeight="1" thickBot="1" x14ac:dyDescent="0.3">
      <c r="D155" s="3006"/>
      <c r="E155" s="4552" t="s">
        <v>502</v>
      </c>
      <c r="F155" s="3298"/>
      <c r="G155" s="3298"/>
      <c r="H155" s="4167">
        <f t="shared" si="542"/>
        <v>0</v>
      </c>
      <c r="I155" s="3298"/>
      <c r="J155" s="3021">
        <f t="shared" si="543"/>
        <v>0</v>
      </c>
      <c r="K155" s="3298"/>
      <c r="L155" s="3585">
        <f t="shared" si="544"/>
        <v>0</v>
      </c>
      <c r="M155" s="3297">
        <v>70084.009999999995</v>
      </c>
      <c r="N155" s="675">
        <f t="shared" si="537"/>
        <v>70084.009999999995</v>
      </c>
      <c r="O155" s="3298">
        <v>62353.82</v>
      </c>
      <c r="P155" s="3021">
        <f t="shared" si="534"/>
        <v>132437.82999999999</v>
      </c>
      <c r="Q155" s="727">
        <f t="shared" si="313"/>
        <v>132437.82999999999</v>
      </c>
      <c r="R155" s="3298">
        <v>74659.72</v>
      </c>
      <c r="S155" s="599">
        <f>SUM(Q155:R155)</f>
        <v>207097.55</v>
      </c>
      <c r="T155" s="3298">
        <v>73530.73</v>
      </c>
      <c r="U155" s="599">
        <f>SUM(S155:T155)</f>
        <v>280628.27999999997</v>
      </c>
      <c r="V155" s="3298">
        <v>69287.290000000008</v>
      </c>
      <c r="W155" s="4558">
        <f t="shared" si="539"/>
        <v>217477.74000000002</v>
      </c>
      <c r="X155" s="4557">
        <f t="shared" si="540"/>
        <v>349915.56999999995</v>
      </c>
      <c r="Y155" s="3298">
        <v>88753</v>
      </c>
      <c r="Z155" s="599">
        <f>+X155+Y155</f>
        <v>438668.56999999995</v>
      </c>
      <c r="AA155" s="3298">
        <v>66749.450000000012</v>
      </c>
      <c r="AB155" s="599">
        <f>+Z155+AA155</f>
        <v>505418.01999999996</v>
      </c>
      <c r="AC155" s="3300">
        <v>77333.119999999981</v>
      </c>
      <c r="AD155" s="4522">
        <f>+Y155+AA155+AC155</f>
        <v>232835.57</v>
      </c>
      <c r="AE155" s="4522">
        <f>+W155+AD155</f>
        <v>450313.31000000006</v>
      </c>
      <c r="AF155" s="4559">
        <f>+AB155+AC155</f>
        <v>582751.1399999999</v>
      </c>
      <c r="AM155" s="4527"/>
      <c r="AN155" s="4527"/>
      <c r="AO155" s="4527"/>
      <c r="AP155" s="4527"/>
      <c r="AQ155" s="4527"/>
      <c r="AR155" s="4527"/>
      <c r="AS155" s="4527"/>
      <c r="AT155" s="4527"/>
      <c r="AU155" s="4527"/>
      <c r="AV155" s="4527"/>
      <c r="AW155" s="4527"/>
      <c r="AX155" s="4527"/>
      <c r="AY155" s="4527"/>
      <c r="AZ155" s="4527"/>
      <c r="BA155" s="4527"/>
      <c r="BB155" s="4527"/>
      <c r="BC155" s="4527"/>
      <c r="BD155" s="4527"/>
      <c r="BE155" s="4527"/>
      <c r="BF155" s="4527"/>
      <c r="BG155" s="4527"/>
      <c r="BH155" s="4527"/>
      <c r="BI155" s="4527"/>
      <c r="BJ155" s="4527"/>
      <c r="BK155" s="4527"/>
      <c r="BL155" s="4527"/>
      <c r="BM155" s="4527"/>
      <c r="BN155" s="4527"/>
      <c r="BO155" s="4527"/>
      <c r="BP155" s="4527"/>
      <c r="BQ155" s="4527"/>
      <c r="BR155" s="4527"/>
      <c r="BS155" s="4527"/>
      <c r="BT155" s="4527"/>
      <c r="BU155" s="4527"/>
      <c r="BV155" s="4527"/>
      <c r="BW155" s="16"/>
    </row>
    <row r="156" spans="4:75" ht="35" hidden="1" customHeight="1" thickBot="1" x14ac:dyDescent="0.3">
      <c r="D156" s="3006"/>
      <c r="E156" s="4519" t="s">
        <v>503</v>
      </c>
      <c r="F156" s="3296"/>
      <c r="G156" s="3296"/>
      <c r="H156" s="4170">
        <f t="shared" si="542"/>
        <v>0</v>
      </c>
      <c r="I156" s="3296"/>
      <c r="J156" s="4171">
        <f t="shared" si="543"/>
        <v>0</v>
      </c>
      <c r="K156" s="3296"/>
      <c r="L156" s="4170">
        <f t="shared" si="544"/>
        <v>0</v>
      </c>
      <c r="M156" s="3296">
        <v>11261.8</v>
      </c>
      <c r="N156" s="4170">
        <f t="shared" si="537"/>
        <v>11261.8</v>
      </c>
      <c r="O156" s="3296">
        <v>3684.88</v>
      </c>
      <c r="P156" s="4171">
        <f t="shared" si="534"/>
        <v>14946.68</v>
      </c>
      <c r="Q156" s="727">
        <f t="shared" si="313"/>
        <v>14946.68</v>
      </c>
      <c r="R156" s="3296">
        <v>0</v>
      </c>
      <c r="S156" s="599">
        <f>SUM(Q156:R156)</f>
        <v>14946.68</v>
      </c>
      <c r="T156" s="3296">
        <v>0</v>
      </c>
      <c r="U156" s="599">
        <f>SUM(S156:T156)</f>
        <v>14946.68</v>
      </c>
      <c r="V156" s="3296">
        <v>7449.32</v>
      </c>
      <c r="W156" s="3753">
        <f t="shared" si="539"/>
        <v>7449.32</v>
      </c>
      <c r="X156" s="3296">
        <f t="shared" si="540"/>
        <v>22396</v>
      </c>
      <c r="Y156" s="3296">
        <v>7454.05</v>
      </c>
      <c r="Z156" s="599">
        <f>+X156+Y156</f>
        <v>29850.05</v>
      </c>
      <c r="AA156" s="3296">
        <v>11169.17</v>
      </c>
      <c r="AB156" s="599">
        <f>+Z156+AA156</f>
        <v>41019.22</v>
      </c>
      <c r="AC156" s="3296">
        <v>0</v>
      </c>
      <c r="AD156" s="4561">
        <f>+Y156+AA156+AC156</f>
        <v>18623.22</v>
      </c>
      <c r="AE156" s="4561">
        <f>+W156+AD156</f>
        <v>26072.54</v>
      </c>
      <c r="AF156" s="4560">
        <f>+AB156+AC156</f>
        <v>41019.22</v>
      </c>
      <c r="AM156" s="4562"/>
      <c r="AN156" s="4562"/>
      <c r="AO156" s="4562"/>
      <c r="AP156" s="4562"/>
      <c r="AQ156" s="4562"/>
      <c r="AR156" s="4562"/>
      <c r="AS156" s="4562"/>
      <c r="AT156" s="4562"/>
      <c r="AU156" s="4562"/>
      <c r="AV156" s="4562"/>
      <c r="AW156" s="4562"/>
      <c r="AX156" s="4562"/>
      <c r="AY156" s="4562"/>
      <c r="AZ156" s="4562"/>
      <c r="BA156" s="4562"/>
      <c r="BB156" s="4562"/>
      <c r="BC156" s="4562"/>
      <c r="BD156" s="4562"/>
      <c r="BE156" s="4562"/>
      <c r="BF156" s="4562"/>
      <c r="BG156" s="4562"/>
      <c r="BH156" s="4562"/>
      <c r="BI156" s="4562"/>
      <c r="BJ156" s="4562"/>
      <c r="BK156" s="4562"/>
      <c r="BL156" s="4562"/>
      <c r="BM156" s="4562"/>
      <c r="BN156" s="4562"/>
      <c r="BO156" s="4562"/>
      <c r="BP156" s="4562"/>
      <c r="BQ156" s="4562"/>
      <c r="BR156" s="4562"/>
      <c r="BS156" s="4562"/>
      <c r="BT156" s="4562"/>
      <c r="BU156" s="4562"/>
      <c r="BV156" s="4562"/>
      <c r="BW156" s="4562"/>
    </row>
    <row r="157" spans="4:75" ht="35" hidden="1" customHeight="1" thickBot="1" x14ac:dyDescent="0.3">
      <c r="D157" s="3006"/>
      <c r="E157" s="4526" t="s">
        <v>13</v>
      </c>
      <c r="F157" s="3300"/>
      <c r="G157" s="3300"/>
      <c r="H157" s="3075">
        <f t="shared" si="309"/>
        <v>0</v>
      </c>
      <c r="I157" s="3300"/>
      <c r="J157" s="2868">
        <f t="shared" si="310"/>
        <v>0</v>
      </c>
      <c r="K157" s="3300"/>
      <c r="L157" s="3538">
        <f t="shared" si="311"/>
        <v>0</v>
      </c>
      <c r="M157" s="3300">
        <v>0</v>
      </c>
      <c r="N157" s="693">
        <f t="shared" si="438"/>
        <v>0</v>
      </c>
      <c r="O157" s="3300">
        <v>0</v>
      </c>
      <c r="P157" s="2868">
        <f t="shared" si="534"/>
        <v>0</v>
      </c>
      <c r="Q157" s="725">
        <f t="shared" si="313"/>
        <v>0</v>
      </c>
      <c r="R157" s="3300">
        <v>0</v>
      </c>
      <c r="S157" s="599">
        <f t="shared" si="530"/>
        <v>0</v>
      </c>
      <c r="T157" s="3300">
        <v>0</v>
      </c>
      <c r="U157" s="599">
        <f t="shared" si="531"/>
        <v>0</v>
      </c>
      <c r="V157" s="3300">
        <v>1608.52</v>
      </c>
      <c r="W157" s="1006">
        <f t="shared" ref="W157:W190" si="546">+R157+T157+V157</f>
        <v>1608.52</v>
      </c>
      <c r="X157" s="693">
        <f t="shared" ref="X157:X160" si="547">+U157+V157</f>
        <v>1608.52</v>
      </c>
      <c r="Y157" s="3300">
        <v>0</v>
      </c>
      <c r="Z157" s="599">
        <f t="shared" ref="Z157:Z161" si="548">+X157+Y157</f>
        <v>1608.52</v>
      </c>
      <c r="AA157" s="3300">
        <v>2181.25</v>
      </c>
      <c r="AB157" s="599">
        <f t="shared" ref="AB157:AB161" si="549">+Z157+AA157</f>
        <v>3789.77</v>
      </c>
      <c r="AC157" s="3300">
        <v>2059.54</v>
      </c>
      <c r="AD157" s="734">
        <f t="shared" ref="AD157:AD167" si="550">+Y157+AA157+AC157</f>
        <v>4240.79</v>
      </c>
      <c r="AE157" s="731">
        <f t="shared" ref="AE157" si="551">+W157+AD157</f>
        <v>5849.3099999999995</v>
      </c>
      <c r="AF157" s="2590">
        <f t="shared" ref="AF157:AF171" si="552">+AB157+AC157</f>
        <v>5849.3099999999995</v>
      </c>
      <c r="AG157" s="8506"/>
      <c r="AH157" s="8506"/>
      <c r="AJ157" s="8506"/>
      <c r="AK157" s="8506"/>
      <c r="AM157" s="4527"/>
      <c r="AN157" s="4527"/>
      <c r="AO157" s="4527"/>
      <c r="AP157" s="4527"/>
      <c r="AQ157" s="4527"/>
      <c r="AR157" s="4527"/>
      <c r="AS157" s="4527"/>
      <c r="AT157" s="4527"/>
      <c r="AU157" s="4527"/>
      <c r="AV157" s="4527"/>
      <c r="AW157" s="4527"/>
      <c r="AX157" s="4527"/>
      <c r="AY157" s="4527"/>
      <c r="AZ157" s="4527"/>
      <c r="BA157" s="4527"/>
      <c r="BB157" s="4527"/>
      <c r="BC157" s="4527"/>
      <c r="BD157" s="4527"/>
      <c r="BE157" s="4527"/>
      <c r="BF157" s="4527"/>
      <c r="BG157" s="4527"/>
      <c r="BH157" s="4527"/>
      <c r="BI157" s="4527"/>
      <c r="BJ157" s="4527"/>
      <c r="BK157" s="4527"/>
      <c r="BL157" s="4527"/>
      <c r="BM157" s="4527"/>
      <c r="BN157" s="4527"/>
      <c r="BO157" s="4527"/>
      <c r="BP157" s="4527"/>
      <c r="BQ157" s="4527"/>
      <c r="BR157" s="4527"/>
      <c r="BS157" s="4527"/>
      <c r="BT157" s="4527"/>
      <c r="BU157" s="4527"/>
      <c r="BV157" s="4527"/>
      <c r="BW157" s="16"/>
    </row>
    <row r="158" spans="4:75" ht="35" hidden="1" customHeight="1" x14ac:dyDescent="0.25">
      <c r="D158" s="3006"/>
      <c r="E158" s="4553" t="s">
        <v>1534</v>
      </c>
      <c r="F158" s="3296"/>
      <c r="G158" s="3296"/>
      <c r="H158" s="3076">
        <f t="shared" si="309"/>
        <v>0</v>
      </c>
      <c r="I158" s="3296"/>
      <c r="J158" s="1061">
        <f t="shared" si="310"/>
        <v>0</v>
      </c>
      <c r="K158" s="3296"/>
      <c r="L158" s="1441">
        <f t="shared" si="311"/>
        <v>0</v>
      </c>
      <c r="M158" s="3296">
        <v>0</v>
      </c>
      <c r="N158" s="735">
        <f t="shared" si="438"/>
        <v>0</v>
      </c>
      <c r="O158" s="3296">
        <v>0</v>
      </c>
      <c r="P158" s="2868">
        <f t="shared" si="534"/>
        <v>0</v>
      </c>
      <c r="Q158" s="725">
        <f t="shared" si="313"/>
        <v>0</v>
      </c>
      <c r="R158" s="3296">
        <v>0</v>
      </c>
      <c r="S158" s="735">
        <f t="shared" si="530"/>
        <v>0</v>
      </c>
      <c r="T158" s="3296">
        <v>0</v>
      </c>
      <c r="U158" s="735">
        <f t="shared" si="531"/>
        <v>0</v>
      </c>
      <c r="V158" s="3296">
        <v>0</v>
      </c>
      <c r="W158" s="846">
        <f t="shared" si="546"/>
        <v>0</v>
      </c>
      <c r="X158" s="735">
        <f t="shared" si="547"/>
        <v>0</v>
      </c>
      <c r="Y158" s="3296">
        <v>0</v>
      </c>
      <c r="Z158" s="735">
        <f t="shared" si="548"/>
        <v>0</v>
      </c>
      <c r="AA158" s="3296">
        <v>0</v>
      </c>
      <c r="AB158" s="735">
        <f t="shared" si="549"/>
        <v>0</v>
      </c>
      <c r="AC158" s="3296">
        <v>0</v>
      </c>
      <c r="AD158" s="734">
        <f t="shared" ref="AD158:AD161" si="553">+Y158+AA158+AC158</f>
        <v>0</v>
      </c>
      <c r="AE158" s="731">
        <f t="shared" ref="AE158:AE161" si="554">+W158+AD158</f>
        <v>0</v>
      </c>
      <c r="AF158" s="2589">
        <f t="shared" si="552"/>
        <v>0</v>
      </c>
      <c r="AM158" s="4527"/>
      <c r="AN158" s="4527"/>
      <c r="AO158" s="4527"/>
      <c r="AP158" s="4527"/>
      <c r="AQ158" s="4527"/>
      <c r="AR158" s="4527"/>
      <c r="AS158" s="4527"/>
      <c r="AT158" s="4527"/>
      <c r="AU158" s="4527"/>
      <c r="AV158" s="4527"/>
      <c r="AW158" s="4527"/>
      <c r="AX158" s="4527"/>
      <c r="AY158" s="4527"/>
      <c r="AZ158" s="4527"/>
      <c r="BA158" s="4527"/>
      <c r="BB158" s="4527"/>
      <c r="BC158" s="4527"/>
      <c r="BD158" s="4527"/>
      <c r="BE158" s="4527"/>
      <c r="BF158" s="4527"/>
      <c r="BG158" s="4527"/>
      <c r="BH158" s="4527"/>
      <c r="BI158" s="4527"/>
      <c r="BJ158" s="4527"/>
      <c r="BK158" s="4527"/>
      <c r="BL158" s="4527"/>
      <c r="BM158" s="4527"/>
      <c r="BN158" s="4527"/>
      <c r="BO158" s="4527"/>
      <c r="BP158" s="4527"/>
      <c r="BQ158" s="4527"/>
      <c r="BR158" s="4527"/>
      <c r="BS158" s="4527"/>
      <c r="BT158" s="4527"/>
      <c r="BU158" s="4527"/>
      <c r="BV158" s="4527"/>
      <c r="BW158" s="16"/>
    </row>
    <row r="159" spans="4:75" ht="35" hidden="1" customHeight="1" x14ac:dyDescent="0.25">
      <c r="D159" s="3006"/>
      <c r="E159" s="4553" t="s">
        <v>1518</v>
      </c>
      <c r="F159" s="3296"/>
      <c r="G159" s="3296"/>
      <c r="H159" s="3076">
        <f>SUM(F159:G159)</f>
        <v>0</v>
      </c>
      <c r="I159" s="3296"/>
      <c r="J159" s="1061">
        <f t="shared" si="310"/>
        <v>0</v>
      </c>
      <c r="K159" s="3296"/>
      <c r="L159" s="1441">
        <f t="shared" si="311"/>
        <v>0</v>
      </c>
      <c r="M159" s="3296">
        <v>1437.14</v>
      </c>
      <c r="N159" s="735">
        <f t="shared" si="438"/>
        <v>1437.14</v>
      </c>
      <c r="O159" s="3296">
        <v>201</v>
      </c>
      <c r="P159" s="2868">
        <f t="shared" si="534"/>
        <v>1638.14</v>
      </c>
      <c r="Q159" s="725">
        <f t="shared" si="313"/>
        <v>1638.14</v>
      </c>
      <c r="R159" s="3296">
        <v>1023.34</v>
      </c>
      <c r="S159" s="735">
        <f t="shared" si="530"/>
        <v>2661.48</v>
      </c>
      <c r="T159" s="3296">
        <v>1425.8999999999999</v>
      </c>
      <c r="U159" s="735">
        <f t="shared" si="531"/>
        <v>4087.38</v>
      </c>
      <c r="V159" s="3296">
        <v>47.47</v>
      </c>
      <c r="W159" s="846">
        <f t="shared" si="546"/>
        <v>2496.7099999999996</v>
      </c>
      <c r="X159" s="735">
        <f t="shared" si="547"/>
        <v>4134.8500000000004</v>
      </c>
      <c r="Y159" s="3296">
        <v>0</v>
      </c>
      <c r="Z159" s="735">
        <f t="shared" si="548"/>
        <v>4134.8500000000004</v>
      </c>
      <c r="AA159" s="3296">
        <v>746.29000000000008</v>
      </c>
      <c r="AB159" s="735">
        <f t="shared" si="549"/>
        <v>4881.1400000000003</v>
      </c>
      <c r="AC159" s="3296">
        <v>252.95000000000002</v>
      </c>
      <c r="AD159" s="734">
        <f t="shared" si="553"/>
        <v>999.24000000000012</v>
      </c>
      <c r="AE159" s="731">
        <f t="shared" si="554"/>
        <v>3495.95</v>
      </c>
      <c r="AF159" s="2589">
        <f t="shared" si="552"/>
        <v>5134.09</v>
      </c>
      <c r="AM159" s="4527"/>
      <c r="AN159" s="4527"/>
      <c r="AO159" s="4527"/>
      <c r="AP159" s="4527"/>
      <c r="AQ159" s="4527"/>
      <c r="AR159" s="4527"/>
      <c r="AS159" s="4527"/>
      <c r="AT159" s="4527"/>
      <c r="AU159" s="4527"/>
      <c r="AV159" s="4527"/>
      <c r="AW159" s="4527"/>
      <c r="AX159" s="4527"/>
      <c r="AY159" s="4527"/>
      <c r="AZ159" s="4527"/>
      <c r="BA159" s="4527"/>
      <c r="BB159" s="4527"/>
      <c r="BC159" s="4527"/>
      <c r="BD159" s="4527"/>
      <c r="BE159" s="4527"/>
      <c r="BF159" s="4527"/>
      <c r="BG159" s="4527"/>
      <c r="BH159" s="4527"/>
      <c r="BI159" s="4527"/>
      <c r="BJ159" s="4527"/>
      <c r="BK159" s="4527"/>
      <c r="BL159" s="4527"/>
      <c r="BM159" s="4527"/>
      <c r="BN159" s="4527"/>
      <c r="BO159" s="4527"/>
      <c r="BP159" s="4527"/>
      <c r="BQ159" s="4527"/>
      <c r="BR159" s="4527"/>
      <c r="BS159" s="4527"/>
      <c r="BT159" s="4527"/>
      <c r="BU159" s="4527"/>
      <c r="BV159" s="4527"/>
      <c r="BW159" s="16"/>
    </row>
    <row r="160" spans="4:75" ht="35" hidden="1" customHeight="1" thickBot="1" x14ac:dyDescent="0.3">
      <c r="D160" s="3006"/>
      <c r="E160" s="4554" t="s">
        <v>823</v>
      </c>
      <c r="F160" s="4942"/>
      <c r="G160" s="4942"/>
      <c r="H160" s="3514">
        <f t="shared" si="309"/>
        <v>0</v>
      </c>
      <c r="I160" s="4942"/>
      <c r="J160" s="3020">
        <f t="shared" si="310"/>
        <v>0</v>
      </c>
      <c r="K160" s="4942"/>
      <c r="L160" s="3577">
        <f t="shared" si="311"/>
        <v>0</v>
      </c>
      <c r="M160" s="3297">
        <v>4211.4700000000021</v>
      </c>
      <c r="N160" s="881">
        <f t="shared" si="438"/>
        <v>4211.4700000000021</v>
      </c>
      <c r="O160" s="4940">
        <v>3687.02</v>
      </c>
      <c r="P160" s="4171">
        <f t="shared" si="534"/>
        <v>7898.4900000000016</v>
      </c>
      <c r="Q160" s="3976">
        <f t="shared" si="313"/>
        <v>7898.4900000000016</v>
      </c>
      <c r="R160" s="4942">
        <v>3411.95</v>
      </c>
      <c r="S160" s="3977">
        <f t="shared" si="530"/>
        <v>11310.440000000002</v>
      </c>
      <c r="T160" s="4942">
        <v>3588.0699999999988</v>
      </c>
      <c r="U160" s="3977">
        <f t="shared" si="531"/>
        <v>14898.510000000002</v>
      </c>
      <c r="V160" s="4942">
        <v>3931.5499999999988</v>
      </c>
      <c r="W160" s="1204">
        <f t="shared" si="546"/>
        <v>10931.569999999998</v>
      </c>
      <c r="X160" s="881">
        <f t="shared" si="547"/>
        <v>18830.060000000001</v>
      </c>
      <c r="Y160" s="4942">
        <v>4158.6500000000015</v>
      </c>
      <c r="Z160" s="3977">
        <f t="shared" si="548"/>
        <v>22988.710000000003</v>
      </c>
      <c r="AA160" s="4942">
        <v>3426.1699999999992</v>
      </c>
      <c r="AB160" s="881">
        <f t="shared" si="549"/>
        <v>26414.880000000001</v>
      </c>
      <c r="AC160" s="4942">
        <v>3710.08</v>
      </c>
      <c r="AD160" s="3975">
        <f t="shared" si="553"/>
        <v>11294.900000000001</v>
      </c>
      <c r="AE160" s="5080">
        <f t="shared" si="554"/>
        <v>22226.47</v>
      </c>
      <c r="AF160" s="5078">
        <f t="shared" si="552"/>
        <v>30124.959999999999</v>
      </c>
      <c r="AM160" s="4527"/>
      <c r="AN160" s="4527"/>
      <c r="AO160" s="4527"/>
      <c r="AP160" s="4527"/>
      <c r="AQ160" s="4527"/>
      <c r="AR160" s="4527"/>
      <c r="AS160" s="4527"/>
      <c r="AT160" s="4527"/>
      <c r="AU160" s="4527"/>
      <c r="AV160" s="4527"/>
      <c r="AW160" s="4527"/>
      <c r="AX160" s="4527"/>
      <c r="AY160" s="4527"/>
      <c r="AZ160" s="4527"/>
      <c r="BA160" s="4527"/>
      <c r="BB160" s="4527"/>
      <c r="BC160" s="4527"/>
      <c r="BD160" s="4527"/>
      <c r="BE160" s="4527"/>
      <c r="BF160" s="4527"/>
      <c r="BG160" s="4527"/>
      <c r="BH160" s="4527"/>
      <c r="BI160" s="4527"/>
      <c r="BJ160" s="4527"/>
      <c r="BK160" s="4527"/>
      <c r="BL160" s="4527"/>
      <c r="BM160" s="4527"/>
      <c r="BN160" s="4527"/>
      <c r="BO160" s="4527"/>
      <c r="BP160" s="4527"/>
      <c r="BQ160" s="4527"/>
      <c r="BR160" s="4527"/>
      <c r="BS160" s="4527"/>
      <c r="BT160" s="4527"/>
      <c r="BU160" s="4527"/>
      <c r="BV160" s="4527"/>
      <c r="BW160" s="16"/>
    </row>
    <row r="161" spans="1:75" ht="35" hidden="1" customHeight="1" x14ac:dyDescent="0.25">
      <c r="D161" s="3006"/>
      <c r="E161" s="4523" t="s">
        <v>1530</v>
      </c>
      <c r="F161" s="4943">
        <f>+F162+F168</f>
        <v>0</v>
      </c>
      <c r="G161" s="4943">
        <f>+G162+G168</f>
        <v>0</v>
      </c>
      <c r="H161" s="3530">
        <f>+F161+G161</f>
        <v>0</v>
      </c>
      <c r="I161" s="4943">
        <f>+I162+I168</f>
        <v>0</v>
      </c>
      <c r="J161" s="858">
        <f t="shared" si="310"/>
        <v>0</v>
      </c>
      <c r="K161" s="4943">
        <f>+K162+K168</f>
        <v>0</v>
      </c>
      <c r="L161" s="2483">
        <f>+K161+J161</f>
        <v>0</v>
      </c>
      <c r="M161" s="4524">
        <f>+M162+M168</f>
        <v>157.35000000000002</v>
      </c>
      <c r="N161" s="745">
        <f t="shared" si="438"/>
        <v>157.35000000000002</v>
      </c>
      <c r="O161" s="4941">
        <f>+O162+O168</f>
        <v>152.5</v>
      </c>
      <c r="P161" s="4946">
        <f t="shared" ref="P161" si="555">+K161+M161+O161</f>
        <v>309.85000000000002</v>
      </c>
      <c r="Q161" s="3976">
        <f t="shared" ref="Q161" si="556">+N161+O161</f>
        <v>309.85000000000002</v>
      </c>
      <c r="R161" s="4943">
        <f>+R162+R168</f>
        <v>73.38</v>
      </c>
      <c r="S161" s="3977">
        <f t="shared" si="530"/>
        <v>383.23</v>
      </c>
      <c r="T161" s="4943">
        <f>+T162+T168</f>
        <v>223.18</v>
      </c>
      <c r="U161" s="3977">
        <f t="shared" si="531"/>
        <v>606.41000000000008</v>
      </c>
      <c r="V161" s="4943">
        <f>+V162+V168</f>
        <v>143.95999999999998</v>
      </c>
      <c r="W161" s="805">
        <f t="shared" si="546"/>
        <v>440.52</v>
      </c>
      <c r="X161" s="745">
        <f t="shared" ref="X161:X223" si="557">+U161+V161</f>
        <v>750.37000000000012</v>
      </c>
      <c r="Y161" s="4943">
        <f>+Y162+Y168</f>
        <v>118.85</v>
      </c>
      <c r="Z161" s="3977">
        <f t="shared" si="548"/>
        <v>869.22000000000014</v>
      </c>
      <c r="AA161" s="4943">
        <f>+AA162+AA168</f>
        <v>158.03</v>
      </c>
      <c r="AB161" s="881">
        <f t="shared" si="549"/>
        <v>1027.2500000000002</v>
      </c>
      <c r="AC161" s="4943">
        <f>+AC162+AC168</f>
        <v>88.57</v>
      </c>
      <c r="AD161" s="3975">
        <f t="shared" si="553"/>
        <v>365.45</v>
      </c>
      <c r="AE161" s="5080">
        <f t="shared" si="554"/>
        <v>805.97</v>
      </c>
      <c r="AF161" s="3977">
        <f t="shared" si="552"/>
        <v>1115.8200000000002</v>
      </c>
      <c r="AM161" s="2205"/>
      <c r="AN161" s="2205"/>
      <c r="AO161" s="2205"/>
      <c r="AP161" s="2205"/>
      <c r="AQ161" s="2205"/>
      <c r="AR161" s="2205"/>
      <c r="AS161" s="2205"/>
      <c r="AT161" s="2205"/>
      <c r="AU161" s="2205"/>
      <c r="AV161" s="2205"/>
      <c r="AW161" s="2205"/>
      <c r="AX161" s="2205"/>
      <c r="AY161" s="2205"/>
      <c r="AZ161" s="2205"/>
      <c r="BA161" s="2205"/>
      <c r="BB161" s="2205"/>
      <c r="BC161" s="2205"/>
      <c r="BD161" s="2205"/>
      <c r="BE161" s="2205"/>
      <c r="BF161" s="2205"/>
      <c r="BG161" s="2205"/>
      <c r="BH161" s="2205"/>
      <c r="BI161" s="2205"/>
      <c r="BJ161" s="2205"/>
      <c r="BK161" s="2205"/>
      <c r="BL161" s="2205"/>
      <c r="BM161" s="2205"/>
      <c r="BN161" s="2205"/>
      <c r="BO161" s="2205"/>
      <c r="BP161" s="2205"/>
      <c r="BQ161" s="2205"/>
      <c r="BR161" s="2205"/>
      <c r="BS161" s="2205"/>
      <c r="BT161" s="2205"/>
      <c r="BU161" s="2205"/>
      <c r="BV161" s="2205"/>
      <c r="BW161" s="4525"/>
    </row>
    <row r="162" spans="1:75" ht="35" hidden="1" customHeight="1" x14ac:dyDescent="0.25">
      <c r="D162" s="3006"/>
      <c r="E162" s="4526" t="s">
        <v>1531</v>
      </c>
      <c r="F162" s="4521">
        <f>+F163+F164+F165+F166+F167</f>
        <v>0</v>
      </c>
      <c r="G162" s="4521">
        <f>+G163+G164+G165+G166+G167</f>
        <v>0</v>
      </c>
      <c r="H162" s="1255">
        <f t="shared" si="309"/>
        <v>0</v>
      </c>
      <c r="I162" s="4521">
        <f>+I163+I164+I165+I166+I167</f>
        <v>0</v>
      </c>
      <c r="J162" s="858">
        <f t="shared" si="310"/>
        <v>0</v>
      </c>
      <c r="K162" s="4521">
        <f>+K163+K164+K165+K166+K167</f>
        <v>0</v>
      </c>
      <c r="L162" s="1255">
        <f t="shared" si="311"/>
        <v>0</v>
      </c>
      <c r="M162" s="4521">
        <f>+M163+M164+M165+M166+M167</f>
        <v>142.41000000000003</v>
      </c>
      <c r="N162" s="743">
        <f t="shared" si="438"/>
        <v>142.41000000000003</v>
      </c>
      <c r="O162" s="4521">
        <f>+O163+O164+O165+O166+O167</f>
        <v>152.5</v>
      </c>
      <c r="P162" s="1402">
        <f t="shared" si="534"/>
        <v>294.91000000000003</v>
      </c>
      <c r="Q162" s="990">
        <f t="shared" si="313"/>
        <v>294.91000000000003</v>
      </c>
      <c r="R162" s="4521">
        <f>+R163+R164+R165+R166+R167</f>
        <v>73.38</v>
      </c>
      <c r="S162" s="690">
        <f t="shared" si="530"/>
        <v>368.29</v>
      </c>
      <c r="T162" s="4521">
        <f>+T163+T164+T165+T166+T167</f>
        <v>208.19</v>
      </c>
      <c r="U162" s="690">
        <f t="shared" si="531"/>
        <v>576.48</v>
      </c>
      <c r="V162" s="4521">
        <f>+V163+V164+V165+V166+V167</f>
        <v>143.95999999999998</v>
      </c>
      <c r="W162" s="1152">
        <f t="shared" ref="W162:AF162" si="558">+W163+W164+W165+W166+W167</f>
        <v>425.53000000000003</v>
      </c>
      <c r="X162" s="743">
        <f t="shared" si="558"/>
        <v>720.43999999999994</v>
      </c>
      <c r="Y162" s="4521">
        <f>+Y163+Y164+Y165+Y166+Y167</f>
        <v>103.91</v>
      </c>
      <c r="Z162" s="690">
        <f t="shared" si="558"/>
        <v>824.35</v>
      </c>
      <c r="AA162" s="4521">
        <f>+AA163+AA164+AA165+AA166+AA167</f>
        <v>143.03</v>
      </c>
      <c r="AB162" s="743">
        <f t="shared" si="558"/>
        <v>967.38000000000011</v>
      </c>
      <c r="AC162" s="5077">
        <f>+AC163+AC164+AC165+AC166+AC167</f>
        <v>73.679999999999993</v>
      </c>
      <c r="AD162" s="5081">
        <f t="shared" si="558"/>
        <v>320.62</v>
      </c>
      <c r="AE162" s="5082">
        <f t="shared" si="558"/>
        <v>746.14999999999986</v>
      </c>
      <c r="AF162" s="5079">
        <f t="shared" si="558"/>
        <v>1041.0600000000002</v>
      </c>
      <c r="AM162" s="4527"/>
      <c r="AN162" s="4527"/>
      <c r="AO162" s="4527"/>
      <c r="AP162" s="4527"/>
      <c r="AQ162" s="4527"/>
      <c r="AR162" s="4527"/>
      <c r="AS162" s="4527"/>
      <c r="AT162" s="4527"/>
      <c r="AU162" s="4527"/>
      <c r="AV162" s="4527"/>
      <c r="AW162" s="4527"/>
      <c r="AX162" s="4527"/>
      <c r="AY162" s="4527"/>
      <c r="AZ162" s="4527"/>
      <c r="BA162" s="4527"/>
      <c r="BB162" s="4527"/>
      <c r="BC162" s="4527"/>
      <c r="BD162" s="4527"/>
      <c r="BE162" s="4527"/>
      <c r="BF162" s="4527"/>
      <c r="BG162" s="4527"/>
      <c r="BH162" s="4527"/>
      <c r="BI162" s="4527"/>
      <c r="BJ162" s="4527"/>
      <c r="BK162" s="4527"/>
      <c r="BL162" s="4527"/>
      <c r="BM162" s="4527"/>
      <c r="BN162" s="4527"/>
      <c r="BO162" s="4527"/>
      <c r="BP162" s="4527"/>
      <c r="BQ162" s="4527"/>
      <c r="BR162" s="4527"/>
      <c r="BS162" s="4527"/>
      <c r="BT162" s="4527"/>
      <c r="BU162" s="4527"/>
      <c r="BV162" s="4527"/>
      <c r="BW162" s="16"/>
    </row>
    <row r="163" spans="1:75" ht="35" hidden="1" customHeight="1" x14ac:dyDescent="0.25">
      <c r="D163" s="3006"/>
      <c r="E163" s="4528" t="s">
        <v>83</v>
      </c>
      <c r="F163" s="3296"/>
      <c r="G163" s="3296"/>
      <c r="H163" s="1443">
        <f t="shared" si="309"/>
        <v>0</v>
      </c>
      <c r="I163" s="3296"/>
      <c r="J163" s="1052">
        <f t="shared" si="310"/>
        <v>0</v>
      </c>
      <c r="K163" s="3296"/>
      <c r="L163" s="1443">
        <f t="shared" ref="L163:L170" si="559">+J163+K163</f>
        <v>0</v>
      </c>
      <c r="M163" s="3296">
        <v>49.370000000000005</v>
      </c>
      <c r="N163" s="745">
        <f t="shared" si="438"/>
        <v>49.370000000000005</v>
      </c>
      <c r="O163" s="3296">
        <v>59.42</v>
      </c>
      <c r="P163" s="4947">
        <f t="shared" si="534"/>
        <v>108.79</v>
      </c>
      <c r="Q163" s="725">
        <f t="shared" si="313"/>
        <v>108.79</v>
      </c>
      <c r="R163" s="3296">
        <v>9.82</v>
      </c>
      <c r="S163" s="735">
        <f t="shared" si="530"/>
        <v>118.61000000000001</v>
      </c>
      <c r="T163" s="3296">
        <v>99.29000000000002</v>
      </c>
      <c r="U163" s="735">
        <f t="shared" si="531"/>
        <v>217.90000000000003</v>
      </c>
      <c r="V163" s="3296">
        <v>59.6</v>
      </c>
      <c r="W163" s="805">
        <f t="shared" si="546"/>
        <v>168.71</v>
      </c>
      <c r="X163" s="745">
        <f t="shared" si="557"/>
        <v>277.50000000000006</v>
      </c>
      <c r="Y163" s="3296">
        <v>39.81</v>
      </c>
      <c r="Z163" s="735">
        <f t="shared" ref="Z163:Z223" si="560">+X163+Y163</f>
        <v>317.31000000000006</v>
      </c>
      <c r="AA163" s="3296">
        <v>49.480000000000004</v>
      </c>
      <c r="AB163" s="745">
        <f t="shared" ref="AB163:AB223" si="561">+Z163+AA163</f>
        <v>366.79000000000008</v>
      </c>
      <c r="AC163" s="3296">
        <v>29.490000000000002</v>
      </c>
      <c r="AD163" s="904">
        <f t="shared" si="550"/>
        <v>118.78</v>
      </c>
      <c r="AE163" s="1298">
        <f t="shared" ref="AE163:AE223" si="562">+W163+AD163</f>
        <v>287.49</v>
      </c>
      <c r="AF163" s="1474">
        <f t="shared" si="552"/>
        <v>396.28000000000009</v>
      </c>
      <c r="AM163" s="4527"/>
      <c r="AN163" s="4527"/>
      <c r="AO163" s="4527"/>
      <c r="AP163" s="4527"/>
      <c r="AQ163" s="4527"/>
      <c r="AR163" s="4527"/>
      <c r="AS163" s="4527"/>
      <c r="AT163" s="4527"/>
      <c r="AU163" s="4527"/>
      <c r="AV163" s="4527"/>
      <c r="AW163" s="4527"/>
      <c r="AX163" s="4527"/>
      <c r="AY163" s="4527"/>
      <c r="AZ163" s="4527"/>
      <c r="BA163" s="4527"/>
      <c r="BB163" s="4527"/>
      <c r="BC163" s="4527"/>
      <c r="BD163" s="4527"/>
      <c r="BE163" s="4527"/>
      <c r="BF163" s="4527"/>
      <c r="BG163" s="4527"/>
      <c r="BH163" s="4527"/>
      <c r="BI163" s="4527"/>
      <c r="BJ163" s="4527"/>
      <c r="BK163" s="4527"/>
      <c r="BL163" s="4527"/>
      <c r="BM163" s="4527"/>
      <c r="BN163" s="4527"/>
      <c r="BO163" s="4527"/>
      <c r="BP163" s="4527"/>
      <c r="BQ163" s="4527"/>
      <c r="BR163" s="4527"/>
      <c r="BS163" s="4527"/>
      <c r="BT163" s="4527"/>
      <c r="BU163" s="4527"/>
      <c r="BV163" s="4527"/>
      <c r="BW163" s="16"/>
    </row>
    <row r="164" spans="1:75" ht="35" hidden="1" customHeight="1" x14ac:dyDescent="0.25">
      <c r="D164" s="3006"/>
      <c r="E164" s="4528" t="s">
        <v>84</v>
      </c>
      <c r="F164" s="3426"/>
      <c r="G164" s="3426"/>
      <c r="H164" s="1443">
        <f t="shared" si="309"/>
        <v>0</v>
      </c>
      <c r="I164" s="3426"/>
      <c r="J164" s="1052">
        <f t="shared" si="310"/>
        <v>0</v>
      </c>
      <c r="K164" s="3426"/>
      <c r="L164" s="1443">
        <f t="shared" si="559"/>
        <v>0</v>
      </c>
      <c r="M164" s="3426">
        <v>59.18</v>
      </c>
      <c r="N164" s="745">
        <f t="shared" si="438"/>
        <v>59.18</v>
      </c>
      <c r="O164" s="3426">
        <v>59.33</v>
      </c>
      <c r="P164" s="4947">
        <f t="shared" si="534"/>
        <v>118.50999999999999</v>
      </c>
      <c r="Q164" s="725">
        <f t="shared" si="313"/>
        <v>118.50999999999999</v>
      </c>
      <c r="R164" s="3426">
        <v>49.44</v>
      </c>
      <c r="S164" s="735">
        <f t="shared" si="530"/>
        <v>167.95</v>
      </c>
      <c r="T164" s="3426">
        <v>99.149999999999991</v>
      </c>
      <c r="U164" s="735">
        <f t="shared" si="531"/>
        <v>267.09999999999997</v>
      </c>
      <c r="V164" s="3426">
        <v>59.680000000000007</v>
      </c>
      <c r="W164" s="805">
        <f t="shared" si="546"/>
        <v>208.26999999999998</v>
      </c>
      <c r="X164" s="745">
        <f t="shared" si="557"/>
        <v>326.77999999999997</v>
      </c>
      <c r="Y164" s="3426">
        <v>39.75</v>
      </c>
      <c r="Z164" s="735">
        <f t="shared" si="560"/>
        <v>366.53</v>
      </c>
      <c r="AA164" s="3426">
        <v>49.739999999999995</v>
      </c>
      <c r="AB164" s="745">
        <f t="shared" si="561"/>
        <v>416.27</v>
      </c>
      <c r="AC164" s="3426">
        <v>19.829999999999998</v>
      </c>
      <c r="AD164" s="904">
        <f t="shared" si="550"/>
        <v>109.32</v>
      </c>
      <c r="AE164" s="1298">
        <f t="shared" si="562"/>
        <v>317.58999999999997</v>
      </c>
      <c r="AF164" s="1474">
        <f t="shared" si="552"/>
        <v>436.09999999999997</v>
      </c>
      <c r="AM164" s="4527"/>
      <c r="AN164" s="4527"/>
      <c r="AO164" s="4527"/>
      <c r="AP164" s="4527"/>
      <c r="AQ164" s="4527"/>
      <c r="AR164" s="4527"/>
      <c r="AS164" s="4527"/>
      <c r="AT164" s="4527"/>
      <c r="AU164" s="4527"/>
      <c r="AV164" s="4527"/>
      <c r="AW164" s="4527"/>
      <c r="AX164" s="4527"/>
      <c r="AY164" s="4527"/>
      <c r="AZ164" s="4527"/>
      <c r="BA164" s="4527"/>
      <c r="BB164" s="4527"/>
      <c r="BC164" s="4527"/>
      <c r="BD164" s="4527"/>
      <c r="BE164" s="4527"/>
      <c r="BF164" s="4527"/>
      <c r="BG164" s="4527"/>
      <c r="BH164" s="4527"/>
      <c r="BI164" s="4527"/>
      <c r="BJ164" s="4527"/>
      <c r="BK164" s="4527"/>
      <c r="BL164" s="4527"/>
      <c r="BM164" s="4527"/>
      <c r="BN164" s="4527"/>
      <c r="BO164" s="4527"/>
      <c r="BP164" s="4527"/>
      <c r="BQ164" s="4527"/>
      <c r="BR164" s="4527"/>
      <c r="BS164" s="4527"/>
      <c r="BT164" s="4527"/>
      <c r="BU164" s="4527"/>
      <c r="BV164" s="4527"/>
      <c r="BW164" s="16"/>
    </row>
    <row r="165" spans="1:75" ht="35" hidden="1" customHeight="1" x14ac:dyDescent="0.25">
      <c r="D165" s="3006"/>
      <c r="E165" s="4528" t="s">
        <v>85</v>
      </c>
      <c r="F165" s="1980"/>
      <c r="G165" s="1980"/>
      <c r="H165" s="1443">
        <f t="shared" si="309"/>
        <v>0</v>
      </c>
      <c r="I165" s="1980"/>
      <c r="J165" s="1052">
        <f t="shared" si="310"/>
        <v>0</v>
      </c>
      <c r="K165" s="1980"/>
      <c r="L165" s="1443">
        <f t="shared" si="559"/>
        <v>0</v>
      </c>
      <c r="M165" s="1980">
        <v>9.7100000000000009</v>
      </c>
      <c r="N165" s="745">
        <f t="shared" si="438"/>
        <v>9.7100000000000009</v>
      </c>
      <c r="O165" s="1980">
        <v>9.76</v>
      </c>
      <c r="P165" s="4947">
        <f t="shared" si="534"/>
        <v>19.47</v>
      </c>
      <c r="Q165" s="725">
        <f t="shared" si="313"/>
        <v>19.47</v>
      </c>
      <c r="R165" s="1980">
        <v>0</v>
      </c>
      <c r="S165" s="735">
        <f t="shared" si="530"/>
        <v>19.47</v>
      </c>
      <c r="T165" s="1980">
        <v>9.75</v>
      </c>
      <c r="U165" s="735">
        <f t="shared" si="531"/>
        <v>29.22</v>
      </c>
      <c r="V165" s="1980">
        <v>0</v>
      </c>
      <c r="W165" s="805">
        <f t="shared" si="546"/>
        <v>9.75</v>
      </c>
      <c r="X165" s="745">
        <f t="shared" si="557"/>
        <v>29.22</v>
      </c>
      <c r="Y165" s="1980">
        <v>0</v>
      </c>
      <c r="Z165" s="735">
        <f t="shared" si="560"/>
        <v>29.22</v>
      </c>
      <c r="AA165" s="1980">
        <v>9.77</v>
      </c>
      <c r="AB165" s="745">
        <f t="shared" si="561"/>
        <v>38.989999999999995</v>
      </c>
      <c r="AC165" s="1980">
        <v>9.73</v>
      </c>
      <c r="AD165" s="904">
        <f t="shared" si="550"/>
        <v>19.5</v>
      </c>
      <c r="AE165" s="1298">
        <f t="shared" si="562"/>
        <v>29.25</v>
      </c>
      <c r="AF165" s="1474">
        <f t="shared" si="552"/>
        <v>48.72</v>
      </c>
      <c r="AM165" s="4527"/>
      <c r="AN165" s="4527"/>
      <c r="AO165" s="4527"/>
      <c r="AP165" s="4527"/>
      <c r="AQ165" s="4527"/>
      <c r="AR165" s="4527"/>
      <c r="AS165" s="4527"/>
      <c r="AT165" s="4527"/>
      <c r="AU165" s="4527"/>
      <c r="AV165" s="4527"/>
      <c r="AW165" s="4527"/>
      <c r="AX165" s="4527"/>
      <c r="AY165" s="4527"/>
      <c r="AZ165" s="4527"/>
      <c r="BA165" s="4527"/>
      <c r="BB165" s="4527"/>
      <c r="BC165" s="4527"/>
      <c r="BD165" s="4527"/>
      <c r="BE165" s="4527"/>
      <c r="BF165" s="4527"/>
      <c r="BG165" s="4527"/>
      <c r="BH165" s="4527"/>
      <c r="BI165" s="4527"/>
      <c r="BJ165" s="4527"/>
      <c r="BK165" s="4527"/>
      <c r="BL165" s="4527"/>
      <c r="BM165" s="4527"/>
      <c r="BN165" s="4527"/>
      <c r="BO165" s="4527"/>
      <c r="BP165" s="4527"/>
      <c r="BQ165" s="4527"/>
      <c r="BR165" s="4527"/>
      <c r="BS165" s="4527"/>
      <c r="BT165" s="4527"/>
      <c r="BU165" s="4527"/>
      <c r="BV165" s="4527"/>
      <c r="BW165" s="16"/>
    </row>
    <row r="166" spans="1:75" ht="35" hidden="1" customHeight="1" x14ac:dyDescent="0.25">
      <c r="D166" s="3006"/>
      <c r="E166" s="4528" t="s">
        <v>86</v>
      </c>
      <c r="F166" s="1980"/>
      <c r="G166" s="1980"/>
      <c r="H166" s="1443">
        <f t="shared" si="309"/>
        <v>0</v>
      </c>
      <c r="I166" s="1980"/>
      <c r="J166" s="1052">
        <f t="shared" si="310"/>
        <v>0</v>
      </c>
      <c r="K166" s="1980"/>
      <c r="L166" s="1443">
        <f t="shared" si="559"/>
        <v>0</v>
      </c>
      <c r="M166" s="1980">
        <v>9.6999999999999993</v>
      </c>
      <c r="N166" s="745">
        <f t="shared" si="438"/>
        <v>9.6999999999999993</v>
      </c>
      <c r="O166" s="1980">
        <v>9.75</v>
      </c>
      <c r="P166" s="4947">
        <f t="shared" si="534"/>
        <v>19.45</v>
      </c>
      <c r="Q166" s="725">
        <f t="shared" si="313"/>
        <v>19.45</v>
      </c>
      <c r="R166" s="1980">
        <v>0</v>
      </c>
      <c r="S166" s="735">
        <f t="shared" si="530"/>
        <v>19.45</v>
      </c>
      <c r="T166" s="1980">
        <v>0</v>
      </c>
      <c r="U166" s="735">
        <f t="shared" si="531"/>
        <v>19.45</v>
      </c>
      <c r="V166" s="1980">
        <v>9.82</v>
      </c>
      <c r="W166" s="805">
        <f t="shared" si="546"/>
        <v>9.82</v>
      </c>
      <c r="X166" s="745">
        <f t="shared" si="557"/>
        <v>29.27</v>
      </c>
      <c r="Y166" s="1980">
        <v>9.75</v>
      </c>
      <c r="Z166" s="735">
        <f t="shared" si="560"/>
        <v>39.019999999999996</v>
      </c>
      <c r="AA166" s="1980">
        <v>19.57</v>
      </c>
      <c r="AB166" s="745">
        <f t="shared" si="561"/>
        <v>58.589999999999996</v>
      </c>
      <c r="AC166" s="1980">
        <v>0</v>
      </c>
      <c r="AD166" s="904">
        <f t="shared" si="550"/>
        <v>29.32</v>
      </c>
      <c r="AE166" s="1298">
        <f t="shared" si="562"/>
        <v>39.14</v>
      </c>
      <c r="AF166" s="1474">
        <f t="shared" si="552"/>
        <v>58.589999999999996</v>
      </c>
      <c r="AM166" s="4527"/>
      <c r="AN166" s="4527"/>
      <c r="AO166" s="4527"/>
      <c r="AP166" s="4527"/>
      <c r="AQ166" s="4527"/>
      <c r="AR166" s="4527"/>
      <c r="AS166" s="4527"/>
      <c r="AT166" s="4527"/>
      <c r="AU166" s="4527"/>
      <c r="AV166" s="4527"/>
      <c r="AW166" s="4527"/>
      <c r="AX166" s="4527"/>
      <c r="AY166" s="4527"/>
      <c r="AZ166" s="4527"/>
      <c r="BA166" s="4527"/>
      <c r="BB166" s="4527"/>
      <c r="BC166" s="4527"/>
      <c r="BD166" s="4527"/>
      <c r="BE166" s="4527"/>
      <c r="BF166" s="4527"/>
      <c r="BG166" s="4527"/>
      <c r="BH166" s="4527"/>
      <c r="BI166" s="4527"/>
      <c r="BJ166" s="4527"/>
      <c r="BK166" s="4527"/>
      <c r="BL166" s="4527"/>
      <c r="BM166" s="4527"/>
      <c r="BN166" s="4527"/>
      <c r="BO166" s="4527"/>
      <c r="BP166" s="4527"/>
      <c r="BQ166" s="4527"/>
      <c r="BR166" s="4527"/>
      <c r="BS166" s="4527"/>
      <c r="BT166" s="4527"/>
      <c r="BU166" s="4527"/>
      <c r="BV166" s="4527"/>
      <c r="BW166" s="16"/>
    </row>
    <row r="167" spans="1:75" ht="35" hidden="1" customHeight="1" thickBot="1" x14ac:dyDescent="0.3">
      <c r="D167" s="3006"/>
      <c r="E167" s="4528" t="s">
        <v>87</v>
      </c>
      <c r="F167" s="3297"/>
      <c r="G167" s="3297"/>
      <c r="H167" s="4520">
        <f t="shared" si="309"/>
        <v>0</v>
      </c>
      <c r="I167" s="3297"/>
      <c r="J167" s="3482">
        <f t="shared" si="310"/>
        <v>0</v>
      </c>
      <c r="K167" s="3297"/>
      <c r="L167" s="3518">
        <f t="shared" si="559"/>
        <v>0</v>
      </c>
      <c r="M167" s="3297">
        <v>14.45</v>
      </c>
      <c r="N167" s="747">
        <f t="shared" si="438"/>
        <v>14.45</v>
      </c>
      <c r="O167" s="3297">
        <v>14.24</v>
      </c>
      <c r="P167" s="4948">
        <f t="shared" si="534"/>
        <v>28.689999999999998</v>
      </c>
      <c r="Q167" s="4945">
        <f t="shared" si="313"/>
        <v>28.689999999999998</v>
      </c>
      <c r="R167" s="3297">
        <v>14.12</v>
      </c>
      <c r="S167" s="737">
        <f t="shared" si="530"/>
        <v>42.809999999999995</v>
      </c>
      <c r="T167" s="3297">
        <v>0</v>
      </c>
      <c r="U167" s="737">
        <f t="shared" si="531"/>
        <v>42.809999999999995</v>
      </c>
      <c r="V167" s="3297">
        <v>14.86</v>
      </c>
      <c r="W167" s="1190">
        <f t="shared" si="546"/>
        <v>28.979999999999997</v>
      </c>
      <c r="X167" s="747">
        <f t="shared" si="557"/>
        <v>57.669999999999995</v>
      </c>
      <c r="Y167" s="3297">
        <v>14.6</v>
      </c>
      <c r="Z167" s="737">
        <f t="shared" si="560"/>
        <v>72.27</v>
      </c>
      <c r="AA167" s="3297">
        <v>14.47</v>
      </c>
      <c r="AB167" s="747">
        <f t="shared" si="561"/>
        <v>86.74</v>
      </c>
      <c r="AC167" s="3297">
        <v>14.63</v>
      </c>
      <c r="AD167" s="921">
        <f t="shared" si="550"/>
        <v>43.7</v>
      </c>
      <c r="AE167" s="1299">
        <f t="shared" si="562"/>
        <v>72.680000000000007</v>
      </c>
      <c r="AF167" s="2591">
        <f t="shared" si="552"/>
        <v>101.36999999999999</v>
      </c>
      <c r="AM167" s="4527"/>
      <c r="AN167" s="4527"/>
      <c r="AO167" s="4527"/>
      <c r="AP167" s="4527"/>
      <c r="AQ167" s="4527"/>
      <c r="AR167" s="4527"/>
      <c r="AS167" s="4527"/>
      <c r="AT167" s="4527"/>
      <c r="AU167" s="4527"/>
      <c r="AV167" s="4527"/>
      <c r="AW167" s="4527"/>
      <c r="AX167" s="4527"/>
      <c r="AY167" s="4527"/>
      <c r="AZ167" s="4527"/>
      <c r="BA167" s="4527"/>
      <c r="BB167" s="4527"/>
      <c r="BC167" s="4527"/>
      <c r="BD167" s="4527"/>
      <c r="BE167" s="4527"/>
      <c r="BF167" s="4527"/>
      <c r="BG167" s="4527"/>
      <c r="BH167" s="4527"/>
      <c r="BI167" s="4527"/>
      <c r="BJ167" s="4527"/>
      <c r="BK167" s="4527"/>
      <c r="BL167" s="4527"/>
      <c r="BM167" s="4527"/>
      <c r="BN167" s="4527"/>
      <c r="BO167" s="4527"/>
      <c r="BP167" s="4527"/>
      <c r="BQ167" s="4527"/>
      <c r="BR167" s="4527"/>
      <c r="BS167" s="4527"/>
      <c r="BT167" s="4527"/>
      <c r="BU167" s="4527"/>
      <c r="BV167" s="4527"/>
      <c r="BW167" s="16"/>
    </row>
    <row r="168" spans="1:75" ht="35" hidden="1" customHeight="1" thickBot="1" x14ac:dyDescent="0.3">
      <c r="D168" s="3006"/>
      <c r="E168" s="4531" t="s">
        <v>1532</v>
      </c>
      <c r="F168" s="2568"/>
      <c r="G168" s="2568"/>
      <c r="H168" s="4529">
        <f t="shared" si="309"/>
        <v>0</v>
      </c>
      <c r="I168" s="2568"/>
      <c r="J168" s="3483">
        <f t="shared" si="310"/>
        <v>0</v>
      </c>
      <c r="K168" s="2568"/>
      <c r="L168" s="3519">
        <f t="shared" si="559"/>
        <v>0</v>
      </c>
      <c r="M168" s="2568">
        <v>14.94</v>
      </c>
      <c r="N168" s="748">
        <f t="shared" si="438"/>
        <v>14.94</v>
      </c>
      <c r="O168" s="2568">
        <v>0</v>
      </c>
      <c r="P168" s="4949">
        <f t="shared" si="534"/>
        <v>14.94</v>
      </c>
      <c r="Q168" s="4950">
        <f t="shared" si="313"/>
        <v>14.94</v>
      </c>
      <c r="R168" s="2568">
        <v>0</v>
      </c>
      <c r="S168" s="748">
        <f t="shared" si="530"/>
        <v>14.94</v>
      </c>
      <c r="T168" s="2568">
        <v>14.99</v>
      </c>
      <c r="U168" s="748">
        <f t="shared" si="531"/>
        <v>29.93</v>
      </c>
      <c r="V168" s="2568"/>
      <c r="W168" s="1191">
        <f t="shared" si="546"/>
        <v>14.99</v>
      </c>
      <c r="X168" s="748">
        <f t="shared" si="557"/>
        <v>29.93</v>
      </c>
      <c r="Y168" s="2568">
        <v>14.94</v>
      </c>
      <c r="Z168" s="748">
        <f t="shared" si="560"/>
        <v>44.87</v>
      </c>
      <c r="AA168" s="2568">
        <v>15</v>
      </c>
      <c r="AB168" s="748">
        <f t="shared" si="561"/>
        <v>59.87</v>
      </c>
      <c r="AC168" s="2568">
        <v>14.89</v>
      </c>
      <c r="AD168" s="1300">
        <f>+Y168+AA168+AC168</f>
        <v>44.83</v>
      </c>
      <c r="AE168" s="1301">
        <f t="shared" si="562"/>
        <v>59.82</v>
      </c>
      <c r="AF168" s="2592">
        <f t="shared" si="552"/>
        <v>74.759999999999991</v>
      </c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4530"/>
    </row>
    <row r="169" spans="1:75" ht="35" hidden="1" customHeight="1" x14ac:dyDescent="0.25">
      <c r="D169" s="3006"/>
      <c r="E169" s="4555" t="s">
        <v>1774</v>
      </c>
      <c r="F169" s="3300"/>
      <c r="G169" s="3300"/>
      <c r="H169" s="821">
        <f t="shared" si="309"/>
        <v>0</v>
      </c>
      <c r="I169" s="3300"/>
      <c r="J169" s="713">
        <f t="shared" si="310"/>
        <v>0</v>
      </c>
      <c r="K169" s="3300"/>
      <c r="L169" s="821">
        <f t="shared" si="559"/>
        <v>0</v>
      </c>
      <c r="M169" s="3300">
        <v>1143.5</v>
      </c>
      <c r="N169" s="693">
        <f t="shared" si="438"/>
        <v>1143.5</v>
      </c>
      <c r="O169" s="3300">
        <v>1017.09</v>
      </c>
      <c r="P169" s="2868">
        <f t="shared" si="534"/>
        <v>2160.59</v>
      </c>
      <c r="Q169" s="725">
        <f t="shared" si="313"/>
        <v>2160.59</v>
      </c>
      <c r="R169" s="3300">
        <v>1056.47</v>
      </c>
      <c r="S169" s="693">
        <f t="shared" si="530"/>
        <v>3217.0600000000004</v>
      </c>
      <c r="T169" s="3300">
        <v>1363.1799999999994</v>
      </c>
      <c r="U169" s="693">
        <f t="shared" si="531"/>
        <v>4580.24</v>
      </c>
      <c r="V169" s="3300">
        <v>1178.7900000000002</v>
      </c>
      <c r="W169" s="1006">
        <f t="shared" si="546"/>
        <v>3598.4399999999996</v>
      </c>
      <c r="X169" s="693">
        <f t="shared" si="557"/>
        <v>5759.03</v>
      </c>
      <c r="Y169" s="3300">
        <v>1028.08</v>
      </c>
      <c r="Z169" s="693">
        <f t="shared" si="560"/>
        <v>6787.11</v>
      </c>
      <c r="AA169" s="3300">
        <v>768.21000000000026</v>
      </c>
      <c r="AB169" s="751">
        <f t="shared" si="561"/>
        <v>7555.32</v>
      </c>
      <c r="AC169" s="3300">
        <v>516.88000000000011</v>
      </c>
      <c r="AD169" s="750">
        <f t="shared" ref="AD169:AD170" si="563">+Y169+AA169+AC169</f>
        <v>2313.17</v>
      </c>
      <c r="AE169" s="1433">
        <f t="shared" ref="AE169:AE170" si="564">+W169+AD169</f>
        <v>5911.61</v>
      </c>
      <c r="AF169" s="2593">
        <f t="shared" si="552"/>
        <v>8072.2</v>
      </c>
      <c r="AM169" s="4527"/>
      <c r="AN169" s="4527"/>
      <c r="AO169" s="4527"/>
      <c r="AP169" s="4527"/>
      <c r="AQ169" s="4527"/>
      <c r="AR169" s="4527"/>
      <c r="AS169" s="4527"/>
      <c r="AT169" s="4527"/>
      <c r="AU169" s="4527"/>
      <c r="AV169" s="4527"/>
      <c r="AW169" s="4527"/>
      <c r="AX169" s="4527"/>
      <c r="AY169" s="4527"/>
      <c r="AZ169" s="4527"/>
      <c r="BA169" s="4527"/>
      <c r="BB169" s="4527"/>
      <c r="BC169" s="4527"/>
      <c r="BD169" s="4527"/>
      <c r="BE169" s="4527"/>
      <c r="BF169" s="4527"/>
      <c r="BG169" s="4527"/>
      <c r="BH169" s="4527"/>
      <c r="BI169" s="4527"/>
      <c r="BJ169" s="4527"/>
      <c r="BK169" s="4527"/>
      <c r="BL169" s="4527"/>
      <c r="BM169" s="4527"/>
      <c r="BN169" s="4527"/>
      <c r="BO169" s="4527"/>
      <c r="BP169" s="4527"/>
      <c r="BQ169" s="4527"/>
      <c r="BR169" s="4527"/>
      <c r="BS169" s="4527"/>
      <c r="BT169" s="4527"/>
      <c r="BU169" s="4527"/>
      <c r="BV169" s="4527"/>
      <c r="BW169" s="16"/>
    </row>
    <row r="170" spans="1:75" ht="35" hidden="1" customHeight="1" x14ac:dyDescent="0.3">
      <c r="A170" s="5"/>
      <c r="D170" s="3006"/>
      <c r="E170" s="4556" t="s">
        <v>824</v>
      </c>
      <c r="F170" s="3296"/>
      <c r="G170" s="3296"/>
      <c r="H170" s="686">
        <f t="shared" si="309"/>
        <v>0</v>
      </c>
      <c r="I170" s="3296"/>
      <c r="J170" s="815">
        <f t="shared" si="310"/>
        <v>0</v>
      </c>
      <c r="K170" s="3296"/>
      <c r="L170" s="686">
        <f t="shared" si="559"/>
        <v>0</v>
      </c>
      <c r="M170" s="3296">
        <v>0</v>
      </c>
      <c r="N170" s="735">
        <f t="shared" si="438"/>
        <v>0</v>
      </c>
      <c r="O170" s="3296">
        <v>0</v>
      </c>
      <c r="P170" s="2868">
        <f t="shared" si="534"/>
        <v>0</v>
      </c>
      <c r="Q170" s="769">
        <f t="shared" si="313"/>
        <v>0</v>
      </c>
      <c r="R170" s="3296">
        <v>0</v>
      </c>
      <c r="S170" s="735">
        <f t="shared" si="530"/>
        <v>0</v>
      </c>
      <c r="T170" s="3296">
        <v>0</v>
      </c>
      <c r="U170" s="735">
        <f t="shared" si="531"/>
        <v>0</v>
      </c>
      <c r="V170" s="3296">
        <v>0</v>
      </c>
      <c r="W170" s="846">
        <f t="shared" si="546"/>
        <v>0</v>
      </c>
      <c r="X170" s="735">
        <f t="shared" si="557"/>
        <v>0</v>
      </c>
      <c r="Y170" s="3296">
        <v>0</v>
      </c>
      <c r="Z170" s="735">
        <f t="shared" si="560"/>
        <v>0</v>
      </c>
      <c r="AA170" s="3296"/>
      <c r="AB170" s="735">
        <f t="shared" si="561"/>
        <v>0</v>
      </c>
      <c r="AC170" s="3296">
        <v>0</v>
      </c>
      <c r="AD170" s="904">
        <f t="shared" si="563"/>
        <v>0</v>
      </c>
      <c r="AE170" s="1298">
        <f t="shared" si="564"/>
        <v>0</v>
      </c>
      <c r="AF170" s="2590">
        <f t="shared" si="552"/>
        <v>0</v>
      </c>
      <c r="AM170" s="4527"/>
      <c r="AN170" s="4527"/>
      <c r="AO170" s="4527"/>
      <c r="AP170" s="4527"/>
      <c r="AQ170" s="4527"/>
      <c r="AR170" s="4527"/>
      <c r="AS170" s="4527"/>
      <c r="AT170" s="4527"/>
      <c r="AU170" s="4527"/>
      <c r="AV170" s="4527"/>
      <c r="AW170" s="4527"/>
      <c r="AX170" s="4527"/>
      <c r="AY170" s="4527"/>
      <c r="AZ170" s="4527"/>
      <c r="BA170" s="4527"/>
      <c r="BB170" s="4527"/>
      <c r="BC170" s="4527"/>
      <c r="BD170" s="4527"/>
      <c r="BE170" s="4527"/>
      <c r="BF170" s="4527"/>
      <c r="BG170" s="4527"/>
      <c r="BH170" s="4527"/>
      <c r="BI170" s="4527"/>
      <c r="BJ170" s="4527"/>
      <c r="BK170" s="4527"/>
      <c r="BL170" s="4527"/>
      <c r="BM170" s="4527"/>
      <c r="BN170" s="4527"/>
      <c r="BO170" s="4527"/>
      <c r="BP170" s="4527"/>
      <c r="BQ170" s="4527"/>
      <c r="BR170" s="4527"/>
      <c r="BS170" s="4527"/>
      <c r="BT170" s="4527"/>
      <c r="BU170" s="4527"/>
      <c r="BV170" s="4527"/>
      <c r="BW170" s="16"/>
    </row>
    <row r="171" spans="1:75" ht="35" hidden="1" customHeight="1" x14ac:dyDescent="0.25">
      <c r="D171" s="3006"/>
      <c r="E171" s="4555" t="s">
        <v>826</v>
      </c>
      <c r="F171" s="3300"/>
      <c r="G171" s="3300"/>
      <c r="H171" s="712">
        <f t="shared" si="309"/>
        <v>0</v>
      </c>
      <c r="I171" s="3300"/>
      <c r="J171" s="713">
        <f t="shared" si="310"/>
        <v>0</v>
      </c>
      <c r="K171" s="3300"/>
      <c r="L171" s="821">
        <f t="shared" si="311"/>
        <v>0</v>
      </c>
      <c r="M171" s="3300">
        <v>0</v>
      </c>
      <c r="N171" s="693">
        <f t="shared" si="438"/>
        <v>0</v>
      </c>
      <c r="O171" s="3300">
        <v>0</v>
      </c>
      <c r="P171" s="2868">
        <f t="shared" si="534"/>
        <v>0</v>
      </c>
      <c r="Q171" s="725">
        <f t="shared" si="313"/>
        <v>0</v>
      </c>
      <c r="R171" s="3300">
        <v>0</v>
      </c>
      <c r="S171" s="693">
        <f t="shared" si="530"/>
        <v>0</v>
      </c>
      <c r="T171" s="3300">
        <v>0</v>
      </c>
      <c r="U171" s="693">
        <f t="shared" si="531"/>
        <v>0</v>
      </c>
      <c r="V171" s="3300">
        <v>0</v>
      </c>
      <c r="W171" s="1006">
        <f t="shared" si="546"/>
        <v>0</v>
      </c>
      <c r="X171" s="693">
        <f t="shared" si="557"/>
        <v>0</v>
      </c>
      <c r="Y171" s="3300">
        <v>0</v>
      </c>
      <c r="Z171" s="693">
        <f t="shared" si="560"/>
        <v>0</v>
      </c>
      <c r="AA171" s="3300"/>
      <c r="AB171" s="693">
        <f t="shared" si="561"/>
        <v>0</v>
      </c>
      <c r="AC171" s="3300">
        <v>0</v>
      </c>
      <c r="AD171" s="734">
        <f t="shared" ref="AD171:AD223" si="565">+Y171+AA171+AC171</f>
        <v>0</v>
      </c>
      <c r="AE171" s="731">
        <f t="shared" si="562"/>
        <v>0</v>
      </c>
      <c r="AF171" s="2590">
        <f t="shared" si="552"/>
        <v>0</v>
      </c>
      <c r="AM171" s="4527"/>
      <c r="AN171" s="4527"/>
      <c r="AO171" s="4527"/>
      <c r="AP171" s="4527"/>
      <c r="AQ171" s="4527"/>
      <c r="AR171" s="4527"/>
      <c r="AS171" s="4527"/>
      <c r="AT171" s="4527"/>
      <c r="AU171" s="4527"/>
      <c r="AV171" s="4527"/>
      <c r="AW171" s="4527"/>
      <c r="AX171" s="4527"/>
      <c r="AY171" s="4527"/>
      <c r="AZ171" s="4527"/>
      <c r="BA171" s="4527"/>
      <c r="BB171" s="4527"/>
      <c r="BC171" s="4527"/>
      <c r="BD171" s="4527"/>
      <c r="BE171" s="4527"/>
      <c r="BF171" s="4527"/>
      <c r="BG171" s="4527"/>
      <c r="BH171" s="4527"/>
      <c r="BI171" s="4527"/>
      <c r="BJ171" s="4527"/>
      <c r="BK171" s="4527"/>
      <c r="BL171" s="4527"/>
      <c r="BM171" s="4527"/>
      <c r="BN171" s="4527"/>
      <c r="BO171" s="4527"/>
      <c r="BP171" s="4527"/>
      <c r="BQ171" s="4527"/>
      <c r="BR171" s="4527"/>
      <c r="BS171" s="4527"/>
      <c r="BT171" s="4527"/>
      <c r="BU171" s="4527"/>
      <c r="BV171" s="4527"/>
      <c r="BW171" s="16"/>
    </row>
    <row r="172" spans="1:75" ht="35" hidden="1" customHeight="1" x14ac:dyDescent="0.25">
      <c r="D172" s="3006"/>
      <c r="E172" s="4555" t="s">
        <v>1804</v>
      </c>
      <c r="F172" s="3300"/>
      <c r="G172" s="3300"/>
      <c r="H172" s="712"/>
      <c r="I172" s="3300"/>
      <c r="J172" s="713"/>
      <c r="K172" s="3300"/>
      <c r="L172" s="821"/>
      <c r="M172" s="3300"/>
      <c r="N172" s="693"/>
      <c r="O172" s="3300"/>
      <c r="P172" s="2868"/>
      <c r="Q172" s="725"/>
      <c r="R172" s="3300"/>
      <c r="S172" s="693"/>
      <c r="T172" s="3300"/>
      <c r="U172" s="693"/>
      <c r="V172" s="5008"/>
      <c r="W172" s="1006"/>
      <c r="X172" s="693"/>
      <c r="Y172" s="3300"/>
      <c r="Z172" s="693"/>
      <c r="AA172" s="3300">
        <v>785</v>
      </c>
      <c r="AB172" s="693">
        <f t="shared" si="561"/>
        <v>785</v>
      </c>
      <c r="AC172" s="3300"/>
      <c r="AD172" s="734">
        <f t="shared" ref="AD172:AD222" si="566">+Y172+AA172+AC172</f>
        <v>785</v>
      </c>
      <c r="AE172" s="731">
        <f t="shared" ref="AE172:AE222" si="567">+W172+AD172</f>
        <v>785</v>
      </c>
      <c r="AF172" s="2590">
        <f t="shared" ref="AF172:AF222" si="568">+AB172+AC172</f>
        <v>785</v>
      </c>
      <c r="AM172" s="4527"/>
      <c r="AN172" s="4527"/>
      <c r="AO172" s="4527"/>
      <c r="AP172" s="4527"/>
      <c r="AQ172" s="4527"/>
      <c r="AR172" s="4527"/>
      <c r="AS172" s="4527"/>
      <c r="AT172" s="4527"/>
      <c r="AU172" s="4527"/>
      <c r="AV172" s="4527"/>
      <c r="AW172" s="4527"/>
      <c r="AX172" s="4527"/>
      <c r="AY172" s="4527"/>
      <c r="AZ172" s="4527"/>
      <c r="BA172" s="4527"/>
      <c r="BB172" s="4527"/>
      <c r="BC172" s="4527"/>
      <c r="BD172" s="4527"/>
      <c r="BE172" s="4527"/>
      <c r="BF172" s="4527"/>
      <c r="BG172" s="4527"/>
      <c r="BH172" s="4527"/>
      <c r="BI172" s="4527"/>
      <c r="BJ172" s="4527"/>
      <c r="BK172" s="4527"/>
      <c r="BL172" s="4527"/>
      <c r="BM172" s="4527"/>
      <c r="BN172" s="4527"/>
      <c r="BO172" s="4527"/>
      <c r="BP172" s="4527"/>
      <c r="BQ172" s="4527"/>
      <c r="BR172" s="4527"/>
      <c r="BS172" s="4527"/>
      <c r="BT172" s="4527"/>
      <c r="BU172" s="4527"/>
      <c r="BV172" s="4527"/>
      <c r="BW172" s="16"/>
    </row>
    <row r="173" spans="1:75" ht="35" hidden="1" customHeight="1" x14ac:dyDescent="0.25">
      <c r="D173" s="3006"/>
      <c r="E173" s="4555" t="s">
        <v>1805</v>
      </c>
      <c r="F173" s="3300"/>
      <c r="G173" s="3300"/>
      <c r="H173" s="712"/>
      <c r="I173" s="3300"/>
      <c r="J173" s="713"/>
      <c r="K173" s="3300"/>
      <c r="L173" s="821"/>
      <c r="M173" s="3300"/>
      <c r="N173" s="693"/>
      <c r="O173" s="3300"/>
      <c r="P173" s="2868"/>
      <c r="Q173" s="725"/>
      <c r="R173" s="3300"/>
      <c r="S173" s="693"/>
      <c r="T173" s="3300"/>
      <c r="U173" s="693"/>
      <c r="V173" s="5008"/>
      <c r="W173" s="1006"/>
      <c r="X173" s="693"/>
      <c r="Y173" s="3300"/>
      <c r="Z173" s="693"/>
      <c r="AA173" s="3300">
        <v>785</v>
      </c>
      <c r="AB173" s="693">
        <f t="shared" si="561"/>
        <v>785</v>
      </c>
      <c r="AC173" s="3300"/>
      <c r="AD173" s="734">
        <f t="shared" si="566"/>
        <v>785</v>
      </c>
      <c r="AE173" s="731">
        <f t="shared" si="567"/>
        <v>785</v>
      </c>
      <c r="AF173" s="2590">
        <f t="shared" si="568"/>
        <v>785</v>
      </c>
      <c r="AM173" s="4527"/>
      <c r="AN173" s="4527"/>
      <c r="AO173" s="4527"/>
      <c r="AP173" s="4527"/>
      <c r="AQ173" s="4527"/>
      <c r="AR173" s="4527"/>
      <c r="AS173" s="4527"/>
      <c r="AT173" s="4527"/>
      <c r="AU173" s="4527"/>
      <c r="AV173" s="4527"/>
      <c r="AW173" s="4527"/>
      <c r="AX173" s="4527"/>
      <c r="AY173" s="4527"/>
      <c r="AZ173" s="4527"/>
      <c r="BA173" s="4527"/>
      <c r="BB173" s="4527"/>
      <c r="BC173" s="4527"/>
      <c r="BD173" s="4527"/>
      <c r="BE173" s="4527"/>
      <c r="BF173" s="4527"/>
      <c r="BG173" s="4527"/>
      <c r="BH173" s="4527"/>
      <c r="BI173" s="4527"/>
      <c r="BJ173" s="4527"/>
      <c r="BK173" s="4527"/>
      <c r="BL173" s="4527"/>
      <c r="BM173" s="4527"/>
      <c r="BN173" s="4527"/>
      <c r="BO173" s="4527"/>
      <c r="BP173" s="4527"/>
      <c r="BQ173" s="4527"/>
      <c r="BR173" s="4527"/>
      <c r="BS173" s="4527"/>
      <c r="BT173" s="4527"/>
      <c r="BU173" s="4527"/>
      <c r="BV173" s="4527"/>
      <c r="BW173" s="16"/>
    </row>
    <row r="174" spans="1:75" ht="35" hidden="1" customHeight="1" x14ac:dyDescent="0.25">
      <c r="D174" s="3006"/>
      <c r="E174" s="4555" t="s">
        <v>1775</v>
      </c>
      <c r="F174" s="3300"/>
      <c r="G174" s="3300"/>
      <c r="H174" s="712"/>
      <c r="I174" s="3300"/>
      <c r="J174" s="713"/>
      <c r="K174" s="3300"/>
      <c r="L174" s="821"/>
      <c r="M174" s="3300"/>
      <c r="N174" s="693"/>
      <c r="O174" s="3300"/>
      <c r="P174" s="2868"/>
      <c r="Q174" s="725"/>
      <c r="R174" s="3300"/>
      <c r="S174" s="693"/>
      <c r="T174" s="3300"/>
      <c r="U174" s="693"/>
      <c r="V174" s="5008"/>
      <c r="W174" s="1006">
        <f t="shared" ref="W174" si="569">+R174+T174+V174</f>
        <v>0</v>
      </c>
      <c r="X174" s="693">
        <f t="shared" ref="X174" si="570">+U174+V174</f>
        <v>0</v>
      </c>
      <c r="Y174" s="3300">
        <v>2001.53</v>
      </c>
      <c r="Z174" s="693">
        <f t="shared" si="560"/>
        <v>2001.53</v>
      </c>
      <c r="AA174" s="3300">
        <v>2132.61</v>
      </c>
      <c r="AB174" s="693">
        <f t="shared" si="561"/>
        <v>4134.1400000000003</v>
      </c>
      <c r="AC174" s="3300">
        <v>1074.3399999999999</v>
      </c>
      <c r="AD174" s="734">
        <f t="shared" si="566"/>
        <v>5208.4800000000005</v>
      </c>
      <c r="AE174" s="731">
        <f t="shared" si="567"/>
        <v>5208.4800000000005</v>
      </c>
      <c r="AF174" s="2590">
        <f t="shared" si="568"/>
        <v>5208.4800000000005</v>
      </c>
      <c r="AM174" s="4527"/>
      <c r="AN174" s="4527"/>
      <c r="AO174" s="4527"/>
      <c r="AP174" s="4527"/>
      <c r="AQ174" s="4527"/>
      <c r="AR174" s="4527"/>
      <c r="AS174" s="4527"/>
      <c r="AT174" s="4527"/>
      <c r="AU174" s="4527"/>
      <c r="AV174" s="4527"/>
      <c r="AW174" s="4527"/>
      <c r="AX174" s="4527"/>
      <c r="AY174" s="4527"/>
      <c r="AZ174" s="4527"/>
      <c r="BA174" s="4527"/>
      <c r="BB174" s="4527"/>
      <c r="BC174" s="4527"/>
      <c r="BD174" s="4527"/>
      <c r="BE174" s="4527"/>
      <c r="BF174" s="4527"/>
      <c r="BG174" s="4527"/>
      <c r="BH174" s="4527"/>
      <c r="BI174" s="4527"/>
      <c r="BJ174" s="4527"/>
      <c r="BK174" s="4527"/>
      <c r="BL174" s="4527"/>
      <c r="BM174" s="4527"/>
      <c r="BN174" s="4527"/>
      <c r="BO174" s="4527"/>
      <c r="BP174" s="4527"/>
      <c r="BQ174" s="4527"/>
      <c r="BR174" s="4527"/>
      <c r="BS174" s="4527"/>
      <c r="BT174" s="4527"/>
      <c r="BU174" s="4527"/>
      <c r="BV174" s="4527"/>
      <c r="BW174" s="16"/>
    </row>
    <row r="175" spans="1:75" ht="35" hidden="1" customHeight="1" x14ac:dyDescent="0.25">
      <c r="D175" s="3006"/>
      <c r="E175" s="4555" t="s">
        <v>1776</v>
      </c>
      <c r="F175" s="3300"/>
      <c r="G175" s="3300"/>
      <c r="H175" s="712"/>
      <c r="I175" s="3300"/>
      <c r="J175" s="713"/>
      <c r="K175" s="3300"/>
      <c r="L175" s="821"/>
      <c r="M175" s="3300"/>
      <c r="N175" s="693"/>
      <c r="O175" s="3300"/>
      <c r="P175" s="2868"/>
      <c r="Q175" s="725"/>
      <c r="R175" s="3300"/>
      <c r="S175" s="693"/>
      <c r="T175" s="3300"/>
      <c r="U175" s="693"/>
      <c r="V175" s="5008"/>
      <c r="W175" s="1006">
        <f t="shared" ref="W175:W187" si="571">+R175+T175+V175</f>
        <v>0</v>
      </c>
      <c r="X175" s="693">
        <f t="shared" ref="X175:X187" si="572">+U175+V175</f>
        <v>0</v>
      </c>
      <c r="Y175" s="3300">
        <v>130</v>
      </c>
      <c r="Z175" s="693">
        <f t="shared" si="560"/>
        <v>130</v>
      </c>
      <c r="AA175" s="3300"/>
      <c r="AB175" s="693">
        <f t="shared" si="561"/>
        <v>130</v>
      </c>
      <c r="AC175" s="3300"/>
      <c r="AD175" s="734">
        <f t="shared" si="566"/>
        <v>130</v>
      </c>
      <c r="AE175" s="731">
        <f t="shared" si="567"/>
        <v>130</v>
      </c>
      <c r="AF175" s="2590">
        <f t="shared" si="568"/>
        <v>130</v>
      </c>
      <c r="AM175" s="4527"/>
      <c r="AN175" s="4527"/>
      <c r="AO175" s="4527"/>
      <c r="AP175" s="4527"/>
      <c r="AQ175" s="4527"/>
      <c r="AR175" s="4527"/>
      <c r="AS175" s="4527"/>
      <c r="AT175" s="4527"/>
      <c r="AU175" s="4527"/>
      <c r="AV175" s="4527"/>
      <c r="AW175" s="4527"/>
      <c r="AX175" s="4527"/>
      <c r="AY175" s="4527"/>
      <c r="AZ175" s="4527"/>
      <c r="BA175" s="4527"/>
      <c r="BB175" s="4527"/>
      <c r="BC175" s="4527"/>
      <c r="BD175" s="4527"/>
      <c r="BE175" s="4527"/>
      <c r="BF175" s="4527"/>
      <c r="BG175" s="4527"/>
      <c r="BH175" s="4527"/>
      <c r="BI175" s="4527"/>
      <c r="BJ175" s="4527"/>
      <c r="BK175" s="4527"/>
      <c r="BL175" s="4527"/>
      <c r="BM175" s="4527"/>
      <c r="BN175" s="4527"/>
      <c r="BO175" s="4527"/>
      <c r="BP175" s="4527"/>
      <c r="BQ175" s="4527"/>
      <c r="BR175" s="4527"/>
      <c r="BS175" s="4527"/>
      <c r="BT175" s="4527"/>
      <c r="BU175" s="4527"/>
      <c r="BV175" s="4527"/>
      <c r="BW175" s="16"/>
    </row>
    <row r="176" spans="1:75" ht="35" hidden="1" customHeight="1" x14ac:dyDescent="0.25">
      <c r="D176" s="3006"/>
      <c r="E176" s="4555" t="s">
        <v>1777</v>
      </c>
      <c r="F176" s="3300"/>
      <c r="G176" s="3300"/>
      <c r="H176" s="712"/>
      <c r="I176" s="3300"/>
      <c r="J176" s="713"/>
      <c r="K176" s="3300"/>
      <c r="L176" s="821"/>
      <c r="M176" s="3300"/>
      <c r="N176" s="693"/>
      <c r="O176" s="3300"/>
      <c r="P176" s="2868"/>
      <c r="Q176" s="725"/>
      <c r="R176" s="3300"/>
      <c r="S176" s="693"/>
      <c r="T176" s="3300"/>
      <c r="U176" s="693"/>
      <c r="V176" s="5008"/>
      <c r="W176" s="1006">
        <f t="shared" si="571"/>
        <v>0</v>
      </c>
      <c r="X176" s="693">
        <f t="shared" si="572"/>
        <v>0</v>
      </c>
      <c r="Y176" s="3300">
        <v>1</v>
      </c>
      <c r="Z176" s="693">
        <f t="shared" si="560"/>
        <v>1</v>
      </c>
      <c r="AA176" s="3300"/>
      <c r="AB176" s="693">
        <f t="shared" si="561"/>
        <v>1</v>
      </c>
      <c r="AC176" s="3300"/>
      <c r="AD176" s="734">
        <f t="shared" si="566"/>
        <v>1</v>
      </c>
      <c r="AE176" s="731">
        <f t="shared" si="567"/>
        <v>1</v>
      </c>
      <c r="AF176" s="2590">
        <f t="shared" si="568"/>
        <v>1</v>
      </c>
      <c r="AM176" s="4527"/>
      <c r="AN176" s="4527"/>
      <c r="AO176" s="4527"/>
      <c r="AP176" s="4527"/>
      <c r="AQ176" s="4527"/>
      <c r="AR176" s="4527"/>
      <c r="AS176" s="4527"/>
      <c r="AT176" s="4527"/>
      <c r="AU176" s="4527"/>
      <c r="AV176" s="4527"/>
      <c r="AW176" s="4527"/>
      <c r="AX176" s="4527"/>
      <c r="AY176" s="4527"/>
      <c r="AZ176" s="4527"/>
      <c r="BA176" s="4527"/>
      <c r="BB176" s="4527"/>
      <c r="BC176" s="4527"/>
      <c r="BD176" s="4527"/>
      <c r="BE176" s="4527"/>
      <c r="BF176" s="4527"/>
      <c r="BG176" s="4527"/>
      <c r="BH176" s="4527"/>
      <c r="BI176" s="4527"/>
      <c r="BJ176" s="4527"/>
      <c r="BK176" s="4527"/>
      <c r="BL176" s="4527"/>
      <c r="BM176" s="4527"/>
      <c r="BN176" s="4527"/>
      <c r="BO176" s="4527"/>
      <c r="BP176" s="4527"/>
      <c r="BQ176" s="4527"/>
      <c r="BR176" s="4527"/>
      <c r="BS176" s="4527"/>
      <c r="BT176" s="4527"/>
      <c r="BU176" s="4527"/>
      <c r="BV176" s="4527"/>
      <c r="BW176" s="16"/>
    </row>
    <row r="177" spans="4:75" ht="35" hidden="1" customHeight="1" x14ac:dyDescent="0.25">
      <c r="D177" s="3006"/>
      <c r="E177" s="4555" t="s">
        <v>1778</v>
      </c>
      <c r="F177" s="3300"/>
      <c r="G177" s="3300"/>
      <c r="H177" s="712"/>
      <c r="I177" s="3300"/>
      <c r="J177" s="713"/>
      <c r="K177" s="3300"/>
      <c r="L177" s="821"/>
      <c r="M177" s="3300"/>
      <c r="N177" s="693"/>
      <c r="O177" s="3300"/>
      <c r="P177" s="2868"/>
      <c r="Q177" s="725"/>
      <c r="R177" s="3300"/>
      <c r="S177" s="693"/>
      <c r="T177" s="3300"/>
      <c r="U177" s="693"/>
      <c r="V177" s="5008"/>
      <c r="W177" s="1006">
        <f t="shared" si="571"/>
        <v>0</v>
      </c>
      <c r="X177" s="693">
        <f t="shared" si="572"/>
        <v>0</v>
      </c>
      <c r="Y177" s="3300">
        <v>500</v>
      </c>
      <c r="Z177" s="693">
        <f t="shared" si="560"/>
        <v>500</v>
      </c>
      <c r="AA177" s="3300">
        <v>150</v>
      </c>
      <c r="AB177" s="693">
        <f t="shared" si="561"/>
        <v>650</v>
      </c>
      <c r="AC177" s="3300"/>
      <c r="AD177" s="734">
        <f t="shared" si="566"/>
        <v>650</v>
      </c>
      <c r="AE177" s="731">
        <f t="shared" si="567"/>
        <v>650</v>
      </c>
      <c r="AF177" s="2590">
        <f t="shared" si="568"/>
        <v>650</v>
      </c>
      <c r="AM177" s="4527"/>
      <c r="AN177" s="4527"/>
      <c r="AO177" s="4527"/>
      <c r="AP177" s="4527"/>
      <c r="AQ177" s="4527"/>
      <c r="AR177" s="4527"/>
      <c r="AS177" s="4527"/>
      <c r="AT177" s="4527"/>
      <c r="AU177" s="4527"/>
      <c r="AV177" s="4527"/>
      <c r="AW177" s="4527"/>
      <c r="AX177" s="4527"/>
      <c r="AY177" s="4527"/>
      <c r="AZ177" s="4527"/>
      <c r="BA177" s="4527"/>
      <c r="BB177" s="4527"/>
      <c r="BC177" s="4527"/>
      <c r="BD177" s="4527"/>
      <c r="BE177" s="4527"/>
      <c r="BF177" s="4527"/>
      <c r="BG177" s="4527"/>
      <c r="BH177" s="4527"/>
      <c r="BI177" s="4527"/>
      <c r="BJ177" s="4527"/>
      <c r="BK177" s="4527"/>
      <c r="BL177" s="4527"/>
      <c r="BM177" s="4527"/>
      <c r="BN177" s="4527"/>
      <c r="BO177" s="4527"/>
      <c r="BP177" s="4527"/>
      <c r="BQ177" s="4527"/>
      <c r="BR177" s="4527"/>
      <c r="BS177" s="4527"/>
      <c r="BT177" s="4527"/>
      <c r="BU177" s="4527"/>
      <c r="BV177" s="4527"/>
      <c r="BW177" s="16"/>
    </row>
    <row r="178" spans="4:75" ht="35" hidden="1" customHeight="1" x14ac:dyDescent="0.25">
      <c r="D178" s="3006"/>
      <c r="E178" s="4555" t="s">
        <v>1798</v>
      </c>
      <c r="F178" s="3300"/>
      <c r="G178" s="3300"/>
      <c r="H178" s="712"/>
      <c r="I178" s="3300"/>
      <c r="J178" s="713"/>
      <c r="K178" s="3300"/>
      <c r="L178" s="821"/>
      <c r="M178" s="3300"/>
      <c r="N178" s="693"/>
      <c r="O178" s="3300"/>
      <c r="P178" s="2868"/>
      <c r="Q178" s="725"/>
      <c r="R178" s="3300"/>
      <c r="S178" s="693"/>
      <c r="T178" s="3300"/>
      <c r="U178" s="693"/>
      <c r="V178" s="5008"/>
      <c r="W178" s="1006"/>
      <c r="X178" s="693"/>
      <c r="Y178" s="3300"/>
      <c r="Z178" s="693"/>
      <c r="AA178" s="3300">
        <v>99.950000000000017</v>
      </c>
      <c r="AB178" s="693">
        <f t="shared" si="561"/>
        <v>99.950000000000017</v>
      </c>
      <c r="AC178" s="3300">
        <v>24.35</v>
      </c>
      <c r="AD178" s="734">
        <f t="shared" si="566"/>
        <v>124.30000000000001</v>
      </c>
      <c r="AE178" s="731">
        <f t="shared" si="567"/>
        <v>124.30000000000001</v>
      </c>
      <c r="AF178" s="2590">
        <f t="shared" si="568"/>
        <v>124.30000000000001</v>
      </c>
      <c r="AM178" s="4527"/>
      <c r="AN178" s="4527"/>
      <c r="AO178" s="4527"/>
      <c r="AP178" s="4527"/>
      <c r="AQ178" s="4527"/>
      <c r="AR178" s="4527"/>
      <c r="AS178" s="4527"/>
      <c r="AT178" s="4527"/>
      <c r="AU178" s="4527"/>
      <c r="AV178" s="4527"/>
      <c r="AW178" s="4527"/>
      <c r="AX178" s="4527"/>
      <c r="AY178" s="4527"/>
      <c r="AZ178" s="4527"/>
      <c r="BA178" s="4527"/>
      <c r="BB178" s="4527"/>
      <c r="BC178" s="4527"/>
      <c r="BD178" s="4527"/>
      <c r="BE178" s="4527"/>
      <c r="BF178" s="4527"/>
      <c r="BG178" s="4527"/>
      <c r="BH178" s="4527"/>
      <c r="BI178" s="4527"/>
      <c r="BJ178" s="4527"/>
      <c r="BK178" s="4527"/>
      <c r="BL178" s="4527"/>
      <c r="BM178" s="4527"/>
      <c r="BN178" s="4527"/>
      <c r="BO178" s="4527"/>
      <c r="BP178" s="4527"/>
      <c r="BQ178" s="4527"/>
      <c r="BR178" s="4527"/>
      <c r="BS178" s="4527"/>
      <c r="BT178" s="4527"/>
      <c r="BU178" s="4527"/>
      <c r="BV178" s="4527"/>
      <c r="BW178" s="16"/>
    </row>
    <row r="179" spans="4:75" ht="35" hidden="1" customHeight="1" x14ac:dyDescent="0.25">
      <c r="D179" s="3006"/>
      <c r="E179" s="4555" t="s">
        <v>1803</v>
      </c>
      <c r="F179" s="3300"/>
      <c r="G179" s="3300"/>
      <c r="H179" s="712"/>
      <c r="I179" s="3300"/>
      <c r="J179" s="713"/>
      <c r="K179" s="3300"/>
      <c r="L179" s="821"/>
      <c r="M179" s="3300"/>
      <c r="N179" s="693"/>
      <c r="O179" s="3300"/>
      <c r="P179" s="2868"/>
      <c r="Q179" s="725"/>
      <c r="R179" s="3300"/>
      <c r="S179" s="693"/>
      <c r="T179" s="3300"/>
      <c r="U179" s="693"/>
      <c r="V179" s="5008"/>
      <c r="W179" s="1006"/>
      <c r="X179" s="693"/>
      <c r="Y179" s="3300"/>
      <c r="Z179" s="693"/>
      <c r="AA179" s="3300">
        <v>3.13</v>
      </c>
      <c r="AB179" s="693">
        <f t="shared" si="561"/>
        <v>3.13</v>
      </c>
      <c r="AC179" s="3300">
        <v>1.65</v>
      </c>
      <c r="AD179" s="734">
        <f t="shared" si="566"/>
        <v>4.7799999999999994</v>
      </c>
      <c r="AE179" s="731">
        <f t="shared" si="567"/>
        <v>4.7799999999999994</v>
      </c>
      <c r="AF179" s="2590">
        <f t="shared" si="568"/>
        <v>4.7799999999999994</v>
      </c>
      <c r="AM179" s="4527"/>
      <c r="AN179" s="4527"/>
      <c r="AO179" s="4527"/>
      <c r="AP179" s="4527"/>
      <c r="AQ179" s="4527"/>
      <c r="AR179" s="4527"/>
      <c r="AS179" s="4527"/>
      <c r="AT179" s="4527"/>
      <c r="AU179" s="4527"/>
      <c r="AV179" s="4527"/>
      <c r="AW179" s="4527"/>
      <c r="AX179" s="4527"/>
      <c r="AY179" s="4527"/>
      <c r="AZ179" s="4527"/>
      <c r="BA179" s="4527"/>
      <c r="BB179" s="4527"/>
      <c r="BC179" s="4527"/>
      <c r="BD179" s="4527"/>
      <c r="BE179" s="4527"/>
      <c r="BF179" s="4527"/>
      <c r="BG179" s="4527"/>
      <c r="BH179" s="4527"/>
      <c r="BI179" s="4527"/>
      <c r="BJ179" s="4527"/>
      <c r="BK179" s="4527"/>
      <c r="BL179" s="4527"/>
      <c r="BM179" s="4527"/>
      <c r="BN179" s="4527"/>
      <c r="BO179" s="4527"/>
      <c r="BP179" s="4527"/>
      <c r="BQ179" s="4527"/>
      <c r="BR179" s="4527"/>
      <c r="BS179" s="4527"/>
      <c r="BT179" s="4527"/>
      <c r="BU179" s="4527"/>
      <c r="BV179" s="4527"/>
      <c r="BW179" s="16"/>
    </row>
    <row r="180" spans="4:75" ht="35" hidden="1" customHeight="1" x14ac:dyDescent="0.25">
      <c r="D180" s="3006"/>
      <c r="E180" s="4555" t="s">
        <v>1779</v>
      </c>
      <c r="F180" s="3300"/>
      <c r="G180" s="3300"/>
      <c r="H180" s="712"/>
      <c r="I180" s="3300"/>
      <c r="J180" s="713"/>
      <c r="K180" s="3300"/>
      <c r="L180" s="821"/>
      <c r="M180" s="3300"/>
      <c r="N180" s="693"/>
      <c r="O180" s="3300"/>
      <c r="P180" s="2868"/>
      <c r="Q180" s="725"/>
      <c r="R180" s="3300"/>
      <c r="S180" s="693"/>
      <c r="T180" s="3300"/>
      <c r="U180" s="693"/>
      <c r="V180" s="5008"/>
      <c r="W180" s="1006">
        <f t="shared" si="571"/>
        <v>0</v>
      </c>
      <c r="X180" s="693">
        <f t="shared" si="572"/>
        <v>0</v>
      </c>
      <c r="Y180" s="3300">
        <v>19.630000000000003</v>
      </c>
      <c r="Z180" s="693">
        <f t="shared" si="560"/>
        <v>19.630000000000003</v>
      </c>
      <c r="AA180" s="3300"/>
      <c r="AB180" s="693">
        <f t="shared" si="561"/>
        <v>19.630000000000003</v>
      </c>
      <c r="AC180" s="3300"/>
      <c r="AD180" s="734">
        <f t="shared" si="566"/>
        <v>19.630000000000003</v>
      </c>
      <c r="AE180" s="731">
        <f t="shared" si="567"/>
        <v>19.630000000000003</v>
      </c>
      <c r="AF180" s="2590">
        <f t="shared" si="568"/>
        <v>19.630000000000003</v>
      </c>
      <c r="AM180" s="4527"/>
      <c r="AN180" s="4527"/>
      <c r="AO180" s="4527"/>
      <c r="AP180" s="4527"/>
      <c r="AQ180" s="4527"/>
      <c r="AR180" s="4527"/>
      <c r="AS180" s="4527"/>
      <c r="AT180" s="4527"/>
      <c r="AU180" s="4527"/>
      <c r="AV180" s="4527"/>
      <c r="AW180" s="4527"/>
      <c r="AX180" s="4527"/>
      <c r="AY180" s="4527"/>
      <c r="AZ180" s="4527"/>
      <c r="BA180" s="4527"/>
      <c r="BB180" s="4527"/>
      <c r="BC180" s="4527"/>
      <c r="BD180" s="4527"/>
      <c r="BE180" s="4527"/>
      <c r="BF180" s="4527"/>
      <c r="BG180" s="4527"/>
      <c r="BH180" s="4527"/>
      <c r="BI180" s="4527"/>
      <c r="BJ180" s="4527"/>
      <c r="BK180" s="4527"/>
      <c r="BL180" s="4527"/>
      <c r="BM180" s="4527"/>
      <c r="BN180" s="4527"/>
      <c r="BO180" s="4527"/>
      <c r="BP180" s="4527"/>
      <c r="BQ180" s="4527"/>
      <c r="BR180" s="4527"/>
      <c r="BS180" s="4527"/>
      <c r="BT180" s="4527"/>
      <c r="BU180" s="4527"/>
      <c r="BV180" s="4527"/>
      <c r="BW180" s="16"/>
    </row>
    <row r="181" spans="4:75" ht="35" hidden="1" customHeight="1" x14ac:dyDescent="0.25">
      <c r="D181" s="3006"/>
      <c r="E181" s="4555" t="s">
        <v>1799</v>
      </c>
      <c r="F181" s="3300"/>
      <c r="G181" s="3300"/>
      <c r="H181" s="712"/>
      <c r="I181" s="3300"/>
      <c r="J181" s="713"/>
      <c r="K181" s="3300"/>
      <c r="L181" s="821"/>
      <c r="M181" s="3300"/>
      <c r="N181" s="693"/>
      <c r="O181" s="3300"/>
      <c r="P181" s="2868"/>
      <c r="Q181" s="725"/>
      <c r="R181" s="3300"/>
      <c r="S181" s="693"/>
      <c r="T181" s="3300"/>
      <c r="U181" s="693"/>
      <c r="V181" s="5008"/>
      <c r="W181" s="1006"/>
      <c r="X181" s="693"/>
      <c r="Y181" s="3300"/>
      <c r="Z181" s="693"/>
      <c r="AA181" s="3300">
        <v>731.65</v>
      </c>
      <c r="AB181" s="693">
        <f t="shared" si="561"/>
        <v>731.65</v>
      </c>
      <c r="AC181" s="3300">
        <v>499.15</v>
      </c>
      <c r="AD181" s="734">
        <f t="shared" si="566"/>
        <v>1230.8</v>
      </c>
      <c r="AE181" s="731">
        <f t="shared" si="567"/>
        <v>1230.8</v>
      </c>
      <c r="AF181" s="2590">
        <f t="shared" si="568"/>
        <v>1230.8</v>
      </c>
      <c r="AM181" s="4527"/>
      <c r="AN181" s="4527"/>
      <c r="AO181" s="4527"/>
      <c r="AP181" s="4527"/>
      <c r="AQ181" s="4527"/>
      <c r="AR181" s="4527"/>
      <c r="AS181" s="4527"/>
      <c r="AT181" s="4527"/>
      <c r="AU181" s="4527"/>
      <c r="AV181" s="4527"/>
      <c r="AW181" s="4527"/>
      <c r="AX181" s="4527"/>
      <c r="AY181" s="4527"/>
      <c r="AZ181" s="4527"/>
      <c r="BA181" s="4527"/>
      <c r="BB181" s="4527"/>
      <c r="BC181" s="4527"/>
      <c r="BD181" s="4527"/>
      <c r="BE181" s="4527"/>
      <c r="BF181" s="4527"/>
      <c r="BG181" s="4527"/>
      <c r="BH181" s="4527"/>
      <c r="BI181" s="4527"/>
      <c r="BJ181" s="4527"/>
      <c r="BK181" s="4527"/>
      <c r="BL181" s="4527"/>
      <c r="BM181" s="4527"/>
      <c r="BN181" s="4527"/>
      <c r="BO181" s="4527"/>
      <c r="BP181" s="4527"/>
      <c r="BQ181" s="4527"/>
      <c r="BR181" s="4527"/>
      <c r="BS181" s="4527"/>
      <c r="BT181" s="4527"/>
      <c r="BU181" s="4527"/>
      <c r="BV181" s="4527"/>
      <c r="BW181" s="16"/>
    </row>
    <row r="182" spans="4:75" ht="35" hidden="1" customHeight="1" x14ac:dyDescent="0.25">
      <c r="D182" s="3006"/>
      <c r="E182" s="4555" t="s">
        <v>1802</v>
      </c>
      <c r="F182" s="3300"/>
      <c r="G182" s="3300"/>
      <c r="H182" s="712"/>
      <c r="I182" s="3300"/>
      <c r="J182" s="713"/>
      <c r="K182" s="3300"/>
      <c r="L182" s="821"/>
      <c r="M182" s="3300"/>
      <c r="N182" s="693"/>
      <c r="O182" s="3300"/>
      <c r="P182" s="2868"/>
      <c r="Q182" s="725"/>
      <c r="R182" s="3300"/>
      <c r="S182" s="693"/>
      <c r="T182" s="3300"/>
      <c r="U182" s="693"/>
      <c r="V182" s="5008"/>
      <c r="W182" s="1006"/>
      <c r="X182" s="693"/>
      <c r="Y182" s="3300"/>
      <c r="Z182" s="693"/>
      <c r="AA182" s="3300">
        <v>11.08</v>
      </c>
      <c r="AB182" s="693">
        <f t="shared" si="561"/>
        <v>11.08</v>
      </c>
      <c r="AC182" s="3300">
        <v>994.11000000000013</v>
      </c>
      <c r="AD182" s="734">
        <f t="shared" si="566"/>
        <v>1005.1900000000002</v>
      </c>
      <c r="AE182" s="731">
        <f t="shared" si="567"/>
        <v>1005.1900000000002</v>
      </c>
      <c r="AF182" s="2590">
        <f t="shared" si="568"/>
        <v>1005.1900000000002</v>
      </c>
      <c r="AM182" s="4527"/>
      <c r="AN182" s="4527"/>
      <c r="AO182" s="4527"/>
      <c r="AP182" s="4527"/>
      <c r="AQ182" s="4527"/>
      <c r="AR182" s="4527"/>
      <c r="AS182" s="4527"/>
      <c r="AT182" s="4527"/>
      <c r="AU182" s="4527"/>
      <c r="AV182" s="4527"/>
      <c r="AW182" s="4527"/>
      <c r="AX182" s="4527"/>
      <c r="AY182" s="4527"/>
      <c r="AZ182" s="4527"/>
      <c r="BA182" s="4527"/>
      <c r="BB182" s="4527"/>
      <c r="BC182" s="4527"/>
      <c r="BD182" s="4527"/>
      <c r="BE182" s="4527"/>
      <c r="BF182" s="4527"/>
      <c r="BG182" s="4527"/>
      <c r="BH182" s="4527"/>
      <c r="BI182" s="4527"/>
      <c r="BJ182" s="4527"/>
      <c r="BK182" s="4527"/>
      <c r="BL182" s="4527"/>
      <c r="BM182" s="4527"/>
      <c r="BN182" s="4527"/>
      <c r="BO182" s="4527"/>
      <c r="BP182" s="4527"/>
      <c r="BQ182" s="4527"/>
      <c r="BR182" s="4527"/>
      <c r="BS182" s="4527"/>
      <c r="BT182" s="4527"/>
      <c r="BU182" s="4527"/>
      <c r="BV182" s="4527"/>
      <c r="BW182" s="16"/>
    </row>
    <row r="183" spans="4:75" ht="35" hidden="1" customHeight="1" x14ac:dyDescent="0.25">
      <c r="D183" s="3006"/>
      <c r="E183" s="4555" t="s">
        <v>1780</v>
      </c>
      <c r="F183" s="3300"/>
      <c r="G183" s="3300"/>
      <c r="H183" s="712"/>
      <c r="I183" s="3300"/>
      <c r="J183" s="713"/>
      <c r="K183" s="3300"/>
      <c r="L183" s="821"/>
      <c r="M183" s="3300"/>
      <c r="N183" s="693"/>
      <c r="O183" s="3300"/>
      <c r="P183" s="2868"/>
      <c r="Q183" s="725"/>
      <c r="R183" s="3300"/>
      <c r="S183" s="693"/>
      <c r="T183" s="3300"/>
      <c r="U183" s="693"/>
      <c r="V183" s="5008"/>
      <c r="W183" s="1006">
        <f t="shared" si="571"/>
        <v>0</v>
      </c>
      <c r="X183" s="693">
        <f t="shared" si="572"/>
        <v>0</v>
      </c>
      <c r="Y183" s="3300">
        <v>749.43</v>
      </c>
      <c r="Z183" s="693">
        <f t="shared" si="560"/>
        <v>749.43</v>
      </c>
      <c r="AA183" s="3300">
        <v>2853.1000000000013</v>
      </c>
      <c r="AB183" s="693">
        <f t="shared" si="561"/>
        <v>3602.5300000000011</v>
      </c>
      <c r="AC183" s="3300">
        <v>1677.3499999999997</v>
      </c>
      <c r="AD183" s="734">
        <f t="shared" si="566"/>
        <v>5279.880000000001</v>
      </c>
      <c r="AE183" s="731">
        <f t="shared" si="567"/>
        <v>5279.880000000001</v>
      </c>
      <c r="AF183" s="2590">
        <f t="shared" si="568"/>
        <v>5279.880000000001</v>
      </c>
      <c r="AM183" s="4527"/>
      <c r="AN183" s="4527"/>
      <c r="AO183" s="4527"/>
      <c r="AP183" s="4527"/>
      <c r="AQ183" s="4527"/>
      <c r="AR183" s="4527"/>
      <c r="AS183" s="4527"/>
      <c r="AT183" s="4527"/>
      <c r="AU183" s="4527"/>
      <c r="AV183" s="4527"/>
      <c r="AW183" s="4527"/>
      <c r="AX183" s="4527"/>
      <c r="AY183" s="4527"/>
      <c r="AZ183" s="4527"/>
      <c r="BA183" s="4527"/>
      <c r="BB183" s="4527"/>
      <c r="BC183" s="4527"/>
      <c r="BD183" s="4527"/>
      <c r="BE183" s="4527"/>
      <c r="BF183" s="4527"/>
      <c r="BG183" s="4527"/>
      <c r="BH183" s="4527"/>
      <c r="BI183" s="4527"/>
      <c r="BJ183" s="4527"/>
      <c r="BK183" s="4527"/>
      <c r="BL183" s="4527"/>
      <c r="BM183" s="4527"/>
      <c r="BN183" s="4527"/>
      <c r="BO183" s="4527"/>
      <c r="BP183" s="4527"/>
      <c r="BQ183" s="4527"/>
      <c r="BR183" s="4527"/>
      <c r="BS183" s="4527"/>
      <c r="BT183" s="4527"/>
      <c r="BU183" s="4527"/>
      <c r="BV183" s="4527"/>
      <c r="BW183" s="16"/>
    </row>
    <row r="184" spans="4:75" ht="35" hidden="1" customHeight="1" x14ac:dyDescent="0.25">
      <c r="D184" s="3006"/>
      <c r="E184" s="4555" t="s">
        <v>1781</v>
      </c>
      <c r="F184" s="3300"/>
      <c r="G184" s="3300"/>
      <c r="H184" s="712"/>
      <c r="I184" s="3300"/>
      <c r="J184" s="713"/>
      <c r="K184" s="3300"/>
      <c r="L184" s="821"/>
      <c r="M184" s="3300"/>
      <c r="N184" s="693"/>
      <c r="O184" s="3300"/>
      <c r="P184" s="2868"/>
      <c r="Q184" s="725"/>
      <c r="R184" s="3300"/>
      <c r="S184" s="693"/>
      <c r="T184" s="3300"/>
      <c r="U184" s="693"/>
      <c r="V184" s="5008"/>
      <c r="W184" s="1006">
        <f t="shared" si="571"/>
        <v>0</v>
      </c>
      <c r="X184" s="693">
        <f t="shared" si="572"/>
        <v>0</v>
      </c>
      <c r="Y184" s="3300">
        <v>161.82</v>
      </c>
      <c r="Z184" s="693">
        <f t="shared" si="560"/>
        <v>161.82</v>
      </c>
      <c r="AA184" s="3300">
        <v>337.73000000000008</v>
      </c>
      <c r="AB184" s="693">
        <f t="shared" si="561"/>
        <v>499.55000000000007</v>
      </c>
      <c r="AC184" s="3300"/>
      <c r="AD184" s="734">
        <f t="shared" si="566"/>
        <v>499.55000000000007</v>
      </c>
      <c r="AE184" s="731">
        <f t="shared" si="567"/>
        <v>499.55000000000007</v>
      </c>
      <c r="AF184" s="2590">
        <f t="shared" si="568"/>
        <v>499.55000000000007</v>
      </c>
      <c r="AM184" s="4527"/>
      <c r="AN184" s="4527"/>
      <c r="AO184" s="4527"/>
      <c r="AP184" s="4527"/>
      <c r="AQ184" s="4527"/>
      <c r="AR184" s="4527"/>
      <c r="AS184" s="4527"/>
      <c r="AT184" s="4527"/>
      <c r="AU184" s="4527"/>
      <c r="AV184" s="4527"/>
      <c r="AW184" s="4527"/>
      <c r="AX184" s="4527"/>
      <c r="AY184" s="4527"/>
      <c r="AZ184" s="4527"/>
      <c r="BA184" s="4527"/>
      <c r="BB184" s="4527"/>
      <c r="BC184" s="4527"/>
      <c r="BD184" s="4527"/>
      <c r="BE184" s="4527"/>
      <c r="BF184" s="4527"/>
      <c r="BG184" s="4527"/>
      <c r="BH184" s="4527"/>
      <c r="BI184" s="4527"/>
      <c r="BJ184" s="4527"/>
      <c r="BK184" s="4527"/>
      <c r="BL184" s="4527"/>
      <c r="BM184" s="4527"/>
      <c r="BN184" s="4527"/>
      <c r="BO184" s="4527"/>
      <c r="BP184" s="4527"/>
      <c r="BQ184" s="4527"/>
      <c r="BR184" s="4527"/>
      <c r="BS184" s="4527"/>
      <c r="BT184" s="4527"/>
      <c r="BU184" s="4527"/>
      <c r="BV184" s="4527"/>
      <c r="BW184" s="16"/>
    </row>
    <row r="185" spans="4:75" ht="35" hidden="1" customHeight="1" x14ac:dyDescent="0.25">
      <c r="D185" s="3006"/>
      <c r="E185" s="4555" t="s">
        <v>1782</v>
      </c>
      <c r="F185" s="3300"/>
      <c r="G185" s="3300"/>
      <c r="H185" s="712"/>
      <c r="I185" s="3300"/>
      <c r="J185" s="713"/>
      <c r="K185" s="3300"/>
      <c r="L185" s="821"/>
      <c r="M185" s="3300"/>
      <c r="N185" s="693"/>
      <c r="O185" s="3300"/>
      <c r="P185" s="2868"/>
      <c r="Q185" s="725"/>
      <c r="R185" s="3300"/>
      <c r="S185" s="693"/>
      <c r="T185" s="3300"/>
      <c r="U185" s="693"/>
      <c r="V185" s="5008"/>
      <c r="W185" s="1006">
        <f t="shared" si="571"/>
        <v>0</v>
      </c>
      <c r="X185" s="693">
        <f t="shared" si="572"/>
        <v>0</v>
      </c>
      <c r="Y185" s="3300">
        <v>11.38</v>
      </c>
      <c r="Z185" s="693">
        <f t="shared" si="560"/>
        <v>11.38</v>
      </c>
      <c r="AA185" s="3300">
        <v>15.35</v>
      </c>
      <c r="AB185" s="693">
        <f t="shared" si="561"/>
        <v>26.73</v>
      </c>
      <c r="AC185" s="3300">
        <v>3</v>
      </c>
      <c r="AD185" s="734">
        <f t="shared" si="566"/>
        <v>29.73</v>
      </c>
      <c r="AE185" s="731">
        <f t="shared" si="567"/>
        <v>29.73</v>
      </c>
      <c r="AF185" s="2590">
        <f t="shared" si="568"/>
        <v>29.73</v>
      </c>
      <c r="AM185" s="4527"/>
      <c r="AN185" s="4527"/>
      <c r="AO185" s="4527"/>
      <c r="AP185" s="4527"/>
      <c r="AQ185" s="4527"/>
      <c r="AR185" s="4527"/>
      <c r="AS185" s="4527"/>
      <c r="AT185" s="4527"/>
      <c r="AU185" s="4527"/>
      <c r="AV185" s="4527"/>
      <c r="AW185" s="4527"/>
      <c r="AX185" s="4527"/>
      <c r="AY185" s="4527"/>
      <c r="AZ185" s="4527"/>
      <c r="BA185" s="4527"/>
      <c r="BB185" s="4527"/>
      <c r="BC185" s="4527"/>
      <c r="BD185" s="4527"/>
      <c r="BE185" s="4527"/>
      <c r="BF185" s="4527"/>
      <c r="BG185" s="4527"/>
      <c r="BH185" s="4527"/>
      <c r="BI185" s="4527"/>
      <c r="BJ185" s="4527"/>
      <c r="BK185" s="4527"/>
      <c r="BL185" s="4527"/>
      <c r="BM185" s="4527"/>
      <c r="BN185" s="4527"/>
      <c r="BO185" s="4527"/>
      <c r="BP185" s="4527"/>
      <c r="BQ185" s="4527"/>
      <c r="BR185" s="4527"/>
      <c r="BS185" s="4527"/>
      <c r="BT185" s="4527"/>
      <c r="BU185" s="4527"/>
      <c r="BV185" s="4527"/>
      <c r="BW185" s="16"/>
    </row>
    <row r="186" spans="4:75" ht="35" hidden="1" customHeight="1" x14ac:dyDescent="0.25">
      <c r="D186" s="3006"/>
      <c r="E186" s="4555" t="s">
        <v>1640</v>
      </c>
      <c r="F186" s="3300"/>
      <c r="G186" s="3300"/>
      <c r="H186" s="712"/>
      <c r="I186" s="3300"/>
      <c r="J186" s="713"/>
      <c r="K186" s="3300"/>
      <c r="L186" s="821"/>
      <c r="M186" s="3300"/>
      <c r="N186" s="693"/>
      <c r="O186" s="3300"/>
      <c r="P186" s="2868"/>
      <c r="Q186" s="725"/>
      <c r="R186" s="3300"/>
      <c r="S186" s="693"/>
      <c r="T186" s="3300"/>
      <c r="U186" s="693"/>
      <c r="V186" s="5008"/>
      <c r="W186" s="1006">
        <f t="shared" si="571"/>
        <v>0</v>
      </c>
      <c r="X186" s="693">
        <f t="shared" si="572"/>
        <v>0</v>
      </c>
      <c r="Y186" s="3300">
        <v>113.65</v>
      </c>
      <c r="Z186" s="693">
        <f t="shared" si="560"/>
        <v>113.65</v>
      </c>
      <c r="AA186" s="3300">
        <v>124.34</v>
      </c>
      <c r="AB186" s="693">
        <f t="shared" si="561"/>
        <v>237.99</v>
      </c>
      <c r="AC186" s="3300">
        <v>53.91</v>
      </c>
      <c r="AD186" s="734">
        <f t="shared" si="566"/>
        <v>291.89999999999998</v>
      </c>
      <c r="AE186" s="731">
        <f t="shared" si="567"/>
        <v>291.89999999999998</v>
      </c>
      <c r="AF186" s="2590">
        <f t="shared" si="568"/>
        <v>291.89999999999998</v>
      </c>
      <c r="AM186" s="4527"/>
      <c r="AN186" s="4527"/>
      <c r="AO186" s="4527"/>
      <c r="AP186" s="4527"/>
      <c r="AQ186" s="4527"/>
      <c r="AR186" s="4527"/>
      <c r="AS186" s="4527"/>
      <c r="AT186" s="4527"/>
      <c r="AU186" s="4527"/>
      <c r="AV186" s="4527"/>
      <c r="AW186" s="4527"/>
      <c r="AX186" s="4527"/>
      <c r="AY186" s="4527"/>
      <c r="AZ186" s="4527"/>
      <c r="BA186" s="4527"/>
      <c r="BB186" s="4527"/>
      <c r="BC186" s="4527"/>
      <c r="BD186" s="4527"/>
      <c r="BE186" s="4527"/>
      <c r="BF186" s="4527"/>
      <c r="BG186" s="4527"/>
      <c r="BH186" s="4527"/>
      <c r="BI186" s="4527"/>
      <c r="BJ186" s="4527"/>
      <c r="BK186" s="4527"/>
      <c r="BL186" s="4527"/>
      <c r="BM186" s="4527"/>
      <c r="BN186" s="4527"/>
      <c r="BO186" s="4527"/>
      <c r="BP186" s="4527"/>
      <c r="BQ186" s="4527"/>
      <c r="BR186" s="4527"/>
      <c r="BS186" s="4527"/>
      <c r="BT186" s="4527"/>
      <c r="BU186" s="4527"/>
      <c r="BV186" s="4527"/>
      <c r="BW186" s="16"/>
    </row>
    <row r="187" spans="4:75" ht="35" hidden="1" customHeight="1" x14ac:dyDescent="0.25">
      <c r="D187" s="3006"/>
      <c r="E187" s="4555" t="s">
        <v>1783</v>
      </c>
      <c r="F187" s="3300"/>
      <c r="G187" s="3300"/>
      <c r="H187" s="712"/>
      <c r="I187" s="3300"/>
      <c r="J187" s="713"/>
      <c r="K187" s="3300"/>
      <c r="L187" s="821"/>
      <c r="M187" s="3300"/>
      <c r="N187" s="693"/>
      <c r="O187" s="3300"/>
      <c r="P187" s="2868"/>
      <c r="Q187" s="725"/>
      <c r="R187" s="3300"/>
      <c r="S187" s="693"/>
      <c r="T187" s="3300"/>
      <c r="U187" s="693"/>
      <c r="V187" s="5008"/>
      <c r="W187" s="1006">
        <f t="shared" si="571"/>
        <v>0</v>
      </c>
      <c r="X187" s="693">
        <f t="shared" si="572"/>
        <v>0</v>
      </c>
      <c r="Y187" s="3300">
        <v>321.33000000000004</v>
      </c>
      <c r="Z187" s="693">
        <f t="shared" si="560"/>
        <v>321.33000000000004</v>
      </c>
      <c r="AA187" s="3300">
        <v>70.760000000000005</v>
      </c>
      <c r="AB187" s="693">
        <f t="shared" si="561"/>
        <v>392.09000000000003</v>
      </c>
      <c r="AC187" s="3300"/>
      <c r="AD187" s="734">
        <f t="shared" si="566"/>
        <v>392.09000000000003</v>
      </c>
      <c r="AE187" s="731">
        <f t="shared" si="567"/>
        <v>392.09000000000003</v>
      </c>
      <c r="AF187" s="2590">
        <f t="shared" si="568"/>
        <v>392.09000000000003</v>
      </c>
      <c r="AM187" s="4527"/>
      <c r="AN187" s="4527"/>
      <c r="AO187" s="4527"/>
      <c r="AP187" s="4527"/>
      <c r="AQ187" s="4527"/>
      <c r="AR187" s="4527"/>
      <c r="AS187" s="4527"/>
      <c r="AT187" s="4527"/>
      <c r="AU187" s="4527"/>
      <c r="AV187" s="4527"/>
      <c r="AW187" s="4527"/>
      <c r="AX187" s="4527"/>
      <c r="AY187" s="4527"/>
      <c r="AZ187" s="4527"/>
      <c r="BA187" s="4527"/>
      <c r="BB187" s="4527"/>
      <c r="BC187" s="4527"/>
      <c r="BD187" s="4527"/>
      <c r="BE187" s="4527"/>
      <c r="BF187" s="4527"/>
      <c r="BG187" s="4527"/>
      <c r="BH187" s="4527"/>
      <c r="BI187" s="4527"/>
      <c r="BJ187" s="4527"/>
      <c r="BK187" s="4527"/>
      <c r="BL187" s="4527"/>
      <c r="BM187" s="4527"/>
      <c r="BN187" s="4527"/>
      <c r="BO187" s="4527"/>
      <c r="BP187" s="4527"/>
      <c r="BQ187" s="4527"/>
      <c r="BR187" s="4527"/>
      <c r="BS187" s="4527"/>
      <c r="BT187" s="4527"/>
      <c r="BU187" s="4527"/>
      <c r="BV187" s="4527"/>
      <c r="BW187" s="16"/>
    </row>
    <row r="188" spans="4:75" ht="35" hidden="1" customHeight="1" x14ac:dyDescent="0.25">
      <c r="D188" s="3006"/>
      <c r="E188" s="4555" t="s">
        <v>1850</v>
      </c>
      <c r="F188" s="3300"/>
      <c r="G188" s="3300"/>
      <c r="H188" s="712"/>
      <c r="I188" s="3300"/>
      <c r="J188" s="713"/>
      <c r="K188" s="3300"/>
      <c r="L188" s="821"/>
      <c r="M188" s="3300"/>
      <c r="N188" s="693"/>
      <c r="O188" s="3300"/>
      <c r="P188" s="2868"/>
      <c r="Q188" s="725"/>
      <c r="R188" s="3300"/>
      <c r="S188" s="693"/>
      <c r="T188" s="3300"/>
      <c r="U188" s="693"/>
      <c r="V188" s="5008"/>
      <c r="W188" s="5142"/>
      <c r="X188" s="5143"/>
      <c r="Y188" s="3300"/>
      <c r="Z188" s="693"/>
      <c r="AA188" s="3300"/>
      <c r="AB188" s="693"/>
      <c r="AC188" s="3300">
        <v>49.46</v>
      </c>
      <c r="AD188" s="734">
        <f t="shared" ref="AD188" si="573">+Y188+AA188+AC188</f>
        <v>49.46</v>
      </c>
      <c r="AE188" s="731">
        <f t="shared" ref="AE188" si="574">+W188+AD188</f>
        <v>49.46</v>
      </c>
      <c r="AF188" s="2590">
        <f t="shared" ref="AF188" si="575">+AB188+AC188</f>
        <v>49.46</v>
      </c>
      <c r="AG188" s="5126"/>
      <c r="AH188" s="5126"/>
      <c r="AI188" s="5126"/>
      <c r="AJ188" s="5126"/>
      <c r="AK188" s="5126"/>
      <c r="AL188" s="5126"/>
      <c r="AM188" s="4527"/>
      <c r="AN188" s="4527"/>
      <c r="AO188" s="4527"/>
      <c r="AP188" s="4527"/>
      <c r="AQ188" s="4527"/>
      <c r="AR188" s="4527"/>
      <c r="AS188" s="4527"/>
      <c r="AT188" s="4527"/>
      <c r="AU188" s="4527"/>
      <c r="AV188" s="4527"/>
      <c r="AW188" s="4527"/>
      <c r="AX188" s="4527"/>
      <c r="AY188" s="4527"/>
      <c r="AZ188" s="4527"/>
      <c r="BA188" s="4527"/>
      <c r="BB188" s="4527"/>
      <c r="BC188" s="4527"/>
      <c r="BD188" s="4527"/>
      <c r="BE188" s="4527"/>
      <c r="BF188" s="4527"/>
      <c r="BG188" s="4527"/>
      <c r="BH188" s="4527"/>
      <c r="BI188" s="4527"/>
      <c r="BJ188" s="4527"/>
      <c r="BK188" s="4527"/>
      <c r="BL188" s="4527"/>
      <c r="BM188" s="4527"/>
      <c r="BN188" s="4527"/>
      <c r="BO188" s="4527"/>
      <c r="BP188" s="4527"/>
      <c r="BQ188" s="4527"/>
      <c r="BR188" s="4527"/>
      <c r="BS188" s="4527"/>
      <c r="BT188" s="4527"/>
      <c r="BU188" s="4527"/>
      <c r="BV188" s="4527"/>
      <c r="BW188" s="16"/>
    </row>
    <row r="189" spans="4:75" ht="35" hidden="1" customHeight="1" x14ac:dyDescent="0.25">
      <c r="D189" s="3006"/>
      <c r="E189" s="4555" t="s">
        <v>827</v>
      </c>
      <c r="F189" s="3300"/>
      <c r="G189" s="3300"/>
      <c r="H189" s="712">
        <f>SUM(F189:G189)</f>
        <v>0</v>
      </c>
      <c r="I189" s="3300"/>
      <c r="J189" s="713">
        <f>SUM(H189:I189)</f>
        <v>0</v>
      </c>
      <c r="K189" s="3300"/>
      <c r="L189" s="712">
        <f>SUM(J189:K189)</f>
        <v>0</v>
      </c>
      <c r="M189" s="3300">
        <v>0</v>
      </c>
      <c r="N189" s="693">
        <f>SUM(L189:M189)</f>
        <v>0</v>
      </c>
      <c r="O189" s="3300">
        <v>152.62</v>
      </c>
      <c r="P189" s="2868">
        <f t="shared" si="534"/>
        <v>152.62</v>
      </c>
      <c r="Q189" s="725">
        <f t="shared" si="313"/>
        <v>152.62</v>
      </c>
      <c r="R189" s="3300">
        <v>1033.54</v>
      </c>
      <c r="S189" s="693">
        <f t="shared" si="530"/>
        <v>1186.1599999999999</v>
      </c>
      <c r="T189" s="3300">
        <v>1270.1599999999999</v>
      </c>
      <c r="U189" s="693">
        <f t="shared" si="531"/>
        <v>2456.3199999999997</v>
      </c>
      <c r="V189" s="5008">
        <v>270.10000000000002</v>
      </c>
      <c r="W189" s="4566">
        <f t="shared" si="546"/>
        <v>2573.7999999999997</v>
      </c>
      <c r="X189" s="3977">
        <f t="shared" si="557"/>
        <v>2726.4199999999996</v>
      </c>
      <c r="Y189" s="3300">
        <v>0</v>
      </c>
      <c r="Z189" s="693">
        <f t="shared" si="560"/>
        <v>2726.4199999999996</v>
      </c>
      <c r="AA189" s="3300">
        <v>210.99</v>
      </c>
      <c r="AB189" s="693">
        <f t="shared" si="561"/>
        <v>2937.41</v>
      </c>
      <c r="AC189" s="3300">
        <v>275.95</v>
      </c>
      <c r="AD189" s="734">
        <f t="shared" si="566"/>
        <v>486.94</v>
      </c>
      <c r="AE189" s="731">
        <f t="shared" si="567"/>
        <v>3060.74</v>
      </c>
      <c r="AF189" s="2590">
        <f t="shared" si="568"/>
        <v>3213.3599999999997</v>
      </c>
      <c r="AM189" s="4527"/>
      <c r="AN189" s="4527"/>
      <c r="AO189" s="4527"/>
      <c r="AP189" s="4527"/>
      <c r="AQ189" s="4527"/>
      <c r="AR189" s="4527"/>
      <c r="AS189" s="4527"/>
      <c r="AT189" s="4527"/>
      <c r="AU189" s="4527"/>
      <c r="AV189" s="4527"/>
      <c r="AW189" s="4527"/>
      <c r="AX189" s="4527"/>
      <c r="AY189" s="4527"/>
      <c r="AZ189" s="4527"/>
      <c r="BA189" s="4527"/>
      <c r="BB189" s="4527"/>
      <c r="BC189" s="4527"/>
      <c r="BD189" s="4527"/>
      <c r="BE189" s="4527"/>
      <c r="BF189" s="4527"/>
      <c r="BG189" s="4527"/>
      <c r="BH189" s="4527"/>
      <c r="BI189" s="4527"/>
      <c r="BJ189" s="4527"/>
      <c r="BK189" s="4527"/>
      <c r="BL189" s="4527"/>
      <c r="BM189" s="4527"/>
      <c r="BN189" s="4527"/>
      <c r="BO189" s="4527"/>
      <c r="BP189" s="4527"/>
      <c r="BQ189" s="4527"/>
      <c r="BR189" s="4527"/>
      <c r="BS189" s="4527"/>
      <c r="BT189" s="4527"/>
      <c r="BU189" s="4527"/>
      <c r="BV189" s="4527"/>
      <c r="BW189" s="16"/>
    </row>
    <row r="190" spans="4:75" ht="35" hidden="1" customHeight="1" thickBot="1" x14ac:dyDescent="0.3">
      <c r="D190" s="3006"/>
      <c r="E190" s="4563" t="s">
        <v>828</v>
      </c>
      <c r="F190" s="3298"/>
      <c r="G190" s="3298"/>
      <c r="H190" s="1427">
        <f>SUM(F190:G190)</f>
        <v>0</v>
      </c>
      <c r="I190" s="3298"/>
      <c r="J190" s="874">
        <f>SUM(H190:I190)</f>
        <v>0</v>
      </c>
      <c r="K190" s="3298"/>
      <c r="L190" s="1427">
        <f>SUM(J190:K190)</f>
        <v>0</v>
      </c>
      <c r="M190" s="3298">
        <v>806.14999999999975</v>
      </c>
      <c r="N190" s="909">
        <f>SUM(L190:M190)</f>
        <v>806.14999999999975</v>
      </c>
      <c r="O190" s="3298">
        <v>834.52999999999986</v>
      </c>
      <c r="P190" s="3021">
        <f t="shared" si="534"/>
        <v>1640.6799999999996</v>
      </c>
      <c r="Q190" s="4564">
        <f t="shared" si="313"/>
        <v>1640.6799999999996</v>
      </c>
      <c r="R190" s="3298">
        <v>933.59</v>
      </c>
      <c r="S190" s="909">
        <f t="shared" si="530"/>
        <v>2574.2699999999995</v>
      </c>
      <c r="T190" s="3298">
        <v>1134.3699999999999</v>
      </c>
      <c r="U190" s="909">
        <f t="shared" si="531"/>
        <v>3708.6399999999994</v>
      </c>
      <c r="V190" s="5009">
        <v>1142.7699999999998</v>
      </c>
      <c r="W190" s="4566">
        <f t="shared" si="546"/>
        <v>3210.7299999999996</v>
      </c>
      <c r="X190" s="3977">
        <f t="shared" si="557"/>
        <v>4851.4099999999989</v>
      </c>
      <c r="Y190" s="3298">
        <v>1107.2799999999997</v>
      </c>
      <c r="Z190" s="909">
        <f t="shared" si="560"/>
        <v>5958.6899999999987</v>
      </c>
      <c r="AA190" s="3298">
        <v>862.88000000000022</v>
      </c>
      <c r="AB190" s="909">
        <f t="shared" si="561"/>
        <v>6821.5699999999988</v>
      </c>
      <c r="AC190" s="3298"/>
      <c r="AD190" s="734">
        <f t="shared" si="566"/>
        <v>1970.1599999999999</v>
      </c>
      <c r="AE190" s="731">
        <f t="shared" si="567"/>
        <v>5180.8899999999994</v>
      </c>
      <c r="AF190" s="2590">
        <f t="shared" si="568"/>
        <v>6821.5699999999988</v>
      </c>
      <c r="AM190" s="4527"/>
      <c r="AN190" s="4527"/>
      <c r="AO190" s="4527"/>
      <c r="AP190" s="4527"/>
      <c r="AQ190" s="4527"/>
      <c r="AR190" s="4527"/>
      <c r="AS190" s="4527"/>
      <c r="AT190" s="4527"/>
      <c r="AU190" s="4527"/>
      <c r="AV190" s="4527"/>
      <c r="AW190" s="4527"/>
      <c r="AX190" s="4527"/>
      <c r="AY190" s="4527"/>
      <c r="AZ190" s="4527"/>
      <c r="BA190" s="4527"/>
      <c r="BB190" s="4527"/>
      <c r="BC190" s="4527"/>
      <c r="BD190" s="4527"/>
      <c r="BE190" s="4527"/>
      <c r="BF190" s="4527"/>
      <c r="BG190" s="4527"/>
      <c r="BH190" s="4527"/>
      <c r="BI190" s="4527"/>
      <c r="BJ190" s="4527"/>
      <c r="BK190" s="4527"/>
      <c r="BL190" s="4527"/>
      <c r="BM190" s="4527"/>
      <c r="BN190" s="4527"/>
      <c r="BO190" s="4527"/>
      <c r="BP190" s="4527"/>
      <c r="BQ190" s="4527"/>
      <c r="BR190" s="4527"/>
      <c r="BS190" s="4527"/>
      <c r="BT190" s="4527"/>
      <c r="BU190" s="4527"/>
      <c r="BV190" s="4527"/>
      <c r="BW190" s="16"/>
    </row>
    <row r="191" spans="4:75" ht="35" hidden="1" customHeight="1" x14ac:dyDescent="0.25">
      <c r="D191" s="3006"/>
      <c r="E191" s="4523" t="s">
        <v>250</v>
      </c>
      <c r="F191" s="3301"/>
      <c r="G191" s="3301"/>
      <c r="H191" s="4567"/>
      <c r="I191" s="3301"/>
      <c r="J191" s="4568"/>
      <c r="K191" s="3301"/>
      <c r="L191" s="4567"/>
      <c r="M191" s="3301"/>
      <c r="N191" s="4569"/>
      <c r="O191" s="3301"/>
      <c r="P191" s="4570"/>
      <c r="Q191" s="4571"/>
      <c r="R191" s="3301"/>
      <c r="S191" s="4569"/>
      <c r="T191" s="3301"/>
      <c r="U191" s="4569"/>
      <c r="V191" s="5010"/>
      <c r="W191" s="4566"/>
      <c r="X191" s="3977"/>
      <c r="Y191" s="3301"/>
      <c r="Z191" s="4569"/>
      <c r="AA191" s="3301"/>
      <c r="AB191" s="4572"/>
      <c r="AC191" s="3301"/>
      <c r="AD191" s="734">
        <f t="shared" si="566"/>
        <v>0</v>
      </c>
      <c r="AE191" s="731">
        <f t="shared" si="567"/>
        <v>0</v>
      </c>
      <c r="AF191" s="2590">
        <f t="shared" si="568"/>
        <v>0</v>
      </c>
      <c r="AM191" s="4573"/>
      <c r="AN191" s="4573"/>
      <c r="AO191" s="4573"/>
      <c r="AP191" s="4573"/>
      <c r="AQ191" s="4573"/>
      <c r="AR191" s="4573"/>
      <c r="AS191" s="4573"/>
      <c r="AT191" s="4573"/>
      <c r="AU191" s="4573"/>
      <c r="AV191" s="4573"/>
      <c r="AW191" s="4573"/>
      <c r="AX191" s="4573"/>
      <c r="AY191" s="4573"/>
      <c r="AZ191" s="4573"/>
      <c r="BA191" s="4573"/>
      <c r="BB191" s="4573"/>
      <c r="BC191" s="4573"/>
      <c r="BD191" s="4573"/>
      <c r="BE191" s="4573"/>
      <c r="BF191" s="4573"/>
      <c r="BG191" s="4573"/>
      <c r="BH191" s="4573"/>
      <c r="BI191" s="4573"/>
      <c r="BJ191" s="4573"/>
      <c r="BK191" s="4573"/>
      <c r="BL191" s="4573"/>
      <c r="BM191" s="4573"/>
      <c r="BN191" s="4573"/>
      <c r="BO191" s="4573"/>
      <c r="BP191" s="4573"/>
      <c r="BQ191" s="4573"/>
      <c r="BR191" s="4573"/>
      <c r="BS191" s="4573"/>
      <c r="BT191" s="4573"/>
      <c r="BU191" s="4573"/>
      <c r="BV191" s="4573"/>
      <c r="BW191" s="4574"/>
    </row>
    <row r="192" spans="4:75" ht="35" hidden="1" customHeight="1" x14ac:dyDescent="0.25">
      <c r="D192" s="3006"/>
      <c r="E192" s="4575" t="s">
        <v>1533</v>
      </c>
      <c r="F192" s="3300"/>
      <c r="G192" s="3300"/>
      <c r="H192" s="712">
        <f t="shared" ref="H192:H222" si="576">SUM(F192:G192)</f>
        <v>0</v>
      </c>
      <c r="I192" s="3300"/>
      <c r="J192" s="4565">
        <f>+H192+I192</f>
        <v>0</v>
      </c>
      <c r="K192" s="3300"/>
      <c r="L192" s="3252">
        <f>+J192+K192</f>
        <v>0</v>
      </c>
      <c r="M192" s="3296">
        <v>0</v>
      </c>
      <c r="N192" s="693">
        <f t="shared" ref="N192:N222" si="577">SUM(L192:M192)</f>
        <v>0</v>
      </c>
      <c r="O192" s="3296">
        <v>0</v>
      </c>
      <c r="P192" s="2868">
        <f t="shared" si="534"/>
        <v>0</v>
      </c>
      <c r="Q192" s="725">
        <f t="shared" si="313"/>
        <v>0</v>
      </c>
      <c r="R192" s="3296"/>
      <c r="S192" s="693">
        <f t="shared" si="530"/>
        <v>0</v>
      </c>
      <c r="T192" s="3300">
        <v>0</v>
      </c>
      <c r="U192" s="693">
        <f t="shared" si="531"/>
        <v>0</v>
      </c>
      <c r="V192" s="5011">
        <v>2469.5</v>
      </c>
      <c r="W192" s="4566">
        <f t="shared" ref="W192:W222" si="578">+R192+T192+V192</f>
        <v>2469.5</v>
      </c>
      <c r="X192" s="3977">
        <f t="shared" ref="X192:X222" si="579">+U192+V192</f>
        <v>2469.5</v>
      </c>
      <c r="Y192" s="3300"/>
      <c r="Z192" s="693">
        <f t="shared" si="560"/>
        <v>2469.5</v>
      </c>
      <c r="AA192" s="3300"/>
      <c r="AB192" s="751">
        <f t="shared" si="561"/>
        <v>2469.5</v>
      </c>
      <c r="AC192" s="3300"/>
      <c r="AD192" s="734">
        <f t="shared" si="566"/>
        <v>0</v>
      </c>
      <c r="AE192" s="731">
        <f t="shared" si="567"/>
        <v>2469.5</v>
      </c>
      <c r="AF192" s="2590">
        <f t="shared" si="568"/>
        <v>2469.5</v>
      </c>
      <c r="AM192" s="4562"/>
      <c r="AN192" s="4562"/>
      <c r="AO192" s="4562"/>
      <c r="AP192" s="4562"/>
      <c r="AQ192" s="4562"/>
      <c r="AR192" s="4562"/>
      <c r="AS192" s="4562"/>
      <c r="AT192" s="4562"/>
      <c r="AU192" s="4562"/>
      <c r="AV192" s="4562"/>
      <c r="AW192" s="4562"/>
      <c r="AX192" s="4562"/>
      <c r="AY192" s="4562"/>
      <c r="AZ192" s="4562"/>
      <c r="BA192" s="4562"/>
      <c r="BB192" s="4562"/>
      <c r="BC192" s="4562"/>
      <c r="BD192" s="4562"/>
      <c r="BE192" s="4562"/>
      <c r="BF192" s="4562"/>
      <c r="BG192" s="4562"/>
      <c r="BH192" s="4562"/>
      <c r="BI192" s="4562"/>
      <c r="BJ192" s="4562"/>
      <c r="BK192" s="4562"/>
      <c r="BL192" s="4562"/>
      <c r="BM192" s="4562"/>
      <c r="BN192" s="4562"/>
      <c r="BO192" s="4562"/>
      <c r="BP192" s="4562"/>
      <c r="BQ192" s="4562"/>
      <c r="BR192" s="4562"/>
      <c r="BS192" s="4562"/>
      <c r="BT192" s="4562"/>
      <c r="BU192" s="4562"/>
      <c r="BV192" s="4562"/>
      <c r="BW192" s="4576"/>
    </row>
    <row r="193" spans="4:75" ht="35" hidden="1" customHeight="1" x14ac:dyDescent="0.25">
      <c r="D193" s="3006"/>
      <c r="E193" s="4575" t="s">
        <v>13</v>
      </c>
      <c r="F193" s="3300"/>
      <c r="G193" s="3300"/>
      <c r="H193" s="712"/>
      <c r="I193" s="3300"/>
      <c r="J193" s="4565"/>
      <c r="K193" s="3300"/>
      <c r="L193" s="3252"/>
      <c r="M193" s="3296"/>
      <c r="N193" s="693"/>
      <c r="O193" s="3296"/>
      <c r="P193" s="2868"/>
      <c r="Q193" s="725"/>
      <c r="R193" s="3296"/>
      <c r="S193" s="693"/>
      <c r="T193" s="3300"/>
      <c r="U193" s="693"/>
      <c r="V193" s="5011">
        <v>1608.52</v>
      </c>
      <c r="W193" s="4566">
        <f t="shared" ref="W193" si="580">+R193+T193+V193</f>
        <v>1608.52</v>
      </c>
      <c r="X193" s="3977">
        <f t="shared" ref="X193" si="581">+U193+V193</f>
        <v>1608.52</v>
      </c>
      <c r="Y193" s="3300">
        <v>2270.92</v>
      </c>
      <c r="Z193" s="693">
        <f t="shared" si="560"/>
        <v>3879.44</v>
      </c>
      <c r="AA193" s="3300">
        <v>2181.25</v>
      </c>
      <c r="AB193" s="751">
        <f t="shared" si="561"/>
        <v>6060.6900000000005</v>
      </c>
      <c r="AC193" s="3300">
        <v>2059.54</v>
      </c>
      <c r="AD193" s="734">
        <f t="shared" si="566"/>
        <v>6511.71</v>
      </c>
      <c r="AE193" s="731">
        <f t="shared" si="567"/>
        <v>8120.23</v>
      </c>
      <c r="AF193" s="2590">
        <f t="shared" si="568"/>
        <v>8120.2300000000005</v>
      </c>
      <c r="AM193" s="4562"/>
      <c r="AN193" s="4562"/>
      <c r="AO193" s="4562"/>
      <c r="AP193" s="4562"/>
      <c r="AQ193" s="4562"/>
      <c r="AR193" s="4562"/>
      <c r="AS193" s="4562"/>
      <c r="AT193" s="4562"/>
      <c r="AU193" s="4562"/>
      <c r="AV193" s="4562"/>
      <c r="AW193" s="4562"/>
      <c r="AX193" s="4562"/>
      <c r="AY193" s="4562"/>
      <c r="AZ193" s="4562"/>
      <c r="BA193" s="4562"/>
      <c r="BB193" s="4562"/>
      <c r="BC193" s="4562"/>
      <c r="BD193" s="4562"/>
      <c r="BE193" s="4562"/>
      <c r="BF193" s="4562"/>
      <c r="BG193" s="4562"/>
      <c r="BH193" s="4562"/>
      <c r="BI193" s="4562"/>
      <c r="BJ193" s="4562"/>
      <c r="BK193" s="4562"/>
      <c r="BL193" s="4562"/>
      <c r="BM193" s="4562"/>
      <c r="BN193" s="4562"/>
      <c r="BO193" s="4562"/>
      <c r="BP193" s="4562"/>
      <c r="BQ193" s="4562"/>
      <c r="BR193" s="4562"/>
      <c r="BS193" s="4562"/>
      <c r="BT193" s="4562"/>
      <c r="BU193" s="4562"/>
      <c r="BV193" s="4562"/>
      <c r="BW193" s="4576"/>
    </row>
    <row r="194" spans="4:75" ht="35" hidden="1" customHeight="1" x14ac:dyDescent="0.25">
      <c r="D194" s="3006"/>
      <c r="E194" s="4575" t="s">
        <v>1725</v>
      </c>
      <c r="F194" s="3296"/>
      <c r="G194" s="3296"/>
      <c r="H194" s="712"/>
      <c r="I194" s="3296"/>
      <c r="J194" s="4565"/>
      <c r="K194" s="3296"/>
      <c r="L194" s="3252"/>
      <c r="M194" s="3296"/>
      <c r="N194" s="693"/>
      <c r="O194" s="3296"/>
      <c r="P194" s="2868">
        <f t="shared" ref="P194" si="582">+K194+M194+O194</f>
        <v>0</v>
      </c>
      <c r="Q194" s="725">
        <f t="shared" ref="Q194" si="583">+N194+O194</f>
        <v>0</v>
      </c>
      <c r="R194" s="3296">
        <v>200</v>
      </c>
      <c r="S194" s="693">
        <f t="shared" si="530"/>
        <v>200</v>
      </c>
      <c r="T194" s="3296">
        <v>200</v>
      </c>
      <c r="U194" s="693">
        <f t="shared" si="531"/>
        <v>400</v>
      </c>
      <c r="V194" s="3296"/>
      <c r="W194" s="1006">
        <f t="shared" si="578"/>
        <v>400</v>
      </c>
      <c r="X194" s="693">
        <f t="shared" si="579"/>
        <v>400</v>
      </c>
      <c r="Y194" s="3296"/>
      <c r="Z194" s="693">
        <f t="shared" si="560"/>
        <v>400</v>
      </c>
      <c r="AA194" s="3296"/>
      <c r="AB194" s="751">
        <f t="shared" si="561"/>
        <v>400</v>
      </c>
      <c r="AC194" s="3296"/>
      <c r="AD194" s="734">
        <f t="shared" si="566"/>
        <v>0</v>
      </c>
      <c r="AE194" s="731">
        <f t="shared" si="567"/>
        <v>400</v>
      </c>
      <c r="AF194" s="2590">
        <f t="shared" si="568"/>
        <v>400</v>
      </c>
      <c r="AM194" s="4562"/>
      <c r="AN194" s="4562"/>
      <c r="AO194" s="4562"/>
      <c r="AP194" s="4562"/>
      <c r="AQ194" s="4562"/>
      <c r="AR194" s="4562"/>
      <c r="AS194" s="4562"/>
      <c r="AT194" s="4562"/>
      <c r="AU194" s="4562"/>
      <c r="AV194" s="4562"/>
      <c r="AW194" s="4562"/>
      <c r="AX194" s="4562"/>
      <c r="AY194" s="4562"/>
      <c r="AZ194" s="4562"/>
      <c r="BA194" s="4562"/>
      <c r="BB194" s="4562"/>
      <c r="BC194" s="4562"/>
      <c r="BD194" s="4562"/>
      <c r="BE194" s="4562"/>
      <c r="BF194" s="4562"/>
      <c r="BG194" s="4562"/>
      <c r="BH194" s="4562"/>
      <c r="BI194" s="4562"/>
      <c r="BJ194" s="4562"/>
      <c r="BK194" s="4562"/>
      <c r="BL194" s="4562"/>
      <c r="BM194" s="4562"/>
      <c r="BN194" s="4562"/>
      <c r="BO194" s="4562"/>
      <c r="BP194" s="4562"/>
      <c r="BQ194" s="4562"/>
      <c r="BR194" s="4562"/>
      <c r="BS194" s="4562"/>
      <c r="BT194" s="4562"/>
      <c r="BU194" s="4562"/>
      <c r="BV194" s="4562"/>
      <c r="BW194" s="4576"/>
    </row>
    <row r="195" spans="4:75" ht="35" hidden="1" customHeight="1" x14ac:dyDescent="0.25">
      <c r="D195" s="3006"/>
      <c r="E195" s="4575" t="s">
        <v>1535</v>
      </c>
      <c r="F195" s="3300"/>
      <c r="G195" s="3300"/>
      <c r="H195" s="712">
        <f t="shared" si="576"/>
        <v>0</v>
      </c>
      <c r="I195" s="3300"/>
      <c r="J195" s="4565">
        <f t="shared" ref="J195:J218" si="584">+H195+I195</f>
        <v>0</v>
      </c>
      <c r="K195" s="3300"/>
      <c r="L195" s="3252">
        <f t="shared" ref="L195:L218" si="585">+J195+K195</f>
        <v>0</v>
      </c>
      <c r="M195" s="3296">
        <v>0</v>
      </c>
      <c r="N195" s="693">
        <f t="shared" si="577"/>
        <v>0</v>
      </c>
      <c r="O195" s="3296">
        <v>0</v>
      </c>
      <c r="P195" s="2868">
        <f t="shared" si="534"/>
        <v>0</v>
      </c>
      <c r="Q195" s="725">
        <f t="shared" ref="Q195:Q222" si="586">+N195+O195</f>
        <v>0</v>
      </c>
      <c r="R195" s="3296"/>
      <c r="S195" s="693">
        <f t="shared" si="530"/>
        <v>0</v>
      </c>
      <c r="T195" s="3300">
        <v>0</v>
      </c>
      <c r="U195" s="693">
        <f t="shared" si="531"/>
        <v>0</v>
      </c>
      <c r="V195" s="3296"/>
      <c r="W195" s="1006">
        <f t="shared" si="578"/>
        <v>0</v>
      </c>
      <c r="X195" s="693">
        <f t="shared" si="579"/>
        <v>0</v>
      </c>
      <c r="Y195" s="3300"/>
      <c r="Z195" s="693">
        <f t="shared" si="560"/>
        <v>0</v>
      </c>
      <c r="AA195" s="3300"/>
      <c r="AB195" s="751">
        <f t="shared" si="561"/>
        <v>0</v>
      </c>
      <c r="AC195" s="3300"/>
      <c r="AD195" s="734">
        <f t="shared" si="566"/>
        <v>0</v>
      </c>
      <c r="AE195" s="731">
        <f t="shared" si="567"/>
        <v>0</v>
      </c>
      <c r="AF195" s="2590">
        <f t="shared" si="568"/>
        <v>0</v>
      </c>
      <c r="AM195" s="4562"/>
      <c r="AN195" s="4562"/>
      <c r="AO195" s="4562"/>
      <c r="AP195" s="4562"/>
      <c r="AQ195" s="4562"/>
      <c r="AR195" s="4562"/>
      <c r="AS195" s="4562"/>
      <c r="AT195" s="4562"/>
      <c r="AU195" s="4562"/>
      <c r="AV195" s="4562"/>
      <c r="AW195" s="4562"/>
      <c r="AX195" s="4562"/>
      <c r="AY195" s="4562"/>
      <c r="AZ195" s="4562"/>
      <c r="BA195" s="4562"/>
      <c r="BB195" s="4562"/>
      <c r="BC195" s="4562"/>
      <c r="BD195" s="4562"/>
      <c r="BE195" s="4562"/>
      <c r="BF195" s="4562"/>
      <c r="BG195" s="4562"/>
      <c r="BH195" s="4562"/>
      <c r="BI195" s="4562"/>
      <c r="BJ195" s="4562"/>
      <c r="BK195" s="4562"/>
      <c r="BL195" s="4562"/>
      <c r="BM195" s="4562"/>
      <c r="BN195" s="4562"/>
      <c r="BO195" s="4562"/>
      <c r="BP195" s="4562"/>
      <c r="BQ195" s="4562"/>
      <c r="BR195" s="4562"/>
      <c r="BS195" s="4562"/>
      <c r="BT195" s="4562"/>
      <c r="BU195" s="4562"/>
      <c r="BV195" s="4562"/>
      <c r="BW195" s="4576"/>
    </row>
    <row r="196" spans="4:75" ht="35" hidden="1" customHeight="1" x14ac:dyDescent="0.25">
      <c r="D196" s="3006"/>
      <c r="E196" s="4582" t="s">
        <v>1639</v>
      </c>
      <c r="F196" s="3300"/>
      <c r="G196" s="3300"/>
      <c r="H196" s="712">
        <f t="shared" si="576"/>
        <v>0</v>
      </c>
      <c r="I196" s="3300"/>
      <c r="J196" s="4565">
        <f t="shared" si="584"/>
        <v>0</v>
      </c>
      <c r="K196" s="3300"/>
      <c r="L196" s="3252">
        <f t="shared" si="585"/>
        <v>0</v>
      </c>
      <c r="M196" s="3297">
        <v>10.220000000000001</v>
      </c>
      <c r="N196" s="693">
        <f t="shared" si="577"/>
        <v>10.220000000000001</v>
      </c>
      <c r="O196" s="3297">
        <v>39.11</v>
      </c>
      <c r="P196" s="2868">
        <f t="shared" si="534"/>
        <v>49.33</v>
      </c>
      <c r="Q196" s="725">
        <f t="shared" si="586"/>
        <v>49.33</v>
      </c>
      <c r="R196" s="3297">
        <v>10.09</v>
      </c>
      <c r="S196" s="693">
        <f t="shared" si="530"/>
        <v>59.42</v>
      </c>
      <c r="T196" s="3300">
        <v>0</v>
      </c>
      <c r="U196" s="693">
        <f t="shared" si="531"/>
        <v>59.42</v>
      </c>
      <c r="V196" s="3297">
        <v>43.69</v>
      </c>
      <c r="W196" s="1006">
        <f t="shared" si="578"/>
        <v>53.78</v>
      </c>
      <c r="X196" s="693">
        <f t="shared" si="579"/>
        <v>103.11</v>
      </c>
      <c r="Y196" s="3300"/>
      <c r="Z196" s="693">
        <f t="shared" si="560"/>
        <v>103.11</v>
      </c>
      <c r="AA196" s="3300"/>
      <c r="AB196" s="751">
        <f t="shared" si="561"/>
        <v>103.11</v>
      </c>
      <c r="AC196" s="3300"/>
      <c r="AD196" s="734">
        <f t="shared" si="566"/>
        <v>0</v>
      </c>
      <c r="AE196" s="731">
        <f t="shared" si="567"/>
        <v>53.78</v>
      </c>
      <c r="AF196" s="2590">
        <f t="shared" si="568"/>
        <v>103.11</v>
      </c>
      <c r="AM196" s="4584"/>
      <c r="AN196" s="4584"/>
      <c r="AO196" s="4584"/>
      <c r="AP196" s="4584"/>
      <c r="AQ196" s="4584"/>
      <c r="AR196" s="4584"/>
      <c r="AS196" s="4584"/>
      <c r="AT196" s="4584"/>
      <c r="AU196" s="4584"/>
      <c r="AV196" s="4584"/>
      <c r="AW196" s="4584"/>
      <c r="AX196" s="4584"/>
      <c r="AY196" s="4584"/>
      <c r="AZ196" s="4584"/>
      <c r="BA196" s="4584"/>
      <c r="BB196" s="4584"/>
      <c r="BC196" s="4584"/>
      <c r="BD196" s="4584"/>
      <c r="BE196" s="4584"/>
      <c r="BF196" s="4584"/>
      <c r="BG196" s="4584"/>
      <c r="BH196" s="4584"/>
      <c r="BI196" s="4584"/>
      <c r="BJ196" s="4584"/>
      <c r="BK196" s="4584"/>
      <c r="BL196" s="4584"/>
      <c r="BM196" s="4584"/>
      <c r="BN196" s="4584"/>
      <c r="BO196" s="4584"/>
      <c r="BP196" s="4584"/>
      <c r="BQ196" s="4584"/>
      <c r="BR196" s="4584"/>
      <c r="BS196" s="4584"/>
      <c r="BT196" s="4584"/>
      <c r="BU196" s="4584"/>
      <c r="BV196" s="4584"/>
      <c r="BW196" s="4585"/>
    </row>
    <row r="197" spans="4:75" ht="35" hidden="1" customHeight="1" x14ac:dyDescent="0.25">
      <c r="D197" s="3006"/>
      <c r="E197" s="4582" t="s">
        <v>1673</v>
      </c>
      <c r="F197" s="3300"/>
      <c r="G197" s="3300"/>
      <c r="H197" s="712">
        <f t="shared" si="576"/>
        <v>0</v>
      </c>
      <c r="I197" s="3300"/>
      <c r="J197" s="4565">
        <f t="shared" si="584"/>
        <v>0</v>
      </c>
      <c r="K197" s="3300"/>
      <c r="L197" s="3252">
        <f t="shared" si="585"/>
        <v>0</v>
      </c>
      <c r="M197" s="3297">
        <v>96.41</v>
      </c>
      <c r="N197" s="693">
        <f>SUM(L197:M197)</f>
        <v>96.41</v>
      </c>
      <c r="O197" s="3297">
        <v>0</v>
      </c>
      <c r="P197" s="2868">
        <f t="shared" si="534"/>
        <v>96.41</v>
      </c>
      <c r="Q197" s="725">
        <f t="shared" si="586"/>
        <v>96.41</v>
      </c>
      <c r="R197" s="3297"/>
      <c r="S197" s="693">
        <f t="shared" si="530"/>
        <v>96.41</v>
      </c>
      <c r="T197" s="3300">
        <v>0</v>
      </c>
      <c r="U197" s="693">
        <f t="shared" si="531"/>
        <v>96.41</v>
      </c>
      <c r="V197" s="3297">
        <v>13.47</v>
      </c>
      <c r="W197" s="1006">
        <f t="shared" si="578"/>
        <v>13.47</v>
      </c>
      <c r="X197" s="693">
        <f t="shared" si="579"/>
        <v>109.88</v>
      </c>
      <c r="Y197" s="3300"/>
      <c r="Z197" s="693">
        <f t="shared" si="560"/>
        <v>109.88</v>
      </c>
      <c r="AA197" s="3300"/>
      <c r="AB197" s="751">
        <f t="shared" si="561"/>
        <v>109.88</v>
      </c>
      <c r="AC197" s="3300"/>
      <c r="AD197" s="734">
        <f t="shared" si="566"/>
        <v>0</v>
      </c>
      <c r="AE197" s="731">
        <f t="shared" si="567"/>
        <v>13.47</v>
      </c>
      <c r="AF197" s="2590">
        <f t="shared" si="568"/>
        <v>109.88</v>
      </c>
      <c r="AM197" s="4584"/>
      <c r="AN197" s="4584"/>
      <c r="AO197" s="4584"/>
      <c r="AP197" s="4584"/>
      <c r="AQ197" s="4584"/>
      <c r="AR197" s="4584"/>
      <c r="AS197" s="4584"/>
      <c r="AT197" s="4584"/>
      <c r="AU197" s="4584"/>
      <c r="AV197" s="4584"/>
      <c r="AW197" s="4584"/>
      <c r="AX197" s="4584"/>
      <c r="AY197" s="4584"/>
      <c r="AZ197" s="4584"/>
      <c r="BA197" s="4584"/>
      <c r="BB197" s="4584"/>
      <c r="BC197" s="4584"/>
      <c r="BD197" s="4584"/>
      <c r="BE197" s="4584"/>
      <c r="BF197" s="4584"/>
      <c r="BG197" s="4584"/>
      <c r="BH197" s="4584"/>
      <c r="BI197" s="4584"/>
      <c r="BJ197" s="4584"/>
      <c r="BK197" s="4584"/>
      <c r="BL197" s="4584"/>
      <c r="BM197" s="4584"/>
      <c r="BN197" s="4584"/>
      <c r="BO197" s="4584"/>
      <c r="BP197" s="4584"/>
      <c r="BQ197" s="4584"/>
      <c r="BR197" s="4584"/>
      <c r="BS197" s="4584"/>
      <c r="BT197" s="4584"/>
      <c r="BU197" s="4584"/>
      <c r="BV197" s="4584"/>
      <c r="BW197" s="4585"/>
    </row>
    <row r="198" spans="4:75" ht="35" hidden="1" customHeight="1" x14ac:dyDescent="0.25">
      <c r="D198" s="3006"/>
      <c r="E198" s="4582" t="s">
        <v>1726</v>
      </c>
      <c r="F198" s="3300"/>
      <c r="G198" s="3300"/>
      <c r="H198" s="712"/>
      <c r="I198" s="3300"/>
      <c r="J198" s="4565"/>
      <c r="K198" s="3300"/>
      <c r="L198" s="3252"/>
      <c r="M198" s="3297"/>
      <c r="N198" s="693"/>
      <c r="O198" s="3297"/>
      <c r="P198" s="2868"/>
      <c r="Q198" s="725"/>
      <c r="R198" s="3297">
        <v>18.46</v>
      </c>
      <c r="S198" s="693">
        <f t="shared" si="530"/>
        <v>18.46</v>
      </c>
      <c r="T198" s="3300">
        <v>0</v>
      </c>
      <c r="U198" s="693">
        <f t="shared" si="531"/>
        <v>18.46</v>
      </c>
      <c r="V198" s="3297"/>
      <c r="W198" s="1006">
        <f t="shared" si="578"/>
        <v>18.46</v>
      </c>
      <c r="X198" s="693">
        <f t="shared" si="579"/>
        <v>18.46</v>
      </c>
      <c r="Y198" s="3300"/>
      <c r="Z198" s="693">
        <f t="shared" si="560"/>
        <v>18.46</v>
      </c>
      <c r="AA198" s="3300">
        <v>47.9</v>
      </c>
      <c r="AB198" s="751">
        <f t="shared" si="561"/>
        <v>66.36</v>
      </c>
      <c r="AC198" s="3300">
        <v>48.120000000000005</v>
      </c>
      <c r="AD198" s="734">
        <f t="shared" si="566"/>
        <v>96.02000000000001</v>
      </c>
      <c r="AE198" s="731">
        <f t="shared" si="567"/>
        <v>114.48000000000002</v>
      </c>
      <c r="AF198" s="2590">
        <f t="shared" si="568"/>
        <v>114.48</v>
      </c>
      <c r="AM198" s="4584"/>
      <c r="AN198" s="4584"/>
      <c r="AO198" s="4584"/>
      <c r="AP198" s="4584"/>
      <c r="AQ198" s="4584"/>
      <c r="AR198" s="4584"/>
      <c r="AS198" s="4584"/>
      <c r="AT198" s="4584"/>
      <c r="AU198" s="4584"/>
      <c r="AV198" s="4584"/>
      <c r="AW198" s="4584"/>
      <c r="AX198" s="4584"/>
      <c r="AY198" s="4584"/>
      <c r="AZ198" s="4584"/>
      <c r="BA198" s="4584"/>
      <c r="BB198" s="4584"/>
      <c r="BC198" s="4584"/>
      <c r="BD198" s="4584"/>
      <c r="BE198" s="4584"/>
      <c r="BF198" s="4584"/>
      <c r="BG198" s="4584"/>
      <c r="BH198" s="4584"/>
      <c r="BI198" s="4584"/>
      <c r="BJ198" s="4584"/>
      <c r="BK198" s="4584"/>
      <c r="BL198" s="4584"/>
      <c r="BM198" s="4584"/>
      <c r="BN198" s="4584"/>
      <c r="BO198" s="4584"/>
      <c r="BP198" s="4584"/>
      <c r="BQ198" s="4584"/>
      <c r="BR198" s="4584"/>
      <c r="BS198" s="4584"/>
      <c r="BT198" s="4584"/>
      <c r="BU198" s="4584"/>
      <c r="BV198" s="4584"/>
      <c r="BW198" s="4585"/>
    </row>
    <row r="199" spans="4:75" ht="35" hidden="1" customHeight="1" x14ac:dyDescent="0.25">
      <c r="D199" s="3006"/>
      <c r="E199" s="4582" t="s">
        <v>1672</v>
      </c>
      <c r="F199" s="3300"/>
      <c r="G199" s="3300"/>
      <c r="H199" s="712">
        <f t="shared" si="576"/>
        <v>0</v>
      </c>
      <c r="I199" s="3300"/>
      <c r="J199" s="4565">
        <f t="shared" si="584"/>
        <v>0</v>
      </c>
      <c r="K199" s="3300"/>
      <c r="L199" s="3252">
        <f t="shared" si="585"/>
        <v>0</v>
      </c>
      <c r="M199" s="3297">
        <v>4.97</v>
      </c>
      <c r="N199" s="693">
        <f t="shared" si="577"/>
        <v>4.97</v>
      </c>
      <c r="O199" s="3297">
        <v>0</v>
      </c>
      <c r="P199" s="2868">
        <f t="shared" si="534"/>
        <v>4.97</v>
      </c>
      <c r="Q199" s="725">
        <f t="shared" si="586"/>
        <v>4.97</v>
      </c>
      <c r="R199" s="3297"/>
      <c r="S199" s="693">
        <f t="shared" si="530"/>
        <v>4.97</v>
      </c>
      <c r="T199" s="3300">
        <v>0</v>
      </c>
      <c r="U199" s="693">
        <f t="shared" si="531"/>
        <v>4.97</v>
      </c>
      <c r="V199" s="3297"/>
      <c r="W199" s="1006">
        <f t="shared" si="578"/>
        <v>0</v>
      </c>
      <c r="X199" s="693">
        <f t="shared" si="579"/>
        <v>4.97</v>
      </c>
      <c r="Y199" s="3300"/>
      <c r="Z199" s="693">
        <f t="shared" si="560"/>
        <v>4.97</v>
      </c>
      <c r="AA199" s="3300"/>
      <c r="AB199" s="751">
        <f t="shared" si="561"/>
        <v>4.97</v>
      </c>
      <c r="AC199" s="3300"/>
      <c r="AD199" s="734">
        <f t="shared" si="566"/>
        <v>0</v>
      </c>
      <c r="AE199" s="731">
        <f t="shared" si="567"/>
        <v>0</v>
      </c>
      <c r="AF199" s="2590">
        <f t="shared" si="568"/>
        <v>4.97</v>
      </c>
      <c r="AM199" s="4584"/>
      <c r="AN199" s="4584"/>
      <c r="AO199" s="4584"/>
      <c r="AP199" s="4584"/>
      <c r="AQ199" s="4584"/>
      <c r="AR199" s="4584"/>
      <c r="AS199" s="4584"/>
      <c r="AT199" s="4584"/>
      <c r="AU199" s="4584"/>
      <c r="AV199" s="4584"/>
      <c r="AW199" s="4584"/>
      <c r="AX199" s="4584"/>
      <c r="AY199" s="4584"/>
      <c r="AZ199" s="4584"/>
      <c r="BA199" s="4584"/>
      <c r="BB199" s="4584"/>
      <c r="BC199" s="4584"/>
      <c r="BD199" s="4584"/>
      <c r="BE199" s="4584"/>
      <c r="BF199" s="4584"/>
      <c r="BG199" s="4584"/>
      <c r="BH199" s="4584"/>
      <c r="BI199" s="4584"/>
      <c r="BJ199" s="4584"/>
      <c r="BK199" s="4584"/>
      <c r="BL199" s="4584"/>
      <c r="BM199" s="4584"/>
      <c r="BN199" s="4584"/>
      <c r="BO199" s="4584"/>
      <c r="BP199" s="4584"/>
      <c r="BQ199" s="4584"/>
      <c r="BR199" s="4584"/>
      <c r="BS199" s="4584"/>
      <c r="BT199" s="4584"/>
      <c r="BU199" s="4584"/>
      <c r="BV199" s="4584"/>
      <c r="BW199" s="4585"/>
    </row>
    <row r="200" spans="4:75" ht="35" hidden="1" customHeight="1" x14ac:dyDescent="0.25">
      <c r="D200" s="3006"/>
      <c r="E200" s="4582" t="s">
        <v>1727</v>
      </c>
      <c r="F200" s="3300"/>
      <c r="G200" s="3300"/>
      <c r="H200" s="712"/>
      <c r="I200" s="3300"/>
      <c r="J200" s="4565"/>
      <c r="K200" s="3300"/>
      <c r="L200" s="3252"/>
      <c r="M200" s="3297"/>
      <c r="N200" s="693"/>
      <c r="O200" s="3297"/>
      <c r="P200" s="2868"/>
      <c r="Q200" s="725"/>
      <c r="R200" s="3297">
        <v>481.61</v>
      </c>
      <c r="S200" s="693">
        <f t="shared" si="530"/>
        <v>481.61</v>
      </c>
      <c r="T200" s="3300">
        <v>0</v>
      </c>
      <c r="U200" s="693">
        <f t="shared" si="531"/>
        <v>481.61</v>
      </c>
      <c r="V200" s="3297"/>
      <c r="W200" s="1006">
        <f t="shared" si="578"/>
        <v>481.61</v>
      </c>
      <c r="X200" s="693">
        <f t="shared" si="579"/>
        <v>481.61</v>
      </c>
      <c r="Y200" s="3300"/>
      <c r="Z200" s="693">
        <f t="shared" si="560"/>
        <v>481.61</v>
      </c>
      <c r="AA200" s="3300"/>
      <c r="AB200" s="751">
        <f t="shared" si="561"/>
        <v>481.61</v>
      </c>
      <c r="AC200" s="3300"/>
      <c r="AD200" s="734">
        <f t="shared" si="566"/>
        <v>0</v>
      </c>
      <c r="AE200" s="731">
        <f t="shared" si="567"/>
        <v>481.61</v>
      </c>
      <c r="AF200" s="2590">
        <f t="shared" si="568"/>
        <v>481.61</v>
      </c>
      <c r="AM200" s="4584"/>
      <c r="AN200" s="4584"/>
      <c r="AO200" s="4584"/>
      <c r="AP200" s="4584"/>
      <c r="AQ200" s="4584"/>
      <c r="AR200" s="4584"/>
      <c r="AS200" s="4584"/>
      <c r="AT200" s="4584"/>
      <c r="AU200" s="4584"/>
      <c r="AV200" s="4584"/>
      <c r="AW200" s="4584"/>
      <c r="AX200" s="4584"/>
      <c r="AY200" s="4584"/>
      <c r="AZ200" s="4584"/>
      <c r="BA200" s="4584"/>
      <c r="BB200" s="4584"/>
      <c r="BC200" s="4584"/>
      <c r="BD200" s="4584"/>
      <c r="BE200" s="4584"/>
      <c r="BF200" s="4584"/>
      <c r="BG200" s="4584"/>
      <c r="BH200" s="4584"/>
      <c r="BI200" s="4584"/>
      <c r="BJ200" s="4584"/>
      <c r="BK200" s="4584"/>
      <c r="BL200" s="4584"/>
      <c r="BM200" s="4584"/>
      <c r="BN200" s="4584"/>
      <c r="BO200" s="4584"/>
      <c r="BP200" s="4584"/>
      <c r="BQ200" s="4584"/>
      <c r="BR200" s="4584"/>
      <c r="BS200" s="4584"/>
      <c r="BT200" s="4584"/>
      <c r="BU200" s="4584"/>
      <c r="BV200" s="4584"/>
      <c r="BW200" s="4585"/>
    </row>
    <row r="201" spans="4:75" ht="35" hidden="1" customHeight="1" x14ac:dyDescent="0.25">
      <c r="D201" s="3006"/>
      <c r="E201" s="4582" t="s">
        <v>1800</v>
      </c>
      <c r="F201" s="3300"/>
      <c r="G201" s="3300"/>
      <c r="H201" s="712"/>
      <c r="I201" s="3300"/>
      <c r="J201" s="4565"/>
      <c r="K201" s="3300"/>
      <c r="L201" s="3252"/>
      <c r="M201" s="3297"/>
      <c r="N201" s="693"/>
      <c r="O201" s="3297"/>
      <c r="P201" s="2868"/>
      <c r="Q201" s="725"/>
      <c r="R201" s="3297"/>
      <c r="S201" s="693"/>
      <c r="T201" s="3300"/>
      <c r="U201" s="693"/>
      <c r="V201" s="3297"/>
      <c r="W201" s="1006"/>
      <c r="X201" s="693"/>
      <c r="Y201" s="3300"/>
      <c r="Z201" s="693"/>
      <c r="AA201" s="3300">
        <v>3</v>
      </c>
      <c r="AB201" s="751">
        <f t="shared" si="561"/>
        <v>3</v>
      </c>
      <c r="AC201" s="3300"/>
      <c r="AD201" s="734">
        <f t="shared" si="566"/>
        <v>3</v>
      </c>
      <c r="AE201" s="731">
        <f t="shared" si="567"/>
        <v>3</v>
      </c>
      <c r="AF201" s="2590">
        <f t="shared" si="568"/>
        <v>3</v>
      </c>
      <c r="AM201" s="4584"/>
      <c r="AN201" s="4584"/>
      <c r="AO201" s="4584"/>
      <c r="AP201" s="4584"/>
      <c r="AQ201" s="4584"/>
      <c r="AR201" s="4584"/>
      <c r="AS201" s="4584"/>
      <c r="AT201" s="4584"/>
      <c r="AU201" s="4584"/>
      <c r="AV201" s="4584"/>
      <c r="AW201" s="4584"/>
      <c r="AX201" s="4584"/>
      <c r="AY201" s="4584"/>
      <c r="AZ201" s="4584"/>
      <c r="BA201" s="4584"/>
      <c r="BB201" s="4584"/>
      <c r="BC201" s="4584"/>
      <c r="BD201" s="4584"/>
      <c r="BE201" s="4584"/>
      <c r="BF201" s="4584"/>
      <c r="BG201" s="4584"/>
      <c r="BH201" s="4584"/>
      <c r="BI201" s="4584"/>
      <c r="BJ201" s="4584"/>
      <c r="BK201" s="4584"/>
      <c r="BL201" s="4584"/>
      <c r="BM201" s="4584"/>
      <c r="BN201" s="4584"/>
      <c r="BO201" s="4584"/>
      <c r="BP201" s="4584"/>
      <c r="BQ201" s="4584"/>
      <c r="BR201" s="4584"/>
      <c r="BS201" s="4584"/>
      <c r="BT201" s="4584"/>
      <c r="BU201" s="4584"/>
      <c r="BV201" s="4584"/>
      <c r="BW201" s="4585"/>
    </row>
    <row r="202" spans="4:75" ht="35" hidden="1" customHeight="1" x14ac:dyDescent="0.25">
      <c r="D202" s="3006"/>
      <c r="E202" s="4582" t="s">
        <v>1671</v>
      </c>
      <c r="F202" s="3300"/>
      <c r="G202" s="3300"/>
      <c r="H202" s="712">
        <f t="shared" si="576"/>
        <v>0</v>
      </c>
      <c r="I202" s="3300"/>
      <c r="J202" s="4565">
        <f t="shared" si="584"/>
        <v>0</v>
      </c>
      <c r="K202" s="3300"/>
      <c r="L202" s="3252">
        <f t="shared" si="585"/>
        <v>0</v>
      </c>
      <c r="M202" s="3297">
        <v>169.57</v>
      </c>
      <c r="N202" s="693">
        <f t="shared" si="577"/>
        <v>169.57</v>
      </c>
      <c r="O202" s="3297">
        <v>0</v>
      </c>
      <c r="P202" s="2868">
        <f t="shared" si="534"/>
        <v>169.57</v>
      </c>
      <c r="Q202" s="725">
        <f t="shared" si="586"/>
        <v>169.57</v>
      </c>
      <c r="R202" s="3297"/>
      <c r="S202" s="693">
        <f t="shared" si="530"/>
        <v>169.57</v>
      </c>
      <c r="T202" s="3300">
        <v>0</v>
      </c>
      <c r="U202" s="693">
        <f t="shared" si="531"/>
        <v>169.57</v>
      </c>
      <c r="V202" s="3297"/>
      <c r="W202" s="1006">
        <f t="shared" si="578"/>
        <v>0</v>
      </c>
      <c r="X202" s="693">
        <f t="shared" si="579"/>
        <v>169.57</v>
      </c>
      <c r="Y202" s="3300"/>
      <c r="Z202" s="693">
        <f t="shared" si="560"/>
        <v>169.57</v>
      </c>
      <c r="AA202" s="3300"/>
      <c r="AB202" s="751">
        <f t="shared" si="561"/>
        <v>169.57</v>
      </c>
      <c r="AC202" s="3300"/>
      <c r="AD202" s="734">
        <f t="shared" si="566"/>
        <v>0</v>
      </c>
      <c r="AE202" s="731">
        <f t="shared" si="567"/>
        <v>0</v>
      </c>
      <c r="AF202" s="2590">
        <f t="shared" si="568"/>
        <v>169.57</v>
      </c>
      <c r="AM202" s="4584"/>
      <c r="AN202" s="4584"/>
      <c r="AO202" s="4584"/>
      <c r="AP202" s="4584"/>
      <c r="AQ202" s="4584"/>
      <c r="AR202" s="4584"/>
      <c r="AS202" s="4584"/>
      <c r="AT202" s="4584"/>
      <c r="AU202" s="4584"/>
      <c r="AV202" s="4584"/>
      <c r="AW202" s="4584"/>
      <c r="AX202" s="4584"/>
      <c r="AY202" s="4584"/>
      <c r="AZ202" s="4584"/>
      <c r="BA202" s="4584"/>
      <c r="BB202" s="4584"/>
      <c r="BC202" s="4584"/>
      <c r="BD202" s="4584"/>
      <c r="BE202" s="4584"/>
      <c r="BF202" s="4584"/>
      <c r="BG202" s="4584"/>
      <c r="BH202" s="4584"/>
      <c r="BI202" s="4584"/>
      <c r="BJ202" s="4584"/>
      <c r="BK202" s="4584"/>
      <c r="BL202" s="4584"/>
      <c r="BM202" s="4584"/>
      <c r="BN202" s="4584"/>
      <c r="BO202" s="4584"/>
      <c r="BP202" s="4584"/>
      <c r="BQ202" s="4584"/>
      <c r="BR202" s="4584"/>
      <c r="BS202" s="4584"/>
      <c r="BT202" s="4584"/>
      <c r="BU202" s="4584"/>
      <c r="BV202" s="4584"/>
      <c r="BW202" s="4585"/>
    </row>
    <row r="203" spans="4:75" ht="34.5" hidden="1" customHeight="1" x14ac:dyDescent="0.25">
      <c r="D203" s="3006"/>
      <c r="E203" s="4582" t="s">
        <v>1640</v>
      </c>
      <c r="F203" s="3300"/>
      <c r="G203" s="3300"/>
      <c r="H203" s="712">
        <f t="shared" si="576"/>
        <v>0</v>
      </c>
      <c r="I203" s="3300"/>
      <c r="J203" s="4565">
        <f t="shared" si="584"/>
        <v>0</v>
      </c>
      <c r="K203" s="3300"/>
      <c r="L203" s="3252">
        <f t="shared" si="585"/>
        <v>0</v>
      </c>
      <c r="M203" s="3297">
        <v>0</v>
      </c>
      <c r="N203" s="693">
        <f t="shared" si="577"/>
        <v>0</v>
      </c>
      <c r="O203" s="3297">
        <v>0</v>
      </c>
      <c r="P203" s="2868">
        <f t="shared" si="534"/>
        <v>0</v>
      </c>
      <c r="Q203" s="725">
        <f t="shared" si="586"/>
        <v>0</v>
      </c>
      <c r="R203" s="3297"/>
      <c r="S203" s="693">
        <f t="shared" si="530"/>
        <v>0</v>
      </c>
      <c r="T203" s="3300">
        <v>0</v>
      </c>
      <c r="U203" s="693">
        <f t="shared" si="531"/>
        <v>0</v>
      </c>
      <c r="V203" s="3297"/>
      <c r="W203" s="1006">
        <f t="shared" si="578"/>
        <v>0</v>
      </c>
      <c r="X203" s="693">
        <f t="shared" si="579"/>
        <v>0</v>
      </c>
      <c r="Y203" s="3300"/>
      <c r="Z203" s="693">
        <f t="shared" si="560"/>
        <v>0</v>
      </c>
      <c r="AA203" s="3300"/>
      <c r="AB203" s="751">
        <f t="shared" si="561"/>
        <v>0</v>
      </c>
      <c r="AC203" s="3300"/>
      <c r="AD203" s="734">
        <f t="shared" si="566"/>
        <v>0</v>
      </c>
      <c r="AE203" s="731">
        <f t="shared" si="567"/>
        <v>0</v>
      </c>
      <c r="AF203" s="2590">
        <f t="shared" si="568"/>
        <v>0</v>
      </c>
      <c r="AM203" s="4584"/>
      <c r="AN203" s="4584"/>
      <c r="AO203" s="4584"/>
      <c r="AP203" s="4584"/>
      <c r="AQ203" s="4584"/>
      <c r="AR203" s="4584"/>
      <c r="AS203" s="4584"/>
      <c r="AT203" s="4584"/>
      <c r="AU203" s="4584"/>
      <c r="AV203" s="4584"/>
      <c r="AW203" s="4584"/>
      <c r="AX203" s="4584"/>
      <c r="AY203" s="4584"/>
      <c r="AZ203" s="4584"/>
      <c r="BA203" s="4584"/>
      <c r="BB203" s="4584"/>
      <c r="BC203" s="4584"/>
      <c r="BD203" s="4584"/>
      <c r="BE203" s="4584"/>
      <c r="BF203" s="4584"/>
      <c r="BG203" s="4584"/>
      <c r="BH203" s="4584"/>
      <c r="BI203" s="4584"/>
      <c r="BJ203" s="4584"/>
      <c r="BK203" s="4584"/>
      <c r="BL203" s="4584"/>
      <c r="BM203" s="4584"/>
      <c r="BN203" s="4584"/>
      <c r="BO203" s="4584"/>
      <c r="BP203" s="4584"/>
      <c r="BQ203" s="4584"/>
      <c r="BR203" s="4584"/>
      <c r="BS203" s="4584"/>
      <c r="BT203" s="4584"/>
      <c r="BU203" s="4584"/>
      <c r="BV203" s="4584"/>
      <c r="BW203" s="4585"/>
    </row>
    <row r="204" spans="4:75" ht="34.5" hidden="1" customHeight="1" x14ac:dyDescent="0.25">
      <c r="D204" s="3006"/>
      <c r="E204" s="4582" t="s">
        <v>1801</v>
      </c>
      <c r="F204" s="3300"/>
      <c r="G204" s="3300"/>
      <c r="H204" s="712"/>
      <c r="I204" s="3300"/>
      <c r="J204" s="4565"/>
      <c r="K204" s="3300"/>
      <c r="L204" s="3252"/>
      <c r="M204" s="3297"/>
      <c r="N204" s="693"/>
      <c r="O204" s="3297"/>
      <c r="P204" s="2868"/>
      <c r="Q204" s="725"/>
      <c r="R204" s="3297"/>
      <c r="S204" s="693"/>
      <c r="T204" s="3300"/>
      <c r="U204" s="693"/>
      <c r="V204" s="3297"/>
      <c r="W204" s="1006"/>
      <c r="X204" s="693"/>
      <c r="Y204" s="3300"/>
      <c r="Z204" s="693"/>
      <c r="AA204" s="3300">
        <v>99.329999999999984</v>
      </c>
      <c r="AB204" s="751">
        <f t="shared" si="561"/>
        <v>99.329999999999984</v>
      </c>
      <c r="AC204" s="3300"/>
      <c r="AD204" s="734">
        <f t="shared" si="566"/>
        <v>99.329999999999984</v>
      </c>
      <c r="AE204" s="731">
        <f t="shared" si="567"/>
        <v>99.329999999999984</v>
      </c>
      <c r="AF204" s="2590">
        <f t="shared" si="568"/>
        <v>99.329999999999984</v>
      </c>
      <c r="AM204" s="4584"/>
      <c r="AN204" s="4584"/>
      <c r="AO204" s="4584"/>
      <c r="AP204" s="4584"/>
      <c r="AQ204" s="4584"/>
      <c r="AR204" s="4584"/>
      <c r="AS204" s="4584"/>
      <c r="AT204" s="4584"/>
      <c r="AU204" s="4584"/>
      <c r="AV204" s="4584"/>
      <c r="AW204" s="4584"/>
      <c r="AX204" s="4584"/>
      <c r="AY204" s="4584"/>
      <c r="AZ204" s="4584"/>
      <c r="BA204" s="4584"/>
      <c r="BB204" s="4584"/>
      <c r="BC204" s="4584"/>
      <c r="BD204" s="4584"/>
      <c r="BE204" s="4584"/>
      <c r="BF204" s="4584"/>
      <c r="BG204" s="4584"/>
      <c r="BH204" s="4584"/>
      <c r="BI204" s="4584"/>
      <c r="BJ204" s="4584"/>
      <c r="BK204" s="4584"/>
      <c r="BL204" s="4584"/>
      <c r="BM204" s="4584"/>
      <c r="BN204" s="4584"/>
      <c r="BO204" s="4584"/>
      <c r="BP204" s="4584"/>
      <c r="BQ204" s="4584"/>
      <c r="BR204" s="4584"/>
      <c r="BS204" s="4584"/>
      <c r="BT204" s="4584"/>
      <c r="BU204" s="4584"/>
      <c r="BV204" s="4584"/>
      <c r="BW204" s="4585"/>
    </row>
    <row r="205" spans="4:75" ht="34.5" hidden="1" customHeight="1" x14ac:dyDescent="0.25">
      <c r="D205" s="3006"/>
      <c r="E205" s="4582" t="s">
        <v>1675</v>
      </c>
      <c r="F205" s="3300"/>
      <c r="G205" s="3300"/>
      <c r="H205" s="712">
        <f t="shared" si="576"/>
        <v>0</v>
      </c>
      <c r="I205" s="3300"/>
      <c r="J205" s="4565">
        <f t="shared" si="584"/>
        <v>0</v>
      </c>
      <c r="K205" s="3300"/>
      <c r="L205" s="3252">
        <f t="shared" si="585"/>
        <v>0</v>
      </c>
      <c r="M205" s="3297">
        <v>12</v>
      </c>
      <c r="N205" s="693">
        <f t="shared" si="577"/>
        <v>12</v>
      </c>
      <c r="O205" s="3297">
        <v>0</v>
      </c>
      <c r="P205" s="2868">
        <f t="shared" si="534"/>
        <v>12</v>
      </c>
      <c r="Q205" s="725">
        <f t="shared" si="586"/>
        <v>12</v>
      </c>
      <c r="R205" s="3297"/>
      <c r="S205" s="693">
        <f t="shared" si="530"/>
        <v>12</v>
      </c>
      <c r="T205" s="3300">
        <v>0</v>
      </c>
      <c r="U205" s="693">
        <f t="shared" si="531"/>
        <v>12</v>
      </c>
      <c r="V205" s="3297"/>
      <c r="W205" s="1006">
        <f t="shared" si="578"/>
        <v>0</v>
      </c>
      <c r="X205" s="693">
        <f t="shared" si="579"/>
        <v>12</v>
      </c>
      <c r="Y205" s="3300"/>
      <c r="Z205" s="693">
        <f t="shared" si="560"/>
        <v>12</v>
      </c>
      <c r="AA205" s="3300"/>
      <c r="AB205" s="751">
        <f t="shared" si="561"/>
        <v>12</v>
      </c>
      <c r="AC205" s="3300"/>
      <c r="AD205" s="734">
        <f t="shared" si="566"/>
        <v>0</v>
      </c>
      <c r="AE205" s="731">
        <f t="shared" si="567"/>
        <v>0</v>
      </c>
      <c r="AF205" s="2590">
        <f t="shared" si="568"/>
        <v>12</v>
      </c>
      <c r="AM205" s="4584"/>
      <c r="AN205" s="4584"/>
      <c r="AO205" s="4584"/>
      <c r="AP205" s="4584"/>
      <c r="AQ205" s="4584"/>
      <c r="AR205" s="4584"/>
      <c r="AS205" s="4584"/>
      <c r="AT205" s="4584"/>
      <c r="AU205" s="4584"/>
      <c r="AV205" s="4584"/>
      <c r="AW205" s="4584"/>
      <c r="AX205" s="4584"/>
      <c r="AY205" s="4584"/>
      <c r="AZ205" s="4584"/>
      <c r="BA205" s="4584"/>
      <c r="BB205" s="4584"/>
      <c r="BC205" s="4584"/>
      <c r="BD205" s="4584"/>
      <c r="BE205" s="4584"/>
      <c r="BF205" s="4584"/>
      <c r="BG205" s="4584"/>
      <c r="BH205" s="4584"/>
      <c r="BI205" s="4584"/>
      <c r="BJ205" s="4584"/>
      <c r="BK205" s="4584"/>
      <c r="BL205" s="4584"/>
      <c r="BM205" s="4584"/>
      <c r="BN205" s="4584"/>
      <c r="BO205" s="4584"/>
      <c r="BP205" s="4584"/>
      <c r="BQ205" s="4584"/>
      <c r="BR205" s="4584"/>
      <c r="BS205" s="4584"/>
      <c r="BT205" s="4584"/>
      <c r="BU205" s="4584"/>
      <c r="BV205" s="4584"/>
      <c r="BW205" s="4585"/>
    </row>
    <row r="206" spans="4:75" ht="34.5" hidden="1" customHeight="1" x14ac:dyDescent="0.25">
      <c r="D206" s="3006"/>
      <c r="E206" s="4582" t="s">
        <v>1674</v>
      </c>
      <c r="F206" s="3300"/>
      <c r="G206" s="3300"/>
      <c r="H206" s="712">
        <f t="shared" si="576"/>
        <v>0</v>
      </c>
      <c r="I206" s="3300"/>
      <c r="J206" s="4565">
        <f t="shared" si="584"/>
        <v>0</v>
      </c>
      <c r="K206" s="3300"/>
      <c r="L206" s="3252">
        <f t="shared" si="585"/>
        <v>0</v>
      </c>
      <c r="M206" s="3297">
        <v>6</v>
      </c>
      <c r="N206" s="693">
        <f t="shared" si="577"/>
        <v>6</v>
      </c>
      <c r="O206" s="3297">
        <v>0</v>
      </c>
      <c r="P206" s="2868">
        <f t="shared" si="534"/>
        <v>6</v>
      </c>
      <c r="Q206" s="725">
        <f t="shared" si="586"/>
        <v>6</v>
      </c>
      <c r="R206" s="3297"/>
      <c r="S206" s="693">
        <f t="shared" si="530"/>
        <v>6</v>
      </c>
      <c r="T206" s="3300">
        <v>0</v>
      </c>
      <c r="U206" s="693">
        <f t="shared" si="531"/>
        <v>6</v>
      </c>
      <c r="V206" s="3297"/>
      <c r="W206" s="1006">
        <f t="shared" si="578"/>
        <v>0</v>
      </c>
      <c r="X206" s="693">
        <f t="shared" si="579"/>
        <v>6</v>
      </c>
      <c r="Y206" s="3300"/>
      <c r="Z206" s="693">
        <f t="shared" si="560"/>
        <v>6</v>
      </c>
      <c r="AA206" s="3300"/>
      <c r="AB206" s="751">
        <f t="shared" si="561"/>
        <v>6</v>
      </c>
      <c r="AC206" s="3300"/>
      <c r="AD206" s="734">
        <f t="shared" si="566"/>
        <v>0</v>
      </c>
      <c r="AE206" s="731">
        <f t="shared" si="567"/>
        <v>0</v>
      </c>
      <c r="AF206" s="2590">
        <f t="shared" si="568"/>
        <v>6</v>
      </c>
      <c r="AM206" s="4584"/>
      <c r="AN206" s="4584"/>
      <c r="AO206" s="4584"/>
      <c r="AP206" s="4584"/>
      <c r="AQ206" s="4584"/>
      <c r="AR206" s="4584"/>
      <c r="AS206" s="4584"/>
      <c r="AT206" s="4584"/>
      <c r="AU206" s="4584"/>
      <c r="AV206" s="4584"/>
      <c r="AW206" s="4584"/>
      <c r="AX206" s="4584"/>
      <c r="AY206" s="4584"/>
      <c r="AZ206" s="4584"/>
      <c r="BA206" s="4584"/>
      <c r="BB206" s="4584"/>
      <c r="BC206" s="4584"/>
      <c r="BD206" s="4584"/>
      <c r="BE206" s="4584"/>
      <c r="BF206" s="4584"/>
      <c r="BG206" s="4584"/>
      <c r="BH206" s="4584"/>
      <c r="BI206" s="4584"/>
      <c r="BJ206" s="4584"/>
      <c r="BK206" s="4584"/>
      <c r="BL206" s="4584"/>
      <c r="BM206" s="4584"/>
      <c r="BN206" s="4584"/>
      <c r="BO206" s="4584"/>
      <c r="BP206" s="4584"/>
      <c r="BQ206" s="4584"/>
      <c r="BR206" s="4584"/>
      <c r="BS206" s="4584"/>
      <c r="BT206" s="4584"/>
      <c r="BU206" s="4584"/>
      <c r="BV206" s="4584"/>
      <c r="BW206" s="4585"/>
    </row>
    <row r="207" spans="4:75" ht="34.5" hidden="1" customHeight="1" x14ac:dyDescent="0.25">
      <c r="D207" s="3006"/>
      <c r="E207" s="4582" t="s">
        <v>1768</v>
      </c>
      <c r="F207" s="3300"/>
      <c r="G207" s="3300"/>
      <c r="H207" s="712"/>
      <c r="I207" s="3300"/>
      <c r="J207" s="4565"/>
      <c r="K207" s="3300"/>
      <c r="L207" s="3252"/>
      <c r="M207" s="3297"/>
      <c r="N207" s="693"/>
      <c r="O207" s="3297"/>
      <c r="P207" s="2868"/>
      <c r="Q207" s="725"/>
      <c r="R207" s="3297"/>
      <c r="S207" s="693"/>
      <c r="T207" s="3300"/>
      <c r="U207" s="693"/>
      <c r="V207" s="3297"/>
      <c r="W207" s="1006"/>
      <c r="X207" s="693"/>
      <c r="Y207" s="3300">
        <v>2</v>
      </c>
      <c r="Z207" s="693">
        <f t="shared" si="560"/>
        <v>2</v>
      </c>
      <c r="AA207" s="3300"/>
      <c r="AB207" s="751">
        <f t="shared" si="561"/>
        <v>2</v>
      </c>
      <c r="AC207" s="3300"/>
      <c r="AD207" s="734">
        <f t="shared" si="566"/>
        <v>2</v>
      </c>
      <c r="AE207" s="731">
        <f t="shared" si="567"/>
        <v>2</v>
      </c>
      <c r="AF207" s="2590">
        <f t="shared" si="568"/>
        <v>2</v>
      </c>
      <c r="AM207" s="4584"/>
      <c r="AN207" s="4584"/>
      <c r="AO207" s="4584"/>
      <c r="AP207" s="4584"/>
      <c r="AQ207" s="4584"/>
      <c r="AR207" s="4584"/>
      <c r="AS207" s="4584"/>
      <c r="AT207" s="4584"/>
      <c r="AU207" s="4584"/>
      <c r="AV207" s="4584"/>
      <c r="AW207" s="4584"/>
      <c r="AX207" s="4584"/>
      <c r="AY207" s="4584"/>
      <c r="AZ207" s="4584"/>
      <c r="BA207" s="4584"/>
      <c r="BB207" s="4584"/>
      <c r="BC207" s="4584"/>
      <c r="BD207" s="4584"/>
      <c r="BE207" s="4584"/>
      <c r="BF207" s="4584"/>
      <c r="BG207" s="4584"/>
      <c r="BH207" s="4584"/>
      <c r="BI207" s="4584"/>
      <c r="BJ207" s="4584"/>
      <c r="BK207" s="4584"/>
      <c r="BL207" s="4584"/>
      <c r="BM207" s="4584"/>
      <c r="BN207" s="4584"/>
      <c r="BO207" s="4584"/>
      <c r="BP207" s="4584"/>
      <c r="BQ207" s="4584"/>
      <c r="BR207" s="4584"/>
      <c r="BS207" s="4584"/>
      <c r="BT207" s="4584"/>
      <c r="BU207" s="4584"/>
      <c r="BV207" s="4584"/>
      <c r="BW207" s="4585"/>
    </row>
    <row r="208" spans="4:75" ht="34.5" hidden="1" customHeight="1" x14ac:dyDescent="0.25">
      <c r="D208" s="3006"/>
      <c r="E208" s="4582" t="s">
        <v>1769</v>
      </c>
      <c r="F208" s="3300"/>
      <c r="G208" s="3300"/>
      <c r="H208" s="712"/>
      <c r="I208" s="3300"/>
      <c r="J208" s="4565"/>
      <c r="K208" s="3300"/>
      <c r="L208" s="3252"/>
      <c r="M208" s="3297"/>
      <c r="N208" s="693"/>
      <c r="O208" s="3297"/>
      <c r="P208" s="2868"/>
      <c r="Q208" s="725"/>
      <c r="R208" s="3297"/>
      <c r="S208" s="693"/>
      <c r="T208" s="3300"/>
      <c r="U208" s="693"/>
      <c r="V208" s="3297"/>
      <c r="W208" s="1006"/>
      <c r="X208" s="693"/>
      <c r="Y208" s="3300">
        <v>10</v>
      </c>
      <c r="Z208" s="693">
        <f t="shared" si="560"/>
        <v>10</v>
      </c>
      <c r="AA208" s="3300"/>
      <c r="AB208" s="751">
        <f t="shared" si="561"/>
        <v>10</v>
      </c>
      <c r="AC208" s="3300"/>
      <c r="AD208" s="734">
        <f t="shared" si="566"/>
        <v>10</v>
      </c>
      <c r="AE208" s="731">
        <f t="shared" si="567"/>
        <v>10</v>
      </c>
      <c r="AF208" s="2590">
        <f t="shared" si="568"/>
        <v>10</v>
      </c>
      <c r="AM208" s="4584"/>
      <c r="AN208" s="4584"/>
      <c r="AO208" s="4584"/>
      <c r="AP208" s="4584"/>
      <c r="AQ208" s="4584"/>
      <c r="AR208" s="4584"/>
      <c r="AS208" s="4584"/>
      <c r="AT208" s="4584"/>
      <c r="AU208" s="4584"/>
      <c r="AV208" s="4584"/>
      <c r="AW208" s="4584"/>
      <c r="AX208" s="4584"/>
      <c r="AY208" s="4584"/>
      <c r="AZ208" s="4584"/>
      <c r="BA208" s="4584"/>
      <c r="BB208" s="4584"/>
      <c r="BC208" s="4584"/>
      <c r="BD208" s="4584"/>
      <c r="BE208" s="4584"/>
      <c r="BF208" s="4584"/>
      <c r="BG208" s="4584"/>
      <c r="BH208" s="4584"/>
      <c r="BI208" s="4584"/>
      <c r="BJ208" s="4584"/>
      <c r="BK208" s="4584"/>
      <c r="BL208" s="4584"/>
      <c r="BM208" s="4584"/>
      <c r="BN208" s="4584"/>
      <c r="BO208" s="4584"/>
      <c r="BP208" s="4584"/>
      <c r="BQ208" s="4584"/>
      <c r="BR208" s="4584"/>
      <c r="BS208" s="4584"/>
      <c r="BT208" s="4584"/>
      <c r="BU208" s="4584"/>
      <c r="BV208" s="4584"/>
      <c r="BW208" s="4585"/>
    </row>
    <row r="209" spans="3:75" ht="34.5" hidden="1" customHeight="1" x14ac:dyDescent="0.25">
      <c r="D209" s="3006"/>
      <c r="E209" s="4582" t="s">
        <v>1770</v>
      </c>
      <c r="F209" s="3300"/>
      <c r="G209" s="3300"/>
      <c r="H209" s="712"/>
      <c r="I209" s="3300"/>
      <c r="J209" s="4565"/>
      <c r="K209" s="3300"/>
      <c r="L209" s="3252"/>
      <c r="M209" s="3297"/>
      <c r="N209" s="693"/>
      <c r="O209" s="3297"/>
      <c r="P209" s="2868"/>
      <c r="Q209" s="725"/>
      <c r="R209" s="3297"/>
      <c r="S209" s="693"/>
      <c r="T209" s="3300"/>
      <c r="U209" s="693"/>
      <c r="V209" s="3297"/>
      <c r="W209" s="1006"/>
      <c r="X209" s="693"/>
      <c r="Y209" s="3300">
        <v>12</v>
      </c>
      <c r="Z209" s="693">
        <f t="shared" si="560"/>
        <v>12</v>
      </c>
      <c r="AA209" s="3300"/>
      <c r="AB209" s="751">
        <f t="shared" si="561"/>
        <v>12</v>
      </c>
      <c r="AC209" s="3300"/>
      <c r="AD209" s="734">
        <f t="shared" si="566"/>
        <v>12</v>
      </c>
      <c r="AE209" s="731">
        <f t="shared" si="567"/>
        <v>12</v>
      </c>
      <c r="AF209" s="2590">
        <f t="shared" si="568"/>
        <v>12</v>
      </c>
      <c r="AM209" s="4584"/>
      <c r="AN209" s="4584"/>
      <c r="AO209" s="4584"/>
      <c r="AP209" s="4584"/>
      <c r="AQ209" s="4584"/>
      <c r="AR209" s="4584"/>
      <c r="AS209" s="4584"/>
      <c r="AT209" s="4584"/>
      <c r="AU209" s="4584"/>
      <c r="AV209" s="4584"/>
      <c r="AW209" s="4584"/>
      <c r="AX209" s="4584"/>
      <c r="AY209" s="4584"/>
      <c r="AZ209" s="4584"/>
      <c r="BA209" s="4584"/>
      <c r="BB209" s="4584"/>
      <c r="BC209" s="4584"/>
      <c r="BD209" s="4584"/>
      <c r="BE209" s="4584"/>
      <c r="BF209" s="4584"/>
      <c r="BG209" s="4584"/>
      <c r="BH209" s="4584"/>
      <c r="BI209" s="4584"/>
      <c r="BJ209" s="4584"/>
      <c r="BK209" s="4584"/>
      <c r="BL209" s="4584"/>
      <c r="BM209" s="4584"/>
      <c r="BN209" s="4584"/>
      <c r="BO209" s="4584"/>
      <c r="BP209" s="4584"/>
      <c r="BQ209" s="4584"/>
      <c r="BR209" s="4584"/>
      <c r="BS209" s="4584"/>
      <c r="BT209" s="4584"/>
      <c r="BU209" s="4584"/>
      <c r="BV209" s="4584"/>
      <c r="BW209" s="4585"/>
    </row>
    <row r="210" spans="3:75" ht="34.5" hidden="1" customHeight="1" x14ac:dyDescent="0.25">
      <c r="D210" s="3006"/>
      <c r="E210" s="4582" t="s">
        <v>1771</v>
      </c>
      <c r="F210" s="3300"/>
      <c r="G210" s="3300"/>
      <c r="H210" s="712"/>
      <c r="I210" s="3300"/>
      <c r="J210" s="4565"/>
      <c r="K210" s="3300"/>
      <c r="L210" s="3252"/>
      <c r="M210" s="3297"/>
      <c r="N210" s="693"/>
      <c r="O210" s="3297"/>
      <c r="P210" s="2868"/>
      <c r="Q210" s="725"/>
      <c r="R210" s="3297"/>
      <c r="S210" s="693"/>
      <c r="T210" s="3300"/>
      <c r="U210" s="693"/>
      <c r="V210" s="3297"/>
      <c r="W210" s="1006"/>
      <c r="X210" s="693"/>
      <c r="Y210" s="3300">
        <v>10</v>
      </c>
      <c r="Z210" s="693">
        <f t="shared" si="560"/>
        <v>10</v>
      </c>
      <c r="AA210" s="3300"/>
      <c r="AB210" s="751">
        <f t="shared" si="561"/>
        <v>10</v>
      </c>
      <c r="AC210" s="3300"/>
      <c r="AD210" s="734">
        <f t="shared" si="566"/>
        <v>10</v>
      </c>
      <c r="AE210" s="731">
        <f t="shared" si="567"/>
        <v>10</v>
      </c>
      <c r="AF210" s="2590">
        <f t="shared" si="568"/>
        <v>10</v>
      </c>
      <c r="AM210" s="4584"/>
      <c r="AN210" s="4584"/>
      <c r="AO210" s="4584"/>
      <c r="AP210" s="4584"/>
      <c r="AQ210" s="4584"/>
      <c r="AR210" s="4584"/>
      <c r="AS210" s="4584"/>
      <c r="AT210" s="4584"/>
      <c r="AU210" s="4584"/>
      <c r="AV210" s="4584"/>
      <c r="AW210" s="4584"/>
      <c r="AX210" s="4584"/>
      <c r="AY210" s="4584"/>
      <c r="AZ210" s="4584"/>
      <c r="BA210" s="4584"/>
      <c r="BB210" s="4584"/>
      <c r="BC210" s="4584"/>
      <c r="BD210" s="4584"/>
      <c r="BE210" s="4584"/>
      <c r="BF210" s="4584"/>
      <c r="BG210" s="4584"/>
      <c r="BH210" s="4584"/>
      <c r="BI210" s="4584"/>
      <c r="BJ210" s="4584"/>
      <c r="BK210" s="4584"/>
      <c r="BL210" s="4584"/>
      <c r="BM210" s="4584"/>
      <c r="BN210" s="4584"/>
      <c r="BO210" s="4584"/>
      <c r="BP210" s="4584"/>
      <c r="BQ210" s="4584"/>
      <c r="BR210" s="4584"/>
      <c r="BS210" s="4584"/>
      <c r="BT210" s="4584"/>
      <c r="BU210" s="4584"/>
      <c r="BV210" s="4584"/>
      <c r="BW210" s="4585"/>
    </row>
    <row r="211" spans="3:75" ht="34.5" hidden="1" customHeight="1" x14ac:dyDescent="0.25">
      <c r="D211" s="3006"/>
      <c r="E211" s="4582" t="s">
        <v>1705</v>
      </c>
      <c r="F211" s="3300"/>
      <c r="G211" s="3300"/>
      <c r="H211" s="712">
        <f t="shared" si="576"/>
        <v>0</v>
      </c>
      <c r="I211" s="3300"/>
      <c r="J211" s="4565">
        <f t="shared" si="584"/>
        <v>0</v>
      </c>
      <c r="K211" s="3300"/>
      <c r="L211" s="3252">
        <f t="shared" si="585"/>
        <v>0</v>
      </c>
      <c r="M211" s="3297"/>
      <c r="N211" s="693">
        <f t="shared" si="577"/>
        <v>0</v>
      </c>
      <c r="O211" s="3297">
        <v>14230</v>
      </c>
      <c r="P211" s="2868">
        <f t="shared" ref="P211" si="587">+K211+M211+O211</f>
        <v>14230</v>
      </c>
      <c r="Q211" s="725">
        <f t="shared" ref="Q211" si="588">+N211+O211</f>
        <v>14230</v>
      </c>
      <c r="R211" s="3297"/>
      <c r="S211" s="693">
        <f t="shared" si="530"/>
        <v>14230</v>
      </c>
      <c r="T211" s="3300">
        <v>0</v>
      </c>
      <c r="U211" s="693">
        <f t="shared" si="531"/>
        <v>14230</v>
      </c>
      <c r="V211" s="3297"/>
      <c r="W211" s="1006">
        <f t="shared" si="578"/>
        <v>0</v>
      </c>
      <c r="X211" s="693">
        <f t="shared" si="579"/>
        <v>14230</v>
      </c>
      <c r="Y211" s="3300"/>
      <c r="Z211" s="693">
        <f t="shared" si="560"/>
        <v>14230</v>
      </c>
      <c r="AA211" s="3300"/>
      <c r="AB211" s="751">
        <f t="shared" si="561"/>
        <v>14230</v>
      </c>
      <c r="AC211" s="3300"/>
      <c r="AD211" s="734">
        <f t="shared" si="566"/>
        <v>0</v>
      </c>
      <c r="AE211" s="731">
        <f t="shared" si="567"/>
        <v>0</v>
      </c>
      <c r="AF211" s="2590">
        <f t="shared" si="568"/>
        <v>14230</v>
      </c>
      <c r="AM211" s="4584"/>
      <c r="AN211" s="4584"/>
      <c r="AO211" s="4584"/>
      <c r="AP211" s="4584"/>
      <c r="AQ211" s="4584"/>
      <c r="AR211" s="4584"/>
      <c r="AS211" s="4584"/>
      <c r="AT211" s="4584"/>
      <c r="AU211" s="4584"/>
      <c r="AV211" s="4584"/>
      <c r="AW211" s="4584"/>
      <c r="AX211" s="4584"/>
      <c r="AY211" s="4584"/>
      <c r="AZ211" s="4584"/>
      <c r="BA211" s="4584"/>
      <c r="BB211" s="4584"/>
      <c r="BC211" s="4584"/>
      <c r="BD211" s="4584"/>
      <c r="BE211" s="4584"/>
      <c r="BF211" s="4584"/>
      <c r="BG211" s="4584"/>
      <c r="BH211" s="4584"/>
      <c r="BI211" s="4584"/>
      <c r="BJ211" s="4584"/>
      <c r="BK211" s="4584"/>
      <c r="BL211" s="4584"/>
      <c r="BM211" s="4584"/>
      <c r="BN211" s="4584"/>
      <c r="BO211" s="4584"/>
      <c r="BP211" s="4584"/>
      <c r="BQ211" s="4584"/>
      <c r="BR211" s="4584"/>
      <c r="BS211" s="4584"/>
      <c r="BT211" s="4584"/>
      <c r="BU211" s="4584"/>
      <c r="BV211" s="4584"/>
      <c r="BW211" s="4585"/>
    </row>
    <row r="212" spans="3:75" ht="35" hidden="1" customHeight="1" x14ac:dyDescent="0.25">
      <c r="D212" s="3006"/>
      <c r="E212" s="4582" t="s">
        <v>1641</v>
      </c>
      <c r="F212" s="3300"/>
      <c r="G212" s="3300"/>
      <c r="H212" s="712">
        <f t="shared" si="576"/>
        <v>0</v>
      </c>
      <c r="I212" s="3300"/>
      <c r="J212" s="4565">
        <f t="shared" si="584"/>
        <v>0</v>
      </c>
      <c r="K212" s="3300"/>
      <c r="L212" s="3252">
        <f t="shared" si="585"/>
        <v>0</v>
      </c>
      <c r="M212" s="3297">
        <v>0</v>
      </c>
      <c r="N212" s="693">
        <f t="shared" si="577"/>
        <v>0</v>
      </c>
      <c r="O212" s="3297">
        <v>0</v>
      </c>
      <c r="P212" s="2868">
        <f t="shared" si="534"/>
        <v>0</v>
      </c>
      <c r="Q212" s="725">
        <f t="shared" si="586"/>
        <v>0</v>
      </c>
      <c r="R212" s="3297"/>
      <c r="S212" s="693">
        <f t="shared" si="530"/>
        <v>0</v>
      </c>
      <c r="T212" s="3300">
        <v>0</v>
      </c>
      <c r="U212" s="693">
        <f t="shared" si="531"/>
        <v>0</v>
      </c>
      <c r="V212" s="3297"/>
      <c r="W212" s="1006">
        <f t="shared" si="578"/>
        <v>0</v>
      </c>
      <c r="X212" s="693">
        <f t="shared" si="579"/>
        <v>0</v>
      </c>
      <c r="Y212" s="3300"/>
      <c r="Z212" s="693">
        <f t="shared" si="560"/>
        <v>0</v>
      </c>
      <c r="AA212" s="3300"/>
      <c r="AB212" s="751">
        <f t="shared" si="561"/>
        <v>0</v>
      </c>
      <c r="AC212" s="3300"/>
      <c r="AD212" s="734">
        <f>+Y212+AA212+AC212</f>
        <v>0</v>
      </c>
      <c r="AE212" s="731">
        <f>+W212+AD212</f>
        <v>0</v>
      </c>
      <c r="AF212" s="2590">
        <f>+AB212+AC212</f>
        <v>0</v>
      </c>
      <c r="AM212" s="4584"/>
      <c r="AN212" s="4584"/>
      <c r="AO212" s="4584"/>
      <c r="AP212" s="4584"/>
      <c r="AQ212" s="4584"/>
      <c r="AR212" s="4584"/>
      <c r="AS212" s="4584"/>
      <c r="AT212" s="4584"/>
      <c r="AU212" s="4584"/>
      <c r="AV212" s="4584"/>
      <c r="AW212" s="4584"/>
      <c r="AX212" s="4584"/>
      <c r="AY212" s="4584"/>
      <c r="AZ212" s="4584"/>
      <c r="BA212" s="4584"/>
      <c r="BB212" s="4584"/>
      <c r="BC212" s="4584"/>
      <c r="BD212" s="4584"/>
      <c r="BE212" s="4584"/>
      <c r="BF212" s="4584"/>
      <c r="BG212" s="4584"/>
      <c r="BH212" s="4584"/>
      <c r="BI212" s="4584"/>
      <c r="BJ212" s="4584"/>
      <c r="BK212" s="4584"/>
      <c r="BL212" s="4584"/>
      <c r="BM212" s="4584"/>
      <c r="BN212" s="4584"/>
      <c r="BO212" s="4584"/>
      <c r="BP212" s="4584"/>
      <c r="BQ212" s="4584"/>
      <c r="BR212" s="4584"/>
      <c r="BS212" s="4584"/>
      <c r="BT212" s="4584"/>
      <c r="BU212" s="4584"/>
      <c r="BV212" s="4584"/>
      <c r="BW212" s="4585"/>
    </row>
    <row r="213" spans="3:75" ht="35" hidden="1" customHeight="1" x14ac:dyDescent="0.25">
      <c r="D213" s="3006"/>
      <c r="E213" s="4582" t="s">
        <v>1849</v>
      </c>
      <c r="F213" s="3300"/>
      <c r="G213" s="3300"/>
      <c r="H213" s="712"/>
      <c r="I213" s="3300"/>
      <c r="J213" s="4565"/>
      <c r="K213" s="3300"/>
      <c r="L213" s="3252"/>
      <c r="M213" s="3297"/>
      <c r="N213" s="693"/>
      <c r="O213" s="3297"/>
      <c r="P213" s="2868"/>
      <c r="Q213" s="725"/>
      <c r="R213" s="3297"/>
      <c r="S213" s="693"/>
      <c r="T213" s="3300"/>
      <c r="U213" s="693"/>
      <c r="V213" s="3297"/>
      <c r="W213" s="1006"/>
      <c r="X213" s="693"/>
      <c r="Y213" s="3300"/>
      <c r="Z213" s="693"/>
      <c r="AA213" s="3300"/>
      <c r="AB213" s="751"/>
      <c r="AC213" s="3300">
        <v>10.02</v>
      </c>
      <c r="AD213" s="734">
        <f>+Y213+AA213+AC213</f>
        <v>10.02</v>
      </c>
      <c r="AE213" s="731">
        <f>+W213+AD213</f>
        <v>10.02</v>
      </c>
      <c r="AF213" s="2590">
        <f>+AB213+AC213</f>
        <v>10.02</v>
      </c>
      <c r="AG213" s="5126"/>
      <c r="AH213" s="5126"/>
      <c r="AI213" s="5126"/>
      <c r="AJ213" s="5126"/>
      <c r="AK213" s="5126"/>
      <c r="AL213" s="5126"/>
      <c r="AM213" s="4584"/>
      <c r="AN213" s="4584"/>
      <c r="AO213" s="4584"/>
      <c r="AP213" s="4584"/>
      <c r="AQ213" s="4584"/>
      <c r="AR213" s="4584"/>
      <c r="AS213" s="4584"/>
      <c r="AT213" s="4584"/>
      <c r="AU213" s="4584"/>
      <c r="AV213" s="4584"/>
      <c r="AW213" s="4584"/>
      <c r="AX213" s="4584"/>
      <c r="AY213" s="4584"/>
      <c r="AZ213" s="4584"/>
      <c r="BA213" s="4584"/>
      <c r="BB213" s="4584"/>
      <c r="BC213" s="4584"/>
      <c r="BD213" s="4584"/>
      <c r="BE213" s="4584"/>
      <c r="BF213" s="4584"/>
      <c r="BG213" s="4584"/>
      <c r="BH213" s="4584"/>
      <c r="BI213" s="4584"/>
      <c r="BJ213" s="4584"/>
      <c r="BK213" s="4584"/>
      <c r="BL213" s="4584"/>
      <c r="BM213" s="4584"/>
      <c r="BN213" s="4584"/>
      <c r="BO213" s="4584"/>
      <c r="BP213" s="4584"/>
      <c r="BQ213" s="4584"/>
      <c r="BR213" s="4584"/>
      <c r="BS213" s="4584"/>
      <c r="BT213" s="4584"/>
      <c r="BU213" s="4584"/>
      <c r="BV213" s="4584"/>
      <c r="BW213" s="4585"/>
    </row>
    <row r="214" spans="3:75" ht="35" hidden="1" customHeight="1" x14ac:dyDescent="0.25">
      <c r="D214" s="3006"/>
      <c r="E214" s="4582" t="s">
        <v>281</v>
      </c>
      <c r="F214" s="3300"/>
      <c r="G214" s="3300"/>
      <c r="H214" s="712">
        <f t="shared" si="576"/>
        <v>0</v>
      </c>
      <c r="I214" s="3300"/>
      <c r="J214" s="4565">
        <f t="shared" si="584"/>
        <v>0</v>
      </c>
      <c r="K214" s="3300"/>
      <c r="L214" s="3252">
        <f t="shared" si="585"/>
        <v>0</v>
      </c>
      <c r="M214" s="3297">
        <v>0</v>
      </c>
      <c r="N214" s="693">
        <f t="shared" si="577"/>
        <v>0</v>
      </c>
      <c r="O214" s="3297">
        <v>0</v>
      </c>
      <c r="P214" s="2868">
        <f t="shared" si="534"/>
        <v>0</v>
      </c>
      <c r="Q214" s="725">
        <f t="shared" si="586"/>
        <v>0</v>
      </c>
      <c r="R214" s="3297"/>
      <c r="S214" s="693">
        <f t="shared" si="530"/>
        <v>0</v>
      </c>
      <c r="T214" s="3300">
        <v>0</v>
      </c>
      <c r="U214" s="693">
        <f t="shared" si="531"/>
        <v>0</v>
      </c>
      <c r="V214" s="3297">
        <v>3681.9</v>
      </c>
      <c r="W214" s="1006">
        <f t="shared" si="578"/>
        <v>3681.9</v>
      </c>
      <c r="X214" s="693">
        <f t="shared" si="579"/>
        <v>3681.9</v>
      </c>
      <c r="Y214" s="3300">
        <v>7626.4400000000005</v>
      </c>
      <c r="Z214" s="693">
        <f t="shared" si="560"/>
        <v>11308.34</v>
      </c>
      <c r="AA214" s="3300">
        <v>10596.82</v>
      </c>
      <c r="AB214" s="751">
        <f t="shared" si="561"/>
        <v>21905.16</v>
      </c>
      <c r="AC214" s="3300">
        <v>3816.7</v>
      </c>
      <c r="AD214" s="734">
        <f t="shared" si="566"/>
        <v>22039.960000000003</v>
      </c>
      <c r="AE214" s="731">
        <f t="shared" si="567"/>
        <v>25721.860000000004</v>
      </c>
      <c r="AF214" s="2590">
        <f t="shared" si="568"/>
        <v>25721.86</v>
      </c>
      <c r="AM214" s="4584"/>
      <c r="AN214" s="4584"/>
      <c r="AO214" s="4584"/>
      <c r="AP214" s="4584"/>
      <c r="AQ214" s="4584"/>
      <c r="AR214" s="4584"/>
      <c r="AS214" s="4584"/>
      <c r="AT214" s="4584"/>
      <c r="AU214" s="4584"/>
      <c r="AV214" s="4584"/>
      <c r="AW214" s="4584"/>
      <c r="AX214" s="4584"/>
      <c r="AY214" s="4584"/>
      <c r="AZ214" s="4584"/>
      <c r="BA214" s="4584"/>
      <c r="BB214" s="4584"/>
      <c r="BC214" s="4584"/>
      <c r="BD214" s="4584"/>
      <c r="BE214" s="4584"/>
      <c r="BF214" s="4584"/>
      <c r="BG214" s="4584"/>
      <c r="BH214" s="4584"/>
      <c r="BI214" s="4584"/>
      <c r="BJ214" s="4584"/>
      <c r="BK214" s="4584"/>
      <c r="BL214" s="4584"/>
      <c r="BM214" s="4584"/>
      <c r="BN214" s="4584"/>
      <c r="BO214" s="4584"/>
      <c r="BP214" s="4584"/>
      <c r="BQ214" s="4584"/>
      <c r="BR214" s="4584"/>
      <c r="BS214" s="4584"/>
      <c r="BT214" s="4584"/>
      <c r="BU214" s="4584"/>
      <c r="BV214" s="4584"/>
      <c r="BW214" s="4585"/>
    </row>
    <row r="215" spans="3:75" ht="35" hidden="1" customHeight="1" x14ac:dyDescent="0.25">
      <c r="D215" s="3006"/>
      <c r="E215" s="4582" t="s">
        <v>1772</v>
      </c>
      <c r="F215" s="3298"/>
      <c r="G215" s="3298"/>
      <c r="H215" s="712"/>
      <c r="I215" s="3298"/>
      <c r="J215" s="4565"/>
      <c r="K215" s="3298"/>
      <c r="L215" s="3252"/>
      <c r="M215" s="3297"/>
      <c r="N215" s="693"/>
      <c r="O215" s="3297"/>
      <c r="P215" s="2868"/>
      <c r="Q215" s="725"/>
      <c r="R215" s="3297"/>
      <c r="S215" s="693"/>
      <c r="T215" s="3298"/>
      <c r="U215" s="693"/>
      <c r="V215" s="3297"/>
      <c r="W215" s="1006"/>
      <c r="X215" s="693"/>
      <c r="Y215" s="3298">
        <v>8</v>
      </c>
      <c r="Z215" s="693">
        <f t="shared" si="560"/>
        <v>8</v>
      </c>
      <c r="AA215" s="3298"/>
      <c r="AB215" s="751">
        <f t="shared" si="561"/>
        <v>8</v>
      </c>
      <c r="AC215" s="3298"/>
      <c r="AD215" s="734">
        <f t="shared" si="566"/>
        <v>8</v>
      </c>
      <c r="AE215" s="731">
        <f t="shared" si="567"/>
        <v>8</v>
      </c>
      <c r="AF215" s="2590">
        <f t="shared" si="568"/>
        <v>8</v>
      </c>
      <c r="AM215" s="4584"/>
      <c r="AN215" s="4584"/>
      <c r="AO215" s="4584"/>
      <c r="AP215" s="4584"/>
      <c r="AQ215" s="4584"/>
      <c r="AR215" s="4584"/>
      <c r="AS215" s="4584"/>
      <c r="AT215" s="4584"/>
      <c r="AU215" s="4584"/>
      <c r="AV215" s="4584"/>
      <c r="AW215" s="4584"/>
      <c r="AX215" s="4584"/>
      <c r="AY215" s="4584"/>
      <c r="AZ215" s="4584"/>
      <c r="BA215" s="4584"/>
      <c r="BB215" s="4584"/>
      <c r="BC215" s="4584"/>
      <c r="BD215" s="4584"/>
      <c r="BE215" s="4584"/>
      <c r="BF215" s="4584"/>
      <c r="BG215" s="4584"/>
      <c r="BH215" s="4584"/>
      <c r="BI215" s="4584"/>
      <c r="BJ215" s="4584"/>
      <c r="BK215" s="4584"/>
      <c r="BL215" s="4584"/>
      <c r="BM215" s="4584"/>
      <c r="BN215" s="4584"/>
      <c r="BO215" s="4584"/>
      <c r="BP215" s="4584"/>
      <c r="BQ215" s="4584"/>
      <c r="BR215" s="4584"/>
      <c r="BS215" s="4584"/>
      <c r="BT215" s="4584"/>
      <c r="BU215" s="4584"/>
      <c r="BV215" s="4584"/>
      <c r="BW215" s="4585"/>
    </row>
    <row r="216" spans="3:75" ht="35" hidden="1" customHeight="1" x14ac:dyDescent="0.25">
      <c r="D216" s="3006"/>
      <c r="E216" s="4582" t="s">
        <v>1773</v>
      </c>
      <c r="F216" s="3298"/>
      <c r="G216" s="3298"/>
      <c r="H216" s="712"/>
      <c r="I216" s="3298"/>
      <c r="J216" s="4565"/>
      <c r="K216" s="3298"/>
      <c r="L216" s="3252"/>
      <c r="M216" s="3297"/>
      <c r="N216" s="693"/>
      <c r="O216" s="3297"/>
      <c r="P216" s="2868"/>
      <c r="Q216" s="725"/>
      <c r="R216" s="3297"/>
      <c r="S216" s="693"/>
      <c r="T216" s="3298"/>
      <c r="U216" s="693"/>
      <c r="V216" s="3297"/>
      <c r="W216" s="1006"/>
      <c r="X216" s="2590"/>
      <c r="Y216" s="3296">
        <v>453.29999999999995</v>
      </c>
      <c r="Z216" s="693">
        <f t="shared" si="560"/>
        <v>453.29999999999995</v>
      </c>
      <c r="AA216" s="3296"/>
      <c r="AB216" s="751">
        <f t="shared" si="561"/>
        <v>453.29999999999995</v>
      </c>
      <c r="AC216" s="3296"/>
      <c r="AD216" s="734">
        <f t="shared" si="566"/>
        <v>453.29999999999995</v>
      </c>
      <c r="AE216" s="731">
        <f t="shared" si="567"/>
        <v>453.29999999999995</v>
      </c>
      <c r="AF216" s="2590">
        <f t="shared" si="568"/>
        <v>453.29999999999995</v>
      </c>
      <c r="AM216" s="4584"/>
      <c r="AN216" s="4584"/>
      <c r="AO216" s="4584"/>
      <c r="AP216" s="4584"/>
      <c r="AQ216" s="4584"/>
      <c r="AR216" s="4584"/>
      <c r="AS216" s="4584"/>
      <c r="AT216" s="4584"/>
      <c r="AU216" s="4584"/>
      <c r="AV216" s="4584"/>
      <c r="AW216" s="4584"/>
      <c r="AX216" s="4584"/>
      <c r="AY216" s="4584"/>
      <c r="AZ216" s="4584"/>
      <c r="BA216" s="4584"/>
      <c r="BB216" s="4584"/>
      <c r="BC216" s="4584"/>
      <c r="BD216" s="4584"/>
      <c r="BE216" s="4584"/>
      <c r="BF216" s="4584"/>
      <c r="BG216" s="4584"/>
      <c r="BH216" s="4584"/>
      <c r="BI216" s="4584"/>
      <c r="BJ216" s="4584"/>
      <c r="BK216" s="4584"/>
      <c r="BL216" s="4584"/>
      <c r="BM216" s="4584"/>
      <c r="BN216" s="4584"/>
      <c r="BO216" s="4584"/>
      <c r="BP216" s="4584"/>
      <c r="BQ216" s="4584"/>
      <c r="BR216" s="4584"/>
      <c r="BS216" s="4584"/>
      <c r="BT216" s="4584"/>
      <c r="BU216" s="4584"/>
      <c r="BV216" s="4584"/>
      <c r="BW216" s="4585"/>
    </row>
    <row r="217" spans="3:75" ht="35" hidden="1" customHeight="1" x14ac:dyDescent="0.25">
      <c r="D217" s="3006"/>
      <c r="E217" s="4582" t="s">
        <v>1537</v>
      </c>
      <c r="F217" s="3297"/>
      <c r="G217" s="3297"/>
      <c r="H217" s="712">
        <f t="shared" si="576"/>
        <v>0</v>
      </c>
      <c r="I217" s="3297"/>
      <c r="J217" s="4565">
        <f t="shared" si="584"/>
        <v>0</v>
      </c>
      <c r="K217" s="3297"/>
      <c r="L217" s="3252">
        <f t="shared" si="585"/>
        <v>0</v>
      </c>
      <c r="M217" s="3297">
        <v>2224.2399999999998</v>
      </c>
      <c r="N217" s="693">
        <f t="shared" si="577"/>
        <v>2224.2399999999998</v>
      </c>
      <c r="O217" s="3297">
        <v>3976.35</v>
      </c>
      <c r="P217" s="2868">
        <f t="shared" si="534"/>
        <v>6200.59</v>
      </c>
      <c r="Q217" s="725">
        <f t="shared" si="586"/>
        <v>6200.59</v>
      </c>
      <c r="R217" s="3297">
        <v>2772.79</v>
      </c>
      <c r="S217" s="693">
        <f t="shared" si="530"/>
        <v>8973.380000000001</v>
      </c>
      <c r="T217" s="3297">
        <v>3477.84</v>
      </c>
      <c r="U217" s="693">
        <f t="shared" si="531"/>
        <v>12451.220000000001</v>
      </c>
      <c r="V217" s="3297">
        <v>2496.9700000000003</v>
      </c>
      <c r="W217" s="1006">
        <f t="shared" si="578"/>
        <v>8747.6</v>
      </c>
      <c r="X217" s="693">
        <f t="shared" si="579"/>
        <v>14948.190000000002</v>
      </c>
      <c r="Y217" s="3297">
        <v>2415.9799999999991</v>
      </c>
      <c r="Z217" s="693">
        <f t="shared" si="560"/>
        <v>17364.170000000002</v>
      </c>
      <c r="AA217" s="3297">
        <v>2284.1200000000003</v>
      </c>
      <c r="AB217" s="751">
        <f t="shared" si="561"/>
        <v>19648.29</v>
      </c>
      <c r="AC217" s="3297">
        <v>1515.1700000000003</v>
      </c>
      <c r="AD217" s="734">
        <f t="shared" si="566"/>
        <v>6215.2699999999995</v>
      </c>
      <c r="AE217" s="731">
        <f t="shared" si="567"/>
        <v>14962.869999999999</v>
      </c>
      <c r="AF217" s="2590">
        <f t="shared" si="568"/>
        <v>21163.460000000003</v>
      </c>
      <c r="AM217" s="4584"/>
      <c r="AN217" s="4584"/>
      <c r="AO217" s="4584"/>
      <c r="AP217" s="4584"/>
      <c r="AQ217" s="4584"/>
      <c r="AR217" s="4584"/>
      <c r="AS217" s="4584"/>
      <c r="AT217" s="4584"/>
      <c r="AU217" s="4584"/>
      <c r="AV217" s="4584"/>
      <c r="AW217" s="4584"/>
      <c r="AX217" s="4584"/>
      <c r="AY217" s="4584"/>
      <c r="AZ217" s="4584"/>
      <c r="BA217" s="4584"/>
      <c r="BB217" s="4584"/>
      <c r="BC217" s="4584"/>
      <c r="BD217" s="4584"/>
      <c r="BE217" s="4584"/>
      <c r="BF217" s="4584"/>
      <c r="BG217" s="4584"/>
      <c r="BH217" s="4584"/>
      <c r="BI217" s="4584"/>
      <c r="BJ217" s="4584"/>
      <c r="BK217" s="4584"/>
      <c r="BL217" s="4584"/>
      <c r="BM217" s="4584"/>
      <c r="BN217" s="4584"/>
      <c r="BO217" s="4584"/>
      <c r="BP217" s="4584"/>
      <c r="BQ217" s="4584"/>
      <c r="BR217" s="4584"/>
      <c r="BS217" s="4584"/>
      <c r="BT217" s="4584"/>
      <c r="BU217" s="4584"/>
      <c r="BV217" s="4584"/>
      <c r="BW217" s="4585"/>
    </row>
    <row r="218" spans="3:75" ht="35" hidden="1" customHeight="1" thickBot="1" x14ac:dyDescent="0.3">
      <c r="D218" s="3006"/>
      <c r="E218" s="4582" t="s">
        <v>1536</v>
      </c>
      <c r="F218" s="3297"/>
      <c r="G218" s="3297"/>
      <c r="H218" s="4583">
        <f t="shared" si="576"/>
        <v>0</v>
      </c>
      <c r="I218" s="3297"/>
      <c r="J218" s="4565">
        <f t="shared" si="584"/>
        <v>0</v>
      </c>
      <c r="K218" s="3297"/>
      <c r="L218" s="3252">
        <f t="shared" si="585"/>
        <v>0</v>
      </c>
      <c r="M218" s="3297">
        <v>0</v>
      </c>
      <c r="N218" s="693">
        <f t="shared" si="577"/>
        <v>0</v>
      </c>
      <c r="O218" s="3297">
        <v>0</v>
      </c>
      <c r="P218" s="2868">
        <f t="shared" si="534"/>
        <v>0</v>
      </c>
      <c r="Q218" s="725">
        <f t="shared" si="586"/>
        <v>0</v>
      </c>
      <c r="R218" s="3297"/>
      <c r="S218" s="693">
        <f t="shared" si="530"/>
        <v>0</v>
      </c>
      <c r="T218" s="3297">
        <v>0</v>
      </c>
      <c r="U218" s="693">
        <f t="shared" si="531"/>
        <v>0</v>
      </c>
      <c r="V218" s="3297"/>
      <c r="W218" s="1006">
        <f t="shared" si="578"/>
        <v>0</v>
      </c>
      <c r="X218" s="693">
        <f t="shared" si="579"/>
        <v>0</v>
      </c>
      <c r="Y218" s="3297">
        <v>545.92000000000007</v>
      </c>
      <c r="Z218" s="693">
        <f t="shared" si="560"/>
        <v>545.92000000000007</v>
      </c>
      <c r="AA218" s="3297">
        <v>2180.3539999999994</v>
      </c>
      <c r="AB218" s="751">
        <f t="shared" si="561"/>
        <v>2726.2739999999994</v>
      </c>
      <c r="AC218" s="3297">
        <v>2833.6950000000006</v>
      </c>
      <c r="AD218" s="734">
        <f t="shared" si="566"/>
        <v>5559.9690000000001</v>
      </c>
      <c r="AE218" s="731">
        <f t="shared" si="567"/>
        <v>5559.9690000000001</v>
      </c>
      <c r="AF218" s="2590">
        <f t="shared" si="568"/>
        <v>5559.9690000000001</v>
      </c>
      <c r="AM218" s="4584"/>
      <c r="AN218" s="4584"/>
      <c r="AO218" s="4584"/>
      <c r="AP218" s="4584"/>
      <c r="AQ218" s="4584"/>
      <c r="AR218" s="4584"/>
      <c r="AS218" s="4584"/>
      <c r="AT218" s="4584"/>
      <c r="AU218" s="4584"/>
      <c r="AV218" s="4584"/>
      <c r="AW218" s="4584"/>
      <c r="AX218" s="4584"/>
      <c r="AY218" s="4584"/>
      <c r="AZ218" s="4584"/>
      <c r="BA218" s="4584"/>
      <c r="BB218" s="4584"/>
      <c r="BC218" s="4584"/>
      <c r="BD218" s="4584"/>
      <c r="BE218" s="4584"/>
      <c r="BF218" s="4584"/>
      <c r="BG218" s="4584"/>
      <c r="BH218" s="4584"/>
      <c r="BI218" s="4584"/>
      <c r="BJ218" s="4584"/>
      <c r="BK218" s="4584"/>
      <c r="BL218" s="4584"/>
      <c r="BM218" s="4584"/>
      <c r="BN218" s="4584"/>
      <c r="BO218" s="4584"/>
      <c r="BP218" s="4584"/>
      <c r="BQ218" s="4584"/>
      <c r="BR218" s="4584"/>
      <c r="BS218" s="4584"/>
      <c r="BT218" s="4584"/>
      <c r="BU218" s="4584"/>
      <c r="BV218" s="4584"/>
      <c r="BW218" s="4585"/>
    </row>
    <row r="219" spans="3:75" ht="35" hidden="1" customHeight="1" x14ac:dyDescent="0.25">
      <c r="D219" s="3006"/>
      <c r="E219" s="4586" t="s">
        <v>1538</v>
      </c>
      <c r="F219" s="4524"/>
      <c r="G219" s="4524"/>
      <c r="H219" s="4587"/>
      <c r="I219" s="4524"/>
      <c r="J219" s="4587"/>
      <c r="K219" s="4524"/>
      <c r="L219" s="4587"/>
      <c r="M219" s="4524"/>
      <c r="N219" s="4524"/>
      <c r="O219" s="4524"/>
      <c r="P219" s="4588"/>
      <c r="Q219" s="4588"/>
      <c r="R219" s="4524"/>
      <c r="S219" s="4524"/>
      <c r="T219" s="4524"/>
      <c r="U219" s="4524"/>
      <c r="V219" s="4524"/>
      <c r="W219" s="4524"/>
      <c r="X219" s="4524"/>
      <c r="Y219" s="4524"/>
      <c r="Z219" s="4524"/>
      <c r="AA219" s="4524"/>
      <c r="AB219" s="4589"/>
      <c r="AC219" s="4524"/>
      <c r="AD219" s="5083"/>
      <c r="AE219" s="5083"/>
      <c r="AF219" s="5084"/>
      <c r="AM219" s="4590"/>
      <c r="AN219" s="4590"/>
      <c r="AO219" s="4590"/>
      <c r="AP219" s="4590"/>
      <c r="AQ219" s="4590"/>
      <c r="AR219" s="4590"/>
      <c r="AS219" s="4590"/>
      <c r="AT219" s="4590"/>
      <c r="AU219" s="4590"/>
      <c r="AV219" s="4590"/>
      <c r="AW219" s="4590"/>
      <c r="AX219" s="4590"/>
      <c r="AY219" s="4590"/>
      <c r="AZ219" s="4590"/>
      <c r="BA219" s="4590"/>
      <c r="BB219" s="4590"/>
      <c r="BC219" s="4590"/>
      <c r="BD219" s="4590"/>
      <c r="BE219" s="4590"/>
      <c r="BF219" s="4590"/>
      <c r="BG219" s="4590"/>
      <c r="BH219" s="4590"/>
      <c r="BI219" s="4590"/>
      <c r="BJ219" s="4590"/>
      <c r="BK219" s="4590"/>
      <c r="BL219" s="4590"/>
      <c r="BM219" s="4590"/>
      <c r="BN219" s="4590"/>
      <c r="BO219" s="4590"/>
      <c r="BP219" s="4590"/>
      <c r="BQ219" s="4590"/>
      <c r="BR219" s="4590"/>
      <c r="BS219" s="4590"/>
      <c r="BT219" s="4590"/>
      <c r="BU219" s="4590"/>
      <c r="BV219" s="4590"/>
      <c r="BW219" s="4591"/>
    </row>
    <row r="220" spans="3:75" ht="49.5" hidden="1" customHeight="1" thickBot="1" x14ac:dyDescent="0.3">
      <c r="D220" s="3006"/>
      <c r="E220" s="4577" t="s">
        <v>1574</v>
      </c>
      <c r="F220" s="4592"/>
      <c r="G220" s="4592"/>
      <c r="H220" s="4578">
        <f t="shared" si="576"/>
        <v>0</v>
      </c>
      <c r="I220" s="4592"/>
      <c r="J220" s="4579">
        <f>+H220+I220</f>
        <v>0</v>
      </c>
      <c r="K220" s="4592"/>
      <c r="L220" s="4578">
        <f>+J220+K220</f>
        <v>0</v>
      </c>
      <c r="M220" s="4592">
        <v>30.46</v>
      </c>
      <c r="N220" s="693">
        <f t="shared" si="577"/>
        <v>30.46</v>
      </c>
      <c r="O220" s="4592">
        <v>0</v>
      </c>
      <c r="P220" s="2868">
        <f>+K220+M220+O220</f>
        <v>30.46</v>
      </c>
      <c r="Q220" s="725">
        <f t="shared" si="586"/>
        <v>30.46</v>
      </c>
      <c r="R220" s="4592">
        <v>1.59</v>
      </c>
      <c r="S220" s="693">
        <f t="shared" ref="S220:S222" si="589">SUM(Q220:R220)</f>
        <v>32.050000000000004</v>
      </c>
      <c r="T220" s="4592">
        <v>4.8099999999999996</v>
      </c>
      <c r="U220" s="693">
        <f t="shared" si="531"/>
        <v>36.860000000000007</v>
      </c>
      <c r="V220" s="4592">
        <v>0</v>
      </c>
      <c r="W220" s="1006">
        <f t="shared" si="578"/>
        <v>6.3999999999999995</v>
      </c>
      <c r="X220" s="693">
        <f t="shared" si="579"/>
        <v>36.860000000000007</v>
      </c>
      <c r="Y220" s="4592">
        <v>0</v>
      </c>
      <c r="Z220" s="693">
        <f t="shared" si="560"/>
        <v>36.860000000000007</v>
      </c>
      <c r="AA220" s="4592">
        <v>0</v>
      </c>
      <c r="AB220" s="751">
        <f t="shared" si="561"/>
        <v>36.860000000000007</v>
      </c>
      <c r="AC220" s="4592">
        <v>0</v>
      </c>
      <c r="AD220" s="734">
        <f t="shared" si="566"/>
        <v>0</v>
      </c>
      <c r="AE220" s="731">
        <f t="shared" si="567"/>
        <v>6.3999999999999995</v>
      </c>
      <c r="AF220" s="2590">
        <f t="shared" si="568"/>
        <v>36.860000000000007</v>
      </c>
      <c r="AM220" s="4580"/>
      <c r="AN220" s="4580"/>
      <c r="AO220" s="4580"/>
      <c r="AP220" s="4580"/>
      <c r="AQ220" s="4580"/>
      <c r="AR220" s="4580"/>
      <c r="AS220" s="4580"/>
      <c r="AT220" s="4580"/>
      <c r="AU220" s="4580"/>
      <c r="AV220" s="4580"/>
      <c r="AW220" s="4580"/>
      <c r="AX220" s="4580"/>
      <c r="AY220" s="4580"/>
      <c r="AZ220" s="4580"/>
      <c r="BA220" s="4580"/>
      <c r="BB220" s="4580"/>
      <c r="BC220" s="4580"/>
      <c r="BD220" s="4580"/>
      <c r="BE220" s="4580"/>
      <c r="BF220" s="4580"/>
      <c r="BG220" s="4580"/>
      <c r="BH220" s="4580"/>
      <c r="BI220" s="4580"/>
      <c r="BJ220" s="4580"/>
      <c r="BK220" s="4580"/>
      <c r="BL220" s="4580"/>
      <c r="BM220" s="4580"/>
      <c r="BN220" s="4580"/>
      <c r="BO220" s="4580"/>
      <c r="BP220" s="4580"/>
      <c r="BQ220" s="4580"/>
      <c r="BR220" s="4580"/>
      <c r="BS220" s="4580"/>
      <c r="BT220" s="4580"/>
      <c r="BU220" s="4580"/>
      <c r="BV220" s="4580"/>
      <c r="BW220" s="4581"/>
    </row>
    <row r="221" spans="3:75" ht="49.5" hidden="1" customHeight="1" thickBot="1" x14ac:dyDescent="0.3">
      <c r="D221" s="3006"/>
      <c r="E221" s="4577" t="s">
        <v>1642</v>
      </c>
      <c r="F221" s="4592"/>
      <c r="G221" s="4592"/>
      <c r="H221" s="4578">
        <f t="shared" si="576"/>
        <v>0</v>
      </c>
      <c r="I221" s="4592"/>
      <c r="J221" s="4579">
        <f>+H221+I221</f>
        <v>0</v>
      </c>
      <c r="K221" s="4592"/>
      <c r="L221" s="4578">
        <f>+J221+K221</f>
        <v>0</v>
      </c>
      <c r="M221" s="4592">
        <v>0.69</v>
      </c>
      <c r="N221" s="693">
        <f t="shared" si="577"/>
        <v>0.69</v>
      </c>
      <c r="O221" s="4592">
        <v>0</v>
      </c>
      <c r="P221" s="2868">
        <f t="shared" si="534"/>
        <v>0.69</v>
      </c>
      <c r="Q221" s="725">
        <f t="shared" si="586"/>
        <v>0.69</v>
      </c>
      <c r="R221" s="4592">
        <v>0</v>
      </c>
      <c r="S221" s="693">
        <f t="shared" si="589"/>
        <v>0.69</v>
      </c>
      <c r="T221" s="4592">
        <v>0</v>
      </c>
      <c r="U221" s="693">
        <f t="shared" si="531"/>
        <v>0.69</v>
      </c>
      <c r="V221" s="4592">
        <v>0</v>
      </c>
      <c r="W221" s="1006">
        <f t="shared" si="578"/>
        <v>0</v>
      </c>
      <c r="X221" s="693">
        <f t="shared" si="579"/>
        <v>0.69</v>
      </c>
      <c r="Y221" s="4592">
        <v>0</v>
      </c>
      <c r="Z221" s="693">
        <f t="shared" si="560"/>
        <v>0.69</v>
      </c>
      <c r="AA221" s="4592">
        <v>0</v>
      </c>
      <c r="AB221" s="751">
        <f t="shared" si="561"/>
        <v>0.69</v>
      </c>
      <c r="AC221" s="4592">
        <v>0</v>
      </c>
      <c r="AD221" s="734">
        <f t="shared" si="566"/>
        <v>0</v>
      </c>
      <c r="AE221" s="731">
        <f t="shared" si="567"/>
        <v>0</v>
      </c>
      <c r="AF221" s="2590">
        <f t="shared" si="568"/>
        <v>0.69</v>
      </c>
      <c r="AM221" s="4580"/>
      <c r="AN221" s="4580"/>
      <c r="AO221" s="4580"/>
      <c r="AP221" s="4580"/>
      <c r="AQ221" s="4580"/>
      <c r="AR221" s="4580"/>
      <c r="AS221" s="4580"/>
      <c r="AT221" s="4580"/>
      <c r="AU221" s="4580"/>
      <c r="AV221" s="4580"/>
      <c r="AW221" s="4580"/>
      <c r="AX221" s="4580"/>
      <c r="AY221" s="4580"/>
      <c r="AZ221" s="4580"/>
      <c r="BA221" s="4580"/>
      <c r="BB221" s="4580"/>
      <c r="BC221" s="4580"/>
      <c r="BD221" s="4580"/>
      <c r="BE221" s="4580"/>
      <c r="BF221" s="4580"/>
      <c r="BG221" s="4580"/>
      <c r="BH221" s="4580"/>
      <c r="BI221" s="4580"/>
      <c r="BJ221" s="4580"/>
      <c r="BK221" s="4580"/>
      <c r="BL221" s="4580"/>
      <c r="BM221" s="4580"/>
      <c r="BN221" s="4580"/>
      <c r="BO221" s="4580"/>
      <c r="BP221" s="4580"/>
      <c r="BQ221" s="4580"/>
      <c r="BR221" s="4580"/>
      <c r="BS221" s="4580"/>
      <c r="BT221" s="4580"/>
      <c r="BU221" s="4580"/>
      <c r="BV221" s="4580"/>
      <c r="BW221" s="4581"/>
    </row>
    <row r="222" spans="3:75" ht="49.5" hidden="1" customHeight="1" thickBot="1" x14ac:dyDescent="0.3">
      <c r="D222" s="3006"/>
      <c r="E222" s="4577" t="s">
        <v>1539</v>
      </c>
      <c r="F222" s="4592"/>
      <c r="G222" s="4592"/>
      <c r="H222" s="4578">
        <f t="shared" si="576"/>
        <v>0</v>
      </c>
      <c r="I222" s="4592"/>
      <c r="J222" s="4579">
        <f>+H222+I222</f>
        <v>0</v>
      </c>
      <c r="K222" s="4592"/>
      <c r="L222" s="4578">
        <f>+J222+K222</f>
        <v>0</v>
      </c>
      <c r="M222" s="4592">
        <v>0</v>
      </c>
      <c r="N222" s="693">
        <f t="shared" si="577"/>
        <v>0</v>
      </c>
      <c r="O222" s="4592">
        <v>18.96</v>
      </c>
      <c r="P222" s="2868">
        <f t="shared" si="534"/>
        <v>18.96</v>
      </c>
      <c r="Q222" s="725">
        <f t="shared" si="586"/>
        <v>18.96</v>
      </c>
      <c r="R222" s="4592">
        <v>14.27</v>
      </c>
      <c r="S222" s="693">
        <f t="shared" si="589"/>
        <v>33.230000000000004</v>
      </c>
      <c r="T222" s="4592">
        <v>28.099999999999998</v>
      </c>
      <c r="U222" s="693">
        <f t="shared" si="531"/>
        <v>61.33</v>
      </c>
      <c r="V222" s="4592">
        <v>0</v>
      </c>
      <c r="W222" s="1006">
        <f t="shared" si="578"/>
        <v>42.37</v>
      </c>
      <c r="X222" s="693">
        <f t="shared" si="579"/>
        <v>61.33</v>
      </c>
      <c r="Y222" s="4592">
        <v>0</v>
      </c>
      <c r="Z222" s="693">
        <f t="shared" si="560"/>
        <v>61.33</v>
      </c>
      <c r="AA222" s="4592">
        <v>0</v>
      </c>
      <c r="AB222" s="751">
        <f t="shared" si="561"/>
        <v>61.33</v>
      </c>
      <c r="AC222" s="4592">
        <v>0</v>
      </c>
      <c r="AD222" s="734">
        <f t="shared" si="566"/>
        <v>0</v>
      </c>
      <c r="AE222" s="731">
        <f t="shared" si="567"/>
        <v>42.37</v>
      </c>
      <c r="AF222" s="2590">
        <f t="shared" si="568"/>
        <v>61.33</v>
      </c>
      <c r="AM222" s="4580"/>
      <c r="AN222" s="4580"/>
      <c r="AO222" s="4580"/>
      <c r="AP222" s="4580"/>
      <c r="AQ222" s="4580"/>
      <c r="AR222" s="4580"/>
      <c r="AS222" s="4580"/>
      <c r="AT222" s="4580"/>
      <c r="AU222" s="4580"/>
      <c r="AV222" s="4580"/>
      <c r="AW222" s="4580"/>
      <c r="AX222" s="4580"/>
      <c r="AY222" s="4580"/>
      <c r="AZ222" s="4580"/>
      <c r="BA222" s="4580"/>
      <c r="BB222" s="4580"/>
      <c r="BC222" s="4580"/>
      <c r="BD222" s="4580"/>
      <c r="BE222" s="4580"/>
      <c r="BF222" s="4580"/>
      <c r="BG222" s="4580"/>
      <c r="BH222" s="4580"/>
      <c r="BI222" s="4580"/>
      <c r="BJ222" s="4580"/>
      <c r="BK222" s="4580"/>
      <c r="BL222" s="4580"/>
      <c r="BM222" s="4580"/>
      <c r="BN222" s="4580"/>
      <c r="BO222" s="4580"/>
      <c r="BP222" s="4580"/>
      <c r="BQ222" s="4580"/>
      <c r="BR222" s="4580"/>
      <c r="BS222" s="4580"/>
      <c r="BT222" s="4580"/>
      <c r="BU222" s="4580"/>
      <c r="BV222" s="4580"/>
      <c r="BW222" s="4581"/>
    </row>
    <row r="223" spans="3:75" s="3170" customFormat="1" ht="35" customHeight="1" x14ac:dyDescent="0.25">
      <c r="D223" s="8471" t="s">
        <v>77</v>
      </c>
      <c r="E223" s="4539" t="s">
        <v>144</v>
      </c>
      <c r="F223" s="4540">
        <f>+F6</f>
        <v>30</v>
      </c>
      <c r="G223" s="4540">
        <f>+G6</f>
        <v>31</v>
      </c>
      <c r="H223" s="4541">
        <f>SUM(F223:G223)</f>
        <v>61</v>
      </c>
      <c r="I223" s="4540">
        <f>+I6</f>
        <v>30</v>
      </c>
      <c r="J223" s="4541">
        <f>SUM(H223:I223)</f>
        <v>91</v>
      </c>
      <c r="K223" s="4540">
        <f>+K6</f>
        <v>31</v>
      </c>
      <c r="L223" s="4541">
        <f>SUM(J223:K223)</f>
        <v>122</v>
      </c>
      <c r="M223" s="4540">
        <v>31</v>
      </c>
      <c r="N223" s="4542">
        <f>SUM(L223:M223)</f>
        <v>153</v>
      </c>
      <c r="O223" s="4540">
        <v>30</v>
      </c>
      <c r="P223" s="4542">
        <f>+K223+M223+O223</f>
        <v>92</v>
      </c>
      <c r="Q223" s="4542">
        <f>+N223+O223</f>
        <v>183</v>
      </c>
      <c r="R223" s="4540">
        <v>31</v>
      </c>
      <c r="S223" s="4541">
        <f t="shared" si="530"/>
        <v>214</v>
      </c>
      <c r="T223" s="4540">
        <v>30</v>
      </c>
      <c r="U223" s="4541">
        <f t="shared" si="531"/>
        <v>244</v>
      </c>
      <c r="V223" s="4540">
        <v>31</v>
      </c>
      <c r="W223" s="4543">
        <f>+R223+T223+V223</f>
        <v>92</v>
      </c>
      <c r="X223" s="4544">
        <f t="shared" si="557"/>
        <v>275</v>
      </c>
      <c r="Y223" s="4540">
        <v>31</v>
      </c>
      <c r="Z223" s="4541">
        <f t="shared" si="560"/>
        <v>306</v>
      </c>
      <c r="AA223" s="4540">
        <v>29</v>
      </c>
      <c r="AB223" s="3720">
        <f t="shared" si="561"/>
        <v>335</v>
      </c>
      <c r="AC223" s="4540">
        <v>31</v>
      </c>
      <c r="AD223" s="4545">
        <f t="shared" si="565"/>
        <v>91</v>
      </c>
      <c r="AE223" s="4545">
        <f t="shared" si="562"/>
        <v>183</v>
      </c>
      <c r="AF223" s="4545">
        <f>+AB223+AC223</f>
        <v>366</v>
      </c>
      <c r="AG223" s="4756"/>
      <c r="AH223" s="4756"/>
      <c r="AI223" s="4756"/>
      <c r="AJ223" s="4756"/>
      <c r="AK223" s="4756"/>
      <c r="AL223" s="4756"/>
    </row>
    <row r="224" spans="3:75" ht="35" customHeight="1" x14ac:dyDescent="0.25">
      <c r="C224" s="2">
        <f>(4804/30)/24</f>
        <v>6.6722222222222216</v>
      </c>
      <c r="D224" s="8472"/>
      <c r="E224" s="738" t="s">
        <v>548</v>
      </c>
      <c r="F224" s="3407">
        <v>0</v>
      </c>
      <c r="G224" s="3407">
        <v>0</v>
      </c>
      <c r="H224" s="1462">
        <f>+((F224*F223)+(G224*G223))/H223</f>
        <v>0</v>
      </c>
      <c r="I224" s="3407">
        <v>0</v>
      </c>
      <c r="J224" s="1460">
        <f>+((H224*H223)+(I224*I223))/J223</f>
        <v>0</v>
      </c>
      <c r="K224" s="3407">
        <v>0</v>
      </c>
      <c r="L224" s="1462">
        <f>+((J224*J223)+(K224*K223))/L223</f>
        <v>0</v>
      </c>
      <c r="M224" s="3407">
        <v>0</v>
      </c>
      <c r="N224" s="1462">
        <f>+((L224*L223)+(M224*M223))/N223</f>
        <v>0</v>
      </c>
      <c r="O224" s="3407">
        <v>0</v>
      </c>
      <c r="P224" s="713">
        <f>+((K224*K223)+(M224*M223)+(O224*O223))/P223</f>
        <v>0</v>
      </c>
      <c r="Q224" s="1461">
        <f>+((N224*N223)+(O224*O223))/Q223</f>
        <v>0</v>
      </c>
      <c r="R224" s="3407">
        <v>0</v>
      </c>
      <c r="S224" s="1462">
        <f>+((Q224*Q223)+(R224*R223))/S223</f>
        <v>0</v>
      </c>
      <c r="T224" s="3407">
        <v>0</v>
      </c>
      <c r="U224" s="1462">
        <f>+((S224*S223)+(T224*T223))/U223</f>
        <v>0</v>
      </c>
      <c r="V224" s="3407">
        <v>0</v>
      </c>
      <c r="W224" s="858">
        <f>+((R224*R223)+(T224*T223)+(V224*V223))/W223</f>
        <v>0</v>
      </c>
      <c r="X224" s="840">
        <f>+((U224*U223)+(V224*V223))/X223</f>
        <v>0</v>
      </c>
      <c r="Y224" s="3407">
        <v>0</v>
      </c>
      <c r="Z224" s="1462">
        <f>+((X224*X223)+(Y224*Y223))/Z223</f>
        <v>0</v>
      </c>
      <c r="AA224" s="3407">
        <v>0</v>
      </c>
      <c r="AB224" s="829">
        <f>+((Z224*Z223)+(AA224*AA223))/AB223</f>
        <v>0</v>
      </c>
      <c r="AC224" s="3407">
        <v>0</v>
      </c>
      <c r="AD224" s="858">
        <f>+((Y224*Y223)+(AA224*AA223)+(AC224*AC223))/AD223</f>
        <v>0</v>
      </c>
      <c r="AE224" s="859">
        <f>+((W224*W223)+(AD224*AD223))/AE223</f>
        <v>0</v>
      </c>
      <c r="AF224" s="2595">
        <f>+((AB224*AB223)+(AC224*AC223))/AF223</f>
        <v>0</v>
      </c>
    </row>
    <row r="225" spans="2:38" ht="35" customHeight="1" thickBot="1" x14ac:dyDescent="0.3">
      <c r="C225" s="2">
        <f>+(12119.368/30)/24</f>
        <v>16.832455555555558</v>
      </c>
      <c r="D225" s="8472"/>
      <c r="E225" s="1498" t="s">
        <v>549</v>
      </c>
      <c r="F225" s="3397">
        <v>4.3569444444444452</v>
      </c>
      <c r="G225" s="3397">
        <v>1.0295698924731183</v>
      </c>
      <c r="H225" s="2220">
        <f>+((F225*F223)+(G225*G223))/H223</f>
        <v>2.665983606557377</v>
      </c>
      <c r="I225" s="3397">
        <v>2.794027777777778</v>
      </c>
      <c r="J225" s="1399">
        <f>+((H225*H223)+(I225*I223))/J223</f>
        <v>2.7081959706959706</v>
      </c>
      <c r="K225" s="3397">
        <v>5.8325268817204297</v>
      </c>
      <c r="L225" s="2220">
        <f>+((J225*J223)+(K225*K223))/L223</f>
        <v>3.5020833333333328</v>
      </c>
      <c r="M225" s="3397">
        <v>4.4509784946236559</v>
      </c>
      <c r="N225" s="2220">
        <f>+((L225*L223)+(M225*M223))/N223</f>
        <v>3.6943431372549016</v>
      </c>
      <c r="O225" s="3397">
        <v>4.914483333333334</v>
      </c>
      <c r="P225" s="1399">
        <f>+((K225*K223)+(M225*M223)+(O225*O223))/P223</f>
        <v>5.0676431159420288</v>
      </c>
      <c r="Q225" s="1306">
        <f>+((N225*N223)+(O225*O223))/Q223</f>
        <v>3.8943661202185784</v>
      </c>
      <c r="R225" s="3397">
        <v>3.9913978494623659</v>
      </c>
      <c r="S225" s="843">
        <f>+((Q225*Q223)+(R225*R223))/S223</f>
        <v>3.9084221183800616</v>
      </c>
      <c r="T225" s="3397">
        <v>3.6384722222222221</v>
      </c>
      <c r="U225" s="843">
        <f>+((S225*S223)+(T225*T223))/U223</f>
        <v>3.8752315573770488</v>
      </c>
      <c r="V225" s="3397">
        <v>4.0619623655913975</v>
      </c>
      <c r="W225" s="842">
        <f>+((R225*R223)+(T225*T223)+(V225*V223))/W223</f>
        <v>3.9000905797101448</v>
      </c>
      <c r="X225" s="843">
        <f>+((U225*U223)+(V225*V223))/X223</f>
        <v>3.8962812121212118</v>
      </c>
      <c r="Y225" s="3397">
        <v>4.5908602150537634</v>
      </c>
      <c r="Z225" s="843">
        <f>+((X225*X223)+(Y225*Y223))/Z223</f>
        <v>3.9666470588235292</v>
      </c>
      <c r="AA225" s="3397">
        <v>4.4143678160919544</v>
      </c>
      <c r="AB225" s="843">
        <f>+((Z225*Z223)+(AA225*AA223))/AB223</f>
        <v>4.0054049751243781</v>
      </c>
      <c r="AC225" s="3397">
        <v>3.8743279569892475</v>
      </c>
      <c r="AD225" s="842">
        <f>+((Y225*Y223)+(AA225*AA223)+(AC225*AC223))/AD223</f>
        <v>4.290521978021979</v>
      </c>
      <c r="AE225" s="860">
        <f>+((W225*W223)+(AD225*AD223))/AE223</f>
        <v>4.0942395264116582</v>
      </c>
      <c r="AF225" s="2594">
        <f>+((AB225*AB223)+(AC225*AC223))/AF223</f>
        <v>3.994302823315119</v>
      </c>
    </row>
    <row r="226" spans="2:38" s="3170" customFormat="1" ht="35" customHeight="1" x14ac:dyDescent="0.25">
      <c r="D226" s="8472"/>
      <c r="E226" s="4341" t="s">
        <v>412</v>
      </c>
      <c r="F226" s="4339"/>
      <c r="G226" s="4339"/>
      <c r="H226" s="4340"/>
      <c r="I226" s="4339"/>
      <c r="J226" s="4238"/>
      <c r="K226" s="4339"/>
      <c r="L226" s="3595"/>
      <c r="M226" s="4339"/>
      <c r="N226" s="3595"/>
      <c r="O226" s="4339"/>
      <c r="P226" s="3595"/>
      <c r="Q226" s="3595"/>
      <c r="R226" s="4339"/>
      <c r="S226" s="3595"/>
      <c r="T226" s="4339"/>
      <c r="U226" s="3595"/>
      <c r="V226" s="4339"/>
      <c r="W226" s="4238"/>
      <c r="X226" s="3595"/>
      <c r="Y226" s="4339"/>
      <c r="Z226" s="3595"/>
      <c r="AA226" s="4339"/>
      <c r="AB226" s="3595"/>
      <c r="AC226" s="4339"/>
      <c r="AD226" s="3595"/>
      <c r="AE226" s="3595"/>
      <c r="AF226" s="3595"/>
      <c r="AG226" s="4756"/>
      <c r="AH226" s="4756"/>
      <c r="AI226" s="4756"/>
      <c r="AJ226" s="4756"/>
      <c r="AK226" s="4756"/>
      <c r="AL226" s="4756"/>
    </row>
    <row r="227" spans="2:38" ht="35" customHeight="1" x14ac:dyDescent="0.25">
      <c r="D227" s="8472"/>
      <c r="E227" s="803" t="s">
        <v>560</v>
      </c>
      <c r="F227" s="1496">
        <f t="shared" ref="F227:G227" si="590">+F538</f>
        <v>40.681249999999999</v>
      </c>
      <c r="G227" s="1496">
        <f t="shared" si="590"/>
        <v>38.99260752688172</v>
      </c>
      <c r="H227" s="840">
        <f t="shared" ref="H227:I227" si="591">+H538</f>
        <v>39.823087431693985</v>
      </c>
      <c r="I227" s="1496">
        <f t="shared" si="591"/>
        <v>41.277777777777779</v>
      </c>
      <c r="J227" s="828">
        <f t="shared" ref="J227:N227" si="592">+J538</f>
        <v>40.302655677655679</v>
      </c>
      <c r="K227" s="1496">
        <f t="shared" si="592"/>
        <v>0</v>
      </c>
      <c r="L227" s="829">
        <f t="shared" si="592"/>
        <v>30.061816939890708</v>
      </c>
      <c r="M227" s="1496">
        <f t="shared" ref="M227:O227" si="593">+M538</f>
        <v>47.323655913978492</v>
      </c>
      <c r="N227" s="829">
        <f t="shared" si="592"/>
        <v>33.559313725490199</v>
      </c>
      <c r="O227" s="1496">
        <f t="shared" si="593"/>
        <v>42.836388888888884</v>
      </c>
      <c r="P227" s="858">
        <f t="shared" ref="P227:R227" si="594">+P538</f>
        <v>29.914402173913043</v>
      </c>
      <c r="Q227" s="859">
        <f t="shared" si="594"/>
        <v>35.080145719489984</v>
      </c>
      <c r="R227" s="1496">
        <f t="shared" si="594"/>
        <v>43.825806451612898</v>
      </c>
      <c r="S227" s="829">
        <f t="shared" ref="S227:T227" si="595">+S538</f>
        <v>36.347040498442368</v>
      </c>
      <c r="T227" s="1496">
        <f t="shared" si="595"/>
        <v>45.581250000000004</v>
      </c>
      <c r="U227" s="829">
        <f t="shared" ref="U227:V227" si="596">+U538</f>
        <v>37.482394125683058</v>
      </c>
      <c r="V227" s="1496">
        <f t="shared" si="596"/>
        <v>48.432526881720435</v>
      </c>
      <c r="W227" s="828">
        <f t="shared" ref="W227:Y227" si="597">+W538</f>
        <v>45.950498188405795</v>
      </c>
      <c r="X227" s="829">
        <f t="shared" si="597"/>
        <v>38.716772727272733</v>
      </c>
      <c r="Y227" s="1496">
        <f t="shared" si="597"/>
        <v>47.006048387096776</v>
      </c>
      <c r="Z227" s="829">
        <f t="shared" ref="Z227:AA227" si="598">+Z538</f>
        <v>39.556535947712419</v>
      </c>
      <c r="AA227" s="1496">
        <f t="shared" si="598"/>
        <v>46.710344827586205</v>
      </c>
      <c r="AB227" s="840">
        <f t="shared" ref="AB227:AC227" si="599">+AB538</f>
        <v>40.175820895522392</v>
      </c>
      <c r="AC227" s="1496">
        <f t="shared" si="599"/>
        <v>43.027419354838713</v>
      </c>
      <c r="AD227" s="828">
        <f t="shared" ref="AD227:AE227" si="600">+AD538</f>
        <v>45.55645604395604</v>
      </c>
      <c r="AE227" s="859">
        <f t="shared" si="600"/>
        <v>45.754553734061936</v>
      </c>
      <c r="AF227" s="2595">
        <f t="shared" ref="AF227" si="601">+AF538</f>
        <v>40.41734972677596</v>
      </c>
      <c r="AI227" s="4756">
        <f>404000-25000-9000</f>
        <v>370000</v>
      </c>
    </row>
    <row r="228" spans="2:38" ht="35" customHeight="1" thickBot="1" x14ac:dyDescent="0.3">
      <c r="D228" s="8472"/>
      <c r="E228" s="1498" t="s">
        <v>549</v>
      </c>
      <c r="F228" s="4897">
        <f t="shared" ref="F228:G228" si="602">+F550</f>
        <v>78.336111111111109</v>
      </c>
      <c r="G228" s="4897">
        <f t="shared" si="602"/>
        <v>87.782258064516142</v>
      </c>
      <c r="H228" s="843">
        <f t="shared" ref="H228:I228" si="603">+H550</f>
        <v>83.136612021857914</v>
      </c>
      <c r="I228" s="4897">
        <f t="shared" si="603"/>
        <v>90.629166666666663</v>
      </c>
      <c r="J228" s="842">
        <f t="shared" ref="J228:N228" si="604">+J550</f>
        <v>85.606684981684978</v>
      </c>
      <c r="K228" s="4897">
        <f t="shared" si="604"/>
        <v>0</v>
      </c>
      <c r="L228" s="843">
        <f t="shared" si="604"/>
        <v>63.854166666666664</v>
      </c>
      <c r="M228" s="4897">
        <f t="shared" ref="M228:O228" si="605">+M550</f>
        <v>100.11290322580645</v>
      </c>
      <c r="N228" s="843">
        <f t="shared" si="604"/>
        <v>71.200708061002175</v>
      </c>
      <c r="O228" s="4897">
        <f t="shared" si="605"/>
        <v>89.6736111111111</v>
      </c>
      <c r="P228" s="842">
        <f t="shared" ref="P228:R228" si="606">+P550</f>
        <v>62.975090579710148</v>
      </c>
      <c r="Q228" s="860">
        <f t="shared" si="606"/>
        <v>74.229052823315115</v>
      </c>
      <c r="R228" s="4897">
        <f t="shared" si="606"/>
        <v>94.182795698924735</v>
      </c>
      <c r="S228" s="843">
        <f t="shared" ref="S228:T228" si="607">+S550</f>
        <v>77.11954828660437</v>
      </c>
      <c r="T228" s="4897">
        <f t="shared" si="607"/>
        <v>93.027777777777771</v>
      </c>
      <c r="U228" s="843">
        <f t="shared" ref="U228:V228" si="608">+U550</f>
        <v>79.075478142076506</v>
      </c>
      <c r="V228" s="4897">
        <f t="shared" si="608"/>
        <v>92.267473118279568</v>
      </c>
      <c r="W228" s="842">
        <f t="shared" ref="W228:Y228" si="609">+W550</f>
        <v>93.16077898550725</v>
      </c>
      <c r="X228" s="843">
        <f t="shared" si="609"/>
        <v>80.562575757575758</v>
      </c>
      <c r="Y228" s="4897">
        <f t="shared" si="609"/>
        <v>93.755376344086017</v>
      </c>
      <c r="Z228" s="843">
        <f t="shared" ref="Z228:AA228" si="610">+Z550</f>
        <v>81.89910130718954</v>
      </c>
      <c r="AA228" s="4897">
        <f t="shared" si="610"/>
        <v>97.632183908045974</v>
      </c>
      <c r="AB228" s="843">
        <f t="shared" ref="AB228:AC228" si="611">+AB550</f>
        <v>83.261069651741295</v>
      </c>
      <c r="AC228" s="4897">
        <f t="shared" si="611"/>
        <v>96.20564516129032</v>
      </c>
      <c r="AD228" s="842">
        <f t="shared" ref="AD228:AE228" si="612">+AD550</f>
        <v>95.825549450549445</v>
      </c>
      <c r="AE228" s="860">
        <f t="shared" si="612"/>
        <v>94.485883424408016</v>
      </c>
      <c r="AF228" s="2594">
        <f t="shared" ref="AF228" si="613">+AF550</f>
        <v>84.357468123861565</v>
      </c>
    </row>
    <row r="229" spans="2:38" s="3170" customFormat="1" ht="35" customHeight="1" x14ac:dyDescent="0.25">
      <c r="D229" s="8472"/>
      <c r="E229" s="4338" t="s">
        <v>413</v>
      </c>
      <c r="F229" s="4339"/>
      <c r="G229" s="4339"/>
      <c r="H229" s="4340"/>
      <c r="I229" s="4339"/>
      <c r="J229" s="4238"/>
      <c r="K229" s="4339"/>
      <c r="L229" s="3595"/>
      <c r="M229" s="4339"/>
      <c r="N229" s="3595"/>
      <c r="O229" s="4339"/>
      <c r="P229" s="4330"/>
      <c r="Q229" s="4330"/>
      <c r="R229" s="4339"/>
      <c r="S229" s="4330"/>
      <c r="T229" s="4339"/>
      <c r="U229" s="4330"/>
      <c r="V229" s="4339"/>
      <c r="W229" s="4330"/>
      <c r="X229" s="4330"/>
      <c r="Y229" s="4339"/>
      <c r="Z229" s="4330"/>
      <c r="AA229" s="4339"/>
      <c r="AB229" s="4330"/>
      <c r="AC229" s="4339"/>
      <c r="AD229" s="4330"/>
      <c r="AE229" s="4330"/>
      <c r="AF229" s="4330"/>
      <c r="AG229" s="4756"/>
      <c r="AH229" s="4756"/>
      <c r="AI229" s="4756"/>
      <c r="AJ229" s="4756"/>
      <c r="AK229" s="4756"/>
      <c r="AL229" s="4756"/>
    </row>
    <row r="230" spans="2:38" ht="35" customHeight="1" x14ac:dyDescent="0.25">
      <c r="D230" s="8472"/>
      <c r="E230" s="738" t="s">
        <v>604</v>
      </c>
      <c r="F230" s="865">
        <f t="shared" ref="F230:G230" si="614">+F224+F227</f>
        <v>40.681249999999999</v>
      </c>
      <c r="G230" s="865">
        <f t="shared" si="614"/>
        <v>38.99260752688172</v>
      </c>
      <c r="H230" s="866">
        <f t="shared" ref="H230:I231" si="615">+H224+H227</f>
        <v>39.823087431693985</v>
      </c>
      <c r="I230" s="865">
        <f t="shared" si="615"/>
        <v>41.277777777777779</v>
      </c>
      <c r="J230" s="867">
        <f t="shared" ref="J230:K230" si="616">+J224+J227</f>
        <v>40.302655677655679</v>
      </c>
      <c r="K230" s="865">
        <f t="shared" si="616"/>
        <v>0</v>
      </c>
      <c r="L230" s="866">
        <f t="shared" ref="L230:Q230" si="617">+L224+L227</f>
        <v>30.061816939890708</v>
      </c>
      <c r="M230" s="865">
        <f t="shared" si="617"/>
        <v>47.323655913978492</v>
      </c>
      <c r="N230" s="868">
        <f t="shared" si="617"/>
        <v>33.559313725490199</v>
      </c>
      <c r="O230" s="865">
        <f t="shared" ref="O230" si="618">+O224+O227</f>
        <v>42.836388888888884</v>
      </c>
      <c r="P230" s="867">
        <f t="shared" si="617"/>
        <v>29.914402173913043</v>
      </c>
      <c r="Q230" s="869">
        <f t="shared" si="617"/>
        <v>35.080145719489984</v>
      </c>
      <c r="R230" s="865">
        <f t="shared" ref="R230" si="619">+R224+R227</f>
        <v>43.825806451612898</v>
      </c>
      <c r="S230" s="868">
        <f t="shared" ref="S230:T231" si="620">+S224+S227</f>
        <v>36.347040498442368</v>
      </c>
      <c r="T230" s="865">
        <f t="shared" si="620"/>
        <v>45.581250000000004</v>
      </c>
      <c r="U230" s="868">
        <f t="shared" ref="U230:V231" si="621">+U224+U227</f>
        <v>37.482394125683058</v>
      </c>
      <c r="V230" s="865">
        <f t="shared" si="621"/>
        <v>48.432526881720435</v>
      </c>
      <c r="W230" s="867">
        <f t="shared" ref="W230:Y230" si="622">+W224+W227</f>
        <v>45.950498188405795</v>
      </c>
      <c r="X230" s="868">
        <f t="shared" si="622"/>
        <v>38.716772727272733</v>
      </c>
      <c r="Y230" s="865">
        <f t="shared" si="622"/>
        <v>47.006048387096776</v>
      </c>
      <c r="Z230" s="868">
        <f t="shared" ref="Z230:AA230" si="623">+Z224+Z227</f>
        <v>39.556535947712419</v>
      </c>
      <c r="AA230" s="865">
        <f t="shared" si="623"/>
        <v>46.710344827586205</v>
      </c>
      <c r="AB230" s="1255">
        <f t="shared" ref="AB230:AC230" si="624">+AB224+AB227</f>
        <v>40.175820895522392</v>
      </c>
      <c r="AC230" s="865">
        <f t="shared" si="624"/>
        <v>43.027419354838713</v>
      </c>
      <c r="AD230" s="1307">
        <f t="shared" ref="AD230:AE230" si="625">+AD224+AD227</f>
        <v>45.55645604395604</v>
      </c>
      <c r="AE230" s="869">
        <f t="shared" si="625"/>
        <v>45.754553734061936</v>
      </c>
      <c r="AF230" s="2596">
        <f t="shared" ref="AF230" si="626">+AF224+AF227</f>
        <v>40.41734972677596</v>
      </c>
    </row>
    <row r="231" spans="2:38" ht="35" customHeight="1" thickBot="1" x14ac:dyDescent="0.3">
      <c r="D231" s="8473"/>
      <c r="E231" s="801" t="s">
        <v>11</v>
      </c>
      <c r="F231" s="862">
        <f t="shared" ref="F231:G231" si="627">+F225+F228</f>
        <v>82.69305555555556</v>
      </c>
      <c r="G231" s="862">
        <f t="shared" si="627"/>
        <v>88.811827956989262</v>
      </c>
      <c r="H231" s="870">
        <f t="shared" si="615"/>
        <v>85.80259562841529</v>
      </c>
      <c r="I231" s="862">
        <f t="shared" si="615"/>
        <v>93.423194444444448</v>
      </c>
      <c r="J231" s="871">
        <f t="shared" ref="J231:K231" si="628">+J225+J228</f>
        <v>88.314880952380946</v>
      </c>
      <c r="K231" s="862">
        <f t="shared" si="628"/>
        <v>5.8325268817204297</v>
      </c>
      <c r="L231" s="870">
        <f t="shared" ref="L231:Q231" si="629">+L225+L228</f>
        <v>67.356250000000003</v>
      </c>
      <c r="M231" s="862">
        <f t="shared" si="629"/>
        <v>104.5638817204301</v>
      </c>
      <c r="N231" s="872">
        <f t="shared" si="629"/>
        <v>74.895051198257079</v>
      </c>
      <c r="O231" s="862">
        <f t="shared" ref="O231" si="630">+O225+O228</f>
        <v>94.588094444444437</v>
      </c>
      <c r="P231" s="871">
        <f t="shared" si="629"/>
        <v>68.042733695652174</v>
      </c>
      <c r="Q231" s="873">
        <f t="shared" si="629"/>
        <v>78.123418943533693</v>
      </c>
      <c r="R231" s="862">
        <f t="shared" ref="R231" si="631">+R225+R228</f>
        <v>98.174193548387095</v>
      </c>
      <c r="S231" s="872">
        <f t="shared" ref="S231" si="632">+S225+S228</f>
        <v>81.02797040498443</v>
      </c>
      <c r="T231" s="862">
        <f t="shared" si="620"/>
        <v>96.666249999999991</v>
      </c>
      <c r="U231" s="872">
        <f t="shared" ref="U231" si="633">+U225+U228</f>
        <v>82.950709699453554</v>
      </c>
      <c r="V231" s="862">
        <f t="shared" si="621"/>
        <v>96.329435483870967</v>
      </c>
      <c r="W231" s="871">
        <f t="shared" ref="W231:Y231" si="634">+W225+W228</f>
        <v>97.060869565217388</v>
      </c>
      <c r="X231" s="872">
        <f t="shared" si="634"/>
        <v>84.458856969696967</v>
      </c>
      <c r="Y231" s="862">
        <f t="shared" si="634"/>
        <v>98.346236559139783</v>
      </c>
      <c r="Z231" s="872">
        <f t="shared" ref="Z231:AA231" si="635">+Z225+Z228</f>
        <v>85.865748366013065</v>
      </c>
      <c r="AA231" s="862">
        <f t="shared" si="635"/>
        <v>102.04655172413793</v>
      </c>
      <c r="AB231" s="870">
        <f t="shared" ref="AB231:AC231" si="636">+AB225+AB228</f>
        <v>87.266474626865673</v>
      </c>
      <c r="AC231" s="862">
        <f t="shared" si="636"/>
        <v>100.07997311827957</v>
      </c>
      <c r="AD231" s="1308">
        <f t="shared" ref="AD231:AE231" si="637">+AD225+AD228</f>
        <v>100.11607142857143</v>
      </c>
      <c r="AE231" s="873">
        <f t="shared" si="637"/>
        <v>98.580122950819671</v>
      </c>
      <c r="AF231" s="2597">
        <f t="shared" ref="AF231" si="638">+AF225+AF228</f>
        <v>88.351770947176689</v>
      </c>
    </row>
    <row r="232" spans="2:38" ht="35" customHeight="1" thickBot="1" x14ac:dyDescent="0.4">
      <c r="D232" s="794" t="s">
        <v>10</v>
      </c>
      <c r="E232" s="795" t="s">
        <v>1</v>
      </c>
      <c r="F232" s="279" t="s">
        <v>9</v>
      </c>
      <c r="G232" s="279" t="s">
        <v>51</v>
      </c>
      <c r="H232" s="3520" t="s">
        <v>52</v>
      </c>
      <c r="I232" s="279" t="s">
        <v>1073</v>
      </c>
      <c r="J232" s="3484" t="s">
        <v>60</v>
      </c>
      <c r="K232" s="279" t="s">
        <v>2117</v>
      </c>
      <c r="L232" s="3531" t="s">
        <v>62</v>
      </c>
      <c r="M232" s="279" t="s">
        <v>63</v>
      </c>
      <c r="N232" s="786" t="s">
        <v>64</v>
      </c>
      <c r="O232" s="279" t="s">
        <v>65</v>
      </c>
      <c r="P232" s="42" t="s">
        <v>66</v>
      </c>
      <c r="Q232" s="44" t="s">
        <v>82</v>
      </c>
      <c r="R232" s="279" t="s">
        <v>100</v>
      </c>
      <c r="S232" s="43" t="s">
        <v>101</v>
      </c>
      <c r="T232" s="279" t="s">
        <v>104</v>
      </c>
      <c r="U232" s="43" t="s">
        <v>105</v>
      </c>
      <c r="V232" s="279" t="s">
        <v>106</v>
      </c>
      <c r="W232" s="798" t="s">
        <v>107</v>
      </c>
      <c r="X232" s="797" t="s">
        <v>108</v>
      </c>
      <c r="Y232" s="279" t="s">
        <v>109</v>
      </c>
      <c r="Z232" s="43" t="s">
        <v>110</v>
      </c>
      <c r="AA232" s="279" t="s">
        <v>112</v>
      </c>
      <c r="AB232" s="797" t="s">
        <v>113</v>
      </c>
      <c r="AC232" s="279" t="s">
        <v>114</v>
      </c>
      <c r="AD232" s="280" t="s">
        <v>115</v>
      </c>
      <c r="AE232" s="281" t="s">
        <v>116</v>
      </c>
      <c r="AF232" s="2598" t="s">
        <v>117</v>
      </c>
    </row>
    <row r="233" spans="2:38" s="3170" customFormat="1" ht="35" customHeight="1" x14ac:dyDescent="0.35">
      <c r="D233" s="4331" t="s">
        <v>78</v>
      </c>
      <c r="E233" s="4332" t="s">
        <v>411</v>
      </c>
      <c r="F233" s="4333"/>
      <c r="G233" s="4333"/>
      <c r="H233" s="4334"/>
      <c r="I233" s="4333"/>
      <c r="J233" s="4334"/>
      <c r="K233" s="4333"/>
      <c r="L233" s="4335"/>
      <c r="M233" s="4333"/>
      <c r="N233" s="4335"/>
      <c r="O233" s="4333"/>
      <c r="P233" s="4336"/>
      <c r="Q233" s="4337"/>
      <c r="R233" s="4333"/>
      <c r="S233" s="4337"/>
      <c r="T233" s="4333"/>
      <c r="U233" s="4337"/>
      <c r="V233" s="4333"/>
      <c r="W233" s="4334"/>
      <c r="X233" s="4335"/>
      <c r="Y233" s="4333"/>
      <c r="Z233" s="4337"/>
      <c r="AA233" s="4333"/>
      <c r="AB233" s="4333"/>
      <c r="AC233" s="4333"/>
      <c r="AD233" s="4333"/>
      <c r="AE233" s="4333"/>
      <c r="AF233" s="4333"/>
      <c r="AG233" s="4756"/>
      <c r="AH233" s="4756"/>
      <c r="AI233" s="4756">
        <f>122000+230000</f>
        <v>352000</v>
      </c>
      <c r="AJ233" s="4756"/>
      <c r="AK233" s="4756"/>
      <c r="AL233" s="4756"/>
    </row>
    <row r="234" spans="2:38" ht="35" customHeight="1" x14ac:dyDescent="0.25">
      <c r="D234" s="665"/>
      <c r="E234" s="741" t="s">
        <v>136</v>
      </c>
      <c r="F234" s="799">
        <f t="shared" ref="F234:K234" si="639">+F235</f>
        <v>69.52584804394742</v>
      </c>
      <c r="G234" s="799">
        <f t="shared" si="639"/>
        <v>70.013656786647246</v>
      </c>
      <c r="H234" s="1412">
        <f t="shared" ref="H234:L234" si="640">+H235</f>
        <v>69.769543145137433</v>
      </c>
      <c r="I234" s="799">
        <f t="shared" si="639"/>
        <v>70.771354152353211</v>
      </c>
      <c r="J234" s="813">
        <f t="shared" si="640"/>
        <v>70.127776514811529</v>
      </c>
      <c r="K234" s="799">
        <f t="shared" si="639"/>
        <v>70.864023555683616</v>
      </c>
      <c r="L234" s="1412">
        <f t="shared" si="640"/>
        <v>70.33360116159956</v>
      </c>
      <c r="M234" s="799">
        <f t="shared" ref="M234:O234" si="641">+M235</f>
        <v>66.697237321192304</v>
      </c>
      <c r="N234" s="1256">
        <f t="shared" ref="N234" si="642">+N235</f>
        <v>69.48802535657687</v>
      </c>
      <c r="O234" s="799">
        <f t="shared" si="641"/>
        <v>66.78498593680844</v>
      </c>
      <c r="P234" s="1079">
        <f t="shared" ref="P234:V234" si="643">+P235</f>
        <v>68.083002963291378</v>
      </c>
      <c r="Q234" s="1080">
        <f t="shared" si="643"/>
        <v>69.01626847671163</v>
      </c>
      <c r="R234" s="799">
        <f t="shared" si="643"/>
        <v>66.768975284081321</v>
      </c>
      <c r="S234" s="749">
        <f t="shared" si="643"/>
        <v>68.658755364619807</v>
      </c>
      <c r="T234" s="799">
        <f t="shared" si="643"/>
        <v>67.999947754305907</v>
      </c>
      <c r="U234" s="749">
        <f t="shared" si="643"/>
        <v>68.570833835690664</v>
      </c>
      <c r="V234" s="799">
        <f t="shared" si="643"/>
        <v>68.495836750912929</v>
      </c>
      <c r="W234" s="1402">
        <f t="shared" ref="W234" si="644">+W235</f>
        <v>67.755519136287162</v>
      </c>
      <c r="X234" s="1256">
        <f t="shared" ref="X234:AC234" si="645">+X235</f>
        <v>68.561644302682339</v>
      </c>
      <c r="Y234" s="799">
        <f t="shared" si="645"/>
        <v>68.556952772940519</v>
      </c>
      <c r="Z234" s="749">
        <f t="shared" ref="Z234" si="646">+Z235</f>
        <v>68.561169016989552</v>
      </c>
      <c r="AA234" s="799">
        <f t="shared" si="645"/>
        <v>68.742843515485063</v>
      </c>
      <c r="AB234" s="1256">
        <f t="shared" ref="AB234" si="647">+AB235</f>
        <v>68.576896063127975</v>
      </c>
      <c r="AC234" s="799">
        <f t="shared" si="645"/>
        <v>69.008615957209656</v>
      </c>
      <c r="AD234" s="1402">
        <f t="shared" ref="AD234:AE234" si="648">+AD235</f>
        <v>68.768229978804882</v>
      </c>
      <c r="AE234" s="1080">
        <f t="shared" si="648"/>
        <v>68.256310212257461</v>
      </c>
      <c r="AF234" s="2599">
        <f t="shared" ref="AF234" si="649">+AF235</f>
        <v>68.679212038634276</v>
      </c>
    </row>
    <row r="235" spans="2:38" ht="35" customHeight="1" x14ac:dyDescent="0.25">
      <c r="C235" s="1"/>
      <c r="D235" s="665"/>
      <c r="E235" s="741" t="s">
        <v>414</v>
      </c>
      <c r="F235" s="810">
        <f t="shared" ref="F235:G235" si="650">+F640</f>
        <v>69.52584804394742</v>
      </c>
      <c r="G235" s="810">
        <f t="shared" si="650"/>
        <v>70.013656786647246</v>
      </c>
      <c r="H235" s="812">
        <f t="shared" ref="H235:L235" si="651">+H640</f>
        <v>69.769543145137433</v>
      </c>
      <c r="I235" s="810">
        <f t="shared" si="651"/>
        <v>70.771354152353211</v>
      </c>
      <c r="J235" s="813">
        <f t="shared" si="651"/>
        <v>70.127776514811529</v>
      </c>
      <c r="K235" s="810">
        <f t="shared" si="651"/>
        <v>70.864023555683616</v>
      </c>
      <c r="L235" s="812">
        <f t="shared" si="651"/>
        <v>70.33360116159956</v>
      </c>
      <c r="M235" s="810">
        <f t="shared" ref="M235:O235" si="652">+M640</f>
        <v>66.697237321192304</v>
      </c>
      <c r="N235" s="812">
        <f t="shared" ref="N235" si="653">+N640</f>
        <v>69.48802535657687</v>
      </c>
      <c r="O235" s="810">
        <f t="shared" si="652"/>
        <v>66.78498593680844</v>
      </c>
      <c r="P235" s="813">
        <f>+P640</f>
        <v>68.083002963291378</v>
      </c>
      <c r="Q235" s="1080">
        <f t="shared" ref="Q235:R235" si="654">+Q640</f>
        <v>69.01626847671163</v>
      </c>
      <c r="R235" s="810">
        <f t="shared" si="654"/>
        <v>66.768975284081321</v>
      </c>
      <c r="S235" s="829">
        <f t="shared" ref="S235:T235" si="655">+S640</f>
        <v>68.658755364619807</v>
      </c>
      <c r="T235" s="810">
        <f t="shared" si="655"/>
        <v>67.999947754305907</v>
      </c>
      <c r="U235" s="829">
        <f t="shared" ref="U235:W235" si="656">+U640</f>
        <v>68.570833835690664</v>
      </c>
      <c r="V235" s="810">
        <f t="shared" si="656"/>
        <v>68.495836750912929</v>
      </c>
      <c r="W235" s="813">
        <f t="shared" si="656"/>
        <v>67.755519136287162</v>
      </c>
      <c r="X235" s="812">
        <f t="shared" ref="X235:Y235" si="657">+X640</f>
        <v>68.561644302682339</v>
      </c>
      <c r="Y235" s="810">
        <f t="shared" si="657"/>
        <v>68.556952772940519</v>
      </c>
      <c r="Z235" s="829">
        <f t="shared" ref="Z235:AA235" si="658">+Z640</f>
        <v>68.561169016989552</v>
      </c>
      <c r="AA235" s="810">
        <f t="shared" si="658"/>
        <v>68.742843515485063</v>
      </c>
      <c r="AB235" s="812">
        <f t="shared" ref="AB235:AC235" si="659">+AB640</f>
        <v>68.576896063127975</v>
      </c>
      <c r="AC235" s="810">
        <f t="shared" si="659"/>
        <v>69.008615957209656</v>
      </c>
      <c r="AD235" s="813">
        <f t="shared" ref="AD235:AE235" si="660">+AD640</f>
        <v>68.768229978804882</v>
      </c>
      <c r="AE235" s="1080">
        <f t="shared" si="660"/>
        <v>68.256310212257461</v>
      </c>
      <c r="AF235" s="2601">
        <f t="shared" ref="AF235" si="661">+AF640</f>
        <v>68.679212038634276</v>
      </c>
    </row>
    <row r="236" spans="2:38" ht="35" customHeight="1" x14ac:dyDescent="0.25">
      <c r="C236" s="1"/>
      <c r="D236" s="665"/>
      <c r="E236" s="740" t="s">
        <v>415</v>
      </c>
      <c r="F236" s="711">
        <f t="shared" ref="F236:G236" si="662">+F1325</f>
        <v>428.04279175883033</v>
      </c>
      <c r="G236" s="711">
        <f t="shared" si="662"/>
        <v>430.79693949990798</v>
      </c>
      <c r="H236" s="814">
        <f>+H1325</f>
        <v>429.45879999188907</v>
      </c>
      <c r="I236" s="711">
        <f t="shared" ref="I236" si="663">+I1325</f>
        <v>420.24483065580921</v>
      </c>
      <c r="J236" s="815">
        <f>+J1325</f>
        <v>426.12982673507753</v>
      </c>
      <c r="K236" s="711">
        <f t="shared" ref="K236" si="664">+K1325</f>
        <v>426.53981181681269</v>
      </c>
      <c r="L236" s="814">
        <f>+L1325</f>
        <v>426.24931557970018</v>
      </c>
      <c r="M236" s="711">
        <f t="shared" ref="M236" si="665">+M1325</f>
        <v>402.87123488393388</v>
      </c>
      <c r="N236" s="814">
        <f t="shared" ref="N236:O236" si="666">+N1325</f>
        <v>420.17920006522132</v>
      </c>
      <c r="O236" s="711">
        <f t="shared" si="666"/>
        <v>405.73913672011469</v>
      </c>
      <c r="P236" s="815">
        <f t="shared" ref="P236:R236" si="667">+P1325</f>
        <v>411.38207774208632</v>
      </c>
      <c r="Q236" s="850">
        <f t="shared" si="667"/>
        <v>417.89423017351896</v>
      </c>
      <c r="R236" s="711">
        <f t="shared" si="667"/>
        <v>391.32262761746551</v>
      </c>
      <c r="S236" s="814">
        <f t="shared" ref="S236:T236" si="668">+S1325</f>
        <v>413.72897144432449</v>
      </c>
      <c r="T236" s="711">
        <f t="shared" si="668"/>
        <v>377.47836097727372</v>
      </c>
      <c r="U236" s="814">
        <f>+U1325</f>
        <v>408.47109624415401</v>
      </c>
      <c r="V236" s="711">
        <f t="shared" ref="V236" si="669">+V1325</f>
        <v>358.96606140508578</v>
      </c>
      <c r="W236" s="815">
        <f t="shared" ref="W236:Y236" si="670">+W1325</f>
        <v>374.53269105966018</v>
      </c>
      <c r="X236" s="814">
        <f t="shared" si="670"/>
        <v>401.20592196334042</v>
      </c>
      <c r="Y236" s="711">
        <f t="shared" si="670"/>
        <v>359.39678167041876</v>
      </c>
      <c r="Z236" s="814">
        <f t="shared" ref="Z236:AA236" si="671">+Z1325</f>
        <v>396.04264158273782</v>
      </c>
      <c r="AA236" s="711">
        <f t="shared" si="671"/>
        <v>361.26181029376045</v>
      </c>
      <c r="AB236" s="814">
        <f t="shared" ref="AB236:AC236" si="672">+AB1325</f>
        <v>392.29989254960122</v>
      </c>
      <c r="AC236" s="711">
        <f t="shared" si="672"/>
        <v>364.39031066100995</v>
      </c>
      <c r="AD236" s="815">
        <f t="shared" ref="AD236:AF236" si="673">+AD1325</f>
        <v>361.60410736305909</v>
      </c>
      <c r="AE236" s="850">
        <f t="shared" si="673"/>
        <v>367.8877168873363</v>
      </c>
      <c r="AF236" s="2602">
        <f t="shared" si="673"/>
        <v>389.75043660779806</v>
      </c>
    </row>
    <row r="237" spans="2:38" ht="35" customHeight="1" thickBot="1" x14ac:dyDescent="0.3">
      <c r="C237" s="1"/>
      <c r="D237" s="665"/>
      <c r="E237" s="801" t="s">
        <v>416</v>
      </c>
      <c r="F237" s="802">
        <f t="shared" ref="F237:G237" si="674">+F1329</f>
        <v>1.4570000000000001</v>
      </c>
      <c r="G237" s="802">
        <f t="shared" si="674"/>
        <v>1.448</v>
      </c>
      <c r="H237" s="816">
        <f>+H1329</f>
        <v>1.4523588412309316</v>
      </c>
      <c r="I237" s="802">
        <f t="shared" ref="I237" si="675">+I1329</f>
        <v>1.7</v>
      </c>
      <c r="J237" s="817">
        <f>+J1329</f>
        <v>1.5330436885140646</v>
      </c>
      <c r="K237" s="802">
        <f t="shared" ref="K237" si="676">+K1329</f>
        <v>1.774</v>
      </c>
      <c r="L237" s="816">
        <f>+L1329</f>
        <v>1.5962324940561916</v>
      </c>
      <c r="M237" s="802">
        <f t="shared" ref="M237" si="677">+M1329</f>
        <v>2.097</v>
      </c>
      <c r="N237" s="816">
        <f t="shared" ref="N237:O237" si="678">+N1329</f>
        <v>1.7017492369498344</v>
      </c>
      <c r="O237" s="802">
        <f t="shared" si="678"/>
        <v>1.661</v>
      </c>
      <c r="P237" s="817">
        <f t="shared" ref="P237:R237" si="679">+P1329</f>
        <v>1.8498587922510554</v>
      </c>
      <c r="Q237" s="851">
        <f t="shared" si="679"/>
        <v>1.6951685064264792</v>
      </c>
      <c r="R237" s="802">
        <f t="shared" si="679"/>
        <v>1.7749999999999999</v>
      </c>
      <c r="S237" s="816">
        <f t="shared" ref="S237:T237" si="680">+S1329</f>
        <v>1.7072046041686708</v>
      </c>
      <c r="T237" s="802">
        <f t="shared" si="680"/>
        <v>2.0169999999999999</v>
      </c>
      <c r="U237" s="816">
        <f>+U1329</f>
        <v>1.7461031994203997</v>
      </c>
      <c r="V237" s="802">
        <f t="shared" ref="V237" si="681">+V1329</f>
        <v>2.2770000000000001</v>
      </c>
      <c r="W237" s="817">
        <f t="shared" ref="W237:Y237" si="682">+W1329</f>
        <v>2.0231343788532827</v>
      </c>
      <c r="X237" s="816">
        <f t="shared" si="682"/>
        <v>1.8079666527819067</v>
      </c>
      <c r="Y237" s="802">
        <f t="shared" si="682"/>
        <v>2.3069999999999999</v>
      </c>
      <c r="Z237" s="816">
        <f t="shared" ref="Z237:AA237" si="683">+Z1329</f>
        <v>1.8575900298420953</v>
      </c>
      <c r="AA237" s="802">
        <f t="shared" si="683"/>
        <v>2.3210000000000002</v>
      </c>
      <c r="AB237" s="816">
        <f t="shared" ref="AB237:AC237" si="684">+AB1329</f>
        <v>1.8983771919819747</v>
      </c>
      <c r="AC237" s="802">
        <f t="shared" si="684"/>
        <v>2.258</v>
      </c>
      <c r="AD237" s="817">
        <f t="shared" ref="AD237:AF237" si="685">+AD1329</f>
        <v>2.2959476224996513</v>
      </c>
      <c r="AE237" s="851">
        <f t="shared" si="685"/>
        <v>2.1547291089387492</v>
      </c>
      <c r="AF237" s="2603">
        <f t="shared" si="685"/>
        <v>1.9264034239604753</v>
      </c>
    </row>
    <row r="238" spans="2:38" ht="35" customHeight="1" thickBot="1" x14ac:dyDescent="0.3">
      <c r="C238" s="1"/>
      <c r="D238" s="665"/>
      <c r="E238" s="803" t="s">
        <v>640</v>
      </c>
      <c r="F238" s="802">
        <f t="shared" ref="F238:G238" si="686">+F1451</f>
        <v>6.534182373743052</v>
      </c>
      <c r="G238" s="802">
        <f t="shared" si="686"/>
        <v>6.646540761068465</v>
      </c>
      <c r="H238" s="816">
        <f>+H1451</f>
        <v>6.5918276746498936</v>
      </c>
      <c r="I238" s="802">
        <f t="shared" ref="I238" si="687">+I1451</f>
        <v>6.347058837855684</v>
      </c>
      <c r="J238" s="817">
        <f>+J1451</f>
        <v>6.504050206070378</v>
      </c>
      <c r="K238" s="802">
        <f t="shared" ref="K238" si="688">+K1451</f>
        <v>0</v>
      </c>
      <c r="L238" s="816">
        <f>+L1451</f>
        <v>6.6988943454729899</v>
      </c>
      <c r="M238" s="802">
        <f t="shared" ref="M238" si="689">+M1451</f>
        <v>5.8983543656944732</v>
      </c>
      <c r="N238" s="816">
        <f t="shared" ref="N238:R238" si="690">+N1451</f>
        <v>6.5019999999999998</v>
      </c>
      <c r="O238" s="802">
        <f t="shared" si="690"/>
        <v>5.9434644808131356</v>
      </c>
      <c r="P238" s="817">
        <f t="shared" si="690"/>
        <v>4.0615398922836317</v>
      </c>
      <c r="Q238" s="851">
        <f t="shared" si="690"/>
        <v>6.4131271712413289</v>
      </c>
      <c r="R238" s="802">
        <f t="shared" si="690"/>
        <v>5.8745484125977567</v>
      </c>
      <c r="S238" s="816">
        <f>+S1451</f>
        <v>6.3306964192015185</v>
      </c>
      <c r="T238" s="802">
        <f t="shared" ref="T238:AF238" si="691">+T1451</f>
        <v>5.9475012650028143</v>
      </c>
      <c r="U238" s="816">
        <f t="shared" si="691"/>
        <v>6.2794315182811431</v>
      </c>
      <c r="V238" s="802">
        <f t="shared" si="691"/>
        <v>5.9306726351123791</v>
      </c>
      <c r="W238" s="817">
        <f t="shared" si="691"/>
        <v>5.9185285084783068</v>
      </c>
      <c r="X238" s="816">
        <f t="shared" si="691"/>
        <v>6.2330868118563751</v>
      </c>
      <c r="Y238" s="802">
        <f t="shared" si="691"/>
        <v>5.9130250888490163</v>
      </c>
      <c r="Z238" s="816">
        <f t="shared" si="691"/>
        <v>6.1917365582742772</v>
      </c>
      <c r="AA238" s="802">
        <f t="shared" si="691"/>
        <v>6.1698973309415983</v>
      </c>
      <c r="AB238" s="816">
        <f t="shared" si="691"/>
        <v>6.1872219206251824</v>
      </c>
      <c r="AC238" s="802">
        <f t="shared" si="691"/>
        <v>6.2110460754708274</v>
      </c>
      <c r="AD238" s="817">
        <f t="shared" si="691"/>
        <v>6.0919237345990673</v>
      </c>
      <c r="AE238" s="851">
        <f t="shared" si="691"/>
        <v>6.0077326020278763</v>
      </c>
      <c r="AF238" s="2603">
        <f t="shared" si="691"/>
        <v>6.1893394616001896</v>
      </c>
      <c r="AI238" s="4756">
        <f>4712*2</f>
        <v>9424</v>
      </c>
    </row>
    <row r="239" spans="2:38" ht="35" customHeight="1" x14ac:dyDescent="0.25">
      <c r="B239" s="18"/>
      <c r="C239" s="2205"/>
      <c r="D239" s="665"/>
      <c r="E239" s="741" t="s">
        <v>1358</v>
      </c>
      <c r="F239" s="2841">
        <f t="shared" ref="F239:G239" si="692">+F1367</f>
        <v>991.57268186624344</v>
      </c>
      <c r="G239" s="2841">
        <f t="shared" si="692"/>
        <v>1001.2956380014117</v>
      </c>
      <c r="H239" s="2461">
        <f>+H1367</f>
        <v>996.5716097493497</v>
      </c>
      <c r="I239" s="2841">
        <f t="shared" ref="I239" si="693">+I1367</f>
        <v>986.78215139234203</v>
      </c>
      <c r="J239" s="2462">
        <f t="shared" ref="J239:L239" si="694">+J1367</f>
        <v>992.9743360963372</v>
      </c>
      <c r="K239" s="2841">
        <f t="shared" si="694"/>
        <v>1026.6953904932448</v>
      </c>
      <c r="L239" s="2461">
        <f t="shared" si="694"/>
        <v>1000.2512835450088</v>
      </c>
      <c r="M239" s="2841">
        <f t="shared" ref="M239:O239" si="695">+M1367</f>
        <v>952.65252517299939</v>
      </c>
      <c r="N239" s="2461">
        <f t="shared" ref="N239" si="696">+N1367</f>
        <v>952.09921424533377</v>
      </c>
      <c r="O239" s="2841">
        <f t="shared" si="695"/>
        <v>946.30799382419741</v>
      </c>
      <c r="P239" s="2462">
        <f>+P1367</f>
        <v>952.73359821371878</v>
      </c>
      <c r="Q239" s="2463">
        <f>+Q1367</f>
        <v>951.45340782512733</v>
      </c>
      <c r="R239" s="2841">
        <f t="shared" ref="R239" si="697">+R1367</f>
        <v>933.21256224508409</v>
      </c>
      <c r="S239" s="2461">
        <f t="shared" ref="S239:T239" si="698">+S1367</f>
        <v>948.83725446774451</v>
      </c>
      <c r="T239" s="2841">
        <f t="shared" si="698"/>
        <v>920.32392074816698</v>
      </c>
      <c r="U239" s="2461">
        <f>+U1367</f>
        <v>945.08713868224334</v>
      </c>
      <c r="V239" s="2841">
        <f t="shared" ref="V239" si="699">+V1367</f>
        <v>908.28266375334795</v>
      </c>
      <c r="W239" s="2462">
        <f>+W1367</f>
        <v>920.69137743898875</v>
      </c>
      <c r="X239" s="2461">
        <f>+X1367</f>
        <v>940.43459580649255</v>
      </c>
      <c r="Y239" s="2841">
        <f t="shared" ref="Y239" si="700">+Y1367</f>
        <v>889.53169519890025</v>
      </c>
      <c r="Z239" s="2461">
        <f>+Z1367</f>
        <v>934.63084771748197</v>
      </c>
      <c r="AA239" s="2841">
        <f t="shared" ref="AA239" si="701">+AA1367</f>
        <v>927.96408038321636</v>
      </c>
      <c r="AB239" s="2461">
        <f>+AB1367</f>
        <v>934.26702063022879</v>
      </c>
      <c r="AC239" s="2841">
        <f t="shared" ref="AC239" si="702">+AC1367</f>
        <v>941.23846715257616</v>
      </c>
      <c r="AD239" s="2462">
        <f>+AD1367</f>
        <v>916.33461592520973</v>
      </c>
      <c r="AE239" s="2557">
        <f>+AE1367</f>
        <v>917.09106222667151</v>
      </c>
      <c r="AF239" s="2604">
        <f t="shared" ref="AF239" si="703">+AF1367</f>
        <v>931.68362998699263</v>
      </c>
      <c r="AI239" s="4756">
        <f>+AI238*24</f>
        <v>226176</v>
      </c>
    </row>
    <row r="240" spans="2:38" ht="35" customHeight="1" thickBot="1" x14ac:dyDescent="0.3">
      <c r="B240" s="19"/>
      <c r="C240" s="17"/>
      <c r="D240" s="665"/>
      <c r="E240" s="740" t="s">
        <v>417</v>
      </c>
      <c r="F240" s="1497"/>
      <c r="G240" s="1497"/>
      <c r="H240" s="3619"/>
      <c r="I240" s="1497"/>
      <c r="J240" s="3618"/>
      <c r="K240" s="1497"/>
      <c r="L240" s="3619"/>
      <c r="M240" s="1497"/>
      <c r="N240" s="880"/>
      <c r="O240" s="1497"/>
      <c r="P240" s="2307"/>
      <c r="Q240" s="2307"/>
      <c r="R240" s="1497"/>
      <c r="S240" s="566"/>
      <c r="T240" s="1497"/>
      <c r="U240" s="566"/>
      <c r="V240" s="1497"/>
      <c r="W240" s="581"/>
      <c r="X240" s="566"/>
      <c r="Y240" s="1497"/>
      <c r="Z240" s="566"/>
      <c r="AA240" s="1497"/>
      <c r="AB240" s="566"/>
      <c r="AC240" s="1497"/>
      <c r="AD240" s="566"/>
      <c r="AE240" s="566"/>
      <c r="AF240" s="566"/>
    </row>
    <row r="241" spans="4:32" ht="35" customHeight="1" x14ac:dyDescent="0.35">
      <c r="D241" s="665"/>
      <c r="E241" s="818" t="s">
        <v>49</v>
      </c>
      <c r="F241" s="3786">
        <v>672.30304944882016</v>
      </c>
      <c r="G241" s="3786">
        <v>658.84</v>
      </c>
      <c r="H241" s="840">
        <f>H1501/(H56+('B-FCE'!I16*0.25))</f>
        <v>665.47360267177976</v>
      </c>
      <c r="I241" s="3786">
        <v>634.41999999999996</v>
      </c>
      <c r="J241" s="713">
        <f>J1501/(J56+('B-FCE'!M16*0.25))</f>
        <v>654.46186581228073</v>
      </c>
      <c r="K241" s="3786">
        <v>500.29</v>
      </c>
      <c r="L241" s="814">
        <f>L1501/(L56+('B-FCE'!Q16*0.25))</f>
        <v>0</v>
      </c>
      <c r="M241" s="3786">
        <v>522.4434554064195</v>
      </c>
      <c r="N241" s="840" t="e">
        <f>+#REF!/(N56+('B-FCE'!#REF!*0.25))</f>
        <v>#REF!</v>
      </c>
      <c r="O241" s="3786">
        <v>614.9861929261474</v>
      </c>
      <c r="P241" s="858" t="e">
        <f>+#REF!/(P56+('B-FCE'!#REF!*0.25))</f>
        <v>#REF!</v>
      </c>
      <c r="Q241" s="859" t="e">
        <f>+#REF!/(Q56+('B-FCE'!#REF!*0.25))</f>
        <v>#REF!</v>
      </c>
      <c r="R241" s="3786">
        <v>601.90751462570756</v>
      </c>
      <c r="S241" s="840" t="e">
        <f>+#REF!/(S56+('B-FCE'!#REF!*0.25))</f>
        <v>#REF!</v>
      </c>
      <c r="T241" s="3786">
        <v>505.09740097390755</v>
      </c>
      <c r="U241" s="840" t="e">
        <f>+#REF!/(U56+('B-FCE'!#REF!*0.25))</f>
        <v>#REF!</v>
      </c>
      <c r="V241" s="3786">
        <v>450.40555628242163</v>
      </c>
      <c r="W241" s="858" t="e">
        <f>+#REF!/(W56+('B-FCE'!#REF!*0.25))</f>
        <v>#REF!</v>
      </c>
      <c r="X241" s="840" t="e">
        <f>+#REF!/(X56+('B-FCE'!#REF!*0.25))</f>
        <v>#REF!</v>
      </c>
      <c r="Y241" s="3786">
        <v>453.2</v>
      </c>
      <c r="Z241" s="840" t="e">
        <f>+#REF!/(Z56+('B-FCE'!#REF!*0.25))</f>
        <v>#REF!</v>
      </c>
      <c r="AA241" s="3786">
        <v>480.84</v>
      </c>
      <c r="AB241" s="840" t="e">
        <f>+#REF!/(AB56+('B-FCE'!#REF!*0.25))</f>
        <v>#REF!</v>
      </c>
      <c r="AC241" s="3786">
        <v>552.41429903325877</v>
      </c>
      <c r="AD241" s="858" t="e">
        <f>+#REF!/(AD56+('B-FCE'!#REF!*0.25))</f>
        <v>#REF!</v>
      </c>
      <c r="AE241" s="859" t="e">
        <f>+#REF!/(AE56+('B-FCE'!#REF!*0.25))</f>
        <v>#REF!</v>
      </c>
      <c r="AF241" s="840" t="e">
        <f>+#REF!/(AF56+('B-FCE'!#REF!*0.25))</f>
        <v>#REF!</v>
      </c>
    </row>
    <row r="242" spans="4:32" ht="35" customHeight="1" x14ac:dyDescent="0.35">
      <c r="D242" s="665"/>
      <c r="E242" s="818" t="s">
        <v>50</v>
      </c>
      <c r="F242" s="3787">
        <v>613.97358927286064</v>
      </c>
      <c r="G242" s="3787">
        <v>628.42999999999995</v>
      </c>
      <c r="H242" s="829">
        <f>H1501/H49</f>
        <v>621.42942181376736</v>
      </c>
      <c r="I242" s="3787">
        <v>584.14</v>
      </c>
      <c r="J242" s="815">
        <f>J1501/J49</f>
        <v>608.05704160719461</v>
      </c>
      <c r="K242" s="3787">
        <v>566.85</v>
      </c>
      <c r="L242" s="814">
        <f>L1501/L49</f>
        <v>0</v>
      </c>
      <c r="M242" s="3787">
        <v>498.62427231263905</v>
      </c>
      <c r="N242" s="829" t="e">
        <f>+#REF!/N49</f>
        <v>#REF!</v>
      </c>
      <c r="O242" s="3787">
        <v>578.3016372241849</v>
      </c>
      <c r="P242" s="828" t="e">
        <f>+#REF!/P49</f>
        <v>#REF!</v>
      </c>
      <c r="Q242" s="852" t="e">
        <f>+#REF!/Q49</f>
        <v>#REF!</v>
      </c>
      <c r="R242" s="3787">
        <v>543.67379979148086</v>
      </c>
      <c r="S242" s="829" t="e">
        <f>+#REF!/S49</f>
        <v>#REF!</v>
      </c>
      <c r="T242" s="3787">
        <v>525.26138594288761</v>
      </c>
      <c r="U242" s="829" t="e">
        <f>+#REF!/U49</f>
        <v>#REF!</v>
      </c>
      <c r="V242" s="3787">
        <v>465.82859157991334</v>
      </c>
      <c r="W242" s="828" t="e">
        <f>+#REF!/W49</f>
        <v>#REF!</v>
      </c>
      <c r="X242" s="829" t="e">
        <f>+#REF!/X49</f>
        <v>#REF!</v>
      </c>
      <c r="Y242" s="3787">
        <v>462.10444695097073</v>
      </c>
      <c r="Z242" s="829" t="e">
        <f>+#REF!/Z49</f>
        <v>#REF!</v>
      </c>
      <c r="AA242" s="3787">
        <v>472.67</v>
      </c>
      <c r="AB242" s="829" t="e">
        <f>+#REF!/AB49</f>
        <v>#REF!</v>
      </c>
      <c r="AC242" s="3787">
        <v>519.09853093513982</v>
      </c>
      <c r="AD242" s="828" t="e">
        <f>+#REF!/AD49</f>
        <v>#REF!</v>
      </c>
      <c r="AE242" s="852" t="e">
        <f>+#REF!/AE49</f>
        <v>#REF!</v>
      </c>
      <c r="AF242" s="829" t="e">
        <f>+#REF!/AF49</f>
        <v>#REF!</v>
      </c>
    </row>
    <row r="243" spans="4:32" ht="35" customHeight="1" x14ac:dyDescent="0.35">
      <c r="D243" s="665"/>
      <c r="E243" s="819" t="s">
        <v>418</v>
      </c>
      <c r="F243" s="3769"/>
      <c r="G243" s="3769"/>
      <c r="H243" s="3599"/>
      <c r="I243" s="3769"/>
      <c r="J243" s="3598"/>
      <c r="K243" s="3769"/>
      <c r="L243" s="3598"/>
      <c r="M243" s="3769"/>
      <c r="N243" s="664"/>
      <c r="O243" s="3769"/>
      <c r="P243" s="663"/>
      <c r="Q243" s="663"/>
      <c r="R243" s="3769"/>
      <c r="S243" s="663"/>
      <c r="T243" s="3769"/>
      <c r="U243" s="663"/>
      <c r="V243" s="3769"/>
      <c r="W243" s="663"/>
      <c r="X243" s="663"/>
      <c r="Y243" s="3769"/>
      <c r="Z243" s="663"/>
      <c r="AA243" s="3769"/>
      <c r="AB243" s="282"/>
      <c r="AC243" s="3769"/>
      <c r="AD243" s="282"/>
      <c r="AE243" s="663"/>
      <c r="AF243" s="663"/>
    </row>
    <row r="244" spans="4:32" ht="35" customHeight="1" x14ac:dyDescent="0.4">
      <c r="D244" s="665"/>
      <c r="E244" s="820" t="s">
        <v>532</v>
      </c>
      <c r="F244" s="3401">
        <v>104325</v>
      </c>
      <c r="G244" s="3401">
        <v>105300</v>
      </c>
      <c r="H244" s="821">
        <f>SUM(F244:G244)</f>
        <v>209625</v>
      </c>
      <c r="I244" s="3401">
        <v>96720</v>
      </c>
      <c r="J244" s="670">
        <f>SUM(H244:I244)</f>
        <v>306345</v>
      </c>
      <c r="K244" s="3401"/>
      <c r="L244" s="821">
        <f>SUM(J244:K244)</f>
        <v>306345</v>
      </c>
      <c r="M244" s="3401">
        <v>145080</v>
      </c>
      <c r="N244" s="821">
        <f>SUM(L244:M244)</f>
        <v>451425</v>
      </c>
      <c r="O244" s="3401">
        <v>145080</v>
      </c>
      <c r="P244" s="2868">
        <f t="shared" ref="P244:P246" si="704">+K244+M244+O244</f>
        <v>290160</v>
      </c>
      <c r="Q244" s="849">
        <f t="shared" ref="Q244:Q250" si="705">+N244+O244</f>
        <v>596505</v>
      </c>
      <c r="R244" s="3401">
        <v>140400</v>
      </c>
      <c r="S244" s="821">
        <f>SUM(Q244:R244)</f>
        <v>736905</v>
      </c>
      <c r="T244" s="3401">
        <v>143520</v>
      </c>
      <c r="U244" s="821">
        <f>SUM(S244:T244)</f>
        <v>880425</v>
      </c>
      <c r="V244" s="3401">
        <v>117390</v>
      </c>
      <c r="W244" s="1193">
        <f>+R244+T244+V244</f>
        <v>401310</v>
      </c>
      <c r="X244" s="714">
        <f>+U244+V244</f>
        <v>997815</v>
      </c>
      <c r="Y244" s="3401">
        <v>114855</v>
      </c>
      <c r="Z244" s="821">
        <f>SUM(X244:Y244)</f>
        <v>1112670</v>
      </c>
      <c r="AA244" s="3401">
        <v>108810</v>
      </c>
      <c r="AB244" s="821">
        <f>SUM(Z244:AA244)</f>
        <v>1221480</v>
      </c>
      <c r="AC244" s="3401">
        <v>102765</v>
      </c>
      <c r="AD244" s="715">
        <f t="shared" ref="AD244:AD246" si="706">+Y244+AA244+AC244</f>
        <v>326430</v>
      </c>
      <c r="AE244" s="850">
        <f t="shared" ref="AE244:AE246" si="707">+W244+AD244</f>
        <v>727740</v>
      </c>
      <c r="AF244" s="2582">
        <f t="shared" ref="AF244:AF250" si="708">+AB244+AC244</f>
        <v>1324245</v>
      </c>
    </row>
    <row r="245" spans="4:32" ht="35" customHeight="1" x14ac:dyDescent="0.4">
      <c r="D245" s="665"/>
      <c r="E245" s="820" t="s">
        <v>533</v>
      </c>
      <c r="F245" s="3401">
        <v>288332</v>
      </c>
      <c r="G245" s="3401">
        <v>283560</v>
      </c>
      <c r="H245" s="822">
        <f>SUM(F245:G245)</f>
        <v>571892</v>
      </c>
      <c r="I245" s="3401">
        <v>293012</v>
      </c>
      <c r="J245" s="685">
        <f>SUM(H245:I245)</f>
        <v>864904</v>
      </c>
      <c r="K245" s="3401"/>
      <c r="L245" s="821">
        <f>SUM(J245:K245)</f>
        <v>864904</v>
      </c>
      <c r="M245" s="3401">
        <v>293012</v>
      </c>
      <c r="N245" s="821">
        <f t="shared" ref="N245:N246" si="709">SUM(L245:M245)</f>
        <v>1157916</v>
      </c>
      <c r="O245" s="3401">
        <v>293012</v>
      </c>
      <c r="P245" s="2868">
        <f t="shared" si="704"/>
        <v>586024</v>
      </c>
      <c r="Q245" s="849">
        <f t="shared" si="705"/>
        <v>1450928</v>
      </c>
      <c r="R245" s="3401">
        <v>283560</v>
      </c>
      <c r="S245" s="821">
        <f>SUM(Q245:R245)</f>
        <v>1734488</v>
      </c>
      <c r="T245" s="3401">
        <v>290132</v>
      </c>
      <c r="U245" s="821">
        <f>SUM(S245:T245)</f>
        <v>2024620</v>
      </c>
      <c r="V245" s="3401">
        <v>280680</v>
      </c>
      <c r="W245" s="1193">
        <f>+R245+T245+V245</f>
        <v>854372</v>
      </c>
      <c r="X245" s="714">
        <f>+U245+V245</f>
        <v>2305300</v>
      </c>
      <c r="Y245" s="3401">
        <v>290132</v>
      </c>
      <c r="Z245" s="821">
        <f>SUM(X245:Y245)</f>
        <v>2595432</v>
      </c>
      <c r="AA245" s="3401">
        <v>293060</v>
      </c>
      <c r="AB245" s="821">
        <f>SUM(Z245:AA245)</f>
        <v>2888492</v>
      </c>
      <c r="AC245" s="3401">
        <v>274108</v>
      </c>
      <c r="AD245" s="715">
        <f t="shared" si="706"/>
        <v>857300</v>
      </c>
      <c r="AE245" s="850">
        <f t="shared" si="707"/>
        <v>1711672</v>
      </c>
      <c r="AF245" s="2582">
        <f t="shared" si="708"/>
        <v>3162600</v>
      </c>
    </row>
    <row r="246" spans="4:32" ht="35" customHeight="1" x14ac:dyDescent="0.4">
      <c r="D246" s="665"/>
      <c r="E246" s="823" t="s">
        <v>534</v>
      </c>
      <c r="F246" s="824">
        <f>SUM(F244:F245)</f>
        <v>392657</v>
      </c>
      <c r="G246" s="824">
        <f>SUM(G244:G245)</f>
        <v>388860</v>
      </c>
      <c r="H246" s="821">
        <f>SUM(H244:H245)</f>
        <v>781517</v>
      </c>
      <c r="I246" s="824">
        <f>SUM(I244:I245)</f>
        <v>389732</v>
      </c>
      <c r="J246" s="687">
        <f>SUM(H246:I246)</f>
        <v>1171249</v>
      </c>
      <c r="K246" s="824">
        <f>SUM(K244:K245)</f>
        <v>0</v>
      </c>
      <c r="L246" s="686">
        <f>SUM(J246:K246)</f>
        <v>1171249</v>
      </c>
      <c r="M246" s="824">
        <f>SUM(M244:M245)</f>
        <v>438092</v>
      </c>
      <c r="N246" s="821">
        <f t="shared" si="709"/>
        <v>1609341</v>
      </c>
      <c r="O246" s="824">
        <f>SUM(O244:O245)</f>
        <v>438092</v>
      </c>
      <c r="P246" s="713">
        <f t="shared" si="704"/>
        <v>876184</v>
      </c>
      <c r="Q246" s="849">
        <f t="shared" si="705"/>
        <v>2047433</v>
      </c>
      <c r="R246" s="824">
        <f>SUM(R244:R245)</f>
        <v>423960</v>
      </c>
      <c r="S246" s="821">
        <f t="shared" ref="S246:Z246" si="710">SUM(S244:S245)</f>
        <v>2471393</v>
      </c>
      <c r="T246" s="824">
        <f>SUM(T244:T245)</f>
        <v>433652</v>
      </c>
      <c r="U246" s="821">
        <f t="shared" si="710"/>
        <v>2905045</v>
      </c>
      <c r="V246" s="824">
        <f>SUM(V244:V245)</f>
        <v>398070</v>
      </c>
      <c r="W246" s="1193">
        <f t="shared" si="710"/>
        <v>1255682</v>
      </c>
      <c r="X246" s="714">
        <f t="shared" si="710"/>
        <v>3303115</v>
      </c>
      <c r="Y246" s="824">
        <f>SUM(Y244:Y245)</f>
        <v>404987</v>
      </c>
      <c r="Z246" s="821">
        <f t="shared" si="710"/>
        <v>3708102</v>
      </c>
      <c r="AA246" s="824">
        <f>SUM(AA244:AA245)</f>
        <v>401870</v>
      </c>
      <c r="AB246" s="714">
        <f t="shared" ref="AB246" si="711">SUM(AB244:AB245)</f>
        <v>4109972</v>
      </c>
      <c r="AC246" s="824">
        <f>SUM(AC244:AC245)</f>
        <v>376873</v>
      </c>
      <c r="AD246" s="715">
        <f t="shared" si="706"/>
        <v>1183730</v>
      </c>
      <c r="AE246" s="850">
        <f t="shared" si="707"/>
        <v>2439412</v>
      </c>
      <c r="AF246" s="2582">
        <f t="shared" si="708"/>
        <v>4486845</v>
      </c>
    </row>
    <row r="247" spans="4:32" ht="35" customHeight="1" x14ac:dyDescent="0.35">
      <c r="D247" s="665"/>
      <c r="E247" s="819" t="s">
        <v>419</v>
      </c>
      <c r="F247" s="3769"/>
      <c r="G247" s="3769"/>
      <c r="H247" s="3598"/>
      <c r="I247" s="3769"/>
      <c r="J247" s="3598"/>
      <c r="K247" s="3769"/>
      <c r="L247" s="3598"/>
      <c r="M247" s="3769"/>
      <c r="N247" s="3598"/>
      <c r="O247" s="3769"/>
      <c r="P247" s="664"/>
      <c r="Q247" s="663"/>
      <c r="R247" s="3769"/>
      <c r="S247" s="663"/>
      <c r="T247" s="3769"/>
      <c r="U247" s="663"/>
      <c r="V247" s="3769"/>
      <c r="W247" s="663"/>
      <c r="X247" s="663"/>
      <c r="Y247" s="3769"/>
      <c r="Z247" s="663"/>
      <c r="AA247" s="3769"/>
      <c r="AB247" s="663"/>
      <c r="AC247" s="3769"/>
      <c r="AD247" s="663"/>
      <c r="AE247" s="663"/>
      <c r="AF247" s="663"/>
    </row>
    <row r="248" spans="4:32" ht="35" customHeight="1" x14ac:dyDescent="0.4">
      <c r="D248" s="665"/>
      <c r="E248" s="820" t="s">
        <v>532</v>
      </c>
      <c r="F248" s="3401">
        <v>1130900</v>
      </c>
      <c r="G248" s="3401">
        <v>1171400</v>
      </c>
      <c r="H248" s="821">
        <f>SUM(F248:G248)</f>
        <v>2302300</v>
      </c>
      <c r="I248" s="3401">
        <v>1156410</v>
      </c>
      <c r="J248" s="687">
        <f>SUM(H248:I248)</f>
        <v>3458710</v>
      </c>
      <c r="K248" s="3401"/>
      <c r="L248" s="686">
        <f>SUM(J248:K248)</f>
        <v>3458710</v>
      </c>
      <c r="M248" s="3401">
        <v>1340200</v>
      </c>
      <c r="N248" s="821">
        <f>SUM(L248:M248)</f>
        <v>4798910</v>
      </c>
      <c r="O248" s="3401">
        <v>1288600</v>
      </c>
      <c r="P248" s="2868">
        <f t="shared" ref="P248:P250" si="712">+K248+M248+O248</f>
        <v>2628800</v>
      </c>
      <c r="Q248" s="849">
        <f t="shared" si="705"/>
        <v>6087510</v>
      </c>
      <c r="R248" s="3401">
        <v>1365400</v>
      </c>
      <c r="S248" s="821">
        <f>SUM(Q248:R248)</f>
        <v>7452910</v>
      </c>
      <c r="T248" s="3401">
        <v>1228650</v>
      </c>
      <c r="U248" s="821">
        <f>SUM(S248:T248)</f>
        <v>8681560</v>
      </c>
      <c r="V248" s="3401">
        <v>1288300</v>
      </c>
      <c r="W248" s="721">
        <f>+R248+T248+V248</f>
        <v>3882350</v>
      </c>
      <c r="X248" s="714">
        <f>+U248+V248</f>
        <v>9969860</v>
      </c>
      <c r="Y248" s="3401">
        <v>1361100</v>
      </c>
      <c r="Z248" s="821">
        <f>SUM(X248:Y248)</f>
        <v>11330960</v>
      </c>
      <c r="AA248" s="3401">
        <v>1188600</v>
      </c>
      <c r="AB248" s="821">
        <f>SUM(Z248:AA248)</f>
        <v>12519560</v>
      </c>
      <c r="AC248" s="3401">
        <v>1189400</v>
      </c>
      <c r="AD248" s="715">
        <f t="shared" ref="AD248:AD250" si="713">+Y248+AA248+AC248</f>
        <v>3739100</v>
      </c>
      <c r="AE248" s="850">
        <f t="shared" ref="AE248:AE250" si="714">+W248+AD248</f>
        <v>7621450</v>
      </c>
      <c r="AF248" s="2582">
        <f t="shared" si="708"/>
        <v>13708960</v>
      </c>
    </row>
    <row r="249" spans="4:32" ht="35" customHeight="1" x14ac:dyDescent="0.4">
      <c r="D249" s="665"/>
      <c r="E249" s="820" t="s">
        <v>533</v>
      </c>
      <c r="F249" s="3401">
        <v>81500</v>
      </c>
      <c r="G249" s="3401">
        <v>85300</v>
      </c>
      <c r="H249" s="821">
        <f>SUM(F249:G249)</f>
        <v>166800</v>
      </c>
      <c r="I249" s="3401">
        <v>80490</v>
      </c>
      <c r="J249" s="687">
        <f>SUM(H249:I249)</f>
        <v>247290</v>
      </c>
      <c r="K249" s="3401"/>
      <c r="L249" s="686">
        <f>SUM(J249:K249)</f>
        <v>247290</v>
      </c>
      <c r="M249" s="3401">
        <v>89600</v>
      </c>
      <c r="N249" s="821">
        <f>SUM(L249:M249)</f>
        <v>336890</v>
      </c>
      <c r="O249" s="3401">
        <v>110200</v>
      </c>
      <c r="P249" s="2868">
        <f t="shared" si="712"/>
        <v>199800</v>
      </c>
      <c r="Q249" s="849">
        <f t="shared" si="705"/>
        <v>447090</v>
      </c>
      <c r="R249" s="3401">
        <v>84700</v>
      </c>
      <c r="S249" s="821">
        <f>SUM(Q249:R249)</f>
        <v>531790</v>
      </c>
      <c r="T249" s="3401">
        <v>82850</v>
      </c>
      <c r="U249" s="821">
        <f>SUM(S249:T249)</f>
        <v>614640</v>
      </c>
      <c r="V249" s="3401">
        <v>88000</v>
      </c>
      <c r="W249" s="721">
        <f>+R249+T249+V249</f>
        <v>255550</v>
      </c>
      <c r="X249" s="714">
        <f>+U249+V249</f>
        <v>702640</v>
      </c>
      <c r="Y249" s="3401">
        <v>88700</v>
      </c>
      <c r="Z249" s="821">
        <f>SUM(X249:Y249)</f>
        <v>791340</v>
      </c>
      <c r="AA249" s="3401">
        <v>81100</v>
      </c>
      <c r="AB249" s="821">
        <f>SUM(Z249:AA249)</f>
        <v>872440</v>
      </c>
      <c r="AC249" s="3401">
        <v>85300</v>
      </c>
      <c r="AD249" s="715">
        <f t="shared" si="713"/>
        <v>255100</v>
      </c>
      <c r="AE249" s="850">
        <f t="shared" si="714"/>
        <v>510650</v>
      </c>
      <c r="AF249" s="2582">
        <f t="shared" si="708"/>
        <v>957740</v>
      </c>
    </row>
    <row r="250" spans="4:32" ht="35" customHeight="1" x14ac:dyDescent="0.4">
      <c r="D250" s="665"/>
      <c r="E250" s="823" t="s">
        <v>534</v>
      </c>
      <c r="F250" s="824">
        <f t="shared" ref="F250:G250" si="715">SUM(F248:F249)</f>
        <v>1212400</v>
      </c>
      <c r="G250" s="824">
        <f t="shared" si="715"/>
        <v>1256700</v>
      </c>
      <c r="H250" s="684">
        <f t="shared" ref="H250:L250" si="716">SUM(H248:H249)</f>
        <v>2469100</v>
      </c>
      <c r="I250" s="824">
        <f t="shared" si="716"/>
        <v>1236900</v>
      </c>
      <c r="J250" s="825">
        <f t="shared" si="716"/>
        <v>3706000</v>
      </c>
      <c r="K250" s="824">
        <f t="shared" si="716"/>
        <v>0</v>
      </c>
      <c r="L250" s="686">
        <f t="shared" si="716"/>
        <v>3706000</v>
      </c>
      <c r="M250" s="824">
        <f t="shared" ref="M250:O250" si="717">SUM(M248:M249)</f>
        <v>1429800</v>
      </c>
      <c r="N250" s="821">
        <f>SUM(N248:N249)</f>
        <v>5135800</v>
      </c>
      <c r="O250" s="824">
        <f t="shared" si="717"/>
        <v>1398800</v>
      </c>
      <c r="P250" s="713">
        <f t="shared" si="712"/>
        <v>2828600</v>
      </c>
      <c r="Q250" s="849">
        <f t="shared" si="705"/>
        <v>6534600</v>
      </c>
      <c r="R250" s="824">
        <f t="shared" ref="R250" si="718">SUM(R248:R249)</f>
        <v>1450100</v>
      </c>
      <c r="S250" s="821">
        <f>SUM(S248:S249)</f>
        <v>7984700</v>
      </c>
      <c r="T250" s="824">
        <f t="shared" ref="T250" si="719">SUM(T248:T249)</f>
        <v>1311500</v>
      </c>
      <c r="U250" s="821">
        <f>SUM(U248:U249)</f>
        <v>9296200</v>
      </c>
      <c r="V250" s="824">
        <f t="shared" ref="V250" si="720">SUM(V248:V249)</f>
        <v>1376300</v>
      </c>
      <c r="W250" s="670">
        <f t="shared" ref="W250:Y250" si="721">SUM(W248:W249)</f>
        <v>4137900</v>
      </c>
      <c r="X250" s="821">
        <f t="shared" si="721"/>
        <v>10672500</v>
      </c>
      <c r="Y250" s="824">
        <f t="shared" si="721"/>
        <v>1449800</v>
      </c>
      <c r="Z250" s="821">
        <f>SUM(Z248:Z249)</f>
        <v>12122300</v>
      </c>
      <c r="AA250" s="824">
        <f t="shared" ref="AA250" si="722">SUM(AA248:AA249)</f>
        <v>1269700</v>
      </c>
      <c r="AB250" s="821">
        <f>SUM(AB248:AB249)</f>
        <v>13392000</v>
      </c>
      <c r="AC250" s="824">
        <f t="shared" ref="AC250" si="723">SUM(AC248:AC249)</f>
        <v>1274700</v>
      </c>
      <c r="AD250" s="715">
        <f t="shared" si="713"/>
        <v>3994200</v>
      </c>
      <c r="AE250" s="850">
        <f t="shared" si="714"/>
        <v>8132100</v>
      </c>
      <c r="AF250" s="2582">
        <f t="shared" si="708"/>
        <v>14666700</v>
      </c>
    </row>
    <row r="251" spans="4:32" ht="35" customHeight="1" x14ac:dyDescent="0.35">
      <c r="D251" s="665"/>
      <c r="E251" s="819" t="s">
        <v>420</v>
      </c>
      <c r="F251" s="3769"/>
      <c r="G251" s="3769"/>
      <c r="H251" s="3598"/>
      <c r="I251" s="3769"/>
      <c r="J251" s="3598"/>
      <c r="K251" s="3769"/>
      <c r="L251" s="3598"/>
      <c r="M251" s="3769"/>
      <c r="N251" s="3770"/>
      <c r="O251" s="3769"/>
      <c r="P251" s="664"/>
      <c r="Q251" s="664"/>
      <c r="R251" s="3769"/>
      <c r="S251" s="664"/>
      <c r="T251" s="3769"/>
      <c r="U251" s="664"/>
      <c r="V251" s="3769"/>
      <c r="W251" s="664"/>
      <c r="X251" s="664"/>
      <c r="Y251" s="3769"/>
      <c r="Z251" s="664"/>
      <c r="AA251" s="3769"/>
      <c r="AB251" s="664"/>
      <c r="AC251" s="3769"/>
      <c r="AD251" s="664"/>
      <c r="AE251" s="664"/>
      <c r="AF251" s="664"/>
    </row>
    <row r="252" spans="4:32" ht="35" customHeight="1" x14ac:dyDescent="0.25">
      <c r="D252" s="665"/>
      <c r="E252" s="826" t="s">
        <v>111</v>
      </c>
      <c r="F252" s="3302">
        <v>5.83</v>
      </c>
      <c r="G252" s="3302">
        <v>5.81</v>
      </c>
      <c r="H252" s="829">
        <f>+((F252*F49)+(G252*G49))/H49</f>
        <v>5.8198098977598214</v>
      </c>
      <c r="I252" s="3302">
        <v>5.23</v>
      </c>
      <c r="J252" s="828">
        <f>+((H252*H49)+(I252*I49))/J49</f>
        <v>5.6082959630344282</v>
      </c>
      <c r="K252" s="3302"/>
      <c r="L252" s="866">
        <f>+((J252*J49)+(K252*K49))/L49</f>
        <v>4.0301739271838386</v>
      </c>
      <c r="M252" s="3302">
        <v>4.42</v>
      </c>
      <c r="N252" s="829">
        <f>+((L252*L49)+(M252*M49))/N49</f>
        <v>4.1319796629701218</v>
      </c>
      <c r="O252" s="3302">
        <v>5.72</v>
      </c>
      <c r="P252" s="828">
        <f>+((K252*K49)+(M252*M49)+(O252*O49))/P49</f>
        <v>3.4137551185077051</v>
      </c>
      <c r="Q252" s="852">
        <f>+((N252*N49)+(O252*O49))/Q49</f>
        <v>4.3897739447182351</v>
      </c>
      <c r="R252" s="3302">
        <v>5.26</v>
      </c>
      <c r="S252" s="829">
        <f>+((Q252*Q49)+(R252*R49))/S49</f>
        <v>4.5270889768910729</v>
      </c>
      <c r="T252" s="3302">
        <v>4.6500000000000004</v>
      </c>
      <c r="U252" s="829">
        <f>+((S252*S49)+(T252*T49))/U49</f>
        <v>4.5440828158845905</v>
      </c>
      <c r="V252" s="3302">
        <v>4.1500000000000004</v>
      </c>
      <c r="W252" s="828">
        <f>+((R252*R49)+(T252*T49)+(V252*V49))/W49</f>
        <v>4.6537869332024391</v>
      </c>
      <c r="X252" s="829">
        <f>+((U252*U49)+(V252*V49))/X49</f>
        <v>4.4889720443793202</v>
      </c>
      <c r="Y252" s="3302">
        <v>4.45</v>
      </c>
      <c r="Z252" s="829">
        <f>+((X252*X49)+(Y252*Y49))/Z49</f>
        <v>4.4841635003055815</v>
      </c>
      <c r="AA252" s="3302">
        <v>4.0199999999999996</v>
      </c>
      <c r="AB252" s="829">
        <f>+((Z252*Z49)+(AA252*AA49))/AB49</f>
        <v>4.4356691295641033</v>
      </c>
      <c r="AC252" s="3302">
        <v>4.3099999999999996</v>
      </c>
      <c r="AD252" s="828">
        <f>+((Y252*$Y$49)+(AA252*$AA$49)+(AC252*$AC$49))/$AD$49</f>
        <v>4.2625501069933422</v>
      </c>
      <c r="AE252" s="852">
        <f>+((W252*$W$49)+(AD252*$AD$49))/$AE$49</f>
        <v>4.4525130733276175</v>
      </c>
      <c r="AF252" s="2605">
        <f>+((AB252*$AB$49)+(AC252*$AC$49))/$AF$49</f>
        <v>4.4244993930983298</v>
      </c>
    </row>
    <row r="253" spans="4:32" ht="35" customHeight="1" x14ac:dyDescent="0.25">
      <c r="D253" s="665"/>
      <c r="E253" s="832" t="s">
        <v>129</v>
      </c>
      <c r="F253" s="1491">
        <f t="shared" ref="F253:G253" si="724">+F845</f>
        <v>95.037180955253845</v>
      </c>
      <c r="G253" s="1491">
        <f t="shared" si="724"/>
        <v>95.693367333867855</v>
      </c>
      <c r="H253" s="833">
        <f t="shared" ref="H253:I253" si="725">+H845</f>
        <v>95.397969061858262</v>
      </c>
      <c r="I253" s="1491">
        <f t="shared" si="725"/>
        <v>95.952244183101826</v>
      </c>
      <c r="J253" s="834">
        <f t="shared" ref="J253:L253" si="726">+J845</f>
        <v>95.671260353549229</v>
      </c>
      <c r="K253" s="1491" t="e">
        <f t="shared" si="726"/>
        <v>#DIV/0!</v>
      </c>
      <c r="L253" s="833">
        <f t="shared" si="726"/>
        <v>95.671260353549229</v>
      </c>
      <c r="M253" s="1491">
        <f t="shared" ref="M253:O253" si="727">+M845</f>
        <v>96.219579283183961</v>
      </c>
      <c r="N253" s="833">
        <f t="shared" ref="N253" si="728">+N845</f>
        <v>35.715060755545366</v>
      </c>
      <c r="O253" s="1491">
        <f t="shared" si="727"/>
        <v>96.036888447831757</v>
      </c>
      <c r="P253" s="834">
        <f t="shared" ref="P253" si="729">+P845</f>
        <v>96.133714168600918</v>
      </c>
      <c r="Q253" s="853">
        <f t="shared" ref="Q253:R253" si="730">+Q845</f>
        <v>50.653646166558254</v>
      </c>
      <c r="R253" s="1491">
        <f t="shared" si="730"/>
        <v>95.930719745589784</v>
      </c>
      <c r="S253" s="833">
        <f t="shared" ref="S253:T253" si="731">+S845</f>
        <v>58.109742287764057</v>
      </c>
      <c r="T253" s="1491">
        <f t="shared" si="731"/>
        <v>96.373724092008644</v>
      </c>
      <c r="U253" s="833">
        <f t="shared" ref="U253:V253" si="732">+U845</f>
        <v>65.879920132636443</v>
      </c>
      <c r="V253" s="1491">
        <f t="shared" si="732"/>
        <v>96.15449783722579</v>
      </c>
      <c r="W253" s="834">
        <f t="shared" ref="W253:Y253" si="733">+W845</f>
        <v>96.184238489924454</v>
      </c>
      <c r="X253" s="833">
        <f t="shared" si="733"/>
        <v>70.391021254343229</v>
      </c>
      <c r="Y253" s="1491">
        <f t="shared" si="733"/>
        <v>96.252955927446621</v>
      </c>
      <c r="Z253" s="833">
        <f t="shared" ref="Z253:AA253" si="734">+Z845</f>
        <v>73.753979672390244</v>
      </c>
      <c r="AA253" s="1491">
        <f t="shared" si="734"/>
        <v>96.189654921536174</v>
      </c>
      <c r="AB253" s="833">
        <f t="shared" ref="AB253:AC253" si="735">+AB845</f>
        <v>76.472655304730679</v>
      </c>
      <c r="AC253" s="1491">
        <f t="shared" si="735"/>
        <v>96.185435251287757</v>
      </c>
      <c r="AD253" s="834">
        <f t="shared" ref="AD253:AF253" si="736">+AD845</f>
        <v>96.20940228704282</v>
      </c>
      <c r="AE253" s="853">
        <f t="shared" si="736"/>
        <v>96.197041429640507</v>
      </c>
      <c r="AF253" s="2606">
        <f t="shared" si="736"/>
        <v>78.391344843137801</v>
      </c>
    </row>
    <row r="254" spans="4:32" ht="35" customHeight="1" x14ac:dyDescent="0.25">
      <c r="D254" s="665"/>
      <c r="E254" s="835" t="s">
        <v>318</v>
      </c>
      <c r="F254" s="1491">
        <f t="shared" ref="F254:G254" si="737">+F965</f>
        <v>92.398990072402583</v>
      </c>
      <c r="G254" s="1491">
        <f t="shared" si="737"/>
        <v>95.462721113331924</v>
      </c>
      <c r="H254" s="833">
        <f t="shared" ref="H254:I254" si="738">+H965</f>
        <v>94.971794659760548</v>
      </c>
      <c r="I254" s="1491">
        <f t="shared" si="738"/>
        <v>94.819005973523502</v>
      </c>
      <c r="J254" s="834">
        <f t="shared" ref="J254:L254" si="739">+J965</f>
        <v>94.913213811383429</v>
      </c>
      <c r="K254" s="1491" t="e">
        <f t="shared" si="739"/>
        <v>#DIV/0!</v>
      </c>
      <c r="L254" s="833">
        <f t="shared" si="739"/>
        <v>94.913213811383429</v>
      </c>
      <c r="M254" s="1491">
        <f t="shared" ref="M254:O254" si="740">+M965</f>
        <v>96.221540164021846</v>
      </c>
      <c r="N254" s="833">
        <f t="shared" ref="N254" si="741">+N965</f>
        <v>95.462778802875675</v>
      </c>
      <c r="O254" s="1491">
        <f t="shared" si="740"/>
        <v>95.489562315944823</v>
      </c>
      <c r="P254" s="834">
        <f t="shared" ref="P254" si="742">+P965</f>
        <v>95.984743658761047</v>
      </c>
      <c r="Q254" s="853">
        <f t="shared" ref="Q254:R254" si="743">+Q965</f>
        <v>49.629857943828064</v>
      </c>
      <c r="R254" s="1491">
        <f t="shared" si="743"/>
        <v>96.119925579291206</v>
      </c>
      <c r="S254" s="833">
        <f t="shared" ref="S254:T254" si="744">+S965</f>
        <v>61.697054680876448</v>
      </c>
      <c r="T254" s="1491">
        <f t="shared" si="744"/>
        <v>96.003466369549272</v>
      </c>
      <c r="U254" s="833">
        <f t="shared" ref="U254:V254" si="745">+U965</f>
        <v>67.705000560522066</v>
      </c>
      <c r="V254" s="1491">
        <f t="shared" si="745"/>
        <v>96.086946056859531</v>
      </c>
      <c r="W254" s="834">
        <f t="shared" ref="W254:Y254" si="746">+W965</f>
        <v>96.074109007994693</v>
      </c>
      <c r="X254" s="833">
        <f t="shared" si="746"/>
        <v>72.426478204161455</v>
      </c>
      <c r="Y254" s="1491">
        <f t="shared" si="746"/>
        <v>96.094571697376125</v>
      </c>
      <c r="Z254" s="833">
        <f t="shared" ref="Z254:AA254" si="747">+Z965</f>
        <v>75.411942458744747</v>
      </c>
      <c r="AA254" s="1491">
        <f t="shared" si="747"/>
        <v>96.239230142173867</v>
      </c>
      <c r="AB254" s="833">
        <f t="shared" ref="AB254:AC254" si="748">+AB965</f>
        <v>78.225072910218131</v>
      </c>
      <c r="AC254" s="1491">
        <f t="shared" si="748"/>
        <v>96.050577225846368</v>
      </c>
      <c r="AD254" s="834">
        <f t="shared" ref="AD254:AF254" si="749">+AD965</f>
        <v>96.134751008612966</v>
      </c>
      <c r="AE254" s="853">
        <f t="shared" si="749"/>
        <v>96.10396341135467</v>
      </c>
      <c r="AF254" s="2606">
        <f t="shared" si="749"/>
        <v>80.071807934742523</v>
      </c>
    </row>
    <row r="255" spans="4:32" ht="35" customHeight="1" x14ac:dyDescent="0.25">
      <c r="D255" s="665"/>
      <c r="E255" s="835" t="s">
        <v>401</v>
      </c>
      <c r="F255" s="1492" t="e">
        <f t="shared" ref="F255:G255" si="750">+F1076</f>
        <v>#DIV/0!</v>
      </c>
      <c r="G255" s="1492" t="e">
        <f t="shared" si="750"/>
        <v>#DIV/0!</v>
      </c>
      <c r="H255" s="1524" t="e">
        <f>+H1076</f>
        <v>#DIV/0!</v>
      </c>
      <c r="I255" s="1492" t="e">
        <f t="shared" ref="I255" si="751">+I1076</f>
        <v>#DIV/0!</v>
      </c>
      <c r="J255" s="854" t="e">
        <f>+J1076</f>
        <v>#DIV/0!</v>
      </c>
      <c r="K255" s="1492" t="e">
        <f t="shared" ref="K255" si="752">+K1076</f>
        <v>#DIV/0!</v>
      </c>
      <c r="L255" s="1524" t="e">
        <f t="shared" ref="L255" si="753">+L1076</f>
        <v>#DIV/0!</v>
      </c>
      <c r="M255" s="1492">
        <f t="shared" ref="M255" si="754">+M1076</f>
        <v>95.582121874563057</v>
      </c>
      <c r="N255" s="1524">
        <f t="shared" ref="N255:O255" si="755">+N1076</f>
        <v>95.582121874563057</v>
      </c>
      <c r="O255" s="1492">
        <f t="shared" si="755"/>
        <v>94.341055216309627</v>
      </c>
      <c r="P255" s="854">
        <f t="shared" ref="P255" si="756">+P1076</f>
        <v>95.384016405393979</v>
      </c>
      <c r="Q255" s="855">
        <f t="shared" ref="Q255:R255" si="757">+Q1076</f>
        <v>95.384016405393979</v>
      </c>
      <c r="R255" s="1492">
        <f t="shared" si="757"/>
        <v>95.27406421914678</v>
      </c>
      <c r="S255" s="836">
        <f t="shared" ref="S255:T255" si="758">+S1076</f>
        <v>95.335349760046469</v>
      </c>
      <c r="T255" s="1492">
        <f t="shared" si="758"/>
        <v>96.094020345899452</v>
      </c>
      <c r="U255" s="836">
        <f t="shared" ref="U255:V255" si="759">+U1076</f>
        <v>95.465604970105957</v>
      </c>
      <c r="V255" s="1492" t="e">
        <f t="shared" si="759"/>
        <v>#DIV/0!</v>
      </c>
      <c r="W255" s="854">
        <f t="shared" ref="W255:Y255" si="760">+W1076</f>
        <v>95.535579854715962</v>
      </c>
      <c r="X255" s="836">
        <f t="shared" si="760"/>
        <v>95.465604970105957</v>
      </c>
      <c r="Y255" s="1492">
        <f t="shared" si="760"/>
        <v>95.752443136135355</v>
      </c>
      <c r="Z255" s="836">
        <f t="shared" ref="Z255:AA255" si="761">+Z1076</f>
        <v>95.563207638333736</v>
      </c>
      <c r="AA255" s="1492">
        <f t="shared" si="761"/>
        <v>95.964933958938929</v>
      </c>
      <c r="AB255" s="836">
        <f t="shared" ref="AB255:AC255" si="762">+AB1076</f>
        <v>95.673429788312603</v>
      </c>
      <c r="AC255" s="1492">
        <f t="shared" si="762"/>
        <v>95.246221132913647</v>
      </c>
      <c r="AD255" s="854">
        <f t="shared" ref="AD255:AF255" si="763">+AD1076</f>
        <v>95.668222519236778</v>
      </c>
      <c r="AE255" s="855">
        <f t="shared" si="763"/>
        <v>95.634749117560531</v>
      </c>
      <c r="AF255" s="2607">
        <f t="shared" si="763"/>
        <v>95.590137163986782</v>
      </c>
    </row>
    <row r="256" spans="4:32" ht="35" customHeight="1" x14ac:dyDescent="0.25">
      <c r="D256" s="665"/>
      <c r="E256" s="808" t="s">
        <v>517</v>
      </c>
      <c r="F256" s="837">
        <f t="shared" ref="F256:G256" si="764">+F1289</f>
        <v>1115.0778083717476</v>
      </c>
      <c r="G256" s="837">
        <f t="shared" si="764"/>
        <v>1115.7755225125277</v>
      </c>
      <c r="H256" s="1523">
        <f t="shared" ref="H256:I256" si="765">+H1289</f>
        <v>1115.4332972931959</v>
      </c>
      <c r="I256" s="837">
        <f t="shared" si="765"/>
        <v>1122.0542535723494</v>
      </c>
      <c r="J256" s="1952">
        <f t="shared" ref="J256:K256" si="766">+J1289</f>
        <v>1117.8076632025638</v>
      </c>
      <c r="K256" s="837">
        <f t="shared" si="766"/>
        <v>1125.8906696274667</v>
      </c>
      <c r="L256" s="838">
        <f t="shared" ref="L256:M256" si="767">+L1289</f>
        <v>1120.0821504942555</v>
      </c>
      <c r="M256" s="837">
        <f t="shared" si="767"/>
        <v>1120.1582982933464</v>
      </c>
      <c r="N256" s="838">
        <f t="shared" ref="N256:O256" si="768">+N1289</f>
        <v>1120.1020369986438</v>
      </c>
      <c r="O256" s="837">
        <f t="shared" si="768"/>
        <v>1112.7590294636591</v>
      </c>
      <c r="P256" s="856">
        <f t="shared" ref="P256" si="769">+P1289</f>
        <v>1119.7929612926159</v>
      </c>
      <c r="Q256" s="857">
        <f t="shared" ref="Q256:R256" si="770">+Q1289</f>
        <v>1118.910002490381</v>
      </c>
      <c r="R256" s="837">
        <f t="shared" si="770"/>
        <v>1106.9597465244879</v>
      </c>
      <c r="S256" s="838">
        <f t="shared" ref="S256:T256" si="771">+S1289</f>
        <v>1117.0243412052064</v>
      </c>
      <c r="T256" s="837">
        <f t="shared" si="771"/>
        <v>1113.6168689892581</v>
      </c>
      <c r="U256" s="838">
        <f>+U1289</f>
        <v>1116.5532195414887</v>
      </c>
      <c r="V256" s="837">
        <f t="shared" ref="V256" si="772">+V1289</f>
        <v>1131.7552716117968</v>
      </c>
      <c r="W256" s="856">
        <f t="shared" ref="W256:Y256" si="773">+W1289</f>
        <v>1118.2956243033309</v>
      </c>
      <c r="X256" s="838">
        <f t="shared" si="773"/>
        <v>1118.679160910156</v>
      </c>
      <c r="Y256" s="837">
        <f t="shared" si="773"/>
        <v>1116.2687157423677</v>
      </c>
      <c r="Z256" s="838">
        <f t="shared" ref="Z256:AA256" si="774">+Z1289</f>
        <v>1118.3817494322466</v>
      </c>
      <c r="AA256" s="837">
        <f t="shared" si="774"/>
        <v>1117.4111675126903</v>
      </c>
      <c r="AB256" s="838">
        <f t="shared" ref="AB256:AC256" si="775">+AB1289</f>
        <v>1118.280346013325</v>
      </c>
      <c r="AC256" s="837">
        <f t="shared" si="775"/>
        <v>1117.5845386857397</v>
      </c>
      <c r="AD256" s="856">
        <f t="shared" ref="AD256:AE256" si="776">+AD1289</f>
        <v>1117.0613671444412</v>
      </c>
      <c r="AE256" s="857">
        <f t="shared" si="776"/>
        <v>1117.6606542348829</v>
      </c>
      <c r="AF256" s="2608">
        <f t="shared" ref="AF256" si="777">+AF1289</f>
        <v>1118.2185011792419</v>
      </c>
    </row>
    <row r="257" spans="3:84" ht="35" customHeight="1" x14ac:dyDescent="0.25">
      <c r="D257" s="665"/>
      <c r="E257" s="839" t="s">
        <v>515</v>
      </c>
      <c r="F257" s="3302">
        <v>2.82</v>
      </c>
      <c r="G257" s="3302">
        <v>2.64</v>
      </c>
      <c r="H257" s="829">
        <f>+((F257*F49)+(G257*G49))/H49</f>
        <v>2.728289079838389</v>
      </c>
      <c r="I257" s="3302">
        <v>2.5</v>
      </c>
      <c r="J257" s="828">
        <f>+((H257*H49)+(I257*I49))/J49</f>
        <v>2.646421478574227</v>
      </c>
      <c r="K257" s="3302"/>
      <c r="L257" s="1255">
        <f>+((J257*J49)+(K257*K49))/L49</f>
        <v>1.9017432235367353</v>
      </c>
      <c r="M257" s="3302">
        <v>2.37</v>
      </c>
      <c r="N257" s="840">
        <f>+((L257*L49)+(M257*M49))/N49</f>
        <v>2.0240316721270815</v>
      </c>
      <c r="O257" s="3302">
        <v>2.65</v>
      </c>
      <c r="P257" s="858">
        <f>+((K257*K49)+(M257*M49)+(O257*O49))/P49</f>
        <v>1.7085184051889633</v>
      </c>
      <c r="Q257" s="859">
        <f>+((N257*N49)+(O257*O49))/Q49</f>
        <v>2.1256494233095906</v>
      </c>
      <c r="R257" s="3302">
        <v>2.64</v>
      </c>
      <c r="S257" s="840">
        <f>+((Q257*Q49)+(R257*R49))/S49</f>
        <v>2.2068100200967011</v>
      </c>
      <c r="T257" s="3302">
        <v>2.4</v>
      </c>
      <c r="U257" s="840">
        <f>+((S257*S49)+(T257*T49))/U49</f>
        <v>2.2335207196791793</v>
      </c>
      <c r="V257" s="3302">
        <v>2.37</v>
      </c>
      <c r="W257" s="858">
        <f>+((R257*R49)+(T257*T49)+(V257*V49))/W49</f>
        <v>2.4635428364915235</v>
      </c>
      <c r="X257" s="840">
        <f>+((U257*U49)+(V257*V49))/X49</f>
        <v>2.252606754720015</v>
      </c>
      <c r="Y257" s="3302">
        <v>2.33</v>
      </c>
      <c r="Z257" s="840">
        <f>+((X257*X49)+(Y257*Y49))/Z49</f>
        <v>2.2621558773504904</v>
      </c>
      <c r="AA257" s="3302">
        <v>2.23</v>
      </c>
      <c r="AB257" s="840">
        <f>+((Z257*Z49)+(AA257*AA49))/AB49</f>
        <v>2.2587963304737424</v>
      </c>
      <c r="AC257" s="3302">
        <v>2.41</v>
      </c>
      <c r="AD257" s="828">
        <f>+((Y257*$Y$49)+(AA257*$AA$49)+(AC257*$AC$49))/$AD$49</f>
        <v>2.3215415356471953</v>
      </c>
      <c r="AE257" s="852">
        <f>+((W257*$W$49)+(AD257*$AD$49))/$AE$49</f>
        <v>2.3904895142745901</v>
      </c>
      <c r="AF257" s="2605">
        <f>+((AB257*$AB$49)+(AC257*$AC$49))/$AF$49</f>
        <v>2.2722356305399107</v>
      </c>
    </row>
    <row r="258" spans="3:84" ht="35" customHeight="1" thickBot="1" x14ac:dyDescent="0.3">
      <c r="D258" s="665"/>
      <c r="E258" s="841" t="s">
        <v>516</v>
      </c>
      <c r="F258" s="3302">
        <v>0.76</v>
      </c>
      <c r="G258" s="3302">
        <v>0.66</v>
      </c>
      <c r="H258" s="843">
        <f>+((F258*F49)+(G258*G49))/H49</f>
        <v>0.70904948879910479</v>
      </c>
      <c r="I258" s="3302">
        <v>0.63</v>
      </c>
      <c r="J258" s="842">
        <f>+((H258*H49)+(I258*I49))/J49</f>
        <v>0.68070125578803697</v>
      </c>
      <c r="K258" s="3302"/>
      <c r="L258" s="843">
        <f>+((J258*J49)+(K258*K49))/L49</f>
        <v>0.48915828825016711</v>
      </c>
      <c r="M258" s="3303">
        <v>0.51</v>
      </c>
      <c r="N258" s="843">
        <f>+((L258*L49)+(M258*M49))/N49</f>
        <v>0.49460124332089678</v>
      </c>
      <c r="O258" s="3302">
        <v>0.56999999999999995</v>
      </c>
      <c r="P258" s="842">
        <f>+((K258*K49)+(M258*M49)+(O258*O49))/P49</f>
        <v>0.36758184252634535</v>
      </c>
      <c r="Q258" s="860">
        <f>+((N258*N49)+(O258*O49))/Q49</f>
        <v>0.50684124294152155</v>
      </c>
      <c r="R258" s="3303">
        <v>0.54</v>
      </c>
      <c r="S258" s="843">
        <f>+((Q258*Q49)+(R258*R49))/S49</f>
        <v>0.51207344182210091</v>
      </c>
      <c r="T258" s="3302">
        <v>0.55000000000000004</v>
      </c>
      <c r="U258" s="843">
        <f>+((S258*S49)+(T258*T49))/U49</f>
        <v>0.51731721741643732</v>
      </c>
      <c r="V258" s="3303">
        <v>0.54</v>
      </c>
      <c r="W258" s="842">
        <f>+((R258*R49)+(T258*T49)+(V258*V49))/W49</f>
        <v>0.54316518421426441</v>
      </c>
      <c r="X258" s="870">
        <f>+((U258*U49)+(V258*V49))/X49</f>
        <v>0.52048930611880928</v>
      </c>
      <c r="Y258" s="3302">
        <v>0.54</v>
      </c>
      <c r="Z258" s="843">
        <f>+((X258*X49)+(Y258*Y49))/Z49</f>
        <v>0.52289662225864997</v>
      </c>
      <c r="AA258" s="3302">
        <v>0.53</v>
      </c>
      <c r="AB258" s="870">
        <f>+((Z258*Z49)+(AA258*AA49))/AB49</f>
        <v>0.52363876125380793</v>
      </c>
      <c r="AC258" s="3302">
        <v>0.54</v>
      </c>
      <c r="AD258" s="842">
        <f>+((Y258*$Y$49)+(AA258*$AA$49)+(AC258*$AC$49))/$AD$49</f>
        <v>0.53665698833679232</v>
      </c>
      <c r="AE258" s="860">
        <f>+((W258*$W$49)+(AD258*$AD$49))/$AE$49</f>
        <v>0.53981700833375534</v>
      </c>
      <c r="AF258" s="2594">
        <f>+((AB258*$AB$49)+(AC258*$AC$49))/$AF$49</f>
        <v>0.52509298255447623</v>
      </c>
    </row>
    <row r="259" spans="3:84" ht="35" customHeight="1" thickBot="1" x14ac:dyDescent="0.3">
      <c r="D259" s="958" t="s">
        <v>10</v>
      </c>
      <c r="E259" s="959" t="s">
        <v>1</v>
      </c>
      <c r="F259" s="888" t="s">
        <v>9</v>
      </c>
      <c r="G259" s="888" t="s">
        <v>51</v>
      </c>
      <c r="H259" s="3521" t="s">
        <v>52</v>
      </c>
      <c r="I259" s="888" t="s">
        <v>1073</v>
      </c>
      <c r="J259" s="3484" t="s">
        <v>60</v>
      </c>
      <c r="K259" s="888" t="s">
        <v>2117</v>
      </c>
      <c r="L259" s="3520" t="s">
        <v>62</v>
      </c>
      <c r="M259" s="888" t="s">
        <v>63</v>
      </c>
      <c r="N259" s="786" t="s">
        <v>64</v>
      </c>
      <c r="O259" s="888" t="s">
        <v>65</v>
      </c>
      <c r="P259" s="798" t="s">
        <v>66</v>
      </c>
      <c r="Q259" s="887" t="s">
        <v>82</v>
      </c>
      <c r="R259" s="888" t="s">
        <v>100</v>
      </c>
      <c r="S259" s="797" t="s">
        <v>101</v>
      </c>
      <c r="T259" s="888" t="s">
        <v>104</v>
      </c>
      <c r="U259" s="797" t="s">
        <v>105</v>
      </c>
      <c r="V259" s="888" t="s">
        <v>106</v>
      </c>
      <c r="W259" s="798" t="s">
        <v>107</v>
      </c>
      <c r="X259" s="797" t="s">
        <v>108</v>
      </c>
      <c r="Y259" s="888" t="s">
        <v>109</v>
      </c>
      <c r="Z259" s="797" t="s">
        <v>110</v>
      </c>
      <c r="AA259" s="888" t="s">
        <v>112</v>
      </c>
      <c r="AB259" s="58" t="s">
        <v>113</v>
      </c>
      <c r="AC259" s="888" t="s">
        <v>114</v>
      </c>
      <c r="AD259" s="798" t="s">
        <v>115</v>
      </c>
      <c r="AE259" s="1310" t="s">
        <v>116</v>
      </c>
      <c r="AF259" s="2609" t="s">
        <v>117</v>
      </c>
    </row>
    <row r="260" spans="3:84" s="3170" customFormat="1" ht="35" customHeight="1" thickBot="1" x14ac:dyDescent="0.45">
      <c r="D260" s="4757" t="s">
        <v>78</v>
      </c>
      <c r="E260" s="4758" t="s">
        <v>67</v>
      </c>
      <c r="F260" s="4759"/>
      <c r="G260" s="4759"/>
      <c r="H260" s="4760"/>
      <c r="I260" s="4759"/>
      <c r="J260" s="4760"/>
      <c r="K260" s="4759"/>
      <c r="L260" s="4761"/>
      <c r="M260" s="4759"/>
      <c r="N260" s="4762"/>
      <c r="O260" s="4759"/>
      <c r="P260" s="4760"/>
      <c r="Q260" s="4761"/>
      <c r="R260" s="4759"/>
      <c r="S260" s="4761"/>
      <c r="T260" s="4759"/>
      <c r="U260" s="4761"/>
      <c r="V260" s="4759"/>
      <c r="W260" s="4760"/>
      <c r="X260" s="4761"/>
      <c r="Y260" s="4759"/>
      <c r="Z260" s="4761"/>
      <c r="AA260" s="4759"/>
      <c r="AB260" s="4759"/>
      <c r="AC260" s="4759"/>
      <c r="AD260" s="4759"/>
      <c r="AE260" s="4763"/>
      <c r="AF260" s="4763"/>
      <c r="AG260" s="4756"/>
      <c r="AH260" s="4756"/>
      <c r="AI260" s="4756"/>
      <c r="AJ260" s="4756"/>
      <c r="AK260" s="4756"/>
      <c r="AL260" s="4756"/>
    </row>
    <row r="261" spans="3:84" ht="35" customHeight="1" x14ac:dyDescent="0.25">
      <c r="D261" s="8474">
        <v>19.010000000000002</v>
      </c>
      <c r="E261" s="960" t="s">
        <v>88</v>
      </c>
      <c r="F261" s="1493">
        <f>+F6</f>
        <v>30</v>
      </c>
      <c r="G261" s="1493">
        <f>+G6</f>
        <v>31</v>
      </c>
      <c r="H261" s="3522">
        <f>+F261+G261</f>
        <v>61</v>
      </c>
      <c r="I261" s="1493">
        <f>+I6</f>
        <v>30</v>
      </c>
      <c r="J261" s="3485">
        <f>+H261+I261</f>
        <v>91</v>
      </c>
      <c r="K261" s="1493">
        <f>+K6</f>
        <v>31</v>
      </c>
      <c r="L261" s="3574">
        <f>+J261+K261</f>
        <v>122</v>
      </c>
      <c r="M261" s="1493">
        <v>31</v>
      </c>
      <c r="N261" s="891">
        <f>+L261+M261</f>
        <v>153</v>
      </c>
      <c r="O261" s="1493">
        <v>30</v>
      </c>
      <c r="P261" s="889">
        <f>+K261+M261+O261</f>
        <v>92</v>
      </c>
      <c r="Q261" s="892">
        <f>+N261+O261</f>
        <v>183</v>
      </c>
      <c r="R261" s="1493">
        <v>31</v>
      </c>
      <c r="S261" s="890">
        <f>+Q261+R261</f>
        <v>214</v>
      </c>
      <c r="T261" s="1493">
        <v>30</v>
      </c>
      <c r="U261" s="890">
        <f>+S261+T261</f>
        <v>244</v>
      </c>
      <c r="V261" s="1493">
        <v>31</v>
      </c>
      <c r="W261" s="889">
        <f>+R261+T261+V261</f>
        <v>92</v>
      </c>
      <c r="X261" s="890">
        <f>+U261+V261</f>
        <v>275</v>
      </c>
      <c r="Y261" s="1493">
        <v>31</v>
      </c>
      <c r="Z261" s="890">
        <f>+X261+Y261</f>
        <v>306</v>
      </c>
      <c r="AA261" s="1493">
        <v>29</v>
      </c>
      <c r="AB261" s="890">
        <f>+Z261+AA261</f>
        <v>335</v>
      </c>
      <c r="AC261" s="1493">
        <v>31</v>
      </c>
      <c r="AD261" s="889">
        <f>+Y261+AA261+AC261</f>
        <v>91</v>
      </c>
      <c r="AE261" s="1311">
        <f>+W261+AD261</f>
        <v>183</v>
      </c>
      <c r="AF261" s="2610">
        <f>+Q261+AE261</f>
        <v>366</v>
      </c>
    </row>
    <row r="262" spans="3:84" ht="35" customHeight="1" x14ac:dyDescent="0.35">
      <c r="D262" s="8475"/>
      <c r="E262" s="962" t="s">
        <v>125</v>
      </c>
      <c r="F262" s="1494">
        <f t="shared" ref="F262:G262" si="778">+F8/F261</f>
        <v>77.86666666666666</v>
      </c>
      <c r="G262" s="1494">
        <f t="shared" si="778"/>
        <v>85.387096774193552</v>
      </c>
      <c r="H262" s="3523">
        <f t="shared" ref="H262:AF262" si="779">+H8/H261</f>
        <v>81.688524590163937</v>
      </c>
      <c r="I262" s="1494">
        <f t="shared" si="779"/>
        <v>92.2</v>
      </c>
      <c r="J262" s="2869">
        <f t="shared" si="779"/>
        <v>85.15384615384616</v>
      </c>
      <c r="K262" s="1494">
        <f t="shared" si="779"/>
        <v>97.064516129032256</v>
      </c>
      <c r="L262" s="3523">
        <f t="shared" si="779"/>
        <v>88.180327868852459</v>
      </c>
      <c r="M262" s="1494">
        <f t="shared" si="779"/>
        <v>97.548387096774192</v>
      </c>
      <c r="N262" s="893">
        <f t="shared" si="779"/>
        <v>90.078431372549019</v>
      </c>
      <c r="O262" s="1494">
        <f t="shared" si="779"/>
        <v>92.666666666666671</v>
      </c>
      <c r="P262" s="894">
        <f t="shared" si="779"/>
        <v>95.793478260869563</v>
      </c>
      <c r="Q262" s="895">
        <f t="shared" si="779"/>
        <v>90.502732240437155</v>
      </c>
      <c r="R262" s="1494">
        <f t="shared" si="779"/>
        <v>97.032258064516128</v>
      </c>
      <c r="S262" s="893">
        <f t="shared" si="779"/>
        <v>91.44859813084112</v>
      </c>
      <c r="T262" s="1494">
        <f t="shared" si="779"/>
        <v>97.9</v>
      </c>
      <c r="U262" s="893">
        <f t="shared" si="779"/>
        <v>92.241803278688522</v>
      </c>
      <c r="V262" s="1494">
        <f t="shared" si="779"/>
        <v>98.129032258064512</v>
      </c>
      <c r="W262" s="894">
        <f t="shared" si="779"/>
        <v>97.684782608695656</v>
      </c>
      <c r="X262" s="893">
        <f t="shared" si="779"/>
        <v>92.905454545454546</v>
      </c>
      <c r="Y262" s="1494">
        <f t="shared" si="779"/>
        <v>99.258064516129039</v>
      </c>
      <c r="Z262" s="893">
        <f t="shared" si="779"/>
        <v>93.549019607843135</v>
      </c>
      <c r="AA262" s="1494">
        <f t="shared" si="779"/>
        <v>99.379310344827587</v>
      </c>
      <c r="AB262" s="893">
        <f t="shared" si="779"/>
        <v>94.053731343283587</v>
      </c>
      <c r="AC262" s="5085">
        <f t="shared" si="779"/>
        <v>94.193548387096769</v>
      </c>
      <c r="AD262" s="5087">
        <f t="shared" si="779"/>
        <v>97.571428571428569</v>
      </c>
      <c r="AE262" s="5088">
        <f t="shared" si="779"/>
        <v>97.62841530054645</v>
      </c>
      <c r="AF262" s="5089">
        <f t="shared" si="779"/>
        <v>94.06557377049181</v>
      </c>
    </row>
    <row r="263" spans="3:84" ht="35" customHeight="1" thickBot="1" x14ac:dyDescent="0.4">
      <c r="D263" s="8475"/>
      <c r="E263" s="962" t="s">
        <v>573</v>
      </c>
      <c r="F263" s="1495">
        <f t="shared" ref="F263:G263" si="780">+F10/F261</f>
        <v>77.766666666666666</v>
      </c>
      <c r="G263" s="1495">
        <f t="shared" si="780"/>
        <v>75.129032258064512</v>
      </c>
      <c r="H263" s="3524">
        <f t="shared" ref="H263:AF263" si="781">+H10/H261</f>
        <v>76.426229508196727</v>
      </c>
      <c r="I263" s="1495">
        <f t="shared" si="781"/>
        <v>86.5</v>
      </c>
      <c r="J263" s="2870">
        <f t="shared" si="781"/>
        <v>79.747252747252745</v>
      </c>
      <c r="K263" s="1495">
        <f t="shared" si="781"/>
        <v>90.838709677419359</v>
      </c>
      <c r="L263" s="3524">
        <f t="shared" si="781"/>
        <v>82.56557377049181</v>
      </c>
      <c r="M263" s="1495">
        <f t="shared" si="781"/>
        <v>98.451612903225808</v>
      </c>
      <c r="N263" s="896">
        <f t="shared" si="781"/>
        <v>85.784313725490193</v>
      </c>
      <c r="O263" s="1495">
        <f t="shared" si="781"/>
        <v>92.5</v>
      </c>
      <c r="P263" s="899">
        <f t="shared" si="781"/>
        <v>93.945652173913047</v>
      </c>
      <c r="Q263" s="900">
        <f t="shared" si="781"/>
        <v>86.885245901639351</v>
      </c>
      <c r="R263" s="1495">
        <f t="shared" si="781"/>
        <v>97.032258064516128</v>
      </c>
      <c r="S263" s="898">
        <f t="shared" si="781"/>
        <v>88.355140186915889</v>
      </c>
      <c r="T263" s="1495">
        <f t="shared" si="781"/>
        <v>97.066666666666663</v>
      </c>
      <c r="U263" s="898">
        <f t="shared" si="781"/>
        <v>89.426229508196727</v>
      </c>
      <c r="V263" s="1495">
        <f t="shared" si="781"/>
        <v>98.290322580645167</v>
      </c>
      <c r="W263" s="894">
        <f t="shared" si="781"/>
        <v>97.467391304347828</v>
      </c>
      <c r="X263" s="893">
        <f t="shared" si="781"/>
        <v>90.425454545454542</v>
      </c>
      <c r="Y263" s="1495">
        <f t="shared" si="781"/>
        <v>94</v>
      </c>
      <c r="Z263" s="898">
        <f t="shared" si="781"/>
        <v>90.787581699346404</v>
      </c>
      <c r="AA263" s="1495">
        <f t="shared" si="781"/>
        <v>96.931034482758619</v>
      </c>
      <c r="AB263" s="898">
        <f t="shared" si="781"/>
        <v>91.319402985074632</v>
      </c>
      <c r="AC263" s="5086">
        <f t="shared" si="781"/>
        <v>92.193548387096769</v>
      </c>
      <c r="AD263" s="5087">
        <f t="shared" si="781"/>
        <v>94.318681318681314</v>
      </c>
      <c r="AE263" s="5088">
        <f t="shared" si="781"/>
        <v>95.901639344262293</v>
      </c>
      <c r="AF263" s="5089">
        <f t="shared" si="781"/>
        <v>91.393442622950815</v>
      </c>
      <c r="CC263" s="2">
        <f>31.55/17.2</f>
        <v>1.8343023255813955</v>
      </c>
      <c r="CF263" s="2">
        <v>1.8343023255813999</v>
      </c>
    </row>
    <row r="264" spans="3:84" ht="35" customHeight="1" thickBot="1" x14ac:dyDescent="0.4">
      <c r="D264" s="8476"/>
      <c r="E264" s="963" t="s">
        <v>574</v>
      </c>
      <c r="F264" s="901">
        <f t="shared" ref="F264:G264" si="782">F262+(F263*1.8343023255814)</f>
        <v>220.51424418604688</v>
      </c>
      <c r="G264" s="901">
        <f t="shared" si="782"/>
        <v>223.19645536384132</v>
      </c>
      <c r="H264" s="4230">
        <f t="shared" ref="H264:N264" si="783">H262+(H263*1.8343023255814)</f>
        <v>221.87733511246699</v>
      </c>
      <c r="I264" s="901">
        <f t="shared" si="783"/>
        <v>250.86715116279112</v>
      </c>
      <c r="J264" s="2870">
        <f t="shared" si="783"/>
        <v>231.43441732685955</v>
      </c>
      <c r="K264" s="901">
        <f t="shared" si="783"/>
        <v>263.69017254313621</v>
      </c>
      <c r="L264" s="4230">
        <f t="shared" si="783"/>
        <v>239.63055184902822</v>
      </c>
      <c r="M264" s="901">
        <f t="shared" ref="M264:Q264" si="784">M262+(M263*1.8343023255814)</f>
        <v>278.13840960240105</v>
      </c>
      <c r="N264" s="4230">
        <f t="shared" si="783"/>
        <v>247.4327975376201</v>
      </c>
      <c r="O264" s="901">
        <f t="shared" si="784"/>
        <v>262.33963178294619</v>
      </c>
      <c r="P264" s="4914">
        <f t="shared" si="784"/>
        <v>268.11820652173958</v>
      </c>
      <c r="Q264" s="4915">
        <f t="shared" si="784"/>
        <v>249.87654085652602</v>
      </c>
      <c r="R264" s="901">
        <f t="shared" ref="R264:Z264" si="785">R262+(R263*1.8343023255814)</f>
        <v>275.01875468867263</v>
      </c>
      <c r="S264" s="4993">
        <f t="shared" si="785"/>
        <v>253.51863725277155</v>
      </c>
      <c r="T264" s="901">
        <f t="shared" si="785"/>
        <v>275.94961240310124</v>
      </c>
      <c r="U264" s="4993">
        <f t="shared" si="785"/>
        <v>256.27654403354978</v>
      </c>
      <c r="V264" s="901">
        <f t="shared" ref="V264" si="786">V262+(V263*1.8343023255814)</f>
        <v>278.42319954988795</v>
      </c>
      <c r="W264" s="897">
        <f t="shared" si="785"/>
        <v>276.46944514661323</v>
      </c>
      <c r="X264" s="896">
        <f t="shared" si="785"/>
        <v>258.77307610993699</v>
      </c>
      <c r="Y264" s="901">
        <f t="shared" si="785"/>
        <v>271.68248312078066</v>
      </c>
      <c r="Z264" s="896">
        <f t="shared" si="785"/>
        <v>260.08089185286559</v>
      </c>
      <c r="AA264" s="901">
        <f t="shared" ref="AA264" si="787">AA262+(AA263*1.8343023255814)</f>
        <v>277.1801323175626</v>
      </c>
      <c r="AB264" s="902">
        <f>+((Z264*Z261)+(AA264*AA261))/(Z261+AA261)</f>
        <v>261.56112460951095</v>
      </c>
      <c r="AC264" s="901">
        <f t="shared" ref="AC264:AF264" si="788">AC262+(AC263*1.8343023255814)</f>
        <v>263.30438859714968</v>
      </c>
      <c r="AD264" s="5087">
        <f t="shared" si="788"/>
        <v>270.58040506005665</v>
      </c>
      <c r="AE264" s="5088">
        <f t="shared" si="788"/>
        <v>273.54101537679543</v>
      </c>
      <c r="AF264" s="5089">
        <f t="shared" si="788"/>
        <v>261.70877811666071</v>
      </c>
    </row>
    <row r="265" spans="3:84" s="3170" customFormat="1" ht="35" customHeight="1" x14ac:dyDescent="0.35">
      <c r="D265" s="8474">
        <v>19.02</v>
      </c>
      <c r="E265" s="4329" t="s">
        <v>89</v>
      </c>
      <c r="F265" s="3595"/>
      <c r="G265" s="3595"/>
      <c r="H265" s="3595"/>
      <c r="I265" s="3595"/>
      <c r="J265" s="3595"/>
      <c r="K265" s="3595"/>
      <c r="L265" s="3595"/>
      <c r="M265" s="3595"/>
      <c r="N265" s="4330"/>
      <c r="O265" s="3595"/>
      <c r="P265" s="3595"/>
      <c r="Q265" s="3595"/>
      <c r="R265" s="3595"/>
      <c r="S265" s="3595"/>
      <c r="T265" s="3595"/>
      <c r="U265" s="3595"/>
      <c r="V265" s="3595"/>
      <c r="W265" s="3595"/>
      <c r="X265" s="3595"/>
      <c r="Y265" s="3595"/>
      <c r="Z265" s="3595"/>
      <c r="AA265" s="3595"/>
      <c r="AB265" s="3595"/>
      <c r="AC265" s="3595"/>
      <c r="AD265" s="4238"/>
      <c r="AE265" s="4283"/>
      <c r="AF265" s="4304"/>
      <c r="AG265" s="4756"/>
      <c r="AH265" s="4756"/>
      <c r="AI265" s="4756"/>
      <c r="AJ265" s="4756"/>
      <c r="AK265" s="4756"/>
      <c r="AL265" s="4756"/>
    </row>
    <row r="266" spans="3:84" ht="35" customHeight="1" thickBot="1" x14ac:dyDescent="0.3">
      <c r="D266" s="8475"/>
      <c r="E266" s="961" t="s">
        <v>57</v>
      </c>
      <c r="F266" s="907">
        <f>+F39</f>
        <v>143766</v>
      </c>
      <c r="G266" s="907">
        <f>+G39</f>
        <v>152132</v>
      </c>
      <c r="H266" s="2481">
        <f>SUM(F266:G266)</f>
        <v>295898</v>
      </c>
      <c r="I266" s="907">
        <f>+I39</f>
        <v>167381</v>
      </c>
      <c r="J266" s="1436">
        <f>SUM(H266:I266)</f>
        <v>463279</v>
      </c>
      <c r="K266" s="907">
        <f>+K39</f>
        <v>190559</v>
      </c>
      <c r="L266" s="2482">
        <f>SUM(J266:K266)</f>
        <v>653838</v>
      </c>
      <c r="M266" s="907">
        <f>+M39</f>
        <v>229309</v>
      </c>
      <c r="N266" s="909">
        <f>SUM(L266:M266)</f>
        <v>883147</v>
      </c>
      <c r="O266" s="907">
        <f>+O39</f>
        <v>166018</v>
      </c>
      <c r="P266" s="2868">
        <f t="shared" ref="P266" si="789">+K266+M266+O266</f>
        <v>585886</v>
      </c>
      <c r="Q266" s="910">
        <f>+N266+O266</f>
        <v>1049165</v>
      </c>
      <c r="R266" s="907">
        <f>+R39</f>
        <v>195036</v>
      </c>
      <c r="S266" s="908">
        <f>SUM(Q266:R266)</f>
        <v>1244201</v>
      </c>
      <c r="T266" s="907">
        <f>+T39</f>
        <v>211077</v>
      </c>
      <c r="U266" s="908">
        <f>SUM(S266:T266)</f>
        <v>1455278</v>
      </c>
      <c r="V266" s="907">
        <f>+V39</f>
        <v>250305</v>
      </c>
      <c r="W266" s="846">
        <f>+R266+T266+V266</f>
        <v>656418</v>
      </c>
      <c r="X266" s="735">
        <f>+U266+V266</f>
        <v>1705583</v>
      </c>
      <c r="Y266" s="907">
        <f>+Y39</f>
        <v>240311</v>
      </c>
      <c r="Z266" s="908">
        <f>+X266+Y266</f>
        <v>1945894</v>
      </c>
      <c r="AA266" s="907">
        <f>+AA39</f>
        <v>234647</v>
      </c>
      <c r="AB266" s="735">
        <f>+Z266+AA266</f>
        <v>2180541</v>
      </c>
      <c r="AC266" s="907">
        <f>+AC39</f>
        <v>219210</v>
      </c>
      <c r="AD266" s="904">
        <f>+Y266+AA266+AC266</f>
        <v>694168</v>
      </c>
      <c r="AE266" s="1298">
        <f>+W266+AD266</f>
        <v>1350586</v>
      </c>
      <c r="AF266" s="2582">
        <f t="shared" ref="AF266" si="790">+AB266+AC266</f>
        <v>2399751</v>
      </c>
    </row>
    <row r="267" spans="3:84" ht="35" customHeight="1" thickBot="1" x14ac:dyDescent="0.3">
      <c r="D267" s="8476"/>
      <c r="E267" s="963" t="s">
        <v>126</v>
      </c>
      <c r="F267" s="911">
        <f t="shared" ref="F267:G267" si="791">SUM(F266:F266)</f>
        <v>143766</v>
      </c>
      <c r="G267" s="911">
        <f t="shared" si="791"/>
        <v>152132</v>
      </c>
      <c r="H267" s="1466">
        <f t="shared" ref="H267:P267" si="792">SUM(H266:H266)</f>
        <v>295898</v>
      </c>
      <c r="I267" s="911">
        <f t="shared" ref="I267" si="793">SUM(I266:I266)</f>
        <v>167381</v>
      </c>
      <c r="J267" s="1434">
        <f t="shared" si="792"/>
        <v>463279</v>
      </c>
      <c r="K267" s="911">
        <f t="shared" ref="K267" si="794">SUM(K266:K266)</f>
        <v>190559</v>
      </c>
      <c r="L267" s="2544">
        <f t="shared" si="792"/>
        <v>653838</v>
      </c>
      <c r="M267" s="911">
        <f t="shared" ref="M267" si="795">SUM(M266:M266)</f>
        <v>229309</v>
      </c>
      <c r="N267" s="599">
        <f t="shared" si="792"/>
        <v>883147</v>
      </c>
      <c r="O267" s="911">
        <f t="shared" si="792"/>
        <v>166018</v>
      </c>
      <c r="P267" s="913">
        <f t="shared" si="792"/>
        <v>585886</v>
      </c>
      <c r="Q267" s="916">
        <f>+N267+O267</f>
        <v>1049165</v>
      </c>
      <c r="R267" s="911">
        <f t="shared" ref="R267" si="796">SUM(R266:R266)</f>
        <v>195036</v>
      </c>
      <c r="S267" s="914">
        <f t="shared" ref="S267:AF267" si="797">SUM(S266:S266)</f>
        <v>1244201</v>
      </c>
      <c r="T267" s="911">
        <f t="shared" si="797"/>
        <v>211077</v>
      </c>
      <c r="U267" s="914">
        <f t="shared" si="797"/>
        <v>1455278</v>
      </c>
      <c r="V267" s="911">
        <f t="shared" si="797"/>
        <v>250305</v>
      </c>
      <c r="W267" s="915">
        <f t="shared" si="797"/>
        <v>656418</v>
      </c>
      <c r="X267" s="914">
        <f t="shared" si="797"/>
        <v>1705583</v>
      </c>
      <c r="Y267" s="911">
        <f t="shared" ref="Y267" si="798">SUM(Y266:Y266)</f>
        <v>240311</v>
      </c>
      <c r="Z267" s="914">
        <f t="shared" si="797"/>
        <v>1945894</v>
      </c>
      <c r="AA267" s="911">
        <f t="shared" si="797"/>
        <v>234647</v>
      </c>
      <c r="AB267" s="914">
        <f t="shared" si="797"/>
        <v>2180541</v>
      </c>
      <c r="AC267" s="911">
        <f t="shared" si="797"/>
        <v>219210</v>
      </c>
      <c r="AD267" s="913">
        <f t="shared" si="797"/>
        <v>694168</v>
      </c>
      <c r="AE267" s="1134">
        <f t="shared" si="797"/>
        <v>1350586</v>
      </c>
      <c r="AF267" s="2611">
        <f t="shared" si="797"/>
        <v>2399751</v>
      </c>
    </row>
    <row r="268" spans="3:84" s="3170" customFormat="1" ht="35" customHeight="1" x14ac:dyDescent="0.35">
      <c r="D268" s="8474">
        <v>19.03</v>
      </c>
      <c r="E268" s="4329" t="s">
        <v>476</v>
      </c>
      <c r="F268" s="3595"/>
      <c r="G268" s="3595"/>
      <c r="H268" s="3595"/>
      <c r="I268" s="3595"/>
      <c r="J268" s="3595"/>
      <c r="K268" s="3595"/>
      <c r="L268" s="3595"/>
      <c r="M268" s="3595"/>
      <c r="N268" s="3595"/>
      <c r="O268" s="3595"/>
      <c r="P268" s="3595"/>
      <c r="Q268" s="3595"/>
      <c r="R268" s="3595"/>
      <c r="S268" s="3595"/>
      <c r="T268" s="3595"/>
      <c r="U268" s="3595"/>
      <c r="V268" s="3595"/>
      <c r="W268" s="3595"/>
      <c r="X268" s="3595"/>
      <c r="Y268" s="3595"/>
      <c r="Z268" s="3595"/>
      <c r="AA268" s="3595"/>
      <c r="AB268" s="3595"/>
      <c r="AC268" s="3595"/>
      <c r="AD268" s="3595"/>
      <c r="AE268" s="4283"/>
      <c r="AF268" s="4320"/>
      <c r="AG268" s="4756"/>
      <c r="AH268" s="4756"/>
      <c r="AI268" s="4756"/>
      <c r="AJ268" s="4756"/>
      <c r="AK268" s="4756"/>
      <c r="AL268" s="4756"/>
    </row>
    <row r="269" spans="3:84" ht="35" customHeight="1" x14ac:dyDescent="0.25">
      <c r="D269" s="8475"/>
      <c r="E269" s="964" t="s">
        <v>575</v>
      </c>
      <c r="F269" s="917">
        <f t="shared" ref="F269:G271" si="799">+F1309</f>
        <v>140356</v>
      </c>
      <c r="G269" s="917">
        <f t="shared" si="799"/>
        <v>148888</v>
      </c>
      <c r="H269" s="3525">
        <f t="shared" ref="H269:H274" si="800">SUM(F269:G269)</f>
        <v>289244</v>
      </c>
      <c r="I269" s="917">
        <f t="shared" ref="I269" si="801">+I1309</f>
        <v>164243</v>
      </c>
      <c r="J269" s="1099">
        <f>SUM(H269:I269)</f>
        <v>453487</v>
      </c>
      <c r="K269" s="917">
        <f t="shared" ref="K269" si="802">+K1309</f>
        <v>180924</v>
      </c>
      <c r="L269" s="3575">
        <f>SUM(J269:K269)</f>
        <v>634411</v>
      </c>
      <c r="M269" s="917">
        <f t="shared" ref="M269:M271" si="803">+M1309</f>
        <v>223086</v>
      </c>
      <c r="N269" s="735">
        <f>SUM(L269:M269)</f>
        <v>857497</v>
      </c>
      <c r="O269" s="917">
        <f t="shared" ref="O269" si="804">+O1309</f>
        <v>160689</v>
      </c>
      <c r="P269" s="905">
        <f t="shared" ref="P269:P271" si="805">+K269+M269+O269</f>
        <v>564699</v>
      </c>
      <c r="Q269" s="906">
        <f>+N269+O269</f>
        <v>1018186</v>
      </c>
      <c r="R269" s="917">
        <f t="shared" ref="R269" si="806">+R1309</f>
        <v>186285</v>
      </c>
      <c r="S269" s="885">
        <f>SUM(Q269:R269)</f>
        <v>1204471</v>
      </c>
      <c r="T269" s="917">
        <f t="shared" ref="T269:T271" si="807">+T1309</f>
        <v>195488</v>
      </c>
      <c r="U269" s="885">
        <f>SUM(S269:T269)</f>
        <v>1399959</v>
      </c>
      <c r="V269" s="917">
        <f t="shared" ref="V269:V271" si="808">+V1309</f>
        <v>235224</v>
      </c>
      <c r="W269" s="846">
        <f>+R269+T269+V269</f>
        <v>616997</v>
      </c>
      <c r="X269" s="735">
        <f>+U269+V269</f>
        <v>1635183</v>
      </c>
      <c r="Y269" s="917">
        <f t="shared" ref="Y269:Y271" si="809">+Y1309</f>
        <v>230405</v>
      </c>
      <c r="Z269" s="885">
        <f>+X269+Y269</f>
        <v>1865588</v>
      </c>
      <c r="AA269" s="917">
        <f t="shared" ref="AA269" si="810">+AA1309</f>
        <v>223877</v>
      </c>
      <c r="AB269" s="735">
        <f>+Z269+AA269</f>
        <v>2089465</v>
      </c>
      <c r="AC269" s="917">
        <f t="shared" ref="AC269:AC271" si="811">+AC1309</f>
        <v>202998</v>
      </c>
      <c r="AD269" s="904">
        <f t="shared" ref="AD269:AD272" si="812">+Y269+AA269+AC269</f>
        <v>657280</v>
      </c>
      <c r="AE269" s="1298">
        <f t="shared" ref="AE269:AE272" si="813">+W269+AD269</f>
        <v>1274277</v>
      </c>
      <c r="AF269" s="2590">
        <f t="shared" ref="AF269" si="814">+AB269+AC269</f>
        <v>2292463</v>
      </c>
    </row>
    <row r="270" spans="3:84" ht="35" customHeight="1" x14ac:dyDescent="0.25">
      <c r="D270" s="8475"/>
      <c r="E270" s="964" t="s">
        <v>576</v>
      </c>
      <c r="F270" s="919">
        <f t="shared" si="799"/>
        <v>3410</v>
      </c>
      <c r="G270" s="919">
        <f t="shared" si="799"/>
        <v>3244</v>
      </c>
      <c r="H270" s="3526">
        <f t="shared" si="800"/>
        <v>6654</v>
      </c>
      <c r="I270" s="919">
        <f t="shared" ref="I270" si="815">+I1310</f>
        <v>3138</v>
      </c>
      <c r="J270" s="3487">
        <f>SUM(H270:I270)</f>
        <v>9792</v>
      </c>
      <c r="K270" s="919">
        <f t="shared" ref="K270" si="816">+K1310</f>
        <v>9515</v>
      </c>
      <c r="L270" s="3576">
        <f>SUM(J270:K270)</f>
        <v>19307</v>
      </c>
      <c r="M270" s="919">
        <f t="shared" si="803"/>
        <v>5785</v>
      </c>
      <c r="N270" s="735">
        <f t="shared" ref="N270:N271" si="817">SUM(L270:M270)</f>
        <v>25092</v>
      </c>
      <c r="O270" s="919">
        <f t="shared" ref="O270" si="818">+O1310</f>
        <v>5329</v>
      </c>
      <c r="P270" s="905">
        <f t="shared" si="805"/>
        <v>20629</v>
      </c>
      <c r="Q270" s="906">
        <f t="shared" ref="Q270:Q271" si="819">+N270+O270</f>
        <v>30421</v>
      </c>
      <c r="R270" s="919">
        <f t="shared" ref="R270" si="820">+R1310</f>
        <v>8751</v>
      </c>
      <c r="S270" s="885">
        <f t="shared" ref="S270:S272" si="821">SUM(Q270:R270)</f>
        <v>39172</v>
      </c>
      <c r="T270" s="919">
        <f t="shared" si="807"/>
        <v>15317</v>
      </c>
      <c r="U270" s="885">
        <f t="shared" ref="U270:U272" si="822">+S270+T270</f>
        <v>54489</v>
      </c>
      <c r="V270" s="919">
        <f t="shared" si="808"/>
        <v>14083</v>
      </c>
      <c r="W270" s="846">
        <f t="shared" ref="W270:W272" si="823">+R270+T270+V270</f>
        <v>38151</v>
      </c>
      <c r="X270" s="735">
        <f t="shared" ref="X270:X272" si="824">+U270+V270</f>
        <v>68572</v>
      </c>
      <c r="Y270" s="919">
        <f t="shared" si="809"/>
        <v>9506</v>
      </c>
      <c r="Z270" s="885">
        <f t="shared" ref="Z270:AB272" si="825">+X270+Y270</f>
        <v>78078</v>
      </c>
      <c r="AA270" s="919">
        <f t="shared" ref="AA270" si="826">+AA1310</f>
        <v>10530</v>
      </c>
      <c r="AB270" s="735">
        <f t="shared" si="825"/>
        <v>88608</v>
      </c>
      <c r="AC270" s="919">
        <f t="shared" si="811"/>
        <v>14801</v>
      </c>
      <c r="AD270" s="904">
        <f t="shared" si="812"/>
        <v>34837</v>
      </c>
      <c r="AE270" s="1298">
        <f t="shared" si="813"/>
        <v>72988</v>
      </c>
      <c r="AF270" s="2589">
        <f t="shared" ref="AF270:AF272" si="827">+AB270+AC270</f>
        <v>103409</v>
      </c>
    </row>
    <row r="271" spans="3:84" ht="35" customHeight="1" x14ac:dyDescent="0.25">
      <c r="C271" s="2">
        <f>+F271*0.8</f>
        <v>0</v>
      </c>
      <c r="D271" s="8475"/>
      <c r="E271" s="964" t="s">
        <v>577</v>
      </c>
      <c r="F271" s="919">
        <f t="shared" si="799"/>
        <v>0</v>
      </c>
      <c r="G271" s="919">
        <f t="shared" si="799"/>
        <v>0</v>
      </c>
      <c r="H271" s="3526">
        <f t="shared" si="800"/>
        <v>0</v>
      </c>
      <c r="I271" s="919">
        <f t="shared" ref="I271" si="828">+I1311</f>
        <v>0</v>
      </c>
      <c r="J271" s="3487">
        <f>SUM(H271:I271)</f>
        <v>0</v>
      </c>
      <c r="K271" s="919">
        <f t="shared" ref="K271" si="829">+K1311</f>
        <v>120</v>
      </c>
      <c r="L271" s="3576">
        <f>SUM(J271:K271)</f>
        <v>120</v>
      </c>
      <c r="M271" s="919">
        <f t="shared" si="803"/>
        <v>438</v>
      </c>
      <c r="N271" s="735">
        <f t="shared" si="817"/>
        <v>558</v>
      </c>
      <c r="O271" s="919">
        <f t="shared" ref="O271" si="830">+O1311</f>
        <v>0</v>
      </c>
      <c r="P271" s="905">
        <f t="shared" si="805"/>
        <v>558</v>
      </c>
      <c r="Q271" s="906">
        <f t="shared" si="819"/>
        <v>558</v>
      </c>
      <c r="R271" s="919">
        <f t="shared" ref="R271" si="831">+R1311</f>
        <v>0</v>
      </c>
      <c r="S271" s="885">
        <f t="shared" si="821"/>
        <v>558</v>
      </c>
      <c r="T271" s="919">
        <f t="shared" si="807"/>
        <v>272</v>
      </c>
      <c r="U271" s="885">
        <f t="shared" si="822"/>
        <v>830</v>
      </c>
      <c r="V271" s="919">
        <f t="shared" si="808"/>
        <v>998</v>
      </c>
      <c r="W271" s="846">
        <f t="shared" si="823"/>
        <v>1270</v>
      </c>
      <c r="X271" s="735">
        <f t="shared" si="824"/>
        <v>1828</v>
      </c>
      <c r="Y271" s="919">
        <f t="shared" si="809"/>
        <v>400</v>
      </c>
      <c r="Z271" s="885">
        <f t="shared" si="825"/>
        <v>2228</v>
      </c>
      <c r="AA271" s="919">
        <f t="shared" ref="AA271" si="832">+AA1311</f>
        <v>240</v>
      </c>
      <c r="AB271" s="735">
        <f t="shared" si="825"/>
        <v>2468</v>
      </c>
      <c r="AC271" s="919">
        <f t="shared" si="811"/>
        <v>1411</v>
      </c>
      <c r="AD271" s="904">
        <f t="shared" si="812"/>
        <v>2051</v>
      </c>
      <c r="AE271" s="1298">
        <f t="shared" si="813"/>
        <v>3321</v>
      </c>
      <c r="AF271" s="2589">
        <f t="shared" si="827"/>
        <v>3879</v>
      </c>
    </row>
    <row r="272" spans="3:84" ht="35" customHeight="1" thickBot="1" x14ac:dyDescent="0.3">
      <c r="D272" s="8475"/>
      <c r="E272" s="2778" t="s">
        <v>551</v>
      </c>
      <c r="F272" s="919">
        <f>+F1314</f>
        <v>0</v>
      </c>
      <c r="G272" s="919">
        <f>+G1314</f>
        <v>0</v>
      </c>
      <c r="H272" s="3526">
        <f t="shared" si="800"/>
        <v>0</v>
      </c>
      <c r="I272" s="919">
        <f>+I1314</f>
        <v>0</v>
      </c>
      <c r="J272" s="3487">
        <f>SUM(H272:I272)</f>
        <v>0</v>
      </c>
      <c r="K272" s="919">
        <f>+K1314</f>
        <v>0</v>
      </c>
      <c r="L272" s="3576">
        <f>SUM(J272:K272)</f>
        <v>0</v>
      </c>
      <c r="M272" s="919">
        <f>+M1314</f>
        <v>0</v>
      </c>
      <c r="N272" s="881">
        <f>SUM(L272:M272)</f>
        <v>0</v>
      </c>
      <c r="O272" s="919">
        <f>+O1314</f>
        <v>0</v>
      </c>
      <c r="P272" s="905">
        <f>+K272+M272+O272</f>
        <v>0</v>
      </c>
      <c r="Q272" s="847">
        <f>+N272+O272</f>
        <v>0</v>
      </c>
      <c r="R272" s="919">
        <f>+R1314</f>
        <v>0</v>
      </c>
      <c r="S272" s="885">
        <f t="shared" si="821"/>
        <v>0</v>
      </c>
      <c r="T272" s="919">
        <f>+T1314</f>
        <v>0</v>
      </c>
      <c r="U272" s="885">
        <f t="shared" si="822"/>
        <v>0</v>
      </c>
      <c r="V272" s="919">
        <f>+V1314</f>
        <v>0</v>
      </c>
      <c r="W272" s="846">
        <f t="shared" si="823"/>
        <v>0</v>
      </c>
      <c r="X272" s="735">
        <f t="shared" si="824"/>
        <v>0</v>
      </c>
      <c r="Y272" s="919">
        <f>+Y1314</f>
        <v>0</v>
      </c>
      <c r="Z272" s="885">
        <f t="shared" si="825"/>
        <v>0</v>
      </c>
      <c r="AA272" s="919">
        <f>+AA1314</f>
        <v>0</v>
      </c>
      <c r="AB272" s="735">
        <f t="shared" si="825"/>
        <v>0</v>
      </c>
      <c r="AC272" s="919">
        <f>+AC1314</f>
        <v>0</v>
      </c>
      <c r="AD272" s="904">
        <f t="shared" si="812"/>
        <v>0</v>
      </c>
      <c r="AE272" s="1298">
        <f t="shared" si="813"/>
        <v>0</v>
      </c>
      <c r="AF272" s="2589">
        <f t="shared" si="827"/>
        <v>0</v>
      </c>
    </row>
    <row r="273" spans="4:38" ht="66" customHeight="1" thickBot="1" x14ac:dyDescent="0.3">
      <c r="D273" s="966"/>
      <c r="E273" s="1249" t="s">
        <v>531</v>
      </c>
      <c r="F273" s="922">
        <f>+F271*0.8</f>
        <v>0</v>
      </c>
      <c r="G273" s="922">
        <f>+G271*0.8</f>
        <v>0</v>
      </c>
      <c r="H273" s="575">
        <f t="shared" si="800"/>
        <v>0</v>
      </c>
      <c r="I273" s="922">
        <f>+I271*0.8</f>
        <v>0</v>
      </c>
      <c r="J273" s="704">
        <f t="shared" ref="J273" si="833">+H273+I273</f>
        <v>0</v>
      </c>
      <c r="K273" s="922">
        <f>+K271*0.8</f>
        <v>96</v>
      </c>
      <c r="L273" s="679">
        <f t="shared" ref="L273" si="834">+J273+K273</f>
        <v>96</v>
      </c>
      <c r="M273" s="922">
        <f>+M271*0.8</f>
        <v>350.40000000000003</v>
      </c>
      <c r="N273" s="599">
        <f t="shared" ref="N273" si="835">+L273+M273</f>
        <v>446.40000000000003</v>
      </c>
      <c r="O273" s="922">
        <f>+O271*0.8</f>
        <v>0</v>
      </c>
      <c r="P273" s="923">
        <f t="shared" ref="P273:P274" si="836">+K273+M273+O273</f>
        <v>446.40000000000003</v>
      </c>
      <c r="Q273" s="916">
        <f t="shared" ref="Q273:Q274" si="837">+N273+O273</f>
        <v>446.40000000000003</v>
      </c>
      <c r="R273" s="922">
        <f>+R271*0.8</f>
        <v>0</v>
      </c>
      <c r="S273" s="599">
        <f>SUM(Q273:R273)</f>
        <v>446.40000000000003</v>
      </c>
      <c r="T273" s="922">
        <f>+T271*0.8</f>
        <v>217.60000000000002</v>
      </c>
      <c r="U273" s="599">
        <f>SUM(S273:T273)</f>
        <v>664</v>
      </c>
      <c r="V273" s="922">
        <f>+V271*0.8</f>
        <v>798.40000000000009</v>
      </c>
      <c r="W273" s="923">
        <f>+R273+T273+V273</f>
        <v>1016.0000000000001</v>
      </c>
      <c r="X273" s="599">
        <f>+U273+V273</f>
        <v>1462.4</v>
      </c>
      <c r="Y273" s="922">
        <f>+Y271*0.8</f>
        <v>320</v>
      </c>
      <c r="Z273" s="599">
        <f>SUM(X273:Y273)</f>
        <v>1782.4</v>
      </c>
      <c r="AA273" s="922">
        <f>+AA271*0.8</f>
        <v>192</v>
      </c>
      <c r="AB273" s="599">
        <f>SUM(Z273:AA273)</f>
        <v>1974.4</v>
      </c>
      <c r="AC273" s="922">
        <f>+AC271*0.8</f>
        <v>1128.8</v>
      </c>
      <c r="AD273" s="573">
        <f>+Y273+AA273+AC273</f>
        <v>1640.8</v>
      </c>
      <c r="AE273" s="767">
        <f>+W273+AD273</f>
        <v>2656.8</v>
      </c>
      <c r="AF273" s="2612">
        <f>+AB273+AC273</f>
        <v>3103.2</v>
      </c>
    </row>
    <row r="274" spans="4:38" ht="35" customHeight="1" thickBot="1" x14ac:dyDescent="0.3">
      <c r="D274" s="2566">
        <v>19.04</v>
      </c>
      <c r="E274" s="965" t="s">
        <v>324</v>
      </c>
      <c r="F274" s="925">
        <f>+F1243</f>
        <v>129292</v>
      </c>
      <c r="G274" s="925">
        <f>+G1243</f>
        <v>134303</v>
      </c>
      <c r="H274" s="575">
        <f t="shared" si="800"/>
        <v>263595</v>
      </c>
      <c r="I274" s="925">
        <f>+I1243</f>
        <v>147382</v>
      </c>
      <c r="J274" s="704">
        <f>SUM(H274:I274)</f>
        <v>410977</v>
      </c>
      <c r="K274" s="925">
        <f>+K1243</f>
        <v>160929.48000000001</v>
      </c>
      <c r="L274" s="679">
        <f>SUM(J274:K274)</f>
        <v>571906.48</v>
      </c>
      <c r="M274" s="925">
        <f>+M1243</f>
        <v>202150</v>
      </c>
      <c r="N274" s="599">
        <f>SUM(L274:M274)</f>
        <v>774056.48</v>
      </c>
      <c r="O274" s="925">
        <f>+O1243</f>
        <v>150009.11749999999</v>
      </c>
      <c r="P274" s="923">
        <f t="shared" si="836"/>
        <v>513088.59749999997</v>
      </c>
      <c r="Q274" s="916">
        <f t="shared" si="837"/>
        <v>924065.59749999992</v>
      </c>
      <c r="R274" s="925">
        <f>+R1243</f>
        <v>173129.15</v>
      </c>
      <c r="S274" s="599">
        <f>SUM(Q274:R274)</f>
        <v>1097194.7474999998</v>
      </c>
      <c r="T274" s="925">
        <f>+T1243</f>
        <v>176039</v>
      </c>
      <c r="U274" s="599">
        <f>SUM(S274:T274)</f>
        <v>1273233.7474999998</v>
      </c>
      <c r="V274" s="925">
        <f>+V1243</f>
        <v>207005</v>
      </c>
      <c r="W274" s="1086">
        <f>+R274+T274+V274</f>
        <v>556173.15</v>
      </c>
      <c r="X274" s="599">
        <f>+U274+V274</f>
        <v>1480238.7474999998</v>
      </c>
      <c r="Y274" s="925">
        <f>+Y1243</f>
        <v>208344.995</v>
      </c>
      <c r="Z274" s="599">
        <f>+X274+Y274</f>
        <v>1688583.7424999997</v>
      </c>
      <c r="AA274" s="925">
        <f>+AA1243</f>
        <v>197000</v>
      </c>
      <c r="AB274" s="599">
        <f>+Z274+AA274</f>
        <v>1885583.7424999997</v>
      </c>
      <c r="AC274" s="925">
        <f>+AC1243</f>
        <v>183944.02650000001</v>
      </c>
      <c r="AD274" s="721">
        <f>+Y274+AA274+AC274</f>
        <v>589289.02150000003</v>
      </c>
      <c r="AE274" s="767">
        <f>+W274+AD274</f>
        <v>1145462.1715000002</v>
      </c>
      <c r="AF274" s="2613">
        <f>+AB274+AC274</f>
        <v>2069527.7689999996</v>
      </c>
    </row>
    <row r="275" spans="4:38" ht="35" hidden="1" customHeight="1" thickBot="1" x14ac:dyDescent="0.3">
      <c r="D275" s="967"/>
      <c r="E275" s="965" t="s">
        <v>325</v>
      </c>
      <c r="F275" s="732" t="e">
        <f>+#REF!+F274</f>
        <v>#REF!</v>
      </c>
      <c r="G275" s="732" t="e">
        <f>+#REF!+G274</f>
        <v>#REF!</v>
      </c>
      <c r="H275" s="575" t="e">
        <f>+#REF!+H274</f>
        <v>#REF!</v>
      </c>
      <c r="I275" s="732" t="e">
        <f>+#REF!+I274</f>
        <v>#REF!</v>
      </c>
      <c r="J275" s="704" t="e">
        <f>+#REF!+J274</f>
        <v>#REF!</v>
      </c>
      <c r="K275" s="732" t="e">
        <f>+#REF!+K274</f>
        <v>#REF!</v>
      </c>
      <c r="L275" s="679" t="e">
        <f>+#REF!+L274</f>
        <v>#REF!</v>
      </c>
      <c r="M275" s="732" t="e">
        <f>+#REF!+M274</f>
        <v>#REF!</v>
      </c>
      <c r="N275" s="599" t="e">
        <f>+#REF!+N274</f>
        <v>#REF!</v>
      </c>
      <c r="O275" s="732" t="e">
        <f>+#REF!+O274</f>
        <v>#REF!</v>
      </c>
      <c r="P275" s="923" t="e">
        <f>+#REF!+P274</f>
        <v>#REF!</v>
      </c>
      <c r="Q275" s="916" t="e">
        <f>+#REF!+Q274</f>
        <v>#REF!</v>
      </c>
      <c r="R275" s="732" t="e">
        <f>+#REF!+R274</f>
        <v>#REF!</v>
      </c>
      <c r="S275" s="599" t="e">
        <f>+#REF!+S274</f>
        <v>#REF!</v>
      </c>
      <c r="T275" s="732" t="e">
        <f>+#REF!+T274</f>
        <v>#REF!</v>
      </c>
      <c r="U275" s="599" t="e">
        <f>+#REF!+U274</f>
        <v>#REF!</v>
      </c>
      <c r="V275" s="732" t="e">
        <f>+#REF!+V274</f>
        <v>#REF!</v>
      </c>
      <c r="W275" s="1088" t="e">
        <f>+R275+T275+V275</f>
        <v>#REF!</v>
      </c>
      <c r="X275" s="572" t="e">
        <f>+#REF!+X274</f>
        <v>#REF!</v>
      </c>
      <c r="Y275" s="732" t="e">
        <f>+#REF!+Y274</f>
        <v>#REF!</v>
      </c>
      <c r="Z275" s="599" t="e">
        <f>+#REF!+Z274</f>
        <v>#REF!</v>
      </c>
      <c r="AA275" s="732" t="e">
        <f>+#REF!+AA274</f>
        <v>#REF!</v>
      </c>
      <c r="AB275" s="40" t="e">
        <f>+#REF!+AB274</f>
        <v>#REF!</v>
      </c>
      <c r="AC275" s="732" t="e">
        <f>+#REF!+AC274</f>
        <v>#REF!</v>
      </c>
      <c r="AD275" s="223" t="e">
        <f>+#REF!+AD274</f>
        <v>#REF!</v>
      </c>
      <c r="AE275" s="49" t="e">
        <f>+#REF!+AE274</f>
        <v>#REF!</v>
      </c>
      <c r="AF275" s="2614" t="e">
        <f>+#REF!+AF274</f>
        <v>#REF!</v>
      </c>
    </row>
    <row r="276" spans="4:38" s="3170" customFormat="1" ht="35" customHeight="1" x14ac:dyDescent="0.25">
      <c r="D276" s="8468">
        <v>19.05</v>
      </c>
      <c r="E276" s="4327" t="s">
        <v>16</v>
      </c>
      <c r="F276" s="3594"/>
      <c r="G276" s="3594"/>
      <c r="H276" s="3594"/>
      <c r="I276" s="3594"/>
      <c r="J276" s="3594"/>
      <c r="K276" s="3594"/>
      <c r="L276" s="3594"/>
      <c r="M276" s="3594"/>
      <c r="N276" s="3594"/>
      <c r="O276" s="3594"/>
      <c r="P276" s="3594"/>
      <c r="Q276" s="3594"/>
      <c r="R276" s="3594"/>
      <c r="S276" s="3594"/>
      <c r="T276" s="3594"/>
      <c r="U276" s="3594"/>
      <c r="V276" s="3594"/>
      <c r="W276" s="3594"/>
      <c r="X276" s="3594"/>
      <c r="Y276" s="3594"/>
      <c r="Z276" s="3594"/>
      <c r="AA276" s="3594"/>
      <c r="AB276" s="3594"/>
      <c r="AC276" s="3594"/>
      <c r="AD276" s="3594"/>
      <c r="AE276" s="4292"/>
      <c r="AF276" s="4328"/>
      <c r="AG276" s="4756"/>
      <c r="AH276" s="4756"/>
      <c r="AI276" s="4756"/>
      <c r="AJ276" s="4756"/>
      <c r="AK276" s="4756"/>
      <c r="AL276" s="4756"/>
    </row>
    <row r="277" spans="4:38" ht="35" customHeight="1" x14ac:dyDescent="0.25">
      <c r="D277" s="8469"/>
      <c r="E277" s="67" t="s">
        <v>867</v>
      </c>
      <c r="F277" s="3388">
        <f>+F51+F52</f>
        <v>94808</v>
      </c>
      <c r="G277" s="3388">
        <f>+G51+G52</f>
        <v>65937</v>
      </c>
      <c r="H277" s="3075">
        <f>+F277+G277</f>
        <v>160745</v>
      </c>
      <c r="I277" s="3388">
        <f>+I51+I52</f>
        <v>71452.667699999991</v>
      </c>
      <c r="J277" s="2868">
        <f>+H277+I277</f>
        <v>232197.66769999999</v>
      </c>
      <c r="K277" s="3388">
        <f>+K51+K52</f>
        <v>123189.05</v>
      </c>
      <c r="L277" s="3538">
        <f>+J277+K277</f>
        <v>355386.71769999998</v>
      </c>
      <c r="M277" s="3388">
        <f>+M51+M52</f>
        <v>79757.8</v>
      </c>
      <c r="N277" s="693">
        <f>+L277+M277</f>
        <v>435144.51769999997</v>
      </c>
      <c r="O277" s="3388">
        <f>+O51+O52</f>
        <v>74912</v>
      </c>
      <c r="P277" s="846">
        <f t="shared" ref="P277:P281" si="838">+K277+M277+O277</f>
        <v>277858.84999999998</v>
      </c>
      <c r="Q277" s="847">
        <f t="shared" ref="Q277:Q281" si="839">+N277+O277</f>
        <v>510056.51769999997</v>
      </c>
      <c r="R277" s="3388">
        <f>+R51+R52</f>
        <v>53804</v>
      </c>
      <c r="S277" s="693">
        <f>+Q277+R277</f>
        <v>563860.51769999997</v>
      </c>
      <c r="T277" s="3388">
        <f>+T51+T52</f>
        <v>82187</v>
      </c>
      <c r="U277" s="693">
        <f>+S277+T277</f>
        <v>646047.51769999997</v>
      </c>
      <c r="V277" s="3388">
        <f>+V51+V52</f>
        <v>117613.92929999996</v>
      </c>
      <c r="W277" s="846">
        <f t="shared" ref="W277:W281" si="840">+R277+T277+V277</f>
        <v>253604.92929999996</v>
      </c>
      <c r="X277" s="735">
        <f t="shared" ref="X277:X281" si="841">+U277+V277</f>
        <v>763661.44699999993</v>
      </c>
      <c r="Y277" s="3388">
        <f>+Y51+Y52</f>
        <v>108018.96230224997</v>
      </c>
      <c r="Z277" s="693">
        <f>+X277+Y277</f>
        <v>871680.4093022499</v>
      </c>
      <c r="AA277" s="3388">
        <f>+AA51+AA52</f>
        <v>73081.635904759052</v>
      </c>
      <c r="AB277" s="735">
        <f>+Z277+AA277</f>
        <v>944762.04520700895</v>
      </c>
      <c r="AC277" s="3388">
        <f>+AC51+AC52</f>
        <v>66441.328000000009</v>
      </c>
      <c r="AD277" s="698">
        <f t="shared" ref="AD277:AD281" si="842">+Y277+AA277+AC277</f>
        <v>247541.92620700903</v>
      </c>
      <c r="AE277" s="769">
        <f t="shared" ref="AE277:AE281" si="843">+W277+AD277</f>
        <v>501146.85550700896</v>
      </c>
      <c r="AF277" s="2590">
        <f t="shared" ref="AF277:AF281" si="844">+AB277+AC277</f>
        <v>1011203.3732070089</v>
      </c>
    </row>
    <row r="278" spans="4:38" ht="35" customHeight="1" x14ac:dyDescent="0.25">
      <c r="D278" s="8469"/>
      <c r="E278" s="67" t="s">
        <v>1474</v>
      </c>
      <c r="F278" s="3388">
        <f>+F54</f>
        <v>8073.1400000000012</v>
      </c>
      <c r="G278" s="3388">
        <f>+G54</f>
        <v>43712</v>
      </c>
      <c r="H278" s="3076">
        <f t="shared" ref="H278:J281" si="845">+F278+G278</f>
        <v>51785.14</v>
      </c>
      <c r="I278" s="3388">
        <f>+I54</f>
        <v>32149.444999999996</v>
      </c>
      <c r="J278" s="1061">
        <f t="shared" si="845"/>
        <v>83934.584999999992</v>
      </c>
      <c r="K278" s="3388">
        <f>+K54</f>
        <v>24173.96</v>
      </c>
      <c r="L278" s="1441">
        <f t="shared" ref="L278:L281" si="846">+J278+K278</f>
        <v>108108.54499999998</v>
      </c>
      <c r="M278" s="3388">
        <f>+M54</f>
        <v>61631.08</v>
      </c>
      <c r="N278" s="735">
        <f t="shared" ref="N278:N281" si="847">+L278+M278</f>
        <v>169739.625</v>
      </c>
      <c r="O278" s="3388">
        <f>+O54</f>
        <v>29247.88</v>
      </c>
      <c r="P278" s="846">
        <f t="shared" si="838"/>
        <v>115052.92000000001</v>
      </c>
      <c r="Q278" s="847">
        <f t="shared" si="839"/>
        <v>198987.505</v>
      </c>
      <c r="R278" s="3388">
        <f>+R54</f>
        <v>61701.120000000003</v>
      </c>
      <c r="S278" s="735">
        <f t="shared" ref="S278:S281" si="848">+Q278+R278</f>
        <v>260688.625</v>
      </c>
      <c r="T278" s="3388">
        <f>+T54</f>
        <v>50406.139999999992</v>
      </c>
      <c r="U278" s="735">
        <f t="shared" ref="U278:U281" si="849">+S278+T278</f>
        <v>311094.76500000001</v>
      </c>
      <c r="V278" s="3388">
        <f>+V54</f>
        <v>57486.36</v>
      </c>
      <c r="W278" s="846">
        <f t="shared" si="840"/>
        <v>169593.62</v>
      </c>
      <c r="X278" s="735">
        <f t="shared" si="841"/>
        <v>368581.125</v>
      </c>
      <c r="Y278" s="3388">
        <f>+Y54</f>
        <v>49884.960000000006</v>
      </c>
      <c r="Z278" s="735">
        <f t="shared" ref="Z278:Z281" si="850">+X278+Y278</f>
        <v>418466.08500000002</v>
      </c>
      <c r="AA278" s="3388">
        <f>+AA54</f>
        <v>61851.500000000007</v>
      </c>
      <c r="AB278" s="735">
        <f t="shared" ref="AB278:AB281" si="851">+Z278+AA278</f>
        <v>480317.58500000002</v>
      </c>
      <c r="AC278" s="3388">
        <f>+AC54</f>
        <v>52820.460000000006</v>
      </c>
      <c r="AD278" s="698">
        <f t="shared" si="842"/>
        <v>164556.92000000004</v>
      </c>
      <c r="AE278" s="769">
        <f t="shared" si="843"/>
        <v>334150.54000000004</v>
      </c>
      <c r="AF278" s="2590">
        <f t="shared" si="844"/>
        <v>533138.04500000004</v>
      </c>
    </row>
    <row r="279" spans="4:38" ht="35" customHeight="1" x14ac:dyDescent="0.25">
      <c r="D279" s="8469"/>
      <c r="E279" s="67" t="s">
        <v>1475</v>
      </c>
      <c r="F279" s="3388">
        <f>+SUM(F823:F834)</f>
        <v>0</v>
      </c>
      <c r="G279" s="3388">
        <f>+SUM(G823:G834)</f>
        <v>0</v>
      </c>
      <c r="H279" s="3076">
        <f t="shared" si="845"/>
        <v>0</v>
      </c>
      <c r="I279" s="3388">
        <f>+SUM(I823:I834)</f>
        <v>0</v>
      </c>
      <c r="J279" s="1061">
        <f t="shared" si="845"/>
        <v>0</v>
      </c>
      <c r="K279" s="3388">
        <f>+SUM(K823:K834)</f>
        <v>0</v>
      </c>
      <c r="L279" s="1441">
        <f t="shared" si="846"/>
        <v>0</v>
      </c>
      <c r="M279" s="3388">
        <f>+SUM(M823:M834)</f>
        <v>23508.99</v>
      </c>
      <c r="N279" s="735">
        <f t="shared" si="847"/>
        <v>23508.99</v>
      </c>
      <c r="O279" s="3388">
        <f>+SUM(O823:O834)</f>
        <v>9793.17</v>
      </c>
      <c r="P279" s="846">
        <f t="shared" ref="P279" si="852">+K279+M279+O279</f>
        <v>33302.160000000003</v>
      </c>
      <c r="Q279" s="847">
        <f t="shared" ref="Q279" si="853">+N279+O279</f>
        <v>33302.160000000003</v>
      </c>
      <c r="R279" s="3388">
        <f>+SUM(R823:R834)</f>
        <v>4719.5999999999995</v>
      </c>
      <c r="S279" s="735">
        <f t="shared" si="848"/>
        <v>38021.760000000002</v>
      </c>
      <c r="T279" s="3388">
        <f>+SUM(T823:T834)</f>
        <v>8041.95</v>
      </c>
      <c r="U279" s="735">
        <f t="shared" si="849"/>
        <v>46063.71</v>
      </c>
      <c r="V279" s="3388">
        <f>+SUM(V823:V834)</f>
        <v>6280.3799999999992</v>
      </c>
      <c r="W279" s="846">
        <f t="shared" ref="W279" si="854">+R279+T279+V279</f>
        <v>19041.93</v>
      </c>
      <c r="X279" s="735">
        <f t="shared" ref="X279" si="855">+U279+V279</f>
        <v>52344.09</v>
      </c>
      <c r="Y279" s="3388">
        <f>+SUM(Y823:Y834)</f>
        <v>0</v>
      </c>
      <c r="Z279" s="735">
        <f t="shared" si="850"/>
        <v>52344.09</v>
      </c>
      <c r="AA279" s="3388">
        <f>+SUM(AA823:AA834)</f>
        <v>12316.499999999998</v>
      </c>
      <c r="AB279" s="735">
        <f t="shared" si="851"/>
        <v>64660.59</v>
      </c>
      <c r="AC279" s="3388">
        <f>+SUM(AC823:AC834)</f>
        <v>10203.030000000001</v>
      </c>
      <c r="AD279" s="698">
        <f t="shared" ref="AD279" si="856">+Y279+AA279+AC279</f>
        <v>22519.53</v>
      </c>
      <c r="AE279" s="769">
        <f t="shared" ref="AE279" si="857">+W279+AD279</f>
        <v>41561.46</v>
      </c>
      <c r="AF279" s="2590">
        <f t="shared" ref="AF279" si="858">+AB279+AC279</f>
        <v>74863.62</v>
      </c>
    </row>
    <row r="280" spans="4:38" ht="35" customHeight="1" x14ac:dyDescent="0.25">
      <c r="D280" s="8469"/>
      <c r="E280" s="67" t="s">
        <v>868</v>
      </c>
      <c r="F280" s="3388">
        <f>+F844-F279</f>
        <v>14366.399999999998</v>
      </c>
      <c r="G280" s="3388">
        <f>+G844-G279</f>
        <v>17667.72</v>
      </c>
      <c r="H280" s="3076">
        <f t="shared" si="845"/>
        <v>32034.12</v>
      </c>
      <c r="I280" s="3388">
        <f>+I844-I279</f>
        <v>31338.144000000004</v>
      </c>
      <c r="J280" s="1061">
        <f t="shared" si="845"/>
        <v>63372.264000000003</v>
      </c>
      <c r="K280" s="3388">
        <f>+K844-K279</f>
        <v>0</v>
      </c>
      <c r="L280" s="1441">
        <f t="shared" si="846"/>
        <v>63372.264000000003</v>
      </c>
      <c r="M280" s="3388">
        <f>+M844-M279</f>
        <v>14113.259999999991</v>
      </c>
      <c r="N280" s="735">
        <f t="shared" si="847"/>
        <v>77485.52399999999</v>
      </c>
      <c r="O280" s="3388">
        <f>+O844-O279</f>
        <v>23506.919999999991</v>
      </c>
      <c r="P280" s="846">
        <f t="shared" si="838"/>
        <v>37620.179999999978</v>
      </c>
      <c r="Q280" s="847">
        <f t="shared" si="839"/>
        <v>100992.44399999999</v>
      </c>
      <c r="R280" s="3388">
        <f>+R844-R279</f>
        <v>21759.839999999993</v>
      </c>
      <c r="S280" s="735">
        <f t="shared" si="848"/>
        <v>122752.28399999999</v>
      </c>
      <c r="T280" s="3388">
        <f>+T844-T279</f>
        <v>33119.999999999993</v>
      </c>
      <c r="U280" s="735">
        <f t="shared" si="849"/>
        <v>155872.28399999999</v>
      </c>
      <c r="V280" s="3388">
        <f>+V844-V279</f>
        <v>29131.11</v>
      </c>
      <c r="W280" s="846">
        <f t="shared" si="840"/>
        <v>84010.949999999983</v>
      </c>
      <c r="X280" s="735">
        <f t="shared" si="841"/>
        <v>185003.39399999997</v>
      </c>
      <c r="Y280" s="3388">
        <f>+Y844-Y279</f>
        <v>35558.46</v>
      </c>
      <c r="Z280" s="735">
        <f t="shared" si="850"/>
        <v>220561.85399999996</v>
      </c>
      <c r="AA280" s="3388">
        <f>+AA844-AA279</f>
        <v>25363.71</v>
      </c>
      <c r="AB280" s="735">
        <f t="shared" si="851"/>
        <v>245925.56399999995</v>
      </c>
      <c r="AC280" s="3388">
        <f>+AC844-AC279</f>
        <v>23324.760000000002</v>
      </c>
      <c r="AD280" s="698">
        <f t="shared" si="842"/>
        <v>84246.93</v>
      </c>
      <c r="AE280" s="769">
        <f t="shared" si="843"/>
        <v>168257.87999999998</v>
      </c>
      <c r="AF280" s="2590">
        <f t="shared" si="844"/>
        <v>269250.32399999996</v>
      </c>
    </row>
    <row r="281" spans="4:38" ht="35" customHeight="1" thickBot="1" x14ac:dyDescent="0.3">
      <c r="D281" s="8469"/>
      <c r="E281" s="968" t="s">
        <v>1463</v>
      </c>
      <c r="F281" s="4618">
        <f>+F53</f>
        <v>0</v>
      </c>
      <c r="G281" s="4618">
        <f>+G53</f>
        <v>0</v>
      </c>
      <c r="H281" s="3516">
        <f t="shared" si="845"/>
        <v>0</v>
      </c>
      <c r="I281" s="4618">
        <f>+I53</f>
        <v>0</v>
      </c>
      <c r="J281" s="3480">
        <f t="shared" si="845"/>
        <v>0</v>
      </c>
      <c r="K281" s="4618">
        <f>+K53</f>
        <v>0</v>
      </c>
      <c r="L281" s="3573">
        <f t="shared" si="846"/>
        <v>0</v>
      </c>
      <c r="M281" s="4618">
        <f>+M53</f>
        <v>12459.891338040299</v>
      </c>
      <c r="N281" s="737">
        <f t="shared" si="847"/>
        <v>12459.891338040299</v>
      </c>
      <c r="O281" s="4618">
        <f>+O53</f>
        <v>2335.96</v>
      </c>
      <c r="P281" s="846">
        <f t="shared" si="838"/>
        <v>14795.851338040298</v>
      </c>
      <c r="Q281" s="847">
        <f t="shared" si="839"/>
        <v>14795.851338040298</v>
      </c>
      <c r="R281" s="4618">
        <f>+R53</f>
        <v>11735.992649846499</v>
      </c>
      <c r="S281" s="737">
        <f t="shared" si="848"/>
        <v>26531.843987886798</v>
      </c>
      <c r="T281" s="4618">
        <f>+T53</f>
        <v>5543.1141904971</v>
      </c>
      <c r="U281" s="737">
        <f t="shared" si="849"/>
        <v>32074.958178383898</v>
      </c>
      <c r="V281" s="4618">
        <f>+V53</f>
        <v>0</v>
      </c>
      <c r="W281" s="846">
        <f t="shared" si="840"/>
        <v>17279.1068403436</v>
      </c>
      <c r="X281" s="735">
        <f t="shared" si="841"/>
        <v>32074.958178383898</v>
      </c>
      <c r="Y281" s="4618">
        <f>+Y53</f>
        <v>16592.98619775</v>
      </c>
      <c r="Z281" s="737">
        <f t="shared" si="850"/>
        <v>48667.944376133899</v>
      </c>
      <c r="AA281" s="4618">
        <f>+AA53</f>
        <v>18479.346495240959</v>
      </c>
      <c r="AB281" s="735">
        <f t="shared" si="851"/>
        <v>67147.290871374862</v>
      </c>
      <c r="AC281" s="4618">
        <f>+AC53</f>
        <v>16189.673317831108</v>
      </c>
      <c r="AD281" s="698">
        <f t="shared" si="842"/>
        <v>51262.006010822064</v>
      </c>
      <c r="AE281" s="769">
        <f t="shared" si="843"/>
        <v>68541.112851165672</v>
      </c>
      <c r="AF281" s="2590">
        <f t="shared" si="844"/>
        <v>83336.964189205974</v>
      </c>
    </row>
    <row r="282" spans="4:38" ht="35" customHeight="1" thickBot="1" x14ac:dyDescent="0.3">
      <c r="D282" s="8470"/>
      <c r="E282" s="429" t="s">
        <v>15</v>
      </c>
      <c r="F282" s="922">
        <f t="shared" ref="F282:G282" si="859">SUM(F277:F281)</f>
        <v>117247.54</v>
      </c>
      <c r="G282" s="922">
        <f t="shared" si="859"/>
        <v>127316.72</v>
      </c>
      <c r="H282" s="575">
        <f>+F282+G282</f>
        <v>244564.26</v>
      </c>
      <c r="I282" s="922">
        <f t="shared" ref="I282" si="860">SUM(I277:I281)</f>
        <v>134940.2567</v>
      </c>
      <c r="J282" s="704">
        <f>+H282+I282</f>
        <v>379504.51670000004</v>
      </c>
      <c r="K282" s="922">
        <f t="shared" ref="K282" si="861">SUM(K277:K281)</f>
        <v>147363.01</v>
      </c>
      <c r="L282" s="679">
        <f>+J282+K282</f>
        <v>526867.52670000005</v>
      </c>
      <c r="M282" s="922">
        <f t="shared" ref="M282" si="862">SUM(M277:M281)</f>
        <v>191471.02133804027</v>
      </c>
      <c r="N282" s="599">
        <f>+L282+M282</f>
        <v>718338.54803804029</v>
      </c>
      <c r="O282" s="922">
        <f t="shared" ref="O282" si="863">SUM(O277:O281)</f>
        <v>139795.93</v>
      </c>
      <c r="P282" s="923">
        <f>+Q282-J282</f>
        <v>478629.96133804019</v>
      </c>
      <c r="Q282" s="916">
        <f>+N282+O282</f>
        <v>858134.47803804022</v>
      </c>
      <c r="R282" s="922">
        <f t="shared" ref="R282" si="864">SUM(R277:R281)</f>
        <v>153720.5526498465</v>
      </c>
      <c r="S282" s="599">
        <f>+Q282+R282</f>
        <v>1011855.0306878868</v>
      </c>
      <c r="T282" s="922">
        <f t="shared" ref="T282" si="865">SUM(T277:T281)</f>
        <v>179298.20419049708</v>
      </c>
      <c r="U282" s="599">
        <f>+S282+T282</f>
        <v>1191153.2348783838</v>
      </c>
      <c r="V282" s="922">
        <f t="shared" ref="V282" si="866">SUM(V277:V281)</f>
        <v>210511.77929999994</v>
      </c>
      <c r="W282" s="923">
        <f t="shared" ref="W282:AF282" si="867">SUM(W277:W281)</f>
        <v>543530.53614034352</v>
      </c>
      <c r="X282" s="599">
        <f t="shared" si="867"/>
        <v>1401665.0141783839</v>
      </c>
      <c r="Y282" s="922">
        <f t="shared" si="867"/>
        <v>210055.36849999998</v>
      </c>
      <c r="Z282" s="599">
        <f t="shared" si="867"/>
        <v>1611720.382678384</v>
      </c>
      <c r="AA282" s="922">
        <f t="shared" ref="AA282" si="868">SUM(AA277:AA281)</f>
        <v>191092.6924</v>
      </c>
      <c r="AB282" s="599">
        <f t="shared" si="867"/>
        <v>1802813.0750783838</v>
      </c>
      <c r="AC282" s="922">
        <f t="shared" ref="AC282" si="869">SUM(AC277:AC281)</f>
        <v>168979.25131783111</v>
      </c>
      <c r="AD282" s="573">
        <f t="shared" si="867"/>
        <v>570127.31221783115</v>
      </c>
      <c r="AE282" s="767">
        <f t="shared" si="867"/>
        <v>1113657.8483581746</v>
      </c>
      <c r="AF282" s="2588">
        <f t="shared" si="867"/>
        <v>1971792.326396215</v>
      </c>
    </row>
    <row r="283" spans="4:38" s="3170" customFormat="1" ht="35" customHeight="1" x14ac:dyDescent="0.25">
      <c r="D283" s="4325" t="s">
        <v>1231</v>
      </c>
      <c r="E283" s="3738"/>
      <c r="F283" s="3597"/>
      <c r="G283" s="3597"/>
      <c r="H283" s="3597"/>
      <c r="I283" s="3597"/>
      <c r="J283" s="3597"/>
      <c r="K283" s="3597"/>
      <c r="L283" s="3597"/>
      <c r="M283" s="3597"/>
      <c r="N283" s="3597"/>
      <c r="O283" s="3597"/>
      <c r="P283" s="3597"/>
      <c r="Q283" s="3597"/>
      <c r="R283" s="3597"/>
      <c r="S283" s="3597"/>
      <c r="T283" s="3597"/>
      <c r="U283" s="3597"/>
      <c r="V283" s="3597"/>
      <c r="W283" s="3597"/>
      <c r="X283" s="3597"/>
      <c r="Y283" s="3597"/>
      <c r="Z283" s="3597"/>
      <c r="AA283" s="3597"/>
      <c r="AB283" s="4182"/>
      <c r="AC283" s="3597"/>
      <c r="AD283" s="4182"/>
      <c r="AE283" s="4326"/>
      <c r="AF283" s="4326"/>
      <c r="AG283" s="4756"/>
      <c r="AH283" s="4756"/>
      <c r="AI283" s="4756"/>
      <c r="AJ283" s="4756"/>
      <c r="AK283" s="4756"/>
      <c r="AL283" s="4756"/>
    </row>
    <row r="284" spans="4:38" ht="35" customHeight="1" thickBot="1" x14ac:dyDescent="0.35">
      <c r="D284" s="969" t="s">
        <v>10</v>
      </c>
      <c r="E284" s="970" t="s">
        <v>1</v>
      </c>
      <c r="F284" s="796" t="s">
        <v>9</v>
      </c>
      <c r="G284" s="796" t="s">
        <v>51</v>
      </c>
      <c r="H284" s="3531" t="s">
        <v>52</v>
      </c>
      <c r="I284" s="796" t="s">
        <v>1073</v>
      </c>
      <c r="J284" s="3484" t="s">
        <v>60</v>
      </c>
      <c r="K284" s="796" t="s">
        <v>2117</v>
      </c>
      <c r="L284" s="3520" t="s">
        <v>62</v>
      </c>
      <c r="M284" s="796" t="s">
        <v>63</v>
      </c>
      <c r="N284" s="1123" t="s">
        <v>64</v>
      </c>
      <c r="O284" s="796" t="s">
        <v>65</v>
      </c>
      <c r="P284" s="798" t="s">
        <v>66</v>
      </c>
      <c r="Q284" s="887" t="s">
        <v>82</v>
      </c>
      <c r="R284" s="796" t="s">
        <v>100</v>
      </c>
      <c r="S284" s="797" t="s">
        <v>101</v>
      </c>
      <c r="T284" s="796" t="s">
        <v>104</v>
      </c>
      <c r="U284" s="797" t="s">
        <v>105</v>
      </c>
      <c r="V284" s="796" t="s">
        <v>106</v>
      </c>
      <c r="W284" s="798" t="s">
        <v>107</v>
      </c>
      <c r="X284" s="1123" t="s">
        <v>108</v>
      </c>
      <c r="Y284" s="796" t="s">
        <v>109</v>
      </c>
      <c r="Z284" s="797" t="s">
        <v>110</v>
      </c>
      <c r="AA284" s="796" t="s">
        <v>112</v>
      </c>
      <c r="AB284" s="797" t="s">
        <v>113</v>
      </c>
      <c r="AC284" s="796" t="s">
        <v>114</v>
      </c>
      <c r="AD284" s="798" t="s">
        <v>115</v>
      </c>
      <c r="AE284" s="1310" t="s">
        <v>116</v>
      </c>
      <c r="AF284" s="2609" t="s">
        <v>117</v>
      </c>
    </row>
    <row r="285" spans="4:38" s="3170" customFormat="1" ht="35" customHeight="1" thickBot="1" x14ac:dyDescent="0.35">
      <c r="D285" s="4324"/>
      <c r="E285" s="4321" t="s">
        <v>1206</v>
      </c>
      <c r="F285" s="3610"/>
      <c r="G285" s="3610"/>
      <c r="H285" s="3610"/>
      <c r="I285" s="3610"/>
      <c r="J285" s="3610"/>
      <c r="K285" s="3610"/>
      <c r="L285" s="3610"/>
      <c r="M285" s="3610"/>
      <c r="N285" s="3610"/>
      <c r="O285" s="3610"/>
      <c r="P285" s="3610"/>
      <c r="Q285" s="3610"/>
      <c r="R285" s="3610"/>
      <c r="S285" s="3610"/>
      <c r="T285" s="3610"/>
      <c r="U285" s="3610"/>
      <c r="V285" s="3610"/>
      <c r="W285" s="3610"/>
      <c r="X285" s="3610"/>
      <c r="Y285" s="3610"/>
      <c r="Z285" s="3610"/>
      <c r="AA285" s="3610"/>
      <c r="AB285" s="3610"/>
      <c r="AC285" s="3610"/>
      <c r="AD285" s="3610"/>
      <c r="AE285" s="3610"/>
      <c r="AF285" s="3610"/>
      <c r="AG285" s="4756"/>
      <c r="AH285" s="4756"/>
      <c r="AI285" s="4756"/>
      <c r="AJ285" s="4756"/>
      <c r="AK285" s="4756"/>
      <c r="AL285" s="4756"/>
    </row>
    <row r="286" spans="4:38" ht="35" customHeight="1" x14ac:dyDescent="0.3">
      <c r="D286" s="1834"/>
      <c r="E286" s="1490" t="s">
        <v>194</v>
      </c>
      <c r="F286" s="2959">
        <f>+SUM(F833:F843)</f>
        <v>0</v>
      </c>
      <c r="G286" s="2959">
        <f>+SUM(G833:G843)</f>
        <v>0</v>
      </c>
      <c r="H286" s="3532">
        <f>SUM(F286:G286)</f>
        <v>0</v>
      </c>
      <c r="I286" s="2959">
        <f>+SUM(I833:I843)</f>
        <v>0</v>
      </c>
      <c r="J286" s="1953">
        <f>SUM(H286:I286)</f>
        <v>0</v>
      </c>
      <c r="K286" s="2959">
        <f>+SUM(K833:K843)</f>
        <v>0</v>
      </c>
      <c r="L286" s="3532">
        <f>SUM(J286:K286)</f>
        <v>0</v>
      </c>
      <c r="M286" s="2959">
        <f>+SUM(M833:M843)</f>
        <v>435.94000000000005</v>
      </c>
      <c r="N286" s="1908">
        <f>SUM(L286:M286)</f>
        <v>435.94000000000005</v>
      </c>
      <c r="O286" s="2959">
        <f>+SUM(O833:O843)</f>
        <v>281.52</v>
      </c>
      <c r="P286" s="2522">
        <f t="shared" ref="P286:P288" si="870">+K286+M286+O286</f>
        <v>717.46</v>
      </c>
      <c r="Q286" s="1071">
        <f t="shared" ref="Q286:Q288" si="871">+N286+O286</f>
        <v>717.46</v>
      </c>
      <c r="R286" s="2959">
        <f>+SUM(R833:R843)</f>
        <v>343.62</v>
      </c>
      <c r="S286" s="1147">
        <f>+Q286+R286</f>
        <v>1061.08</v>
      </c>
      <c r="T286" s="2959">
        <f>+SUM(T833:T843)</f>
        <v>165.6</v>
      </c>
      <c r="U286" s="1147">
        <f>+S286+T286</f>
        <v>1226.6799999999998</v>
      </c>
      <c r="V286" s="2959">
        <f>+SUM(V833:V843)</f>
        <v>351.9</v>
      </c>
      <c r="W286" s="1070">
        <f t="shared" ref="W286:W288" si="872">+R286+T286+V286</f>
        <v>861.12</v>
      </c>
      <c r="X286" s="714">
        <f t="shared" ref="X286:X288" si="873">+U286+V286</f>
        <v>1578.58</v>
      </c>
      <c r="Y286" s="2959">
        <f>+SUM(Y833:Y843)</f>
        <v>264.96000000000004</v>
      </c>
      <c r="Z286" s="1147">
        <f>SUM(X286:Y286)</f>
        <v>1843.54</v>
      </c>
      <c r="AA286" s="2959">
        <f>+SUM(AA833:AA843)</f>
        <v>391.22999999999996</v>
      </c>
      <c r="AB286" s="714">
        <f>+Z286+AA286</f>
        <v>2234.77</v>
      </c>
      <c r="AC286" s="2959">
        <f>+SUM(AC833:AC843)</f>
        <v>417.96000000000004</v>
      </c>
      <c r="AD286" s="1070">
        <f t="shared" ref="AD286:AD288" si="874">+Y286+AA286+AC286</f>
        <v>1074.1500000000001</v>
      </c>
      <c r="AE286" s="769">
        <f t="shared" ref="AE286:AE288" si="875">+W286+AD286</f>
        <v>1935.27</v>
      </c>
      <c r="AF286" s="2582">
        <f t="shared" ref="AF286:AF288" si="876">+AB286+AC286</f>
        <v>2652.73</v>
      </c>
    </row>
    <row r="287" spans="4:38" ht="35" customHeight="1" x14ac:dyDescent="0.3">
      <c r="D287" s="1834"/>
      <c r="E287" s="961" t="s">
        <v>341</v>
      </c>
      <c r="F287" s="2960">
        <f>+SUM(F957:F963)</f>
        <v>0</v>
      </c>
      <c r="G287" s="2960">
        <f>+SUM(G957:G963)</f>
        <v>0</v>
      </c>
      <c r="H287" s="3533">
        <f t="shared" ref="H287:J288" si="877">SUM(F287:G287)</f>
        <v>0</v>
      </c>
      <c r="I287" s="2960">
        <f>+SUM(I957:I963)</f>
        <v>0</v>
      </c>
      <c r="J287" s="1954">
        <f t="shared" si="877"/>
        <v>0</v>
      </c>
      <c r="K287" s="2960">
        <f>+SUM(K957:K963)</f>
        <v>0</v>
      </c>
      <c r="L287" s="3533">
        <f t="shared" ref="L287:N288" si="878">SUM(J287:K287)</f>
        <v>0</v>
      </c>
      <c r="M287" s="2960">
        <f>+SUM(M957:M963)</f>
        <v>505.73</v>
      </c>
      <c r="N287" s="1909">
        <f t="shared" si="878"/>
        <v>505.73</v>
      </c>
      <c r="O287" s="2960">
        <f>+SUM(O957:O963)</f>
        <v>554.80000000000007</v>
      </c>
      <c r="P287" s="1070">
        <f t="shared" si="870"/>
        <v>1060.5300000000002</v>
      </c>
      <c r="Q287" s="1071">
        <f t="shared" si="871"/>
        <v>1060.5300000000002</v>
      </c>
      <c r="R287" s="2960">
        <f>+SUM(R957:R963)</f>
        <v>1002.12</v>
      </c>
      <c r="S287" s="661">
        <f t="shared" ref="S287:U288" si="879">+Q287+R287</f>
        <v>2062.65</v>
      </c>
      <c r="T287" s="2960">
        <f>+SUM(T957:T963)</f>
        <v>731.51</v>
      </c>
      <c r="U287" s="661">
        <f t="shared" si="879"/>
        <v>2794.16</v>
      </c>
      <c r="V287" s="2960">
        <f>+SUM(V957:V963)</f>
        <v>410</v>
      </c>
      <c r="W287" s="1070">
        <f t="shared" si="872"/>
        <v>2143.63</v>
      </c>
      <c r="X287" s="714">
        <f t="shared" si="873"/>
        <v>3204.16</v>
      </c>
      <c r="Y287" s="2960">
        <f>+SUM(Y957:Y963)</f>
        <v>326.20000000000005</v>
      </c>
      <c r="Z287" s="661">
        <f t="shared" ref="Z287:Z288" si="880">SUM(X287:Y287)</f>
        <v>3530.3599999999997</v>
      </c>
      <c r="AA287" s="2960">
        <f>+SUM(AA957:AA963)</f>
        <v>205.05</v>
      </c>
      <c r="AB287" s="714">
        <f t="shared" ref="AB287:AB288" si="881">+Z287+AA287</f>
        <v>3735.41</v>
      </c>
      <c r="AC287" s="2960">
        <f>+SUM(AC957:AC963)</f>
        <v>306</v>
      </c>
      <c r="AD287" s="1070">
        <f t="shared" si="874"/>
        <v>837.25</v>
      </c>
      <c r="AE287" s="769">
        <f t="shared" si="875"/>
        <v>2980.88</v>
      </c>
      <c r="AF287" s="2582">
        <f t="shared" si="876"/>
        <v>4041.41</v>
      </c>
    </row>
    <row r="288" spans="4:38" ht="35" customHeight="1" thickBot="1" x14ac:dyDescent="0.35">
      <c r="D288" s="1834"/>
      <c r="E288" s="961" t="s">
        <v>518</v>
      </c>
      <c r="F288" s="2958">
        <f>+SUM(F1054:F1062)</f>
        <v>0</v>
      </c>
      <c r="G288" s="2958">
        <f>+SUM(G1054:G1062)</f>
        <v>0</v>
      </c>
      <c r="H288" s="3534">
        <f t="shared" si="877"/>
        <v>0</v>
      </c>
      <c r="I288" s="2958">
        <f>+SUM(I1054:I1062)</f>
        <v>0</v>
      </c>
      <c r="J288" s="1955">
        <f t="shared" si="877"/>
        <v>0</v>
      </c>
      <c r="K288" s="2958">
        <f>+SUM(K1054:K1062)</f>
        <v>0</v>
      </c>
      <c r="L288" s="3578">
        <f t="shared" si="878"/>
        <v>0</v>
      </c>
      <c r="M288" s="2958">
        <f>+SUM(M1054:M1062)</f>
        <v>280.68999999999994</v>
      </c>
      <c r="N288" s="1995">
        <f t="shared" si="878"/>
        <v>280.68999999999994</v>
      </c>
      <c r="O288" s="2958">
        <f>+SUM(O1054:O1062)</f>
        <v>46.7164</v>
      </c>
      <c r="P288" s="3023">
        <f t="shared" si="870"/>
        <v>327.40639999999996</v>
      </c>
      <c r="Q288" s="2222">
        <f t="shared" si="871"/>
        <v>327.40639999999996</v>
      </c>
      <c r="R288" s="2958">
        <f>+SUM(R1054:R1062)</f>
        <v>357.00400000000002</v>
      </c>
      <c r="S288" s="2305">
        <f t="shared" si="879"/>
        <v>684.41039999999998</v>
      </c>
      <c r="T288" s="2958">
        <f>+SUM(T1054:T1062)</f>
        <v>115.59</v>
      </c>
      <c r="U288" s="2305">
        <f t="shared" si="879"/>
        <v>800.00040000000001</v>
      </c>
      <c r="V288" s="2958">
        <f>+SUM(V1054:V1062)</f>
        <v>0</v>
      </c>
      <c r="W288" s="2221">
        <f t="shared" si="872"/>
        <v>472.59400000000005</v>
      </c>
      <c r="X288" s="717">
        <f t="shared" si="873"/>
        <v>800.00040000000001</v>
      </c>
      <c r="Y288" s="2958">
        <f>+SUM(Y1054:Y1062)</f>
        <v>439.17099999999999</v>
      </c>
      <c r="Z288" s="2305">
        <f t="shared" si="880"/>
        <v>1239.1713999999999</v>
      </c>
      <c r="AA288" s="2958">
        <f>+SUM(AA1054:AA1062)</f>
        <v>295.70150000000001</v>
      </c>
      <c r="AB288" s="717">
        <f t="shared" si="881"/>
        <v>1534.8728999999998</v>
      </c>
      <c r="AC288" s="2958">
        <f>+SUM(AC1054:AC1062)</f>
        <v>341.35700000000003</v>
      </c>
      <c r="AD288" s="2221">
        <f t="shared" si="874"/>
        <v>1076.2294999999999</v>
      </c>
      <c r="AE288" s="1322">
        <f t="shared" si="875"/>
        <v>1548.8235</v>
      </c>
      <c r="AF288" s="2615">
        <f t="shared" si="876"/>
        <v>1876.2298999999998</v>
      </c>
    </row>
    <row r="289" spans="4:38" ht="35" customHeight="1" thickBot="1" x14ac:dyDescent="0.35">
      <c r="D289" s="1834"/>
      <c r="E289" s="972" t="s">
        <v>15</v>
      </c>
      <c r="F289" s="705">
        <f t="shared" ref="F289:G289" si="882">SUM(F286:F288)</f>
        <v>0</v>
      </c>
      <c r="G289" s="705">
        <f t="shared" si="882"/>
        <v>0</v>
      </c>
      <c r="H289" s="575">
        <f t="shared" ref="H289:I289" si="883">SUM(H286:H288)</f>
        <v>0</v>
      </c>
      <c r="I289" s="705">
        <f t="shared" si="883"/>
        <v>0</v>
      </c>
      <c r="J289" s="704">
        <f t="shared" ref="J289:K289" si="884">SUM(J286:J288)</f>
        <v>0</v>
      </c>
      <c r="K289" s="705">
        <f t="shared" si="884"/>
        <v>0</v>
      </c>
      <c r="L289" s="3579">
        <f>SUM(L286:L288)</f>
        <v>0</v>
      </c>
      <c r="M289" s="705">
        <f t="shared" ref="M289:O289" si="885">SUM(M286:M288)</f>
        <v>1222.3600000000001</v>
      </c>
      <c r="N289" s="1994">
        <f>SUM(N286:N288)</f>
        <v>1222.3600000000001</v>
      </c>
      <c r="O289" s="705">
        <f t="shared" si="885"/>
        <v>883.03640000000007</v>
      </c>
      <c r="P289" s="573">
        <f>SUM(P286:P288)</f>
        <v>2105.3964000000001</v>
      </c>
      <c r="Q289" s="768">
        <f>SUM(Q286:Q288)</f>
        <v>2105.3964000000001</v>
      </c>
      <c r="R289" s="705">
        <f t="shared" ref="R289" si="886">SUM(R286:R288)</f>
        <v>1702.7440000000001</v>
      </c>
      <c r="S289" s="572">
        <f t="shared" ref="S289:X289" si="887">SUM(S286:S288)</f>
        <v>3808.1404000000002</v>
      </c>
      <c r="T289" s="705">
        <f t="shared" si="887"/>
        <v>1012.7</v>
      </c>
      <c r="U289" s="572">
        <f t="shared" si="887"/>
        <v>4820.8404</v>
      </c>
      <c r="V289" s="705">
        <f t="shared" si="887"/>
        <v>761.9</v>
      </c>
      <c r="W289" s="573">
        <f t="shared" si="887"/>
        <v>3477.3440000000001</v>
      </c>
      <c r="X289" s="572">
        <f t="shared" si="887"/>
        <v>5582.7403999999997</v>
      </c>
      <c r="Y289" s="705">
        <f t="shared" ref="Y289" si="888">SUM(Y286:Y288)</f>
        <v>1030.3310000000001</v>
      </c>
      <c r="Z289" s="572">
        <f t="shared" ref="Z289:AE289" si="889">SUM(Z286:Z288)</f>
        <v>6613.0713999999998</v>
      </c>
      <c r="AA289" s="705">
        <f t="shared" si="889"/>
        <v>891.98149999999998</v>
      </c>
      <c r="AB289" s="572">
        <f t="shared" si="889"/>
        <v>7505.0529000000006</v>
      </c>
      <c r="AC289" s="705">
        <f t="shared" si="889"/>
        <v>1065.317</v>
      </c>
      <c r="AD289" s="573">
        <f t="shared" si="889"/>
        <v>2987.6295</v>
      </c>
      <c r="AE289" s="775">
        <f t="shared" si="889"/>
        <v>6464.9735000000001</v>
      </c>
      <c r="AF289" s="2588">
        <f>SUM(AF286:AF288)</f>
        <v>8570.3698999999997</v>
      </c>
    </row>
    <row r="290" spans="4:38" s="3170" customFormat="1" ht="35" customHeight="1" thickBot="1" x14ac:dyDescent="0.4">
      <c r="D290" s="8468">
        <v>19.059999999999999</v>
      </c>
      <c r="E290" s="4321" t="s">
        <v>1100</v>
      </c>
      <c r="F290" s="4322"/>
      <c r="G290" s="4322"/>
      <c r="H290" s="3609"/>
      <c r="I290" s="4322"/>
      <c r="J290" s="3609"/>
      <c r="K290" s="4322"/>
      <c r="L290" s="3609"/>
      <c r="M290" s="4322"/>
      <c r="N290" s="3609"/>
      <c r="O290" s="4322"/>
      <c r="P290" s="3609"/>
      <c r="Q290" s="3609"/>
      <c r="R290" s="4322"/>
      <c r="S290" s="3609"/>
      <c r="T290" s="4322"/>
      <c r="U290" s="3609"/>
      <c r="V290" s="4322"/>
      <c r="W290" s="3609"/>
      <c r="X290" s="3609"/>
      <c r="Y290" s="4322"/>
      <c r="Z290" s="3609"/>
      <c r="AA290" s="4322"/>
      <c r="AB290" s="4323"/>
      <c r="AC290" s="4322"/>
      <c r="AD290" s="4323"/>
      <c r="AE290" s="4271"/>
      <c r="AF290" s="4271"/>
      <c r="AG290" s="4756"/>
      <c r="AH290" s="4756"/>
      <c r="AI290" s="4756"/>
      <c r="AJ290" s="4756"/>
      <c r="AK290" s="4756"/>
      <c r="AL290" s="4756"/>
    </row>
    <row r="291" spans="4:38" ht="35" customHeight="1" x14ac:dyDescent="0.25">
      <c r="D291" s="8469"/>
      <c r="E291" s="4674" t="s">
        <v>69</v>
      </c>
      <c r="F291" s="3388">
        <f>+F844-SUM(F832:F843)-F827</f>
        <v>14366.399999999998</v>
      </c>
      <c r="G291" s="3388">
        <f>+G844-SUM(G832:G843)-G827</f>
        <v>17667.72</v>
      </c>
      <c r="H291" s="3530">
        <f t="shared" ref="H291:J296" si="890">+F291+G291</f>
        <v>32034.12</v>
      </c>
      <c r="I291" s="3388">
        <f>+I844-SUM(I832:I843)-I827</f>
        <v>31338.144000000004</v>
      </c>
      <c r="J291" s="3022">
        <f t="shared" si="890"/>
        <v>63372.264000000003</v>
      </c>
      <c r="K291" s="3388">
        <f>+K844-SUM(K832:K843)-K827</f>
        <v>0</v>
      </c>
      <c r="L291" s="2483">
        <f t="shared" ref="L291:L296" si="891">+J291+K291</f>
        <v>63372.264000000003</v>
      </c>
      <c r="M291" s="3388">
        <f>+M844-SUM(M832:M843)-M827</f>
        <v>37144.909999999996</v>
      </c>
      <c r="N291" s="739">
        <f t="shared" ref="N291:N296" si="892">+L291+M291</f>
        <v>100517.174</v>
      </c>
      <c r="O291" s="3388">
        <f>+O844-SUM(O832:O843)-O827</f>
        <v>33014.429999999993</v>
      </c>
      <c r="P291" s="3024">
        <f t="shared" ref="P291:P314" si="893">+K291+M291+O291</f>
        <v>70159.34</v>
      </c>
      <c r="Q291" s="847">
        <f t="shared" ref="Q291:Q296" si="894">+N291+O291</f>
        <v>133531.60399999999</v>
      </c>
      <c r="R291" s="3388">
        <f>+R844-SUM(R832:R843)-R827</f>
        <v>26135.819999999992</v>
      </c>
      <c r="S291" s="739">
        <f t="shared" ref="S291:U296" si="895">+Q291+R291</f>
        <v>159667.424</v>
      </c>
      <c r="T291" s="3388">
        <f>+T844-SUM(T832:T843)-T827</f>
        <v>40996.349999999991</v>
      </c>
      <c r="U291" s="739">
        <f t="shared" si="895"/>
        <v>200663.77399999998</v>
      </c>
      <c r="V291" s="3388">
        <f>+V844-SUM(V832:V843)-V827</f>
        <v>35045.1</v>
      </c>
      <c r="W291" s="846">
        <f t="shared" ref="W291:W294" si="896">+R291+T291+V291</f>
        <v>102177.26999999999</v>
      </c>
      <c r="X291" s="735">
        <f t="shared" ref="X291:X294" si="897">+U291+V291</f>
        <v>235708.87399999998</v>
      </c>
      <c r="Y291" s="3388">
        <f>+Y844-SUM(Y832:Y843)-Y827</f>
        <v>35293.5</v>
      </c>
      <c r="Z291" s="739">
        <f t="shared" ref="Z291:Z294" si="898">+X291+Y291</f>
        <v>271002.37399999995</v>
      </c>
      <c r="AA291" s="3388">
        <f>+AA844-SUM(AA832:AA843)-AA827</f>
        <v>37288.979999999996</v>
      </c>
      <c r="AB291" s="735">
        <f t="shared" ref="AB291:AB294" si="899">+Z291+AA291</f>
        <v>308291.35399999993</v>
      </c>
      <c r="AC291" s="3388">
        <f>+AC844-SUM(AC832:AC843)-AC827</f>
        <v>33109.83</v>
      </c>
      <c r="AD291" s="698">
        <f t="shared" ref="AD291:AD294" si="900">+Y291+AA291+AC291</f>
        <v>105692.31</v>
      </c>
      <c r="AE291" s="769">
        <f t="shared" ref="AE291:AE294" si="901">+W291+AD291</f>
        <v>207869.58</v>
      </c>
      <c r="AF291" s="2590">
        <f t="shared" ref="AF291:AF314" si="902">+AB291+AC291</f>
        <v>341401.18399999995</v>
      </c>
    </row>
    <row r="292" spans="4:38" ht="35" customHeight="1" x14ac:dyDescent="0.25">
      <c r="D292" s="8469"/>
      <c r="E292" s="4674" t="s">
        <v>336</v>
      </c>
      <c r="F292" s="3388">
        <f>+F964-SUM(F957:F963)-F923-F929-F938-F941-F947-F953-F955</f>
        <v>8073.1400000000012</v>
      </c>
      <c r="G292" s="3388">
        <f>+G964-SUM(G957:G963)-G923-G929-G938-G941-G947-G953-G955</f>
        <v>43711.875</v>
      </c>
      <c r="H292" s="3076">
        <f t="shared" ref="H292" si="903">+F292+G292</f>
        <v>51785.014999999999</v>
      </c>
      <c r="I292" s="3388">
        <f>+I964-SUM(I957:I963)-I923-I929-I938-I941-I947-I953-I955</f>
        <v>32149.444999999996</v>
      </c>
      <c r="J292" s="1061">
        <f t="shared" ref="J292" si="904">+H292+I292</f>
        <v>83934.459999999992</v>
      </c>
      <c r="K292" s="3388">
        <f>+K964-SUM(K957:K963)-K923-K929-K938-K941-K947-K953-K955</f>
        <v>0</v>
      </c>
      <c r="L292" s="1441">
        <f t="shared" ref="L292" si="905">+J292+K292</f>
        <v>83934.459999999992</v>
      </c>
      <c r="M292" s="3388">
        <f>+M964-SUM(M957:M963)-M923-M929-M938-M941-M947-M953-M955</f>
        <v>60412.014999999999</v>
      </c>
      <c r="N292" s="735">
        <f t="shared" ref="N292" si="906">+L292+M292</f>
        <v>144346.47499999998</v>
      </c>
      <c r="O292" s="3388">
        <f>+O964-SUM(O957:O963)-O923-O929-O938-O941-O947-O953-O955</f>
        <v>28563.58</v>
      </c>
      <c r="P292" s="1006">
        <f t="shared" si="893"/>
        <v>88975.595000000001</v>
      </c>
      <c r="Q292" s="847">
        <f t="shared" ref="Q292" si="907">+N292+O292</f>
        <v>172910.05499999999</v>
      </c>
      <c r="R292" s="3388">
        <f>+R964-SUM(R957:R963)-R923-R929-R938-R941-R947-R953-R955</f>
        <v>60360.6</v>
      </c>
      <c r="S292" s="735">
        <f t="shared" ref="S292" si="908">+Q292+R292</f>
        <v>233270.655</v>
      </c>
      <c r="T292" s="3388">
        <f>+T964-SUM(T957:T963)-T923-T929-T938-T941-T947-T953-T955</f>
        <v>49524.83</v>
      </c>
      <c r="U292" s="735">
        <f t="shared" ref="U292" si="909">+S292+T292</f>
        <v>282795.48499999999</v>
      </c>
      <c r="V292" s="3388">
        <f>+V964-SUM(V957:V963)-V923-V929-V938-V941-V947-V953-V955</f>
        <v>57014.21</v>
      </c>
      <c r="W292" s="846">
        <f t="shared" ref="W292" si="910">+R292+T292+V292</f>
        <v>166899.63999999998</v>
      </c>
      <c r="X292" s="735">
        <f t="shared" ref="X292" si="911">+U292+V292</f>
        <v>339809.69500000001</v>
      </c>
      <c r="Y292" s="3388">
        <f>+Y964-SUM(Y957:Y963)-Y923-Y929-Y938-Y941-Y947-Y953-Y955</f>
        <v>49558.76</v>
      </c>
      <c r="Z292" s="735">
        <f t="shared" ref="Z292" si="912">+X292+Y292</f>
        <v>389368.45500000002</v>
      </c>
      <c r="AA292" s="3388">
        <f>+AA964-SUM(AA957:AA963)-AA923-AA929-AA938-AA941-AA947-AA953-AA955</f>
        <v>61646.450000000004</v>
      </c>
      <c r="AB292" s="735">
        <f t="shared" ref="AB292" si="913">+Z292+AA292</f>
        <v>451014.90500000003</v>
      </c>
      <c r="AC292" s="3388">
        <f>+AC964-SUM(AC957:AC963)-AC923-AC929-AC938-AC941-AC947-AC953-AC955</f>
        <v>52514.46</v>
      </c>
      <c r="AD292" s="698">
        <f t="shared" si="900"/>
        <v>163719.67000000001</v>
      </c>
      <c r="AE292" s="769">
        <f t="shared" si="901"/>
        <v>330619.31</v>
      </c>
      <c r="AF292" s="2590">
        <f t="shared" si="902"/>
        <v>503529.36500000005</v>
      </c>
    </row>
    <row r="293" spans="4:38" ht="35" customHeight="1" x14ac:dyDescent="0.25">
      <c r="D293" s="8469"/>
      <c r="E293" s="4674" t="s">
        <v>528</v>
      </c>
      <c r="F293" s="3388">
        <f>+F1074-SUM(F1054:F1062)</f>
        <v>0</v>
      </c>
      <c r="G293" s="3388">
        <f>+G1074-SUM(G1054:G1062)</f>
        <v>0</v>
      </c>
      <c r="H293" s="3076">
        <f t="shared" si="890"/>
        <v>0</v>
      </c>
      <c r="I293" s="3388">
        <f>+I1074-SUM(I1054:I1062)</f>
        <v>0</v>
      </c>
      <c r="J293" s="1061">
        <f t="shared" si="890"/>
        <v>0</v>
      </c>
      <c r="K293" s="3388">
        <f>+K1074-SUM(K1054:K1062)</f>
        <v>0</v>
      </c>
      <c r="L293" s="1441">
        <f t="shared" si="891"/>
        <v>0</v>
      </c>
      <c r="M293" s="3388">
        <f>+M1074-SUM(M1054:M1062)</f>
        <v>12179.1659636403</v>
      </c>
      <c r="N293" s="735">
        <f t="shared" si="892"/>
        <v>12179.1659636403</v>
      </c>
      <c r="O293" s="3388">
        <f>+O1074-SUM(O1054:O1062)</f>
        <v>2289.2435999999998</v>
      </c>
      <c r="P293" s="1006">
        <f t="shared" si="893"/>
        <v>14468.4095636403</v>
      </c>
      <c r="Q293" s="847">
        <f t="shared" si="894"/>
        <v>14468.4095636403</v>
      </c>
      <c r="R293" s="3388">
        <f>+R1074-SUM(R1054:R1062)</f>
        <v>11378.760723406496</v>
      </c>
      <c r="S293" s="735">
        <f t="shared" si="895"/>
        <v>25847.170287046796</v>
      </c>
      <c r="T293" s="3388">
        <f>+T1074-SUM(T1054:T1062)</f>
        <v>5427.5241904971008</v>
      </c>
      <c r="U293" s="735">
        <f t="shared" si="895"/>
        <v>31274.694477543897</v>
      </c>
      <c r="V293" s="3388">
        <f>+V1074-SUM(V1054:V1062)</f>
        <v>0</v>
      </c>
      <c r="W293" s="846">
        <f t="shared" si="896"/>
        <v>16806.284913903597</v>
      </c>
      <c r="X293" s="735">
        <f t="shared" si="897"/>
        <v>31274.694477543897</v>
      </c>
      <c r="Y293" s="3388">
        <f>+Y1074-SUM(Y1054:Y1062)</f>
        <v>16153.815197749997</v>
      </c>
      <c r="Z293" s="735">
        <f t="shared" si="898"/>
        <v>47428.509675293892</v>
      </c>
      <c r="AA293" s="3388">
        <f>+AA1074-SUM(AA1054:AA1062)</f>
        <v>18183.644999999993</v>
      </c>
      <c r="AB293" s="735">
        <f t="shared" si="899"/>
        <v>65612.154675293888</v>
      </c>
      <c r="AC293" s="3388">
        <f>+AC1074-SUM(AC1054:AC1062)</f>
        <v>15848.288112124112</v>
      </c>
      <c r="AD293" s="698">
        <f t="shared" si="900"/>
        <v>50185.748309874107</v>
      </c>
      <c r="AE293" s="769">
        <f t="shared" si="901"/>
        <v>66992.033223777704</v>
      </c>
      <c r="AF293" s="2590">
        <f t="shared" si="902"/>
        <v>81460.442787417996</v>
      </c>
    </row>
    <row r="294" spans="4:38" ht="35" customHeight="1" thickBot="1" x14ac:dyDescent="0.3">
      <c r="D294" s="8469"/>
      <c r="E294" s="4165" t="s">
        <v>1135</v>
      </c>
      <c r="F294" s="4226"/>
      <c r="G294" s="4226"/>
      <c r="H294" s="3517">
        <f t="shared" si="890"/>
        <v>0</v>
      </c>
      <c r="I294" s="4226"/>
      <c r="J294" s="3021">
        <f t="shared" si="890"/>
        <v>0</v>
      </c>
      <c r="K294" s="4226"/>
      <c r="L294" s="2484">
        <f t="shared" si="891"/>
        <v>0</v>
      </c>
      <c r="M294" s="4226"/>
      <c r="N294" s="742">
        <f t="shared" si="892"/>
        <v>0</v>
      </c>
      <c r="O294" s="4226"/>
      <c r="P294" s="1195">
        <f t="shared" si="893"/>
        <v>0</v>
      </c>
      <c r="Q294" s="847">
        <f t="shared" si="894"/>
        <v>0</v>
      </c>
      <c r="R294" s="4226"/>
      <c r="S294" s="742">
        <f t="shared" si="895"/>
        <v>0</v>
      </c>
      <c r="T294" s="4226"/>
      <c r="U294" s="742">
        <f t="shared" si="895"/>
        <v>0</v>
      </c>
      <c r="V294" s="4226"/>
      <c r="W294" s="1195">
        <f t="shared" si="896"/>
        <v>0</v>
      </c>
      <c r="X294" s="909">
        <f t="shared" si="897"/>
        <v>0</v>
      </c>
      <c r="Y294" s="4226"/>
      <c r="Z294" s="742">
        <f t="shared" si="898"/>
        <v>0</v>
      </c>
      <c r="AA294" s="4226"/>
      <c r="AB294" s="735">
        <f t="shared" si="899"/>
        <v>0</v>
      </c>
      <c r="AC294" s="4226"/>
      <c r="AD294" s="698">
        <f t="shared" si="900"/>
        <v>0</v>
      </c>
      <c r="AE294" s="769">
        <f t="shared" si="901"/>
        <v>0</v>
      </c>
      <c r="AF294" s="2590">
        <f t="shared" si="902"/>
        <v>0</v>
      </c>
    </row>
    <row r="295" spans="4:38" ht="35" customHeight="1" thickBot="1" x14ac:dyDescent="0.3">
      <c r="D295" s="8470"/>
      <c r="E295" s="972" t="s">
        <v>15</v>
      </c>
      <c r="F295" s="922">
        <f>SUM(F291:F294)</f>
        <v>22439.54</v>
      </c>
      <c r="G295" s="922">
        <f>SUM(G291:G294)</f>
        <v>61379.595000000001</v>
      </c>
      <c r="H295" s="575">
        <f t="shared" si="890"/>
        <v>83819.135000000009</v>
      </c>
      <c r="I295" s="922">
        <f>SUM(I291:I294)</f>
        <v>63487.589</v>
      </c>
      <c r="J295" s="704">
        <f t="shared" si="890"/>
        <v>147306.72400000002</v>
      </c>
      <c r="K295" s="922">
        <f>SUM(K291:K294)</f>
        <v>0</v>
      </c>
      <c r="L295" s="679">
        <f t="shared" si="891"/>
        <v>147306.72400000002</v>
      </c>
      <c r="M295" s="922">
        <f>SUM(M291:M294)</f>
        <v>109736.09096364029</v>
      </c>
      <c r="N295" s="599">
        <f t="shared" si="892"/>
        <v>257042.8149636403</v>
      </c>
      <c r="O295" s="922">
        <f>SUM(O291:O294)</f>
        <v>63867.253599999996</v>
      </c>
      <c r="P295" s="923">
        <f t="shared" si="893"/>
        <v>173603.3445636403</v>
      </c>
      <c r="Q295" s="916">
        <f t="shared" si="894"/>
        <v>320910.06856364029</v>
      </c>
      <c r="R295" s="922">
        <f>SUM(R291:R294)</f>
        <v>97875.180723406476</v>
      </c>
      <c r="S295" s="599">
        <f t="shared" si="895"/>
        <v>418785.24928704678</v>
      </c>
      <c r="T295" s="922">
        <f>SUM(T291:T294)</f>
        <v>95948.704190497097</v>
      </c>
      <c r="U295" s="599">
        <f t="shared" ref="U295:U296" si="914">+S295+T295</f>
        <v>514733.9534775439</v>
      </c>
      <c r="V295" s="922">
        <f>SUM(V291:V294)</f>
        <v>92059.31</v>
      </c>
      <c r="W295" s="923">
        <f t="shared" ref="W295:Z295" si="915">SUM(W291:W294)</f>
        <v>285883.1949139036</v>
      </c>
      <c r="X295" s="599">
        <f t="shared" si="915"/>
        <v>606793.26347754395</v>
      </c>
      <c r="Y295" s="922">
        <f>SUM(Y291:Y294)</f>
        <v>101006.07519775</v>
      </c>
      <c r="Z295" s="599">
        <f t="shared" si="915"/>
        <v>707799.33867529384</v>
      </c>
      <c r="AA295" s="922">
        <f t="shared" ref="AA295:AF295" si="916">SUM(AA291:AA294)</f>
        <v>117119.07499999998</v>
      </c>
      <c r="AB295" s="599">
        <f t="shared" si="916"/>
        <v>824918.41367529379</v>
      </c>
      <c r="AC295" s="922">
        <f>SUM(AC291:AC294)</f>
        <v>101472.57811212412</v>
      </c>
      <c r="AD295" s="923">
        <f t="shared" si="916"/>
        <v>319597.72830987407</v>
      </c>
      <c r="AE295" s="767">
        <f t="shared" si="916"/>
        <v>605480.92322377767</v>
      </c>
      <c r="AF295" s="2583">
        <f t="shared" si="916"/>
        <v>926390.99178741802</v>
      </c>
    </row>
    <row r="296" spans="4:38" ht="35" hidden="1" customHeight="1" thickBot="1" x14ac:dyDescent="0.3">
      <c r="D296" s="73">
        <v>19.07</v>
      </c>
      <c r="E296" s="397" t="s">
        <v>274</v>
      </c>
      <c r="F296" s="930">
        <v>0</v>
      </c>
      <c r="G296" s="930">
        <v>0</v>
      </c>
      <c r="H296" s="575">
        <f>SUM(F296:G296)</f>
        <v>0</v>
      </c>
      <c r="I296" s="930">
        <v>0</v>
      </c>
      <c r="J296" s="704">
        <f t="shared" si="890"/>
        <v>0</v>
      </c>
      <c r="K296" s="930">
        <v>0</v>
      </c>
      <c r="L296" s="679">
        <f t="shared" si="891"/>
        <v>0</v>
      </c>
      <c r="M296" s="930">
        <v>0</v>
      </c>
      <c r="N296" s="599">
        <f t="shared" si="892"/>
        <v>0</v>
      </c>
      <c r="O296" s="930">
        <v>0</v>
      </c>
      <c r="P296" s="923">
        <f t="shared" si="893"/>
        <v>0</v>
      </c>
      <c r="Q296" s="916">
        <f t="shared" si="894"/>
        <v>0</v>
      </c>
      <c r="R296" s="930">
        <v>0</v>
      </c>
      <c r="S296" s="599">
        <f t="shared" si="895"/>
        <v>0</v>
      </c>
      <c r="T296" s="930">
        <v>0</v>
      </c>
      <c r="U296" s="599">
        <f t="shared" si="914"/>
        <v>0</v>
      </c>
      <c r="V296" s="930">
        <v>0</v>
      </c>
      <c r="W296" s="1070">
        <f>+R296+T296+V296</f>
        <v>0</v>
      </c>
      <c r="X296" s="735">
        <f>+U296+V296</f>
        <v>0</v>
      </c>
      <c r="Y296" s="930">
        <v>0</v>
      </c>
      <c r="Z296" s="599">
        <f>+X296+Y296</f>
        <v>0</v>
      </c>
      <c r="AA296" s="930">
        <v>0</v>
      </c>
      <c r="AB296" s="724">
        <f>+Z296+AA296</f>
        <v>0</v>
      </c>
      <c r="AC296" s="930">
        <v>0</v>
      </c>
      <c r="AD296" s="573">
        <f>+Y296+AA296+AC296</f>
        <v>0</v>
      </c>
      <c r="AE296" s="767">
        <f>+W296+AD296</f>
        <v>0</v>
      </c>
      <c r="AF296" s="2582">
        <f t="shared" si="902"/>
        <v>0</v>
      </c>
    </row>
    <row r="297" spans="4:38" s="3170" customFormat="1" ht="35" customHeight="1" x14ac:dyDescent="0.35">
      <c r="D297" s="8468">
        <v>19.079999999999998</v>
      </c>
      <c r="E297" s="3628" t="s">
        <v>139</v>
      </c>
      <c r="F297" s="3594"/>
      <c r="G297" s="3594"/>
      <c r="H297" s="3594"/>
      <c r="I297" s="3594"/>
      <c r="J297" s="3594"/>
      <c r="K297" s="3594"/>
      <c r="L297" s="3594"/>
      <c r="M297" s="3594"/>
      <c r="N297" s="3594"/>
      <c r="O297" s="3594"/>
      <c r="P297" s="3594"/>
      <c r="Q297" s="3594"/>
      <c r="R297" s="3594"/>
      <c r="S297" s="3594"/>
      <c r="T297" s="3594"/>
      <c r="U297" s="3594"/>
      <c r="V297" s="3594"/>
      <c r="W297" s="3594"/>
      <c r="X297" s="3594"/>
      <c r="Y297" s="3594"/>
      <c r="Z297" s="3594"/>
      <c r="AA297" s="3594"/>
      <c r="AB297" s="4319"/>
      <c r="AC297" s="3594"/>
      <c r="AD297" s="4319"/>
      <c r="AE297" s="4320"/>
      <c r="AF297" s="4320"/>
      <c r="AG297" s="4756"/>
      <c r="AH297" s="4756"/>
      <c r="AI297" s="4756"/>
      <c r="AJ297" s="4756"/>
      <c r="AK297" s="4756"/>
      <c r="AL297" s="4756"/>
    </row>
    <row r="298" spans="4:38" ht="35" customHeight="1" x14ac:dyDescent="0.25">
      <c r="D298" s="8469"/>
      <c r="E298" s="66" t="s">
        <v>140</v>
      </c>
      <c r="F298" s="1094">
        <v>1204</v>
      </c>
      <c r="G298" s="1094">
        <v>1363.8</v>
      </c>
      <c r="H298" s="931">
        <f t="shared" ref="H298:H304" si="917">+F298+G298</f>
        <v>2567.8000000000002</v>
      </c>
      <c r="I298" s="1094">
        <v>1428.5</v>
      </c>
      <c r="J298" s="932">
        <f t="shared" ref="J298:J304" si="918">+H298+I298</f>
        <v>3996.3</v>
      </c>
      <c r="K298" s="1094">
        <v>1554.8</v>
      </c>
      <c r="L298" s="933">
        <f t="shared" ref="L298:L304" si="919">+J298+K298</f>
        <v>5551.1</v>
      </c>
      <c r="M298" s="1094">
        <v>1569.5</v>
      </c>
      <c r="N298" s="933">
        <f t="shared" ref="N298:N304" si="920">+L298+M298</f>
        <v>7120.6</v>
      </c>
      <c r="O298" s="1094">
        <v>1435.5</v>
      </c>
      <c r="P298" s="1006">
        <f t="shared" si="893"/>
        <v>4559.8</v>
      </c>
      <c r="Q298" s="1374">
        <f t="shared" ref="Q298:Q304" si="921">+N298+O298</f>
        <v>8556.1</v>
      </c>
      <c r="R298" s="1094">
        <v>1549.5</v>
      </c>
      <c r="S298" s="4951">
        <f>+Q298+R298</f>
        <v>10105.6</v>
      </c>
      <c r="T298" s="1094">
        <v>1516.7</v>
      </c>
      <c r="U298" s="4951">
        <f>+S298+T298</f>
        <v>11622.300000000001</v>
      </c>
      <c r="V298" s="1094">
        <v>1570.5</v>
      </c>
      <c r="W298" s="5005">
        <f>+R298+T298+V298</f>
        <v>4636.7</v>
      </c>
      <c r="X298" s="2342">
        <f>+U298+V298</f>
        <v>13192.800000000001</v>
      </c>
      <c r="Y298" s="1094">
        <v>1588</v>
      </c>
      <c r="Z298" s="4951">
        <f>+X298+Y298</f>
        <v>14780.800000000001</v>
      </c>
      <c r="AA298" s="1094">
        <v>1489</v>
      </c>
      <c r="AB298" s="4951">
        <f>+Z298+AA298</f>
        <v>16269.800000000001</v>
      </c>
      <c r="AC298" s="1094">
        <v>1505.4</v>
      </c>
      <c r="AD298" s="1304">
        <f>+Y298+AA298+AC298</f>
        <v>4582.3999999999996</v>
      </c>
      <c r="AE298" s="1314">
        <f>+W298+AD298</f>
        <v>9219.0999999999985</v>
      </c>
      <c r="AF298" s="2616">
        <f t="shared" si="902"/>
        <v>17775.2</v>
      </c>
    </row>
    <row r="299" spans="4:38" ht="35" customHeight="1" thickBot="1" x14ac:dyDescent="0.3">
      <c r="D299" s="8469"/>
      <c r="E299" s="174" t="s">
        <v>141</v>
      </c>
      <c r="F299" s="1095">
        <v>2131.1999999999998</v>
      </c>
      <c r="G299" s="1095">
        <v>2204.4</v>
      </c>
      <c r="H299" s="934">
        <f t="shared" si="917"/>
        <v>4335.6000000000004</v>
      </c>
      <c r="I299" s="1095">
        <v>2456.17</v>
      </c>
      <c r="J299" s="935">
        <f t="shared" si="918"/>
        <v>6791.77</v>
      </c>
      <c r="K299" s="1095">
        <v>2665.34</v>
      </c>
      <c r="L299" s="936">
        <f t="shared" si="919"/>
        <v>9457.11</v>
      </c>
      <c r="M299" s="1095">
        <v>2691.86</v>
      </c>
      <c r="N299" s="936">
        <f t="shared" si="920"/>
        <v>12148.970000000001</v>
      </c>
      <c r="O299" s="1095">
        <v>2447.5500000000002</v>
      </c>
      <c r="P299" s="1006">
        <f t="shared" si="893"/>
        <v>7804.7500000000009</v>
      </c>
      <c r="Q299" s="1377">
        <f t="shared" si="921"/>
        <v>14596.52</v>
      </c>
      <c r="R299" s="1095">
        <v>2653.06</v>
      </c>
      <c r="S299" s="4952">
        <f>+Q299+R299</f>
        <v>17249.580000000002</v>
      </c>
      <c r="T299" s="1095">
        <v>2568.38</v>
      </c>
      <c r="U299" s="4952">
        <f>SUM(S299:T299)</f>
        <v>19817.960000000003</v>
      </c>
      <c r="V299" s="1095">
        <v>2687.45</v>
      </c>
      <c r="W299" s="5006">
        <f>+R299+T299+V299</f>
        <v>7908.89</v>
      </c>
      <c r="X299" s="2343">
        <f>+U299+V299</f>
        <v>22505.410000000003</v>
      </c>
      <c r="Y299" s="1095">
        <v>2570.15</v>
      </c>
      <c r="Z299" s="4952">
        <f>SUM(X299:Y299)</f>
        <v>25075.560000000005</v>
      </c>
      <c r="AA299" s="1095">
        <v>2483.2399999999998</v>
      </c>
      <c r="AB299" s="4952">
        <f>SUM(Z299:AA299)</f>
        <v>27558.800000000003</v>
      </c>
      <c r="AC299" s="1095">
        <v>2520.7600000000002</v>
      </c>
      <c r="AD299" s="1315">
        <f t="shared" ref="AD299:AD300" si="922">+Y299+AA299+AC299</f>
        <v>7574.15</v>
      </c>
      <c r="AE299" s="1316">
        <f t="shared" ref="AE299:AE300" si="923">+W299+AD299</f>
        <v>15483.04</v>
      </c>
      <c r="AF299" s="2617">
        <f t="shared" si="902"/>
        <v>30079.560000000005</v>
      </c>
    </row>
    <row r="300" spans="4:38" ht="35" customHeight="1" thickBot="1" x14ac:dyDescent="0.3">
      <c r="D300" s="8469"/>
      <c r="E300" s="973" t="s">
        <v>137</v>
      </c>
      <c r="F300" s="925">
        <f>SUM(F298:F299)</f>
        <v>3335.2</v>
      </c>
      <c r="G300" s="925">
        <f>SUM(G298:G299)</f>
        <v>3568.2</v>
      </c>
      <c r="H300" s="937">
        <f t="shared" si="917"/>
        <v>6903.4</v>
      </c>
      <c r="I300" s="925">
        <f>SUM(I298:I299)</f>
        <v>3884.67</v>
      </c>
      <c r="J300" s="938">
        <f t="shared" si="918"/>
        <v>10788.07</v>
      </c>
      <c r="K300" s="925">
        <f>SUM(K298:K299)</f>
        <v>4220.1400000000003</v>
      </c>
      <c r="L300" s="939">
        <f t="shared" si="919"/>
        <v>15008.21</v>
      </c>
      <c r="M300" s="925">
        <f>SUM(M298:M299)</f>
        <v>4261.3600000000006</v>
      </c>
      <c r="N300" s="939">
        <f t="shared" si="920"/>
        <v>19269.57</v>
      </c>
      <c r="O300" s="925">
        <f>SUM(O298:O299)</f>
        <v>3883.05</v>
      </c>
      <c r="P300" s="4916">
        <f t="shared" ref="P300:P303" si="924">+Q300-J300</f>
        <v>12364.55</v>
      </c>
      <c r="Q300" s="1380">
        <f t="shared" si="921"/>
        <v>23152.62</v>
      </c>
      <c r="R300" s="925">
        <f>SUM(R298:R299)</f>
        <v>4202.5599999999995</v>
      </c>
      <c r="S300" s="1381">
        <f>+Q300+R300</f>
        <v>27355.18</v>
      </c>
      <c r="T300" s="925">
        <f>SUM(T298:T299)</f>
        <v>4085.08</v>
      </c>
      <c r="U300" s="1381">
        <f>SUM(S300:T300)</f>
        <v>31440.260000000002</v>
      </c>
      <c r="V300" s="925">
        <f>SUM(V298:V299)</f>
        <v>4257.95</v>
      </c>
      <c r="W300" s="4916">
        <f t="shared" ref="W300:AB300" si="925">SUM(W298:W299)</f>
        <v>12545.59</v>
      </c>
      <c r="X300" s="2344">
        <f t="shared" si="925"/>
        <v>35698.210000000006</v>
      </c>
      <c r="Y300" s="925">
        <f>SUM(Y298:Y299)</f>
        <v>4158.1499999999996</v>
      </c>
      <c r="Z300" s="1381">
        <f t="shared" si="925"/>
        <v>39856.360000000008</v>
      </c>
      <c r="AA300" s="925">
        <f>SUM(AA298:AA299)</f>
        <v>3972.24</v>
      </c>
      <c r="AB300" s="1381">
        <f t="shared" si="925"/>
        <v>43828.600000000006</v>
      </c>
      <c r="AC300" s="925">
        <f>SUM(AC298:AC299)</f>
        <v>4026.1600000000003</v>
      </c>
      <c r="AD300" s="1312">
        <f t="shared" si="922"/>
        <v>12156.55</v>
      </c>
      <c r="AE300" s="1320">
        <f t="shared" si="923"/>
        <v>24702.14</v>
      </c>
      <c r="AF300" s="2618">
        <f t="shared" si="902"/>
        <v>47854.760000000009</v>
      </c>
    </row>
    <row r="301" spans="4:38" ht="35" customHeight="1" x14ac:dyDescent="0.25">
      <c r="D301" s="8469"/>
      <c r="E301" s="170" t="s">
        <v>142</v>
      </c>
      <c r="F301" s="3311">
        <v>405.2</v>
      </c>
      <c r="G301" s="3311">
        <v>412.5</v>
      </c>
      <c r="H301" s="931">
        <f t="shared" si="917"/>
        <v>817.7</v>
      </c>
      <c r="I301" s="3311">
        <v>345.3</v>
      </c>
      <c r="J301" s="932">
        <f t="shared" si="918"/>
        <v>1163</v>
      </c>
      <c r="K301" s="3311">
        <v>499.2</v>
      </c>
      <c r="L301" s="933">
        <f t="shared" si="919"/>
        <v>1662.2</v>
      </c>
      <c r="M301" s="3311">
        <v>426.5</v>
      </c>
      <c r="N301" s="933">
        <f t="shared" si="920"/>
        <v>2088.6999999999998</v>
      </c>
      <c r="O301" s="3311">
        <v>459.5</v>
      </c>
      <c r="P301" s="1006">
        <f t="shared" si="893"/>
        <v>1385.2</v>
      </c>
      <c r="Q301" s="1374">
        <f t="shared" si="921"/>
        <v>2548.1999999999998</v>
      </c>
      <c r="R301" s="3311">
        <v>496.5</v>
      </c>
      <c r="S301" s="4951">
        <f>+Q301+R301</f>
        <v>3044.7</v>
      </c>
      <c r="T301" s="3311">
        <v>532.5</v>
      </c>
      <c r="U301" s="4951">
        <f>+S301+T301</f>
        <v>3577.2</v>
      </c>
      <c r="V301" s="3311">
        <v>553.5</v>
      </c>
      <c r="W301" s="5005">
        <f>+R301+T301+V301</f>
        <v>1582.5</v>
      </c>
      <c r="X301" s="2342">
        <f>+U301+V301</f>
        <v>4130.7</v>
      </c>
      <c r="Y301" s="3311">
        <v>558</v>
      </c>
      <c r="Z301" s="4951">
        <f>+X301+Y301</f>
        <v>4688.7</v>
      </c>
      <c r="AA301" s="3311">
        <v>536.5</v>
      </c>
      <c r="AB301" s="4951">
        <f>+Z301+AA301</f>
        <v>5225.2</v>
      </c>
      <c r="AC301" s="3311">
        <v>545.70000000000005</v>
      </c>
      <c r="AD301" s="1304">
        <f>+Y301+AA301+AC301</f>
        <v>1640.2</v>
      </c>
      <c r="AE301" s="1314">
        <f>+W301+AD301</f>
        <v>3222.7</v>
      </c>
      <c r="AF301" s="2616">
        <f t="shared" si="902"/>
        <v>5770.9</v>
      </c>
    </row>
    <row r="302" spans="4:38" ht="35" customHeight="1" thickBot="1" x14ac:dyDescent="0.3">
      <c r="D302" s="8469"/>
      <c r="E302" s="174" t="s">
        <v>143</v>
      </c>
      <c r="F302" s="1095">
        <v>375</v>
      </c>
      <c r="G302" s="1095">
        <v>281.5</v>
      </c>
      <c r="H302" s="934">
        <f t="shared" si="917"/>
        <v>656.5</v>
      </c>
      <c r="I302" s="1095">
        <v>318</v>
      </c>
      <c r="J302" s="935">
        <f t="shared" si="918"/>
        <v>974.5</v>
      </c>
      <c r="K302" s="1095">
        <v>324</v>
      </c>
      <c r="L302" s="936">
        <f t="shared" si="919"/>
        <v>1298.5</v>
      </c>
      <c r="M302" s="1095">
        <v>480</v>
      </c>
      <c r="N302" s="936">
        <f t="shared" si="920"/>
        <v>1778.5</v>
      </c>
      <c r="O302" s="1095">
        <v>288</v>
      </c>
      <c r="P302" s="1006">
        <f t="shared" si="893"/>
        <v>1092</v>
      </c>
      <c r="Q302" s="1377">
        <f t="shared" si="921"/>
        <v>2066.5</v>
      </c>
      <c r="R302" s="1095">
        <v>452</v>
      </c>
      <c r="S302" s="4952">
        <f>+Q302+R302</f>
        <v>2518.5</v>
      </c>
      <c r="T302" s="1095">
        <v>713</v>
      </c>
      <c r="U302" s="4952">
        <f>SUM(S302:T302)</f>
        <v>3231.5</v>
      </c>
      <c r="V302" s="1095">
        <v>550</v>
      </c>
      <c r="W302" s="5006">
        <f>+R302+T302+V302</f>
        <v>1715</v>
      </c>
      <c r="X302" s="2343">
        <f>+U302+V302</f>
        <v>3781.5</v>
      </c>
      <c r="Y302" s="1095">
        <v>472</v>
      </c>
      <c r="Z302" s="4952">
        <f>SUM(X302:Y302)</f>
        <v>4253.5</v>
      </c>
      <c r="AA302" s="1095">
        <v>446.5</v>
      </c>
      <c r="AB302" s="4952">
        <f>SUM(Z302:AA302)</f>
        <v>4700</v>
      </c>
      <c r="AC302" s="1095">
        <v>535</v>
      </c>
      <c r="AD302" s="1315">
        <f t="shared" ref="AD302:AD303" si="926">+Y302+AA302+AC302</f>
        <v>1453.5</v>
      </c>
      <c r="AE302" s="1316">
        <f t="shared" ref="AE302:AE303" si="927">+W302+AD302</f>
        <v>3168.5</v>
      </c>
      <c r="AF302" s="2617">
        <f t="shared" si="902"/>
        <v>5235</v>
      </c>
    </row>
    <row r="303" spans="4:38" ht="35" customHeight="1" thickBot="1" x14ac:dyDescent="0.3">
      <c r="D303" s="8469"/>
      <c r="E303" s="973" t="s">
        <v>138</v>
      </c>
      <c r="F303" s="2755">
        <f>SUM(F301:F302)</f>
        <v>780.2</v>
      </c>
      <c r="G303" s="2755">
        <f>SUM(G301:G302)</f>
        <v>694</v>
      </c>
      <c r="H303" s="937">
        <f t="shared" si="917"/>
        <v>1474.2</v>
      </c>
      <c r="I303" s="2755">
        <f>SUM(I301:I302)</f>
        <v>663.3</v>
      </c>
      <c r="J303" s="938">
        <f t="shared" si="918"/>
        <v>2137.5</v>
      </c>
      <c r="K303" s="925">
        <f>SUM(K301:K302)</f>
        <v>823.2</v>
      </c>
      <c r="L303" s="939">
        <f t="shared" si="919"/>
        <v>2960.7</v>
      </c>
      <c r="M303" s="2755">
        <f>SUM(M301:M302)</f>
        <v>906.5</v>
      </c>
      <c r="N303" s="939">
        <f t="shared" si="920"/>
        <v>3867.2</v>
      </c>
      <c r="O303" s="2755">
        <f>SUM(O301:O302)</f>
        <v>747.5</v>
      </c>
      <c r="P303" s="4916">
        <f t="shared" si="924"/>
        <v>2477.1999999999998</v>
      </c>
      <c r="Q303" s="1380">
        <f t="shared" si="921"/>
        <v>4614.7</v>
      </c>
      <c r="R303" s="2755">
        <f>SUM(R301:R302)</f>
        <v>948.5</v>
      </c>
      <c r="S303" s="1381">
        <f>SUM(Q303:R303)</f>
        <v>5563.2</v>
      </c>
      <c r="T303" s="2755">
        <f>SUM(T301:T302)</f>
        <v>1245.5</v>
      </c>
      <c r="U303" s="1381">
        <f>SUM(S303:T303)</f>
        <v>6808.7</v>
      </c>
      <c r="V303" s="925">
        <f>SUM(V301:V302)</f>
        <v>1103.5</v>
      </c>
      <c r="W303" s="4916">
        <f t="shared" ref="W303:AB303" si="928">SUM(W301:W302)</f>
        <v>3297.5</v>
      </c>
      <c r="X303" s="2344">
        <f t="shared" si="928"/>
        <v>7912.2</v>
      </c>
      <c r="Y303" s="2755">
        <f>SUM(Y301:Y302)</f>
        <v>1030</v>
      </c>
      <c r="Z303" s="1381">
        <f t="shared" si="928"/>
        <v>8942.2000000000007</v>
      </c>
      <c r="AA303" s="2755">
        <f>SUM(AA301:AA302)</f>
        <v>983</v>
      </c>
      <c r="AB303" s="1381">
        <f t="shared" si="928"/>
        <v>9925.2000000000007</v>
      </c>
      <c r="AC303" s="2755">
        <f>SUM(AC301:AC302)</f>
        <v>1080.7</v>
      </c>
      <c r="AD303" s="1312">
        <f t="shared" si="926"/>
        <v>3093.7</v>
      </c>
      <c r="AE303" s="1320">
        <f t="shared" si="927"/>
        <v>6391.2</v>
      </c>
      <c r="AF303" s="2618">
        <f t="shared" si="902"/>
        <v>11005.900000000001</v>
      </c>
    </row>
    <row r="304" spans="4:38" ht="35" customHeight="1" x14ac:dyDescent="0.25">
      <c r="D304" s="8469"/>
      <c r="E304" s="171" t="s">
        <v>14</v>
      </c>
      <c r="F304" s="3306">
        <v>0</v>
      </c>
      <c r="G304" s="3306">
        <v>0</v>
      </c>
      <c r="H304" s="931">
        <f t="shared" si="917"/>
        <v>0</v>
      </c>
      <c r="I304" s="3306">
        <v>0</v>
      </c>
      <c r="J304" s="932">
        <f t="shared" si="918"/>
        <v>0</v>
      </c>
      <c r="K304" s="3306">
        <v>0</v>
      </c>
      <c r="L304" s="940">
        <f t="shared" si="919"/>
        <v>0</v>
      </c>
      <c r="M304" s="3306">
        <v>155.6</v>
      </c>
      <c r="N304" s="940">
        <f t="shared" si="920"/>
        <v>155.6</v>
      </c>
      <c r="O304" s="3306">
        <v>109.1</v>
      </c>
      <c r="P304" s="1006">
        <f t="shared" si="893"/>
        <v>264.7</v>
      </c>
      <c r="Q304" s="1374">
        <f t="shared" si="921"/>
        <v>264.7</v>
      </c>
      <c r="R304" s="3306">
        <v>212.2</v>
      </c>
      <c r="S304" s="4951">
        <f>+Q304+R304</f>
        <v>476.9</v>
      </c>
      <c r="T304" s="3306">
        <v>215</v>
      </c>
      <c r="U304" s="4951">
        <f>+S304+T304</f>
        <v>691.9</v>
      </c>
      <c r="V304" s="3306">
        <v>230.4</v>
      </c>
      <c r="W304" s="5005">
        <f>+R304+T304+V304</f>
        <v>657.6</v>
      </c>
      <c r="X304" s="2345">
        <f>+U304+V304</f>
        <v>922.3</v>
      </c>
      <c r="Y304" s="3306">
        <v>209.45</v>
      </c>
      <c r="Z304" s="4951">
        <f>+X304+Y304</f>
        <v>1131.75</v>
      </c>
      <c r="AA304" s="3306">
        <v>238.6</v>
      </c>
      <c r="AB304" s="4951">
        <f>+Z304+AA304</f>
        <v>1370.35</v>
      </c>
      <c r="AC304" s="3306">
        <v>180.6</v>
      </c>
      <c r="AD304" s="750">
        <f>+Y304+AA304+AC304</f>
        <v>628.65</v>
      </c>
      <c r="AE304" s="771">
        <f>+W304+AD304</f>
        <v>1286.25</v>
      </c>
      <c r="AF304" s="2616">
        <f t="shared" si="902"/>
        <v>1550.9499999999998</v>
      </c>
    </row>
    <row r="305" spans="4:38" s="3170" customFormat="1" ht="35" customHeight="1" x14ac:dyDescent="0.25">
      <c r="D305" s="8469"/>
      <c r="E305" s="4318" t="s">
        <v>542</v>
      </c>
      <c r="F305" s="3308"/>
      <c r="G305" s="3308"/>
      <c r="H305" s="3308"/>
      <c r="I305" s="3308"/>
      <c r="J305" s="3308"/>
      <c r="K305" s="3308"/>
      <c r="L305" s="3308"/>
      <c r="M305" s="3308"/>
      <c r="N305" s="3308"/>
      <c r="O305" s="3308"/>
      <c r="P305" s="3308"/>
      <c r="Q305" s="3308"/>
      <c r="R305" s="3308"/>
      <c r="S305" s="3308"/>
      <c r="T305" s="3308"/>
      <c r="U305" s="3308"/>
      <c r="V305" s="3308"/>
      <c r="W305" s="3308"/>
      <c r="X305" s="3308"/>
      <c r="Y305" s="3308"/>
      <c r="Z305" s="3308"/>
      <c r="AA305" s="3308"/>
      <c r="AB305" s="3308"/>
      <c r="AC305" s="3308"/>
      <c r="AD305" s="3308"/>
      <c r="AE305" s="3308"/>
      <c r="AF305" s="3308"/>
      <c r="AG305" s="4756"/>
      <c r="AH305" s="4756"/>
      <c r="AI305" s="4756"/>
      <c r="AJ305" s="4756"/>
      <c r="AK305" s="4756"/>
      <c r="AL305" s="4756"/>
    </row>
    <row r="306" spans="4:38" ht="35" customHeight="1" x14ac:dyDescent="0.25">
      <c r="D306" s="8469"/>
      <c r="E306" s="145" t="s">
        <v>43</v>
      </c>
      <c r="F306" s="3305">
        <v>0</v>
      </c>
      <c r="G306" s="3305">
        <v>16.59</v>
      </c>
      <c r="H306" s="942">
        <f t="shared" ref="H306:J313" si="929">+F306+G306</f>
        <v>16.59</v>
      </c>
      <c r="I306" s="3305">
        <v>19.864000000000001</v>
      </c>
      <c r="J306" s="943">
        <f t="shared" si="929"/>
        <v>36.454000000000001</v>
      </c>
      <c r="K306" s="3305">
        <v>0</v>
      </c>
      <c r="L306" s="942">
        <f t="shared" ref="L306:L314" si="930">+J306+K306</f>
        <v>36.454000000000001</v>
      </c>
      <c r="M306" s="3305">
        <v>47.600999999999999</v>
      </c>
      <c r="N306" s="942">
        <f t="shared" ref="N306:N312" si="931">+L306+M306</f>
        <v>84.055000000000007</v>
      </c>
      <c r="O306" s="3305">
        <v>44.731000000000002</v>
      </c>
      <c r="P306" s="1006">
        <f t="shared" si="893"/>
        <v>92.331999999999994</v>
      </c>
      <c r="Q306" s="954">
        <f t="shared" ref="Q306:Q314" si="932">+N306+O306</f>
        <v>128.786</v>
      </c>
      <c r="R306" s="3305">
        <v>57.33</v>
      </c>
      <c r="S306" s="953">
        <f t="shared" ref="S306:S314" si="933">+Q306+R306</f>
        <v>186.11599999999999</v>
      </c>
      <c r="T306" s="3305">
        <v>70.790999999999997</v>
      </c>
      <c r="U306" s="953">
        <f t="shared" ref="U306:U312" si="934">+S306+T306</f>
        <v>256.90699999999998</v>
      </c>
      <c r="V306" s="3305">
        <v>72.835999999999999</v>
      </c>
      <c r="W306" s="943">
        <f>+R306+T306+V306</f>
        <v>200.95699999999999</v>
      </c>
      <c r="X306" s="942">
        <f>+U306+V306</f>
        <v>329.74299999999999</v>
      </c>
      <c r="Y306" s="3305">
        <v>68.555999999999997</v>
      </c>
      <c r="Z306" s="953">
        <f>+X306+Y306</f>
        <v>398.29899999999998</v>
      </c>
      <c r="AA306" s="3305">
        <v>57.548000000000002</v>
      </c>
      <c r="AB306" s="953">
        <f>+Z306+AA306</f>
        <v>455.84699999999998</v>
      </c>
      <c r="AC306" s="3305">
        <v>26.349</v>
      </c>
      <c r="AD306" s="746">
        <f>+Y306+AA306+AC306</f>
        <v>152.453</v>
      </c>
      <c r="AE306" s="1091">
        <f t="shared" ref="AE306:AE314" si="935">+W306+AD306</f>
        <v>353.40999999999997</v>
      </c>
      <c r="AF306" s="2616">
        <f t="shared" si="902"/>
        <v>482.19599999999997</v>
      </c>
    </row>
    <row r="307" spans="4:38" ht="35" customHeight="1" x14ac:dyDescent="0.25">
      <c r="D307" s="8469"/>
      <c r="E307" s="145" t="s">
        <v>44</v>
      </c>
      <c r="F307" s="3305">
        <v>0</v>
      </c>
      <c r="G307" s="3305">
        <v>23.376000000000001</v>
      </c>
      <c r="H307" s="942">
        <f t="shared" si="929"/>
        <v>23.376000000000001</v>
      </c>
      <c r="I307" s="3305">
        <v>15.74</v>
      </c>
      <c r="J307" s="943">
        <f t="shared" si="929"/>
        <v>39.116</v>
      </c>
      <c r="K307" s="3305">
        <v>0</v>
      </c>
      <c r="L307" s="942">
        <f t="shared" si="930"/>
        <v>39.116</v>
      </c>
      <c r="M307" s="3305">
        <v>64.16</v>
      </c>
      <c r="N307" s="942">
        <f t="shared" si="931"/>
        <v>103.276</v>
      </c>
      <c r="O307" s="3305">
        <v>41.267000000000003</v>
      </c>
      <c r="P307" s="1006">
        <f t="shared" si="893"/>
        <v>105.42699999999999</v>
      </c>
      <c r="Q307" s="954">
        <f t="shared" si="932"/>
        <v>144.54300000000001</v>
      </c>
      <c r="R307" s="3305">
        <v>48.167000000000002</v>
      </c>
      <c r="S307" s="953">
        <f t="shared" si="933"/>
        <v>192.71</v>
      </c>
      <c r="T307" s="3305">
        <v>62.546999999999997</v>
      </c>
      <c r="U307" s="953">
        <f t="shared" si="934"/>
        <v>255.25700000000001</v>
      </c>
      <c r="V307" s="3305">
        <v>92.856999999999999</v>
      </c>
      <c r="W307" s="943">
        <f>+R307+T307+V307</f>
        <v>203.571</v>
      </c>
      <c r="X307" s="942">
        <f>+U307+V307</f>
        <v>348.11400000000003</v>
      </c>
      <c r="Y307" s="3305">
        <v>94.981999999999999</v>
      </c>
      <c r="Z307" s="953">
        <f>+X307+Y307</f>
        <v>443.096</v>
      </c>
      <c r="AA307" s="3305">
        <v>76.954999999999998</v>
      </c>
      <c r="AB307" s="953">
        <f>+Z307+AA307</f>
        <v>520.05100000000004</v>
      </c>
      <c r="AC307" s="3305">
        <v>29.08</v>
      </c>
      <c r="AD307" s="746">
        <f>+Y307+AA307+AC307</f>
        <v>201.017</v>
      </c>
      <c r="AE307" s="1091">
        <f t="shared" si="935"/>
        <v>404.58799999999997</v>
      </c>
      <c r="AF307" s="2616">
        <f t="shared" si="902"/>
        <v>549.13100000000009</v>
      </c>
    </row>
    <row r="308" spans="4:38" ht="35" customHeight="1" x14ac:dyDescent="0.25">
      <c r="D308" s="8469"/>
      <c r="E308" s="145" t="s">
        <v>45</v>
      </c>
      <c r="F308" s="3305">
        <v>0</v>
      </c>
      <c r="G308" s="3305">
        <v>1.04</v>
      </c>
      <c r="H308" s="942">
        <f t="shared" si="929"/>
        <v>1.04</v>
      </c>
      <c r="I308" s="3305">
        <v>12.706</v>
      </c>
      <c r="J308" s="943">
        <f t="shared" si="929"/>
        <v>13.745999999999999</v>
      </c>
      <c r="K308" s="3305">
        <v>0</v>
      </c>
      <c r="L308" s="942">
        <f t="shared" si="930"/>
        <v>13.745999999999999</v>
      </c>
      <c r="M308" s="3305">
        <v>1.92</v>
      </c>
      <c r="N308" s="942">
        <f t="shared" si="931"/>
        <v>15.665999999999999</v>
      </c>
      <c r="O308" s="3305">
        <v>0.745</v>
      </c>
      <c r="P308" s="1006">
        <f t="shared" si="893"/>
        <v>2.665</v>
      </c>
      <c r="Q308" s="954">
        <f t="shared" si="932"/>
        <v>16.410999999999998</v>
      </c>
      <c r="R308" s="3305">
        <v>0</v>
      </c>
      <c r="S308" s="953">
        <f t="shared" si="933"/>
        <v>16.410999999999998</v>
      </c>
      <c r="T308" s="3305">
        <v>12.675000000000001</v>
      </c>
      <c r="U308" s="953">
        <f t="shared" si="934"/>
        <v>29.085999999999999</v>
      </c>
      <c r="V308" s="3305">
        <v>3.4169999999999998</v>
      </c>
      <c r="W308" s="943">
        <f>+R308+T308+V308</f>
        <v>16.091999999999999</v>
      </c>
      <c r="X308" s="942">
        <f>+U308+V308</f>
        <v>32.503</v>
      </c>
      <c r="Y308" s="3305">
        <v>5.3109999999999999</v>
      </c>
      <c r="Z308" s="953">
        <f>+X308+Y308</f>
        <v>37.814</v>
      </c>
      <c r="AA308" s="3305">
        <v>15.182499999999999</v>
      </c>
      <c r="AB308" s="953">
        <f>+Z308+AA308</f>
        <v>52.996499999999997</v>
      </c>
      <c r="AC308" s="3305">
        <v>0.32300000000000001</v>
      </c>
      <c r="AD308" s="746">
        <f>+Y308+AA308+AC308</f>
        <v>20.816499999999998</v>
      </c>
      <c r="AE308" s="1091">
        <f t="shared" si="935"/>
        <v>36.908499999999997</v>
      </c>
      <c r="AF308" s="2616">
        <f t="shared" si="902"/>
        <v>53.319499999999998</v>
      </c>
    </row>
    <row r="309" spans="4:38" ht="35" customHeight="1" x14ac:dyDescent="0.25">
      <c r="D309" s="8469"/>
      <c r="E309" s="493" t="s">
        <v>46</v>
      </c>
      <c r="F309" s="3305">
        <v>0</v>
      </c>
      <c r="G309" s="3305">
        <v>0</v>
      </c>
      <c r="H309" s="942">
        <f t="shared" si="929"/>
        <v>0</v>
      </c>
      <c r="I309" s="3305">
        <v>0.51500000000000001</v>
      </c>
      <c r="J309" s="943">
        <f t="shared" si="929"/>
        <v>0.51500000000000001</v>
      </c>
      <c r="K309" s="3305">
        <v>0</v>
      </c>
      <c r="L309" s="942">
        <f t="shared" si="930"/>
        <v>0.51500000000000001</v>
      </c>
      <c r="M309" s="3305">
        <v>6.7020900000000001</v>
      </c>
      <c r="N309" s="942">
        <f t="shared" si="931"/>
        <v>7.2170899999999998</v>
      </c>
      <c r="O309" s="3305">
        <v>4.4379999999999997</v>
      </c>
      <c r="P309" s="1006">
        <f t="shared" si="893"/>
        <v>11.140090000000001</v>
      </c>
      <c r="Q309" s="954">
        <f t="shared" si="932"/>
        <v>11.65509</v>
      </c>
      <c r="R309" s="3305">
        <v>7.5289999999999999</v>
      </c>
      <c r="S309" s="953">
        <f t="shared" si="933"/>
        <v>19.184089999999998</v>
      </c>
      <c r="T309" s="3305">
        <v>2.6349999999999998</v>
      </c>
      <c r="U309" s="953">
        <f t="shared" si="934"/>
        <v>21.819089999999996</v>
      </c>
      <c r="V309" s="3305">
        <v>11.14</v>
      </c>
      <c r="W309" s="943">
        <f>+R309+T309+V309</f>
        <v>21.304000000000002</v>
      </c>
      <c r="X309" s="942">
        <f>+U309+V309</f>
        <v>32.959089999999996</v>
      </c>
      <c r="Y309" s="3305">
        <v>12.78</v>
      </c>
      <c r="Z309" s="953">
        <f>+X309+Y309</f>
        <v>45.739089999999997</v>
      </c>
      <c r="AA309" s="3305">
        <v>4.2729999999999997</v>
      </c>
      <c r="AB309" s="953">
        <f>+Z309+AA309</f>
        <v>50.012090000000001</v>
      </c>
      <c r="AC309" s="3305">
        <v>5.9880000000000004</v>
      </c>
      <c r="AD309" s="746">
        <f>+Y309+AA309+AC309</f>
        <v>23.040999999999997</v>
      </c>
      <c r="AE309" s="1091">
        <f t="shared" si="935"/>
        <v>44.344999999999999</v>
      </c>
      <c r="AF309" s="2616">
        <f t="shared" si="902"/>
        <v>56.00009</v>
      </c>
    </row>
    <row r="310" spans="4:38" ht="35" customHeight="1" thickBot="1" x14ac:dyDescent="0.3">
      <c r="D310" s="8469"/>
      <c r="E310" s="974" t="s">
        <v>543</v>
      </c>
      <c r="F310" s="3305">
        <v>0</v>
      </c>
      <c r="G310" s="3305">
        <v>0</v>
      </c>
      <c r="H310" s="944">
        <f t="shared" si="929"/>
        <v>0</v>
      </c>
      <c r="I310" s="3305">
        <v>1.2</v>
      </c>
      <c r="J310" s="945">
        <f t="shared" si="929"/>
        <v>1.2</v>
      </c>
      <c r="K310" s="3305">
        <v>0</v>
      </c>
      <c r="L310" s="944">
        <f t="shared" si="930"/>
        <v>1.2</v>
      </c>
      <c r="M310" s="3797">
        <v>11.2</v>
      </c>
      <c r="N310" s="944">
        <f t="shared" si="931"/>
        <v>12.399999999999999</v>
      </c>
      <c r="O310" s="3797">
        <v>8.4</v>
      </c>
      <c r="P310" s="1006">
        <f t="shared" si="893"/>
        <v>19.600000000000001</v>
      </c>
      <c r="Q310" s="4917">
        <f t="shared" si="932"/>
        <v>20.799999999999997</v>
      </c>
      <c r="R310" s="3797">
        <v>15.5</v>
      </c>
      <c r="S310" s="4953">
        <f t="shared" si="933"/>
        <v>36.299999999999997</v>
      </c>
      <c r="T310" s="3797">
        <v>14</v>
      </c>
      <c r="U310" s="4953">
        <f t="shared" si="934"/>
        <v>50.3</v>
      </c>
      <c r="V310" s="3797">
        <v>16.8</v>
      </c>
      <c r="W310" s="1196">
        <f>+R310+T310+V310</f>
        <v>46.3</v>
      </c>
      <c r="X310" s="1197">
        <f>+U310+V310</f>
        <v>67.099999999999994</v>
      </c>
      <c r="Y310" s="3797">
        <v>16.8</v>
      </c>
      <c r="Z310" s="4953">
        <f>+X310+Y310</f>
        <v>83.899999999999991</v>
      </c>
      <c r="AA310" s="3797">
        <v>5.9</v>
      </c>
      <c r="AB310" s="4953">
        <f>+Z310+AA310</f>
        <v>89.8</v>
      </c>
      <c r="AC310" s="3797">
        <v>8.5</v>
      </c>
      <c r="AD310" s="1317">
        <f>+Y310+AA310+AC310</f>
        <v>31.200000000000003</v>
      </c>
      <c r="AE310" s="1318">
        <f t="shared" si="935"/>
        <v>77.5</v>
      </c>
      <c r="AF310" s="2617">
        <f t="shared" si="902"/>
        <v>98.3</v>
      </c>
    </row>
    <row r="311" spans="4:38" ht="35" customHeight="1" thickBot="1" x14ac:dyDescent="0.3">
      <c r="D311" s="8469"/>
      <c r="E311" s="973" t="s">
        <v>15</v>
      </c>
      <c r="F311" s="2755">
        <f>SUM(F306:F310)</f>
        <v>0</v>
      </c>
      <c r="G311" s="2755">
        <f>SUM(G306:G310)</f>
        <v>41.006</v>
      </c>
      <c r="H311" s="947">
        <f>+G311+F311</f>
        <v>41.006</v>
      </c>
      <c r="I311" s="2755">
        <f>SUM(I306:I310)</f>
        <v>50.025000000000006</v>
      </c>
      <c r="J311" s="3612">
        <f>SUM(J306:J310)</f>
        <v>91.030999999999992</v>
      </c>
      <c r="K311" s="2755">
        <f>SUM(K306:K310)</f>
        <v>0</v>
      </c>
      <c r="L311" s="3613">
        <f>SUM(L306:L310)</f>
        <v>91.030999999999992</v>
      </c>
      <c r="M311" s="2755">
        <f>SUM(M306:M310)</f>
        <v>131.58309</v>
      </c>
      <c r="N311" s="947">
        <f t="shared" si="931"/>
        <v>222.61408999999998</v>
      </c>
      <c r="O311" s="2755">
        <f>SUM(O306:O310)</f>
        <v>99.581000000000017</v>
      </c>
      <c r="P311" s="4916">
        <f t="shared" ref="P311:AB311" si="936">SUM(P306:P310)</f>
        <v>231.16408999999996</v>
      </c>
      <c r="Q311" s="1380">
        <f t="shared" si="936"/>
        <v>322.19508999999999</v>
      </c>
      <c r="R311" s="2755">
        <f>SUM(R306:R310)</f>
        <v>128.52600000000001</v>
      </c>
      <c r="S311" s="1381">
        <f t="shared" si="936"/>
        <v>450.72109000000006</v>
      </c>
      <c r="T311" s="2755">
        <f>SUM(T306:T310)</f>
        <v>162.648</v>
      </c>
      <c r="U311" s="1381">
        <f t="shared" si="936"/>
        <v>613.36908999999991</v>
      </c>
      <c r="V311" s="2755">
        <f>SUM(V306:V310)</f>
        <v>197.05</v>
      </c>
      <c r="W311" s="948">
        <f t="shared" si="936"/>
        <v>488.22399999999999</v>
      </c>
      <c r="X311" s="947">
        <f t="shared" si="936"/>
        <v>810.41908999999998</v>
      </c>
      <c r="Y311" s="2755">
        <f>SUM(Y306:Y310)</f>
        <v>198.42900000000003</v>
      </c>
      <c r="Z311" s="1381">
        <f t="shared" si="936"/>
        <v>1008.84809</v>
      </c>
      <c r="AA311" s="2755">
        <f>SUM(AA306:AA310)</f>
        <v>159.85849999999999</v>
      </c>
      <c r="AB311" s="1381">
        <f t="shared" si="936"/>
        <v>1168.70659</v>
      </c>
      <c r="AC311" s="2755">
        <f>SUM(AC306:AC310)</f>
        <v>70.240000000000009</v>
      </c>
      <c r="AD311" s="1113">
        <f>SUM(AD306:AD310)</f>
        <v>428.52750000000003</v>
      </c>
      <c r="AE311" s="1319">
        <f t="shared" si="935"/>
        <v>916.75150000000008</v>
      </c>
      <c r="AF311" s="2618">
        <f t="shared" si="902"/>
        <v>1238.94659</v>
      </c>
    </row>
    <row r="312" spans="4:38" ht="35" customHeight="1" x14ac:dyDescent="0.25">
      <c r="D312" s="8469"/>
      <c r="E312" s="975" t="s">
        <v>247</v>
      </c>
      <c r="F312" s="3306">
        <v>7.74</v>
      </c>
      <c r="G312" s="3306">
        <v>8</v>
      </c>
      <c r="H312" s="950">
        <f t="shared" si="929"/>
        <v>15.74</v>
      </c>
      <c r="I312" s="3306">
        <v>7</v>
      </c>
      <c r="J312" s="951">
        <f t="shared" si="929"/>
        <v>22.740000000000002</v>
      </c>
      <c r="K312" s="3306">
        <v>12</v>
      </c>
      <c r="L312" s="950">
        <f t="shared" si="930"/>
        <v>34.74</v>
      </c>
      <c r="M312" s="3306">
        <v>7</v>
      </c>
      <c r="N312" s="950">
        <f t="shared" si="931"/>
        <v>41.74</v>
      </c>
      <c r="O312" s="3306">
        <v>9</v>
      </c>
      <c r="P312" s="845">
        <f t="shared" si="893"/>
        <v>28</v>
      </c>
      <c r="Q312" s="952">
        <f t="shared" si="932"/>
        <v>50.74</v>
      </c>
      <c r="R312" s="3306">
        <v>8</v>
      </c>
      <c r="S312" s="950">
        <f t="shared" si="933"/>
        <v>58.74</v>
      </c>
      <c r="T312" s="3306">
        <v>10</v>
      </c>
      <c r="U312" s="4951">
        <f t="shared" si="934"/>
        <v>68.740000000000009</v>
      </c>
      <c r="V312" s="3306">
        <v>6.5</v>
      </c>
      <c r="W312" s="951">
        <f>+R312+T312+V312</f>
        <v>24.5</v>
      </c>
      <c r="X312" s="950">
        <f>+U312+V312</f>
        <v>75.240000000000009</v>
      </c>
      <c r="Y312" s="3306">
        <v>11.5</v>
      </c>
      <c r="Z312" s="4951">
        <f>+X312+Y312</f>
        <v>86.740000000000009</v>
      </c>
      <c r="AA312" s="3306">
        <v>9.5</v>
      </c>
      <c r="AB312" s="4951">
        <f>+Z312+AA312</f>
        <v>96.240000000000009</v>
      </c>
      <c r="AC312" s="3306">
        <v>8</v>
      </c>
      <c r="AD312" s="750">
        <f>+Y312+AA312+AC312</f>
        <v>29</v>
      </c>
      <c r="AE312" s="771">
        <f t="shared" si="935"/>
        <v>53.5</v>
      </c>
      <c r="AF312" s="2616">
        <f t="shared" si="902"/>
        <v>104.24000000000001</v>
      </c>
    </row>
    <row r="313" spans="4:38" ht="35" customHeight="1" x14ac:dyDescent="0.25">
      <c r="D313" s="8469"/>
      <c r="E313" s="493" t="s">
        <v>248</v>
      </c>
      <c r="F313" s="3305">
        <v>0.5</v>
      </c>
      <c r="G313" s="3305">
        <v>1</v>
      </c>
      <c r="H313" s="942">
        <f>F313+G313</f>
        <v>1.5</v>
      </c>
      <c r="I313" s="3305">
        <v>1</v>
      </c>
      <c r="J313" s="951">
        <f t="shared" si="929"/>
        <v>2.5</v>
      </c>
      <c r="K313" s="3305">
        <v>1.4</v>
      </c>
      <c r="L313" s="942">
        <f t="shared" si="930"/>
        <v>3.9</v>
      </c>
      <c r="M313" s="3305">
        <v>1.2</v>
      </c>
      <c r="N313" s="942">
        <f>+L313+M313</f>
        <v>5.0999999999999996</v>
      </c>
      <c r="O313" s="3305">
        <v>0.5</v>
      </c>
      <c r="P313" s="845">
        <f t="shared" si="893"/>
        <v>3.0999999999999996</v>
      </c>
      <c r="Q313" s="954">
        <f t="shared" si="932"/>
        <v>5.6</v>
      </c>
      <c r="R313" s="3305">
        <v>0.8</v>
      </c>
      <c r="S313" s="953">
        <f>+Q313+R313</f>
        <v>6.3999999999999995</v>
      </c>
      <c r="T313" s="3305">
        <v>1</v>
      </c>
      <c r="U313" s="953">
        <f>SUM(S313:T313)</f>
        <v>7.3999999999999995</v>
      </c>
      <c r="V313" s="3305">
        <v>1</v>
      </c>
      <c r="W313" s="3116">
        <f>+R313+T313+V313</f>
        <v>2.8</v>
      </c>
      <c r="X313" s="3114">
        <f>+U313+V313</f>
        <v>8.3999999999999986</v>
      </c>
      <c r="Y313" s="3305">
        <v>1</v>
      </c>
      <c r="Z313" s="953">
        <f>SUM(X313:Y313)</f>
        <v>9.3999999999999986</v>
      </c>
      <c r="AA313" s="3305">
        <v>1</v>
      </c>
      <c r="AB313" s="953">
        <f>SUM(Z313:AA313)</f>
        <v>10.399999999999999</v>
      </c>
      <c r="AC313" s="3305">
        <v>1.3</v>
      </c>
      <c r="AD313" s="807">
        <f>+Y313+AA313+AC313</f>
        <v>3.3</v>
      </c>
      <c r="AE313" s="1326">
        <f t="shared" si="935"/>
        <v>6.1</v>
      </c>
      <c r="AF313" s="2616">
        <f t="shared" si="902"/>
        <v>11.7</v>
      </c>
    </row>
    <row r="314" spans="4:38" ht="35" customHeight="1" thickBot="1" x14ac:dyDescent="0.3">
      <c r="D314" s="8470"/>
      <c r="E314" s="976" t="s">
        <v>249</v>
      </c>
      <c r="F314" s="3310">
        <v>0</v>
      </c>
      <c r="G314" s="3310">
        <v>0</v>
      </c>
      <c r="H314" s="955">
        <f>F314+G314</f>
        <v>0</v>
      </c>
      <c r="I314" s="3310">
        <v>0</v>
      </c>
      <c r="J314" s="956">
        <f>SUM(H314:I314)</f>
        <v>0</v>
      </c>
      <c r="K314" s="3310">
        <v>0</v>
      </c>
      <c r="L314" s="955">
        <f t="shared" si="930"/>
        <v>0</v>
      </c>
      <c r="M314" s="3310">
        <v>0</v>
      </c>
      <c r="N314" s="955">
        <f>+L314+M314</f>
        <v>0</v>
      </c>
      <c r="O314" s="3310">
        <v>0</v>
      </c>
      <c r="P314" s="1006">
        <f t="shared" si="893"/>
        <v>0</v>
      </c>
      <c r="Q314" s="957">
        <f t="shared" si="932"/>
        <v>0</v>
      </c>
      <c r="R314" s="3310">
        <v>0</v>
      </c>
      <c r="S314" s="1170">
        <f t="shared" si="933"/>
        <v>0</v>
      </c>
      <c r="T314" s="3310">
        <v>0</v>
      </c>
      <c r="U314" s="1170">
        <f>SUM(S314:T314)</f>
        <v>0</v>
      </c>
      <c r="V314" s="3310">
        <v>0</v>
      </c>
      <c r="W314" s="1198">
        <f>+R314+T314+V314</f>
        <v>0</v>
      </c>
      <c r="X314" s="1171">
        <f>+U314+V314</f>
        <v>0</v>
      </c>
      <c r="Y314" s="3310">
        <v>0</v>
      </c>
      <c r="Z314" s="1170">
        <f>SUM(X314:Y314)</f>
        <v>0</v>
      </c>
      <c r="AA314" s="3310">
        <v>0</v>
      </c>
      <c r="AB314" s="1171">
        <f>SUM(Z314:AA314)</f>
        <v>0</v>
      </c>
      <c r="AC314" s="3310">
        <v>0</v>
      </c>
      <c r="AD314" s="4090">
        <f>+Y314+AA314+AC314</f>
        <v>0</v>
      </c>
      <c r="AE314" s="4091">
        <f t="shared" si="935"/>
        <v>0</v>
      </c>
      <c r="AF314" s="2619">
        <f t="shared" si="902"/>
        <v>0</v>
      </c>
    </row>
    <row r="315" spans="4:38" s="3170" customFormat="1" ht="35" customHeight="1" x14ac:dyDescent="0.25">
      <c r="D315" s="4180" t="s">
        <v>1472</v>
      </c>
      <c r="E315" s="3611"/>
      <c r="F315" s="4182"/>
      <c r="G315" s="4182"/>
      <c r="H315" s="3611"/>
      <c r="I315" s="4182"/>
      <c r="J315" s="3611"/>
      <c r="K315" s="4182"/>
      <c r="L315" s="3597"/>
      <c r="M315" s="4182"/>
      <c r="N315" s="3597"/>
      <c r="O315" s="4182"/>
      <c r="P315" s="3611"/>
      <c r="Q315" s="3597"/>
      <c r="R315" s="4182"/>
      <c r="S315" s="3597"/>
      <c r="T315" s="4182"/>
      <c r="U315" s="3597"/>
      <c r="V315" s="4182"/>
      <c r="W315" s="4181"/>
      <c r="X315" s="4182"/>
      <c r="Y315" s="4182"/>
      <c r="Z315" s="3597"/>
      <c r="AA315" s="4182"/>
      <c r="AB315" s="4182"/>
      <c r="AC315" s="4182"/>
      <c r="AD315" s="4182"/>
      <c r="AE315" s="4181"/>
      <c r="AF315" s="4182"/>
      <c r="AG315" s="4756"/>
      <c r="AH315" s="4756"/>
      <c r="AI315" s="4756"/>
      <c r="AJ315" s="4756"/>
      <c r="AK315" s="4756"/>
      <c r="AL315" s="4756"/>
    </row>
    <row r="316" spans="4:38" ht="35" customHeight="1" x14ac:dyDescent="0.35">
      <c r="D316" s="977" t="s">
        <v>10</v>
      </c>
      <c r="E316" s="978" t="s">
        <v>1</v>
      </c>
      <c r="F316" s="660" t="s">
        <v>9</v>
      </c>
      <c r="G316" s="660" t="s">
        <v>51</v>
      </c>
      <c r="H316" s="3535" t="s">
        <v>52</v>
      </c>
      <c r="I316" s="660" t="s">
        <v>1073</v>
      </c>
      <c r="J316" s="3476" t="s">
        <v>60</v>
      </c>
      <c r="K316" s="660" t="s">
        <v>2117</v>
      </c>
      <c r="L316" s="3513" t="s">
        <v>62</v>
      </c>
      <c r="M316" s="660" t="s">
        <v>63</v>
      </c>
      <c r="N316" s="884" t="s">
        <v>64</v>
      </c>
      <c r="O316" s="660" t="s">
        <v>65</v>
      </c>
      <c r="P316" s="659" t="s">
        <v>66</v>
      </c>
      <c r="Q316" s="979" t="s">
        <v>82</v>
      </c>
      <c r="R316" s="660" t="s">
        <v>100</v>
      </c>
      <c r="S316" s="658" t="s">
        <v>101</v>
      </c>
      <c r="T316" s="660" t="s">
        <v>104</v>
      </c>
      <c r="U316" s="658" t="s">
        <v>105</v>
      </c>
      <c r="V316" s="660" t="s">
        <v>106</v>
      </c>
      <c r="W316" s="659" t="s">
        <v>107</v>
      </c>
      <c r="X316" s="658" t="s">
        <v>108</v>
      </c>
      <c r="Y316" s="660" t="s">
        <v>109</v>
      </c>
      <c r="Z316" s="658" t="s">
        <v>110</v>
      </c>
      <c r="AA316" s="660" t="s">
        <v>112</v>
      </c>
      <c r="AB316" s="658" t="s">
        <v>113</v>
      </c>
      <c r="AC316" s="660" t="s">
        <v>114</v>
      </c>
      <c r="AD316" s="659" t="s">
        <v>115</v>
      </c>
      <c r="AE316" s="1321" t="s">
        <v>116</v>
      </c>
      <c r="AF316" s="2620" t="s">
        <v>117</v>
      </c>
    </row>
    <row r="317" spans="4:38" ht="35" customHeight="1" x14ac:dyDescent="0.4">
      <c r="D317" s="980"/>
      <c r="E317" s="981"/>
      <c r="F317" s="5164"/>
      <c r="G317" s="5422"/>
      <c r="H317" s="4756"/>
      <c r="I317" s="5663"/>
      <c r="J317" s="4756"/>
      <c r="K317" s="5872"/>
      <c r="L317" s="4756"/>
      <c r="M317" s="4756"/>
      <c r="N317" s="982"/>
      <c r="O317" s="4756"/>
      <c r="P317" s="982"/>
      <c r="Q317" s="982"/>
      <c r="R317" s="4756"/>
      <c r="S317" s="982"/>
      <c r="T317" s="4756"/>
      <c r="U317" s="982"/>
      <c r="V317" s="4756"/>
      <c r="W317" s="2445"/>
      <c r="X317" s="2445"/>
      <c r="Y317" s="4756"/>
      <c r="Z317" s="982"/>
      <c r="AA317" s="4756"/>
      <c r="AB317" s="48"/>
      <c r="AC317" s="4756"/>
      <c r="AD317" s="48"/>
      <c r="AE317" s="1074"/>
      <c r="AF317" s="1074"/>
    </row>
    <row r="318" spans="4:38" ht="35" customHeight="1" x14ac:dyDescent="0.35">
      <c r="D318" s="983" t="s">
        <v>123</v>
      </c>
      <c r="E318" s="984" t="s">
        <v>1379</v>
      </c>
      <c r="F318" s="5164"/>
      <c r="G318" s="5422"/>
      <c r="H318" s="4756"/>
      <c r="I318" s="5663"/>
      <c r="J318" s="4756"/>
      <c r="K318" s="5872"/>
      <c r="L318" s="4756"/>
      <c r="M318" s="4756"/>
      <c r="N318" s="985"/>
      <c r="O318" s="4756"/>
      <c r="P318" s="985"/>
      <c r="Q318" s="986"/>
      <c r="R318" s="4756"/>
      <c r="S318" s="986"/>
      <c r="T318" s="4756"/>
      <c r="U318" s="986"/>
      <c r="V318" s="4756"/>
      <c r="W318" s="985"/>
      <c r="X318" s="985"/>
      <c r="Y318" s="4756"/>
      <c r="Z318" s="986"/>
      <c r="AA318" s="4756"/>
      <c r="AB318" s="52"/>
      <c r="AC318" s="4756"/>
      <c r="AD318" s="52"/>
      <c r="AE318" s="986"/>
      <c r="AF318" s="986"/>
    </row>
    <row r="319" spans="4:38" ht="35" customHeight="1" x14ac:dyDescent="0.25">
      <c r="D319" s="987"/>
      <c r="E319" s="984" t="s">
        <v>446</v>
      </c>
      <c r="F319" s="50"/>
      <c r="G319" s="50"/>
      <c r="H319" s="3243"/>
      <c r="I319" s="50"/>
      <c r="J319" s="3243"/>
      <c r="K319" s="50"/>
      <c r="L319" s="3592"/>
      <c r="M319" s="50"/>
      <c r="N319" s="985"/>
      <c r="O319" s="50"/>
      <c r="P319" s="993"/>
      <c r="Q319" s="993"/>
      <c r="R319" s="50"/>
      <c r="S319" s="985"/>
      <c r="T319" s="50"/>
      <c r="U319" s="985"/>
      <c r="V319" s="50"/>
      <c r="W319" s="993"/>
      <c r="X319" s="993"/>
      <c r="Y319" s="50"/>
      <c r="Z319" s="985"/>
      <c r="AA319" s="50"/>
      <c r="AB319" s="50"/>
      <c r="AC319" s="50"/>
      <c r="AD319" s="993"/>
      <c r="AE319" s="993"/>
      <c r="AF319" s="993"/>
    </row>
    <row r="320" spans="4:38" ht="35" customHeight="1" x14ac:dyDescent="0.35">
      <c r="D320" s="987"/>
      <c r="E320" s="1005" t="s">
        <v>243</v>
      </c>
      <c r="F320" s="3311"/>
      <c r="G320" s="3311"/>
      <c r="H320" s="3527">
        <f t="shared" ref="H320" si="937">+F320+G320</f>
        <v>0</v>
      </c>
      <c r="I320" s="3311"/>
      <c r="J320" s="1957">
        <f t="shared" ref="J320" si="938">+H320+I320</f>
        <v>0</v>
      </c>
      <c r="K320" s="3311"/>
      <c r="L320" s="3580">
        <f t="shared" ref="L320:N320" si="939">+J320+K320</f>
        <v>0</v>
      </c>
      <c r="M320" s="3311">
        <v>11827.830000000005</v>
      </c>
      <c r="N320" s="693">
        <f t="shared" si="939"/>
        <v>11827.830000000005</v>
      </c>
      <c r="O320" s="3311">
        <v>1376.08</v>
      </c>
      <c r="P320" s="1006">
        <f t="shared" ref="P320:P331" si="940">+K320+M320+O320</f>
        <v>13203.910000000005</v>
      </c>
      <c r="Q320" s="996">
        <f t="shared" ref="Q320:Q330" si="941">+N320+O320</f>
        <v>13203.910000000005</v>
      </c>
      <c r="R320" s="3311">
        <v>4772.2200000000012</v>
      </c>
      <c r="S320" s="994">
        <f t="shared" ref="S320" si="942">+Q320+R320</f>
        <v>17976.130000000005</v>
      </c>
      <c r="T320" s="3311">
        <v>0</v>
      </c>
      <c r="U320" s="994">
        <f t="shared" ref="U320" si="943">+S320+T320</f>
        <v>17976.130000000005</v>
      </c>
      <c r="V320" s="3311">
        <v>0</v>
      </c>
      <c r="W320" s="846">
        <f t="shared" ref="W320:W330" si="944">+R320+T320+V320</f>
        <v>4772.2200000000012</v>
      </c>
      <c r="X320" s="735">
        <f t="shared" ref="X320:X330" si="945">+U320+V320</f>
        <v>17976.130000000005</v>
      </c>
      <c r="Y320" s="3311">
        <v>0</v>
      </c>
      <c r="Z320" s="994">
        <f t="shared" ref="Z320:Z330" si="946">+X320+Y320</f>
        <v>17976.130000000005</v>
      </c>
      <c r="AA320" s="3311">
        <v>4454.2830000000004</v>
      </c>
      <c r="AB320" s="693">
        <f t="shared" ref="AB320:AB330" si="947">+Z320+AA320</f>
        <v>22430.413000000004</v>
      </c>
      <c r="AC320" s="3311"/>
      <c r="AD320" s="698">
        <f t="shared" ref="AD320:AD330" si="948">+Y320+AA320+AC320</f>
        <v>4454.2830000000004</v>
      </c>
      <c r="AE320" s="769">
        <f t="shared" ref="AE320:AE330" si="949">+W320+AD320</f>
        <v>9226.5030000000006</v>
      </c>
      <c r="AF320" s="2589">
        <f>+AB320+AC320</f>
        <v>22430.413000000004</v>
      </c>
    </row>
    <row r="321" spans="4:32" ht="35" customHeight="1" x14ac:dyDescent="0.35">
      <c r="D321" s="987"/>
      <c r="E321" s="1005" t="s">
        <v>234</v>
      </c>
      <c r="F321" s="1094"/>
      <c r="G321" s="1094"/>
      <c r="H321" s="3075">
        <f t="shared" ref="H321:H330" si="950">SUM(F321:G321)</f>
        <v>0</v>
      </c>
      <c r="I321" s="1094"/>
      <c r="J321" s="1061">
        <f t="shared" ref="J321:J324" si="951">+H321+I321</f>
        <v>0</v>
      </c>
      <c r="K321" s="1094"/>
      <c r="L321" s="1441">
        <f t="shared" ref="L321:N330" si="952">+J321+K321</f>
        <v>0</v>
      </c>
      <c r="M321" s="1094">
        <v>7789.260000000002</v>
      </c>
      <c r="N321" s="735">
        <f t="shared" si="952"/>
        <v>7789.260000000002</v>
      </c>
      <c r="O321" s="1094">
        <v>10772.020000000006</v>
      </c>
      <c r="P321" s="1006">
        <f t="shared" si="940"/>
        <v>18561.280000000006</v>
      </c>
      <c r="Q321" s="996">
        <f t="shared" si="941"/>
        <v>18561.280000000006</v>
      </c>
      <c r="R321" s="1094">
        <v>4540.42</v>
      </c>
      <c r="S321" s="806">
        <f t="shared" ref="S321:S330" si="953">+Q321+R321</f>
        <v>23101.700000000004</v>
      </c>
      <c r="T321" s="1094">
        <v>7828.760000000002</v>
      </c>
      <c r="U321" s="806">
        <f t="shared" ref="U321:U330" si="954">SUM(S321:T321)</f>
        <v>30930.460000000006</v>
      </c>
      <c r="V321" s="1094">
        <f>785.46+5231.101</f>
        <v>6016.5609999999997</v>
      </c>
      <c r="W321" s="846">
        <f t="shared" si="944"/>
        <v>18385.741000000002</v>
      </c>
      <c r="X321" s="735">
        <f t="shared" si="945"/>
        <v>36947.021000000008</v>
      </c>
      <c r="Y321" s="1094">
        <v>293.33000000000004</v>
      </c>
      <c r="Z321" s="806">
        <f t="shared" si="946"/>
        <v>37240.35100000001</v>
      </c>
      <c r="AA321" s="1094">
        <v>7556.9460000000008</v>
      </c>
      <c r="AB321" s="693">
        <f t="shared" si="947"/>
        <v>44797.297000000013</v>
      </c>
      <c r="AC321" s="1094">
        <v>7980.8099999999986</v>
      </c>
      <c r="AD321" s="698">
        <f t="shared" si="948"/>
        <v>15831.085999999999</v>
      </c>
      <c r="AE321" s="769">
        <f t="shared" si="949"/>
        <v>34216.827000000005</v>
      </c>
      <c r="AF321" s="2589">
        <f t="shared" ref="AF321:AF330" si="955">+AB321+AC321</f>
        <v>52778.107000000011</v>
      </c>
    </row>
    <row r="322" spans="4:32" ht="35" customHeight="1" x14ac:dyDescent="0.35">
      <c r="D322" s="987"/>
      <c r="E322" s="5032" t="s">
        <v>1393</v>
      </c>
      <c r="F322" s="1094"/>
      <c r="G322" s="1094"/>
      <c r="H322" s="3075">
        <f t="shared" si="950"/>
        <v>0</v>
      </c>
      <c r="I322" s="1094"/>
      <c r="J322" s="1061">
        <f t="shared" si="951"/>
        <v>0</v>
      </c>
      <c r="K322" s="1094"/>
      <c r="L322" s="1441">
        <f t="shared" si="952"/>
        <v>0</v>
      </c>
      <c r="M322" s="1094">
        <v>2094.0300000000002</v>
      </c>
      <c r="N322" s="735">
        <f t="shared" si="952"/>
        <v>2094.0300000000002</v>
      </c>
      <c r="O322" s="1094">
        <v>649.91999999999996</v>
      </c>
      <c r="P322" s="1006">
        <f t="shared" si="940"/>
        <v>2743.9500000000003</v>
      </c>
      <c r="Q322" s="996">
        <f t="shared" si="941"/>
        <v>2743.9500000000003</v>
      </c>
      <c r="R322" s="1094">
        <v>399.64000000000004</v>
      </c>
      <c r="S322" s="806">
        <f t="shared" si="953"/>
        <v>3143.59</v>
      </c>
      <c r="T322" s="1094">
        <v>1204.3100000000002</v>
      </c>
      <c r="U322" s="806">
        <f t="shared" si="954"/>
        <v>4347.9000000000005</v>
      </c>
      <c r="V322" s="1094">
        <v>25.9</v>
      </c>
      <c r="W322" s="846">
        <f t="shared" ref="W322" si="956">+R322+T322+V322</f>
        <v>1629.8500000000004</v>
      </c>
      <c r="X322" s="735">
        <f t="shared" ref="X322" si="957">+U322+V322</f>
        <v>4373.8</v>
      </c>
      <c r="Y322" s="1094">
        <v>0</v>
      </c>
      <c r="Z322" s="806">
        <f t="shared" si="946"/>
        <v>4373.8</v>
      </c>
      <c r="AA322" s="1094">
        <v>2779.98</v>
      </c>
      <c r="AB322" s="693">
        <f t="shared" si="947"/>
        <v>7153.7800000000007</v>
      </c>
      <c r="AC322" s="1094">
        <v>1238.5909999999999</v>
      </c>
      <c r="AD322" s="698">
        <f t="shared" si="948"/>
        <v>4018.5709999999999</v>
      </c>
      <c r="AE322" s="769">
        <f t="shared" si="949"/>
        <v>5648.4210000000003</v>
      </c>
      <c r="AF322" s="2589">
        <f t="shared" si="955"/>
        <v>8392.371000000001</v>
      </c>
    </row>
    <row r="323" spans="4:32" ht="35" customHeight="1" x14ac:dyDescent="0.35">
      <c r="D323" s="987"/>
      <c r="E323" s="5032" t="s">
        <v>441</v>
      </c>
      <c r="F323" s="1094"/>
      <c r="G323" s="1094"/>
      <c r="H323" s="3075">
        <f t="shared" si="950"/>
        <v>0</v>
      </c>
      <c r="I323" s="1094"/>
      <c r="J323" s="1061">
        <f t="shared" si="951"/>
        <v>0</v>
      </c>
      <c r="K323" s="1094"/>
      <c r="L323" s="1441">
        <f t="shared" si="952"/>
        <v>0</v>
      </c>
      <c r="M323" s="1094">
        <v>33.200000000000003</v>
      </c>
      <c r="N323" s="735">
        <f t="shared" si="952"/>
        <v>33.200000000000003</v>
      </c>
      <c r="O323" s="1094">
        <v>2896.9500000000007</v>
      </c>
      <c r="P323" s="1006">
        <f t="shared" si="940"/>
        <v>2930.1500000000005</v>
      </c>
      <c r="Q323" s="996">
        <f t="shared" si="941"/>
        <v>2930.1500000000005</v>
      </c>
      <c r="R323" s="1094">
        <v>693.63999999999987</v>
      </c>
      <c r="S323" s="806">
        <f t="shared" si="953"/>
        <v>3623.7900000000004</v>
      </c>
      <c r="T323" s="1094">
        <v>4289.2199999999993</v>
      </c>
      <c r="U323" s="806">
        <f t="shared" si="954"/>
        <v>7913.01</v>
      </c>
      <c r="V323" s="1094">
        <f>254.73+3740.169</f>
        <v>3994.8989999999999</v>
      </c>
      <c r="W323" s="846">
        <f t="shared" si="944"/>
        <v>8977.7589999999982</v>
      </c>
      <c r="X323" s="735">
        <f t="shared" si="945"/>
        <v>11907.909</v>
      </c>
      <c r="Y323" s="1094">
        <v>3012.08</v>
      </c>
      <c r="Z323" s="806">
        <f t="shared" si="946"/>
        <v>14919.989</v>
      </c>
      <c r="AA323" s="1094">
        <f>62.37</f>
        <v>62.37</v>
      </c>
      <c r="AB323" s="693">
        <f t="shared" si="947"/>
        <v>14982.359</v>
      </c>
      <c r="AC323" s="1094"/>
      <c r="AD323" s="698">
        <f t="shared" si="948"/>
        <v>3074.45</v>
      </c>
      <c r="AE323" s="769">
        <f t="shared" si="949"/>
        <v>12052.208999999999</v>
      </c>
      <c r="AF323" s="2589">
        <f t="shared" si="955"/>
        <v>14982.359</v>
      </c>
    </row>
    <row r="324" spans="4:32" ht="35" customHeight="1" x14ac:dyDescent="0.35">
      <c r="D324" s="987"/>
      <c r="E324" s="5032" t="s">
        <v>182</v>
      </c>
      <c r="F324" s="1094"/>
      <c r="G324" s="1094"/>
      <c r="H324" s="3076">
        <f t="shared" si="950"/>
        <v>0</v>
      </c>
      <c r="I324" s="1094"/>
      <c r="J324" s="1061">
        <f t="shared" si="951"/>
        <v>0</v>
      </c>
      <c r="K324" s="1094"/>
      <c r="L324" s="1441">
        <f t="shared" si="952"/>
        <v>0</v>
      </c>
      <c r="M324" s="1094">
        <v>33.11</v>
      </c>
      <c r="N324" s="735">
        <f t="shared" si="952"/>
        <v>33.11</v>
      </c>
      <c r="O324" s="1094">
        <v>2150.4300000000003</v>
      </c>
      <c r="P324" s="1006">
        <f t="shared" si="940"/>
        <v>2183.5400000000004</v>
      </c>
      <c r="Q324" s="996">
        <f t="shared" si="941"/>
        <v>2183.5400000000004</v>
      </c>
      <c r="R324" s="1094">
        <v>3463.6000000000008</v>
      </c>
      <c r="S324" s="806">
        <f t="shared" si="953"/>
        <v>5647.1400000000012</v>
      </c>
      <c r="T324" s="1094">
        <v>1917.14</v>
      </c>
      <c r="U324" s="806">
        <f t="shared" si="954"/>
        <v>7564.2800000000016</v>
      </c>
      <c r="V324" s="1094">
        <v>5498.55</v>
      </c>
      <c r="W324" s="846">
        <f t="shared" si="944"/>
        <v>10879.29</v>
      </c>
      <c r="X324" s="735">
        <f t="shared" si="945"/>
        <v>13062.830000000002</v>
      </c>
      <c r="Y324" s="1094">
        <f>8829.12000000001-61.84</f>
        <v>8767.2800000000097</v>
      </c>
      <c r="Z324" s="806">
        <f t="shared" si="946"/>
        <v>21830.110000000011</v>
      </c>
      <c r="AA324" s="1094">
        <v>0</v>
      </c>
      <c r="AB324" s="693">
        <f t="shared" si="947"/>
        <v>21830.110000000011</v>
      </c>
      <c r="AC324" s="1094"/>
      <c r="AD324" s="698">
        <f t="shared" si="948"/>
        <v>8767.2800000000097</v>
      </c>
      <c r="AE324" s="769">
        <f t="shared" si="949"/>
        <v>19646.570000000011</v>
      </c>
      <c r="AF324" s="2589">
        <f t="shared" si="955"/>
        <v>21830.110000000011</v>
      </c>
    </row>
    <row r="325" spans="4:32" ht="35" customHeight="1" x14ac:dyDescent="0.35">
      <c r="D325" s="987"/>
      <c r="E325" s="5033" t="s">
        <v>183</v>
      </c>
      <c r="F325" s="1094"/>
      <c r="G325" s="1094"/>
      <c r="H325" s="3076">
        <f t="shared" si="950"/>
        <v>0</v>
      </c>
      <c r="I325" s="1094"/>
      <c r="J325" s="1061">
        <f t="shared" ref="J325:J330" si="958">+H325+I325</f>
        <v>0</v>
      </c>
      <c r="K325" s="1094"/>
      <c r="L325" s="1441">
        <f t="shared" si="952"/>
        <v>0</v>
      </c>
      <c r="M325" s="1094">
        <v>826.67</v>
      </c>
      <c r="N325" s="735">
        <f t="shared" si="952"/>
        <v>826.67</v>
      </c>
      <c r="O325" s="1094">
        <v>1184.97</v>
      </c>
      <c r="P325" s="1006">
        <f t="shared" si="940"/>
        <v>2011.6399999999999</v>
      </c>
      <c r="Q325" s="996">
        <f t="shared" si="941"/>
        <v>2011.6399999999999</v>
      </c>
      <c r="R325" s="1094">
        <v>4755.7899999999991</v>
      </c>
      <c r="S325" s="806">
        <f t="shared" si="953"/>
        <v>6767.4299999999985</v>
      </c>
      <c r="T325" s="1094">
        <v>6195.9700000000039</v>
      </c>
      <c r="U325" s="806">
        <f t="shared" si="954"/>
        <v>12963.400000000001</v>
      </c>
      <c r="V325" s="1094">
        <v>5863.5590000000002</v>
      </c>
      <c r="W325" s="846">
        <f t="shared" si="944"/>
        <v>16815.319000000003</v>
      </c>
      <c r="X325" s="735">
        <f t="shared" si="945"/>
        <v>18826.959000000003</v>
      </c>
      <c r="Y325" s="1094">
        <v>6160.0599999999986</v>
      </c>
      <c r="Z325" s="806">
        <f t="shared" si="946"/>
        <v>24987.019</v>
      </c>
      <c r="AA325" s="1094">
        <v>3236.8000000000006</v>
      </c>
      <c r="AB325" s="693">
        <f t="shared" si="947"/>
        <v>28223.819</v>
      </c>
      <c r="AC325" s="1094">
        <v>2130.4499999999998</v>
      </c>
      <c r="AD325" s="698">
        <f t="shared" si="948"/>
        <v>11527.309999999998</v>
      </c>
      <c r="AE325" s="769">
        <f t="shared" si="949"/>
        <v>28342.629000000001</v>
      </c>
      <c r="AF325" s="2589">
        <f t="shared" si="955"/>
        <v>30354.269</v>
      </c>
    </row>
    <row r="326" spans="4:32" ht="35" customHeight="1" x14ac:dyDescent="0.35">
      <c r="D326" s="987"/>
      <c r="E326" s="1007" t="s">
        <v>1455</v>
      </c>
      <c r="F326" s="3296"/>
      <c r="G326" s="3296"/>
      <c r="H326" s="3076">
        <f t="shared" si="950"/>
        <v>0</v>
      </c>
      <c r="I326" s="3296"/>
      <c r="J326" s="1061">
        <f t="shared" si="958"/>
        <v>0</v>
      </c>
      <c r="K326" s="3296"/>
      <c r="L326" s="1441">
        <f t="shared" ref="L326" si="959">+J326+K326</f>
        <v>0</v>
      </c>
      <c r="M326" s="3296">
        <v>183.04</v>
      </c>
      <c r="N326" s="735">
        <f t="shared" ref="N326" si="960">+L326+M326</f>
        <v>183.04</v>
      </c>
      <c r="O326" s="3296">
        <v>0</v>
      </c>
      <c r="P326" s="1006">
        <f t="shared" ref="P326" si="961">+K326+M326+O326</f>
        <v>183.04</v>
      </c>
      <c r="Q326" s="996">
        <f t="shared" ref="Q326" si="962">+N326+O326</f>
        <v>183.04</v>
      </c>
      <c r="R326" s="3296">
        <v>0</v>
      </c>
      <c r="S326" s="806">
        <f t="shared" ref="S326" si="963">+Q326+R326</f>
        <v>183.04</v>
      </c>
      <c r="T326" s="3296">
        <v>0</v>
      </c>
      <c r="U326" s="806">
        <f t="shared" ref="U326" si="964">SUM(S326:T326)</f>
        <v>183.04</v>
      </c>
      <c r="V326" s="3296">
        <f>59.28+2103.93</f>
        <v>2163.21</v>
      </c>
      <c r="W326" s="846">
        <f t="shared" ref="W326" si="965">+R326+T326+V326</f>
        <v>2163.21</v>
      </c>
      <c r="X326" s="735">
        <f t="shared" ref="X326" si="966">+U326+V326</f>
        <v>2346.25</v>
      </c>
      <c r="Y326" s="3296">
        <v>0</v>
      </c>
      <c r="Z326" s="806">
        <f>+X326+Y326</f>
        <v>2346.25</v>
      </c>
      <c r="AA326" s="3296"/>
      <c r="AB326" s="693">
        <f t="shared" ref="AB326" si="967">+Z326+AA326</f>
        <v>2346.25</v>
      </c>
      <c r="AC326" s="3296"/>
      <c r="AD326" s="698">
        <f>+Y326+AA326+AC326</f>
        <v>0</v>
      </c>
      <c r="AE326" s="769">
        <f t="shared" ref="AE326" si="968">+W326+AD326</f>
        <v>2163.21</v>
      </c>
      <c r="AF326" s="2589">
        <f t="shared" ref="AF326" si="969">+AB326+AC326</f>
        <v>2346.25</v>
      </c>
    </row>
    <row r="327" spans="4:32" ht="35" customHeight="1" x14ac:dyDescent="0.35">
      <c r="D327" s="987"/>
      <c r="E327" s="1005" t="s">
        <v>1632</v>
      </c>
      <c r="F327" s="3296"/>
      <c r="G327" s="3296"/>
      <c r="H327" s="3076">
        <f t="shared" ref="H327:H328" si="970">SUM(F327:G327)</f>
        <v>0</v>
      </c>
      <c r="I327" s="3296"/>
      <c r="J327" s="1061">
        <f t="shared" si="958"/>
        <v>0</v>
      </c>
      <c r="K327" s="3296"/>
      <c r="L327" s="1441">
        <f t="shared" si="952"/>
        <v>0</v>
      </c>
      <c r="M327" s="3296">
        <v>749.05000000000007</v>
      </c>
      <c r="N327" s="735">
        <f t="shared" si="952"/>
        <v>749.05000000000007</v>
      </c>
      <c r="O327" s="3296">
        <v>59.379999999999995</v>
      </c>
      <c r="P327" s="1006">
        <f t="shared" si="940"/>
        <v>808.43000000000006</v>
      </c>
      <c r="Q327" s="996">
        <f t="shared" si="941"/>
        <v>808.43000000000006</v>
      </c>
      <c r="R327" s="3296">
        <v>0</v>
      </c>
      <c r="S327" s="806">
        <f t="shared" si="953"/>
        <v>808.43000000000006</v>
      </c>
      <c r="T327" s="3296">
        <v>0</v>
      </c>
      <c r="U327" s="806">
        <f t="shared" si="954"/>
        <v>808.43000000000006</v>
      </c>
      <c r="V327" s="3296">
        <v>0</v>
      </c>
      <c r="W327" s="846">
        <f t="shared" si="944"/>
        <v>0</v>
      </c>
      <c r="X327" s="735">
        <f t="shared" si="945"/>
        <v>808.43000000000006</v>
      </c>
      <c r="Y327" s="3296">
        <v>31.99</v>
      </c>
      <c r="Z327" s="806">
        <f>+X327+Y327</f>
        <v>840.42000000000007</v>
      </c>
      <c r="AA327" s="3296"/>
      <c r="AB327" s="693">
        <f t="shared" si="947"/>
        <v>840.42000000000007</v>
      </c>
      <c r="AC327" s="3296">
        <v>840.66</v>
      </c>
      <c r="AD327" s="698">
        <f>+Y327+AA327+AC327</f>
        <v>872.65</v>
      </c>
      <c r="AE327" s="769">
        <f t="shared" si="949"/>
        <v>872.65</v>
      </c>
      <c r="AF327" s="2589">
        <f t="shared" si="955"/>
        <v>1681.08</v>
      </c>
    </row>
    <row r="328" spans="4:32" ht="35" customHeight="1" x14ac:dyDescent="0.35">
      <c r="D328" s="987"/>
      <c r="E328" s="1005" t="s">
        <v>1633</v>
      </c>
      <c r="F328" s="3296"/>
      <c r="G328" s="3296"/>
      <c r="H328" s="3076">
        <f t="shared" si="970"/>
        <v>0</v>
      </c>
      <c r="I328" s="3296"/>
      <c r="J328" s="1061">
        <f t="shared" si="958"/>
        <v>0</v>
      </c>
      <c r="K328" s="3296"/>
      <c r="L328" s="1441">
        <f t="shared" si="952"/>
        <v>0</v>
      </c>
      <c r="M328" s="3296">
        <v>0</v>
      </c>
      <c r="N328" s="735">
        <f t="shared" si="952"/>
        <v>0</v>
      </c>
      <c r="O328" s="3296">
        <v>0</v>
      </c>
      <c r="P328" s="1006">
        <f t="shared" ref="P328" si="971">+K328+M328+O328</f>
        <v>0</v>
      </c>
      <c r="Q328" s="996">
        <f t="shared" ref="Q328" si="972">+N328+O328</f>
        <v>0</v>
      </c>
      <c r="R328" s="3296">
        <v>0</v>
      </c>
      <c r="S328" s="806">
        <f t="shared" si="953"/>
        <v>0</v>
      </c>
      <c r="T328" s="3296">
        <v>0</v>
      </c>
      <c r="U328" s="806">
        <f t="shared" si="954"/>
        <v>0</v>
      </c>
      <c r="V328" s="3296">
        <v>0</v>
      </c>
      <c r="W328" s="846">
        <f t="shared" ref="W328" si="973">+R328+T328+V328</f>
        <v>0</v>
      </c>
      <c r="X328" s="735">
        <f t="shared" ref="X328" si="974">+U328+V328</f>
        <v>0</v>
      </c>
      <c r="Y328" s="3296">
        <v>0</v>
      </c>
      <c r="Z328" s="806">
        <f>+X328+Y328</f>
        <v>0</v>
      </c>
      <c r="AA328" s="3296"/>
      <c r="AB328" s="693">
        <f t="shared" si="947"/>
        <v>0</v>
      </c>
      <c r="AC328" s="3296"/>
      <c r="AD328" s="698">
        <f>+Y328+AA328+AC328</f>
        <v>0</v>
      </c>
      <c r="AE328" s="769">
        <f t="shared" ref="AE328" si="975">+W328+AD328</f>
        <v>0</v>
      </c>
      <c r="AF328" s="2589">
        <f t="shared" ref="AF328" si="976">+AB328+AC328</f>
        <v>0</v>
      </c>
    </row>
    <row r="329" spans="4:32" ht="35" customHeight="1" x14ac:dyDescent="0.35">
      <c r="D329" s="987"/>
      <c r="E329" s="1007" t="s">
        <v>233</v>
      </c>
      <c r="F329" s="1094"/>
      <c r="G329" s="1094"/>
      <c r="H329" s="3076">
        <f t="shared" si="950"/>
        <v>0</v>
      </c>
      <c r="I329" s="1094"/>
      <c r="J329" s="1061">
        <f t="shared" si="958"/>
        <v>0</v>
      </c>
      <c r="K329" s="1094"/>
      <c r="L329" s="1441">
        <f t="shared" si="952"/>
        <v>0</v>
      </c>
      <c r="M329" s="1094">
        <v>4317.32</v>
      </c>
      <c r="N329" s="735">
        <f t="shared" si="952"/>
        <v>4317.32</v>
      </c>
      <c r="O329" s="1094">
        <v>9044.619999999999</v>
      </c>
      <c r="P329" s="1006">
        <f t="shared" si="940"/>
        <v>13361.939999999999</v>
      </c>
      <c r="Q329" s="996">
        <f t="shared" si="941"/>
        <v>13361.939999999999</v>
      </c>
      <c r="R329" s="1094">
        <v>4911.8000000000011</v>
      </c>
      <c r="S329" s="806">
        <f t="shared" si="953"/>
        <v>18273.739999999998</v>
      </c>
      <c r="T329" s="1094">
        <v>10039.620000000004</v>
      </c>
      <c r="U329" s="806">
        <f t="shared" si="954"/>
        <v>28313.360000000001</v>
      </c>
      <c r="V329" s="1094">
        <f>3361.241+366</f>
        <v>3727.241</v>
      </c>
      <c r="W329" s="846">
        <f t="shared" si="944"/>
        <v>18678.661000000007</v>
      </c>
      <c r="X329" s="735">
        <f t="shared" si="945"/>
        <v>32040.601000000002</v>
      </c>
      <c r="Y329" s="1094">
        <v>11205.736999999996</v>
      </c>
      <c r="Z329" s="806">
        <f>+X329+Y329</f>
        <v>43246.337999999996</v>
      </c>
      <c r="AA329" s="1094">
        <v>11362.450000000003</v>
      </c>
      <c r="AB329" s="693">
        <f t="shared" si="947"/>
        <v>54608.788</v>
      </c>
      <c r="AC329" s="1094">
        <v>9670.5</v>
      </c>
      <c r="AD329" s="698">
        <f>+Y329+AA329+AC329</f>
        <v>32238.686999999998</v>
      </c>
      <c r="AE329" s="769">
        <f t="shared" si="949"/>
        <v>50917.348000000005</v>
      </c>
      <c r="AF329" s="2589">
        <f t="shared" si="955"/>
        <v>64279.288</v>
      </c>
    </row>
    <row r="330" spans="4:32" ht="35" customHeight="1" thickBot="1" x14ac:dyDescent="0.4">
      <c r="D330" s="987"/>
      <c r="E330" s="1007" t="s">
        <v>227</v>
      </c>
      <c r="F330" s="1094"/>
      <c r="G330" s="1094"/>
      <c r="H330" s="3517">
        <f t="shared" si="950"/>
        <v>0</v>
      </c>
      <c r="I330" s="1094"/>
      <c r="J330" s="3481">
        <f t="shared" si="958"/>
        <v>0</v>
      </c>
      <c r="K330" s="1094"/>
      <c r="L330" s="3582">
        <f t="shared" si="952"/>
        <v>0</v>
      </c>
      <c r="M330" s="1094">
        <v>3151.2</v>
      </c>
      <c r="N330" s="742">
        <f t="shared" si="952"/>
        <v>3151.2</v>
      </c>
      <c r="O330" s="1094">
        <v>5202.96</v>
      </c>
      <c r="P330" s="1195">
        <f t="shared" si="940"/>
        <v>8354.16</v>
      </c>
      <c r="Q330" s="996">
        <f t="shared" si="941"/>
        <v>8354.16</v>
      </c>
      <c r="R330" s="1094">
        <v>5405.9800000000005</v>
      </c>
      <c r="S330" s="1010">
        <f t="shared" si="953"/>
        <v>13760.14</v>
      </c>
      <c r="T330" s="1094">
        <v>8116.1500000000033</v>
      </c>
      <c r="U330" s="1010">
        <f t="shared" si="954"/>
        <v>21876.29</v>
      </c>
      <c r="V330" s="1094">
        <f>62.94+8529.221+554.56</f>
        <v>9146.7209999999995</v>
      </c>
      <c r="W330" s="1033">
        <f t="shared" si="944"/>
        <v>22668.851000000002</v>
      </c>
      <c r="X330" s="737">
        <f t="shared" si="945"/>
        <v>31023.010999999999</v>
      </c>
      <c r="Y330" s="1094">
        <f>9742.862+435.18</f>
        <v>10178.041999999999</v>
      </c>
      <c r="Z330" s="1010">
        <f t="shared" si="946"/>
        <v>41201.053</v>
      </c>
      <c r="AA330" s="1094">
        <v>2192.62</v>
      </c>
      <c r="AB330" s="693">
        <f t="shared" si="947"/>
        <v>43393.673000000003</v>
      </c>
      <c r="AC330" s="1094">
        <v>9122.5720000000001</v>
      </c>
      <c r="AD330" s="698">
        <f t="shared" si="948"/>
        <v>21493.234</v>
      </c>
      <c r="AE330" s="769">
        <f t="shared" si="949"/>
        <v>44162.085000000006</v>
      </c>
      <c r="AF330" s="2589">
        <f t="shared" si="955"/>
        <v>52516.245000000003</v>
      </c>
    </row>
    <row r="331" spans="4:32" ht="35" customHeight="1" thickBot="1" x14ac:dyDescent="0.3">
      <c r="D331" s="987"/>
      <c r="E331" s="997" t="s">
        <v>128</v>
      </c>
      <c r="F331" s="925">
        <f t="shared" ref="F331:G331" si="977">SUM(F320:F330)</f>
        <v>0</v>
      </c>
      <c r="G331" s="925">
        <f t="shared" si="977"/>
        <v>0</v>
      </c>
      <c r="H331" s="575">
        <f t="shared" ref="H331:J331" si="978">SUM(H320:H330)</f>
        <v>0</v>
      </c>
      <c r="I331" s="925">
        <f t="shared" ref="I331" si="979">SUM(I320:I330)</f>
        <v>0</v>
      </c>
      <c r="J331" s="704">
        <f t="shared" si="978"/>
        <v>0</v>
      </c>
      <c r="K331" s="925">
        <f t="shared" ref="K331" si="980">SUM(K320:K330)</f>
        <v>0</v>
      </c>
      <c r="L331" s="575">
        <f>SUM(J331:K331)</f>
        <v>0</v>
      </c>
      <c r="M331" s="925">
        <f t="shared" ref="M331" si="981">SUM(M320:M330)</f>
        <v>31004.710000000006</v>
      </c>
      <c r="N331" s="575">
        <f>SUM(N320:N330)</f>
        <v>31004.710000000006</v>
      </c>
      <c r="O331" s="925">
        <f t="shared" ref="O331" si="982">SUM(O320:O330)</f>
        <v>33337.330000000009</v>
      </c>
      <c r="P331" s="923">
        <f t="shared" si="940"/>
        <v>64342.040000000015</v>
      </c>
      <c r="Q331" s="916">
        <f t="shared" ref="Q331" si="983">+N331+O331</f>
        <v>64342.040000000015</v>
      </c>
      <c r="R331" s="925">
        <f t="shared" ref="R331" si="984">SUM(R320:R330)</f>
        <v>28943.09</v>
      </c>
      <c r="S331" s="575">
        <f t="shared" ref="S331:AF331" si="985">SUM(S320:S330)</f>
        <v>93285.130000000019</v>
      </c>
      <c r="T331" s="925">
        <f t="shared" si="985"/>
        <v>39591.170000000013</v>
      </c>
      <c r="U331" s="575">
        <f t="shared" si="985"/>
        <v>132876.30000000002</v>
      </c>
      <c r="V331" s="925">
        <f t="shared" si="985"/>
        <v>36436.640999999996</v>
      </c>
      <c r="W331" s="573">
        <f t="shared" si="985"/>
        <v>104970.90100000001</v>
      </c>
      <c r="X331" s="572">
        <f t="shared" si="985"/>
        <v>169312.94100000002</v>
      </c>
      <c r="Y331" s="925">
        <f t="shared" ref="Y331" si="986">SUM(Y320:Y330)</f>
        <v>39648.519000000008</v>
      </c>
      <c r="Z331" s="575">
        <f t="shared" si="985"/>
        <v>208961.46000000002</v>
      </c>
      <c r="AA331" s="925">
        <f t="shared" si="985"/>
        <v>31645.449000000004</v>
      </c>
      <c r="AB331" s="572">
        <f t="shared" si="985"/>
        <v>240606.90900000004</v>
      </c>
      <c r="AC331" s="925">
        <f t="shared" si="985"/>
        <v>30983.582999999999</v>
      </c>
      <c r="AD331" s="704">
        <f t="shared" si="985"/>
        <v>102277.55100000001</v>
      </c>
      <c r="AE331" s="775">
        <f t="shared" si="985"/>
        <v>207248.45200000005</v>
      </c>
      <c r="AF331" s="2621">
        <f t="shared" si="985"/>
        <v>271590.49200000003</v>
      </c>
    </row>
    <row r="332" spans="4:32" ht="35" customHeight="1" x14ac:dyDescent="0.25">
      <c r="D332" s="987"/>
      <c r="E332" s="1011" t="s">
        <v>341</v>
      </c>
      <c r="F332" s="927"/>
      <c r="G332" s="927"/>
      <c r="H332" s="3614"/>
      <c r="I332" s="927"/>
      <c r="J332" s="3614"/>
      <c r="K332" s="927"/>
      <c r="L332" s="3615"/>
      <c r="M332" s="927"/>
      <c r="N332" s="927"/>
      <c r="O332" s="927"/>
      <c r="P332" s="927"/>
      <c r="Q332" s="927"/>
      <c r="R332" s="927"/>
      <c r="S332" s="927"/>
      <c r="T332" s="927"/>
      <c r="U332" s="927"/>
      <c r="V332" s="927"/>
      <c r="W332" s="927"/>
      <c r="X332" s="927"/>
      <c r="Y332" s="927"/>
      <c r="Z332" s="927"/>
      <c r="AA332" s="927"/>
      <c r="AB332" s="927"/>
      <c r="AC332" s="927"/>
      <c r="AD332" s="927"/>
      <c r="AE332" s="927"/>
      <c r="AF332" s="927"/>
    </row>
    <row r="333" spans="4:32" ht="35" customHeight="1" x14ac:dyDescent="0.35">
      <c r="D333" s="987"/>
      <c r="E333" s="1005" t="s">
        <v>340</v>
      </c>
      <c r="F333" s="1094"/>
      <c r="G333" s="1094"/>
      <c r="H333" s="3527">
        <f t="shared" ref="H333:H343" si="987">+F333+G333</f>
        <v>0</v>
      </c>
      <c r="I333" s="1094"/>
      <c r="J333" s="1957">
        <f t="shared" ref="J333:J343" si="988">+H333+I333</f>
        <v>0</v>
      </c>
      <c r="K333" s="1094"/>
      <c r="L333" s="3580">
        <f t="shared" ref="L333:L343" si="989">+J333+K333</f>
        <v>0</v>
      </c>
      <c r="M333" s="1094">
        <v>14843.16</v>
      </c>
      <c r="N333" s="994">
        <f t="shared" ref="N333:N343" si="990">+L333+M333</f>
        <v>14843.16</v>
      </c>
      <c r="O333" s="1094">
        <v>2861.88</v>
      </c>
      <c r="P333" s="1006">
        <f t="shared" ref="P333:P358" si="991">+K333+M333+O333</f>
        <v>17705.04</v>
      </c>
      <c r="Q333" s="726">
        <f>+N333+O333</f>
        <v>17705.04</v>
      </c>
      <c r="R333" s="1094">
        <v>7725.66</v>
      </c>
      <c r="S333" s="994">
        <f>+Q333+R333</f>
        <v>25430.7</v>
      </c>
      <c r="T333" s="1094">
        <v>11280.959999999994</v>
      </c>
      <c r="U333" s="994">
        <f>+S333+T333</f>
        <v>36711.659999999996</v>
      </c>
      <c r="V333" s="1094">
        <f>1342.99+5422.23</f>
        <v>6765.2199999999993</v>
      </c>
      <c r="W333" s="846">
        <f>+R333+T333+V333</f>
        <v>25771.839999999997</v>
      </c>
      <c r="X333" s="735">
        <f>+U333+V333</f>
        <v>43476.88</v>
      </c>
      <c r="Y333" s="1094">
        <v>12590.539000000001</v>
      </c>
      <c r="Z333" s="994">
        <f>+X333+Y333</f>
        <v>56067.418999999994</v>
      </c>
      <c r="AA333" s="1094">
        <v>16409.489999999998</v>
      </c>
      <c r="AB333" s="735">
        <f>+Z333+AA333</f>
        <v>72476.908999999985</v>
      </c>
      <c r="AC333" s="1094">
        <v>635.51</v>
      </c>
      <c r="AD333" s="698">
        <f>+Y333+AA333+AC333</f>
        <v>29635.538999999997</v>
      </c>
      <c r="AE333" s="769">
        <f>+W333+AD333</f>
        <v>55407.378999999994</v>
      </c>
      <c r="AF333" s="2589">
        <f t="shared" ref="AF333:AF342" si="992">+AB333+AC333</f>
        <v>73112.41899999998</v>
      </c>
    </row>
    <row r="334" spans="4:32" ht="35" customHeight="1" x14ac:dyDescent="0.35">
      <c r="D334" s="987"/>
      <c r="E334" s="1005" t="s">
        <v>134</v>
      </c>
      <c r="F334" s="3296"/>
      <c r="G334" s="3296"/>
      <c r="H334" s="3527">
        <f t="shared" si="987"/>
        <v>0</v>
      </c>
      <c r="I334" s="3296"/>
      <c r="J334" s="1957">
        <f t="shared" ref="J334" si="993">+H334+I334</f>
        <v>0</v>
      </c>
      <c r="K334" s="3296"/>
      <c r="L334" s="3580">
        <f t="shared" ref="L334:L340" si="994">+J334+K334</f>
        <v>0</v>
      </c>
      <c r="M334" s="1094">
        <v>0</v>
      </c>
      <c r="N334" s="994">
        <f t="shared" si="990"/>
        <v>0</v>
      </c>
      <c r="O334" s="1094">
        <v>0</v>
      </c>
      <c r="P334" s="1006">
        <f t="shared" si="991"/>
        <v>0</v>
      </c>
      <c r="Q334" s="726">
        <f t="shared" ref="Q334:Q342" si="995">+N334+O334</f>
        <v>0</v>
      </c>
      <c r="R334" s="1094">
        <v>0</v>
      </c>
      <c r="S334" s="994">
        <f t="shared" ref="S334:S342" si="996">+Q334+R334</f>
        <v>0</v>
      </c>
      <c r="T334" s="3296">
        <v>0</v>
      </c>
      <c r="U334" s="994">
        <f t="shared" ref="U334:U340" si="997">+S334+T334</f>
        <v>0</v>
      </c>
      <c r="V334" s="1094">
        <v>0</v>
      </c>
      <c r="W334" s="846">
        <f t="shared" ref="W334:W341" si="998">+R334+T334+V334</f>
        <v>0</v>
      </c>
      <c r="X334" s="735">
        <f t="shared" ref="X334:X340" si="999">+U334+V334</f>
        <v>0</v>
      </c>
      <c r="Y334" s="3296">
        <v>0</v>
      </c>
      <c r="Z334" s="994">
        <f t="shared" ref="Z334:Z340" si="1000">+X334+Y334</f>
        <v>0</v>
      </c>
      <c r="AA334" s="3296"/>
      <c r="AB334" s="735">
        <f t="shared" ref="AB334:AB342" si="1001">+Z334+AA334</f>
        <v>0</v>
      </c>
      <c r="AC334" s="3296"/>
      <c r="AD334" s="698">
        <f t="shared" ref="AD334:AD342" si="1002">+Y334+AA334+AC334</f>
        <v>0</v>
      </c>
      <c r="AE334" s="769">
        <f t="shared" ref="AE334:AE342" si="1003">+W334+AD334</f>
        <v>0</v>
      </c>
      <c r="AF334" s="2589">
        <f t="shared" si="992"/>
        <v>0</v>
      </c>
    </row>
    <row r="335" spans="4:32" ht="35" customHeight="1" x14ac:dyDescent="0.35">
      <c r="D335" s="987"/>
      <c r="E335" s="1005" t="s">
        <v>1540</v>
      </c>
      <c r="F335" s="1094"/>
      <c r="G335" s="1094"/>
      <c r="H335" s="3527">
        <f t="shared" ref="H335:H338" si="1004">+F335+G335</f>
        <v>0</v>
      </c>
      <c r="I335" s="1094"/>
      <c r="J335" s="1957">
        <f t="shared" si="988"/>
        <v>0</v>
      </c>
      <c r="K335" s="1094"/>
      <c r="L335" s="3580">
        <f t="shared" si="994"/>
        <v>0</v>
      </c>
      <c r="M335" s="1094">
        <v>0</v>
      </c>
      <c r="N335" s="994">
        <f t="shared" si="990"/>
        <v>0</v>
      </c>
      <c r="O335" s="1094">
        <v>0</v>
      </c>
      <c r="P335" s="1006">
        <f t="shared" si="991"/>
        <v>0</v>
      </c>
      <c r="Q335" s="726">
        <f t="shared" si="995"/>
        <v>0</v>
      </c>
      <c r="R335" s="1094">
        <v>0</v>
      </c>
      <c r="S335" s="994">
        <f t="shared" si="996"/>
        <v>0</v>
      </c>
      <c r="T335" s="1094">
        <v>609.31999999999994</v>
      </c>
      <c r="U335" s="994">
        <f t="shared" si="997"/>
        <v>609.31999999999994</v>
      </c>
      <c r="V335" s="1094">
        <v>0</v>
      </c>
      <c r="W335" s="846">
        <f t="shared" si="998"/>
        <v>609.31999999999994</v>
      </c>
      <c r="X335" s="735">
        <f t="shared" si="999"/>
        <v>609.31999999999994</v>
      </c>
      <c r="Y335" s="1094">
        <v>344.60999999999996</v>
      </c>
      <c r="Z335" s="994">
        <f t="shared" si="1000"/>
        <v>953.92999999999984</v>
      </c>
      <c r="AA335" s="1094"/>
      <c r="AB335" s="735">
        <f t="shared" si="1001"/>
        <v>953.92999999999984</v>
      </c>
      <c r="AC335" s="1094"/>
      <c r="AD335" s="698">
        <f t="shared" si="1002"/>
        <v>344.60999999999996</v>
      </c>
      <c r="AE335" s="769">
        <f t="shared" si="1003"/>
        <v>953.92999999999984</v>
      </c>
      <c r="AF335" s="2589">
        <f t="shared" si="992"/>
        <v>953.92999999999984</v>
      </c>
    </row>
    <row r="336" spans="4:32" ht="35" customHeight="1" x14ac:dyDescent="0.35">
      <c r="D336" s="987"/>
      <c r="E336" s="1005" t="s">
        <v>1156</v>
      </c>
      <c r="F336" s="3296"/>
      <c r="G336" s="3296"/>
      <c r="H336" s="3527">
        <f t="shared" si="1004"/>
        <v>0</v>
      </c>
      <c r="I336" s="3296"/>
      <c r="J336" s="1957">
        <f t="shared" si="988"/>
        <v>0</v>
      </c>
      <c r="K336" s="3296"/>
      <c r="L336" s="3580">
        <f t="shared" si="994"/>
        <v>0</v>
      </c>
      <c r="M336" s="1094">
        <v>0</v>
      </c>
      <c r="N336" s="994">
        <f t="shared" si="990"/>
        <v>0</v>
      </c>
      <c r="O336" s="1094">
        <v>0</v>
      </c>
      <c r="P336" s="1006">
        <f t="shared" si="991"/>
        <v>0</v>
      </c>
      <c r="Q336" s="726">
        <f t="shared" si="995"/>
        <v>0</v>
      </c>
      <c r="R336" s="1094">
        <v>0</v>
      </c>
      <c r="S336" s="994">
        <f t="shared" si="996"/>
        <v>0</v>
      </c>
      <c r="T336" s="3296">
        <v>0</v>
      </c>
      <c r="U336" s="994">
        <f t="shared" si="997"/>
        <v>0</v>
      </c>
      <c r="V336" s="1094">
        <v>0</v>
      </c>
      <c r="W336" s="846">
        <f t="shared" si="998"/>
        <v>0</v>
      </c>
      <c r="X336" s="735">
        <f t="shared" si="999"/>
        <v>0</v>
      </c>
      <c r="Y336" s="3296">
        <v>0</v>
      </c>
      <c r="Z336" s="994">
        <f t="shared" si="1000"/>
        <v>0</v>
      </c>
      <c r="AA336" s="3296"/>
      <c r="AB336" s="735">
        <f t="shared" si="1001"/>
        <v>0</v>
      </c>
      <c r="AC336" s="3296"/>
      <c r="AD336" s="698">
        <f t="shared" si="1002"/>
        <v>0</v>
      </c>
      <c r="AE336" s="769">
        <f t="shared" si="1003"/>
        <v>0</v>
      </c>
      <c r="AF336" s="2589">
        <f t="shared" si="992"/>
        <v>0</v>
      </c>
    </row>
    <row r="337" spans="4:32" ht="35" customHeight="1" x14ac:dyDescent="0.35">
      <c r="D337" s="987"/>
      <c r="E337" s="1005" t="s">
        <v>590</v>
      </c>
      <c r="F337" s="3296"/>
      <c r="G337" s="3296"/>
      <c r="H337" s="3527">
        <f t="shared" si="1004"/>
        <v>0</v>
      </c>
      <c r="I337" s="3296"/>
      <c r="J337" s="1957">
        <f t="shared" si="988"/>
        <v>0</v>
      </c>
      <c r="K337" s="3296"/>
      <c r="L337" s="3580">
        <f t="shared" si="994"/>
        <v>0</v>
      </c>
      <c r="M337" s="1094">
        <v>6206.4599999999982</v>
      </c>
      <c r="N337" s="994">
        <f t="shared" si="990"/>
        <v>6206.4599999999982</v>
      </c>
      <c r="O337" s="1094">
        <v>301.44</v>
      </c>
      <c r="P337" s="1006">
        <f t="shared" si="991"/>
        <v>6507.8999999999978</v>
      </c>
      <c r="Q337" s="726">
        <f t="shared" si="995"/>
        <v>6507.8999999999978</v>
      </c>
      <c r="R337" s="1094">
        <v>16546.980000000003</v>
      </c>
      <c r="S337" s="994">
        <f t="shared" si="996"/>
        <v>23054.880000000001</v>
      </c>
      <c r="T337" s="3296">
        <v>0</v>
      </c>
      <c r="U337" s="994">
        <f t="shared" si="997"/>
        <v>23054.880000000001</v>
      </c>
      <c r="V337" s="1094">
        <v>9167.43</v>
      </c>
      <c r="W337" s="846">
        <f t="shared" si="998"/>
        <v>25714.410000000003</v>
      </c>
      <c r="X337" s="735">
        <f t="shared" si="999"/>
        <v>32222.31</v>
      </c>
      <c r="Y337" s="3296">
        <v>15484.598999999995</v>
      </c>
      <c r="Z337" s="994">
        <f t="shared" si="1000"/>
        <v>47706.909</v>
      </c>
      <c r="AA337" s="3296">
        <v>16856.330000000005</v>
      </c>
      <c r="AB337" s="735">
        <f t="shared" si="1001"/>
        <v>64563.239000000001</v>
      </c>
      <c r="AC337" s="3296">
        <v>17585.46000000001</v>
      </c>
      <c r="AD337" s="698">
        <f t="shared" si="1002"/>
        <v>49926.38900000001</v>
      </c>
      <c r="AE337" s="769">
        <f t="shared" si="1003"/>
        <v>75640.799000000014</v>
      </c>
      <c r="AF337" s="2589">
        <f t="shared" si="992"/>
        <v>82148.699000000008</v>
      </c>
    </row>
    <row r="338" spans="4:32" ht="35" customHeight="1" x14ac:dyDescent="0.35">
      <c r="D338" s="987"/>
      <c r="E338" s="1005" t="s">
        <v>1443</v>
      </c>
      <c r="F338" s="3296"/>
      <c r="G338" s="3296"/>
      <c r="H338" s="3527">
        <f t="shared" si="1004"/>
        <v>0</v>
      </c>
      <c r="I338" s="3296"/>
      <c r="J338" s="1957">
        <f t="shared" si="988"/>
        <v>0</v>
      </c>
      <c r="K338" s="3296"/>
      <c r="L338" s="3580">
        <f t="shared" si="994"/>
        <v>0</v>
      </c>
      <c r="M338" s="1094">
        <v>3138.16</v>
      </c>
      <c r="N338" s="994">
        <f t="shared" si="990"/>
        <v>3138.16</v>
      </c>
      <c r="O338" s="1094">
        <v>0</v>
      </c>
      <c r="P338" s="1006">
        <f t="shared" si="991"/>
        <v>3138.16</v>
      </c>
      <c r="Q338" s="726">
        <f t="shared" si="995"/>
        <v>3138.16</v>
      </c>
      <c r="R338" s="1094">
        <v>0</v>
      </c>
      <c r="S338" s="994">
        <f t="shared" si="996"/>
        <v>3138.16</v>
      </c>
      <c r="T338" s="3296">
        <v>0</v>
      </c>
      <c r="U338" s="994">
        <f t="shared" si="997"/>
        <v>3138.16</v>
      </c>
      <c r="V338" s="1094">
        <v>0</v>
      </c>
      <c r="W338" s="846">
        <f t="shared" si="998"/>
        <v>0</v>
      </c>
      <c r="X338" s="735">
        <f t="shared" si="999"/>
        <v>3138.16</v>
      </c>
      <c r="Y338" s="3296">
        <v>0</v>
      </c>
      <c r="Z338" s="994">
        <f t="shared" si="1000"/>
        <v>3138.16</v>
      </c>
      <c r="AA338" s="3296"/>
      <c r="AB338" s="735">
        <f t="shared" si="1001"/>
        <v>3138.16</v>
      </c>
      <c r="AC338" s="3296"/>
      <c r="AD338" s="698">
        <f t="shared" si="1002"/>
        <v>0</v>
      </c>
      <c r="AE338" s="769">
        <f t="shared" si="1003"/>
        <v>0</v>
      </c>
      <c r="AF338" s="2589">
        <f t="shared" si="992"/>
        <v>3138.16</v>
      </c>
    </row>
    <row r="339" spans="4:32" ht="35" customHeight="1" x14ac:dyDescent="0.35">
      <c r="D339" s="987"/>
      <c r="E339" s="1005" t="s">
        <v>482</v>
      </c>
      <c r="F339" s="3296"/>
      <c r="G339" s="3296"/>
      <c r="H339" s="3529">
        <f>SUM(F339:G339)</f>
        <v>0</v>
      </c>
      <c r="I339" s="3296"/>
      <c r="J339" s="1957">
        <f t="shared" si="988"/>
        <v>0</v>
      </c>
      <c r="K339" s="3296"/>
      <c r="L339" s="3580">
        <f t="shared" si="989"/>
        <v>0</v>
      </c>
      <c r="M339" s="1094">
        <v>0</v>
      </c>
      <c r="N339" s="994">
        <f t="shared" si="990"/>
        <v>0</v>
      </c>
      <c r="O339" s="1094">
        <v>0</v>
      </c>
      <c r="P339" s="1006">
        <f t="shared" si="991"/>
        <v>0</v>
      </c>
      <c r="Q339" s="726">
        <f t="shared" si="995"/>
        <v>0</v>
      </c>
      <c r="R339" s="1094">
        <v>0</v>
      </c>
      <c r="S339" s="994">
        <f t="shared" si="996"/>
        <v>0</v>
      </c>
      <c r="T339" s="3296">
        <v>0</v>
      </c>
      <c r="U339" s="994">
        <f t="shared" si="997"/>
        <v>0</v>
      </c>
      <c r="V339" s="1094">
        <v>0</v>
      </c>
      <c r="W339" s="846">
        <f t="shared" si="998"/>
        <v>0</v>
      </c>
      <c r="X339" s="735">
        <f t="shared" si="999"/>
        <v>0</v>
      </c>
      <c r="Y339" s="3296">
        <v>0</v>
      </c>
      <c r="Z339" s="994">
        <f t="shared" si="1000"/>
        <v>0</v>
      </c>
      <c r="AA339" s="3296"/>
      <c r="AB339" s="735">
        <f t="shared" si="1001"/>
        <v>0</v>
      </c>
      <c r="AC339" s="3296"/>
      <c r="AD339" s="698">
        <f t="shared" si="1002"/>
        <v>0</v>
      </c>
      <c r="AE339" s="769">
        <f t="shared" si="1003"/>
        <v>0</v>
      </c>
      <c r="AF339" s="2589">
        <f t="shared" si="992"/>
        <v>0</v>
      </c>
    </row>
    <row r="340" spans="4:32" ht="35" customHeight="1" x14ac:dyDescent="0.35">
      <c r="D340" s="987"/>
      <c r="E340" s="1012" t="s">
        <v>1062</v>
      </c>
      <c r="F340" s="1094"/>
      <c r="G340" s="1094"/>
      <c r="H340" s="3529">
        <f>SUM(F340:G340)</f>
        <v>0</v>
      </c>
      <c r="I340" s="1094"/>
      <c r="J340" s="1957">
        <f t="shared" si="988"/>
        <v>0</v>
      </c>
      <c r="K340" s="1094"/>
      <c r="L340" s="3580">
        <f t="shared" si="994"/>
        <v>0</v>
      </c>
      <c r="M340" s="1094">
        <v>24470.590000000004</v>
      </c>
      <c r="N340" s="994">
        <f t="shared" si="990"/>
        <v>24470.590000000004</v>
      </c>
      <c r="O340" s="1094">
        <v>16740.499999999989</v>
      </c>
      <c r="P340" s="1006">
        <f t="shared" si="991"/>
        <v>41211.089999999997</v>
      </c>
      <c r="Q340" s="726">
        <f t="shared" si="995"/>
        <v>41211.089999999997</v>
      </c>
      <c r="R340" s="1094">
        <v>4856.96</v>
      </c>
      <c r="S340" s="994">
        <f t="shared" si="996"/>
        <v>46068.049999999996</v>
      </c>
      <c r="T340" s="1094">
        <v>30906.779999999995</v>
      </c>
      <c r="U340" s="994">
        <f t="shared" si="997"/>
        <v>76974.829999999987</v>
      </c>
      <c r="V340" s="1094">
        <v>21003.345000000001</v>
      </c>
      <c r="W340" s="846">
        <f t="shared" si="998"/>
        <v>56767.084999999999</v>
      </c>
      <c r="X340" s="735">
        <f t="shared" si="999"/>
        <v>97978.174999999988</v>
      </c>
      <c r="Y340" s="1094">
        <v>4487.6900000000014</v>
      </c>
      <c r="Z340" s="994">
        <f t="shared" si="1000"/>
        <v>102465.86499999999</v>
      </c>
      <c r="AA340" s="1094">
        <v>13083.02</v>
      </c>
      <c r="AB340" s="735">
        <f t="shared" si="1001"/>
        <v>115548.88499999999</v>
      </c>
      <c r="AC340" s="1094">
        <v>20391.458999999995</v>
      </c>
      <c r="AD340" s="698">
        <f t="shared" si="1002"/>
        <v>37962.168999999994</v>
      </c>
      <c r="AE340" s="769">
        <f t="shared" si="1003"/>
        <v>94729.253999999986</v>
      </c>
      <c r="AF340" s="2589">
        <f t="shared" si="992"/>
        <v>135940.34399999998</v>
      </c>
    </row>
    <row r="341" spans="4:32" ht="35" customHeight="1" x14ac:dyDescent="0.35">
      <c r="D341" s="987"/>
      <c r="E341" s="1012" t="s">
        <v>329</v>
      </c>
      <c r="F341" s="1094"/>
      <c r="G341" s="1094"/>
      <c r="H341" s="3529">
        <f>SUM(F341:G341)</f>
        <v>0</v>
      </c>
      <c r="I341" s="1094"/>
      <c r="J341" s="1957">
        <f t="shared" si="988"/>
        <v>0</v>
      </c>
      <c r="K341" s="1094"/>
      <c r="L341" s="3580">
        <f t="shared" si="989"/>
        <v>0</v>
      </c>
      <c r="M341" s="1094">
        <v>0</v>
      </c>
      <c r="N341" s="994">
        <f t="shared" si="990"/>
        <v>0</v>
      </c>
      <c r="O341" s="1094">
        <v>1783.8300000000002</v>
      </c>
      <c r="P341" s="1006">
        <f t="shared" si="991"/>
        <v>1783.8300000000002</v>
      </c>
      <c r="Q341" s="726">
        <f t="shared" si="995"/>
        <v>1783.8300000000002</v>
      </c>
      <c r="R341" s="1094">
        <v>9114.1799999999985</v>
      </c>
      <c r="S341" s="994">
        <f t="shared" si="996"/>
        <v>10898.009999999998</v>
      </c>
      <c r="T341" s="1094">
        <v>3071.94</v>
      </c>
      <c r="U341" s="994">
        <f t="shared" ref="U341" si="1005">+S341+T341</f>
        <v>13969.949999999999</v>
      </c>
      <c r="V341" s="1094">
        <f>691.28+9773.436</f>
        <v>10464.716</v>
      </c>
      <c r="W341" s="846">
        <f t="shared" si="998"/>
        <v>22650.835999999999</v>
      </c>
      <c r="X341" s="693">
        <f t="shared" ref="X341:X342" si="1006">+U341+V341</f>
        <v>24434.665999999997</v>
      </c>
      <c r="Y341" s="1094">
        <v>7828.4330000000009</v>
      </c>
      <c r="Z341" s="994">
        <f t="shared" ref="Z341:Z342" si="1007">+X341+Y341</f>
        <v>32263.098999999998</v>
      </c>
      <c r="AA341" s="1094">
        <v>6534.08</v>
      </c>
      <c r="AB341" s="735">
        <f t="shared" si="1001"/>
        <v>38797.178999999996</v>
      </c>
      <c r="AC341" s="1094"/>
      <c r="AD341" s="698">
        <f t="shared" si="1002"/>
        <v>14362.513000000001</v>
      </c>
      <c r="AE341" s="769">
        <f t="shared" si="1003"/>
        <v>37013.349000000002</v>
      </c>
      <c r="AF341" s="2589">
        <f t="shared" si="992"/>
        <v>38797.178999999996</v>
      </c>
    </row>
    <row r="342" spans="4:32" ht="35" customHeight="1" thickBot="1" x14ac:dyDescent="0.4">
      <c r="D342" s="987"/>
      <c r="E342" s="1013" t="s">
        <v>445</v>
      </c>
      <c r="F342" s="1094"/>
      <c r="G342" s="1094"/>
      <c r="H342" s="3529">
        <f t="shared" si="987"/>
        <v>0</v>
      </c>
      <c r="I342" s="1094"/>
      <c r="J342" s="1957">
        <f t="shared" si="988"/>
        <v>0</v>
      </c>
      <c r="K342" s="1094"/>
      <c r="L342" s="3581">
        <f t="shared" si="989"/>
        <v>0</v>
      </c>
      <c r="M342" s="1094">
        <v>14280.170000000006</v>
      </c>
      <c r="N342" s="994">
        <f t="shared" si="990"/>
        <v>14280.170000000006</v>
      </c>
      <c r="O342" s="1094">
        <v>10739.840000000002</v>
      </c>
      <c r="P342" s="1195">
        <f t="shared" si="991"/>
        <v>25020.010000000009</v>
      </c>
      <c r="Q342" s="726">
        <f t="shared" si="995"/>
        <v>25020.010000000009</v>
      </c>
      <c r="R342" s="1094">
        <v>16995.469999999998</v>
      </c>
      <c r="S342" s="994">
        <f t="shared" si="996"/>
        <v>42015.48000000001</v>
      </c>
      <c r="T342" s="1094">
        <v>5468.0099999999984</v>
      </c>
      <c r="U342" s="994">
        <f>+S342+T342</f>
        <v>47483.490000000005</v>
      </c>
      <c r="V342" s="1094">
        <f>4142.18+2788.635</f>
        <v>6930.8150000000005</v>
      </c>
      <c r="W342" s="846">
        <f t="shared" ref="W342" si="1008">+R342+T342+V342</f>
        <v>29394.294999999998</v>
      </c>
      <c r="X342" s="735">
        <f t="shared" si="1006"/>
        <v>54414.305000000008</v>
      </c>
      <c r="Y342" s="1094">
        <v>12220.761999999995</v>
      </c>
      <c r="Z342" s="994">
        <f t="shared" si="1007"/>
        <v>66635.06700000001</v>
      </c>
      <c r="AA342" s="1094">
        <v>5754.57</v>
      </c>
      <c r="AB342" s="735">
        <f t="shared" si="1001"/>
        <v>72389.637000000017</v>
      </c>
      <c r="AC342" s="1094">
        <v>15507.389000000003</v>
      </c>
      <c r="AD342" s="698">
        <f t="shared" si="1002"/>
        <v>33482.720999999998</v>
      </c>
      <c r="AE342" s="769">
        <f t="shared" si="1003"/>
        <v>62877.015999999996</v>
      </c>
      <c r="AF342" s="2589">
        <f t="shared" si="992"/>
        <v>87897.026000000013</v>
      </c>
    </row>
    <row r="343" spans="4:32" ht="35" customHeight="1" thickBot="1" x14ac:dyDescent="0.4">
      <c r="D343" s="987"/>
      <c r="E343" s="991" t="s">
        <v>330</v>
      </c>
      <c r="F343" s="1014">
        <f>SUM(F333:F342)</f>
        <v>0</v>
      </c>
      <c r="G343" s="1014">
        <f>SUM(G333:G342)</f>
        <v>0</v>
      </c>
      <c r="H343" s="575">
        <f t="shared" si="987"/>
        <v>0</v>
      </c>
      <c r="I343" s="1014">
        <f>SUM(I333:I342)</f>
        <v>0</v>
      </c>
      <c r="J343" s="704">
        <f t="shared" si="988"/>
        <v>0</v>
      </c>
      <c r="K343" s="1014">
        <f>SUM(K333:K342)</f>
        <v>0</v>
      </c>
      <c r="L343" s="679">
        <f t="shared" si="989"/>
        <v>0</v>
      </c>
      <c r="M343" s="1014">
        <f>SUM(M333:M342)</f>
        <v>62938.540000000008</v>
      </c>
      <c r="N343" s="998">
        <f t="shared" si="990"/>
        <v>62938.540000000008</v>
      </c>
      <c r="O343" s="1014">
        <f>SUM(O333:O342)</f>
        <v>32427.489999999991</v>
      </c>
      <c r="P343" s="923">
        <f t="shared" si="991"/>
        <v>95366.03</v>
      </c>
      <c r="Q343" s="916">
        <f>SUM(Q332:Q342)</f>
        <v>95366.030000000013</v>
      </c>
      <c r="R343" s="1014">
        <f>SUM(R333:R342)</f>
        <v>55239.25</v>
      </c>
      <c r="S343" s="998">
        <f>+Q343+R343</f>
        <v>150605.28000000003</v>
      </c>
      <c r="T343" s="1014">
        <f>SUM(T333:T342)</f>
        <v>51337.009999999995</v>
      </c>
      <c r="U343" s="998">
        <f>+S343+T343</f>
        <v>201942.29000000004</v>
      </c>
      <c r="V343" s="1014">
        <f>SUM(V333:V342)</f>
        <v>54331.526000000005</v>
      </c>
      <c r="W343" s="999">
        <f t="shared" ref="W343:Z343" si="1009">SUM(W333:W342)</f>
        <v>160907.78600000002</v>
      </c>
      <c r="X343" s="998">
        <f t="shared" si="1009"/>
        <v>256273.81599999999</v>
      </c>
      <c r="Y343" s="1014">
        <f>SUM(Y333:Y342)</f>
        <v>52956.632999999994</v>
      </c>
      <c r="Z343" s="998">
        <f t="shared" si="1009"/>
        <v>309230.44900000002</v>
      </c>
      <c r="AA343" s="1014">
        <f>SUM(AA333:AA342)</f>
        <v>58637.490000000013</v>
      </c>
      <c r="AB343" s="998">
        <f>SUM(AB333:AB342)</f>
        <v>367867.93900000001</v>
      </c>
      <c r="AC343" s="1014">
        <f>SUM(AC333:AC342)</f>
        <v>54119.818000000007</v>
      </c>
      <c r="AD343" s="1323">
        <f t="shared" ref="AD343:AF343" si="1010">SUM(AD333:AD342)</f>
        <v>165713.94099999999</v>
      </c>
      <c r="AE343" s="1324">
        <f t="shared" si="1010"/>
        <v>326621.72700000001</v>
      </c>
      <c r="AF343" s="2622">
        <f t="shared" si="1010"/>
        <v>421987.75699999998</v>
      </c>
    </row>
    <row r="344" spans="4:32" ht="35" customHeight="1" x14ac:dyDescent="0.35">
      <c r="D344" s="987"/>
      <c r="E344" s="1011" t="s">
        <v>447</v>
      </c>
      <c r="F344" s="927"/>
      <c r="G344" s="927"/>
      <c r="H344" s="3614"/>
      <c r="I344" s="927"/>
      <c r="J344" s="3614"/>
      <c r="K344" s="927"/>
      <c r="L344" s="3615"/>
      <c r="M344" s="927"/>
      <c r="N344" s="927"/>
      <c r="O344" s="927"/>
      <c r="P344" s="927"/>
      <c r="Q344" s="927"/>
      <c r="R344" s="927"/>
      <c r="S344" s="927"/>
      <c r="T344" s="927"/>
      <c r="U344" s="927"/>
      <c r="V344" s="927"/>
      <c r="W344" s="1036"/>
      <c r="X344" s="1036"/>
      <c r="Y344" s="927"/>
      <c r="Z344" s="927"/>
      <c r="AA344" s="927"/>
      <c r="AB344" s="1036"/>
      <c r="AC344" s="927"/>
      <c r="AD344" s="1036"/>
      <c r="AE344" s="655"/>
      <c r="AF344" s="655"/>
    </row>
    <row r="345" spans="4:32" ht="35" customHeight="1" x14ac:dyDescent="0.35">
      <c r="D345" s="987"/>
      <c r="E345" s="1005" t="s">
        <v>504</v>
      </c>
      <c r="F345" s="1094"/>
      <c r="G345" s="1094"/>
      <c r="H345" s="3527">
        <f t="shared" ref="H345:H355" si="1011">+F345+G345</f>
        <v>0</v>
      </c>
      <c r="I345" s="1094"/>
      <c r="J345" s="1957">
        <f t="shared" ref="J345:J355" si="1012">+H345+I345</f>
        <v>0</v>
      </c>
      <c r="K345" s="1094"/>
      <c r="L345" s="3580">
        <f t="shared" ref="L345:L355" si="1013">+J345+K345</f>
        <v>0</v>
      </c>
      <c r="M345" s="1094">
        <v>2405.54</v>
      </c>
      <c r="N345" s="1002">
        <f t="shared" ref="N345:N355" si="1014">+L345+M345</f>
        <v>2405.54</v>
      </c>
      <c r="O345" s="1094">
        <v>1474.3800000000003</v>
      </c>
      <c r="P345" s="1006">
        <f t="shared" si="991"/>
        <v>3879.92</v>
      </c>
      <c r="Q345" s="726">
        <f t="shared" ref="Q345:Q354" si="1015">+N345+O345</f>
        <v>3879.92</v>
      </c>
      <c r="R345" s="1094">
        <v>2022.5900000000001</v>
      </c>
      <c r="S345" s="1028">
        <f>SUM(Q345:R345)</f>
        <v>5902.51</v>
      </c>
      <c r="T345" s="1094">
        <v>3757.0699999999997</v>
      </c>
      <c r="U345" s="1028">
        <f>SUM(S345:T345)</f>
        <v>9659.58</v>
      </c>
      <c r="V345" s="1094">
        <f>101.92+1103.91</f>
        <v>1205.8300000000002</v>
      </c>
      <c r="W345" s="848">
        <f>+R345+T345+V345</f>
        <v>6985.49</v>
      </c>
      <c r="X345" s="1028">
        <f>+U345+V345</f>
        <v>10865.41</v>
      </c>
      <c r="Y345" s="1094">
        <v>2217.19</v>
      </c>
      <c r="Z345" s="1028">
        <f t="shared" ref="Z345:Z354" si="1016">SUM(X345:Y345)</f>
        <v>13082.6</v>
      </c>
      <c r="AA345" s="1094">
        <v>3781.038</v>
      </c>
      <c r="AB345" s="693">
        <f t="shared" ref="AB345:AB354" si="1017">+Z345+AA345</f>
        <v>16863.637999999999</v>
      </c>
      <c r="AC345" s="1094">
        <v>5009.9290000000001</v>
      </c>
      <c r="AD345" s="698">
        <f t="shared" ref="AD345:AD354" si="1018">+Y345+AA345+AC345</f>
        <v>11008.156999999999</v>
      </c>
      <c r="AE345" s="769">
        <f t="shared" ref="AE345:AE354" si="1019">+W345+AD345</f>
        <v>17993.646999999997</v>
      </c>
      <c r="AF345" s="2589">
        <f t="shared" ref="AF345:AF354" si="1020">+AB345+AC345</f>
        <v>21873.566999999999</v>
      </c>
    </row>
    <row r="346" spans="4:32" ht="35" customHeight="1" x14ac:dyDescent="0.35">
      <c r="D346" s="987"/>
      <c r="E346" s="1005" t="s">
        <v>1104</v>
      </c>
      <c r="F346" s="1094"/>
      <c r="G346" s="1094"/>
      <c r="H346" s="3527">
        <f t="shared" si="1011"/>
        <v>0</v>
      </c>
      <c r="I346" s="1094"/>
      <c r="J346" s="1957">
        <f t="shared" si="1012"/>
        <v>0</v>
      </c>
      <c r="K346" s="1094"/>
      <c r="L346" s="3580">
        <f t="shared" si="1013"/>
        <v>0</v>
      </c>
      <c r="M346" s="1094">
        <v>2183.7799999999997</v>
      </c>
      <c r="N346" s="1002">
        <f t="shared" si="1014"/>
        <v>2183.7799999999997</v>
      </c>
      <c r="O346" s="1094">
        <v>2398.4699999999998</v>
      </c>
      <c r="P346" s="1006">
        <f t="shared" si="991"/>
        <v>4582.25</v>
      </c>
      <c r="Q346" s="726">
        <f t="shared" si="1015"/>
        <v>4582.25</v>
      </c>
      <c r="R346" s="1094">
        <v>2809.7200000000007</v>
      </c>
      <c r="S346" s="1028">
        <f t="shared" ref="S346:S354" si="1021">SUM(Q346:R346)</f>
        <v>7391.9700000000012</v>
      </c>
      <c r="T346" s="1094">
        <v>2883.4700000000012</v>
      </c>
      <c r="U346" s="1028">
        <f t="shared" ref="U346:U354" si="1022">SUM(S346:T346)</f>
        <v>10275.440000000002</v>
      </c>
      <c r="V346" s="1094">
        <f>186.26+1683.35</f>
        <v>1869.61</v>
      </c>
      <c r="W346" s="848">
        <f t="shared" ref="W346:W354" si="1023">+R346+T346+V346</f>
        <v>7562.800000000002</v>
      </c>
      <c r="X346" s="1028">
        <f t="shared" ref="X346:X349" si="1024">+U346+V346</f>
        <v>12145.050000000003</v>
      </c>
      <c r="Y346" s="1094">
        <v>4972.2789999999995</v>
      </c>
      <c r="Z346" s="1028">
        <f t="shared" si="1016"/>
        <v>17117.329000000002</v>
      </c>
      <c r="AA346" s="1094">
        <v>3636.5519999999997</v>
      </c>
      <c r="AB346" s="693">
        <f t="shared" si="1017"/>
        <v>20753.881000000001</v>
      </c>
      <c r="AC346" s="1094">
        <v>3332.0509999999999</v>
      </c>
      <c r="AD346" s="698">
        <f t="shared" si="1018"/>
        <v>11940.881999999998</v>
      </c>
      <c r="AE346" s="769">
        <f t="shared" si="1019"/>
        <v>19503.682000000001</v>
      </c>
      <c r="AF346" s="2589">
        <f t="shared" si="1020"/>
        <v>24085.932000000001</v>
      </c>
    </row>
    <row r="347" spans="4:32" ht="35" customHeight="1" x14ac:dyDescent="0.35">
      <c r="D347" s="987"/>
      <c r="E347" s="1005" t="s">
        <v>1105</v>
      </c>
      <c r="F347" s="1094"/>
      <c r="G347" s="1094"/>
      <c r="H347" s="3527">
        <f t="shared" si="1011"/>
        <v>0</v>
      </c>
      <c r="I347" s="1094"/>
      <c r="J347" s="1957">
        <f t="shared" si="1012"/>
        <v>0</v>
      </c>
      <c r="K347" s="1094"/>
      <c r="L347" s="3580">
        <f t="shared" si="1013"/>
        <v>0</v>
      </c>
      <c r="M347" s="1094">
        <v>2244.75</v>
      </c>
      <c r="N347" s="1002">
        <f t="shared" si="1014"/>
        <v>2244.75</v>
      </c>
      <c r="O347" s="1094">
        <v>747.56</v>
      </c>
      <c r="P347" s="1006">
        <f t="shared" si="991"/>
        <v>2992.31</v>
      </c>
      <c r="Q347" s="726">
        <f t="shared" si="1015"/>
        <v>2992.31</v>
      </c>
      <c r="R347" s="1094">
        <v>1419.77</v>
      </c>
      <c r="S347" s="1028">
        <f t="shared" si="1021"/>
        <v>4412.08</v>
      </c>
      <c r="T347" s="1094">
        <v>1181.08</v>
      </c>
      <c r="U347" s="1028">
        <f t="shared" si="1022"/>
        <v>5593.16</v>
      </c>
      <c r="V347" s="1094">
        <f>60.52+1008.07</f>
        <v>1068.5900000000001</v>
      </c>
      <c r="W347" s="848">
        <f t="shared" si="1023"/>
        <v>3669.44</v>
      </c>
      <c r="X347" s="1028">
        <f t="shared" si="1024"/>
        <v>6661.75</v>
      </c>
      <c r="Y347" s="1094">
        <v>238.17000000000002</v>
      </c>
      <c r="Z347" s="1028">
        <f t="shared" si="1016"/>
        <v>6899.92</v>
      </c>
      <c r="AA347" s="1094">
        <v>185.62</v>
      </c>
      <c r="AB347" s="693">
        <f t="shared" si="1017"/>
        <v>7085.54</v>
      </c>
      <c r="AC347" s="1094">
        <v>1554.4520000000002</v>
      </c>
      <c r="AD347" s="698">
        <f t="shared" si="1018"/>
        <v>1978.2420000000002</v>
      </c>
      <c r="AE347" s="769">
        <f t="shared" si="1019"/>
        <v>5647.6820000000007</v>
      </c>
      <c r="AF347" s="2589">
        <f t="shared" si="1020"/>
        <v>8639.9920000000002</v>
      </c>
    </row>
    <row r="348" spans="4:32" ht="35" customHeight="1" x14ac:dyDescent="0.35">
      <c r="D348" s="987"/>
      <c r="E348" s="1005" t="s">
        <v>1089</v>
      </c>
      <c r="F348" s="1094"/>
      <c r="G348" s="1094"/>
      <c r="H348" s="3527">
        <f t="shared" ref="H348:H352" si="1025">+F348+G348</f>
        <v>0</v>
      </c>
      <c r="I348" s="1094"/>
      <c r="J348" s="1957">
        <f t="shared" ref="J348:J352" si="1026">+H348+I348</f>
        <v>0</v>
      </c>
      <c r="K348" s="1094"/>
      <c r="L348" s="3580">
        <f t="shared" si="1013"/>
        <v>0</v>
      </c>
      <c r="M348" s="1094">
        <v>2064.54</v>
      </c>
      <c r="N348" s="1002">
        <f t="shared" si="1014"/>
        <v>2064.54</v>
      </c>
      <c r="O348" s="1094">
        <v>1604.34</v>
      </c>
      <c r="P348" s="1006">
        <f t="shared" si="991"/>
        <v>3668.88</v>
      </c>
      <c r="Q348" s="726">
        <f t="shared" si="1015"/>
        <v>3668.88</v>
      </c>
      <c r="R348" s="1094">
        <v>832.63999999999987</v>
      </c>
      <c r="S348" s="1028">
        <f t="shared" si="1021"/>
        <v>4501.5200000000004</v>
      </c>
      <c r="T348" s="1094">
        <v>1126.6100000000001</v>
      </c>
      <c r="U348" s="1028">
        <f t="shared" si="1022"/>
        <v>5628.130000000001</v>
      </c>
      <c r="V348" s="1094">
        <f>62.16+638.79</f>
        <v>700.94999999999993</v>
      </c>
      <c r="W348" s="848">
        <f t="shared" si="1023"/>
        <v>2660.2</v>
      </c>
      <c r="X348" s="1028">
        <f t="shared" si="1024"/>
        <v>6329.0800000000008</v>
      </c>
      <c r="Y348" s="1094">
        <v>431.95900000000006</v>
      </c>
      <c r="Z348" s="1028">
        <f t="shared" si="1016"/>
        <v>6761.0390000000007</v>
      </c>
      <c r="AA348" s="1094">
        <v>2879.1100000000006</v>
      </c>
      <c r="AB348" s="693">
        <f t="shared" si="1017"/>
        <v>9640.1490000000013</v>
      </c>
      <c r="AC348" s="1094">
        <v>2252.8609999999999</v>
      </c>
      <c r="AD348" s="698">
        <f t="shared" si="1018"/>
        <v>5563.93</v>
      </c>
      <c r="AE348" s="769">
        <f t="shared" si="1019"/>
        <v>8224.130000000001</v>
      </c>
      <c r="AF348" s="2589">
        <f t="shared" si="1020"/>
        <v>11893.010000000002</v>
      </c>
    </row>
    <row r="349" spans="4:32" ht="35" customHeight="1" x14ac:dyDescent="0.35">
      <c r="D349" s="987"/>
      <c r="E349" s="1005" t="s">
        <v>1212</v>
      </c>
      <c r="F349" s="1094"/>
      <c r="G349" s="1094"/>
      <c r="H349" s="3527">
        <f t="shared" si="1025"/>
        <v>0</v>
      </c>
      <c r="I349" s="1094"/>
      <c r="J349" s="1957">
        <f t="shared" si="1026"/>
        <v>0</v>
      </c>
      <c r="K349" s="1094"/>
      <c r="L349" s="3580">
        <f t="shared" si="1013"/>
        <v>0</v>
      </c>
      <c r="M349" s="1094">
        <v>3469.5300000000007</v>
      </c>
      <c r="N349" s="1002">
        <f t="shared" si="1014"/>
        <v>3469.5300000000007</v>
      </c>
      <c r="O349" s="1094">
        <v>2219.54</v>
      </c>
      <c r="P349" s="1006">
        <f t="shared" si="991"/>
        <v>5689.0700000000006</v>
      </c>
      <c r="Q349" s="726">
        <f t="shared" si="1015"/>
        <v>5689.0700000000006</v>
      </c>
      <c r="R349" s="1094">
        <v>1088.3500000000001</v>
      </c>
      <c r="S349" s="1028">
        <f t="shared" si="1021"/>
        <v>6777.420000000001</v>
      </c>
      <c r="T349" s="1094">
        <v>1147.8700000000001</v>
      </c>
      <c r="U349" s="1028">
        <f t="shared" si="1022"/>
        <v>7925.2900000000009</v>
      </c>
      <c r="V349" s="1094">
        <v>0</v>
      </c>
      <c r="W349" s="848">
        <f t="shared" si="1023"/>
        <v>2236.2200000000003</v>
      </c>
      <c r="X349" s="1028">
        <f t="shared" si="1024"/>
        <v>7925.2900000000009</v>
      </c>
      <c r="Y349" s="1094">
        <v>4346.0810000000001</v>
      </c>
      <c r="Z349" s="1028">
        <f t="shared" si="1016"/>
        <v>12271.371000000001</v>
      </c>
      <c r="AA349" s="1094">
        <v>3133.1569999999997</v>
      </c>
      <c r="AB349" s="693">
        <f t="shared" si="1017"/>
        <v>15404.528</v>
      </c>
      <c r="AC349" s="1094">
        <v>3161.5210000000002</v>
      </c>
      <c r="AD349" s="698">
        <f t="shared" si="1018"/>
        <v>10640.759</v>
      </c>
      <c r="AE349" s="769">
        <f t="shared" si="1019"/>
        <v>12876.978999999999</v>
      </c>
      <c r="AF349" s="2589">
        <f t="shared" si="1020"/>
        <v>18566.048999999999</v>
      </c>
    </row>
    <row r="350" spans="4:32" ht="35" customHeight="1" x14ac:dyDescent="0.35">
      <c r="D350" s="987"/>
      <c r="E350" s="1005" t="s">
        <v>1437</v>
      </c>
      <c r="F350" s="1094"/>
      <c r="G350" s="1094"/>
      <c r="H350" s="3527">
        <f t="shared" si="1025"/>
        <v>0</v>
      </c>
      <c r="I350" s="1094"/>
      <c r="J350" s="1957">
        <f t="shared" si="1026"/>
        <v>0</v>
      </c>
      <c r="K350" s="1094"/>
      <c r="L350" s="3580">
        <f t="shared" si="1013"/>
        <v>0</v>
      </c>
      <c r="M350" s="1094">
        <v>0</v>
      </c>
      <c r="N350" s="1002">
        <f t="shared" si="1014"/>
        <v>0</v>
      </c>
      <c r="O350" s="1094">
        <v>49.239999999999995</v>
      </c>
      <c r="P350" s="1006">
        <f t="shared" si="991"/>
        <v>49.239999999999995</v>
      </c>
      <c r="Q350" s="726">
        <f t="shared" si="1015"/>
        <v>49.239999999999995</v>
      </c>
      <c r="R350" s="1094">
        <v>125.9</v>
      </c>
      <c r="S350" s="1028">
        <f t="shared" si="1021"/>
        <v>175.14</v>
      </c>
      <c r="T350" s="1094">
        <v>10.31</v>
      </c>
      <c r="U350" s="1028">
        <f t="shared" si="1022"/>
        <v>185.45</v>
      </c>
      <c r="V350" s="1094">
        <v>0</v>
      </c>
      <c r="W350" s="848">
        <f t="shared" ref="W350" si="1027">+R350+T350+V350</f>
        <v>136.21</v>
      </c>
      <c r="X350" s="1028">
        <f t="shared" ref="X350" si="1028">+U350+V350</f>
        <v>185.45</v>
      </c>
      <c r="Y350" s="1094">
        <v>0</v>
      </c>
      <c r="Z350" s="1028">
        <f t="shared" si="1016"/>
        <v>185.45</v>
      </c>
      <c r="AA350" s="1094">
        <v>8.59</v>
      </c>
      <c r="AB350" s="693">
        <f t="shared" si="1017"/>
        <v>194.04</v>
      </c>
      <c r="AC350" s="1094"/>
      <c r="AD350" s="698">
        <f t="shared" si="1018"/>
        <v>8.59</v>
      </c>
      <c r="AE350" s="769">
        <f t="shared" ref="AE350" si="1029">+W350+AD350</f>
        <v>144.80000000000001</v>
      </c>
      <c r="AF350" s="2589">
        <f t="shared" ref="AF350" si="1030">+AB350+AC350</f>
        <v>194.04</v>
      </c>
    </row>
    <row r="351" spans="4:32" ht="35" customHeight="1" x14ac:dyDescent="0.35">
      <c r="D351" s="987"/>
      <c r="E351" s="1005" t="s">
        <v>630</v>
      </c>
      <c r="F351" s="1094"/>
      <c r="G351" s="1094"/>
      <c r="H351" s="3527">
        <f t="shared" si="1011"/>
        <v>0</v>
      </c>
      <c r="I351" s="1094"/>
      <c r="J351" s="1957">
        <f t="shared" si="1012"/>
        <v>0</v>
      </c>
      <c r="K351" s="1094"/>
      <c r="L351" s="3580">
        <f t="shared" si="1013"/>
        <v>0</v>
      </c>
      <c r="M351" s="1094">
        <v>0</v>
      </c>
      <c r="N351" s="1002">
        <f t="shared" si="1014"/>
        <v>0</v>
      </c>
      <c r="O351" s="1094">
        <v>154.21</v>
      </c>
      <c r="P351" s="1006">
        <f t="shared" si="991"/>
        <v>154.21</v>
      </c>
      <c r="Q351" s="726">
        <f t="shared" si="1015"/>
        <v>154.21</v>
      </c>
      <c r="R351" s="1094">
        <v>0</v>
      </c>
      <c r="S351" s="1028">
        <f t="shared" si="1021"/>
        <v>154.21</v>
      </c>
      <c r="T351" s="1094">
        <v>242.84</v>
      </c>
      <c r="U351" s="1028">
        <f t="shared" si="1022"/>
        <v>397.05</v>
      </c>
      <c r="V351" s="1094">
        <v>0</v>
      </c>
      <c r="W351" s="848">
        <f t="shared" si="1023"/>
        <v>242.84</v>
      </c>
      <c r="X351" s="1028">
        <f>+U351+V351</f>
        <v>397.05</v>
      </c>
      <c r="Y351" s="1094">
        <v>0</v>
      </c>
      <c r="Z351" s="1028">
        <f t="shared" si="1016"/>
        <v>397.05</v>
      </c>
      <c r="AA351" s="1094">
        <v>0</v>
      </c>
      <c r="AB351" s="693">
        <f t="shared" si="1017"/>
        <v>397.05</v>
      </c>
      <c r="AC351" s="1094">
        <v>208.15</v>
      </c>
      <c r="AD351" s="698">
        <f t="shared" si="1018"/>
        <v>208.15</v>
      </c>
      <c r="AE351" s="769">
        <f t="shared" si="1019"/>
        <v>450.99</v>
      </c>
      <c r="AF351" s="2589">
        <f t="shared" si="1020"/>
        <v>605.20000000000005</v>
      </c>
    </row>
    <row r="352" spans="4:32" ht="35" customHeight="1" x14ac:dyDescent="0.35">
      <c r="D352" s="987"/>
      <c r="E352" s="1005" t="s">
        <v>1444</v>
      </c>
      <c r="F352" s="1094"/>
      <c r="G352" s="1094"/>
      <c r="H352" s="3527">
        <f t="shared" si="1025"/>
        <v>0</v>
      </c>
      <c r="I352" s="1094"/>
      <c r="J352" s="1957">
        <f t="shared" si="1026"/>
        <v>0</v>
      </c>
      <c r="K352" s="1094"/>
      <c r="L352" s="3580">
        <f t="shared" si="1013"/>
        <v>0</v>
      </c>
      <c r="M352" s="1094">
        <v>0</v>
      </c>
      <c r="N352" s="1002">
        <f t="shared" si="1014"/>
        <v>0</v>
      </c>
      <c r="O352" s="1094">
        <v>0</v>
      </c>
      <c r="P352" s="1006">
        <f t="shared" si="991"/>
        <v>0</v>
      </c>
      <c r="Q352" s="726">
        <f t="shared" si="1015"/>
        <v>0</v>
      </c>
      <c r="R352" s="1094">
        <v>0</v>
      </c>
      <c r="S352" s="1028">
        <f t="shared" si="1021"/>
        <v>0</v>
      </c>
      <c r="T352" s="1094">
        <v>0</v>
      </c>
      <c r="U352" s="1028">
        <f t="shared" si="1022"/>
        <v>0</v>
      </c>
      <c r="V352" s="1094">
        <v>28.08</v>
      </c>
      <c r="W352" s="848">
        <f t="shared" ref="W352" si="1031">+R352+T352+V352</f>
        <v>28.08</v>
      </c>
      <c r="X352" s="1028">
        <f>+U352+V352</f>
        <v>28.08</v>
      </c>
      <c r="Y352" s="1094">
        <v>63.98</v>
      </c>
      <c r="Z352" s="1028">
        <f t="shared" si="1016"/>
        <v>92.06</v>
      </c>
      <c r="AA352" s="1094">
        <v>0</v>
      </c>
      <c r="AB352" s="693">
        <f t="shared" si="1017"/>
        <v>92.06</v>
      </c>
      <c r="AC352" s="1094">
        <v>64.86</v>
      </c>
      <c r="AD352" s="698">
        <f t="shared" si="1018"/>
        <v>128.84</v>
      </c>
      <c r="AE352" s="769">
        <f t="shared" ref="AE352" si="1032">+W352+AD352</f>
        <v>156.92000000000002</v>
      </c>
      <c r="AF352" s="2589">
        <f t="shared" ref="AF352" si="1033">+AB352+AC352</f>
        <v>156.92000000000002</v>
      </c>
    </row>
    <row r="353" spans="4:38" ht="35" customHeight="1" x14ac:dyDescent="0.35">
      <c r="D353" s="987"/>
      <c r="E353" s="1012" t="s">
        <v>1189</v>
      </c>
      <c r="F353" s="1094"/>
      <c r="G353" s="1094"/>
      <c r="H353" s="3527">
        <f t="shared" si="1011"/>
        <v>0</v>
      </c>
      <c r="I353" s="1094"/>
      <c r="J353" s="1957">
        <f t="shared" si="1012"/>
        <v>0</v>
      </c>
      <c r="K353" s="1094"/>
      <c r="L353" s="3580">
        <f t="shared" si="1013"/>
        <v>0</v>
      </c>
      <c r="M353" s="1094">
        <v>813.16000000000008</v>
      </c>
      <c r="N353" s="994">
        <f t="shared" si="1014"/>
        <v>813.16000000000008</v>
      </c>
      <c r="O353" s="1094">
        <v>249.44</v>
      </c>
      <c r="P353" s="1006">
        <f t="shared" si="991"/>
        <v>1062.6000000000001</v>
      </c>
      <c r="Q353" s="847">
        <f t="shared" si="1015"/>
        <v>1062.6000000000001</v>
      </c>
      <c r="R353" s="1094">
        <v>0</v>
      </c>
      <c r="S353" s="806">
        <f t="shared" si="1021"/>
        <v>1062.6000000000001</v>
      </c>
      <c r="T353" s="1094">
        <v>0</v>
      </c>
      <c r="U353" s="806">
        <f t="shared" si="1022"/>
        <v>1062.6000000000001</v>
      </c>
      <c r="V353" s="1094">
        <v>0</v>
      </c>
      <c r="W353" s="848">
        <f t="shared" si="1023"/>
        <v>0</v>
      </c>
      <c r="X353" s="806">
        <f>+U353+V353</f>
        <v>1062.6000000000001</v>
      </c>
      <c r="Y353" s="1094">
        <v>60.12</v>
      </c>
      <c r="Z353" s="806">
        <f t="shared" si="1016"/>
        <v>1122.72</v>
      </c>
      <c r="AA353" s="1094">
        <v>0</v>
      </c>
      <c r="AB353" s="693">
        <f t="shared" si="1017"/>
        <v>1122.72</v>
      </c>
      <c r="AC353" s="1094"/>
      <c r="AD353" s="698">
        <f t="shared" si="1018"/>
        <v>60.12</v>
      </c>
      <c r="AE353" s="769">
        <f t="shared" si="1019"/>
        <v>60.12</v>
      </c>
      <c r="AF353" s="2589">
        <f t="shared" si="1020"/>
        <v>1122.72</v>
      </c>
    </row>
    <row r="354" spans="4:38" ht="35" customHeight="1" thickBot="1" x14ac:dyDescent="0.4">
      <c r="D354" s="987"/>
      <c r="E354" s="1013" t="s">
        <v>631</v>
      </c>
      <c r="F354" s="3313"/>
      <c r="G354" s="3313"/>
      <c r="H354" s="3536">
        <f t="shared" si="1011"/>
        <v>0</v>
      </c>
      <c r="I354" s="3313"/>
      <c r="J354" s="3489">
        <f t="shared" si="1012"/>
        <v>0</v>
      </c>
      <c r="K354" s="3313"/>
      <c r="L354" s="3583">
        <f t="shared" si="1013"/>
        <v>0</v>
      </c>
      <c r="M354" s="3313">
        <v>127.08</v>
      </c>
      <c r="N354" s="1260">
        <f t="shared" si="1014"/>
        <v>127.08</v>
      </c>
      <c r="O354" s="3313">
        <v>27.8</v>
      </c>
      <c r="P354" s="1006">
        <f t="shared" si="991"/>
        <v>154.88</v>
      </c>
      <c r="Q354" s="726">
        <f t="shared" si="1015"/>
        <v>154.88</v>
      </c>
      <c r="R354" s="3313">
        <v>63.86</v>
      </c>
      <c r="S354" s="1028">
        <f t="shared" si="1021"/>
        <v>218.74</v>
      </c>
      <c r="T354" s="3313">
        <v>29.76</v>
      </c>
      <c r="U354" s="1028">
        <f t="shared" si="1022"/>
        <v>248.5</v>
      </c>
      <c r="V354" s="1094">
        <v>0</v>
      </c>
      <c r="W354" s="995">
        <f t="shared" si="1023"/>
        <v>93.62</v>
      </c>
      <c r="X354" s="1028">
        <f>+U354+V354</f>
        <v>248.5</v>
      </c>
      <c r="Y354" s="3313">
        <v>0</v>
      </c>
      <c r="Z354" s="1028">
        <f t="shared" si="1016"/>
        <v>248.5</v>
      </c>
      <c r="AA354" s="3313">
        <v>64</v>
      </c>
      <c r="AB354" s="693">
        <f t="shared" si="1017"/>
        <v>312.5</v>
      </c>
      <c r="AC354" s="3313">
        <v>629.77999999999986</v>
      </c>
      <c r="AD354" s="698">
        <f t="shared" si="1018"/>
        <v>693.77999999999986</v>
      </c>
      <c r="AE354" s="769">
        <f t="shared" si="1019"/>
        <v>787.39999999999986</v>
      </c>
      <c r="AF354" s="2589">
        <f t="shared" si="1020"/>
        <v>942.27999999999986</v>
      </c>
    </row>
    <row r="355" spans="4:38" ht="35" customHeight="1" thickBot="1" x14ac:dyDescent="0.4">
      <c r="D355" s="987"/>
      <c r="E355" s="991" t="s">
        <v>505</v>
      </c>
      <c r="F355" s="1014">
        <f>SUM(F345:F354)</f>
        <v>0</v>
      </c>
      <c r="G355" s="1014">
        <f>SUM(G345:G354)</f>
        <v>0</v>
      </c>
      <c r="H355" s="575">
        <f t="shared" si="1011"/>
        <v>0</v>
      </c>
      <c r="I355" s="1014">
        <f>SUM(I345:I354)</f>
        <v>0</v>
      </c>
      <c r="J355" s="704">
        <f t="shared" si="1012"/>
        <v>0</v>
      </c>
      <c r="K355" s="1014">
        <f>SUM(K345:K354)</f>
        <v>0</v>
      </c>
      <c r="L355" s="679">
        <f t="shared" si="1013"/>
        <v>0</v>
      </c>
      <c r="M355" s="1014">
        <f>SUM(M345:M354)</f>
        <v>13308.380000000001</v>
      </c>
      <c r="N355" s="599">
        <f t="shared" si="1014"/>
        <v>13308.380000000001</v>
      </c>
      <c r="O355" s="1014">
        <f>SUM(O345:O354)</f>
        <v>8924.98</v>
      </c>
      <c r="P355" s="923">
        <f t="shared" si="991"/>
        <v>22233.360000000001</v>
      </c>
      <c r="Q355" s="916">
        <f t="shared" ref="Q355:AB355" si="1034">SUM(Q345:Q354)</f>
        <v>22233.360000000001</v>
      </c>
      <c r="R355" s="1014">
        <f>SUM(R345:R354)</f>
        <v>8362.8300000000017</v>
      </c>
      <c r="S355" s="998">
        <f t="shared" si="1034"/>
        <v>30596.190000000002</v>
      </c>
      <c r="T355" s="1014">
        <f>SUM(T345:T354)</f>
        <v>10379.010000000002</v>
      </c>
      <c r="U355" s="998">
        <f t="shared" si="1034"/>
        <v>40975.200000000004</v>
      </c>
      <c r="V355" s="1014">
        <f>SUM(V345:V354)</f>
        <v>4873.0600000000004</v>
      </c>
      <c r="W355" s="923">
        <f t="shared" si="1034"/>
        <v>23614.9</v>
      </c>
      <c r="X355" s="998">
        <f t="shared" si="1034"/>
        <v>45848.26</v>
      </c>
      <c r="Y355" s="1014">
        <f>SUM(Y345:Y354)</f>
        <v>12329.779</v>
      </c>
      <c r="Z355" s="998">
        <f t="shared" si="1034"/>
        <v>58178.039000000004</v>
      </c>
      <c r="AA355" s="1014">
        <f>SUM(AA345:AA354)</f>
        <v>13688.066999999999</v>
      </c>
      <c r="AB355" s="998">
        <f t="shared" si="1034"/>
        <v>71866.106</v>
      </c>
      <c r="AC355" s="1014">
        <f>SUM(AC345:AC354)</f>
        <v>16213.604000000003</v>
      </c>
      <c r="AD355" s="1325">
        <f>SUM(AD345:AD354)</f>
        <v>42231.44999999999</v>
      </c>
      <c r="AE355" s="767">
        <f>SUM(AE345:AE354)</f>
        <v>65846.350000000006</v>
      </c>
      <c r="AF355" s="2588">
        <f>SUM(AF345:AF354)</f>
        <v>88079.709999999977</v>
      </c>
    </row>
    <row r="356" spans="4:38" ht="35" customHeight="1" x14ac:dyDescent="0.25">
      <c r="D356" s="987"/>
      <c r="E356" s="1015" t="s">
        <v>554</v>
      </c>
      <c r="F356" s="1016"/>
      <c r="G356" s="1016"/>
      <c r="H356" s="3616"/>
      <c r="I356" s="1016"/>
      <c r="J356" s="3616"/>
      <c r="K356" s="1016"/>
      <c r="L356" s="3617"/>
      <c r="M356" s="1016"/>
      <c r="N356" s="1016"/>
      <c r="O356" s="1016"/>
      <c r="P356" s="1016"/>
      <c r="Q356" s="1016"/>
      <c r="R356" s="1016"/>
      <c r="S356" s="1016"/>
      <c r="T356" s="1016"/>
      <c r="U356" s="1016"/>
      <c r="V356" s="1016"/>
      <c r="W356" s="1016"/>
      <c r="X356" s="1016"/>
      <c r="Y356" s="1016"/>
      <c r="Z356" s="1016"/>
      <c r="AA356" s="1016"/>
      <c r="AB356" s="1016"/>
      <c r="AC356" s="1016"/>
      <c r="AD356" s="1016"/>
      <c r="AE356" s="1016"/>
      <c r="AF356" s="1016"/>
    </row>
    <row r="357" spans="4:38" ht="35" customHeight="1" x14ac:dyDescent="0.25">
      <c r="D357" s="987"/>
      <c r="E357" s="1175" t="s">
        <v>1378</v>
      </c>
      <c r="F357" s="3311"/>
      <c r="G357" s="3311"/>
      <c r="H357" s="712">
        <f>SUM(F357:G357)</f>
        <v>0</v>
      </c>
      <c r="I357" s="3311"/>
      <c r="J357" s="713">
        <f>SUM(H357:I357)</f>
        <v>0</v>
      </c>
      <c r="K357" s="3311"/>
      <c r="L357" s="712">
        <f>SUM(J357:K357)</f>
        <v>0</v>
      </c>
      <c r="M357" s="3311">
        <v>24304.020000000011</v>
      </c>
      <c r="N357" s="712">
        <f>SUM(L357:M357)</f>
        <v>24304.020000000011</v>
      </c>
      <c r="O357" s="3311">
        <v>12225.379999999997</v>
      </c>
      <c r="P357" s="1088">
        <f t="shared" si="991"/>
        <v>36529.400000000009</v>
      </c>
      <c r="Q357" s="1089">
        <f t="shared" ref="Q357:Q358" si="1035">+N357+O357</f>
        <v>36529.400000000009</v>
      </c>
      <c r="R357" s="3311">
        <v>12273.140000000001</v>
      </c>
      <c r="S357" s="712">
        <f>SUM(Q357:R357)</f>
        <v>48802.540000000008</v>
      </c>
      <c r="T357" s="3311">
        <v>37494.070000000065</v>
      </c>
      <c r="U357" s="712">
        <f>SUM(S357:T357)</f>
        <v>86296.610000000073</v>
      </c>
      <c r="V357" s="3311">
        <f>6980.1+33010.469</f>
        <v>39990.568999999996</v>
      </c>
      <c r="W357" s="721">
        <f t="shared" ref="W357:W358" si="1036">+R357+T357+V357</f>
        <v>89757.779000000068</v>
      </c>
      <c r="X357" s="720">
        <f t="shared" ref="X357:X358" si="1037">+U357+V357</f>
        <v>126287.17900000006</v>
      </c>
      <c r="Y357" s="3311">
        <f>34638.431+545.92</f>
        <v>35184.350999999995</v>
      </c>
      <c r="Z357" s="712">
        <f t="shared" ref="Z357:Z358" si="1038">+X357+Y357</f>
        <v>161471.53000000006</v>
      </c>
      <c r="AA357" s="3311">
        <f>16665.92+2180.354</f>
        <v>18846.273999999998</v>
      </c>
      <c r="AB357" s="720">
        <f>SUM(Z357:AA357)</f>
        <v>180317.80400000006</v>
      </c>
      <c r="AC357" s="3311">
        <v>12466.720000000001</v>
      </c>
      <c r="AD357" s="715">
        <f t="shared" ref="AD357:AD358" si="1039">+Y357+AA357+AC357</f>
        <v>66497.345000000001</v>
      </c>
      <c r="AE357" s="769">
        <f t="shared" ref="AE357:AE358" si="1040">+W357+AD357</f>
        <v>156255.12400000007</v>
      </c>
      <c r="AF357" s="723">
        <f t="shared" ref="AF357:AF358" si="1041">+AB357+AC357</f>
        <v>192784.52400000006</v>
      </c>
    </row>
    <row r="358" spans="4:38" ht="35" customHeight="1" thickBot="1" x14ac:dyDescent="0.3">
      <c r="D358" s="987"/>
      <c r="E358" s="1017" t="s">
        <v>553</v>
      </c>
      <c r="F358" s="3312"/>
      <c r="G358" s="3312"/>
      <c r="H358" s="1021">
        <f>SUM(F358:G358)</f>
        <v>0</v>
      </c>
      <c r="I358" s="3312"/>
      <c r="J358" s="1019">
        <f>SUM(H358:I358)</f>
        <v>0</v>
      </c>
      <c r="K358" s="3312"/>
      <c r="L358" s="1021">
        <f>SUM(J358:K358)</f>
        <v>0</v>
      </c>
      <c r="M358" s="3312">
        <v>11117.949999999997</v>
      </c>
      <c r="N358" s="1021">
        <f>SUM(L358:M358)</f>
        <v>11117.949999999997</v>
      </c>
      <c r="O358" s="3312">
        <v>63862.609999999942</v>
      </c>
      <c r="P358" s="1088">
        <f t="shared" si="991"/>
        <v>74980.559999999939</v>
      </c>
      <c r="Q358" s="1089">
        <f t="shared" si="1035"/>
        <v>74980.559999999939</v>
      </c>
      <c r="R358" s="3312">
        <v>61283.08999999996</v>
      </c>
      <c r="S358" s="1021">
        <f>SUM(Q358:R358)</f>
        <v>136263.64999999991</v>
      </c>
      <c r="T358" s="3312">
        <v>47090.55</v>
      </c>
      <c r="U358" s="1021">
        <f>SUM(S358:T358)</f>
        <v>183354.1999999999</v>
      </c>
      <c r="V358" s="3312">
        <f>15010.25+51229.907</f>
        <v>66240.157000000007</v>
      </c>
      <c r="W358" s="1149">
        <f t="shared" si="1036"/>
        <v>174613.79699999996</v>
      </c>
      <c r="X358" s="1018">
        <f t="shared" si="1037"/>
        <v>249594.3569999999</v>
      </c>
      <c r="Y358" s="3312">
        <v>69382.046000000002</v>
      </c>
      <c r="Z358" s="1021">
        <f t="shared" si="1038"/>
        <v>318976.40299999993</v>
      </c>
      <c r="AA358" s="3312">
        <f>53935.779</f>
        <v>53935.779000000002</v>
      </c>
      <c r="AB358" s="1018">
        <f>SUM(Z358:AA358)</f>
        <v>372912.18199999991</v>
      </c>
      <c r="AC358" s="3312">
        <v>31968.920000000006</v>
      </c>
      <c r="AD358" s="715">
        <f t="shared" si="1039"/>
        <v>155286.74500000002</v>
      </c>
      <c r="AE358" s="769">
        <f t="shared" si="1040"/>
        <v>329900.54200000002</v>
      </c>
      <c r="AF358" s="723">
        <f t="shared" si="1041"/>
        <v>404881.1019999999</v>
      </c>
    </row>
    <row r="359" spans="4:38" ht="35" customHeight="1" thickBot="1" x14ac:dyDescent="0.3">
      <c r="D359" s="987"/>
      <c r="E359" s="1022" t="s">
        <v>555</v>
      </c>
      <c r="F359" s="1023">
        <f t="shared" ref="F359:G359" si="1042">SUM(F357:F358)</f>
        <v>0</v>
      </c>
      <c r="G359" s="1023">
        <f t="shared" si="1042"/>
        <v>0</v>
      </c>
      <c r="H359" s="1021">
        <f t="shared" ref="H359:N359" si="1043">SUM(H357:H358)</f>
        <v>0</v>
      </c>
      <c r="I359" s="1023">
        <f t="shared" si="1043"/>
        <v>0</v>
      </c>
      <c r="J359" s="1019">
        <f t="shared" si="1043"/>
        <v>0</v>
      </c>
      <c r="K359" s="1023">
        <f t="shared" si="1043"/>
        <v>0</v>
      </c>
      <c r="L359" s="1021">
        <f t="shared" si="1043"/>
        <v>0</v>
      </c>
      <c r="M359" s="1023">
        <f t="shared" ref="M359:O359" si="1044">SUM(M357:M358)</f>
        <v>35421.970000000008</v>
      </c>
      <c r="N359" s="1021">
        <f t="shared" si="1043"/>
        <v>35421.970000000008</v>
      </c>
      <c r="O359" s="1023">
        <f t="shared" si="1044"/>
        <v>76087.989999999932</v>
      </c>
      <c r="P359" s="573">
        <f t="shared" ref="P359:Y359" si="1045">SUM(P357:P358)</f>
        <v>111509.95999999995</v>
      </c>
      <c r="Q359" s="767">
        <f t="shared" si="1045"/>
        <v>111509.95999999995</v>
      </c>
      <c r="R359" s="1023">
        <f t="shared" si="1045"/>
        <v>73556.229999999967</v>
      </c>
      <c r="S359" s="572">
        <f t="shared" si="1045"/>
        <v>185066.18999999992</v>
      </c>
      <c r="T359" s="1023">
        <f t="shared" si="1045"/>
        <v>84584.620000000068</v>
      </c>
      <c r="U359" s="572">
        <f t="shared" si="1045"/>
        <v>269650.80999999994</v>
      </c>
      <c r="V359" s="1023">
        <f t="shared" ref="V359" si="1046">SUM(V357:V358)</f>
        <v>106230.726</v>
      </c>
      <c r="W359" s="573">
        <f t="shared" si="1045"/>
        <v>264371.576</v>
      </c>
      <c r="X359" s="572">
        <f t="shared" si="1045"/>
        <v>375881.53599999996</v>
      </c>
      <c r="Y359" s="1023">
        <f t="shared" si="1045"/>
        <v>104566.397</v>
      </c>
      <c r="Z359" s="572">
        <f>SUM(Z357:Z358)</f>
        <v>480447.93299999996</v>
      </c>
      <c r="AA359" s="1023">
        <f t="shared" ref="AA359" si="1047">SUM(AA357:AA358)</f>
        <v>72782.053</v>
      </c>
      <c r="AB359" s="572">
        <f>SUM(AB357:AB358)</f>
        <v>553229.98600000003</v>
      </c>
      <c r="AC359" s="1023">
        <f t="shared" ref="AC359" si="1048">SUM(AC357:AC358)</f>
        <v>44435.640000000007</v>
      </c>
      <c r="AD359" s="704">
        <f>SUM(AD357:AD358)</f>
        <v>221784.09000000003</v>
      </c>
      <c r="AE359" s="775">
        <f>SUM(AE357:AE358)</f>
        <v>486155.66600000008</v>
      </c>
      <c r="AF359" s="2621">
        <f>SUM(AF357:AF358)</f>
        <v>597665.62599999993</v>
      </c>
    </row>
    <row r="360" spans="4:38" ht="35" customHeight="1" thickBot="1" x14ac:dyDescent="0.3">
      <c r="D360" s="1024"/>
      <c r="E360" s="1000" t="s">
        <v>1806</v>
      </c>
      <c r="F360" s="925">
        <f t="shared" ref="F360:G360" si="1049">+F331+F343+F355+F359</f>
        <v>0</v>
      </c>
      <c r="G360" s="925">
        <f t="shared" si="1049"/>
        <v>0</v>
      </c>
      <c r="H360" s="575">
        <f t="shared" ref="H360:U360" si="1050">+H331+H343+H355+H359</f>
        <v>0</v>
      </c>
      <c r="I360" s="925">
        <f t="shared" si="1050"/>
        <v>0</v>
      </c>
      <c r="J360" s="704">
        <f t="shared" si="1050"/>
        <v>0</v>
      </c>
      <c r="K360" s="925">
        <f t="shared" si="1050"/>
        <v>0</v>
      </c>
      <c r="L360" s="575">
        <f t="shared" si="1050"/>
        <v>0</v>
      </c>
      <c r="M360" s="925">
        <f t="shared" ref="M360:O360" si="1051">+M331+M343+M355+M359</f>
        <v>142673.60000000003</v>
      </c>
      <c r="N360" s="575">
        <f t="shared" si="1050"/>
        <v>142673.60000000003</v>
      </c>
      <c r="O360" s="925">
        <f t="shared" si="1051"/>
        <v>150777.78999999992</v>
      </c>
      <c r="P360" s="704">
        <f t="shared" si="1050"/>
        <v>293451.38999999996</v>
      </c>
      <c r="Q360" s="775">
        <f t="shared" si="1050"/>
        <v>293451.39</v>
      </c>
      <c r="R360" s="925">
        <f t="shared" si="1050"/>
        <v>166101.39999999997</v>
      </c>
      <c r="S360" s="575">
        <f t="shared" si="1050"/>
        <v>459552.78999999992</v>
      </c>
      <c r="T360" s="925">
        <f t="shared" si="1050"/>
        <v>185891.81000000006</v>
      </c>
      <c r="U360" s="575">
        <f t="shared" si="1050"/>
        <v>645444.60000000009</v>
      </c>
      <c r="V360" s="925">
        <f t="shared" ref="V360" si="1052">+V331+V343+V355+V359</f>
        <v>201871.95299999998</v>
      </c>
      <c r="W360" s="704">
        <f>+R360+T360+V360</f>
        <v>553865.16299999994</v>
      </c>
      <c r="X360" s="575">
        <f t="shared" ref="X360:AB360" si="1053">+X331+X343+X355+X359</f>
        <v>847316.55299999996</v>
      </c>
      <c r="Y360" s="925">
        <f t="shared" si="1053"/>
        <v>209501.32799999998</v>
      </c>
      <c r="Z360" s="575">
        <f t="shared" si="1053"/>
        <v>1056817.8810000001</v>
      </c>
      <c r="AA360" s="925">
        <f t="shared" ref="AA360" si="1054">+AA331+AA343+AA355+AA359</f>
        <v>176753.05900000001</v>
      </c>
      <c r="AB360" s="575">
        <f t="shared" si="1053"/>
        <v>1233570.94</v>
      </c>
      <c r="AC360" s="925">
        <f t="shared" ref="AC360" si="1055">+AC331+AC343+AC355+AC359</f>
        <v>145752.64500000002</v>
      </c>
      <c r="AD360" s="704">
        <f>+Y360+AA360+AC360</f>
        <v>532007.03200000001</v>
      </c>
      <c r="AE360" s="775">
        <f t="shared" ref="AE360:AF360" si="1056">+AE331+AE343+AE355+AE359</f>
        <v>1085872.1950000001</v>
      </c>
      <c r="AF360" s="2621">
        <f t="shared" si="1056"/>
        <v>1379323.585</v>
      </c>
    </row>
    <row r="361" spans="4:38" s="3170" customFormat="1" ht="35" customHeight="1" thickBot="1" x14ac:dyDescent="0.4">
      <c r="D361" s="4314"/>
      <c r="E361" s="4315"/>
      <c r="F361" s="3755"/>
      <c r="G361" s="3755"/>
      <c r="H361" s="3755"/>
      <c r="I361" s="3755"/>
      <c r="J361" s="3755"/>
      <c r="K361" s="3755"/>
      <c r="L361" s="3755"/>
      <c r="M361" s="3755"/>
      <c r="N361" s="3755"/>
      <c r="O361" s="3755"/>
      <c r="P361" s="3755"/>
      <c r="Q361" s="3755"/>
      <c r="R361" s="3755"/>
      <c r="S361" s="4316"/>
      <c r="T361" s="3755"/>
      <c r="U361" s="4316"/>
      <c r="V361" s="3755"/>
      <c r="W361" s="4316"/>
      <c r="X361" s="4316"/>
      <c r="Y361" s="3755"/>
      <c r="Z361" s="4316"/>
      <c r="AA361" s="3755"/>
      <c r="AB361" s="4317"/>
      <c r="AC361" s="3755"/>
      <c r="AD361" s="4317"/>
      <c r="AE361" s="4317"/>
      <c r="AF361" s="4317"/>
      <c r="AG361" s="4756"/>
      <c r="AH361" s="4756"/>
      <c r="AI361" s="4756"/>
      <c r="AJ361" s="4756"/>
      <c r="AK361" s="4756"/>
      <c r="AL361" s="4756"/>
    </row>
    <row r="362" spans="4:38" ht="35" customHeight="1" x14ac:dyDescent="0.35">
      <c r="D362" s="2447" t="s">
        <v>10</v>
      </c>
      <c r="E362" s="2446" t="s">
        <v>1</v>
      </c>
      <c r="F362" s="660" t="s">
        <v>9</v>
      </c>
      <c r="G362" s="660" t="s">
        <v>51</v>
      </c>
      <c r="H362" s="3535" t="s">
        <v>52</v>
      </c>
      <c r="I362" s="660" t="s">
        <v>1073</v>
      </c>
      <c r="J362" s="3476" t="s">
        <v>60</v>
      </c>
      <c r="K362" s="660" t="s">
        <v>2117</v>
      </c>
      <c r="L362" s="1390" t="s">
        <v>62</v>
      </c>
      <c r="M362" s="660" t="s">
        <v>63</v>
      </c>
      <c r="N362" s="884" t="s">
        <v>64</v>
      </c>
      <c r="O362" s="660" t="s">
        <v>65</v>
      </c>
      <c r="P362" s="659" t="s">
        <v>66</v>
      </c>
      <c r="Q362" s="979" t="s">
        <v>82</v>
      </c>
      <c r="R362" s="660" t="s">
        <v>100</v>
      </c>
      <c r="S362" s="658" t="s">
        <v>101</v>
      </c>
      <c r="T362" s="660" t="s">
        <v>104</v>
      </c>
      <c r="U362" s="658" t="s">
        <v>105</v>
      </c>
      <c r="V362" s="660" t="s">
        <v>106</v>
      </c>
      <c r="W362" s="1075" t="s">
        <v>107</v>
      </c>
      <c r="X362" s="1025" t="s">
        <v>108</v>
      </c>
      <c r="Y362" s="660" t="s">
        <v>109</v>
      </c>
      <c r="Z362" s="658" t="s">
        <v>110</v>
      </c>
      <c r="AA362" s="660" t="s">
        <v>112</v>
      </c>
      <c r="AB362" s="1256" t="str">
        <f>+AB316</f>
        <v>11M</v>
      </c>
      <c r="AC362" s="660" t="s">
        <v>114</v>
      </c>
      <c r="AD362" s="1075" t="s">
        <v>115</v>
      </c>
      <c r="AE362" s="1389" t="s">
        <v>116</v>
      </c>
      <c r="AF362" s="2623" t="s">
        <v>117</v>
      </c>
    </row>
    <row r="363" spans="4:38" s="3170" customFormat="1" ht="35" customHeight="1" thickBot="1" x14ac:dyDescent="0.45">
      <c r="D363" s="4312"/>
      <c r="E363" s="4313"/>
      <c r="F363" s="3771"/>
      <c r="G363" s="3771"/>
      <c r="H363" s="3591"/>
      <c r="I363" s="3771"/>
      <c r="J363" s="3591"/>
      <c r="K363" s="3771"/>
      <c r="L363" s="3771"/>
      <c r="M363" s="3771"/>
      <c r="N363" s="3771"/>
      <c r="O363" s="3771"/>
      <c r="P363" s="3591"/>
      <c r="Q363" s="3771"/>
      <c r="R363" s="3771"/>
      <c r="S363" s="3771"/>
      <c r="T363" s="3771"/>
      <c r="U363" s="3771"/>
      <c r="V363" s="3771"/>
      <c r="W363" s="3591"/>
      <c r="X363" s="3771"/>
      <c r="Y363" s="3771"/>
      <c r="Z363" s="3771"/>
      <c r="AA363" s="3771"/>
      <c r="AB363" s="4268"/>
      <c r="AC363" s="3771"/>
      <c r="AD363" s="4268"/>
      <c r="AE363" s="4268"/>
      <c r="AF363" s="4268"/>
      <c r="AG363" s="4756"/>
      <c r="AH363" s="4756"/>
      <c r="AI363" s="4756"/>
      <c r="AJ363" s="4756"/>
      <c r="AK363" s="4756"/>
      <c r="AL363" s="4756"/>
    </row>
    <row r="364" spans="4:38" s="3170" customFormat="1" ht="35" customHeight="1" x14ac:dyDescent="0.4">
      <c r="D364" s="8520">
        <v>22</v>
      </c>
      <c r="E364" s="3756" t="s">
        <v>1322</v>
      </c>
      <c r="F364" s="3594"/>
      <c r="G364" s="3594"/>
      <c r="H364" s="3594"/>
      <c r="I364" s="3594"/>
      <c r="J364" s="3594"/>
      <c r="K364" s="3594"/>
      <c r="L364" s="3594"/>
      <c r="M364" s="3594"/>
      <c r="N364" s="3594"/>
      <c r="O364" s="3594"/>
      <c r="P364" s="4308"/>
      <c r="Q364" s="4308"/>
      <c r="R364" s="3594"/>
      <c r="S364" s="4308"/>
      <c r="T364" s="3594"/>
      <c r="U364" s="4308"/>
      <c r="V364" s="3594"/>
      <c r="W364" s="4309"/>
      <c r="X364" s="4308"/>
      <c r="Y364" s="3594"/>
      <c r="Z364" s="4308"/>
      <c r="AA364" s="3594"/>
      <c r="AB364" s="4310"/>
      <c r="AC364" s="3594"/>
      <c r="AD364" s="4310"/>
      <c r="AE364" s="4311"/>
      <c r="AF364" s="4311"/>
      <c r="AG364" s="4756"/>
      <c r="AH364" s="4756"/>
      <c r="AI364" s="4756"/>
      <c r="AJ364" s="4756"/>
      <c r="AK364" s="4756"/>
      <c r="AL364" s="4756"/>
    </row>
    <row r="365" spans="4:38" ht="35" customHeight="1" x14ac:dyDescent="0.35">
      <c r="D365" s="8521"/>
      <c r="E365" s="1027" t="s">
        <v>1226</v>
      </c>
      <c r="F365" s="3460">
        <f>+F81</f>
        <v>0</v>
      </c>
      <c r="G365" s="3460">
        <f>+G81</f>
        <v>0</v>
      </c>
      <c r="H365" s="712">
        <f>+F365+G365</f>
        <v>0</v>
      </c>
      <c r="I365" s="3460">
        <f>+I81</f>
        <v>0</v>
      </c>
      <c r="J365" s="713">
        <f t="shared" ref="J365:J370" si="1057">+H365+I365</f>
        <v>0</v>
      </c>
      <c r="K365" s="3460">
        <f>+K81</f>
        <v>0</v>
      </c>
      <c r="L365" s="821">
        <f t="shared" ref="L365:L369" si="1058">SUM(J365:K365)</f>
        <v>0</v>
      </c>
      <c r="M365" s="3460">
        <f>+M81</f>
        <v>1171.7200000000003</v>
      </c>
      <c r="N365" s="690">
        <f t="shared" ref="N365:N369" si="1059">SUM(L365:M365)</f>
        <v>1171.7200000000003</v>
      </c>
      <c r="O365" s="3460">
        <f>+O81</f>
        <v>4125.8499999999995</v>
      </c>
      <c r="P365" s="1006">
        <f t="shared" ref="P365:P369" si="1060">+Q365-J365</f>
        <v>5297.57</v>
      </c>
      <c r="Q365" s="726">
        <f t="shared" ref="Q365:Q369" si="1061">+N365+O365</f>
        <v>5297.57</v>
      </c>
      <c r="R365" s="3460">
        <f>+R81</f>
        <v>3354.2</v>
      </c>
      <c r="S365" s="1028">
        <f t="shared" ref="S365:S369" si="1062">SUM(Q365:R365)</f>
        <v>8651.77</v>
      </c>
      <c r="T365" s="3460">
        <f>+T81</f>
        <v>2354.0500000000002</v>
      </c>
      <c r="U365" s="1028">
        <f t="shared" ref="U365:U370" si="1063">SUM(S365:T365)</f>
        <v>11005.82</v>
      </c>
      <c r="V365" s="3460">
        <f>+V81</f>
        <v>3697.62</v>
      </c>
      <c r="W365" s="1006">
        <f t="shared" ref="W365:W369" si="1064">+R365+T365+V365</f>
        <v>9405.869999999999</v>
      </c>
      <c r="X365" s="693">
        <f t="shared" ref="X365:X369" si="1065">+U365+V365</f>
        <v>14703.439999999999</v>
      </c>
      <c r="Y365" s="3460">
        <f>+Y81</f>
        <v>3661.13</v>
      </c>
      <c r="Z365" s="1028">
        <f t="shared" ref="Z365:Z369" si="1066">SUM(X365:Y365)</f>
        <v>18364.57</v>
      </c>
      <c r="AA365" s="3460">
        <f>+AA81</f>
        <v>298.61</v>
      </c>
      <c r="AB365" s="1028">
        <f t="shared" ref="AB365:AB369" si="1067">SUM(Z365:AA365)</f>
        <v>18663.18</v>
      </c>
      <c r="AC365" s="3460">
        <f>+AC81</f>
        <v>999.30000000000007</v>
      </c>
      <c r="AD365" s="698">
        <f t="shared" ref="AD365:AD369" si="1068">+Y365+AA365+AC365</f>
        <v>4959.04</v>
      </c>
      <c r="AE365" s="769">
        <f t="shared" ref="AE365:AE370" si="1069">+W365+AD365</f>
        <v>14364.91</v>
      </c>
      <c r="AF365" s="2589">
        <f t="shared" ref="AF365:AF368" si="1070">+AB365+AC365</f>
        <v>19662.48</v>
      </c>
    </row>
    <row r="366" spans="4:38" ht="35" customHeight="1" x14ac:dyDescent="0.35">
      <c r="D366" s="8521"/>
      <c r="E366" s="1029" t="s">
        <v>130</v>
      </c>
      <c r="F366" s="3388">
        <f>+F63</f>
        <v>0</v>
      </c>
      <c r="G366" s="3388">
        <f>+G63</f>
        <v>0</v>
      </c>
      <c r="H366" s="814">
        <f>+F366+G366</f>
        <v>0</v>
      </c>
      <c r="I366" s="3388">
        <f>+I63</f>
        <v>0</v>
      </c>
      <c r="J366" s="815">
        <f t="shared" si="1057"/>
        <v>0</v>
      </c>
      <c r="K366" s="3388">
        <f>+K63</f>
        <v>0</v>
      </c>
      <c r="L366" s="686">
        <f t="shared" si="1058"/>
        <v>0</v>
      </c>
      <c r="M366" s="3388">
        <f>+M63</f>
        <v>48.019999999999996</v>
      </c>
      <c r="N366" s="714">
        <f t="shared" si="1059"/>
        <v>48.019999999999996</v>
      </c>
      <c r="O366" s="3388">
        <f>+O63</f>
        <v>0</v>
      </c>
      <c r="P366" s="1006">
        <f t="shared" si="1060"/>
        <v>48.019999999999996</v>
      </c>
      <c r="Q366" s="726">
        <f t="shared" si="1061"/>
        <v>48.019999999999996</v>
      </c>
      <c r="R366" s="3388">
        <f>+R63</f>
        <v>0</v>
      </c>
      <c r="S366" s="1028">
        <f t="shared" si="1062"/>
        <v>48.019999999999996</v>
      </c>
      <c r="T366" s="3388">
        <f>+T63</f>
        <v>0</v>
      </c>
      <c r="U366" s="1028">
        <f t="shared" si="1063"/>
        <v>48.019999999999996</v>
      </c>
      <c r="V366" s="3388">
        <f>+V63</f>
        <v>0</v>
      </c>
      <c r="W366" s="846">
        <f t="shared" si="1064"/>
        <v>0</v>
      </c>
      <c r="X366" s="735">
        <f t="shared" si="1065"/>
        <v>48.019999999999996</v>
      </c>
      <c r="Y366" s="3388">
        <f>+Y63</f>
        <v>0</v>
      </c>
      <c r="Z366" s="1028">
        <f t="shared" si="1066"/>
        <v>48.019999999999996</v>
      </c>
      <c r="AA366" s="3388">
        <f>+AA63</f>
        <v>0</v>
      </c>
      <c r="AB366" s="1028">
        <f t="shared" si="1067"/>
        <v>48.019999999999996</v>
      </c>
      <c r="AC366" s="3388">
        <f>+AC63</f>
        <v>0</v>
      </c>
      <c r="AD366" s="698">
        <f t="shared" si="1068"/>
        <v>0</v>
      </c>
      <c r="AE366" s="769">
        <f t="shared" si="1069"/>
        <v>0</v>
      </c>
      <c r="AF366" s="2589">
        <f t="shared" si="1070"/>
        <v>48.019999999999996</v>
      </c>
    </row>
    <row r="367" spans="4:38" ht="35" customHeight="1" x14ac:dyDescent="0.35">
      <c r="D367" s="8521"/>
      <c r="E367" s="1029" t="s">
        <v>341</v>
      </c>
      <c r="F367" s="3388">
        <f>+F69</f>
        <v>0</v>
      </c>
      <c r="G367" s="3388">
        <f>+G69</f>
        <v>0</v>
      </c>
      <c r="H367" s="814">
        <f>+F367+G367</f>
        <v>0</v>
      </c>
      <c r="I367" s="3388">
        <f>+I69</f>
        <v>0</v>
      </c>
      <c r="J367" s="815">
        <f t="shared" si="1057"/>
        <v>0</v>
      </c>
      <c r="K367" s="3388">
        <f>+K69</f>
        <v>0</v>
      </c>
      <c r="L367" s="686">
        <f t="shared" si="1058"/>
        <v>0</v>
      </c>
      <c r="M367" s="3388">
        <f>+M69</f>
        <v>0</v>
      </c>
      <c r="N367" s="714">
        <f t="shared" si="1059"/>
        <v>0</v>
      </c>
      <c r="O367" s="3388">
        <f>+O69</f>
        <v>0</v>
      </c>
      <c r="P367" s="1006">
        <f t="shared" si="1060"/>
        <v>0</v>
      </c>
      <c r="Q367" s="726">
        <f t="shared" si="1061"/>
        <v>0</v>
      </c>
      <c r="R367" s="3388">
        <f>+R69</f>
        <v>0</v>
      </c>
      <c r="S367" s="1028">
        <f t="shared" si="1062"/>
        <v>0</v>
      </c>
      <c r="T367" s="3388">
        <f>+T69</f>
        <v>0</v>
      </c>
      <c r="U367" s="1028">
        <f t="shared" si="1063"/>
        <v>0</v>
      </c>
      <c r="V367" s="3388">
        <f>+V69</f>
        <v>0</v>
      </c>
      <c r="W367" s="846">
        <f t="shared" si="1064"/>
        <v>0</v>
      </c>
      <c r="X367" s="735">
        <f t="shared" si="1065"/>
        <v>0</v>
      </c>
      <c r="Y367" s="3388">
        <f>+Y69</f>
        <v>0</v>
      </c>
      <c r="Z367" s="1028">
        <f t="shared" si="1066"/>
        <v>0</v>
      </c>
      <c r="AA367" s="3388">
        <f>+AA69</f>
        <v>0</v>
      </c>
      <c r="AB367" s="1028">
        <f t="shared" si="1067"/>
        <v>0</v>
      </c>
      <c r="AC367" s="3388">
        <f>+AC69</f>
        <v>0</v>
      </c>
      <c r="AD367" s="698">
        <f t="shared" si="1068"/>
        <v>0</v>
      </c>
      <c r="AE367" s="769">
        <f t="shared" si="1069"/>
        <v>0</v>
      </c>
      <c r="AF367" s="2589">
        <f t="shared" si="1070"/>
        <v>0</v>
      </c>
    </row>
    <row r="368" spans="4:38" ht="35" customHeight="1" thickBot="1" x14ac:dyDescent="0.4">
      <c r="D368" s="8521"/>
      <c r="E368" s="1029" t="s">
        <v>447</v>
      </c>
      <c r="F368" s="3388">
        <f>+F75</f>
        <v>0</v>
      </c>
      <c r="G368" s="3388">
        <f>+G75</f>
        <v>0</v>
      </c>
      <c r="H368" s="814">
        <f>+F368+G368</f>
        <v>0</v>
      </c>
      <c r="I368" s="3388">
        <f>+I75</f>
        <v>0</v>
      </c>
      <c r="J368" s="815">
        <f t="shared" si="1057"/>
        <v>0</v>
      </c>
      <c r="K368" s="3388">
        <f>+K75</f>
        <v>0</v>
      </c>
      <c r="L368" s="686">
        <f t="shared" si="1058"/>
        <v>0</v>
      </c>
      <c r="M368" s="3388">
        <f>+M75</f>
        <v>0</v>
      </c>
      <c r="N368" s="714">
        <f t="shared" si="1059"/>
        <v>0</v>
      </c>
      <c r="O368" s="3388">
        <f>+O75</f>
        <v>0</v>
      </c>
      <c r="P368" s="1006">
        <f t="shared" si="1060"/>
        <v>0</v>
      </c>
      <c r="Q368" s="726">
        <f t="shared" si="1061"/>
        <v>0</v>
      </c>
      <c r="R368" s="3388">
        <f>+R75</f>
        <v>0</v>
      </c>
      <c r="S368" s="1028">
        <f t="shared" si="1062"/>
        <v>0</v>
      </c>
      <c r="T368" s="3388">
        <f>+T75</f>
        <v>0</v>
      </c>
      <c r="U368" s="1028">
        <f t="shared" si="1063"/>
        <v>0</v>
      </c>
      <c r="V368" s="3388">
        <f>+V75</f>
        <v>0</v>
      </c>
      <c r="W368" s="846">
        <f t="shared" si="1064"/>
        <v>0</v>
      </c>
      <c r="X368" s="735">
        <f t="shared" si="1065"/>
        <v>0</v>
      </c>
      <c r="Y368" s="3388">
        <f>+Y75</f>
        <v>0</v>
      </c>
      <c r="Z368" s="1028">
        <f t="shared" si="1066"/>
        <v>0</v>
      </c>
      <c r="AA368" s="3388">
        <f>+AA75</f>
        <v>0</v>
      </c>
      <c r="AB368" s="1028">
        <f t="shared" si="1067"/>
        <v>0</v>
      </c>
      <c r="AC368" s="3388">
        <f>+AC75</f>
        <v>0</v>
      </c>
      <c r="AD368" s="698">
        <f t="shared" si="1068"/>
        <v>0</v>
      </c>
      <c r="AE368" s="769">
        <f t="shared" si="1069"/>
        <v>0</v>
      </c>
      <c r="AF368" s="2589">
        <f t="shared" si="1070"/>
        <v>0</v>
      </c>
    </row>
    <row r="369" spans="1:38" ht="35" hidden="1" customHeight="1" thickBot="1" x14ac:dyDescent="0.4">
      <c r="D369" s="8521"/>
      <c r="E369" s="1030" t="s">
        <v>130</v>
      </c>
      <c r="F369" s="1031">
        <v>0</v>
      </c>
      <c r="G369" s="1031">
        <v>0</v>
      </c>
      <c r="H369" s="2549">
        <f>SUM(F369:G369)</f>
        <v>0</v>
      </c>
      <c r="I369" s="1031">
        <v>0</v>
      </c>
      <c r="J369" s="2529">
        <f t="shared" si="1057"/>
        <v>0</v>
      </c>
      <c r="K369" s="1031">
        <v>0</v>
      </c>
      <c r="L369" s="669">
        <f t="shared" si="1058"/>
        <v>0</v>
      </c>
      <c r="M369" s="1031">
        <v>0</v>
      </c>
      <c r="N369" s="714">
        <f t="shared" si="1059"/>
        <v>0</v>
      </c>
      <c r="O369" s="1031">
        <v>0</v>
      </c>
      <c r="P369" s="1033">
        <f t="shared" si="1060"/>
        <v>0</v>
      </c>
      <c r="Q369" s="1034">
        <f t="shared" si="1061"/>
        <v>0</v>
      </c>
      <c r="R369" s="1031">
        <v>0</v>
      </c>
      <c r="S369" s="1028">
        <f t="shared" si="1062"/>
        <v>0</v>
      </c>
      <c r="T369" s="1031">
        <v>0</v>
      </c>
      <c r="U369" s="1028">
        <f t="shared" si="1063"/>
        <v>0</v>
      </c>
      <c r="V369" s="1031">
        <v>0</v>
      </c>
      <c r="W369" s="1033">
        <f t="shared" si="1064"/>
        <v>0</v>
      </c>
      <c r="X369" s="737">
        <f t="shared" si="1065"/>
        <v>0</v>
      </c>
      <c r="Y369" s="1031">
        <v>0</v>
      </c>
      <c r="Z369" s="1028">
        <f t="shared" si="1066"/>
        <v>0</v>
      </c>
      <c r="AA369" s="1031">
        <v>0</v>
      </c>
      <c r="AB369" s="1028">
        <f t="shared" si="1067"/>
        <v>0</v>
      </c>
      <c r="AC369" s="1031">
        <v>0</v>
      </c>
      <c r="AD369" s="698">
        <f t="shared" si="1068"/>
        <v>0</v>
      </c>
      <c r="AE369" s="769">
        <f t="shared" si="1069"/>
        <v>0</v>
      </c>
      <c r="AF369" s="2589">
        <f t="shared" ref="AF369" si="1071">+Q369+AE369</f>
        <v>0</v>
      </c>
    </row>
    <row r="370" spans="1:38" ht="35" customHeight="1" thickBot="1" x14ac:dyDescent="0.3">
      <c r="D370" s="8521"/>
      <c r="E370" s="1035" t="s">
        <v>131</v>
      </c>
      <c r="F370" s="732">
        <f>SUM(F365:F368)</f>
        <v>0</v>
      </c>
      <c r="G370" s="732">
        <f>SUM(G365:G368)</f>
        <v>0</v>
      </c>
      <c r="H370" s="575">
        <f>SUM(H365:H368)</f>
        <v>0</v>
      </c>
      <c r="I370" s="732">
        <f>SUM(I365:I368)</f>
        <v>0</v>
      </c>
      <c r="J370" s="704">
        <f t="shared" si="1057"/>
        <v>0</v>
      </c>
      <c r="K370" s="732">
        <f>SUM(K365:K368)</f>
        <v>0</v>
      </c>
      <c r="L370" s="679">
        <f>+J370+K370</f>
        <v>0</v>
      </c>
      <c r="M370" s="732">
        <f>SUM(M365:M368)</f>
        <v>1219.7400000000002</v>
      </c>
      <c r="N370" s="575">
        <f>SUM(N365:N368)</f>
        <v>1219.7400000000002</v>
      </c>
      <c r="O370" s="732">
        <f>SUM(O365:O368)</f>
        <v>4125.8499999999995</v>
      </c>
      <c r="P370" s="923">
        <f>SUM(P365:P369)</f>
        <v>5345.59</v>
      </c>
      <c r="Q370" s="916">
        <f>SUM(Q365:Q369)</f>
        <v>5345.59</v>
      </c>
      <c r="R370" s="732">
        <f>SUM(R365:R368)</f>
        <v>3354.2</v>
      </c>
      <c r="S370" s="599">
        <f>+Q370+R370</f>
        <v>8699.7900000000009</v>
      </c>
      <c r="T370" s="732">
        <f>SUM(T365:T368)</f>
        <v>2354.0500000000002</v>
      </c>
      <c r="U370" s="599">
        <f t="shared" si="1063"/>
        <v>11053.84</v>
      </c>
      <c r="V370" s="732">
        <f>SUM(V365:V368)</f>
        <v>3697.62</v>
      </c>
      <c r="W370" s="573">
        <f>SUM(W365:W368)</f>
        <v>9405.869999999999</v>
      </c>
      <c r="X370" s="599">
        <f>SUM(X365:X368)</f>
        <v>14751.46</v>
      </c>
      <c r="Y370" s="732">
        <f>SUM(Y365:Y368)</f>
        <v>3661.13</v>
      </c>
      <c r="Z370" s="599">
        <f>SUM(Z365:Z369)</f>
        <v>18412.59</v>
      </c>
      <c r="AA370" s="732">
        <f>SUM(AA365:AA368)</f>
        <v>298.61</v>
      </c>
      <c r="AB370" s="599">
        <f>SUM(AB365:AB369)</f>
        <v>18711.2</v>
      </c>
      <c r="AC370" s="732">
        <f>SUM(AC365:AC368)</f>
        <v>999.30000000000007</v>
      </c>
      <c r="AD370" s="923">
        <f>SUM(AD365:AD369)</f>
        <v>4959.04</v>
      </c>
      <c r="AE370" s="916">
        <f t="shared" si="1069"/>
        <v>14364.91</v>
      </c>
      <c r="AF370" s="2583">
        <f>SUM(AF365:AF369)</f>
        <v>19710.5</v>
      </c>
    </row>
    <row r="371" spans="1:38" ht="35" customHeight="1" x14ac:dyDescent="0.35">
      <c r="D371" s="8428">
        <v>25</v>
      </c>
      <c r="E371" s="3756" t="s">
        <v>556</v>
      </c>
      <c r="F371" s="926"/>
      <c r="G371" s="926"/>
      <c r="H371" s="3594"/>
      <c r="I371" s="926"/>
      <c r="J371" s="3594"/>
      <c r="K371" s="926"/>
      <c r="L371" s="3594"/>
      <c r="M371" s="926"/>
      <c r="N371" s="3594"/>
      <c r="O371" s="926"/>
      <c r="P371" s="985"/>
      <c r="Q371" s="926"/>
      <c r="R371" s="926"/>
      <c r="S371" s="926"/>
      <c r="T371" s="926"/>
      <c r="U371" s="926"/>
      <c r="V371" s="926"/>
      <c r="W371" s="926"/>
      <c r="X371" s="926"/>
      <c r="Y371" s="926"/>
      <c r="Z371" s="926"/>
      <c r="AA371" s="926"/>
      <c r="AB371" s="926"/>
      <c r="AC371" s="926"/>
      <c r="AD371" s="926"/>
      <c r="AE371" s="986"/>
      <c r="AF371" s="986"/>
    </row>
    <row r="372" spans="1:38" ht="35" customHeight="1" x14ac:dyDescent="0.25">
      <c r="D372" s="8429"/>
      <c r="E372" s="1037" t="s">
        <v>1190</v>
      </c>
      <c r="F372" s="3388">
        <f>+F902-F901</f>
        <v>0</v>
      </c>
      <c r="G372" s="3388">
        <f>+G902-G901</f>
        <v>0</v>
      </c>
      <c r="H372" s="3527">
        <f t="shared" ref="H372:J376" si="1072">+F372+G372</f>
        <v>0</v>
      </c>
      <c r="I372" s="3388">
        <f>+I902-I901</f>
        <v>0</v>
      </c>
      <c r="J372" s="1957">
        <f t="shared" si="1072"/>
        <v>0</v>
      </c>
      <c r="K372" s="3388">
        <f>+K902-K901</f>
        <v>0</v>
      </c>
      <c r="L372" s="3580">
        <f t="shared" ref="L372:L376" si="1073">+J372+K372</f>
        <v>0</v>
      </c>
      <c r="M372" s="3388">
        <f>+M902-M901</f>
        <v>31004.710000000003</v>
      </c>
      <c r="N372" s="928">
        <f t="shared" ref="N372:N376" si="1074">+L372+M372</f>
        <v>31004.710000000003</v>
      </c>
      <c r="O372" s="3388">
        <f>+O902-O901</f>
        <v>33337.33</v>
      </c>
      <c r="P372" s="1006">
        <f t="shared" ref="P372:P376" si="1075">+Q372-J372</f>
        <v>64342.040000000008</v>
      </c>
      <c r="Q372" s="726">
        <f t="shared" ref="Q372:Q376" si="1076">+N372+O372</f>
        <v>64342.040000000008</v>
      </c>
      <c r="R372" s="3388">
        <f>+R902-R901</f>
        <v>28943.090000000004</v>
      </c>
      <c r="S372" s="928">
        <f t="shared" ref="S372:U376" si="1077">+Q372+R372</f>
        <v>93285.13</v>
      </c>
      <c r="T372" s="3388">
        <f>+T902-T901</f>
        <v>39591.170000000006</v>
      </c>
      <c r="U372" s="928">
        <f t="shared" si="1077"/>
        <v>132876.30000000002</v>
      </c>
      <c r="V372" s="3388">
        <f>+V902-V901</f>
        <v>36436.641000000003</v>
      </c>
      <c r="W372" s="846">
        <f t="shared" ref="W372:W375" si="1078">+R372+T372+V372</f>
        <v>104970.90100000001</v>
      </c>
      <c r="X372" s="735">
        <f t="shared" ref="X372:X375" si="1079">+U372+V372</f>
        <v>169312.94100000002</v>
      </c>
      <c r="Y372" s="3388">
        <f>+Y902-Y901</f>
        <v>39648.518000000004</v>
      </c>
      <c r="Z372" s="928">
        <f t="shared" ref="Z372:Z375" si="1080">+X372+Y372</f>
        <v>208961.45900000003</v>
      </c>
      <c r="AA372" s="3388">
        <f>+AA902-AA901</f>
        <v>31645.453999999998</v>
      </c>
      <c r="AB372" s="735">
        <f t="shared" ref="AB372:AB375" si="1081">+Z372+AA372</f>
        <v>240606.91300000003</v>
      </c>
      <c r="AC372" s="3388">
        <f>+AC902-AC901</f>
        <v>30983.580999999995</v>
      </c>
      <c r="AD372" s="698">
        <f t="shared" ref="AD372:AD375" si="1082">+Y372+AA372+AC372</f>
        <v>102277.553</v>
      </c>
      <c r="AE372" s="769">
        <f t="shared" ref="AE372:AE375" si="1083">+W372+AD372</f>
        <v>207248.45400000003</v>
      </c>
      <c r="AF372" s="2589">
        <f t="shared" ref="AF372:AF375" si="1084">+AB372+AC372</f>
        <v>271590.49400000001</v>
      </c>
    </row>
    <row r="373" spans="1:38" ht="35" customHeight="1" x14ac:dyDescent="0.25">
      <c r="D373" s="8429"/>
      <c r="E373" s="1037" t="s">
        <v>1192</v>
      </c>
      <c r="F373" s="3388">
        <f>+F1005-F1004</f>
        <v>0</v>
      </c>
      <c r="G373" s="3388">
        <f>+G1005-G1004</f>
        <v>0</v>
      </c>
      <c r="H373" s="3527">
        <f t="shared" ref="H373" si="1085">+F373+G373</f>
        <v>0</v>
      </c>
      <c r="I373" s="3388">
        <f>+I1005-I1004</f>
        <v>0</v>
      </c>
      <c r="J373" s="1957">
        <f t="shared" ref="J373" si="1086">+H373+I373</f>
        <v>0</v>
      </c>
      <c r="K373" s="3388">
        <f>+K1005-K1004</f>
        <v>0</v>
      </c>
      <c r="L373" s="3580">
        <f t="shared" ref="L373" si="1087">+J373+K373</f>
        <v>0</v>
      </c>
      <c r="M373" s="3388">
        <f>+M1005-M1004</f>
        <v>62938.540000000008</v>
      </c>
      <c r="N373" s="735">
        <f t="shared" ref="N373" si="1088">+L373+M373</f>
        <v>62938.540000000008</v>
      </c>
      <c r="O373" s="3388">
        <f>+O1005-O1004</f>
        <v>32427.489999999991</v>
      </c>
      <c r="P373" s="846">
        <f t="shared" ref="P373" si="1089">+Q373-J373</f>
        <v>95366.03</v>
      </c>
      <c r="Q373" s="847">
        <f t="shared" ref="Q373" si="1090">+N373+O373</f>
        <v>95366.03</v>
      </c>
      <c r="R373" s="3388">
        <f>+R1005-R1004</f>
        <v>55239.25</v>
      </c>
      <c r="S373" s="735">
        <f t="shared" ref="S373" si="1091">+Q373+R373</f>
        <v>150605.28</v>
      </c>
      <c r="T373" s="3388">
        <f>+T1005-T1004</f>
        <v>51337.01</v>
      </c>
      <c r="U373" s="735">
        <f t="shared" ref="U373" si="1092">+S373+T373</f>
        <v>201942.29</v>
      </c>
      <c r="V373" s="3388">
        <f>+V1005-V1004</f>
        <v>54331.525999999998</v>
      </c>
      <c r="W373" s="846">
        <f t="shared" ref="W373" si="1093">+R373+T373+V373</f>
        <v>160907.78600000002</v>
      </c>
      <c r="X373" s="735">
        <f t="shared" ref="X373" si="1094">+U373+V373</f>
        <v>256273.81599999999</v>
      </c>
      <c r="Y373" s="3388">
        <f>+Y1005-Y1004</f>
        <v>52956.632999999987</v>
      </c>
      <c r="Z373" s="735">
        <f t="shared" ref="Z373" si="1095">+X373+Y373</f>
        <v>309230.44899999996</v>
      </c>
      <c r="AA373" s="3388">
        <f>+AA1005-AA1004</f>
        <v>58637.492999999988</v>
      </c>
      <c r="AB373" s="735">
        <f t="shared" ref="AB373" si="1096">+Z373+AA373</f>
        <v>367867.94199999992</v>
      </c>
      <c r="AC373" s="3388">
        <f>+AC1005-AC1004</f>
        <v>54119.818000000014</v>
      </c>
      <c r="AD373" s="698">
        <f t="shared" ref="AD373" si="1097">+Y373+AA373+AC373</f>
        <v>165713.94399999999</v>
      </c>
      <c r="AE373" s="769">
        <f t="shared" ref="AE373" si="1098">+W373+AD373</f>
        <v>326621.73</v>
      </c>
      <c r="AF373" s="2589">
        <f t="shared" si="1084"/>
        <v>421987.75999999995</v>
      </c>
    </row>
    <row r="374" spans="1:38" ht="35" customHeight="1" x14ac:dyDescent="0.25">
      <c r="D374" s="8429"/>
      <c r="E374" s="1037" t="s">
        <v>1191</v>
      </c>
      <c r="F374" s="3388">
        <f t="shared" ref="F374:G374" si="1099">+F1119-F1118</f>
        <v>0</v>
      </c>
      <c r="G374" s="3388">
        <f t="shared" si="1099"/>
        <v>0</v>
      </c>
      <c r="H374" s="3527">
        <f t="shared" si="1072"/>
        <v>0</v>
      </c>
      <c r="I374" s="3388">
        <f t="shared" ref="I374" si="1100">+I1119-I1118</f>
        <v>0</v>
      </c>
      <c r="J374" s="1957">
        <f t="shared" si="1072"/>
        <v>0</v>
      </c>
      <c r="K374" s="3388">
        <f t="shared" ref="K374" si="1101">+K1119-K1118</f>
        <v>0</v>
      </c>
      <c r="L374" s="3580">
        <f t="shared" si="1073"/>
        <v>0</v>
      </c>
      <c r="M374" s="3388">
        <f t="shared" ref="M374:O374" si="1102">+M1119-M1118</f>
        <v>13308.380000000001</v>
      </c>
      <c r="N374" s="735">
        <f t="shared" si="1074"/>
        <v>13308.380000000001</v>
      </c>
      <c r="O374" s="3388">
        <f t="shared" si="1102"/>
        <v>8924.9799999999977</v>
      </c>
      <c r="P374" s="846">
        <f t="shared" si="1075"/>
        <v>22233.360000000001</v>
      </c>
      <c r="Q374" s="847">
        <f t="shared" si="1076"/>
        <v>22233.360000000001</v>
      </c>
      <c r="R374" s="3388">
        <f t="shared" ref="R374:T374" si="1103">+R1119-R1118</f>
        <v>8362.83</v>
      </c>
      <c r="S374" s="735">
        <f t="shared" si="1077"/>
        <v>30596.190000000002</v>
      </c>
      <c r="T374" s="3388">
        <f t="shared" si="1103"/>
        <v>10379.009999999998</v>
      </c>
      <c r="U374" s="735">
        <f t="shared" si="1077"/>
        <v>40975.199999999997</v>
      </c>
      <c r="V374" s="3388">
        <f t="shared" ref="V374" si="1104">+V1119-V1118</f>
        <v>4873.0600000000004</v>
      </c>
      <c r="W374" s="846">
        <f t="shared" si="1078"/>
        <v>23614.899999999998</v>
      </c>
      <c r="X374" s="735">
        <f t="shared" si="1079"/>
        <v>45848.259999999995</v>
      </c>
      <c r="Y374" s="3388">
        <f t="shared" ref="Y374" si="1105">+Y1119-Y1118</f>
        <v>12329.778</v>
      </c>
      <c r="Z374" s="735">
        <f t="shared" si="1080"/>
        <v>58178.037999999993</v>
      </c>
      <c r="AA374" s="3388">
        <f t="shared" ref="AA374" si="1106">+AA1119-AA1118</f>
        <v>13688.066999999999</v>
      </c>
      <c r="AB374" s="735">
        <f t="shared" si="1081"/>
        <v>71866.104999999996</v>
      </c>
      <c r="AC374" s="3388">
        <f t="shared" ref="AC374" si="1107">+AC1119-AC1118</f>
        <v>16213.604000000001</v>
      </c>
      <c r="AD374" s="698">
        <f t="shared" si="1082"/>
        <v>42231.449000000001</v>
      </c>
      <c r="AE374" s="769">
        <f t="shared" si="1083"/>
        <v>65846.349000000002</v>
      </c>
      <c r="AF374" s="2589">
        <f t="shared" si="1084"/>
        <v>88079.709000000003</v>
      </c>
    </row>
    <row r="375" spans="1:38" ht="35" customHeight="1" thickBot="1" x14ac:dyDescent="0.3">
      <c r="D375" s="8429"/>
      <c r="E375" s="3941" t="s">
        <v>1357</v>
      </c>
      <c r="F375" s="3388" t="e">
        <f>+#REF!+#REF!+#REF!+#REF!+#REF!+#REF!+#REF!+#REF!+#REF!+#REF!+#REF!+#REF!+#REF!+#REF!</f>
        <v>#REF!</v>
      </c>
      <c r="G375" s="3388" t="e">
        <f>+#REF!+#REF!+#REF!+#REF!+#REF!+#REF!+#REF!+#REF!+#REF!+#REF!+#REF!+#REF!+#REF!+#REF!</f>
        <v>#REF!</v>
      </c>
      <c r="H375" s="3537" t="e">
        <f t="shared" si="1072"/>
        <v>#REF!</v>
      </c>
      <c r="I375" s="3388" t="e">
        <f>+#REF!+#REF!+#REF!+#REF!+#REF!+#REF!+#REF!+#REF!+#REF!+#REF!+#REF!+#REF!+#REF!+#REF!</f>
        <v>#REF!</v>
      </c>
      <c r="J375" s="3490" t="e">
        <f t="shared" si="1072"/>
        <v>#REF!</v>
      </c>
      <c r="K375" s="3388" t="e">
        <f>+#REF!+#REF!+#REF!+#REF!+#REF!+#REF!+#REF!+#REF!+#REF!+#REF!+#REF!+#REF!+#REF!+#REF!</f>
        <v>#REF!</v>
      </c>
      <c r="L375" s="3584" t="e">
        <f t="shared" si="1073"/>
        <v>#REF!</v>
      </c>
      <c r="M375" s="3388" t="e">
        <f>+#REF!+#REF!+#REF!+#REF!+#REF!+#REF!+#REF!+#REF!+#REF!+#REF!+#REF!+#REF!+#REF!+#REF!</f>
        <v>#REF!</v>
      </c>
      <c r="N375" s="929" t="e">
        <f t="shared" si="1074"/>
        <v>#REF!</v>
      </c>
      <c r="O375" s="3388" t="e">
        <f>+#REF!+#REF!+#REF!+#REF!+#REF!+#REF!+#REF!+#REF!+#REF!+#REF!+#REF!+#REF!+#REF!+#REF!</f>
        <v>#REF!</v>
      </c>
      <c r="P375" s="846" t="e">
        <f t="shared" si="1075"/>
        <v>#REF!</v>
      </c>
      <c r="Q375" s="847" t="e">
        <f t="shared" si="1076"/>
        <v>#REF!</v>
      </c>
      <c r="R375" s="3388" t="e">
        <f>+#REF!+#REF!+#REF!+#REF!+#REF!+#REF!+#REF!+#REF!+#REF!+#REF!+#REF!+#REF!+#REF!+#REF!</f>
        <v>#REF!</v>
      </c>
      <c r="S375" s="735" t="e">
        <f t="shared" si="1077"/>
        <v>#REF!</v>
      </c>
      <c r="T375" s="3388" t="e">
        <f>+#REF!+#REF!+#REF!+#REF!+#REF!+#REF!+#REF!+#REF!+#REF!+#REF!+#REF!+#REF!+#REF!+#REF!</f>
        <v>#REF!</v>
      </c>
      <c r="U375" s="735" t="e">
        <f t="shared" si="1077"/>
        <v>#REF!</v>
      </c>
      <c r="V375" s="3388" t="e">
        <f>+#REF!+#REF!+#REF!+#REF!+#REF!+#REF!+#REF!+#REF!+#REF!+#REF!+#REF!+#REF!+#REF!+#REF!</f>
        <v>#REF!</v>
      </c>
      <c r="W375" s="1195" t="e">
        <f t="shared" si="1078"/>
        <v>#REF!</v>
      </c>
      <c r="X375" s="909" t="e">
        <f t="shared" si="1079"/>
        <v>#REF!</v>
      </c>
      <c r="Y375" s="3388" t="e">
        <f>+#REF!+#REF!+#REF!+#REF!+#REF!+#REF!+#REF!+#REF!+#REF!+#REF!+#REF!+#REF!+#REF!+#REF!</f>
        <v>#REF!</v>
      </c>
      <c r="Z375" s="735" t="e">
        <f t="shared" si="1080"/>
        <v>#REF!</v>
      </c>
      <c r="AA375" s="3388" t="e">
        <f>+#REF!+#REF!+#REF!+#REF!+#REF!+#REF!+#REF!+#REF!+#REF!+#REF!+#REF!+#REF!+#REF!+#REF!</f>
        <v>#REF!</v>
      </c>
      <c r="AB375" s="735" t="e">
        <f t="shared" si="1081"/>
        <v>#REF!</v>
      </c>
      <c r="AC375" s="3388" t="e">
        <f>+#REF!+#REF!+#REF!+#REF!+#REF!+#REF!+#REF!+#REF!+#REF!+#REF!+#REF!+#REF!+#REF!+#REF!</f>
        <v>#REF!</v>
      </c>
      <c r="AD375" s="698" t="e">
        <f t="shared" si="1082"/>
        <v>#REF!</v>
      </c>
      <c r="AE375" s="769" t="e">
        <f t="shared" si="1083"/>
        <v>#REF!</v>
      </c>
      <c r="AF375" s="2589" t="e">
        <f t="shared" si="1084"/>
        <v>#REF!</v>
      </c>
    </row>
    <row r="376" spans="1:38" ht="35" customHeight="1" thickBot="1" x14ac:dyDescent="0.3">
      <c r="D376" s="8430"/>
      <c r="E376" s="707" t="s">
        <v>15</v>
      </c>
      <c r="F376" s="705" t="e">
        <f t="shared" ref="F376:G376" si="1108">SUM(F372:F375)</f>
        <v>#REF!</v>
      </c>
      <c r="G376" s="705" t="e">
        <f t="shared" si="1108"/>
        <v>#REF!</v>
      </c>
      <c r="H376" s="575" t="e">
        <f t="shared" ref="H376" si="1109">SUM(H372:H375)</f>
        <v>#REF!</v>
      </c>
      <c r="I376" s="705" t="e">
        <f t="shared" ref="I376" si="1110">SUM(I372:I375)</f>
        <v>#REF!</v>
      </c>
      <c r="J376" s="704" t="e">
        <f t="shared" si="1072"/>
        <v>#REF!</v>
      </c>
      <c r="K376" s="705" t="e">
        <f t="shared" ref="K376" si="1111">SUM(K372:K375)</f>
        <v>#REF!</v>
      </c>
      <c r="L376" s="679" t="e">
        <f t="shared" si="1073"/>
        <v>#REF!</v>
      </c>
      <c r="M376" s="705" t="e">
        <f t="shared" ref="M376" si="1112">SUM(M372:M375)</f>
        <v>#REF!</v>
      </c>
      <c r="N376" s="599" t="e">
        <f t="shared" si="1074"/>
        <v>#REF!</v>
      </c>
      <c r="O376" s="705" t="e">
        <f t="shared" ref="O376" si="1113">SUM(O372:O375)</f>
        <v>#REF!</v>
      </c>
      <c r="P376" s="923" t="e">
        <f t="shared" si="1075"/>
        <v>#REF!</v>
      </c>
      <c r="Q376" s="916" t="e">
        <f t="shared" si="1076"/>
        <v>#REF!</v>
      </c>
      <c r="R376" s="705" t="e">
        <f t="shared" ref="R376" si="1114">SUM(R372:R375)</f>
        <v>#REF!</v>
      </c>
      <c r="S376" s="599" t="e">
        <f t="shared" si="1077"/>
        <v>#REF!</v>
      </c>
      <c r="T376" s="705" t="e">
        <f t="shared" ref="T376" si="1115">SUM(T372:T375)</f>
        <v>#REF!</v>
      </c>
      <c r="U376" s="599" t="e">
        <f t="shared" ref="U376" si="1116">+S376+T376</f>
        <v>#REF!</v>
      </c>
      <c r="V376" s="705" t="e">
        <f t="shared" ref="V376" si="1117">SUM(V372:V375)</f>
        <v>#REF!</v>
      </c>
      <c r="W376" s="923" t="e">
        <f>SUM(W372:W375)</f>
        <v>#REF!</v>
      </c>
      <c r="X376" s="599" t="e">
        <f>SUM(X372:X375)</f>
        <v>#REF!</v>
      </c>
      <c r="Y376" s="705" t="e">
        <f t="shared" ref="Y376" si="1118">SUM(Y372:Y375)</f>
        <v>#REF!</v>
      </c>
      <c r="Z376" s="599" t="e">
        <f>SUM(Z372:Z375)</f>
        <v>#REF!</v>
      </c>
      <c r="AA376" s="705" t="e">
        <f t="shared" ref="AA376" si="1119">SUM(AA372:AA375)</f>
        <v>#REF!</v>
      </c>
      <c r="AB376" s="599" t="e">
        <f>SUM(AB372:AB375)</f>
        <v>#REF!</v>
      </c>
      <c r="AC376" s="705" t="e">
        <f t="shared" ref="AC376" si="1120">SUM(AC372:AC375)</f>
        <v>#REF!</v>
      </c>
      <c r="AD376" s="573" t="e">
        <f>SUM(AD372:AD375)</f>
        <v>#REF!</v>
      </c>
      <c r="AE376" s="767" t="e">
        <f>SUM(AE372:AE375)</f>
        <v>#REF!</v>
      </c>
      <c r="AF376" s="2583" t="e">
        <f>SUM(AF372:AF375)</f>
        <v>#REF!</v>
      </c>
    </row>
    <row r="377" spans="1:38" ht="35" customHeight="1" thickBot="1" x14ac:dyDescent="0.4">
      <c r="D377" s="1096"/>
      <c r="E377" s="1038"/>
      <c r="F377" s="225"/>
      <c r="G377" s="225"/>
      <c r="H377" s="3621"/>
      <c r="I377" s="225"/>
      <c r="J377" s="3621"/>
      <c r="K377" s="225"/>
      <c r="L377" s="3622"/>
      <c r="M377" s="225"/>
      <c r="N377" s="2124"/>
      <c r="O377" s="225"/>
      <c r="P377" s="1039"/>
      <c r="Q377" s="1039"/>
      <c r="R377" s="225"/>
      <c r="S377" s="2326"/>
      <c r="T377" s="225"/>
      <c r="U377" s="2326"/>
      <c r="V377" s="225"/>
      <c r="W377" s="689"/>
      <c r="X377" s="689"/>
      <c r="Y377" s="225"/>
      <c r="Z377" s="2326"/>
      <c r="AA377" s="225"/>
      <c r="AB377" s="55"/>
      <c r="AC377" s="225"/>
      <c r="AD377" s="57"/>
      <c r="AE377" s="57"/>
      <c r="AF377" s="57"/>
    </row>
    <row r="378" spans="1:38" ht="35" customHeight="1" x14ac:dyDescent="0.25">
      <c r="D378" s="793" t="s">
        <v>1231</v>
      </c>
      <c r="E378" s="655"/>
      <c r="F378" s="655"/>
      <c r="G378" s="655"/>
      <c r="H378" s="3597"/>
      <c r="I378" s="655"/>
      <c r="J378" s="3597"/>
      <c r="K378" s="655"/>
      <c r="L378" s="3597"/>
      <c r="M378" s="655"/>
      <c r="N378" s="655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  <c r="AA378" s="655"/>
      <c r="AB378" s="28"/>
      <c r="AC378" s="655"/>
      <c r="AD378" s="28"/>
      <c r="AE378" s="28"/>
      <c r="AF378" s="28"/>
    </row>
    <row r="379" spans="1:38" ht="35" customHeight="1" x14ac:dyDescent="0.35">
      <c r="D379" s="977" t="s">
        <v>10</v>
      </c>
      <c r="E379" s="1040" t="s">
        <v>1</v>
      </c>
      <c r="F379" s="660" t="s">
        <v>9</v>
      </c>
      <c r="G379" s="660" t="s">
        <v>51</v>
      </c>
      <c r="H379" s="3535" t="s">
        <v>52</v>
      </c>
      <c r="I379" s="660" t="s">
        <v>1073</v>
      </c>
      <c r="J379" s="3476" t="s">
        <v>60</v>
      </c>
      <c r="K379" s="660" t="s">
        <v>2117</v>
      </c>
      <c r="L379" s="3513" t="s">
        <v>62</v>
      </c>
      <c r="M379" s="660" t="s">
        <v>63</v>
      </c>
      <c r="N379" s="884" t="s">
        <v>64</v>
      </c>
      <c r="O379" s="660" t="s">
        <v>65</v>
      </c>
      <c r="P379" s="659" t="s">
        <v>66</v>
      </c>
      <c r="Q379" s="979" t="s">
        <v>82</v>
      </c>
      <c r="R379" s="660" t="s">
        <v>100</v>
      </c>
      <c r="S379" s="658" t="s">
        <v>101</v>
      </c>
      <c r="T379" s="660" t="s">
        <v>104</v>
      </c>
      <c r="U379" s="658" t="s">
        <v>105</v>
      </c>
      <c r="V379" s="660" t="s">
        <v>106</v>
      </c>
      <c r="W379" s="659" t="s">
        <v>107</v>
      </c>
      <c r="X379" s="658" t="s">
        <v>108</v>
      </c>
      <c r="Y379" s="660" t="s">
        <v>109</v>
      </c>
      <c r="Z379" s="658" t="s">
        <v>110</v>
      </c>
      <c r="AA379" s="660" t="s">
        <v>112</v>
      </c>
      <c r="AB379" s="811" t="str">
        <f>+AB362</f>
        <v>11M</v>
      </c>
      <c r="AC379" s="660" t="s">
        <v>114</v>
      </c>
      <c r="AD379" s="659" t="s">
        <v>115</v>
      </c>
      <c r="AE379" s="1327" t="s">
        <v>116</v>
      </c>
      <c r="AF379" s="2620" t="s">
        <v>117</v>
      </c>
    </row>
    <row r="380" spans="1:38" ht="35" customHeight="1" thickBot="1" x14ac:dyDescent="0.4">
      <c r="D380" s="1041"/>
      <c r="E380" s="1026"/>
      <c r="F380" s="2802">
        <f>+F6</f>
        <v>30</v>
      </c>
      <c r="G380" s="2802">
        <f>+G6</f>
        <v>31</v>
      </c>
      <c r="H380" s="3757">
        <f>SUM(F380:G380)</f>
        <v>61</v>
      </c>
      <c r="I380" s="2802">
        <f>+I6</f>
        <v>30</v>
      </c>
      <c r="J380" s="3757">
        <f>SUM(H380:I380)</f>
        <v>91</v>
      </c>
      <c r="K380" s="2802">
        <f>+K6</f>
        <v>31</v>
      </c>
      <c r="L380" s="3757">
        <f>SUM(J380:K380)</f>
        <v>122</v>
      </c>
      <c r="M380" s="2802">
        <v>31</v>
      </c>
      <c r="N380" s="3757">
        <f>SUM(L380:M380)</f>
        <v>153</v>
      </c>
      <c r="O380" s="2802">
        <v>30</v>
      </c>
      <c r="P380" s="2802">
        <f>+K380+M380+O380</f>
        <v>92</v>
      </c>
      <c r="Q380" s="2802">
        <f>+N380+O380</f>
        <v>183</v>
      </c>
      <c r="R380" s="2802">
        <v>31</v>
      </c>
      <c r="S380" s="2802">
        <f>SUM(Q380:R380)</f>
        <v>214</v>
      </c>
      <c r="T380" s="2802">
        <v>30</v>
      </c>
      <c r="U380" s="2802">
        <f>+S380+T380</f>
        <v>244</v>
      </c>
      <c r="V380" s="2802">
        <v>31</v>
      </c>
      <c r="W380" s="2802">
        <f>+R380+T380+V380</f>
        <v>92</v>
      </c>
      <c r="X380" s="2802">
        <f>+U380+V380</f>
        <v>275</v>
      </c>
      <c r="Y380" s="2802">
        <v>31</v>
      </c>
      <c r="Z380" s="2802">
        <f>+X380+Y380</f>
        <v>306</v>
      </c>
      <c r="AA380" s="2802">
        <v>29</v>
      </c>
      <c r="AB380" s="2802">
        <f>SUM(Z380:AA380)</f>
        <v>335</v>
      </c>
      <c r="AC380" s="2802">
        <v>31</v>
      </c>
      <c r="AD380" s="1026">
        <f>31+28+31</f>
        <v>90</v>
      </c>
      <c r="AE380" s="1026">
        <f>31+30+31+31+28+31</f>
        <v>182</v>
      </c>
      <c r="AF380" s="1026">
        <f>+AB380+AC380</f>
        <v>366</v>
      </c>
    </row>
    <row r="381" spans="1:38" s="3170" customFormat="1" ht="35" customHeight="1" x14ac:dyDescent="0.35">
      <c r="D381" s="4302">
        <v>26</v>
      </c>
      <c r="E381" s="4303" t="s">
        <v>92</v>
      </c>
      <c r="F381" s="3620"/>
      <c r="G381" s="3620"/>
      <c r="H381" s="3620"/>
      <c r="I381" s="3620"/>
      <c r="J381" s="3620"/>
      <c r="K381" s="3620"/>
      <c r="L381" s="3620"/>
      <c r="M381" s="3620"/>
      <c r="N381" s="3620"/>
      <c r="O381" s="3620"/>
      <c r="P381" s="3620"/>
      <c r="Q381" s="3620"/>
      <c r="R381" s="3620"/>
      <c r="S381" s="3620"/>
      <c r="T381" s="3620"/>
      <c r="U381" s="3620"/>
      <c r="V381" s="3620"/>
      <c r="W381" s="3620"/>
      <c r="X381" s="3620"/>
      <c r="Y381" s="3620"/>
      <c r="Z381" s="3620"/>
      <c r="AA381" s="3620"/>
      <c r="AB381" s="3620"/>
      <c r="AC381" s="3620"/>
      <c r="AD381" s="3620"/>
      <c r="AE381" s="4304"/>
      <c r="AF381" s="4304"/>
      <c r="AG381" s="4756"/>
      <c r="AH381" s="4756"/>
      <c r="AI381" s="4756"/>
      <c r="AJ381" s="4756"/>
      <c r="AK381" s="4756"/>
      <c r="AL381" s="4756"/>
    </row>
    <row r="382" spans="1:38" s="3170" customFormat="1" ht="35" customHeight="1" x14ac:dyDescent="0.35">
      <c r="A382" s="3170">
        <v>66.087501191465023</v>
      </c>
      <c r="B382" s="3170">
        <v>3</v>
      </c>
      <c r="C382" s="3170">
        <f>+A382*B382</f>
        <v>198.26250357439505</v>
      </c>
      <c r="D382" s="4305">
        <v>26.01</v>
      </c>
      <c r="E382" s="4306" t="s">
        <v>438</v>
      </c>
      <c r="F382" s="3243"/>
      <c r="G382" s="3243"/>
      <c r="H382" s="3243"/>
      <c r="I382" s="3243"/>
      <c r="J382" s="3243"/>
      <c r="K382" s="3243"/>
      <c r="L382" s="3243"/>
      <c r="M382" s="3243"/>
      <c r="N382" s="3243"/>
      <c r="O382" s="3243"/>
      <c r="P382" s="3243"/>
      <c r="Q382" s="3308"/>
      <c r="R382" s="3243"/>
      <c r="S382" s="3243"/>
      <c r="T382" s="3243"/>
      <c r="U382" s="3243"/>
      <c r="V382" s="3243"/>
      <c r="W382" s="3243"/>
      <c r="X382" s="3243"/>
      <c r="Y382" s="3243"/>
      <c r="Z382" s="3243"/>
      <c r="AA382" s="3243"/>
      <c r="AB382" s="3243"/>
      <c r="AC382" s="3243"/>
      <c r="AD382" s="4307"/>
      <c r="AE382" s="4307"/>
      <c r="AF382" s="4307"/>
      <c r="AG382" s="4756"/>
      <c r="AH382" s="4756"/>
      <c r="AI382" s="4756"/>
      <c r="AJ382" s="4756"/>
      <c r="AK382" s="4756"/>
      <c r="AL382" s="4756"/>
    </row>
    <row r="383" spans="1:38" ht="35" customHeight="1" thickBot="1" x14ac:dyDescent="0.3">
      <c r="A383" s="2">
        <f>SUM(A382:A382)</f>
        <v>66.087501191465023</v>
      </c>
      <c r="B383" s="2">
        <f>+C383/A383</f>
        <v>3</v>
      </c>
      <c r="C383" s="2">
        <f>SUM(C382:C382)</f>
        <v>198.26250357439505</v>
      </c>
      <c r="D383" s="1043"/>
      <c r="E383" s="1044" t="s">
        <v>1764</v>
      </c>
      <c r="F383" s="2491">
        <f>+F384+F385</f>
        <v>89.55969133000454</v>
      </c>
      <c r="G383" s="2491">
        <f>+G384+G385</f>
        <v>89.989969909729183</v>
      </c>
      <c r="H383" s="1382">
        <f>+H384+H385</f>
        <v>89.788094984559677</v>
      </c>
      <c r="I383" s="2491">
        <f>+I384+I385</f>
        <v>91.997697179044323</v>
      </c>
      <c r="J383" s="1421">
        <f t="shared" ref="J383:AF383" si="1121">+J384+J385</f>
        <v>90.576633337898912</v>
      </c>
      <c r="K383" s="2491">
        <f>+K384+K385</f>
        <v>94.995594713656388</v>
      </c>
      <c r="L383" s="1382">
        <f t="shared" si="1121"/>
        <v>91.813384622971839</v>
      </c>
      <c r="M383" s="2491">
        <f>+M384+M385</f>
        <v>91.05096488619067</v>
      </c>
      <c r="N383" s="1382">
        <f t="shared" si="1121"/>
        <v>91.645731301480794</v>
      </c>
      <c r="O383" s="2491">
        <f>+O384+O385</f>
        <v>90.000946342386669</v>
      </c>
      <c r="P383" s="1421">
        <f t="shared" si="1121"/>
        <v>92.060788523587334</v>
      </c>
      <c r="Q383" s="1363">
        <f t="shared" si="1121"/>
        <v>91.367877171779185</v>
      </c>
      <c r="R383" s="2491">
        <f>+R384+R385</f>
        <v>89.999466543378915</v>
      </c>
      <c r="S383" s="1382">
        <f t="shared" si="1121"/>
        <v>91.159325635028807</v>
      </c>
      <c r="T383" s="2491">
        <f>+T384+T385</f>
        <v>90</v>
      </c>
      <c r="U383" s="1382">
        <f t="shared" si="1121"/>
        <v>91.007728929186428</v>
      </c>
      <c r="V383" s="2491">
        <f>+V384+V385</f>
        <v>91.130434782608702</v>
      </c>
      <c r="W383" s="1421">
        <f t="shared" si="1121"/>
        <v>90.383876819086908</v>
      </c>
      <c r="X383" s="1382">
        <f t="shared" si="1121"/>
        <v>91.02236680227962</v>
      </c>
      <c r="Y383" s="2491">
        <f>+Y384+Y385</f>
        <v>94.830260210236077</v>
      </c>
      <c r="Z383" s="1382">
        <f t="shared" ref="Z383" si="1122">+Z384+Z385</f>
        <v>91.431544758804449</v>
      </c>
      <c r="AA383" s="2491">
        <f>+AA384+AA385</f>
        <v>94.991714233106237</v>
      </c>
      <c r="AB383" s="1382">
        <f t="shared" si="1121"/>
        <v>91.756863391710937</v>
      </c>
      <c r="AC383" s="2491">
        <f>+AC384+AC385</f>
        <v>95.003179794676115</v>
      </c>
      <c r="AD383" s="1421">
        <f t="shared" si="1121"/>
        <v>94.939507094846903</v>
      </c>
      <c r="AE383" s="1363">
        <f t="shared" si="1121"/>
        <v>92.649024722091838</v>
      </c>
      <c r="AF383" s="2624">
        <f t="shared" si="1121"/>
        <v>92.031987237135496</v>
      </c>
    </row>
    <row r="384" spans="1:38" ht="35" customHeight="1" x14ac:dyDescent="0.25">
      <c r="D384" s="1043"/>
      <c r="E384" s="1046" t="s">
        <v>55</v>
      </c>
      <c r="F384" s="830">
        <f t="shared" ref="F384:G384" si="1123">+((F472+F481)/F482)*100</f>
        <v>64.139809350885159</v>
      </c>
      <c r="G384" s="830">
        <f t="shared" si="1123"/>
        <v>63.370110330992979</v>
      </c>
      <c r="H384" s="1047">
        <f t="shared" ref="H384:AF384" si="1124">+((H472+H481)/H482)*100</f>
        <v>63.731232030667663</v>
      </c>
      <c r="I384" s="830">
        <f t="shared" si="1124"/>
        <v>64.997121473805407</v>
      </c>
      <c r="J384" s="1048">
        <f t="shared" si="1124"/>
        <v>64.182988631694286</v>
      </c>
      <c r="K384" s="830">
        <f>+((K472+K481)/K482)*100</f>
        <v>69.356828193832598</v>
      </c>
      <c r="L384" s="1047">
        <f t="shared" si="1124"/>
        <v>65.631010504512503</v>
      </c>
      <c r="M384" s="830">
        <f t="shared" ref="M384:O384" si="1125">+((M472+M481)/M482)*100</f>
        <v>63.936175796490367</v>
      </c>
      <c r="N384" s="1047">
        <f t="shared" si="1124"/>
        <v>65.258322529017761</v>
      </c>
      <c r="O384" s="830">
        <f t="shared" si="1125"/>
        <v>60.338790574429822</v>
      </c>
      <c r="P384" s="1048">
        <f t="shared" si="1124"/>
        <v>64.641182185652085</v>
      </c>
      <c r="Q384" s="1049">
        <f t="shared" si="1124"/>
        <v>64.427264181710058</v>
      </c>
      <c r="R384" s="830">
        <f t="shared" si="1124"/>
        <v>59.99964436225261</v>
      </c>
      <c r="S384" s="1047">
        <f t="shared" si="1124"/>
        <v>63.752476293973693</v>
      </c>
      <c r="T384" s="830">
        <f t="shared" si="1124"/>
        <v>60</v>
      </c>
      <c r="U384" s="1047">
        <f t="shared" si="1124"/>
        <v>63.26179185835872</v>
      </c>
      <c r="V384" s="830">
        <f t="shared" ref="V384" si="1126">+((V472+V481)/V482)*100</f>
        <v>61.130434782608702</v>
      </c>
      <c r="W384" s="1048">
        <f t="shared" si="1124"/>
        <v>60.383935904329178</v>
      </c>
      <c r="X384" s="1047">
        <f t="shared" si="1124"/>
        <v>63.007537203662167</v>
      </c>
      <c r="Y384" s="830">
        <f t="shared" si="1124"/>
        <v>64.845769429605369</v>
      </c>
      <c r="Z384" s="1047">
        <f t="shared" si="1124"/>
        <v>63.205064819392675</v>
      </c>
      <c r="AA384" s="830">
        <f t="shared" ref="AA384" si="1127">+((AA472+AA481)/AA482)*100</f>
        <v>71.368072178236048</v>
      </c>
      <c r="AB384" s="1047">
        <f t="shared" si="1124"/>
        <v>63.950978297263063</v>
      </c>
      <c r="AC384" s="830">
        <f t="shared" ref="AC384" si="1128">+((AC472+AC481)/AC482)*100</f>
        <v>68.138457345325705</v>
      </c>
      <c r="AD384" s="1048">
        <f t="shared" si="1124"/>
        <v>68.044809559372666</v>
      </c>
      <c r="AE384" s="1049">
        <f t="shared" si="1124"/>
        <v>64.193071159936068</v>
      </c>
      <c r="AF384" s="2625">
        <f t="shared" si="1124"/>
        <v>64.305865250760718</v>
      </c>
    </row>
    <row r="385" spans="4:38" ht="35" customHeight="1" x14ac:dyDescent="0.25">
      <c r="D385" s="1043"/>
      <c r="E385" s="1050" t="s">
        <v>54</v>
      </c>
      <c r="F385" s="831">
        <f t="shared" ref="F385:G385" si="1129">+F476/F482*100</f>
        <v>25.419881979119385</v>
      </c>
      <c r="G385" s="831">
        <f t="shared" si="1129"/>
        <v>26.619859578736211</v>
      </c>
      <c r="H385" s="1051">
        <f t="shared" ref="H385:AF385" si="1130">+H476/H482*100</f>
        <v>26.056862953892022</v>
      </c>
      <c r="I385" s="831">
        <f t="shared" si="1130"/>
        <v>27.000575705238916</v>
      </c>
      <c r="J385" s="1052">
        <f t="shared" si="1130"/>
        <v>26.393644706204629</v>
      </c>
      <c r="K385" s="831">
        <f t="shared" si="1130"/>
        <v>25.63876651982379</v>
      </c>
      <c r="L385" s="1051">
        <f t="shared" si="1130"/>
        <v>26.182374118459339</v>
      </c>
      <c r="M385" s="831">
        <f t="shared" ref="M385:O385" si="1131">+M476/M482*100</f>
        <v>27.114789089700299</v>
      </c>
      <c r="N385" s="1051">
        <f t="shared" si="1130"/>
        <v>26.38740877246304</v>
      </c>
      <c r="O385" s="831">
        <f t="shared" si="1131"/>
        <v>29.66215576795685</v>
      </c>
      <c r="P385" s="1052">
        <f t="shared" si="1130"/>
        <v>27.419606337935253</v>
      </c>
      <c r="Q385" s="1053">
        <f t="shared" si="1130"/>
        <v>26.940612990069123</v>
      </c>
      <c r="R385" s="831">
        <f t="shared" si="1130"/>
        <v>29.999822181126305</v>
      </c>
      <c r="S385" s="1051">
        <f t="shared" si="1130"/>
        <v>27.406849341055121</v>
      </c>
      <c r="T385" s="831">
        <f t="shared" si="1130"/>
        <v>30</v>
      </c>
      <c r="U385" s="1051">
        <f t="shared" si="1130"/>
        <v>27.745937070827708</v>
      </c>
      <c r="V385" s="831">
        <f t="shared" ref="V385" si="1132">+V476/V482*100</f>
        <v>30</v>
      </c>
      <c r="W385" s="1052">
        <f t="shared" si="1130"/>
        <v>29.999940914757723</v>
      </c>
      <c r="X385" s="1051">
        <f t="shared" si="1130"/>
        <v>28.014829598617453</v>
      </c>
      <c r="Y385" s="831">
        <f t="shared" si="1130"/>
        <v>29.984490780630708</v>
      </c>
      <c r="Z385" s="1051">
        <f t="shared" si="1130"/>
        <v>28.226479939411782</v>
      </c>
      <c r="AA385" s="831">
        <f t="shared" ref="AA385" si="1133">+AA476/AA482*100</f>
        <v>23.623642054870189</v>
      </c>
      <c r="AB385" s="1051">
        <f t="shared" si="1130"/>
        <v>27.805885094447873</v>
      </c>
      <c r="AC385" s="831">
        <f t="shared" ref="AC385" si="1134">+AC476/AC482*100</f>
        <v>26.864722449350413</v>
      </c>
      <c r="AD385" s="1052">
        <f t="shared" si="1130"/>
        <v>26.894697535474233</v>
      </c>
      <c r="AE385" s="1053">
        <f t="shared" si="1130"/>
        <v>28.455953562155774</v>
      </c>
      <c r="AF385" s="2626">
        <f t="shared" si="1130"/>
        <v>27.726121986374778</v>
      </c>
    </row>
    <row r="386" spans="4:38" ht="35" customHeight="1" x14ac:dyDescent="0.25">
      <c r="D386" s="1043"/>
      <c r="E386" s="1050" t="s">
        <v>70</v>
      </c>
      <c r="F386" s="831">
        <f t="shared" ref="F386:G386" si="1135">+F480/F482*100</f>
        <v>10.440308669995462</v>
      </c>
      <c r="G386" s="831">
        <f t="shared" si="1135"/>
        <v>10.010030090270812</v>
      </c>
      <c r="H386" s="1051">
        <f t="shared" ref="H386:AF386" si="1136">+H480/H482*100</f>
        <v>10.211905015440315</v>
      </c>
      <c r="I386" s="831">
        <f t="shared" si="1136"/>
        <v>8.0023028209556699</v>
      </c>
      <c r="J386" s="1052">
        <f t="shared" si="1136"/>
        <v>9.4233666621010812</v>
      </c>
      <c r="K386" s="831">
        <f t="shared" si="1136"/>
        <v>5.004405286343613</v>
      </c>
      <c r="L386" s="1051">
        <f t="shared" si="1136"/>
        <v>8.1866153770281596</v>
      </c>
      <c r="M386" s="831">
        <f t="shared" ref="M386:O386" si="1137">+M480/M482*100</f>
        <v>8.949035113809332</v>
      </c>
      <c r="N386" s="1051">
        <f t="shared" si="1136"/>
        <v>8.354268698519201</v>
      </c>
      <c r="O386" s="831">
        <f t="shared" si="1137"/>
        <v>9.9990536576133238</v>
      </c>
      <c r="P386" s="1052">
        <f t="shared" si="1136"/>
        <v>7.9392114764126607</v>
      </c>
      <c r="Q386" s="1053">
        <f t="shared" si="1136"/>
        <v>8.6321228282208207</v>
      </c>
      <c r="R386" s="831">
        <f t="shared" si="1136"/>
        <v>10.000533456621085</v>
      </c>
      <c r="S386" s="1051">
        <f t="shared" si="1136"/>
        <v>8.8406743649711785</v>
      </c>
      <c r="T386" s="831">
        <f t="shared" si="1136"/>
        <v>10</v>
      </c>
      <c r="U386" s="1051">
        <f t="shared" si="1136"/>
        <v>8.9922710708135742</v>
      </c>
      <c r="V386" s="831">
        <f t="shared" ref="V386" si="1138">+V480/V482*100</f>
        <v>8.8695652173913029</v>
      </c>
      <c r="W386" s="1052">
        <f t="shared" si="1136"/>
        <v>9.6161231809131031</v>
      </c>
      <c r="X386" s="1051">
        <f t="shared" si="1136"/>
        <v>8.9776331977203743</v>
      </c>
      <c r="Y386" s="831">
        <f t="shared" si="1136"/>
        <v>5.1697397897639146</v>
      </c>
      <c r="Z386" s="1051">
        <f t="shared" si="1136"/>
        <v>8.5684552411955437</v>
      </c>
      <c r="AA386" s="831">
        <f t="shared" ref="AA386" si="1139">+AA480/AA482*100</f>
        <v>5.0082857668937582</v>
      </c>
      <c r="AB386" s="1051">
        <f t="shared" si="1136"/>
        <v>8.2431366082890687</v>
      </c>
      <c r="AC386" s="831">
        <f t="shared" ref="AC386" si="1140">+AC480/AC482*100</f>
        <v>4.9968202053238846</v>
      </c>
      <c r="AD386" s="1052">
        <f t="shared" si="1136"/>
        <v>5.0604929051530991</v>
      </c>
      <c r="AE386" s="1053">
        <f t="shared" si="1136"/>
        <v>7.3509752779081579</v>
      </c>
      <c r="AF386" s="2626">
        <f t="shared" si="1136"/>
        <v>7.9680127628644986</v>
      </c>
    </row>
    <row r="387" spans="4:38" ht="35" hidden="1" customHeight="1" x14ac:dyDescent="0.25">
      <c r="D387" s="1043"/>
      <c r="E387" s="1050" t="s">
        <v>327</v>
      </c>
      <c r="F387" s="699">
        <f t="shared" ref="F387:G387" si="1141">+F481/F482*100</f>
        <v>0</v>
      </c>
      <c r="G387" s="699">
        <f t="shared" si="1141"/>
        <v>0</v>
      </c>
      <c r="H387" s="1051">
        <f t="shared" ref="H387:AF387" si="1142">+H481/H482*100</f>
        <v>0</v>
      </c>
      <c r="I387" s="699">
        <f t="shared" si="1142"/>
        <v>0</v>
      </c>
      <c r="J387" s="1052">
        <f t="shared" si="1142"/>
        <v>0</v>
      </c>
      <c r="K387" s="699">
        <f t="shared" si="1142"/>
        <v>0</v>
      </c>
      <c r="L387" s="1051">
        <f t="shared" si="1142"/>
        <v>0</v>
      </c>
      <c r="M387" s="699">
        <f t="shared" ref="M387:O387" si="1143">+M481/M482*100</f>
        <v>0</v>
      </c>
      <c r="N387" s="1051">
        <f t="shared" si="1142"/>
        <v>0</v>
      </c>
      <c r="O387" s="699">
        <f t="shared" si="1143"/>
        <v>0</v>
      </c>
      <c r="P387" s="1052">
        <f t="shared" si="1142"/>
        <v>0</v>
      </c>
      <c r="Q387" s="1053">
        <f t="shared" si="1142"/>
        <v>0</v>
      </c>
      <c r="R387" s="699">
        <f t="shared" si="1142"/>
        <v>0</v>
      </c>
      <c r="S387" s="1051">
        <f t="shared" si="1142"/>
        <v>0</v>
      </c>
      <c r="T387" s="699">
        <f t="shared" si="1142"/>
        <v>0</v>
      </c>
      <c r="U387" s="1051">
        <f t="shared" si="1142"/>
        <v>0</v>
      </c>
      <c r="V387" s="699">
        <f t="shared" ref="V387" si="1144">+V481/V482*100</f>
        <v>0</v>
      </c>
      <c r="W387" s="1052">
        <f t="shared" si="1142"/>
        <v>0</v>
      </c>
      <c r="X387" s="1051">
        <f t="shared" si="1142"/>
        <v>0</v>
      </c>
      <c r="Y387" s="699">
        <f t="shared" si="1142"/>
        <v>0</v>
      </c>
      <c r="Z387" s="1051">
        <f t="shared" si="1142"/>
        <v>0</v>
      </c>
      <c r="AA387" s="699">
        <f t="shared" ref="AA387" si="1145">+AA481/AA482*100</f>
        <v>0</v>
      </c>
      <c r="AB387" s="1051">
        <f t="shared" si="1142"/>
        <v>0</v>
      </c>
      <c r="AC387" s="699">
        <f t="shared" ref="AC387" si="1146">+AC481/AC482*100</f>
        <v>0</v>
      </c>
      <c r="AD387" s="1052">
        <f t="shared" si="1142"/>
        <v>0</v>
      </c>
      <c r="AE387" s="1053">
        <f t="shared" si="1142"/>
        <v>0</v>
      </c>
      <c r="AF387" s="2626">
        <f t="shared" si="1142"/>
        <v>0</v>
      </c>
    </row>
    <row r="388" spans="4:38" s="3170" customFormat="1" ht="35" customHeight="1" x14ac:dyDescent="0.35">
      <c r="D388" s="4123"/>
      <c r="E388" s="4136" t="s">
        <v>1765</v>
      </c>
      <c r="F388" s="3243"/>
      <c r="G388" s="3243"/>
      <c r="H388" s="3393"/>
      <c r="I388" s="3243"/>
      <c r="J388" s="3393"/>
      <c r="K388" s="3243"/>
      <c r="L388" s="3386"/>
      <c r="M388" s="3243"/>
      <c r="N388" s="3386"/>
      <c r="O388" s="3243"/>
      <c r="P388" s="3592"/>
      <c r="Q388" s="3243"/>
      <c r="R388" s="3243"/>
      <c r="S388" s="3243"/>
      <c r="T388" s="3243"/>
      <c r="U388" s="3243"/>
      <c r="V388" s="3243"/>
      <c r="W388" s="3592"/>
      <c r="X388" s="3243"/>
      <c r="Y388" s="3243"/>
      <c r="Z388" s="3243"/>
      <c r="AA388" s="3243"/>
      <c r="AB388" s="3243"/>
      <c r="AC388" s="3243"/>
      <c r="AD388" s="3592"/>
      <c r="AE388" s="3243"/>
      <c r="AF388" s="3243"/>
      <c r="AG388" s="4756"/>
      <c r="AH388" s="4756"/>
      <c r="AI388" s="4756"/>
      <c r="AJ388" s="4756"/>
      <c r="AK388" s="4756"/>
      <c r="AL388" s="4756"/>
    </row>
    <row r="389" spans="4:38" ht="35" customHeight="1" x14ac:dyDescent="0.25">
      <c r="D389" s="1043"/>
      <c r="E389" s="1055" t="s">
        <v>20</v>
      </c>
      <c r="F389" s="3923">
        <v>8.5677777777777777</v>
      </c>
      <c r="G389" s="3923">
        <v>8.56989247311828</v>
      </c>
      <c r="H389" s="1051">
        <f>+((F389*$F$482)+(G389*$G$482))/$H$482</f>
        <v>8.568900315981633</v>
      </c>
      <c r="I389" s="3923">
        <v>8.6244444444444444</v>
      </c>
      <c r="J389" s="1052">
        <f>+((H389*$H$482)+(I389*$I$482))/$J$482</f>
        <v>8.5887222892332211</v>
      </c>
      <c r="K389" s="3923">
        <v>8.6978494623655891</v>
      </c>
      <c r="L389" s="1059">
        <f>+((J389*$J$482)+(K389*$K$482))/$L$482</f>
        <v>8.6192641202499498</v>
      </c>
      <c r="M389" s="3923">
        <v>9.3034090909090921</v>
      </c>
      <c r="N389" s="800">
        <f>+((L389*$L$482)+(M389*$M$482))/$N$482</f>
        <v>8.7697051059419504</v>
      </c>
      <c r="O389" s="3923">
        <v>9.3344444444444417</v>
      </c>
      <c r="P389" s="1052">
        <f>+((K389*$K$482)+(M389*$M$482)+(O389*$O$482))/$P$482</f>
        <v>9.107143266966693</v>
      </c>
      <c r="Q389" s="1053">
        <f>+((N389*$N$482)+(O389*$O$482))/$Q$482</f>
        <v>8.8651067306590807</v>
      </c>
      <c r="R389" s="3923">
        <v>9.4142857142857146</v>
      </c>
      <c r="S389" s="1051">
        <f>+((Q389*$Q$482)+(R389*$R$482))/$S$482</f>
        <v>8.9488039181913255</v>
      </c>
      <c r="T389" s="3923">
        <v>8.9563218390804575</v>
      </c>
      <c r="U389" s="1051">
        <f>+((S389*$S$482)+(T389*$T$482))/$U$482</f>
        <v>8.9497869828343735</v>
      </c>
      <c r="V389" s="3923">
        <v>8.6696629213483174</v>
      </c>
      <c r="W389" s="1052">
        <f>+((R389*$R$482)+(T389*$T$482)+(V389*$V$482))/$W$482</f>
        <v>9.0111034699532055</v>
      </c>
      <c r="X389" s="1051">
        <f>+((U389*$U$482)+(V389*$V$482))/$X$482</f>
        <v>8.9163703173043753</v>
      </c>
      <c r="Y389" s="3923">
        <v>8.5988095238095248</v>
      </c>
      <c r="Z389" s="1051">
        <f>+((X389*$X$482)+(Y389*$Y$482))/$Z$482</f>
        <v>8.8822467579938333</v>
      </c>
      <c r="AA389" s="3923">
        <v>8.6131578947368457</v>
      </c>
      <c r="AB389" s="1051">
        <f>+((Z389*$Z$482)+(AA389*$AA$482))/$AB$482</f>
        <v>8.857658147323189</v>
      </c>
      <c r="AC389" s="3923">
        <v>8.6430107526881734</v>
      </c>
      <c r="AD389" s="1052">
        <f>+((Y389*$Y$482)+(AA389*$AA$482)+(AC389*$AC$482))/$AD$482</f>
        <v>8.6179992155579885</v>
      </c>
      <c r="AE389" s="1053">
        <f>+((W389*$W$482)+(AD389*$AD$482))/$AE$482</f>
        <v>8.8156443954441137</v>
      </c>
      <c r="AF389" s="2626">
        <f>+((AB389*$AB$482)+(AC389*$AC$482))/$AF$482</f>
        <v>8.8394668778066343</v>
      </c>
    </row>
    <row r="390" spans="4:38" ht="35" customHeight="1" x14ac:dyDescent="0.25">
      <c r="D390" s="1043"/>
      <c r="E390" s="1055" t="s">
        <v>18</v>
      </c>
      <c r="F390" s="3923">
        <v>11.217777777777776</v>
      </c>
      <c r="G390" s="3923">
        <v>11.278494623655915</v>
      </c>
      <c r="H390" s="1051">
        <f>+((F390*$F$482)+(G390*$G$482))/$H$482</f>
        <v>11.250007942478291</v>
      </c>
      <c r="I390" s="3923">
        <v>11.128222222222227</v>
      </c>
      <c r="J390" s="1052">
        <f>+((H390*$H$482)+(I390*$I$482))/$J$482</f>
        <v>11.206546403767542</v>
      </c>
      <c r="K390" s="3923">
        <v>10.568817204301077</v>
      </c>
      <c r="L390" s="1051">
        <f>+((J390*$J$482)+(K390*$K$482))/$L$482</f>
        <v>11.028062742132576</v>
      </c>
      <c r="M390" s="3923">
        <v>10.50340909090909</v>
      </c>
      <c r="N390" s="800">
        <f>+((L390*$L$482)+(M390*$M$482))/$N$482</f>
        <v>10.912693316320789</v>
      </c>
      <c r="O390" s="3923">
        <v>10.666666666666666</v>
      </c>
      <c r="P390" s="1052">
        <f>+((K390*$K$482)+(M390*$M$482)+(O390*$O$482))/$P$482</f>
        <v>10.577401393089385</v>
      </c>
      <c r="Q390" s="1053">
        <f>+((N390*$N$482)+(O390*$O$482))/$Q$482</f>
        <v>10.871131943665301</v>
      </c>
      <c r="R390" s="3923">
        <v>10.652527472527474</v>
      </c>
      <c r="S390" s="1051">
        <f>+((Q390*$Q$482)+(R390*$R$482))/$S$482</f>
        <v>10.837815702582322</v>
      </c>
      <c r="T390" s="3923">
        <v>10.618390804597706</v>
      </c>
      <c r="U390" s="1051">
        <f>+((S390*$S$482)+(T390*$T$482))/$U$482</f>
        <v>10.809123081019232</v>
      </c>
      <c r="V390" s="3923">
        <v>10.621348314606745</v>
      </c>
      <c r="W390" s="1052">
        <f>+((R390*$R$482)+(T390*$T$482)+(V390*$V$482))/$W$482</f>
        <v>10.630738442191792</v>
      </c>
      <c r="X390" s="1051">
        <f>+((U390*$U$482)+(V390*$V$482))/$X$482</f>
        <v>10.786722982538253</v>
      </c>
      <c r="Y390" s="3923">
        <v>10.588095238095244</v>
      </c>
      <c r="Z390" s="1051">
        <f>+((X390*$X$482)+(Y390*$Y$482))/$Z$482</f>
        <v>10.765379398074858</v>
      </c>
      <c r="AA390" s="3923">
        <v>10.694736842105266</v>
      </c>
      <c r="AB390" s="1051">
        <f>+((Z390*$Z$482)+(AA390*$AA$482))/$AB$482</f>
        <v>10.758924272862719</v>
      </c>
      <c r="AC390" s="3923">
        <v>10.643010752688179</v>
      </c>
      <c r="AD390" s="1052">
        <f>+((Y390*$Y$482)+(AA390*$AA$482)+(AC390*$AC$482))/$AD$482</f>
        <v>10.640755317912459</v>
      </c>
      <c r="AE390" s="1053">
        <f>+((W390*$W$482)+(AD390*$AD$482))/$AE$482</f>
        <v>10.635719027458789</v>
      </c>
      <c r="AF390" s="2626">
        <f>+((AB390*$AB$482)+(AC390*$AC$482))/$AF$482</f>
        <v>10.749100654506238</v>
      </c>
    </row>
    <row r="391" spans="4:38" ht="35" customHeight="1" x14ac:dyDescent="0.25">
      <c r="D391" s="1043"/>
      <c r="E391" s="1055" t="s">
        <v>19</v>
      </c>
      <c r="F391" s="3923">
        <v>24.582222222222228</v>
      </c>
      <c r="G391" s="3923">
        <v>24.118279569892472</v>
      </c>
      <c r="H391" s="1051">
        <f>+((F391*$F$482)+(G391*$G$482))/$H$482</f>
        <v>24.33594875593921</v>
      </c>
      <c r="I391" s="3923">
        <v>24.765555555555558</v>
      </c>
      <c r="J391" s="1052">
        <f>+((H391*$H$482)+(I391*$I$482))/$J$482</f>
        <v>24.489262071430293</v>
      </c>
      <c r="K391" s="3923">
        <v>25.433333333333334</v>
      </c>
      <c r="L391" s="1051">
        <f>+((J391*$J$482)+(K391*$K$482))/$L$482</f>
        <v>24.753482834427764</v>
      </c>
      <c r="M391" s="3923">
        <v>25.414772727272727</v>
      </c>
      <c r="N391" s="800">
        <f>+((L391*$L$482)+(M391*$M$482))/$N$482</f>
        <v>24.898898071803412</v>
      </c>
      <c r="O391" s="3923">
        <v>25.115555555555563</v>
      </c>
      <c r="P391" s="1052">
        <f>+((K391*$K$482)+(M391*$M$482)+(O391*$O$482))/$P$482</f>
        <v>25.326277777747492</v>
      </c>
      <c r="Q391" s="1053">
        <f>+((N391*$N$482)+(O391*$O$482))/$Q$482</f>
        <v>24.935498100432351</v>
      </c>
      <c r="R391" s="3923">
        <v>25.27582417582417</v>
      </c>
      <c r="S391" s="1051">
        <f>+((Q391*$Q$482)+(R391*$R$482))/$S$482</f>
        <v>24.987365226093424</v>
      </c>
      <c r="T391" s="3923">
        <v>25.126436781609197</v>
      </c>
      <c r="U391" s="1051">
        <f>+((S391*$S$482)+(T391*$T$482))/$U$482</f>
        <v>25.005550616854705</v>
      </c>
      <c r="V391" s="3923">
        <v>25.11363636363637</v>
      </c>
      <c r="W391" s="1052">
        <f>+((R391*$R$482)+(T391*$T$482)+(V391*$V$482))/$W$482</f>
        <v>25.171726062098831</v>
      </c>
      <c r="X391" s="1051">
        <f>+((U391*$U$482)+(V391*$V$482))/$X$482</f>
        <v>25.018444422654898</v>
      </c>
      <c r="Y391" s="3923">
        <v>25.021428571428572</v>
      </c>
      <c r="Z391" s="1051">
        <f>+((X391*$X$482)+(Y391*$Y$482))/$Z$482</f>
        <v>25.018765084965096</v>
      </c>
      <c r="AA391" s="3923">
        <v>25.002631578947366</v>
      </c>
      <c r="AB391" s="1051">
        <f>+((Z391*$Z$482)+(AA391*$AA$482))/$AB$482</f>
        <v>25.017290848932355</v>
      </c>
      <c r="AC391" s="3923">
        <v>24.978494623655919</v>
      </c>
      <c r="AD391" s="1052">
        <f>+((Y391*$Y$482)+(AA391*$AA$482)+(AC391*$AC$482))/$AD$482</f>
        <v>25.001212084633515</v>
      </c>
      <c r="AE391" s="1053">
        <f>+((W391*$W$482)+(AD391*$AD$482))/$AE$482</f>
        <v>25.086943198892456</v>
      </c>
      <c r="AF391" s="2626">
        <f>+((AB391*$AB$482)+(AC391*$AC$482))/$AF$482</f>
        <v>25.014002886404654</v>
      </c>
    </row>
    <row r="392" spans="4:38" ht="35" customHeight="1" x14ac:dyDescent="0.35">
      <c r="D392" s="1043"/>
      <c r="E392" s="992" t="s">
        <v>267</v>
      </c>
      <c r="F392" s="3385"/>
      <c r="G392" s="3385"/>
      <c r="H392" s="3635"/>
      <c r="I392" s="3385"/>
      <c r="J392" s="3242"/>
      <c r="K392" s="3385"/>
      <c r="L392" s="3242"/>
      <c r="M392" s="3385"/>
      <c r="N392" s="1056"/>
      <c r="O392" s="3385"/>
      <c r="P392" s="804"/>
      <c r="Q392" s="1057"/>
      <c r="R392" s="3385"/>
      <c r="S392" s="3926"/>
      <c r="T392" s="3385"/>
      <c r="U392" s="3926"/>
      <c r="V392" s="3385"/>
      <c r="W392" s="1073"/>
      <c r="X392" s="1200"/>
      <c r="Y392" s="3385"/>
      <c r="Z392" s="3926"/>
      <c r="AA392" s="3385"/>
      <c r="AB392" s="1200"/>
      <c r="AC392" s="3385"/>
      <c r="AD392" s="1073"/>
      <c r="AE392" s="1056"/>
      <c r="AF392" s="1056"/>
    </row>
    <row r="393" spans="4:38" ht="35" customHeight="1" x14ac:dyDescent="0.35">
      <c r="D393" s="1043"/>
      <c r="E393" s="3772" t="s">
        <v>254</v>
      </c>
      <c r="F393" s="3927"/>
      <c r="G393" s="3927"/>
      <c r="H393" s="3386"/>
      <c r="I393" s="3927"/>
      <c r="J393" s="3242"/>
      <c r="K393" s="3927"/>
      <c r="L393" s="3242"/>
      <c r="M393" s="3927"/>
      <c r="N393" s="2306"/>
      <c r="O393" s="3927"/>
      <c r="P393" s="804"/>
      <c r="Q393" s="1057"/>
      <c r="R393" s="3927"/>
      <c r="S393" s="3926"/>
      <c r="T393" s="3927"/>
      <c r="U393" s="3926"/>
      <c r="V393" s="3927"/>
      <c r="W393" s="1073"/>
      <c r="X393" s="1200"/>
      <c r="Y393" s="3927"/>
      <c r="Z393" s="3926"/>
      <c r="AA393" s="3927"/>
      <c r="AB393" s="1200"/>
      <c r="AC393" s="3927"/>
      <c r="AD393" s="1073"/>
      <c r="AE393" s="1056"/>
      <c r="AF393" s="1056"/>
    </row>
    <row r="394" spans="4:38" ht="35" customHeight="1" x14ac:dyDescent="0.25">
      <c r="D394" s="1043"/>
      <c r="E394" s="1055" t="s">
        <v>251</v>
      </c>
      <c r="F394" s="1980">
        <v>8.7307692307692317</v>
      </c>
      <c r="G394" s="1980">
        <v>8.8222222222222229</v>
      </c>
      <c r="H394" s="1059">
        <f>+((F394*'COKE OVENS'!$E$111)+(G394*'COKE OVENS'!$G$111))/'COKE OVENS'!$I$111</f>
        <v>8.7763097703325332</v>
      </c>
      <c r="I394" s="1980">
        <v>9.0052631578947402</v>
      </c>
      <c r="J394" s="1058">
        <f>+((H394*'COKE OVENS'!$I$111)+(I394*'COKE OVENS'!$K$111))/'COKE OVENS'!$M$111</f>
        <v>8.8567630398736803</v>
      </c>
      <c r="K394" s="1980">
        <v>9.44</v>
      </c>
      <c r="L394" s="1059">
        <f>+((J394*'COKE OVENS'!$M$111)+(K394*'COKE OVENS'!$O$111))/'COKE OVENS'!$Q$111</f>
        <v>9.0143074792870888</v>
      </c>
      <c r="M394" s="1980">
        <v>9.9277777777777771</v>
      </c>
      <c r="N394" s="1059" t="e">
        <f>+((L394*'COKE OVENS'!$Q$111)+(M394*'COKE OVENS'!#REF!))/'COKE OVENS'!#REF!</f>
        <v>#REF!</v>
      </c>
      <c r="O394" s="1980">
        <v>9.4866666666666681</v>
      </c>
      <c r="P394" s="1058" t="e">
        <f>+((K394*'COKE OVENS'!$O$111)+(M394*'COKE OVENS'!#REF!)+(O394*'COKE OVENS'!#REF!))/'COKE OVENS'!#REF!</f>
        <v>#REF!</v>
      </c>
      <c r="Q394" s="1060" t="e">
        <f>+((N394*'COKE OVENS'!#REF!)+(O394*'COKE OVENS'!#REF!))/'COKE OVENS'!#REF!</f>
        <v>#REF!</v>
      </c>
      <c r="R394" s="1980">
        <v>9.6333333333333329</v>
      </c>
      <c r="S394" s="1059" t="e">
        <f>+((Q394*'COKE OVENS'!#REF!)+(R394*'COKE OVENS'!#REF!))/'COKE OVENS'!#REF!</f>
        <v>#REF!</v>
      </c>
      <c r="T394" s="1980">
        <v>9.0250000000000004</v>
      </c>
      <c r="U394" s="1059" t="e">
        <f>+((S394*'COKE OVENS'!#REF!)+(T394*'COKE OVENS'!#REF!))/'COKE OVENS'!#REF!</f>
        <v>#REF!</v>
      </c>
      <c r="V394" s="1980">
        <v>9.2869565217391283</v>
      </c>
      <c r="W394" s="1058" t="e">
        <f>+((R394*'COKE OVENS'!#REF!)+(T394*'COKE OVENS'!#REF!)+(V394*'COKE OVENS'!#REF!))/'COKE OVENS'!#REF!</f>
        <v>#REF!</v>
      </c>
      <c r="X394" s="1059" t="e">
        <f>+((U394*'COKE OVENS'!#REF!)+(V394*'COKE OVENS'!#REF!))/'COKE OVENS'!#REF!</f>
        <v>#REF!</v>
      </c>
      <c r="Y394" s="1980">
        <v>9.0826086956521728</v>
      </c>
      <c r="Z394" s="1059" t="e">
        <f>+((X394*'COKE OVENS'!#REF!)+(Y394*'COKE OVENS'!#REF!))/'COKE OVENS'!#REF!</f>
        <v>#REF!</v>
      </c>
      <c r="AA394" s="1980">
        <v>9.4928571428571438</v>
      </c>
      <c r="AB394" s="1059" t="e">
        <f>+((Z394*'COKE OVENS'!#REF!)+(AA394*'COKE OVENS'!#REF!))/'COKE OVENS'!#REF!</f>
        <v>#REF!</v>
      </c>
      <c r="AC394" s="1980">
        <v>9.215789473684211</v>
      </c>
      <c r="AD394" s="1058" t="e">
        <f>+((Y394*'COKE OVENS'!#REF!)+(AA394*'COKE OVENS'!#REF!)+(AC394*'COKE OVENS'!#REF!))/'COKE OVENS'!#REF!</f>
        <v>#REF!</v>
      </c>
      <c r="AE394" s="1060" t="e">
        <f>+((W394*'COKE OVENS'!#REF!)+(AD394*'COKE OVENS'!#REF!))/'COKE OVENS'!#REF!</f>
        <v>#REF!</v>
      </c>
      <c r="AF394" s="2627" t="e">
        <f>+((AB394*'COKE OVENS'!#REF!)+(AC394*'COKE OVENS'!#REF!))/'COKE OVENS'!#REF!</f>
        <v>#REF!</v>
      </c>
    </row>
    <row r="395" spans="4:38" ht="35" customHeight="1" x14ac:dyDescent="0.25">
      <c r="D395" s="1043"/>
      <c r="E395" s="1055" t="s">
        <v>252</v>
      </c>
      <c r="F395" s="3307">
        <v>9.0307692307692307</v>
      </c>
      <c r="G395" s="3307">
        <v>9.1222222222222218</v>
      </c>
      <c r="H395" s="1059">
        <f>+((F395*'COKE OVENS'!$E$111)+(G395*'COKE OVENS'!$G$111))/'COKE OVENS'!$I$111</f>
        <v>9.0763097703325322</v>
      </c>
      <c r="I395" s="3307">
        <v>9.1849999999999987</v>
      </c>
      <c r="J395" s="1058">
        <f>+((H395*'COKE OVENS'!$I$111)+(I395*'COKE OVENS'!$K$111))/'COKE OVENS'!$M$111</f>
        <v>9.1145030656448807</v>
      </c>
      <c r="K395" s="3307">
        <v>9.1900000000000013</v>
      </c>
      <c r="L395" s="1059">
        <f>+((J395*'COKE OVENS'!$M$111)+(K395*'COKE OVENS'!$O$111))/'COKE OVENS'!$Q$111</f>
        <v>9.1348963586176577</v>
      </c>
      <c r="M395" s="3307">
        <v>9.5777777777777775</v>
      </c>
      <c r="N395" s="1059" t="e">
        <f>+((L395*'COKE OVENS'!$Q$111)+(M395*'COKE OVENS'!#REF!))/'COKE OVENS'!#REF!</f>
        <v>#REF!</v>
      </c>
      <c r="O395" s="3307">
        <v>9.02</v>
      </c>
      <c r="P395" s="1058" t="e">
        <f>+((K395*'COKE OVENS'!$O$111)+(M395*'COKE OVENS'!#REF!)+(O395*'COKE OVENS'!#REF!))/'COKE OVENS'!#REF!</f>
        <v>#REF!</v>
      </c>
      <c r="Q395" s="1060" t="e">
        <f>+((N395*'COKE OVENS'!#REF!)+(O395*'COKE OVENS'!#REF!))/'COKE OVENS'!#REF!</f>
        <v>#REF!</v>
      </c>
      <c r="R395" s="3307">
        <v>9.5625000000000018</v>
      </c>
      <c r="S395" s="1059" t="e">
        <f>+((Q395*'COKE OVENS'!#REF!)+(R395*'COKE OVENS'!#REF!))/'COKE OVENS'!#REF!</f>
        <v>#REF!</v>
      </c>
      <c r="T395" s="3307">
        <v>8.8714285714285701</v>
      </c>
      <c r="U395" s="1059" t="e">
        <f>+((S395*'COKE OVENS'!#REF!)+(T395*'COKE OVENS'!#REF!))/'COKE OVENS'!#REF!</f>
        <v>#REF!</v>
      </c>
      <c r="V395" s="3307">
        <v>9.3375000000000004</v>
      </c>
      <c r="W395" s="1058" t="e">
        <f>+((R395*'COKE OVENS'!#REF!)+(T395*'COKE OVENS'!#REF!)+(V395*'COKE OVENS'!#REF!))/'COKE OVENS'!#REF!</f>
        <v>#REF!</v>
      </c>
      <c r="X395" s="1059" t="e">
        <f>+((U395*'COKE OVENS'!#REF!)+(V395*'COKE OVENS'!#REF!))/'COKE OVENS'!#REF!</f>
        <v>#REF!</v>
      </c>
      <c r="Y395" s="3307">
        <v>9.3565217391304323</v>
      </c>
      <c r="Z395" s="1059" t="e">
        <f>+((X395*'COKE OVENS'!#REF!)+(Y395*'COKE OVENS'!#REF!))/'COKE OVENS'!#REF!</f>
        <v>#REF!</v>
      </c>
      <c r="AA395" s="3307">
        <v>9.06</v>
      </c>
      <c r="AB395" s="1059" t="e">
        <f>+((Z395*'COKE OVENS'!#REF!)+(AA395*'COKE OVENS'!#REF!))/'COKE OVENS'!#REF!</f>
        <v>#REF!</v>
      </c>
      <c r="AC395" s="3307">
        <v>9.1105263157894747</v>
      </c>
      <c r="AD395" s="1058" t="e">
        <f>+((Y395*'COKE OVENS'!#REF!)+(AA395*'COKE OVENS'!#REF!)+(AC395*'COKE OVENS'!#REF!))/'COKE OVENS'!#REF!</f>
        <v>#REF!</v>
      </c>
      <c r="AE395" s="1060" t="e">
        <f>+((W395*'COKE OVENS'!#REF!)+(AD395*'COKE OVENS'!#REF!))/'COKE OVENS'!#REF!</f>
        <v>#REF!</v>
      </c>
      <c r="AF395" s="2627" t="e">
        <f>+((AB395*'COKE OVENS'!#REF!)+(AC395*'COKE OVENS'!#REF!))/'COKE OVENS'!#REF!</f>
        <v>#REF!</v>
      </c>
    </row>
    <row r="396" spans="4:38" ht="35" customHeight="1" x14ac:dyDescent="0.25">
      <c r="D396" s="1043"/>
      <c r="E396" s="1055" t="s">
        <v>253</v>
      </c>
      <c r="F396" s="3307">
        <v>23.523076923076925</v>
      </c>
      <c r="G396" s="3307">
        <v>23.155555555555555</v>
      </c>
      <c r="H396" s="1059">
        <f>+((F396*'COKE OVENS'!$E$111)+(G396*'COKE OVENS'!$G$111))/'COKE OVENS'!$I$111</f>
        <v>23.340063539785149</v>
      </c>
      <c r="I396" s="3307">
        <v>24.14</v>
      </c>
      <c r="J396" s="1058">
        <f>+((H396*'COKE OVENS'!$I$111)+(I396*'COKE OVENS'!$K$111))/'COKE OVENS'!$M$111</f>
        <v>23.621157889751775</v>
      </c>
      <c r="K396" s="3307">
        <v>22.980000000000004</v>
      </c>
      <c r="L396" s="1059">
        <f>+((J396*'COKE OVENS'!$M$111)+(K396*'COKE OVENS'!$O$111))/'COKE OVENS'!$Q$111</f>
        <v>23.447967801979303</v>
      </c>
      <c r="M396" s="3307">
        <v>22.605555555555554</v>
      </c>
      <c r="N396" s="1059" t="e">
        <f>+((L396*'COKE OVENS'!$Q$111)+(M396*'COKE OVENS'!#REF!))/'COKE OVENS'!#REF!</f>
        <v>#REF!</v>
      </c>
      <c r="O396" s="3307">
        <v>22.66</v>
      </c>
      <c r="P396" s="1058" t="e">
        <f>+((K396*'COKE OVENS'!$O$111)+(M396*'COKE OVENS'!#REF!)+(O396*'COKE OVENS'!#REF!))/'COKE OVENS'!#REF!</f>
        <v>#REF!</v>
      </c>
      <c r="Q396" s="1060" t="e">
        <f>+((N396*'COKE OVENS'!#REF!)+(O396*'COKE OVENS'!#REF!))/'COKE OVENS'!#REF!</f>
        <v>#REF!</v>
      </c>
      <c r="R396" s="3307">
        <v>22.781250000000004</v>
      </c>
      <c r="S396" s="1059" t="e">
        <f>+((Q396*'COKE OVENS'!#REF!)+(R396*'COKE OVENS'!#REF!))/'COKE OVENS'!#REF!</f>
        <v>#REF!</v>
      </c>
      <c r="T396" s="3307">
        <v>23.164285714285715</v>
      </c>
      <c r="U396" s="1059" t="e">
        <f>+((S396*'COKE OVENS'!#REF!)+(T396*'COKE OVENS'!#REF!))/'COKE OVENS'!#REF!</f>
        <v>#REF!</v>
      </c>
      <c r="V396" s="3307">
        <v>22.920833333333334</v>
      </c>
      <c r="W396" s="1058" t="e">
        <f>+((R396*'COKE OVENS'!#REF!)+(T396*'COKE OVENS'!#REF!)+(V396*'COKE OVENS'!#REF!))/'COKE OVENS'!#REF!</f>
        <v>#REF!</v>
      </c>
      <c r="X396" s="1059" t="e">
        <f>+((U396*'COKE OVENS'!#REF!)+(V396*'COKE OVENS'!#REF!))/'COKE OVENS'!#REF!</f>
        <v>#REF!</v>
      </c>
      <c r="Y396" s="3307">
        <v>23.521739130434781</v>
      </c>
      <c r="Z396" s="1059" t="e">
        <f>+((X396*'COKE OVENS'!#REF!)+(Y396*'COKE OVENS'!#REF!))/'COKE OVENS'!#REF!</f>
        <v>#REF!</v>
      </c>
      <c r="AA396" s="3307">
        <v>23.113333333333333</v>
      </c>
      <c r="AB396" s="1059" t="e">
        <f>+((Z396*'COKE OVENS'!#REF!)+(AA396*'COKE OVENS'!#REF!))/'COKE OVENS'!#REF!</f>
        <v>#REF!</v>
      </c>
      <c r="AC396" s="3307">
        <v>23.236842105263158</v>
      </c>
      <c r="AD396" s="1058" t="e">
        <f>+((Y396*'COKE OVENS'!#REF!)+(AA396*'COKE OVENS'!#REF!)+(AC396*'COKE OVENS'!#REF!))/'COKE OVENS'!#REF!</f>
        <v>#REF!</v>
      </c>
      <c r="AE396" s="1060" t="e">
        <f>+((W396*'COKE OVENS'!#REF!)+(AD396*'COKE OVENS'!#REF!))/'COKE OVENS'!#REF!</f>
        <v>#REF!</v>
      </c>
      <c r="AF396" s="2627" t="e">
        <f>+((AB396*'COKE OVENS'!#REF!)+(AC396*'COKE OVENS'!#REF!))/'COKE OVENS'!#REF!</f>
        <v>#REF!</v>
      </c>
    </row>
    <row r="397" spans="4:38" s="3170" customFormat="1" ht="35" customHeight="1" x14ac:dyDescent="0.35">
      <c r="D397" s="4123"/>
      <c r="E397" s="4127" t="s">
        <v>2122</v>
      </c>
      <c r="F397" s="4129"/>
      <c r="G397" s="4129"/>
      <c r="H397" s="3386"/>
      <c r="I397" s="4129"/>
      <c r="J397" s="3242"/>
      <c r="K397" s="4129"/>
      <c r="L397" s="3242"/>
      <c r="M397" s="4129"/>
      <c r="N397" s="3242"/>
      <c r="O397" s="4129"/>
      <c r="P397" s="4128"/>
      <c r="Q397" s="4129"/>
      <c r="R397" s="4129"/>
      <c r="S397" s="4129"/>
      <c r="T397" s="4129"/>
      <c r="U397" s="4129"/>
      <c r="V397" s="4129"/>
      <c r="W397" s="4130"/>
      <c r="X397" s="4130"/>
      <c r="Y397" s="4129"/>
      <c r="Z397" s="4129"/>
      <c r="AA397" s="4129"/>
      <c r="AB397" s="4130"/>
      <c r="AC397" s="4129"/>
      <c r="AD397" s="4130"/>
      <c r="AE397" s="3242"/>
      <c r="AF397" s="3242"/>
      <c r="AG397" s="4756"/>
      <c r="AH397" s="4756"/>
      <c r="AI397" s="4756"/>
      <c r="AJ397" s="4756"/>
      <c r="AK397" s="4756"/>
      <c r="AL397" s="4756"/>
    </row>
    <row r="398" spans="4:38" ht="35" customHeight="1" x14ac:dyDescent="0.25">
      <c r="D398" s="1043"/>
      <c r="E398" s="1055" t="s">
        <v>251</v>
      </c>
      <c r="F398" s="3296"/>
      <c r="G398" s="3296"/>
      <c r="H398" s="1059">
        <f>+((F398*'COKE OVENS'!$E$130)+(G398*'COKE OVENS'!$G$130))/'COKE OVENS'!$I$130</f>
        <v>0</v>
      </c>
      <c r="I398" s="3296"/>
      <c r="J398" s="1058">
        <f>+((H398*'COKE OVENS'!$I$130)+(I398*'COKE OVENS'!$K$130))/'COKE OVENS'!$M$130</f>
        <v>0</v>
      </c>
      <c r="K398" s="3296">
        <v>9.6999999999999993</v>
      </c>
      <c r="L398" s="1059">
        <f>+((J398*'COKE OVENS'!$M$130)+(K398*'COKE OVENS'!$O$130))/'COKE OVENS'!$Q$130</f>
        <v>0.99214728784479334</v>
      </c>
      <c r="M398" s="3296"/>
      <c r="N398" s="1059" t="e">
        <f>+((L398*'COKE OVENS'!$Q$130)+(M398*'COKE OVENS'!#REF!))/'COKE OVENS'!#REF!</f>
        <v>#REF!</v>
      </c>
      <c r="O398" s="3296"/>
      <c r="P398" s="1058" t="e">
        <f>+((K398*'COKE OVENS'!$O$130)+(M398*'COKE OVENS'!#REF!)+(O398*'COKE OVENS'!#REF!))/'COKE OVENS'!#REF!</f>
        <v>#REF!</v>
      </c>
      <c r="Q398" s="1060" t="e">
        <f>+((N398*'COKE OVENS'!#REF!)+(O398*'COKE OVENS'!#REF!))/'COKE OVENS'!#REF!</f>
        <v>#REF!</v>
      </c>
      <c r="R398" s="3296"/>
      <c r="S398" s="1059" t="e">
        <f>+((Q398*'COKE OVENS'!#REF!)+(R398*'COKE OVENS'!#REF!))/'COKE OVENS'!#REF!</f>
        <v>#REF!</v>
      </c>
      <c r="T398" s="3296"/>
      <c r="U398" s="1059" t="e">
        <f>+((S398*'COKE OVENS'!#REF!)+(T398*'COKE OVENS'!#REF!))/'COKE OVENS'!#REF!</f>
        <v>#REF!</v>
      </c>
      <c r="V398" s="3296"/>
      <c r="W398" s="1058" t="e">
        <f>+((R398*'COKE OVENS'!#REF!)+(T398*'COKE OVENS'!#REF!)+(V398*'COKE OVENS'!#REF!))/'COKE OVENS'!#REF!</f>
        <v>#REF!</v>
      </c>
      <c r="X398" s="3075" t="e">
        <f>+((U398*'COKE OVENS'!#REF!)+(V398*'COKE OVENS'!#REF!))/'COKE OVENS'!#REF!</f>
        <v>#REF!</v>
      </c>
      <c r="Y398" s="3296"/>
      <c r="Z398" s="1059" t="e">
        <f>+((X398*'COKE OVENS'!#REF!)+(Y398*'COKE OVENS'!#REF!))/'COKE OVENS'!#REF!</f>
        <v>#REF!</v>
      </c>
      <c r="AA398" s="3296"/>
      <c r="AB398" s="1059" t="e">
        <f>+((Z398*'COKE OVENS'!#REF!)+(AA398*'COKE OVENS'!#REF!))/'COKE OVENS'!#REF!</f>
        <v>#REF!</v>
      </c>
      <c r="AC398" s="3296"/>
      <c r="AD398" s="1058" t="e">
        <f>+((Y398*'COKE OVENS'!#REF!)+(AA398*'COKE OVENS'!#REF!)+(AC398*'COKE OVENS'!#REF!))/'COKE OVENS'!#REF!</f>
        <v>#REF!</v>
      </c>
      <c r="AE398" s="1060" t="e">
        <f>+((W398*'COKE OVENS'!#REF!)+(AD398*'COKE OVENS'!#REF!))/'COKE OVENS'!#REF!</f>
        <v>#REF!</v>
      </c>
      <c r="AF398" s="2627" t="e">
        <f>+((AB398*'COKE OVENS'!#REF!)+(AC398*'COKE OVENS'!#REF!))/'COKE OVENS'!#REF!</f>
        <v>#REF!</v>
      </c>
    </row>
    <row r="399" spans="4:38" ht="35" customHeight="1" x14ac:dyDescent="0.25">
      <c r="D399" s="1043"/>
      <c r="E399" s="1055" t="s">
        <v>252</v>
      </c>
      <c r="F399" s="1094"/>
      <c r="G399" s="1094"/>
      <c r="H399" s="1059">
        <f>+((F399*'COKE OVENS'!$E$130)+(G399*'COKE OVENS'!$G$130))/'COKE OVENS'!$I$130</f>
        <v>0</v>
      </c>
      <c r="I399" s="1094"/>
      <c r="J399" s="1058">
        <f>+((H399*'COKE OVENS'!$I$130)+(I399*'COKE OVENS'!$K$130))/'COKE OVENS'!$M$130</f>
        <v>0</v>
      </c>
      <c r="K399" s="1094">
        <v>8.0500000000000007</v>
      </c>
      <c r="L399" s="1059">
        <f>+((J399*'COKE OVENS'!$M$130)+(K399*'COKE OVENS'!$O$130))/'COKE OVENS'!$Q$130</f>
        <v>0.82337996568562766</v>
      </c>
      <c r="M399" s="1094"/>
      <c r="N399" s="1059" t="e">
        <f>+((L399*'COKE OVENS'!$Q$130)+(M399*'COKE OVENS'!#REF!))/'COKE OVENS'!#REF!</f>
        <v>#REF!</v>
      </c>
      <c r="O399" s="1094"/>
      <c r="P399" s="1058" t="e">
        <f>+((K399*'COKE OVENS'!$O$130)+(M399*'COKE OVENS'!#REF!)+(O399*'COKE OVENS'!#REF!))/'COKE OVENS'!#REF!</f>
        <v>#REF!</v>
      </c>
      <c r="Q399" s="1060" t="e">
        <f>+((N399*'COKE OVENS'!#REF!)+(O399*'COKE OVENS'!#REF!))/'COKE OVENS'!#REF!</f>
        <v>#REF!</v>
      </c>
      <c r="R399" s="1094"/>
      <c r="S399" s="1059" t="e">
        <f>+((Q399*'COKE OVENS'!#REF!)+(R399*'COKE OVENS'!#REF!))/'COKE OVENS'!#REF!</f>
        <v>#REF!</v>
      </c>
      <c r="T399" s="1094"/>
      <c r="U399" s="1059" t="e">
        <f>+((S399*'COKE OVENS'!#REF!)+(T399*'COKE OVENS'!#REF!))/'COKE OVENS'!#REF!</f>
        <v>#REF!</v>
      </c>
      <c r="V399" s="1094"/>
      <c r="W399" s="1058" t="e">
        <f>+((R399*'COKE OVENS'!#REF!)+(T399*'COKE OVENS'!#REF!)+(V399*'COKE OVENS'!#REF!))/'COKE OVENS'!#REF!</f>
        <v>#REF!</v>
      </c>
      <c r="X399" s="3075" t="e">
        <f>+((U399*'COKE OVENS'!#REF!)+(V399*'COKE OVENS'!#REF!))/'COKE OVENS'!#REF!</f>
        <v>#REF!</v>
      </c>
      <c r="Y399" s="1094"/>
      <c r="Z399" s="1059" t="e">
        <f>+((X399*'COKE OVENS'!#REF!)+(Y399*'COKE OVENS'!#REF!))/'COKE OVENS'!#REF!</f>
        <v>#REF!</v>
      </c>
      <c r="AA399" s="1094"/>
      <c r="AB399" s="1059" t="e">
        <f>+((Z399*'COKE OVENS'!#REF!)+(AA399*'COKE OVENS'!#REF!))/'COKE OVENS'!#REF!</f>
        <v>#REF!</v>
      </c>
      <c r="AC399" s="1094"/>
      <c r="AD399" s="1058" t="e">
        <f>+((Y399*'COKE OVENS'!#REF!)+(AA399*'COKE OVENS'!#REF!)+(AC399*'COKE OVENS'!#REF!))/'COKE OVENS'!#REF!</f>
        <v>#REF!</v>
      </c>
      <c r="AE399" s="1060" t="e">
        <f>+((W399*'COKE OVENS'!#REF!)+(AD399*'COKE OVENS'!#REF!))/'COKE OVENS'!#REF!</f>
        <v>#REF!</v>
      </c>
      <c r="AF399" s="2627" t="e">
        <f>+((AB399*'COKE OVENS'!#REF!)+(AC399*'COKE OVENS'!#REF!))/'COKE OVENS'!#REF!</f>
        <v>#REF!</v>
      </c>
    </row>
    <row r="400" spans="4:38" ht="35" customHeight="1" x14ac:dyDescent="0.25">
      <c r="D400" s="1043"/>
      <c r="E400" s="1055" t="s">
        <v>253</v>
      </c>
      <c r="F400" s="1094"/>
      <c r="G400" s="1094"/>
      <c r="H400" s="1059">
        <f>+((F400*'COKE OVENS'!$E$130)+(G400*'COKE OVENS'!$G$130))/'COKE OVENS'!$I$130</f>
        <v>0</v>
      </c>
      <c r="I400" s="1094"/>
      <c r="J400" s="1058">
        <f>+((H400*'COKE OVENS'!$I$130)+(I400*'COKE OVENS'!$K$130))/'COKE OVENS'!$M$130</f>
        <v>0</v>
      </c>
      <c r="K400" s="1094">
        <v>26.85</v>
      </c>
      <c r="L400" s="1059">
        <f>+((J400*'COKE OVENS'!$M$130)+(K400*'COKE OVENS'!$O$130))/'COKE OVENS'!$Q$130</f>
        <v>2.7463046060446086</v>
      </c>
      <c r="M400" s="1094"/>
      <c r="N400" s="1059" t="e">
        <f>+((L400*'COKE OVENS'!$Q$130)+(M400*'COKE OVENS'!#REF!))/'COKE OVENS'!#REF!</f>
        <v>#REF!</v>
      </c>
      <c r="O400" s="1094"/>
      <c r="P400" s="1058" t="e">
        <f>+((K400*'COKE OVENS'!$O$130)+(M400*'COKE OVENS'!#REF!)+(O400*'COKE OVENS'!#REF!))/'COKE OVENS'!#REF!</f>
        <v>#REF!</v>
      </c>
      <c r="Q400" s="1060" t="e">
        <f>+((N400*'COKE OVENS'!#REF!)+(O400*'COKE OVENS'!#REF!))/'COKE OVENS'!#REF!</f>
        <v>#REF!</v>
      </c>
      <c r="R400" s="1094"/>
      <c r="S400" s="1059" t="e">
        <f>+((Q400*'COKE OVENS'!#REF!)+(R400*'COKE OVENS'!#REF!))/'COKE OVENS'!#REF!</f>
        <v>#REF!</v>
      </c>
      <c r="T400" s="1094"/>
      <c r="U400" s="1059" t="e">
        <f>+((S400*'COKE OVENS'!#REF!)+(T400*'COKE OVENS'!#REF!))/'COKE OVENS'!#REF!</f>
        <v>#REF!</v>
      </c>
      <c r="V400" s="1094"/>
      <c r="W400" s="1058" t="e">
        <f>+((R400*'COKE OVENS'!#REF!)+(T400*'COKE OVENS'!#REF!)+(V400*'COKE OVENS'!#REF!))/'COKE OVENS'!#REF!</f>
        <v>#REF!</v>
      </c>
      <c r="X400" s="3075" t="e">
        <f>+((U400*'COKE OVENS'!#REF!)+(V400*'COKE OVENS'!#REF!))/'COKE OVENS'!#REF!</f>
        <v>#REF!</v>
      </c>
      <c r="Y400" s="1094"/>
      <c r="Z400" s="1059" t="e">
        <f>+((X400*'COKE OVENS'!#REF!)+(Y400*'COKE OVENS'!#REF!))/'COKE OVENS'!#REF!</f>
        <v>#REF!</v>
      </c>
      <c r="AA400" s="1094"/>
      <c r="AB400" s="1059" t="e">
        <f>+((Z400*'COKE OVENS'!#REF!)+(AA400*'COKE OVENS'!#REF!))/'COKE OVENS'!#REF!</f>
        <v>#REF!</v>
      </c>
      <c r="AC400" s="1094"/>
      <c r="AD400" s="1058" t="e">
        <f>+((Y400*'COKE OVENS'!#REF!)+(AA400*'COKE OVENS'!#REF!)+(AC400*'COKE OVENS'!#REF!))/'COKE OVENS'!#REF!</f>
        <v>#REF!</v>
      </c>
      <c r="AE400" s="1060" t="e">
        <f>+((W400*'COKE OVENS'!#REF!)+(AD400*'COKE OVENS'!#REF!))/'COKE OVENS'!#REF!</f>
        <v>#REF!</v>
      </c>
      <c r="AF400" s="2627" t="e">
        <f>+((AB400*'COKE OVENS'!#REF!)+(AC400*'COKE OVENS'!#REF!))/'COKE OVENS'!#REF!</f>
        <v>#REF!</v>
      </c>
    </row>
    <row r="401" spans="4:38" s="3170" customFormat="1" ht="35" customHeight="1" x14ac:dyDescent="0.35">
      <c r="D401" s="4123"/>
      <c r="E401" s="4127" t="s">
        <v>255</v>
      </c>
      <c r="F401" s="3386"/>
      <c r="G401" s="3386"/>
      <c r="H401" s="3386"/>
      <c r="I401" s="3386"/>
      <c r="J401" s="3242"/>
      <c r="K401" s="3386"/>
      <c r="L401" s="3242"/>
      <c r="M401" s="3386"/>
      <c r="N401" s="3242"/>
      <c r="O401" s="3386"/>
      <c r="P401" s="3242"/>
      <c r="Q401" s="3242"/>
      <c r="R401" s="3386"/>
      <c r="S401" s="3242"/>
      <c r="T401" s="3386"/>
      <c r="U401" s="3242"/>
      <c r="V401" s="3386"/>
      <c r="W401" s="3242"/>
      <c r="X401" s="3242"/>
      <c r="Y401" s="3386"/>
      <c r="Z401" s="3242"/>
      <c r="AA401" s="3386"/>
      <c r="AB401" s="3242"/>
      <c r="AC401" s="3386"/>
      <c r="AD401" s="3242"/>
      <c r="AE401" s="3242"/>
      <c r="AF401" s="3242"/>
      <c r="AG401" s="4756"/>
      <c r="AH401" s="4756"/>
      <c r="AI401" s="4756"/>
      <c r="AJ401" s="4756"/>
      <c r="AK401" s="4756"/>
      <c r="AL401" s="4756"/>
    </row>
    <row r="402" spans="4:38" ht="35" customHeight="1" x14ac:dyDescent="0.25">
      <c r="D402" s="1043"/>
      <c r="E402" s="1055" t="s">
        <v>251</v>
      </c>
      <c r="F402" s="1980">
        <v>9.15</v>
      </c>
      <c r="G402" s="1980">
        <v>8.75</v>
      </c>
      <c r="H402" s="1059">
        <f>+((F402*'COKE OVENS'!$E$115)+(G402*'COKE OVENS'!$G$115))/'COKE OVENS'!$I$115</f>
        <v>8.9333747260774281</v>
      </c>
      <c r="I402" s="1980">
        <v>8.75</v>
      </c>
      <c r="J402" s="1058">
        <f>+((H402*'COKE OVENS'!$I$115)+(I402*'COKE OVENS'!$K$115))/'COKE OVENS'!$M$115</f>
        <v>8.8609765262366817</v>
      </c>
      <c r="K402" s="1980">
        <v>9.4874999999999989</v>
      </c>
      <c r="L402" s="1059">
        <f>+((J402*'COKE OVENS'!$M$115)+(K402*'COKE OVENS'!$O$115))/'COKE OVENS'!$Q$115</f>
        <v>9.064563936138466</v>
      </c>
      <c r="M402" s="1980">
        <v>9.7875000000000014</v>
      </c>
      <c r="N402" s="1059" t="e">
        <f>+((L402*'COKE OVENS'!$Q$115)+(M402*'COKE OVENS'!#REF!))/'COKE OVENS'!#REF!</f>
        <v>#REF!</v>
      </c>
      <c r="O402" s="1980">
        <v>9.14</v>
      </c>
      <c r="P402" s="1058" t="e">
        <f>+((K402*'COKE OVENS'!$O$115)+(M402*'COKE OVENS'!#REF!)+(O402*'COKE OVENS'!#REF!))/'COKE OVENS'!#REF!</f>
        <v>#REF!</v>
      </c>
      <c r="Q402" s="1060" t="e">
        <f>+((N402*'COKE OVENS'!#REF!)+(O402*'COKE OVENS'!#REF!))/'COKE OVENS'!#REF!</f>
        <v>#REF!</v>
      </c>
      <c r="R402" s="1980">
        <v>9.6142857142857139</v>
      </c>
      <c r="S402" s="1059" t="e">
        <f>+((Q402*'COKE OVENS'!#REF!)+(R402*'COKE OVENS'!#REF!))/'COKE OVENS'!#REF!</f>
        <v>#REF!</v>
      </c>
      <c r="T402" s="1980">
        <v>8.7749999999999986</v>
      </c>
      <c r="U402" s="1059" t="e">
        <f>+((S402*'COKE OVENS'!#REF!)+(T402*'COKE OVENS'!#REF!))/'COKE OVENS'!#REF!</f>
        <v>#REF!</v>
      </c>
      <c r="V402" s="1980">
        <v>8.8000000000000007</v>
      </c>
      <c r="W402" s="1058" t="e">
        <f>+((R402*'COKE OVENS'!#REF!)+(T402*'COKE OVENS'!#REF!)+(V402*'COKE OVENS'!#REF!))/'COKE OVENS'!#REF!</f>
        <v>#REF!</v>
      </c>
      <c r="X402" s="1059" t="e">
        <f>+((U402*'COKE OVENS'!#REF!)+(V402*'COKE OVENS'!#REF!))/'COKE OVENS'!#REF!</f>
        <v>#REF!</v>
      </c>
      <c r="Y402" s="1980">
        <v>9.0166666666666657</v>
      </c>
      <c r="Z402" s="1059" t="e">
        <f>+((X402*'COKE OVENS'!#REF!)+(Y402*'COKE OVENS'!#REF!))/'COKE OVENS'!#REF!</f>
        <v>#REF!</v>
      </c>
      <c r="AA402" s="1980">
        <v>9.25</v>
      </c>
      <c r="AB402" s="1059" t="e">
        <f>+((Z402*'COKE OVENS'!#REF!)+(AA402*'COKE OVENS'!#REF!))/'COKE OVENS'!#REF!</f>
        <v>#REF!</v>
      </c>
      <c r="AC402" s="1980">
        <v>8.5666666666666682</v>
      </c>
      <c r="AD402" s="1058" t="e">
        <f>+((Y402*'COKE OVENS'!#REF!)+(AA402*'COKE OVENS'!#REF!)+(AC402*'COKE OVENS'!#REF!))/'COKE OVENS'!#REF!</f>
        <v>#REF!</v>
      </c>
      <c r="AE402" s="1060" t="e">
        <f>+((W402*'COKE OVENS'!#REF!)+(AD402*'COKE OVENS'!#REF!))/'COKE OVENS'!#REF!</f>
        <v>#REF!</v>
      </c>
      <c r="AF402" s="2627" t="e">
        <f>+((AB402*'COKE OVENS'!#REF!)+(AC402*'COKE OVENS'!#REF!))/'COKE OVENS'!#REF!</f>
        <v>#REF!</v>
      </c>
    </row>
    <row r="403" spans="4:38" ht="35" customHeight="1" x14ac:dyDescent="0.25">
      <c r="D403" s="1043"/>
      <c r="E403" s="1055" t="s">
        <v>252</v>
      </c>
      <c r="F403" s="3307">
        <v>8.9499999999999993</v>
      </c>
      <c r="G403" s="3307">
        <v>8.0750000000000011</v>
      </c>
      <c r="H403" s="1059">
        <f>+((F403*'COKE OVENS'!$E$115)+(G403*'COKE OVENS'!$G$115))/'COKE OVENS'!$I$115</f>
        <v>8.4761322132943757</v>
      </c>
      <c r="I403" s="3307">
        <v>8.2999999999999989</v>
      </c>
      <c r="J403" s="1058">
        <f>+((H403*'COKE OVENS'!$I$115)+(I403*'COKE OVENS'!$K$115))/'COKE OVENS'!$M$115</f>
        <v>8.4065934308828076</v>
      </c>
      <c r="K403" s="3307">
        <v>8.6374999999999993</v>
      </c>
      <c r="L403" s="1059">
        <f>+((J403*'COKE OVENS'!$M$115)+(K403*'COKE OVENS'!$O$115))/'COKE OVENS'!$Q$115</f>
        <v>8.4816260071620402</v>
      </c>
      <c r="M403" s="3307">
        <v>8.6</v>
      </c>
      <c r="N403" s="1059" t="e">
        <f>+((L403*'COKE OVENS'!$Q$115)+(M403*'COKE OVENS'!#REF!))/'COKE OVENS'!#REF!</f>
        <v>#REF!</v>
      </c>
      <c r="O403" s="3307">
        <v>9.3199999999999985</v>
      </c>
      <c r="P403" s="1058" t="e">
        <f>+((K403*'COKE OVENS'!$O$115)+(M403*'COKE OVENS'!#REF!)+(O403*'COKE OVENS'!#REF!))/'COKE OVENS'!#REF!</f>
        <v>#REF!</v>
      </c>
      <c r="Q403" s="1060" t="e">
        <f>+((N403*'COKE OVENS'!#REF!)+(O403*'COKE OVENS'!#REF!))/'COKE OVENS'!#REF!</f>
        <v>#REF!</v>
      </c>
      <c r="R403" s="3307">
        <v>8.8571428571428559</v>
      </c>
      <c r="S403" s="1059" t="e">
        <f>+((Q403*'COKE OVENS'!#REF!)+(R403*'COKE OVENS'!#REF!))/'COKE OVENS'!#REF!</f>
        <v>#REF!</v>
      </c>
      <c r="T403" s="3307">
        <v>7.8</v>
      </c>
      <c r="U403" s="1059" t="e">
        <f>+((S403*'COKE OVENS'!#REF!)+(T403*'COKE OVENS'!#REF!))/'COKE OVENS'!#REF!</f>
        <v>#REF!</v>
      </c>
      <c r="V403" s="3307">
        <v>8.5571428571428552</v>
      </c>
      <c r="W403" s="1058" t="e">
        <f>+((R403*'COKE OVENS'!#REF!)+(T403*'COKE OVENS'!#REF!)+(V403*'COKE OVENS'!#REF!))/'COKE OVENS'!#REF!</f>
        <v>#REF!</v>
      </c>
      <c r="X403" s="1059" t="e">
        <f>+((U403*'COKE OVENS'!#REF!)+(V403*'COKE OVENS'!#REF!))/'COKE OVENS'!#REF!</f>
        <v>#REF!</v>
      </c>
      <c r="Y403" s="3307">
        <v>8.4833333333333325</v>
      </c>
      <c r="Z403" s="1059" t="e">
        <f>+((X403*'COKE OVENS'!#REF!)+(Y403*'COKE OVENS'!#REF!))/'COKE OVENS'!#REF!</f>
        <v>#REF!</v>
      </c>
      <c r="AA403" s="3307">
        <v>8.1</v>
      </c>
      <c r="AB403" s="1059" t="e">
        <f>+((Z403*'COKE OVENS'!#REF!)+(AA403*'COKE OVENS'!#REF!))/'COKE OVENS'!#REF!</f>
        <v>#REF!</v>
      </c>
      <c r="AC403" s="3307">
        <v>7.6000000000000005</v>
      </c>
      <c r="AD403" s="1058" t="e">
        <f>+((Y403*'COKE OVENS'!#REF!)+(AA403*'COKE OVENS'!#REF!)+(AC403*'COKE OVENS'!#REF!))/'COKE OVENS'!#REF!</f>
        <v>#REF!</v>
      </c>
      <c r="AE403" s="1060" t="e">
        <f>+((W403*'COKE OVENS'!#REF!)+(AD403*'COKE OVENS'!#REF!))/'COKE OVENS'!#REF!</f>
        <v>#REF!</v>
      </c>
      <c r="AF403" s="2627" t="e">
        <f>+((AB403*'COKE OVENS'!#REF!)+(AC403*'COKE OVENS'!#REF!))/'COKE OVENS'!#REF!</f>
        <v>#REF!</v>
      </c>
    </row>
    <row r="404" spans="4:38" ht="35" customHeight="1" x14ac:dyDescent="0.25">
      <c r="D404" s="1043"/>
      <c r="E404" s="1055" t="s">
        <v>253</v>
      </c>
      <c r="F404" s="3307">
        <v>24.4</v>
      </c>
      <c r="G404" s="3307">
        <v>26.525000000000002</v>
      </c>
      <c r="H404" s="1059">
        <f>+((F404*'COKE OVENS'!$E$115)+(G404*'COKE OVENS'!$G$115))/'COKE OVENS'!$I$115</f>
        <v>25.550821767713661</v>
      </c>
      <c r="I404" s="3307">
        <v>27.116666666666664</v>
      </c>
      <c r="J404" s="1058">
        <f>+((H404*'COKE OVENS'!$I$115)+(I404*'COKE OVENS'!$K$115))/'COKE OVENS'!$M$115</f>
        <v>26.169033199239642</v>
      </c>
      <c r="K404" s="3307">
        <v>25.5625</v>
      </c>
      <c r="L404" s="1059">
        <f>+((J404*'COKE OVENS'!$M$115)+(K404*'COKE OVENS'!$O$115))/'COKE OVENS'!$Q$115</f>
        <v>25.971941584601609</v>
      </c>
      <c r="M404" s="3307">
        <v>26.212499999999999</v>
      </c>
      <c r="N404" s="1059" t="e">
        <f>+((L404*'COKE OVENS'!$Q$115)+(M404*'COKE OVENS'!#REF!))/'COKE OVENS'!#REF!</f>
        <v>#REF!</v>
      </c>
      <c r="O404" s="3307">
        <v>25.939999999999998</v>
      </c>
      <c r="P404" s="1058" t="e">
        <f>+((K404*'COKE OVENS'!$O$115)+(M404*'COKE OVENS'!#REF!)+(O404*'COKE OVENS'!#REF!))/'COKE OVENS'!#REF!</f>
        <v>#REF!</v>
      </c>
      <c r="Q404" s="1060" t="e">
        <f>+((N404*'COKE OVENS'!#REF!)+(O404*'COKE OVENS'!#REF!))/'COKE OVENS'!#REF!</f>
        <v>#REF!</v>
      </c>
      <c r="R404" s="3307">
        <v>25.757142857142863</v>
      </c>
      <c r="S404" s="1059" t="e">
        <f>+((Q404*'COKE OVENS'!#REF!)+(R404*'COKE OVENS'!#REF!))/'COKE OVENS'!#REF!</f>
        <v>#REF!</v>
      </c>
      <c r="T404" s="3307">
        <v>25.85</v>
      </c>
      <c r="U404" s="1059" t="e">
        <f>+((S404*'COKE OVENS'!#REF!)+(T404*'COKE OVENS'!#REF!))/'COKE OVENS'!#REF!</f>
        <v>#REF!</v>
      </c>
      <c r="V404" s="3307">
        <v>25.685714285714287</v>
      </c>
      <c r="W404" s="1058" t="e">
        <f>+((R404*'COKE OVENS'!#REF!)+(T404*'COKE OVENS'!#REF!)+(V404*'COKE OVENS'!#REF!))/'COKE OVENS'!#REF!</f>
        <v>#REF!</v>
      </c>
      <c r="X404" s="1059" t="e">
        <f>+((U404*'COKE OVENS'!#REF!)+(V404*'COKE OVENS'!#REF!))/'COKE OVENS'!#REF!</f>
        <v>#REF!</v>
      </c>
      <c r="Y404" s="3307">
        <v>26.8</v>
      </c>
      <c r="Z404" s="1059" t="e">
        <f>+((X404*'COKE OVENS'!#REF!)+(Y404*'COKE OVENS'!#REF!))/'COKE OVENS'!#REF!</f>
        <v>#REF!</v>
      </c>
      <c r="AA404" s="3307">
        <v>25.379999999999995</v>
      </c>
      <c r="AB404" s="1059" t="e">
        <f>+((Z404*'COKE OVENS'!#REF!)+(AA404*'COKE OVENS'!#REF!))/'COKE OVENS'!#REF!</f>
        <v>#REF!</v>
      </c>
      <c r="AC404" s="3307">
        <v>24.766666666666666</v>
      </c>
      <c r="AD404" s="1058" t="e">
        <f>+((Y404*'COKE OVENS'!#REF!)+(AA404*'COKE OVENS'!#REF!)+(AC404*'COKE OVENS'!#REF!))/'COKE OVENS'!#REF!</f>
        <v>#REF!</v>
      </c>
      <c r="AE404" s="1060" t="e">
        <f>+((W404*'COKE OVENS'!#REF!)+(AD404*'COKE OVENS'!#REF!))/'COKE OVENS'!#REF!</f>
        <v>#REF!</v>
      </c>
      <c r="AF404" s="2627" t="e">
        <f>+((AB404*'COKE OVENS'!#REF!)+(AC404*'COKE OVENS'!#REF!))/'COKE OVENS'!#REF!</f>
        <v>#REF!</v>
      </c>
    </row>
    <row r="405" spans="4:38" s="3170" customFormat="1" ht="35" customHeight="1" x14ac:dyDescent="0.4">
      <c r="D405" s="4123"/>
      <c r="E405" s="4127" t="s">
        <v>1465</v>
      </c>
      <c r="F405" s="3242"/>
      <c r="G405" s="3242"/>
      <c r="H405" s="3242"/>
      <c r="I405" s="3242"/>
      <c r="J405" s="3242"/>
      <c r="K405" s="3242"/>
      <c r="L405" s="3242"/>
      <c r="M405" s="3242"/>
      <c r="N405" s="3242"/>
      <c r="O405" s="3242"/>
      <c r="P405" s="3242"/>
      <c r="Q405" s="3242"/>
      <c r="R405" s="3242"/>
      <c r="S405" s="3242"/>
      <c r="T405" s="3242"/>
      <c r="U405" s="3242"/>
      <c r="V405" s="3242"/>
      <c r="W405" s="3242"/>
      <c r="X405" s="3242"/>
      <c r="Y405" s="3242"/>
      <c r="Z405" s="3242"/>
      <c r="AA405" s="3242"/>
      <c r="AB405" s="3242"/>
      <c r="AC405" s="3242"/>
      <c r="AD405" s="3242"/>
      <c r="AE405" s="4125"/>
      <c r="AF405" s="4126"/>
      <c r="AG405" s="4756"/>
      <c r="AH405" s="4756"/>
      <c r="AI405" s="4756"/>
      <c r="AJ405" s="4756"/>
      <c r="AK405" s="4756"/>
      <c r="AL405" s="4756"/>
    </row>
    <row r="406" spans="4:38" ht="35" customHeight="1" x14ac:dyDescent="0.25">
      <c r="D406" s="1043"/>
      <c r="E406" s="1055" t="s">
        <v>251</v>
      </c>
      <c r="F406" s="3425">
        <v>9</v>
      </c>
      <c r="G406" s="3425">
        <v>8.1199999999999992</v>
      </c>
      <c r="H406" s="1059">
        <f>+((F406*'COKE OVENS'!$E$123)+(G406*'COKE OVENS'!$G$123))/'COKE OVENS'!$I$123</f>
        <v>8.5468887288440758</v>
      </c>
      <c r="I406" s="3425">
        <v>8.7000000000000011</v>
      </c>
      <c r="J406" s="2943">
        <f>+((H406*'COKE OVENS'!$I$123)+(I406*'COKE OVENS'!$K$123))/'COKE OVENS'!$M$123</f>
        <v>8.5983346284894502</v>
      </c>
      <c r="K406" s="3425">
        <v>8.2999999999999989</v>
      </c>
      <c r="L406" s="1059">
        <f>+((J406*'COKE OVENS'!$M$123)+(K406*'COKE OVENS'!$O$123))/'COKE OVENS'!$Q$123</f>
        <v>8.5252336575129188</v>
      </c>
      <c r="M406" s="3425">
        <v>9.3999999999999986</v>
      </c>
      <c r="N406" s="1059" t="e">
        <f>+((L406*'COKE OVENS'!$Q$123)+(M406*'COKE OVENS'!#REF!))/'COKE OVENS'!#REF!</f>
        <v>#REF!</v>
      </c>
      <c r="O406" s="3425">
        <v>9.6750000000000007</v>
      </c>
      <c r="P406" s="1058" t="e">
        <f>+((K406*'COKE OVENS'!$O$123)+(M406*'COKE OVENS'!#REF!)+(O406*'COKE OVENS'!#REF!))/'COKE OVENS'!#REF!</f>
        <v>#REF!</v>
      </c>
      <c r="Q406" s="1060" t="e">
        <f>+((N406*'COKE OVENS'!#REF!)+(O406*'COKE OVENS'!#REF!))/'COKE OVENS'!#REF!</f>
        <v>#REF!</v>
      </c>
      <c r="R406" s="3425">
        <v>9.65</v>
      </c>
      <c r="S406" s="1059" t="e">
        <f>+((Q406*'COKE OVENS'!#REF!)+(R406*'COKE OVENS'!#REF!))/'COKE OVENS'!#REF!</f>
        <v>#REF!</v>
      </c>
      <c r="T406" s="3425">
        <v>8.9499999999999993</v>
      </c>
      <c r="U406" s="1059" t="e">
        <f>+((S406*'COKE OVENS'!#REF!)+(T406*'COKE OVENS'!#REF!))/'COKE OVENS'!#REF!</f>
        <v>#REF!</v>
      </c>
      <c r="V406" s="3425">
        <v>9.48</v>
      </c>
      <c r="W406" s="1058" t="e">
        <f>+((R406*'COKE OVENS'!#REF!)+(T406*'COKE OVENS'!#REF!)+(V406*'COKE OVENS'!#REF!))/'COKE OVENS'!#REF!</f>
        <v>#REF!</v>
      </c>
      <c r="X406" s="1051" t="e">
        <f>+((U406*'COKE OVENS'!#REF!)+(V406*'COKE OVENS'!#REF!))/'COKE OVENS'!#REF!</f>
        <v>#REF!</v>
      </c>
      <c r="Y406" s="3425">
        <v>8.7000000000000011</v>
      </c>
      <c r="Z406" s="1059" t="e">
        <f>+((X406*'COKE OVENS'!#REF!)+(Y406*'COKE OVENS'!#REF!))/'COKE OVENS'!#REF!</f>
        <v>#REF!</v>
      </c>
      <c r="AA406" s="3425">
        <v>8.75</v>
      </c>
      <c r="AB406" s="1059" t="e">
        <f>+((Z406*'COKE OVENS'!#REF!)+(AA406*'COKE OVENS'!#REF!))/'COKE OVENS'!#REF!</f>
        <v>#REF!</v>
      </c>
      <c r="AC406" s="3425">
        <v>8.7750000000000004</v>
      </c>
      <c r="AD406" s="1058" t="e">
        <f>+((Y406*'COKE OVENS'!#REF!)+(AA406*'COKE OVENS'!#REF!)+(AC406*'COKE OVENS'!#REF!))/'COKE OVENS'!#REF!</f>
        <v>#REF!</v>
      </c>
      <c r="AE406" s="1060" t="e">
        <f>+((W406*'COKE OVENS'!#REF!)+(AD406*'COKE OVENS'!#REF!))/'COKE OVENS'!#REF!</f>
        <v>#REF!</v>
      </c>
      <c r="AF406" s="2627" t="e">
        <f>+((AB406*'COKE OVENS'!#REF!)+(AC406*'COKE OVENS'!#REF!))/'COKE OVENS'!#REF!</f>
        <v>#REF!</v>
      </c>
    </row>
    <row r="407" spans="4:38" ht="35" customHeight="1" x14ac:dyDescent="0.25">
      <c r="D407" s="1043"/>
      <c r="E407" s="1055" t="s">
        <v>252</v>
      </c>
      <c r="F407" s="3425">
        <v>7.45</v>
      </c>
      <c r="G407" s="3425">
        <v>7.5200000000000005</v>
      </c>
      <c r="H407" s="1059">
        <f>+((F407*'COKE OVENS'!$E$123)+(G407*'COKE OVENS'!$G$123))/'COKE OVENS'!$I$123</f>
        <v>7.486042942023766</v>
      </c>
      <c r="I407" s="3425">
        <v>8.0599999999999987</v>
      </c>
      <c r="J407" s="2943">
        <f>+((H407*'COKE OVENS'!$I$123)+(I407*'COKE OVENS'!$K$123))/'COKE OVENS'!$M$123</f>
        <v>7.6788944348137962</v>
      </c>
      <c r="K407" s="3425">
        <v>8.1499999999999986</v>
      </c>
      <c r="L407" s="1059">
        <f>+((J407*'COKE OVENS'!$M$123)+(K407*'COKE OVENS'!$O$123))/'COKE OVENS'!$Q$123</f>
        <v>7.7943294898120357</v>
      </c>
      <c r="M407" s="3425">
        <v>7.6749999999999998</v>
      </c>
      <c r="N407" s="1059" t="e">
        <f>+((L407*'COKE OVENS'!$Q$123)+(M407*'COKE OVENS'!#REF!))/'COKE OVENS'!#REF!</f>
        <v>#REF!</v>
      </c>
      <c r="O407" s="3425">
        <v>8.0500000000000007</v>
      </c>
      <c r="P407" s="1058" t="e">
        <f>+((K407*'COKE OVENS'!$O$123)+(M407*'COKE OVENS'!#REF!)+(O407*'COKE OVENS'!#REF!))/'COKE OVENS'!#REF!</f>
        <v>#REF!</v>
      </c>
      <c r="Q407" s="1060" t="e">
        <f>+((N407*'COKE OVENS'!#REF!)+(O407*'COKE OVENS'!#REF!))/'COKE OVENS'!#REF!</f>
        <v>#REF!</v>
      </c>
      <c r="R407" s="3425">
        <v>8.4374999999999982</v>
      </c>
      <c r="S407" s="1059" t="e">
        <f>+((Q407*'COKE OVENS'!#REF!)+(R407*'COKE OVENS'!#REF!))/'COKE OVENS'!#REF!</f>
        <v>#REF!</v>
      </c>
      <c r="T407" s="3425">
        <v>8.375</v>
      </c>
      <c r="U407" s="1059" t="e">
        <f>+((S407*'COKE OVENS'!#REF!)+(T407*'COKE OVENS'!#REF!))/'COKE OVENS'!#REF!</f>
        <v>#REF!</v>
      </c>
      <c r="V407" s="3425">
        <v>7.919999999999999</v>
      </c>
      <c r="W407" s="1058" t="e">
        <f>+((R407*'COKE OVENS'!#REF!)+(T407*'COKE OVENS'!#REF!)+(V407*'COKE OVENS'!#REF!))/'COKE OVENS'!#REF!</f>
        <v>#REF!</v>
      </c>
      <c r="X407" s="1051" t="e">
        <f>+((U407*'COKE OVENS'!#REF!)+(V407*'COKE OVENS'!#REF!))/'COKE OVENS'!#REF!</f>
        <v>#REF!</v>
      </c>
      <c r="Y407" s="3425">
        <v>7.6333333333333329</v>
      </c>
      <c r="Z407" s="1059" t="e">
        <f>+((X407*'COKE OVENS'!#REF!)+(Y407*'COKE OVENS'!#REF!))/'COKE OVENS'!#REF!</f>
        <v>#REF!</v>
      </c>
      <c r="AA407" s="3425">
        <v>7.9749999999999996</v>
      </c>
      <c r="AB407" s="1059" t="e">
        <f>+((Z407*'COKE OVENS'!#REF!)+(AA407*'COKE OVENS'!#REF!))/'COKE OVENS'!#REF!</f>
        <v>#REF!</v>
      </c>
      <c r="AC407" s="3425">
        <v>8.2249999999999996</v>
      </c>
      <c r="AD407" s="1058" t="e">
        <f>+((Y407*'COKE OVENS'!#REF!)+(AA407*'COKE OVENS'!#REF!)+(AC407*'COKE OVENS'!#REF!))/'COKE OVENS'!#REF!</f>
        <v>#REF!</v>
      </c>
      <c r="AE407" s="1060" t="e">
        <f>+((W407*'COKE OVENS'!#REF!)+(AD407*'COKE OVENS'!#REF!))/'COKE OVENS'!#REF!</f>
        <v>#REF!</v>
      </c>
      <c r="AF407" s="2627" t="e">
        <f>+((AB407*'COKE OVENS'!#REF!)+(AC407*'COKE OVENS'!#REF!))/'COKE OVENS'!#REF!</f>
        <v>#REF!</v>
      </c>
    </row>
    <row r="408" spans="4:38" ht="35" customHeight="1" x14ac:dyDescent="0.25">
      <c r="D408" s="1043"/>
      <c r="E408" s="1055" t="s">
        <v>253</v>
      </c>
      <c r="F408" s="3425">
        <v>30.375</v>
      </c>
      <c r="G408" s="3425">
        <v>33.160000000000004</v>
      </c>
      <c r="H408" s="1059">
        <f>+((F408*'COKE OVENS'!$E$123)+(G408*'COKE OVENS'!$G$123))/'COKE OVENS'!$I$123</f>
        <v>31.808994193374144</v>
      </c>
      <c r="I408" s="3425">
        <v>32.42</v>
      </c>
      <c r="J408" s="2943">
        <f>+((H408*'COKE OVENS'!$I$123)+(I408*'COKE OVENS'!$K$123))/'COKE OVENS'!$M$123</f>
        <v>32.014294189730407</v>
      </c>
      <c r="K408" s="3425">
        <v>33.224999999999994</v>
      </c>
      <c r="L408" s="1059">
        <f>+((J408*'COKE OVENS'!$M$123)+(K408*'COKE OVENS'!$O$123))/'COKE OVENS'!$Q$123</f>
        <v>32.310953584403272</v>
      </c>
      <c r="M408" s="3425">
        <v>34.075000000000003</v>
      </c>
      <c r="N408" s="1059" t="e">
        <f>+((L408*'COKE OVENS'!$Q$123)+(M408*'COKE OVENS'!#REF!))/'COKE OVENS'!#REF!</f>
        <v>#REF!</v>
      </c>
      <c r="O408" s="3425">
        <v>33.25</v>
      </c>
      <c r="P408" s="1058" t="e">
        <f>+((K408*'COKE OVENS'!$O$123)+(M408*'COKE OVENS'!#REF!)+(O408*'COKE OVENS'!#REF!))/'COKE OVENS'!#REF!</f>
        <v>#REF!</v>
      </c>
      <c r="Q408" s="1060" t="e">
        <f>+((N408*'COKE OVENS'!#REF!)+(O408*'COKE OVENS'!#REF!))/'COKE OVENS'!#REF!</f>
        <v>#REF!</v>
      </c>
      <c r="R408" s="3425">
        <v>33</v>
      </c>
      <c r="S408" s="1059" t="e">
        <f>+((Q408*'COKE OVENS'!#REF!)+(R408*'COKE OVENS'!#REF!))/'COKE OVENS'!#REF!</f>
        <v>#REF!</v>
      </c>
      <c r="T408" s="3425">
        <v>33.174999999999997</v>
      </c>
      <c r="U408" s="1059" t="e">
        <f>+((S408*'COKE OVENS'!#REF!)+(T408*'COKE OVENS'!#REF!))/'COKE OVENS'!#REF!</f>
        <v>#REF!</v>
      </c>
      <c r="V408" s="3425">
        <v>32.480000000000004</v>
      </c>
      <c r="W408" s="1058" t="e">
        <f>+((R408*'COKE OVENS'!#REF!)+(T408*'COKE OVENS'!#REF!)+(V408*'COKE OVENS'!#REF!))/'COKE OVENS'!#REF!</f>
        <v>#REF!</v>
      </c>
      <c r="X408" s="1051" t="e">
        <f>+((U408*'COKE OVENS'!#REF!)+(V408*'COKE OVENS'!#REF!))/'COKE OVENS'!#REF!</f>
        <v>#REF!</v>
      </c>
      <c r="Y408" s="3425">
        <v>33.333333333333336</v>
      </c>
      <c r="Z408" s="1059" t="e">
        <f>+((X408*'COKE OVENS'!#REF!)+(Y408*'COKE OVENS'!#REF!))/'COKE OVENS'!#REF!</f>
        <v>#REF!</v>
      </c>
      <c r="AA408" s="3425">
        <v>33</v>
      </c>
      <c r="AB408" s="1059" t="e">
        <f>+((Z408*'COKE OVENS'!#REF!)+(AA408*'COKE OVENS'!#REF!))/'COKE OVENS'!#REF!</f>
        <v>#REF!</v>
      </c>
      <c r="AC408" s="3425">
        <v>32.125</v>
      </c>
      <c r="AD408" s="1058" t="e">
        <f>+((Y408*'COKE OVENS'!#REF!)+(AA408*'COKE OVENS'!#REF!)+(AC408*'COKE OVENS'!#REF!))/'COKE OVENS'!#REF!</f>
        <v>#REF!</v>
      </c>
      <c r="AE408" s="1060" t="e">
        <f>+((W408*'COKE OVENS'!#REF!)+(AD408*'COKE OVENS'!#REF!))/'COKE OVENS'!#REF!</f>
        <v>#REF!</v>
      </c>
      <c r="AF408" s="2627" t="e">
        <f>+((AB408*'COKE OVENS'!#REF!)+(AC408*'COKE OVENS'!#REF!))/'COKE OVENS'!#REF!</f>
        <v>#REF!</v>
      </c>
    </row>
    <row r="409" spans="4:38" s="3170" customFormat="1" ht="35" hidden="1" customHeight="1" x14ac:dyDescent="0.4">
      <c r="D409" s="4123"/>
      <c r="E409" s="4124" t="s">
        <v>1369</v>
      </c>
      <c r="F409" s="3392"/>
      <c r="G409" s="3392"/>
      <c r="H409" s="3386"/>
      <c r="I409" s="3392"/>
      <c r="J409" s="3386"/>
      <c r="K409" s="3392"/>
      <c r="L409" s="3386"/>
      <c r="M409" s="3392"/>
      <c r="N409" s="3386"/>
      <c r="O409" s="3392"/>
      <c r="P409" s="3386"/>
      <c r="Q409" s="3386"/>
      <c r="R409" s="3392"/>
      <c r="S409" s="3386"/>
      <c r="T409" s="3392"/>
      <c r="U409" s="3386"/>
      <c r="V409" s="3392"/>
      <c r="W409" s="3386"/>
      <c r="X409" s="3386"/>
      <c r="Y409" s="3392"/>
      <c r="Z409" s="3386"/>
      <c r="AA409" s="3392"/>
      <c r="AB409" s="3386"/>
      <c r="AC409" s="3392"/>
      <c r="AD409" s="3386"/>
      <c r="AE409" s="4125"/>
      <c r="AF409" s="4126"/>
      <c r="AG409" s="4756"/>
      <c r="AH409" s="4756"/>
      <c r="AI409" s="4756"/>
      <c r="AJ409" s="4756"/>
      <c r="AK409" s="4756"/>
      <c r="AL409" s="4756"/>
    </row>
    <row r="410" spans="4:38" ht="35" hidden="1" customHeight="1" x14ac:dyDescent="0.25">
      <c r="D410" s="1043"/>
      <c r="E410" s="1055" t="s">
        <v>251</v>
      </c>
      <c r="F410" s="4166"/>
      <c r="G410" s="4166"/>
      <c r="H410" s="1059" t="e">
        <f>+((F410*'COKE OVENS'!$E$114)+(G410*'COKE OVENS'!$G$114))/'COKE OVENS'!$I$114</f>
        <v>#DIV/0!</v>
      </c>
      <c r="I410" s="4166"/>
      <c r="J410" s="2943" t="e">
        <f>+((H410*'COKE OVENS'!$I$114)+(I410*'COKE OVENS'!$K$114))/'COKE OVENS'!$M$114</f>
        <v>#DIV/0!</v>
      </c>
      <c r="K410" s="4166"/>
      <c r="L410" s="1059" t="e">
        <f>+((J410*'COKE OVENS'!$M$114)+(K410*'COKE OVENS'!$O$114))/'COKE OVENS'!$Q$114</f>
        <v>#DIV/0!</v>
      </c>
      <c r="M410" s="4166"/>
      <c r="N410" s="1059" t="e">
        <f>+((L410*'COKE OVENS'!$Q$114)+(M410*'COKE OVENS'!#REF!))/'COKE OVENS'!#REF!</f>
        <v>#DIV/0!</v>
      </c>
      <c r="O410" s="4166"/>
      <c r="P410" s="1058" t="e">
        <f>+((K410*'COKE OVENS'!$O$114)+(M410*'COKE OVENS'!#REF!)+(O410*'COKE OVENS'!#REF!))/'COKE OVENS'!#REF!</f>
        <v>#REF!</v>
      </c>
      <c r="Q410" s="1060" t="e">
        <f>+((N410*'COKE OVENS'!#REF!)+(O410*'COKE OVENS'!#REF!))/'COKE OVENS'!#REF!</f>
        <v>#DIV/0!</v>
      </c>
      <c r="R410" s="4166"/>
      <c r="S410" s="1059" t="e">
        <f>+((Q410*'COKE OVENS'!#REF!)+(R410*'COKE OVENS'!#REF!))/'COKE OVENS'!#REF!</f>
        <v>#DIV/0!</v>
      </c>
      <c r="T410" s="4166"/>
      <c r="U410" s="1059" t="e">
        <f>+((S410*'COKE OVENS'!#REF!)+(T410*'COKE OVENS'!#REF!))/'COKE OVENS'!#REF!</f>
        <v>#DIV/0!</v>
      </c>
      <c r="V410" s="4166"/>
      <c r="W410" s="1058" t="e">
        <f>+((R410*'COKE OVENS'!#REF!)+(T410*'COKE OVENS'!#REF!)+(V410*'COKE OVENS'!#REF!))/'COKE OVENS'!#REF!</f>
        <v>#REF!</v>
      </c>
      <c r="X410" s="1051" t="e">
        <f>+((U410*'COKE OVENS'!#REF!)+(V410*'COKE OVENS'!#REF!))/'COKE OVENS'!#REF!</f>
        <v>#DIV/0!</v>
      </c>
      <c r="Y410" s="4166"/>
      <c r="Z410" s="1059" t="e">
        <f>+((X410*'COKE OVENS'!#REF!)+(Y410*'COKE OVENS'!#REF!))/'COKE OVENS'!#REF!</f>
        <v>#DIV/0!</v>
      </c>
      <c r="AA410" s="4166"/>
      <c r="AB410" s="1059" t="e">
        <f>+((Z410*'COKE OVENS'!#REF!)+(AA410*'COKE OVENS'!#REF!))/'COKE OVENS'!#REF!</f>
        <v>#DIV/0!</v>
      </c>
      <c r="AC410" s="4166"/>
      <c r="AD410" s="1058" t="e">
        <f>+((Y410*'COKE OVENS'!#REF!)+(AA410*'COKE OVENS'!#REF!)+(AC410*'COKE OVENS'!#REF!))/'COKE OVENS'!#REF!</f>
        <v>#REF!</v>
      </c>
      <c r="AE410" s="1060" t="e">
        <f>+((W410*'COKE OVENS'!#REF!)+(AD410*'COKE OVENS'!#REF!))/'COKE OVENS'!#REF!</f>
        <v>#REF!</v>
      </c>
      <c r="AF410" s="2627" t="e">
        <f>+((AB410*'COKE OVENS'!#REF!)+(AC410*'COKE OVENS'!#REF!))/'COKE OVENS'!#REF!</f>
        <v>#DIV/0!</v>
      </c>
    </row>
    <row r="411" spans="4:38" ht="35" hidden="1" customHeight="1" x14ac:dyDescent="0.25">
      <c r="D411" s="1043"/>
      <c r="E411" s="1055" t="s">
        <v>252</v>
      </c>
      <c r="F411" s="1094"/>
      <c r="G411" s="1094"/>
      <c r="H411" s="1059" t="e">
        <f>+((F411*'COKE OVENS'!$E$114)+(G411*'COKE OVENS'!$G$114))/'COKE OVENS'!$I$114</f>
        <v>#DIV/0!</v>
      </c>
      <c r="I411" s="1094"/>
      <c r="J411" s="2943" t="e">
        <f>+((H411*'COKE OVENS'!$I$114)+(I411*'COKE OVENS'!$K$114))/'COKE OVENS'!$M$114</f>
        <v>#DIV/0!</v>
      </c>
      <c r="K411" s="1094"/>
      <c r="L411" s="1059" t="e">
        <f>+((J411*'COKE OVENS'!$M$114)+(K411*'COKE OVENS'!$O$114))/'COKE OVENS'!$Q$114</f>
        <v>#DIV/0!</v>
      </c>
      <c r="M411" s="1094"/>
      <c r="N411" s="1059" t="e">
        <f>+((L411*'COKE OVENS'!$Q$114)+(M411*'COKE OVENS'!#REF!))/'COKE OVENS'!#REF!</f>
        <v>#DIV/0!</v>
      </c>
      <c r="O411" s="1094"/>
      <c r="P411" s="1058" t="e">
        <f>+((K411*'COKE OVENS'!$O$114)+(M411*'COKE OVENS'!#REF!)+(O411*'COKE OVENS'!#REF!))/'COKE OVENS'!#REF!</f>
        <v>#REF!</v>
      </c>
      <c r="Q411" s="1060" t="e">
        <f>+((N411*'COKE OVENS'!#REF!)+(O411*'COKE OVENS'!#REF!))/'COKE OVENS'!#REF!</f>
        <v>#DIV/0!</v>
      </c>
      <c r="R411" s="1094"/>
      <c r="S411" s="1059" t="e">
        <f>+((Q411*'COKE OVENS'!#REF!)+(R411*'COKE OVENS'!#REF!))/'COKE OVENS'!#REF!</f>
        <v>#DIV/0!</v>
      </c>
      <c r="T411" s="1094"/>
      <c r="U411" s="1059" t="e">
        <f>+((S411*'COKE OVENS'!#REF!)+(T411*'COKE OVENS'!#REF!))/'COKE OVENS'!#REF!</f>
        <v>#DIV/0!</v>
      </c>
      <c r="V411" s="1094"/>
      <c r="W411" s="1058" t="e">
        <f>+((R411*'COKE OVENS'!#REF!)+(T411*'COKE OVENS'!#REF!)+(V411*'COKE OVENS'!#REF!))/'COKE OVENS'!#REF!</f>
        <v>#REF!</v>
      </c>
      <c r="X411" s="1051" t="e">
        <f>+((U411*'COKE OVENS'!#REF!)+(V411*'COKE OVENS'!#REF!))/'COKE OVENS'!#REF!</f>
        <v>#DIV/0!</v>
      </c>
      <c r="Y411" s="1094"/>
      <c r="Z411" s="1059" t="e">
        <f>+((X411*'COKE OVENS'!#REF!)+(Y411*'COKE OVENS'!#REF!))/'COKE OVENS'!#REF!</f>
        <v>#DIV/0!</v>
      </c>
      <c r="AA411" s="1094"/>
      <c r="AB411" s="1059" t="e">
        <f>+((Z411*'COKE OVENS'!#REF!)+(AA411*'COKE OVENS'!#REF!))/'COKE OVENS'!#REF!</f>
        <v>#DIV/0!</v>
      </c>
      <c r="AC411" s="1094"/>
      <c r="AD411" s="1058" t="e">
        <f>+((Y411*'COKE OVENS'!#REF!)+(AA411*'COKE OVENS'!#REF!)+(AC411*'COKE OVENS'!#REF!))/'COKE OVENS'!#REF!</f>
        <v>#REF!</v>
      </c>
      <c r="AE411" s="1060" t="e">
        <f>+((W411*'COKE OVENS'!#REF!)+(AD411*'COKE OVENS'!#REF!))/'COKE OVENS'!#REF!</f>
        <v>#REF!</v>
      </c>
      <c r="AF411" s="2627" t="e">
        <f>+((AB411*'COKE OVENS'!#REF!)+(AC411*'COKE OVENS'!#REF!))/'COKE OVENS'!#REF!</f>
        <v>#DIV/0!</v>
      </c>
    </row>
    <row r="412" spans="4:38" ht="35" hidden="1" customHeight="1" x14ac:dyDescent="0.25">
      <c r="D412" s="1043"/>
      <c r="E412" s="1055" t="s">
        <v>253</v>
      </c>
      <c r="F412" s="1094"/>
      <c r="G412" s="1094"/>
      <c r="H412" s="1059" t="e">
        <f>+((F412*'COKE OVENS'!$E$114)+(G412*'COKE OVENS'!$G$114))/'COKE OVENS'!$I$114</f>
        <v>#DIV/0!</v>
      </c>
      <c r="I412" s="1094"/>
      <c r="J412" s="2943" t="e">
        <f>+((H412*'COKE OVENS'!$I$114)+(I412*'COKE OVENS'!$K$114))/'COKE OVENS'!$M$114</f>
        <v>#DIV/0!</v>
      </c>
      <c r="K412" s="1094"/>
      <c r="L412" s="1059" t="e">
        <f>+((J412*'COKE OVENS'!$M$114)+(K412*'COKE OVENS'!$O$114))/'COKE OVENS'!$Q$114</f>
        <v>#DIV/0!</v>
      </c>
      <c r="M412" s="1094"/>
      <c r="N412" s="1059" t="e">
        <f>+((L412*'COKE OVENS'!$Q$114)+(M412*'COKE OVENS'!#REF!))/'COKE OVENS'!#REF!</f>
        <v>#DIV/0!</v>
      </c>
      <c r="O412" s="1094"/>
      <c r="P412" s="1052" t="e">
        <f>+((K412*'COKE OVENS'!$O$114)+(M412*'COKE OVENS'!#REF!)+(O412*'COKE OVENS'!#REF!))/'COKE OVENS'!#REF!</f>
        <v>#REF!</v>
      </c>
      <c r="Q412" s="1053" t="e">
        <f>+((N412*'COKE OVENS'!#REF!)+(O412*'COKE OVENS'!#REF!))/'COKE OVENS'!#REF!</f>
        <v>#DIV/0!</v>
      </c>
      <c r="R412" s="1094"/>
      <c r="S412" s="1059" t="e">
        <f>+((Q412*'COKE OVENS'!#REF!)+(R412*'COKE OVENS'!#REF!))/'COKE OVENS'!#REF!</f>
        <v>#DIV/0!</v>
      </c>
      <c r="T412" s="1094"/>
      <c r="U412" s="1059" t="e">
        <f>+((S412*'COKE OVENS'!#REF!)+(T412*'COKE OVENS'!#REF!))/'COKE OVENS'!#REF!</f>
        <v>#DIV/0!</v>
      </c>
      <c r="V412" s="1094"/>
      <c r="W412" s="1058" t="e">
        <f>+((R412*'COKE OVENS'!#REF!)+(T412*'COKE OVENS'!#REF!)+(V412*'COKE OVENS'!#REF!))/'COKE OVENS'!#REF!</f>
        <v>#REF!</v>
      </c>
      <c r="X412" s="1051" t="e">
        <f>+((U412*'COKE OVENS'!#REF!)+(V412*'COKE OVENS'!#REF!))/'COKE OVENS'!#REF!</f>
        <v>#DIV/0!</v>
      </c>
      <c r="Y412" s="1094"/>
      <c r="Z412" s="1059" t="e">
        <f>+((X412*'COKE OVENS'!#REF!)+(Y412*'COKE OVENS'!#REF!))/'COKE OVENS'!#REF!</f>
        <v>#DIV/0!</v>
      </c>
      <c r="AA412" s="1094"/>
      <c r="AB412" s="1059" t="e">
        <f>+((Z412*'COKE OVENS'!#REF!)+(AA412*'COKE OVENS'!#REF!))/'COKE OVENS'!#REF!</f>
        <v>#DIV/0!</v>
      </c>
      <c r="AC412" s="1094"/>
      <c r="AD412" s="1058" t="e">
        <f>+((Y412*'COKE OVENS'!#REF!)+(AA412*'COKE OVENS'!#REF!)+(AC412*'COKE OVENS'!#REF!))/'COKE OVENS'!#REF!</f>
        <v>#REF!</v>
      </c>
      <c r="AE412" s="1060" t="e">
        <f>+((W412*'COKE OVENS'!#REF!)+(AD412*'COKE OVENS'!#REF!))/'COKE OVENS'!#REF!</f>
        <v>#REF!</v>
      </c>
      <c r="AF412" s="2627" t="e">
        <f>+((AB412*'COKE OVENS'!#REF!)+(AC412*'COKE OVENS'!#REF!))/'COKE OVENS'!#REF!</f>
        <v>#DIV/0!</v>
      </c>
    </row>
    <row r="413" spans="4:38" s="3170" customFormat="1" ht="35" hidden="1" customHeight="1" x14ac:dyDescent="0.35">
      <c r="D413" s="4123"/>
      <c r="E413" s="4131" t="s">
        <v>1367</v>
      </c>
      <c r="F413" s="3393"/>
      <c r="G413" s="3393"/>
      <c r="H413" s="3393"/>
      <c r="I413" s="3393"/>
      <c r="J413" s="3623"/>
      <c r="K413" s="3393"/>
      <c r="L413" s="3623"/>
      <c r="M413" s="3393"/>
      <c r="N413" s="3623"/>
      <c r="O413" s="3393"/>
      <c r="P413" s="3623"/>
      <c r="Q413" s="3623"/>
      <c r="R413" s="3393"/>
      <c r="S413" s="3242"/>
      <c r="T413" s="3393"/>
      <c r="U413" s="3242"/>
      <c r="V413" s="3393"/>
      <c r="W413" s="3242"/>
      <c r="X413" s="3623"/>
      <c r="Y413" s="3393"/>
      <c r="Z413" s="3242"/>
      <c r="AA413" s="3393"/>
      <c r="AB413" s="3623"/>
      <c r="AC413" s="3393"/>
      <c r="AD413" s="3242"/>
      <c r="AE413" s="3242"/>
      <c r="AF413" s="3242"/>
      <c r="AG413" s="4756"/>
      <c r="AH413" s="4756"/>
      <c r="AI413" s="4756"/>
      <c r="AJ413" s="4756"/>
      <c r="AK413" s="4756"/>
      <c r="AL413" s="4756"/>
    </row>
    <row r="414" spans="4:38" ht="35" hidden="1" customHeight="1" x14ac:dyDescent="0.25">
      <c r="D414" s="1043"/>
      <c r="E414" s="1055" t="s">
        <v>251</v>
      </c>
      <c r="F414" s="1094"/>
      <c r="G414" s="1094"/>
      <c r="H414" s="1059" t="e">
        <f>+((F414*'COKE OVENS'!$E$112)+(G414*'COKE OVENS'!$G$112))/'COKE OVENS'!$I$112</f>
        <v>#DIV/0!</v>
      </c>
      <c r="I414" s="1094"/>
      <c r="J414" s="1058" t="e">
        <f>+((H414*'COKE OVENS'!$I$112)+(I414*'COKE OVENS'!$K$112))/'COKE OVENS'!$M$112</f>
        <v>#DIV/0!</v>
      </c>
      <c r="K414" s="1094"/>
      <c r="L414" s="1059" t="e">
        <f>+((J414*'COKE OVENS'!$M$112)+(K414*'COKE OVENS'!$O$112))/'COKE OVENS'!$Q$112</f>
        <v>#DIV/0!</v>
      </c>
      <c r="M414" s="1094"/>
      <c r="N414" s="1059" t="e">
        <f>+((L414*'COKE OVENS'!$Q$112)+(M414*'COKE OVENS'!#REF!))/'COKE OVENS'!#REF!</f>
        <v>#DIV/0!</v>
      </c>
      <c r="O414" s="1094"/>
      <c r="P414" s="1058" t="e">
        <f>+((K414*'COKE OVENS'!$O$112)+(M414*'COKE OVENS'!#REF!)+(O414*'COKE OVENS'!#REF!))/'COKE OVENS'!#REF!</f>
        <v>#REF!</v>
      </c>
      <c r="Q414" s="1060" t="e">
        <f>+((N414*'COKE OVENS'!#REF!)+(O414*'COKE OVENS'!#REF!))/'COKE OVENS'!#REF!</f>
        <v>#DIV/0!</v>
      </c>
      <c r="R414" s="1094"/>
      <c r="S414" s="1059" t="e">
        <f>+((Q414*'COKE OVENS'!#REF!)+(R414*'COKE OVENS'!#REF!))/'COKE OVENS'!#REF!</f>
        <v>#DIV/0!</v>
      </c>
      <c r="T414" s="1094"/>
      <c r="U414" s="1059" t="e">
        <f>+((S414*'COKE OVENS'!#REF!)+(T414*'COKE OVENS'!#REF!))/'COKE OVENS'!#REF!</f>
        <v>#DIV/0!</v>
      </c>
      <c r="V414" s="1094"/>
      <c r="W414" s="2434" t="e">
        <f>+((R414*'COKE OVENS'!#REF!)+(T414*'COKE OVENS'!#REF!)+(V414*'COKE OVENS'!#REF!))/'COKE OVENS'!#REF!</f>
        <v>#REF!</v>
      </c>
      <c r="X414" s="745" t="e">
        <f>+((U414*'COKE OVENS'!#REF!)+(V414*'COKE OVENS'!#REF!))/'COKE OVENS'!#REF!</f>
        <v>#DIV/0!</v>
      </c>
      <c r="Y414" s="1094"/>
      <c r="Z414" s="1059" t="e">
        <f>+((X414*'COKE OVENS'!#REF!)+(Y414*'COKE OVENS'!#REF!))/'COKE OVENS'!#REF!</f>
        <v>#DIV/0!</v>
      </c>
      <c r="AA414" s="1094"/>
      <c r="AB414" s="1059" t="e">
        <f>+((Z414*'COKE OVENS'!#REF!)+(AA414*'COKE OVENS'!#REF!))/'COKE OVENS'!#REF!</f>
        <v>#DIV/0!</v>
      </c>
      <c r="AC414" s="1094"/>
      <c r="AD414" s="1058" t="e">
        <f>+((Y414*'COKE OVENS'!#REF!)+(AA414*'COKE OVENS'!#REF!)+(AC414*'COKE OVENS'!#REF!))/'COKE OVENS'!#REF!</f>
        <v>#REF!</v>
      </c>
      <c r="AE414" s="1060" t="e">
        <f>+((W414*'COKE OVENS'!#REF!)+(AD414*'COKE OVENS'!#REF!))/'COKE OVENS'!#REF!</f>
        <v>#REF!</v>
      </c>
      <c r="AF414" s="2627" t="e">
        <f>+((AB414*'COKE OVENS'!#REF!)+(AC414*'COKE OVENS'!#REF!))/'COKE OVENS'!#REF!</f>
        <v>#DIV/0!</v>
      </c>
    </row>
    <row r="415" spans="4:38" ht="35" hidden="1" customHeight="1" x14ac:dyDescent="0.25">
      <c r="D415" s="1043"/>
      <c r="E415" s="1055" t="s">
        <v>252</v>
      </c>
      <c r="F415" s="1094"/>
      <c r="G415" s="1094"/>
      <c r="H415" s="1059" t="e">
        <f>+((F415*'COKE OVENS'!$E$112)+(G415*'COKE OVENS'!$G$112))/'COKE OVENS'!$I$112</f>
        <v>#DIV/0!</v>
      </c>
      <c r="I415" s="1094"/>
      <c r="J415" s="1058" t="e">
        <f>+((H415*'COKE OVENS'!$I$112)+(I415*'COKE OVENS'!$K$112))/'COKE OVENS'!$M$112</f>
        <v>#DIV/0!</v>
      </c>
      <c r="K415" s="1094"/>
      <c r="L415" s="1059" t="e">
        <f>+((J415*'COKE OVENS'!$M$112)+(K415*'COKE OVENS'!$O$112))/'COKE OVENS'!$Q$112</f>
        <v>#DIV/0!</v>
      </c>
      <c r="M415" s="1094"/>
      <c r="N415" s="1059" t="e">
        <f>+((L415*'COKE OVENS'!$Q$112)+(M415*'COKE OVENS'!#REF!))/'COKE OVENS'!#REF!</f>
        <v>#DIV/0!</v>
      </c>
      <c r="O415" s="1094"/>
      <c r="P415" s="1058" t="e">
        <f>+((K415*'COKE OVENS'!$O$112)+(M415*'COKE OVENS'!#REF!)+(O415*'COKE OVENS'!#REF!))/'COKE OVENS'!#REF!</f>
        <v>#REF!</v>
      </c>
      <c r="Q415" s="1060" t="e">
        <f>+((N415*'COKE OVENS'!#REF!)+(O415*'COKE OVENS'!#REF!))/'COKE OVENS'!#REF!</f>
        <v>#DIV/0!</v>
      </c>
      <c r="R415" s="1094"/>
      <c r="S415" s="1059" t="e">
        <f>+((Q415*'COKE OVENS'!#REF!)+(R415*'COKE OVENS'!#REF!))/'COKE OVENS'!#REF!</f>
        <v>#DIV/0!</v>
      </c>
      <c r="T415" s="1094"/>
      <c r="U415" s="1059" t="e">
        <f>+((S415*'COKE OVENS'!#REF!)+(T415*'COKE OVENS'!#REF!))/'COKE OVENS'!#REF!</f>
        <v>#DIV/0!</v>
      </c>
      <c r="V415" s="1094"/>
      <c r="W415" s="2434" t="e">
        <f>+((R415*'COKE OVENS'!#REF!)+(T415*'COKE OVENS'!#REF!)+(V415*'COKE OVENS'!#REF!))/'COKE OVENS'!#REF!</f>
        <v>#REF!</v>
      </c>
      <c r="X415" s="745" t="e">
        <f>+((U415*'COKE OVENS'!#REF!)+(V415*'COKE OVENS'!#REF!))/'COKE OVENS'!#REF!</f>
        <v>#DIV/0!</v>
      </c>
      <c r="Y415" s="1094"/>
      <c r="Z415" s="1059" t="e">
        <f>+((X415*'COKE OVENS'!#REF!)+(Y415*'COKE OVENS'!#REF!))/'COKE OVENS'!#REF!</f>
        <v>#DIV/0!</v>
      </c>
      <c r="AA415" s="1094"/>
      <c r="AB415" s="1059" t="e">
        <f>+((Z415*'COKE OVENS'!#REF!)+(AA415*'COKE OVENS'!#REF!))/'COKE OVENS'!#REF!</f>
        <v>#DIV/0!</v>
      </c>
      <c r="AC415" s="1094"/>
      <c r="AD415" s="1058" t="e">
        <f>+((Y415*'COKE OVENS'!#REF!)+(AA415*'COKE OVENS'!#REF!)+(AC415*'COKE OVENS'!#REF!))/'COKE OVENS'!#REF!</f>
        <v>#REF!</v>
      </c>
      <c r="AE415" s="1060" t="e">
        <f>+((W415*'COKE OVENS'!#REF!)+(AD415*'COKE OVENS'!#REF!))/'COKE OVENS'!#REF!</f>
        <v>#REF!</v>
      </c>
      <c r="AF415" s="2627" t="e">
        <f>+((AB415*'COKE OVENS'!#REF!)+(AC415*'COKE OVENS'!#REF!))/'COKE OVENS'!#REF!</f>
        <v>#DIV/0!</v>
      </c>
    </row>
    <row r="416" spans="4:38" ht="35" hidden="1" customHeight="1" x14ac:dyDescent="0.25">
      <c r="D416" s="1043"/>
      <c r="E416" s="1055" t="s">
        <v>253</v>
      </c>
      <c r="F416" s="1094"/>
      <c r="G416" s="1094"/>
      <c r="H416" s="1059" t="e">
        <f>+((F416*'COKE OVENS'!$E$112)+(G416*'COKE OVENS'!$G$112))/'COKE OVENS'!$I$112</f>
        <v>#DIV/0!</v>
      </c>
      <c r="I416" s="1094"/>
      <c r="J416" s="1058" t="e">
        <f>+((H416*'COKE OVENS'!$I$112)+(I416*'COKE OVENS'!$K$112))/'COKE OVENS'!$M$112</f>
        <v>#DIV/0!</v>
      </c>
      <c r="K416" s="1094"/>
      <c r="L416" s="1059" t="e">
        <f>+((J416*'COKE OVENS'!$M$112)+(K416*'COKE OVENS'!$O$112))/'COKE OVENS'!$Q$112</f>
        <v>#DIV/0!</v>
      </c>
      <c r="M416" s="1094"/>
      <c r="N416" s="1059" t="e">
        <f>+((L416*'COKE OVENS'!$Q$112)+(M416*'COKE OVENS'!#REF!))/'COKE OVENS'!#REF!</f>
        <v>#DIV/0!</v>
      </c>
      <c r="O416" s="1094"/>
      <c r="P416" s="1058" t="e">
        <f>+((K416*'COKE OVENS'!$O$112)+(M416*'COKE OVENS'!#REF!)+(O416*'COKE OVENS'!#REF!))/'COKE OVENS'!#REF!</f>
        <v>#REF!</v>
      </c>
      <c r="Q416" s="1060" t="e">
        <f>+((N416*'COKE OVENS'!#REF!)+(O416*'COKE OVENS'!#REF!))/'COKE OVENS'!#REF!</f>
        <v>#DIV/0!</v>
      </c>
      <c r="R416" s="1094"/>
      <c r="S416" s="1059" t="e">
        <f>+((Q416*'COKE OVENS'!#REF!)+(R416*'COKE OVENS'!#REF!))/'COKE OVENS'!#REF!</f>
        <v>#DIV/0!</v>
      </c>
      <c r="T416" s="1094"/>
      <c r="U416" s="1059" t="e">
        <f>+((S416*'COKE OVENS'!#REF!)+(T416*'COKE OVENS'!#REF!))/'COKE OVENS'!#REF!</f>
        <v>#DIV/0!</v>
      </c>
      <c r="V416" s="1094"/>
      <c r="W416" s="2434" t="e">
        <f>+((R416*'COKE OVENS'!#REF!)+(T416*'COKE OVENS'!#REF!)+(V416*'COKE OVENS'!#REF!))/'COKE OVENS'!#REF!</f>
        <v>#REF!</v>
      </c>
      <c r="X416" s="745" t="e">
        <f>+((U416*'COKE OVENS'!#REF!)+(V416*'COKE OVENS'!#REF!))/'COKE OVENS'!#REF!</f>
        <v>#DIV/0!</v>
      </c>
      <c r="Y416" s="1094"/>
      <c r="Z416" s="1059" t="e">
        <f>+((X416*'COKE OVENS'!#REF!)+(Y416*'COKE OVENS'!#REF!))/'COKE OVENS'!#REF!</f>
        <v>#DIV/0!</v>
      </c>
      <c r="AA416" s="1094"/>
      <c r="AB416" s="1059" t="e">
        <f>+((Z416*'COKE OVENS'!#REF!)+(AA416*'COKE OVENS'!#REF!))/'COKE OVENS'!#REF!</f>
        <v>#DIV/0!</v>
      </c>
      <c r="AC416" s="1094"/>
      <c r="AD416" s="1058" t="e">
        <f>+((Y416*'COKE OVENS'!#REF!)+(AA416*'COKE OVENS'!#REF!)+(AC416*'COKE OVENS'!#REF!))/'COKE OVENS'!#REF!</f>
        <v>#REF!</v>
      </c>
      <c r="AE416" s="1060" t="e">
        <f>+((W416*'COKE OVENS'!#REF!)+(AD416*'COKE OVENS'!#REF!))/'COKE OVENS'!#REF!</f>
        <v>#REF!</v>
      </c>
      <c r="AF416" s="2627" t="e">
        <f>+((AB416*'COKE OVENS'!#REF!)+(AC416*'COKE OVENS'!#REF!))/'COKE OVENS'!#REF!</f>
        <v>#DIV/0!</v>
      </c>
    </row>
    <row r="417" spans="4:38" s="3170" customFormat="1" ht="35" hidden="1" customHeight="1" x14ac:dyDescent="0.4">
      <c r="D417" s="4123"/>
      <c r="E417" s="4124" t="s">
        <v>1370</v>
      </c>
      <c r="F417" s="3386"/>
      <c r="G417" s="3386"/>
      <c r="H417" s="3386"/>
      <c r="I417" s="3386"/>
      <c r="J417" s="3386"/>
      <c r="K417" s="3386"/>
      <c r="L417" s="5873"/>
      <c r="M417" s="3386"/>
      <c r="N417" s="3386"/>
      <c r="O417" s="3386"/>
      <c r="P417" s="3386"/>
      <c r="Q417" s="3386"/>
      <c r="R417" s="3386"/>
      <c r="S417" s="4132"/>
      <c r="T417" s="3386"/>
      <c r="U417" s="4132"/>
      <c r="V417" s="3386"/>
      <c r="W417" s="4133"/>
      <c r="X417" s="4133"/>
      <c r="Y417" s="3386"/>
      <c r="Z417" s="4132"/>
      <c r="AA417" s="3386"/>
      <c r="AB417" s="3277"/>
      <c r="AC417" s="3386"/>
      <c r="AD417" s="4133"/>
      <c r="AE417" s="4125"/>
      <c r="AF417" s="4126"/>
      <c r="AG417" s="3380"/>
      <c r="AH417" s="3380"/>
      <c r="AI417" s="3380"/>
      <c r="AJ417" s="3380"/>
      <c r="AK417" s="3380"/>
      <c r="AL417" s="3380"/>
    </row>
    <row r="418" spans="4:38" ht="35" hidden="1" customHeight="1" x14ac:dyDescent="0.25">
      <c r="D418" s="1043"/>
      <c r="E418" s="1055" t="s">
        <v>251</v>
      </c>
      <c r="F418" s="4898">
        <v>9</v>
      </c>
      <c r="G418" s="4898">
        <v>9.1</v>
      </c>
      <c r="H418" s="1059">
        <f>+((F418*'COKE OVENS'!$E$116)+(G418*'COKE OVENS'!$G$116))/'COKE OVENS'!$I$116</f>
        <v>9.0519630484988447</v>
      </c>
      <c r="I418" s="4898" t="s">
        <v>127</v>
      </c>
      <c r="J418" s="1058" t="e">
        <f>+((H418*'COKE OVENS'!$I$116)+(I418*'COKE OVENS'!$K$116))/'COKE OVENS'!$M$116</f>
        <v>#VALUE!</v>
      </c>
      <c r="K418" s="4898" t="s">
        <v>127</v>
      </c>
      <c r="L418" s="1059" t="e">
        <f>+((J418*'COKE OVENS'!$M$116)+(K418*'COKE OVENS'!$O$116))/'COKE OVENS'!$Q$116</f>
        <v>#VALUE!</v>
      </c>
      <c r="M418" s="4898">
        <v>9.66</v>
      </c>
      <c r="N418" s="1059" t="e">
        <f>+((L418*'COKE OVENS'!$Q$116)+(M418*'COKE OVENS'!#REF!))/'COKE OVENS'!#REF!</f>
        <v>#VALUE!</v>
      </c>
      <c r="O418" s="4898">
        <v>10.4</v>
      </c>
      <c r="P418" s="1058" t="e">
        <f>+((K418*'COKE OVENS'!$O$116)+(M418*'COKE OVENS'!#REF!)+(O418*'COKE OVENS'!#REF!))/'COKE OVENS'!#REF!</f>
        <v>#VALUE!</v>
      </c>
      <c r="Q418" s="1060" t="e">
        <f>+((N418*'COKE OVENS'!#REF!)+(O418*'COKE OVENS'!#REF!))/'COKE OVENS'!#REF!</f>
        <v>#VALUE!</v>
      </c>
      <c r="R418" s="4898">
        <v>8.875</v>
      </c>
      <c r="S418" s="1059" t="e">
        <f>+((Q418*'COKE OVENS'!#REF!)+(R418*'COKE OVENS'!#REF!))/'COKE OVENS'!#REF!</f>
        <v>#VALUE!</v>
      </c>
      <c r="T418" s="4898">
        <v>8.4333333333333336</v>
      </c>
      <c r="U418" s="1059" t="e">
        <f>+((S418*'COKE OVENS'!#REF!)+(T418*'COKE OVENS'!#REF!))/'COKE OVENS'!#REF!</f>
        <v>#VALUE!</v>
      </c>
      <c r="V418" s="4898">
        <v>9.15</v>
      </c>
      <c r="W418" s="2434" t="e">
        <f>+((R418*'COKE OVENS'!#REF!)+(T418*'COKE OVENS'!#REF!)+(V418*'COKE OVENS'!#REF!))/'COKE OVENS'!#REF!</f>
        <v>#REF!</v>
      </c>
      <c r="X418" s="745" t="e">
        <f>+((U418*'COKE OVENS'!#REF!)+(V418*'COKE OVENS'!#REF!))/'COKE OVENS'!#REF!</f>
        <v>#VALUE!</v>
      </c>
      <c r="Y418" s="4898">
        <v>8.85</v>
      </c>
      <c r="Z418" s="1059" t="e">
        <f>+((X418*'COKE OVENS'!#REF!)+(Y418*'COKE OVENS'!#REF!))/'COKE OVENS'!#REF!</f>
        <v>#VALUE!</v>
      </c>
      <c r="AA418" s="4898">
        <v>9.7000000000000011</v>
      </c>
      <c r="AB418" s="1059" t="e">
        <f>+((Z418*'COKE OVENS'!#REF!)+(AA418*'COKE OVENS'!#REF!))/'COKE OVENS'!#REF!</f>
        <v>#VALUE!</v>
      </c>
      <c r="AC418" s="4898">
        <v>9.3000000000000007</v>
      </c>
      <c r="AD418" s="1058" t="e">
        <f>+((Y418*'COKE OVENS'!#REF!)+(AA418*'COKE OVENS'!#REF!)+(AC418*'COKE OVENS'!#REF!))/'COKE OVENS'!#REF!</f>
        <v>#REF!</v>
      </c>
      <c r="AE418" s="1060" t="e">
        <f>+((W418*'COKE OVENS'!#REF!)+(AD418*'COKE OVENS'!#REF!))/'COKE OVENS'!#REF!</f>
        <v>#REF!</v>
      </c>
      <c r="AF418" s="2627" t="e">
        <f>+((AB418*'COKE OVENS'!#REF!)+(AC418*'COKE OVENS'!#REF!))/'COKE OVENS'!#REF!</f>
        <v>#VALUE!</v>
      </c>
    </row>
    <row r="419" spans="4:38" ht="35" hidden="1" customHeight="1" x14ac:dyDescent="0.25">
      <c r="D419" s="4225"/>
      <c r="E419" s="1055" t="s">
        <v>252</v>
      </c>
      <c r="F419" s="4898">
        <v>9.8000000000000007</v>
      </c>
      <c r="G419" s="4898">
        <v>9.625</v>
      </c>
      <c r="H419" s="1059">
        <f>+((F419*'COKE OVENS'!$E$116)+(G419*'COKE OVENS'!$G$116))/'COKE OVENS'!$I$116</f>
        <v>9.7090646651270216</v>
      </c>
      <c r="I419" s="4898" t="s">
        <v>127</v>
      </c>
      <c r="J419" s="1058" t="e">
        <f>+((H419*'COKE OVENS'!$I$116)+(I419*'COKE OVENS'!$K$116))/'COKE OVENS'!$M$116</f>
        <v>#VALUE!</v>
      </c>
      <c r="K419" s="4898" t="s">
        <v>127</v>
      </c>
      <c r="L419" s="1059" t="e">
        <f>+((J419*'COKE OVENS'!$M$116)+(K419*'COKE OVENS'!$O$116))/'COKE OVENS'!$Q$116</f>
        <v>#VALUE!</v>
      </c>
      <c r="M419" s="4898">
        <v>10.199999999999999</v>
      </c>
      <c r="N419" s="1059" t="e">
        <f>+((L419*'COKE OVENS'!$Q$116)+(M419*'COKE OVENS'!#REF!))/'COKE OVENS'!#REF!</f>
        <v>#VALUE!</v>
      </c>
      <c r="O419" s="4898">
        <v>9.3000000000000007</v>
      </c>
      <c r="P419" s="1058" t="e">
        <f>+((K419*'COKE OVENS'!$O$116)+(M419*'COKE OVENS'!#REF!)+(O419*'COKE OVENS'!#REF!))/'COKE OVENS'!#REF!</f>
        <v>#VALUE!</v>
      </c>
      <c r="Q419" s="1060" t="e">
        <f>+((N419*'COKE OVENS'!#REF!)+(O419*'COKE OVENS'!#REF!))/'COKE OVENS'!#REF!</f>
        <v>#VALUE!</v>
      </c>
      <c r="R419" s="4898">
        <v>10.45</v>
      </c>
      <c r="S419" s="1059" t="e">
        <f>+((Q419*'COKE OVENS'!#REF!)+(R419*'COKE OVENS'!#REF!))/'COKE OVENS'!#REF!</f>
        <v>#VALUE!</v>
      </c>
      <c r="T419" s="4898">
        <v>9.9249999999999989</v>
      </c>
      <c r="U419" s="1059" t="e">
        <f>+((S419*'COKE OVENS'!#REF!)+(T419*'COKE OVENS'!#REF!))/'COKE OVENS'!#REF!</f>
        <v>#VALUE!</v>
      </c>
      <c r="V419" s="4898">
        <v>10.100000000000001</v>
      </c>
      <c r="W419" s="2434" t="e">
        <f>+((R419*'COKE OVENS'!#REF!)+(T419*'COKE OVENS'!#REF!)+(V419*'COKE OVENS'!#REF!))/'COKE OVENS'!#REF!</f>
        <v>#REF!</v>
      </c>
      <c r="X419" s="745" t="e">
        <f>+((U419*'COKE OVENS'!#REF!)+(V419*'COKE OVENS'!#REF!))/'COKE OVENS'!#REF!</f>
        <v>#VALUE!</v>
      </c>
      <c r="Y419" s="4898">
        <v>9.8000000000000007</v>
      </c>
      <c r="Z419" s="1059" t="e">
        <f>+((X419*'COKE OVENS'!#REF!)+(Y419*'COKE OVENS'!#REF!))/'COKE OVENS'!#REF!</f>
        <v>#VALUE!</v>
      </c>
      <c r="AA419" s="4898">
        <v>9.4</v>
      </c>
      <c r="AB419" s="1059" t="e">
        <f>+((Z419*'COKE OVENS'!#REF!)+(AA419*'COKE OVENS'!#REF!))/'COKE OVENS'!#REF!</f>
        <v>#VALUE!</v>
      </c>
      <c r="AC419" s="4898">
        <v>9.6</v>
      </c>
      <c r="AD419" s="1058" t="e">
        <f>+((Y419*'COKE OVENS'!#REF!)+(AA419*'COKE OVENS'!#REF!)+(AC419*'COKE OVENS'!#REF!))/'COKE OVENS'!#REF!</f>
        <v>#REF!</v>
      </c>
      <c r="AE419" s="1060" t="e">
        <f>+((W419*'COKE OVENS'!#REF!)+(AD419*'COKE OVENS'!#REF!))/'COKE OVENS'!#REF!</f>
        <v>#REF!</v>
      </c>
      <c r="AF419" s="2627" t="e">
        <f>+((AB419*'COKE OVENS'!#REF!)+(AC419*'COKE OVENS'!#REF!))/'COKE OVENS'!#REF!</f>
        <v>#VALUE!</v>
      </c>
    </row>
    <row r="420" spans="4:38" ht="35" hidden="1" customHeight="1" x14ac:dyDescent="0.25">
      <c r="D420" s="4225"/>
      <c r="E420" s="1055" t="s">
        <v>253</v>
      </c>
      <c r="F420" s="4898">
        <v>20</v>
      </c>
      <c r="G420" s="4898">
        <v>20.85</v>
      </c>
      <c r="H420" s="1059">
        <f>+((F420*'COKE OVENS'!$E$116)+(G420*'COKE OVENS'!$G$116))/'COKE OVENS'!$I$116</f>
        <v>20.441685912240185</v>
      </c>
      <c r="I420" s="4898" t="s">
        <v>127</v>
      </c>
      <c r="J420" s="1058" t="e">
        <f>+((H420*'COKE OVENS'!$I$116)+(I420*'COKE OVENS'!$K$116))/'COKE OVENS'!$M$116</f>
        <v>#VALUE!</v>
      </c>
      <c r="K420" s="4898" t="s">
        <v>127</v>
      </c>
      <c r="L420" s="1059" t="e">
        <f>+((J420*'COKE OVENS'!$M$116)+(K420*'COKE OVENS'!$O$116))/'COKE OVENS'!$Q$116</f>
        <v>#VALUE!</v>
      </c>
      <c r="M420" s="4898">
        <v>20.96</v>
      </c>
      <c r="N420" s="1059" t="e">
        <f>+((L420*'COKE OVENS'!$Q$116)+(M420*'COKE OVENS'!#REF!))/'COKE OVENS'!#REF!</f>
        <v>#VALUE!</v>
      </c>
      <c r="O420" s="4898">
        <v>20.049999999999997</v>
      </c>
      <c r="P420" s="1058" t="e">
        <f>+((K420*'COKE OVENS'!$O$116)+(M420*'COKE OVENS'!#REF!)+(O420*'COKE OVENS'!#REF!))/'COKE OVENS'!#REF!</f>
        <v>#VALUE!</v>
      </c>
      <c r="Q420" s="1060" t="e">
        <f>+((N420*'COKE OVENS'!#REF!)+(O420*'COKE OVENS'!#REF!))/'COKE OVENS'!#REF!</f>
        <v>#VALUE!</v>
      </c>
      <c r="R420" s="4898">
        <v>19.95</v>
      </c>
      <c r="S420" s="1059" t="e">
        <f>+((Q420*'COKE OVENS'!#REF!)+(R420*'COKE OVENS'!#REF!))/'COKE OVENS'!#REF!</f>
        <v>#VALUE!</v>
      </c>
      <c r="T420" s="4898">
        <v>20.725000000000001</v>
      </c>
      <c r="U420" s="1059" t="e">
        <f>+((S420*'COKE OVENS'!#REF!)+(T420*'COKE OVENS'!#REF!))/'COKE OVENS'!#REF!</f>
        <v>#VALUE!</v>
      </c>
      <c r="V420" s="4898">
        <v>20.65</v>
      </c>
      <c r="W420" s="2434" t="e">
        <f>+((R420*'COKE OVENS'!#REF!)+(T420*'COKE OVENS'!#REF!)+(V420*'COKE OVENS'!#REF!))/'COKE OVENS'!#REF!</f>
        <v>#REF!</v>
      </c>
      <c r="X420" s="745" t="e">
        <f>+((U420*'COKE OVENS'!#REF!)+(V420*'COKE OVENS'!#REF!))/'COKE OVENS'!#REF!</f>
        <v>#VALUE!</v>
      </c>
      <c r="Y420" s="4898">
        <v>20.5</v>
      </c>
      <c r="Z420" s="1059" t="e">
        <f>+((X420*'COKE OVENS'!#REF!)+(Y420*'COKE OVENS'!#REF!))/'COKE OVENS'!#REF!</f>
        <v>#VALUE!</v>
      </c>
      <c r="AA420" s="4898">
        <v>20.400000000000002</v>
      </c>
      <c r="AB420" s="1059" t="e">
        <f>+((Z420*'COKE OVENS'!#REF!)+(AA420*'COKE OVENS'!#REF!))/'COKE OVENS'!#REF!</f>
        <v>#VALUE!</v>
      </c>
      <c r="AC420" s="4898">
        <v>20.8</v>
      </c>
      <c r="AD420" s="1058" t="e">
        <f>+((Y420*'COKE OVENS'!#REF!)+(AA420*'COKE OVENS'!#REF!)+(AC420*'COKE OVENS'!#REF!))/'COKE OVENS'!#REF!</f>
        <v>#REF!</v>
      </c>
      <c r="AE420" s="1060" t="e">
        <f>+((W420*'COKE OVENS'!#REF!)+(AD420*'COKE OVENS'!#REF!))/'COKE OVENS'!#REF!</f>
        <v>#REF!</v>
      </c>
      <c r="AF420" s="2627" t="e">
        <f>+((AB420*'COKE OVENS'!#REF!)+(AC420*'COKE OVENS'!#REF!))/'COKE OVENS'!#REF!</f>
        <v>#VALUE!</v>
      </c>
    </row>
    <row r="421" spans="4:38" s="3170" customFormat="1" ht="35" hidden="1" customHeight="1" x14ac:dyDescent="0.35">
      <c r="D421" s="4225"/>
      <c r="E421" s="4131" t="s">
        <v>1457</v>
      </c>
      <c r="F421" s="3623"/>
      <c r="G421" s="3623"/>
      <c r="H421" s="3393"/>
      <c r="I421" s="3623"/>
      <c r="J421" s="3393"/>
      <c r="K421" s="3623"/>
      <c r="L421" s="3623"/>
      <c r="M421" s="3623"/>
      <c r="N421" s="3623"/>
      <c r="O421" s="3623"/>
      <c r="P421" s="3623"/>
      <c r="Q421" s="3623"/>
      <c r="R421" s="3623"/>
      <c r="S421" s="3242"/>
      <c r="T421" s="3623"/>
      <c r="U421" s="3242"/>
      <c r="V421" s="3623"/>
      <c r="W421" s="3623"/>
      <c r="X421" s="3623"/>
      <c r="Y421" s="3623"/>
      <c r="Z421" s="3242"/>
      <c r="AA421" s="3623"/>
      <c r="AB421" s="3242"/>
      <c r="AC421" s="3623"/>
      <c r="AD421" s="3623"/>
      <c r="AE421" s="3242"/>
      <c r="AF421" s="3242"/>
      <c r="AG421" s="4756"/>
      <c r="AH421" s="4756"/>
      <c r="AI421" s="4756"/>
      <c r="AJ421" s="4756"/>
      <c r="AK421" s="4756"/>
      <c r="AL421" s="4756"/>
    </row>
    <row r="422" spans="4:38" ht="35" hidden="1" customHeight="1" x14ac:dyDescent="0.25">
      <c r="D422" s="4225"/>
      <c r="E422" s="1055" t="s">
        <v>251</v>
      </c>
      <c r="F422" s="4174"/>
      <c r="G422" s="4174"/>
      <c r="H422" s="1059" t="e">
        <f>+((F422*'COKE OVENS'!$E$124)+(G422*'COKE OVENS'!$G$124))/'COKE OVENS'!$I$124</f>
        <v>#DIV/0!</v>
      </c>
      <c r="I422" s="4174"/>
      <c r="J422" s="1058" t="e">
        <f>+((H422*'COKE OVENS'!$I$124)+(I422*'COKE OVENS'!$K$124))/'COKE OVENS'!$M$124</f>
        <v>#DIV/0!</v>
      </c>
      <c r="K422" s="4174"/>
      <c r="L422" s="1059" t="e">
        <f>+((J422*'COKE OVENS'!$M$124)+(K422*'COKE OVENS'!$O$124))/'COKE OVENS'!$Q$124</f>
        <v>#DIV/0!</v>
      </c>
      <c r="M422" s="4174"/>
      <c r="N422" s="1059" t="e">
        <f>+((L422*'COKE OVENS'!$Q$124)+(M422*'COKE OVENS'!#REF!))/'COKE OVENS'!#REF!</f>
        <v>#DIV/0!</v>
      </c>
      <c r="O422" s="4174"/>
      <c r="P422" s="1058" t="e">
        <f>+((K422*'COKE OVENS'!$O$124)+(M422*'COKE OVENS'!#REF!)+(O422*'COKE OVENS'!#REF!))/'COKE OVENS'!#REF!</f>
        <v>#REF!</v>
      </c>
      <c r="Q422" s="1060" t="e">
        <f>+((N422*'COKE OVENS'!#REF!)+(O422*'COKE OVENS'!#REF!))/'COKE OVENS'!#REF!</f>
        <v>#DIV/0!</v>
      </c>
      <c r="R422" s="4174"/>
      <c r="S422" s="1059" t="e">
        <f>+((Q422*'COKE OVENS'!#REF!)+(R422*'COKE OVENS'!#REF!))/'COKE OVENS'!#REF!</f>
        <v>#DIV/0!</v>
      </c>
      <c r="T422" s="4174"/>
      <c r="U422" s="1059" t="e">
        <f>+((S422*'COKE OVENS'!#REF!)+(T422*'COKE OVENS'!#REF!))/'COKE OVENS'!#REF!</f>
        <v>#DIV/0!</v>
      </c>
      <c r="V422" s="4174"/>
      <c r="W422" s="2434" t="e">
        <f>+((R422*'COKE OVENS'!#REF!)+(T422*'COKE OVENS'!#REF!)+(V422*'COKE OVENS'!#REF!))/'COKE OVENS'!#REF!</f>
        <v>#REF!</v>
      </c>
      <c r="X422" s="745" t="e">
        <f>+((U422*'COKE OVENS'!#REF!)+(V422*'COKE OVENS'!#REF!))/'COKE OVENS'!#REF!</f>
        <v>#DIV/0!</v>
      </c>
      <c r="Y422" s="4174"/>
      <c r="Z422" s="1059" t="e">
        <f>+((X422*'COKE OVENS'!#REF!)+(Y422*'COKE OVENS'!#REF!))/'COKE OVENS'!#REF!</f>
        <v>#DIV/0!</v>
      </c>
      <c r="AA422" s="4174"/>
      <c r="AB422" s="1059" t="e">
        <f>+((Z422*'COKE OVENS'!#REF!)+(AA422*'COKE OVENS'!#REF!))/'COKE OVENS'!#REF!</f>
        <v>#DIV/0!</v>
      </c>
      <c r="AC422" s="4174"/>
      <c r="AD422" s="1058" t="e">
        <f>+((Y422*'COKE OVENS'!#REF!)+(AA422*'COKE OVENS'!#REF!)+(AC422*'COKE OVENS'!#REF!))/'COKE OVENS'!#REF!</f>
        <v>#REF!</v>
      </c>
      <c r="AE422" s="1060" t="e">
        <f>+((W422*'COKE OVENS'!#REF!)+(AD422*'COKE OVENS'!#REF!))/'COKE OVENS'!#REF!</f>
        <v>#REF!</v>
      </c>
      <c r="AF422" s="2627" t="e">
        <f>+((AB422*'COKE OVENS'!#REF!)+(AC422*'COKE OVENS'!#REF!))/'COKE OVENS'!#REF!</f>
        <v>#DIV/0!</v>
      </c>
    </row>
    <row r="423" spans="4:38" ht="35" hidden="1" customHeight="1" x14ac:dyDescent="0.25">
      <c r="D423" s="4225"/>
      <c r="E423" s="1055" t="s">
        <v>252</v>
      </c>
      <c r="F423" s="4174"/>
      <c r="G423" s="4174"/>
      <c r="H423" s="1059" t="e">
        <f>+((F423*'COKE OVENS'!$E$124)+(G423*'COKE OVENS'!$G$124))/'COKE OVENS'!$I$124</f>
        <v>#DIV/0!</v>
      </c>
      <c r="I423" s="4174"/>
      <c r="J423" s="1058" t="e">
        <f>+((H423*'COKE OVENS'!$I$124)+(I423*'COKE OVENS'!$K$124))/'COKE OVENS'!$M$124</f>
        <v>#DIV/0!</v>
      </c>
      <c r="K423" s="4174"/>
      <c r="L423" s="1059" t="e">
        <f>+((J423*'COKE OVENS'!$M$124)+(K423*'COKE OVENS'!$O$124))/'COKE OVENS'!$Q$124</f>
        <v>#DIV/0!</v>
      </c>
      <c r="M423" s="4174"/>
      <c r="N423" s="1059" t="e">
        <f>+((L423*'COKE OVENS'!$Q$124)+(M423*'COKE OVENS'!#REF!))/'COKE OVENS'!#REF!</f>
        <v>#DIV/0!</v>
      </c>
      <c r="O423" s="4174"/>
      <c r="P423" s="1058" t="e">
        <f>+((K423*'COKE OVENS'!$O$124)+(M423*'COKE OVENS'!#REF!)+(O423*'COKE OVENS'!#REF!))/'COKE OVENS'!#REF!</f>
        <v>#REF!</v>
      </c>
      <c r="Q423" s="1060" t="e">
        <f>+((N423*'COKE OVENS'!#REF!)+(O423*'COKE OVENS'!#REF!))/'COKE OVENS'!#REF!</f>
        <v>#DIV/0!</v>
      </c>
      <c r="R423" s="4174"/>
      <c r="S423" s="1059" t="e">
        <f>+((Q423*'COKE OVENS'!#REF!)+(R423*'COKE OVENS'!#REF!))/'COKE OVENS'!#REF!</f>
        <v>#DIV/0!</v>
      </c>
      <c r="T423" s="4174"/>
      <c r="U423" s="1059" t="e">
        <f>+((S423*'COKE OVENS'!#REF!)+(T423*'COKE OVENS'!#REF!))/'COKE OVENS'!#REF!</f>
        <v>#DIV/0!</v>
      </c>
      <c r="V423" s="4174"/>
      <c r="W423" s="2434" t="e">
        <f>+((R423*'COKE OVENS'!#REF!)+(T423*'COKE OVENS'!#REF!)+(V423*'COKE OVENS'!#REF!))/'COKE OVENS'!#REF!</f>
        <v>#REF!</v>
      </c>
      <c r="X423" s="745" t="e">
        <f>+((U423*'COKE OVENS'!#REF!)+(V423*'COKE OVENS'!#REF!))/'COKE OVENS'!#REF!</f>
        <v>#DIV/0!</v>
      </c>
      <c r="Y423" s="4174"/>
      <c r="Z423" s="1059" t="e">
        <f>+((X423*'COKE OVENS'!#REF!)+(Y423*'COKE OVENS'!#REF!))/'COKE OVENS'!#REF!</f>
        <v>#DIV/0!</v>
      </c>
      <c r="AA423" s="4174"/>
      <c r="AB423" s="1059" t="e">
        <f>+((Z423*'COKE OVENS'!#REF!)+(AA423*'COKE OVENS'!#REF!))/'COKE OVENS'!#REF!</f>
        <v>#DIV/0!</v>
      </c>
      <c r="AC423" s="4174"/>
      <c r="AD423" s="1058" t="e">
        <f>+((Y423*'COKE OVENS'!#REF!)+(AA423*'COKE OVENS'!#REF!)+(AC423*'COKE OVENS'!#REF!))/'COKE OVENS'!#REF!</f>
        <v>#REF!</v>
      </c>
      <c r="AE423" s="1060" t="e">
        <f>+((W423*'COKE OVENS'!#REF!)+(AD423*'COKE OVENS'!#REF!))/'COKE OVENS'!#REF!</f>
        <v>#REF!</v>
      </c>
      <c r="AF423" s="2627" t="e">
        <f>+((AB423*'COKE OVENS'!#REF!)+(AC423*'COKE OVENS'!#REF!))/'COKE OVENS'!#REF!</f>
        <v>#DIV/0!</v>
      </c>
    </row>
    <row r="424" spans="4:38" ht="35" hidden="1" customHeight="1" x14ac:dyDescent="0.25">
      <c r="D424" s="4225"/>
      <c r="E424" s="1055" t="s">
        <v>253</v>
      </c>
      <c r="F424" s="4174"/>
      <c r="G424" s="4174"/>
      <c r="H424" s="1059" t="e">
        <f>+((F424*'COKE OVENS'!$E$124)+(G424*'COKE OVENS'!$G$124))/'COKE OVENS'!$I$124</f>
        <v>#DIV/0!</v>
      </c>
      <c r="I424" s="4174"/>
      <c r="J424" s="1058" t="e">
        <f>+((H424*'COKE OVENS'!$I$124)+(I424*'COKE OVENS'!$K$124))/'COKE OVENS'!$M$124</f>
        <v>#DIV/0!</v>
      </c>
      <c r="K424" s="4174"/>
      <c r="L424" s="1059" t="e">
        <f>+((J424*'COKE OVENS'!$M$124)+(K424*'COKE OVENS'!$O$124))/'COKE OVENS'!$Q$124</f>
        <v>#DIV/0!</v>
      </c>
      <c r="M424" s="4174"/>
      <c r="N424" s="1059" t="e">
        <f>+((L424*'COKE OVENS'!$Q$124)+(M424*'COKE OVENS'!#REF!))/'COKE OVENS'!#REF!</f>
        <v>#DIV/0!</v>
      </c>
      <c r="O424" s="4174"/>
      <c r="P424" s="1058" t="e">
        <f>+((K424*'COKE OVENS'!$O$124)+(M424*'COKE OVENS'!#REF!)+(O424*'COKE OVENS'!#REF!))/'COKE OVENS'!#REF!</f>
        <v>#REF!</v>
      </c>
      <c r="Q424" s="1060" t="e">
        <f>+((N424*'COKE OVENS'!#REF!)+(O424*'COKE OVENS'!#REF!))/'COKE OVENS'!#REF!</f>
        <v>#DIV/0!</v>
      </c>
      <c r="R424" s="4174"/>
      <c r="S424" s="1059" t="e">
        <f>+((Q424*'COKE OVENS'!#REF!)+(R424*'COKE OVENS'!#REF!))/'COKE OVENS'!#REF!</f>
        <v>#DIV/0!</v>
      </c>
      <c r="T424" s="4174"/>
      <c r="U424" s="1059" t="e">
        <f>+((S424*'COKE OVENS'!#REF!)+(T424*'COKE OVENS'!#REF!))/'COKE OVENS'!#REF!</f>
        <v>#DIV/0!</v>
      </c>
      <c r="V424" s="4174"/>
      <c r="W424" s="2434" t="e">
        <f>+((R424*'COKE OVENS'!#REF!)+(T424*'COKE OVENS'!#REF!)+(V424*'COKE OVENS'!#REF!))/'COKE OVENS'!#REF!</f>
        <v>#REF!</v>
      </c>
      <c r="X424" s="745" t="e">
        <f>+((U424*'COKE OVENS'!#REF!)+(V424*'COKE OVENS'!#REF!))/'COKE OVENS'!#REF!</f>
        <v>#DIV/0!</v>
      </c>
      <c r="Y424" s="4174"/>
      <c r="Z424" s="1059" t="e">
        <f>+((X424*'COKE OVENS'!#REF!)+(Y424*'COKE OVENS'!#REF!))/'COKE OVENS'!#REF!</f>
        <v>#DIV/0!</v>
      </c>
      <c r="AA424" s="4174"/>
      <c r="AB424" s="1059" t="e">
        <f>+((Z424*'COKE OVENS'!#REF!)+(AA424*'COKE OVENS'!#REF!))/'COKE OVENS'!#REF!</f>
        <v>#DIV/0!</v>
      </c>
      <c r="AC424" s="4174"/>
      <c r="AD424" s="1058" t="e">
        <f>+((Y424*'COKE OVENS'!#REF!)+(AA424*'COKE OVENS'!#REF!)+(AC424*'COKE OVENS'!#REF!))/'COKE OVENS'!#REF!</f>
        <v>#REF!</v>
      </c>
      <c r="AE424" s="1060" t="e">
        <f>+((W424*'COKE OVENS'!#REF!)+(AD424*'COKE OVENS'!#REF!))/'COKE OVENS'!#REF!</f>
        <v>#REF!</v>
      </c>
      <c r="AF424" s="2627" t="e">
        <f>+((AB424*'COKE OVENS'!#REF!)+(AC424*'COKE OVENS'!#REF!))/'COKE OVENS'!#REF!</f>
        <v>#DIV/0!</v>
      </c>
    </row>
    <row r="425" spans="4:38" s="3170" customFormat="1" ht="35" hidden="1" customHeight="1" x14ac:dyDescent="0.35">
      <c r="D425" s="4225"/>
      <c r="E425" s="4131" t="s">
        <v>1214</v>
      </c>
      <c r="F425" s="4175"/>
      <c r="G425" s="4175"/>
      <c r="H425" s="3386"/>
      <c r="I425" s="4175"/>
      <c r="J425" s="3386"/>
      <c r="K425" s="4175"/>
      <c r="L425" s="3242"/>
      <c r="M425" s="4175"/>
      <c r="N425" s="3242"/>
      <c r="O425" s="4175"/>
      <c r="P425" s="3242"/>
      <c r="Q425" s="3242"/>
      <c r="R425" s="4175"/>
      <c r="S425" s="3242"/>
      <c r="T425" s="4175"/>
      <c r="U425" s="3242"/>
      <c r="V425" s="4175"/>
      <c r="W425" s="3242"/>
      <c r="X425" s="3242"/>
      <c r="Y425" s="4175"/>
      <c r="Z425" s="3242"/>
      <c r="AA425" s="4175"/>
      <c r="AB425" s="3242"/>
      <c r="AC425" s="4175"/>
      <c r="AD425" s="3242"/>
      <c r="AE425" s="3242"/>
      <c r="AF425" s="3242"/>
      <c r="AG425" s="4756"/>
      <c r="AH425" s="4756"/>
      <c r="AI425" s="4756"/>
      <c r="AJ425" s="4756"/>
      <c r="AK425" s="4756"/>
      <c r="AL425" s="4756"/>
    </row>
    <row r="426" spans="4:38" ht="35" hidden="1" customHeight="1" x14ac:dyDescent="0.25">
      <c r="D426" s="4225"/>
      <c r="E426" s="1055" t="s">
        <v>251</v>
      </c>
      <c r="F426" s="3296"/>
      <c r="G426" s="3296"/>
      <c r="H426" s="4135" t="e">
        <f>+((F426*'COKE OVENS'!$E$119)+(G426*'COKE OVENS'!$G$119))/'COKE OVENS'!$I$119</f>
        <v>#DIV/0!</v>
      </c>
      <c r="I426" s="3296"/>
      <c r="J426" s="1058" t="e">
        <f>+((H426*'COKE OVENS'!$I$119)+(I426*'COKE OVENS'!$K$119))/'COKE OVENS'!$M$119</f>
        <v>#DIV/0!</v>
      </c>
      <c r="K426" s="3296"/>
      <c r="L426" s="1059" t="e">
        <f>+((J426*'COKE OVENS'!$M$119)+(K426*'COKE OVENS'!$O$119))/'COKE OVENS'!$Q$119</f>
        <v>#DIV/0!</v>
      </c>
      <c r="M426" s="3296"/>
      <c r="N426" s="1059" t="e">
        <f>+((L426*'COKE OVENS'!$Q$119)+(M426*'COKE OVENS'!#REF!))/'COKE OVENS'!#REF!</f>
        <v>#DIV/0!</v>
      </c>
      <c r="O426" s="3296"/>
      <c r="P426" s="1058" t="e">
        <f>+((K426*'COKE OVENS'!$O$119)+(M426*'COKE OVENS'!#REF!)+(O426*'COKE OVENS'!#REF!))/'COKE OVENS'!#REF!</f>
        <v>#REF!</v>
      </c>
      <c r="Q426" s="1060" t="e">
        <f>+((N426*'COKE OVENS'!#REF!)+(O426*'COKE OVENS'!#REF!))/'COKE OVENS'!#REF!</f>
        <v>#DIV/0!</v>
      </c>
      <c r="R426" s="3296"/>
      <c r="S426" s="1059" t="e">
        <f>+((Q426*'COKE OVENS'!#REF!)+(R426*'COKE OVENS'!#REF!))/'COKE OVENS'!#REF!</f>
        <v>#DIV/0!</v>
      </c>
      <c r="T426" s="3296"/>
      <c r="U426" s="1059" t="e">
        <f>+((S426*'COKE OVENS'!#REF!)+(T426*'COKE OVENS'!#REF!))/'COKE OVENS'!#REF!</f>
        <v>#DIV/0!</v>
      </c>
      <c r="V426" s="3296"/>
      <c r="W426" s="2434" t="e">
        <f>+((R426*'COKE OVENS'!#REF!)+(T426*'COKE OVENS'!#REF!)+(V426*'COKE OVENS'!#REF!))/'COKE OVENS'!#REF!</f>
        <v>#REF!</v>
      </c>
      <c r="X426" s="745" t="e">
        <f>+((U426*'COKE OVENS'!#REF!)+(V426*'COKE OVENS'!#REF!))/'COKE OVENS'!#REF!</f>
        <v>#DIV/0!</v>
      </c>
      <c r="Y426" s="3296"/>
      <c r="Z426" s="1059" t="e">
        <f>+((X426*'COKE OVENS'!#REF!)+(Y426*'COKE OVENS'!#REF!))/'COKE OVENS'!#REF!</f>
        <v>#DIV/0!</v>
      </c>
      <c r="AA426" s="3296"/>
      <c r="AB426" s="1059" t="e">
        <f>+((Z426*'COKE OVENS'!#REF!)+(AA426*'COKE OVENS'!#REF!))/'COKE OVENS'!#REF!</f>
        <v>#DIV/0!</v>
      </c>
      <c r="AC426" s="3296"/>
      <c r="AD426" s="1058" t="e">
        <f>+((Y426*'COKE OVENS'!#REF!)+(AA426*'COKE OVENS'!#REF!)+(AC426*'COKE OVENS'!#REF!))/'COKE OVENS'!#REF!</f>
        <v>#REF!</v>
      </c>
      <c r="AE426" s="1060" t="e">
        <f>+((W426*'COKE OVENS'!#REF!)+(AD426*'COKE OVENS'!#REF!))/'COKE OVENS'!#REF!</f>
        <v>#REF!</v>
      </c>
      <c r="AF426" s="2627" t="e">
        <f>+((AB426*'COKE OVENS'!#REF!)+(AC426*'COKE OVENS'!#REF!))/'COKE OVENS'!#REF!</f>
        <v>#DIV/0!</v>
      </c>
    </row>
    <row r="427" spans="4:38" ht="35" hidden="1" customHeight="1" x14ac:dyDescent="0.25">
      <c r="D427" s="4225"/>
      <c r="E427" s="1055" t="s">
        <v>252</v>
      </c>
      <c r="F427" s="3296"/>
      <c r="G427" s="3296"/>
      <c r="H427" s="4135" t="e">
        <f>+((F427*'COKE OVENS'!$E$119)+(G427*'COKE OVENS'!$G$119))/'COKE OVENS'!$I$119</f>
        <v>#DIV/0!</v>
      </c>
      <c r="I427" s="3296"/>
      <c r="J427" s="1058" t="e">
        <f>+((H427*'COKE OVENS'!$I$119)+(I427*'COKE OVENS'!$K$119))/'COKE OVENS'!$M$119</f>
        <v>#DIV/0!</v>
      </c>
      <c r="K427" s="3296"/>
      <c r="L427" s="1059" t="e">
        <f>+((J427*'COKE OVENS'!$M$119)+(K427*'COKE OVENS'!$O$119))/'COKE OVENS'!$Q$119</f>
        <v>#DIV/0!</v>
      </c>
      <c r="M427" s="3296"/>
      <c r="N427" s="1059" t="e">
        <f>+((L427*'COKE OVENS'!$Q$119)+(M427*'COKE OVENS'!#REF!))/'COKE OVENS'!#REF!</f>
        <v>#DIV/0!</v>
      </c>
      <c r="O427" s="3296"/>
      <c r="P427" s="1058" t="e">
        <f>+((K427*'COKE OVENS'!$O$119)+(M427*'COKE OVENS'!#REF!)+(O427*'COKE OVENS'!#REF!))/'COKE OVENS'!#REF!</f>
        <v>#REF!</v>
      </c>
      <c r="Q427" s="1060" t="e">
        <f>+((N427*'COKE OVENS'!#REF!)+(O427*'COKE OVENS'!#REF!))/'COKE OVENS'!#REF!</f>
        <v>#DIV/0!</v>
      </c>
      <c r="R427" s="3296"/>
      <c r="S427" s="1059" t="e">
        <f>+((Q427*'COKE OVENS'!#REF!)+(R427*'COKE OVENS'!#REF!))/'COKE OVENS'!#REF!</f>
        <v>#DIV/0!</v>
      </c>
      <c r="T427" s="3296"/>
      <c r="U427" s="1059" t="e">
        <f>+((S427*'COKE OVENS'!#REF!)+(T427*'COKE OVENS'!#REF!))/'COKE OVENS'!#REF!</f>
        <v>#DIV/0!</v>
      </c>
      <c r="V427" s="3296"/>
      <c r="W427" s="2434" t="e">
        <f>+((R427*'COKE OVENS'!#REF!)+(T427*'COKE OVENS'!#REF!)+(V427*'COKE OVENS'!#REF!))/'COKE OVENS'!#REF!</f>
        <v>#REF!</v>
      </c>
      <c r="X427" s="745" t="e">
        <f>+((U427*'COKE OVENS'!#REF!)+(V427*'COKE OVENS'!#REF!))/'COKE OVENS'!#REF!</f>
        <v>#DIV/0!</v>
      </c>
      <c r="Y427" s="3296"/>
      <c r="Z427" s="1059" t="e">
        <f>+((X427*'COKE OVENS'!#REF!)+(Y427*'COKE OVENS'!#REF!))/'COKE OVENS'!#REF!</f>
        <v>#DIV/0!</v>
      </c>
      <c r="AA427" s="3296"/>
      <c r="AB427" s="1059" t="e">
        <f>+((Z427*'COKE OVENS'!#REF!)+(AA427*'COKE OVENS'!#REF!))/'COKE OVENS'!#REF!</f>
        <v>#DIV/0!</v>
      </c>
      <c r="AC427" s="3296"/>
      <c r="AD427" s="1058" t="e">
        <f>+((Y427*'COKE OVENS'!#REF!)+(AA427*'COKE OVENS'!#REF!)+(AC427*'COKE OVENS'!#REF!))/'COKE OVENS'!#REF!</f>
        <v>#REF!</v>
      </c>
      <c r="AE427" s="1060" t="e">
        <f>+((W427*'COKE OVENS'!#REF!)+(AD427*'COKE OVENS'!#REF!))/'COKE OVENS'!#REF!</f>
        <v>#REF!</v>
      </c>
      <c r="AF427" s="2627" t="e">
        <f>+((AB427*'COKE OVENS'!#REF!)+(AC427*'COKE OVENS'!#REF!))/'COKE OVENS'!#REF!</f>
        <v>#DIV/0!</v>
      </c>
    </row>
    <row r="428" spans="4:38" ht="35" hidden="1" customHeight="1" x14ac:dyDescent="0.25">
      <c r="D428" s="4225"/>
      <c r="E428" s="1055" t="s">
        <v>253</v>
      </c>
      <c r="F428" s="3296"/>
      <c r="G428" s="3296"/>
      <c r="H428" s="4135" t="e">
        <f>+((F428*'COKE OVENS'!$E$119)+(G428*'COKE OVENS'!$G$119))/'COKE OVENS'!$I$119</f>
        <v>#DIV/0!</v>
      </c>
      <c r="I428" s="3296"/>
      <c r="J428" s="1058" t="e">
        <f>+((H428*'COKE OVENS'!$I$119)+(I428*'COKE OVENS'!$K$119))/'COKE OVENS'!$M$119</f>
        <v>#DIV/0!</v>
      </c>
      <c r="K428" s="3296"/>
      <c r="L428" s="1059" t="e">
        <f>+((J428*'COKE OVENS'!$M$119)+(K428*'COKE OVENS'!$O$119))/'COKE OVENS'!$Q$119</f>
        <v>#DIV/0!</v>
      </c>
      <c r="M428" s="3296"/>
      <c r="N428" s="1059" t="e">
        <f>+((L428*'COKE OVENS'!$Q$119)+(M428*'COKE OVENS'!#REF!))/'COKE OVENS'!#REF!</f>
        <v>#DIV/0!</v>
      </c>
      <c r="O428" s="3296"/>
      <c r="P428" s="1058" t="e">
        <f>+((K428*'COKE OVENS'!$O$119)+(M428*'COKE OVENS'!#REF!)+(O428*'COKE OVENS'!#REF!))/'COKE OVENS'!#REF!</f>
        <v>#REF!</v>
      </c>
      <c r="Q428" s="1060" t="e">
        <f>+((N428*'COKE OVENS'!#REF!)+(O428*'COKE OVENS'!#REF!))/'COKE OVENS'!#REF!</f>
        <v>#DIV/0!</v>
      </c>
      <c r="R428" s="3296"/>
      <c r="S428" s="1059" t="e">
        <f>+((Q428*'COKE OVENS'!#REF!)+(R428*'COKE OVENS'!#REF!))/'COKE OVENS'!#REF!</f>
        <v>#DIV/0!</v>
      </c>
      <c r="T428" s="3296"/>
      <c r="U428" s="1059" t="e">
        <f>+((S428*'COKE OVENS'!#REF!)+(T428*'COKE OVENS'!#REF!))/'COKE OVENS'!#REF!</f>
        <v>#DIV/0!</v>
      </c>
      <c r="V428" s="3296"/>
      <c r="W428" s="2434" t="e">
        <f>+((R428*'COKE OVENS'!#REF!)+(T428*'COKE OVENS'!#REF!)+(V428*'COKE OVENS'!#REF!))/'COKE OVENS'!#REF!</f>
        <v>#REF!</v>
      </c>
      <c r="X428" s="745" t="e">
        <f>+((U428*'COKE OVENS'!#REF!)+(V428*'COKE OVENS'!#REF!))/'COKE OVENS'!#REF!</f>
        <v>#DIV/0!</v>
      </c>
      <c r="Y428" s="3296"/>
      <c r="Z428" s="1059" t="e">
        <f>+((X428*'COKE OVENS'!#REF!)+(Y428*'COKE OVENS'!#REF!))/'COKE OVENS'!#REF!</f>
        <v>#DIV/0!</v>
      </c>
      <c r="AA428" s="3296"/>
      <c r="AB428" s="1059" t="e">
        <f>+((Z428*'COKE OVENS'!#REF!)+(AA428*'COKE OVENS'!#REF!))/'COKE OVENS'!#REF!</f>
        <v>#DIV/0!</v>
      </c>
      <c r="AC428" s="3296"/>
      <c r="AD428" s="1058" t="e">
        <f>+((Y428*'COKE OVENS'!#REF!)+(AA428*'COKE OVENS'!#REF!)+(AC428*'COKE OVENS'!#REF!))/'COKE OVENS'!#REF!</f>
        <v>#REF!</v>
      </c>
      <c r="AE428" s="1060" t="e">
        <f>+((W428*'COKE OVENS'!#REF!)+(AD428*'COKE OVENS'!#REF!))/'COKE OVENS'!#REF!</f>
        <v>#REF!</v>
      </c>
      <c r="AF428" s="2627" t="e">
        <f>+((AB428*'COKE OVENS'!#REF!)+(AC428*'COKE OVENS'!#REF!))/'COKE OVENS'!#REF!</f>
        <v>#DIV/0!</v>
      </c>
    </row>
    <row r="429" spans="4:38" s="3170" customFormat="1" ht="35" customHeight="1" x14ac:dyDescent="0.35">
      <c r="D429" s="4225"/>
      <c r="E429" s="4127" t="s">
        <v>1464</v>
      </c>
      <c r="F429" s="3386"/>
      <c r="G429" s="3386"/>
      <c r="H429" s="3386"/>
      <c r="I429" s="3386"/>
      <c r="J429" s="3242"/>
      <c r="K429" s="3386"/>
      <c r="L429" s="3242"/>
      <c r="M429" s="3386"/>
      <c r="N429" s="3242"/>
      <c r="O429" s="3386"/>
      <c r="P429" s="3242"/>
      <c r="Q429" s="3242"/>
      <c r="R429" s="3386"/>
      <c r="S429" s="3242"/>
      <c r="T429" s="3386"/>
      <c r="U429" s="3242"/>
      <c r="V429" s="3386"/>
      <c r="W429" s="3242"/>
      <c r="X429" s="3242"/>
      <c r="Y429" s="3386"/>
      <c r="Z429" s="3242"/>
      <c r="AA429" s="3386"/>
      <c r="AB429" s="3242"/>
      <c r="AC429" s="3386"/>
      <c r="AD429" s="3242"/>
      <c r="AE429" s="3623"/>
      <c r="AF429" s="3623"/>
      <c r="AG429" s="4756"/>
      <c r="AH429" s="4756"/>
      <c r="AI429" s="4756"/>
      <c r="AJ429" s="4756"/>
      <c r="AK429" s="4756"/>
      <c r="AL429" s="4756"/>
    </row>
    <row r="430" spans="4:38" ht="35" customHeight="1" x14ac:dyDescent="0.25">
      <c r="D430" s="4225"/>
      <c r="E430" s="1055" t="s">
        <v>251</v>
      </c>
      <c r="F430" s="3425">
        <v>9</v>
      </c>
      <c r="G430" s="3425">
        <v>8.9749999999999996</v>
      </c>
      <c r="H430" s="1059">
        <f>+((F430*'COKE OVENS'!$E$122)+(G430*'COKE OVENS'!$G$122))/'COKE OVENS'!$I$122</f>
        <v>8.9870433062948312</v>
      </c>
      <c r="I430" s="3425">
        <v>9.08</v>
      </c>
      <c r="J430" s="1058">
        <f>+((H430*'COKE OVENS'!$I$122)+(I430*'COKE OVENS'!$K$122))/'COKE OVENS'!$M$122</f>
        <v>9.0202226613019096</v>
      </c>
      <c r="K430" s="3425">
        <v>9.5857142857142854</v>
      </c>
      <c r="L430" s="1059">
        <f>+((J430*'COKE OVENS'!$M$122)+(K430*'COKE OVENS'!$O$122))/'COKE OVENS'!$Q$122</f>
        <v>9.1616884887069769</v>
      </c>
      <c r="M430" s="3425">
        <v>10.024999999999999</v>
      </c>
      <c r="N430" s="1059" t="e">
        <f>+((L430*'COKE OVENS'!$Q$122)+(M430*'COKE OVENS'!#REF!))/'COKE OVENS'!#REF!</f>
        <v>#REF!</v>
      </c>
      <c r="O430" s="3425">
        <v>9.9818181818181824</v>
      </c>
      <c r="P430" s="1058" t="e">
        <f>+((K430*'COKE OVENS'!$O$122)+(M430*'COKE OVENS'!#REF!)+(O430*'COKE OVENS'!#REF!))/'COKE OVENS'!#REF!</f>
        <v>#REF!</v>
      </c>
      <c r="Q430" s="1060" t="e">
        <f>+((N430*'COKE OVENS'!#REF!)+(O430*'COKE OVENS'!#REF!))/'COKE OVENS'!#REF!</f>
        <v>#REF!</v>
      </c>
      <c r="R430" s="3425">
        <v>9.6625000000000014</v>
      </c>
      <c r="S430" s="1059" t="e">
        <f>+((Q430*'COKE OVENS'!#REF!)+(R430*'COKE OVENS'!#REF!))/'COKE OVENS'!#REF!</f>
        <v>#REF!</v>
      </c>
      <c r="T430" s="3425">
        <v>9.0125000000000011</v>
      </c>
      <c r="U430" s="1059" t="e">
        <f>+((S430*'COKE OVENS'!#REF!)+(T430*'COKE OVENS'!#REF!))/'COKE OVENS'!#REF!</f>
        <v>#REF!</v>
      </c>
      <c r="V430" s="3425">
        <v>9.2583333333333329</v>
      </c>
      <c r="W430" s="1058" t="e">
        <f>+((R430*'COKE OVENS'!#REF!)+(T430*'COKE OVENS'!#REF!)+(V430*'COKE OVENS'!#REF!))/'COKE OVENS'!#REF!</f>
        <v>#REF!</v>
      </c>
      <c r="X430" s="1059" t="e">
        <f>+((U430*'COKE OVENS'!#REF!)+(V430*'COKE OVENS'!#REF!))/'COKE OVENS'!#REF!</f>
        <v>#REF!</v>
      </c>
      <c r="Y430" s="3425">
        <v>9.0285714285714285</v>
      </c>
      <c r="Z430" s="1059" t="e">
        <f>+((X430*'COKE OVENS'!#REF!)+(Y430*'COKE OVENS'!#REF!))/'COKE OVENS'!#REF!</f>
        <v>#REF!</v>
      </c>
      <c r="AA430" s="3425">
        <v>10.45</v>
      </c>
      <c r="AB430" s="1059" t="e">
        <f>+((Z430*'COKE OVENS'!#REF!)+(AA430*'COKE OVENS'!#REF!))/'COKE OVENS'!#REF!</f>
        <v>#REF!</v>
      </c>
      <c r="AC430" s="3425">
        <v>9.1666666666666661</v>
      </c>
      <c r="AD430" s="1058" t="e">
        <f>+((Y430*'COKE OVENS'!#REF!)+(AA430*'COKE OVENS'!#REF!)+(AC430*'COKE OVENS'!#REF!))/'COKE OVENS'!#REF!</f>
        <v>#REF!</v>
      </c>
      <c r="AE430" s="1060" t="e">
        <f>+((W430*'COKE OVENS'!#REF!)+(AD430*'COKE OVENS'!#REF!))/'COKE OVENS'!#REF!</f>
        <v>#REF!</v>
      </c>
      <c r="AF430" s="2627" t="e">
        <f>+((AB430*'COKE OVENS'!#REF!)+(AC430*'COKE OVENS'!#REF!))/'COKE OVENS'!#REF!</f>
        <v>#REF!</v>
      </c>
    </row>
    <row r="431" spans="4:38" ht="35" customHeight="1" x14ac:dyDescent="0.25">
      <c r="D431" s="4225"/>
      <c r="E431" s="1055" t="s">
        <v>252</v>
      </c>
      <c r="F431" s="3307">
        <v>8.7333333333333325</v>
      </c>
      <c r="G431" s="3307">
        <v>8.5499999999999989</v>
      </c>
      <c r="H431" s="1059">
        <f>+((F431*'COKE OVENS'!$E$122)+(G431*'COKE OVENS'!$G$122))/'COKE OVENS'!$I$122</f>
        <v>8.6383175794954301</v>
      </c>
      <c r="I431" s="3307">
        <v>8.6100000000000012</v>
      </c>
      <c r="J431" s="1058">
        <f>+((H431*'COKE OVENS'!$I$122)+(I431*'COKE OVENS'!$K$122))/'COKE OVENS'!$M$122</f>
        <v>8.6282100876562726</v>
      </c>
      <c r="K431" s="3307">
        <v>8.7571428571428562</v>
      </c>
      <c r="L431" s="1059">
        <f>+((J431*'COKE OVENS'!$M$122)+(K431*'COKE OVENS'!$O$122))/'COKE OVENS'!$Q$122</f>
        <v>8.6604644661963626</v>
      </c>
      <c r="M431" s="3307">
        <v>8.9750000000000014</v>
      </c>
      <c r="N431" s="1059" t="e">
        <f>+((L431*'COKE OVENS'!$Q$122)+(M431*'COKE OVENS'!#REF!))/'COKE OVENS'!#REF!</f>
        <v>#REF!</v>
      </c>
      <c r="O431" s="3307">
        <v>9.1000000000000014</v>
      </c>
      <c r="P431" s="1058" t="e">
        <f>+((K431*'COKE OVENS'!$O$122)+(M431*'COKE OVENS'!#REF!)+(O431*'COKE OVENS'!#REF!))/'COKE OVENS'!#REF!</f>
        <v>#REF!</v>
      </c>
      <c r="Q431" s="1060" t="e">
        <f>+((N431*'COKE OVENS'!#REF!)+(O431*'COKE OVENS'!#REF!))/'COKE OVENS'!#REF!</f>
        <v>#REF!</v>
      </c>
      <c r="R431" s="3307">
        <v>9.1750000000000007</v>
      </c>
      <c r="S431" s="1059" t="e">
        <f>+((Q431*'COKE OVENS'!#REF!)+(R431*'COKE OVENS'!#REF!))/'COKE OVENS'!#REF!</f>
        <v>#REF!</v>
      </c>
      <c r="T431" s="3307">
        <v>8.7624999999999993</v>
      </c>
      <c r="U431" s="1059" t="e">
        <f>+((S431*'COKE OVENS'!#REF!)+(T431*'COKE OVENS'!#REF!))/'COKE OVENS'!#REF!</f>
        <v>#REF!</v>
      </c>
      <c r="V431" s="3307">
        <v>9.1416666666666675</v>
      </c>
      <c r="W431" s="1058" t="e">
        <f>+((R431*'COKE OVENS'!#REF!)+(T431*'COKE OVENS'!#REF!)+(V431*'COKE OVENS'!#REF!))/'COKE OVENS'!#REF!</f>
        <v>#REF!</v>
      </c>
      <c r="X431" s="1059" t="e">
        <f>+((U431*'COKE OVENS'!#REF!)+(V431*'COKE OVENS'!#REF!))/'COKE OVENS'!#REF!</f>
        <v>#REF!</v>
      </c>
      <c r="Y431" s="3307">
        <v>8.6428571428571423</v>
      </c>
      <c r="Z431" s="1059" t="e">
        <f>+((X431*'COKE OVENS'!#REF!)+(Y431*'COKE OVENS'!#REF!))/'COKE OVENS'!#REF!</f>
        <v>#REF!</v>
      </c>
      <c r="AA431" s="3307">
        <v>8.5</v>
      </c>
      <c r="AB431" s="1059" t="e">
        <f>+((Z431*'COKE OVENS'!#REF!)+(AA431*'COKE OVENS'!#REF!))/'COKE OVENS'!#REF!</f>
        <v>#REF!</v>
      </c>
      <c r="AC431" s="3307">
        <v>8.9333333333333336</v>
      </c>
      <c r="AD431" s="1058" t="e">
        <f>+((Y431*'COKE OVENS'!#REF!)+(AA431*'COKE OVENS'!#REF!)+(AC431*'COKE OVENS'!#REF!))/'COKE OVENS'!#REF!</f>
        <v>#REF!</v>
      </c>
      <c r="AE431" s="1060" t="e">
        <f>+((W431*'COKE OVENS'!#REF!)+(AD431*'COKE OVENS'!#REF!))/'COKE OVENS'!#REF!</f>
        <v>#REF!</v>
      </c>
      <c r="AF431" s="2627" t="e">
        <f>+((AB431*'COKE OVENS'!#REF!)+(AC431*'COKE OVENS'!#REF!))/'COKE OVENS'!#REF!</f>
        <v>#REF!</v>
      </c>
    </row>
    <row r="432" spans="4:38" ht="35" customHeight="1" x14ac:dyDescent="0.25">
      <c r="D432" s="4225"/>
      <c r="E432" s="1055" t="s">
        <v>253</v>
      </c>
      <c r="F432" s="3307">
        <v>26.033333333333331</v>
      </c>
      <c r="G432" s="3307">
        <v>26.75</v>
      </c>
      <c r="H432" s="1059">
        <f>+((F432*'COKE OVENS'!$E$122)+(G432*'COKE OVENS'!$G$122))/'COKE OVENS'!$I$122</f>
        <v>26.404758552881503</v>
      </c>
      <c r="I432" s="3307">
        <v>28.73</v>
      </c>
      <c r="J432" s="1058">
        <f>+((H432*'COKE OVENS'!$I$122)+(I432*'COKE OVENS'!$K$122))/'COKE OVENS'!$M$122</f>
        <v>27.234715045265126</v>
      </c>
      <c r="K432" s="3307">
        <v>28.642857142857142</v>
      </c>
      <c r="L432" s="1059">
        <f>+((J432*'COKE OVENS'!$M$122)+(K432*'COKE OVENS'!$O$122))/'COKE OVENS'!$Q$122</f>
        <v>27.586981954871018</v>
      </c>
      <c r="M432" s="3307">
        <v>27.900000000000002</v>
      </c>
      <c r="N432" s="1059" t="e">
        <f>+((L432*'COKE OVENS'!$Q$122)+(M432*'COKE OVENS'!#REF!))/'COKE OVENS'!#REF!</f>
        <v>#REF!</v>
      </c>
      <c r="O432" s="3307">
        <v>28.872727272727275</v>
      </c>
      <c r="P432" s="1058" t="e">
        <f>+((K432*'COKE OVENS'!$O$122)+(M432*'COKE OVENS'!#REF!)+(O432*'COKE OVENS'!#REF!))/'COKE OVENS'!#REF!</f>
        <v>#REF!</v>
      </c>
      <c r="Q432" s="1060" t="e">
        <f>+((N432*'COKE OVENS'!#REF!)+(O432*'COKE OVENS'!#REF!))/'COKE OVENS'!#REF!</f>
        <v>#REF!</v>
      </c>
      <c r="R432" s="3307">
        <v>28.3</v>
      </c>
      <c r="S432" s="1059" t="e">
        <f>+((Q432*'COKE OVENS'!#REF!)+(R432*'COKE OVENS'!#REF!))/'COKE OVENS'!#REF!</f>
        <v>#REF!</v>
      </c>
      <c r="T432" s="3307">
        <v>27.212499999999999</v>
      </c>
      <c r="U432" s="1059" t="e">
        <f>+((S432*'COKE OVENS'!#REF!)+(T432*'COKE OVENS'!#REF!))/'COKE OVENS'!#REF!</f>
        <v>#REF!</v>
      </c>
      <c r="V432" s="3307">
        <v>28.366666666666664</v>
      </c>
      <c r="W432" s="1058" t="e">
        <f>+((R432*'COKE OVENS'!#REF!)+(T432*'COKE OVENS'!#REF!)+(V432*'COKE OVENS'!#REF!))/'COKE OVENS'!#REF!</f>
        <v>#REF!</v>
      </c>
      <c r="X432" s="1059" t="e">
        <f>+((U432*'COKE OVENS'!#REF!)+(V432*'COKE OVENS'!#REF!))/'COKE OVENS'!#REF!</f>
        <v>#REF!</v>
      </c>
      <c r="Y432" s="3307">
        <v>28.128571428571433</v>
      </c>
      <c r="Z432" s="1059" t="e">
        <f>+((X432*'COKE OVENS'!#REF!)+(Y432*'COKE OVENS'!#REF!))/'COKE OVENS'!#REF!</f>
        <v>#REF!</v>
      </c>
      <c r="AA432" s="3307">
        <v>26.725000000000001</v>
      </c>
      <c r="AB432" s="1059" t="e">
        <f>+((Z432*'COKE OVENS'!#REF!)+(AA432*'COKE OVENS'!#REF!))/'COKE OVENS'!#REF!</f>
        <v>#REF!</v>
      </c>
      <c r="AC432" s="3307">
        <v>28.299999999999997</v>
      </c>
      <c r="AD432" s="1058" t="e">
        <f>+((Y432*'COKE OVENS'!#REF!)+(AA432*'COKE OVENS'!#REF!)+(AC432*'COKE OVENS'!#REF!))/'COKE OVENS'!#REF!</f>
        <v>#REF!</v>
      </c>
      <c r="AE432" s="1060" t="e">
        <f>+((W432*'COKE OVENS'!#REF!)+(AD432*'COKE OVENS'!#REF!))/'COKE OVENS'!#REF!</f>
        <v>#REF!</v>
      </c>
      <c r="AF432" s="2627" t="e">
        <f>+((AB432*'COKE OVENS'!#REF!)+(AC432*'COKE OVENS'!#REF!))/'COKE OVENS'!#REF!</f>
        <v>#REF!</v>
      </c>
    </row>
    <row r="433" spans="4:38" s="3170" customFormat="1" ht="35" customHeight="1" x14ac:dyDescent="0.35">
      <c r="D433" s="4225"/>
      <c r="E433" s="4127" t="s">
        <v>1404</v>
      </c>
      <c r="F433" s="3242"/>
      <c r="G433" s="3242"/>
      <c r="H433" s="3386"/>
      <c r="I433" s="3242"/>
      <c r="J433" s="3242"/>
      <c r="K433" s="3242"/>
      <c r="L433" s="3242"/>
      <c r="M433" s="3242"/>
      <c r="N433" s="3242"/>
      <c r="O433" s="3242"/>
      <c r="P433" s="3242"/>
      <c r="Q433" s="3242"/>
      <c r="R433" s="3242"/>
      <c r="S433" s="3242"/>
      <c r="T433" s="3242"/>
      <c r="U433" s="3242"/>
      <c r="V433" s="3242"/>
      <c r="W433" s="3242"/>
      <c r="X433" s="3242"/>
      <c r="Y433" s="3242"/>
      <c r="Z433" s="3242"/>
      <c r="AA433" s="3242"/>
      <c r="AB433" s="3242"/>
      <c r="AC433" s="3242"/>
      <c r="AD433" s="3242"/>
      <c r="AE433" s="3242"/>
      <c r="AF433" s="3242"/>
      <c r="AG433" s="4756"/>
      <c r="AH433" s="4756"/>
      <c r="AI433" s="4756"/>
      <c r="AJ433" s="4756"/>
      <c r="AK433" s="4756"/>
      <c r="AL433" s="4756"/>
    </row>
    <row r="434" spans="4:38" ht="35" customHeight="1" x14ac:dyDescent="0.25">
      <c r="D434" s="4225"/>
      <c r="E434" s="1055" t="s">
        <v>251</v>
      </c>
      <c r="F434" s="3425">
        <v>8.1</v>
      </c>
      <c r="G434" s="3425">
        <v>8.6</v>
      </c>
      <c r="H434" s="1059">
        <f>+((F434*'COKE OVENS'!$E$118)+(G434*'COKE OVENS'!$G$118))/'COKE OVENS'!$I$118</f>
        <v>8.3677249017966382</v>
      </c>
      <c r="I434" s="3425">
        <v>9.0500000000000007</v>
      </c>
      <c r="J434" s="1058">
        <f>+((H434*'COKE OVENS'!$I$118)+(I434*'COKE OVENS'!$K$118))/'COKE OVENS'!$M$118</f>
        <v>8.6797249598098833</v>
      </c>
      <c r="K434" s="3425">
        <v>8.74</v>
      </c>
      <c r="L434" s="1059">
        <f>+((J434*'COKE OVENS'!$M$118)+(K434*'COKE OVENS'!$O$118))/'COKE OVENS'!$Q$118</f>
        <v>8.7057782054843447</v>
      </c>
      <c r="M434" s="3425">
        <v>9</v>
      </c>
      <c r="N434" s="1059" t="e">
        <f>+((L434*'COKE OVENS'!$Q$118)+(M434*'COKE OVENS'!#REF!))/'COKE OVENS'!#REF!</f>
        <v>#REF!</v>
      </c>
      <c r="O434" s="3425">
        <v>9.5400000000000009</v>
      </c>
      <c r="P434" s="1058" t="e">
        <f>+((K434*'COKE OVENS'!$O$118)+(M434*'COKE OVENS'!#REF!)+(O434*'COKE OVENS'!#REF!))/'COKE OVENS'!#REF!</f>
        <v>#REF!</v>
      </c>
      <c r="Q434" s="1060" t="e">
        <f>+((N434*'COKE OVENS'!#REF!)+(O434*'COKE OVENS'!#REF!))/'COKE OVENS'!#REF!</f>
        <v>#REF!</v>
      </c>
      <c r="R434" s="3425">
        <v>9.1</v>
      </c>
      <c r="S434" s="1059" t="e">
        <f>+((Q434*'COKE OVENS'!#REF!)+(R434*'COKE OVENS'!#REF!))/'COKE OVENS'!#REF!</f>
        <v>#REF!</v>
      </c>
      <c r="T434" s="3425">
        <v>8.74</v>
      </c>
      <c r="U434" s="1059" t="e">
        <f>+((S434*'COKE OVENS'!#REF!)+(T434*'COKE OVENS'!#REF!))/'COKE OVENS'!#REF!</f>
        <v>#REF!</v>
      </c>
      <c r="V434" s="3425">
        <v>8.9</v>
      </c>
      <c r="W434" s="1058" t="e">
        <f>+((R434*'COKE OVENS'!#REF!)+(T434*'COKE OVENS'!#REF!)+(V434*'COKE OVENS'!#REF!))/'COKE OVENS'!#REF!</f>
        <v>#REF!</v>
      </c>
      <c r="X434" s="1059" t="e">
        <f>+((U434*'COKE OVENS'!#REF!)+(V434*'COKE OVENS'!#REF!))/'COKE OVENS'!#REF!</f>
        <v>#REF!</v>
      </c>
      <c r="Y434" s="3425">
        <v>9.1714285714285726</v>
      </c>
      <c r="Z434" s="1059" t="e">
        <f>+((X434*'COKE OVENS'!#REF!)+(Y434*'COKE OVENS'!#REF!))/'COKE OVENS'!#REF!</f>
        <v>#REF!</v>
      </c>
      <c r="AA434" s="3425">
        <v>9.1399999999999988</v>
      </c>
      <c r="AB434" s="1059" t="e">
        <f>+((Z434*'COKE OVENS'!#REF!)+(AA434*'COKE OVENS'!#REF!))/'COKE OVENS'!#REF!</f>
        <v>#REF!</v>
      </c>
      <c r="AC434" s="3425">
        <v>8.8999999999999986</v>
      </c>
      <c r="AD434" s="1058" t="e">
        <f>+((Y434*'COKE OVENS'!#REF!)+(AA434*'COKE OVENS'!#REF!)+(AC434*'COKE OVENS'!#REF!))/'COKE OVENS'!#REF!</f>
        <v>#REF!</v>
      </c>
      <c r="AE434" s="1060" t="e">
        <f>+((W434*'COKE OVENS'!#REF!)+(AD434*'COKE OVENS'!#REF!))/'COKE OVENS'!#REF!</f>
        <v>#REF!</v>
      </c>
      <c r="AF434" s="2627" t="e">
        <f>+((AB434*'COKE OVENS'!#REF!)+(AC434*'COKE OVENS'!#REF!))/'COKE OVENS'!#REF!</f>
        <v>#REF!</v>
      </c>
    </row>
    <row r="435" spans="4:38" ht="35" customHeight="1" x14ac:dyDescent="0.25">
      <c r="D435" s="4225"/>
      <c r="E435" s="1055" t="s">
        <v>252</v>
      </c>
      <c r="F435" s="3425">
        <v>13</v>
      </c>
      <c r="G435" s="3425">
        <v>13.333333333333334</v>
      </c>
      <c r="H435" s="1059">
        <f>+((F435*'COKE OVENS'!$E$118)+(G435*'COKE OVENS'!$G$118))/'COKE OVENS'!$I$118</f>
        <v>13.178483267864427</v>
      </c>
      <c r="I435" s="3425">
        <v>12.9</v>
      </c>
      <c r="J435" s="1058">
        <f>+((H435*'COKE OVENS'!$I$118)+(I435*'COKE OVENS'!$K$118))/'COKE OVENS'!$M$118</f>
        <v>13.051134642715688</v>
      </c>
      <c r="K435" s="3425">
        <v>13.820000000000002</v>
      </c>
      <c r="L435" s="1059">
        <f>+((J435*'COKE OVENS'!$M$118)+(K435*'COKE OVENS'!$O$118))/'COKE OVENS'!$Q$118</f>
        <v>13.383468523883225</v>
      </c>
      <c r="M435" s="3425">
        <v>12.925000000000001</v>
      </c>
      <c r="N435" s="1059" t="e">
        <f>+((L435*'COKE OVENS'!$Q$118)+(M435*'COKE OVENS'!#REF!))/'COKE OVENS'!#REF!</f>
        <v>#REF!</v>
      </c>
      <c r="O435" s="3425">
        <v>13.3</v>
      </c>
      <c r="P435" s="1058" t="e">
        <f>+((K435*'COKE OVENS'!$O$118)+(M435*'COKE OVENS'!#REF!)+(O435*'COKE OVENS'!#REF!))/'COKE OVENS'!#REF!</f>
        <v>#REF!</v>
      </c>
      <c r="Q435" s="1060" t="e">
        <f>+((N435*'COKE OVENS'!#REF!)+(O435*'COKE OVENS'!#REF!))/'COKE OVENS'!#REF!</f>
        <v>#REF!</v>
      </c>
      <c r="R435" s="3425">
        <v>13.15</v>
      </c>
      <c r="S435" s="1059" t="e">
        <f>+((Q435*'COKE OVENS'!#REF!)+(R435*'COKE OVENS'!#REF!))/'COKE OVENS'!#REF!</f>
        <v>#REF!</v>
      </c>
      <c r="T435" s="3425">
        <v>13.959999999999999</v>
      </c>
      <c r="U435" s="1059" t="e">
        <f>+((S435*'COKE OVENS'!#REF!)+(T435*'COKE OVENS'!#REF!))/'COKE OVENS'!#REF!</f>
        <v>#REF!</v>
      </c>
      <c r="V435" s="3425">
        <v>13.766666666666666</v>
      </c>
      <c r="W435" s="1058" t="e">
        <f>+((R435*'COKE OVENS'!#REF!)+(T435*'COKE OVENS'!#REF!)+(V435*'COKE OVENS'!#REF!))/'COKE OVENS'!#REF!</f>
        <v>#REF!</v>
      </c>
      <c r="X435" s="1059" t="e">
        <f>+((U435*'COKE OVENS'!#REF!)+(V435*'COKE OVENS'!#REF!))/'COKE OVENS'!#REF!</f>
        <v>#REF!</v>
      </c>
      <c r="Y435" s="3425">
        <v>13.5</v>
      </c>
      <c r="Z435" s="1059" t="e">
        <f>+((X435*'COKE OVENS'!#REF!)+(Y435*'COKE OVENS'!#REF!))/'COKE OVENS'!#REF!</f>
        <v>#REF!</v>
      </c>
      <c r="AA435" s="3425">
        <v>12.32</v>
      </c>
      <c r="AB435" s="1059" t="e">
        <f>+((Z435*'COKE OVENS'!#REF!)+(AA435*'COKE OVENS'!#REF!))/'COKE OVENS'!#REF!</f>
        <v>#REF!</v>
      </c>
      <c r="AC435" s="3425">
        <v>13.3</v>
      </c>
      <c r="AD435" s="1058" t="e">
        <f>+((Y435*'COKE OVENS'!#REF!)+(AA435*'COKE OVENS'!#REF!)+(AC435*'COKE OVENS'!#REF!))/'COKE OVENS'!#REF!</f>
        <v>#REF!</v>
      </c>
      <c r="AE435" s="1060" t="e">
        <f>+((W435*'COKE OVENS'!#REF!)+(AD435*'COKE OVENS'!#REF!))/'COKE OVENS'!#REF!</f>
        <v>#REF!</v>
      </c>
      <c r="AF435" s="2627" t="e">
        <f>+((AB435*'COKE OVENS'!#REF!)+(AC435*'COKE OVENS'!#REF!))/'COKE OVENS'!#REF!</f>
        <v>#REF!</v>
      </c>
    </row>
    <row r="436" spans="4:38" ht="35" customHeight="1" x14ac:dyDescent="0.25">
      <c r="D436" s="4225"/>
      <c r="E436" s="1055" t="s">
        <v>253</v>
      </c>
      <c r="F436" s="3425">
        <v>24.7</v>
      </c>
      <c r="G436" s="3425">
        <v>25.599999999999998</v>
      </c>
      <c r="H436" s="1059">
        <f>+((F436*'COKE OVENS'!$E$118)+(G436*'COKE OVENS'!$G$118))/'COKE OVENS'!$I$118</f>
        <v>25.181904823233946</v>
      </c>
      <c r="I436" s="3425">
        <v>24.65</v>
      </c>
      <c r="J436" s="1058">
        <f>+((H436*'COKE OVENS'!$I$118)+(I436*'COKE OVENS'!$K$118))/'COKE OVENS'!$M$118</f>
        <v>24.938668134479624</v>
      </c>
      <c r="K436" s="3425">
        <v>25.4</v>
      </c>
      <c r="L436" s="1059">
        <f>+((J436*'COKE OVENS'!$M$118)+(K436*'COKE OVENS'!$O$118))/'COKE OVENS'!$Q$118</f>
        <v>25.138073931505218</v>
      </c>
      <c r="M436" s="3425">
        <v>25.375</v>
      </c>
      <c r="N436" s="1059" t="e">
        <f>+((L436*'COKE OVENS'!$Q$118)+(M436*'COKE OVENS'!#REF!))/'COKE OVENS'!#REF!</f>
        <v>#REF!</v>
      </c>
      <c r="O436" s="3425">
        <v>24.96</v>
      </c>
      <c r="P436" s="1058" t="e">
        <f>+((K436*'COKE OVENS'!$O$118)+(M436*'COKE OVENS'!#REF!)+(O436*'COKE OVENS'!#REF!))/'COKE OVENS'!#REF!</f>
        <v>#REF!</v>
      </c>
      <c r="Q436" s="1060" t="e">
        <f>+((N436*'COKE OVENS'!#REF!)+(O436*'COKE OVENS'!#REF!))/'COKE OVENS'!#REF!</f>
        <v>#REF!</v>
      </c>
      <c r="R436" s="3425">
        <v>25.099999999999998</v>
      </c>
      <c r="S436" s="1059" t="e">
        <f>+((Q436*'COKE OVENS'!#REF!)+(R436*'COKE OVENS'!#REF!))/'COKE OVENS'!#REF!</f>
        <v>#REF!</v>
      </c>
      <c r="T436" s="3425">
        <v>24.800000000000004</v>
      </c>
      <c r="U436" s="1059" t="e">
        <f>+((S436*'COKE OVENS'!#REF!)+(T436*'COKE OVENS'!#REF!))/'COKE OVENS'!#REF!</f>
        <v>#REF!</v>
      </c>
      <c r="V436" s="3425">
        <v>23.566666666666666</v>
      </c>
      <c r="W436" s="1058" t="e">
        <f>+((R436*'COKE OVENS'!#REF!)+(T436*'COKE OVENS'!#REF!)+(V436*'COKE OVENS'!#REF!))/'COKE OVENS'!#REF!</f>
        <v>#REF!</v>
      </c>
      <c r="X436" s="1059" t="e">
        <f>+((U436*'COKE OVENS'!#REF!)+(V436*'COKE OVENS'!#REF!))/'COKE OVENS'!#REF!</f>
        <v>#REF!</v>
      </c>
      <c r="Y436" s="3425">
        <v>24.900000000000002</v>
      </c>
      <c r="Z436" s="1059" t="e">
        <f>+((X436*'COKE OVENS'!#REF!)+(Y436*'COKE OVENS'!#REF!))/'COKE OVENS'!#REF!</f>
        <v>#REF!</v>
      </c>
      <c r="AA436" s="3425">
        <v>24.599999999999998</v>
      </c>
      <c r="AB436" s="1059" t="e">
        <f>+((Z436*'COKE OVENS'!#REF!)+(AA436*'COKE OVENS'!#REF!))/'COKE OVENS'!#REF!</f>
        <v>#REF!</v>
      </c>
      <c r="AC436" s="3425">
        <v>24.200000000000003</v>
      </c>
      <c r="AD436" s="1058" t="e">
        <f>+((Y436*'COKE OVENS'!#REF!)+(AA436*'COKE OVENS'!#REF!)+(AC436*'COKE OVENS'!#REF!))/'COKE OVENS'!#REF!</f>
        <v>#REF!</v>
      </c>
      <c r="AE436" s="1060" t="e">
        <f>+((W436*'COKE OVENS'!#REF!)+(AD436*'COKE OVENS'!#REF!))/'COKE OVENS'!#REF!</f>
        <v>#REF!</v>
      </c>
      <c r="AF436" s="2627" t="e">
        <f>+((AB436*'COKE OVENS'!#REF!)+(AC436*'COKE OVENS'!#REF!))/'COKE OVENS'!#REF!</f>
        <v>#REF!</v>
      </c>
    </row>
    <row r="437" spans="4:38" s="3170" customFormat="1" ht="35" customHeight="1" x14ac:dyDescent="0.4">
      <c r="D437" s="4225"/>
      <c r="E437" s="4127" t="s">
        <v>256</v>
      </c>
      <c r="F437" s="3386"/>
      <c r="G437" s="3386"/>
      <c r="H437" s="5874"/>
      <c r="I437" s="3386"/>
      <c r="J437" s="5874"/>
      <c r="K437" s="3386"/>
      <c r="L437" s="3242"/>
      <c r="M437" s="3386"/>
      <c r="N437" s="4134"/>
      <c r="O437" s="3386"/>
      <c r="P437" s="3242"/>
      <c r="Q437" s="3242"/>
      <c r="R437" s="3386"/>
      <c r="S437" s="3242"/>
      <c r="T437" s="3386"/>
      <c r="U437" s="3242"/>
      <c r="V437" s="3386"/>
      <c r="W437" s="3242"/>
      <c r="X437" s="3242"/>
      <c r="Y437" s="3386"/>
      <c r="Z437" s="3242"/>
      <c r="AA437" s="3386"/>
      <c r="AB437" s="3242"/>
      <c r="AC437" s="3386"/>
      <c r="AD437" s="4125"/>
      <c r="AE437" s="3242"/>
      <c r="AF437" s="3242"/>
      <c r="AG437" s="4756"/>
      <c r="AH437" s="4756"/>
      <c r="AI437" s="4756"/>
      <c r="AJ437" s="4756"/>
      <c r="AK437" s="4756"/>
      <c r="AL437" s="4756"/>
    </row>
    <row r="438" spans="4:38" ht="35" customHeight="1" x14ac:dyDescent="0.25">
      <c r="D438" s="4225"/>
      <c r="E438" s="1055" t="s">
        <v>251</v>
      </c>
      <c r="F438" s="4174">
        <v>8.1</v>
      </c>
      <c r="G438" s="4174">
        <v>7.8</v>
      </c>
      <c r="H438" s="3075">
        <f>+((F438*2283)+(G438*0))/(2283+0)</f>
        <v>8.1</v>
      </c>
      <c r="I438" s="4174">
        <v>7.9</v>
      </c>
      <c r="J438" s="1058">
        <f>+((H438*0)+(I438*2283))/(0+2283)</f>
        <v>7.9</v>
      </c>
      <c r="K438" s="4174">
        <v>10.050000000000001</v>
      </c>
      <c r="L438" s="1059">
        <f>+((J438*'COKE OVENS'!$M$127)+(K438*'COKE OVENS'!$O$127))/'COKE OVENS'!$Q$127</f>
        <v>8.5360141871165656</v>
      </c>
      <c r="M438" s="4174" t="s">
        <v>127</v>
      </c>
      <c r="N438" s="1059">
        <v>6.3999999999999995</v>
      </c>
      <c r="O438" s="4174" t="s">
        <v>127</v>
      </c>
      <c r="P438" s="1058">
        <v>6.3999999999999995</v>
      </c>
      <c r="Q438" s="1060">
        <v>6.3999999999999995</v>
      </c>
      <c r="R438" s="4174" t="s">
        <v>127</v>
      </c>
      <c r="S438" s="1059">
        <v>6.3999999999999995</v>
      </c>
      <c r="T438" s="4174" t="s">
        <v>127</v>
      </c>
      <c r="U438" s="1059">
        <v>6.3999999999999995</v>
      </c>
      <c r="V438" s="4174" t="s">
        <v>127</v>
      </c>
      <c r="W438" s="1058">
        <v>6.3999999999999995</v>
      </c>
      <c r="X438" s="1059">
        <v>6.3999999999999995</v>
      </c>
      <c r="Y438" s="4174" t="s">
        <v>127</v>
      </c>
      <c r="Z438" s="1059">
        <v>6.3999999999999995</v>
      </c>
      <c r="AA438" s="4174" t="s">
        <v>127</v>
      </c>
      <c r="AB438" s="1059">
        <v>6.3999999999999995</v>
      </c>
      <c r="AC438" s="4174"/>
      <c r="AD438" s="1058">
        <v>6.3999999999999995</v>
      </c>
      <c r="AE438" s="1060">
        <v>6.3999999999999995</v>
      </c>
      <c r="AF438" s="2627">
        <f>+((AB438*'[1]COKE OVENS'!$AW$124)+(AC438*'[1]COKE OVENS'!$AY$124))/'[1]COKE OVENS'!$BE$124</f>
        <v>6.3999999999999986</v>
      </c>
    </row>
    <row r="439" spans="4:38" ht="35" customHeight="1" x14ac:dyDescent="0.25">
      <c r="D439" s="4225"/>
      <c r="E439" s="1055" t="s">
        <v>252</v>
      </c>
      <c r="F439" s="4174">
        <v>22</v>
      </c>
      <c r="G439" s="4174">
        <v>21.9</v>
      </c>
      <c r="H439" s="1059">
        <f t="shared" ref="H439:H440" si="1147">+((F439*2283)+(G439*0))/(2283+0)</f>
        <v>22</v>
      </c>
      <c r="I439" s="4174">
        <v>22.9</v>
      </c>
      <c r="J439" s="1058">
        <f t="shared" ref="J439:J440" si="1148">+((H439*2283)+(I439*2283))/(2283+2283)</f>
        <v>22.45</v>
      </c>
      <c r="K439" s="4174">
        <v>20.75</v>
      </c>
      <c r="L439" s="1059">
        <f>+((J439*'COKE OVENS'!$M$127)+(K439*'COKE OVENS'!$O$127))/'COKE OVENS'!$Q$127</f>
        <v>21.947105061349692</v>
      </c>
      <c r="M439" s="4174" t="s">
        <v>127</v>
      </c>
      <c r="N439" s="1059">
        <v>20.8</v>
      </c>
      <c r="O439" s="4174" t="s">
        <v>127</v>
      </c>
      <c r="P439" s="1058">
        <v>20.8</v>
      </c>
      <c r="Q439" s="1060">
        <v>20.8</v>
      </c>
      <c r="R439" s="4174" t="s">
        <v>127</v>
      </c>
      <c r="S439" s="1059">
        <v>20.8</v>
      </c>
      <c r="T439" s="4174" t="s">
        <v>127</v>
      </c>
      <c r="U439" s="1059">
        <v>20.8</v>
      </c>
      <c r="V439" s="4174" t="s">
        <v>127</v>
      </c>
      <c r="W439" s="1058">
        <v>20.8</v>
      </c>
      <c r="X439" s="1059">
        <v>20.8</v>
      </c>
      <c r="Y439" s="4174" t="s">
        <v>127</v>
      </c>
      <c r="Z439" s="1059">
        <v>20.8</v>
      </c>
      <c r="AA439" s="4174" t="s">
        <v>127</v>
      </c>
      <c r="AB439" s="1059">
        <v>20.8</v>
      </c>
      <c r="AC439" s="4174"/>
      <c r="AD439" s="1058">
        <v>20.8</v>
      </c>
      <c r="AE439" s="1060">
        <v>20.8</v>
      </c>
      <c r="AF439" s="2627">
        <f>+((AB439*'[1]COKE OVENS'!$AW$124)+(AC439*'[1]COKE OVENS'!$AY$124))/'[1]COKE OVENS'!$BE$124</f>
        <v>20.8</v>
      </c>
    </row>
    <row r="440" spans="4:38" ht="35" customHeight="1" x14ac:dyDescent="0.25">
      <c r="D440" s="4225"/>
      <c r="E440" s="1055" t="s">
        <v>253</v>
      </c>
      <c r="F440" s="4174">
        <v>20.85</v>
      </c>
      <c r="G440" s="4174">
        <v>22.2</v>
      </c>
      <c r="H440" s="1059">
        <f t="shared" si="1147"/>
        <v>20.85</v>
      </c>
      <c r="I440" s="4174">
        <v>21.7</v>
      </c>
      <c r="J440" s="1058">
        <f t="shared" si="1148"/>
        <v>21.274999999999999</v>
      </c>
      <c r="K440" s="4174">
        <v>20.65</v>
      </c>
      <c r="L440" s="1059">
        <f>+((J440*'COKE OVENS'!$M$127)+(K440*'COKE OVENS'!$O$127))/'COKE OVENS'!$Q$127</f>
        <v>21.090112154907974</v>
      </c>
      <c r="M440" s="4174" t="s">
        <v>127</v>
      </c>
      <c r="N440" s="1059">
        <v>25.4</v>
      </c>
      <c r="O440" s="4174" t="s">
        <v>127</v>
      </c>
      <c r="P440" s="1058">
        <v>25.4</v>
      </c>
      <c r="Q440" s="1060">
        <v>25.4</v>
      </c>
      <c r="R440" s="4174" t="s">
        <v>127</v>
      </c>
      <c r="S440" s="1059">
        <v>25.4</v>
      </c>
      <c r="T440" s="4174" t="s">
        <v>127</v>
      </c>
      <c r="U440" s="1059">
        <v>25.4</v>
      </c>
      <c r="V440" s="4174" t="s">
        <v>127</v>
      </c>
      <c r="W440" s="1058">
        <v>25.4</v>
      </c>
      <c r="X440" s="1059">
        <v>25.4</v>
      </c>
      <c r="Y440" s="4174" t="s">
        <v>127</v>
      </c>
      <c r="Z440" s="1059">
        <v>25.4</v>
      </c>
      <c r="AA440" s="4174" t="s">
        <v>127</v>
      </c>
      <c r="AB440" s="1059">
        <v>25.4</v>
      </c>
      <c r="AC440" s="4174"/>
      <c r="AD440" s="1058">
        <v>25.4</v>
      </c>
      <c r="AE440" s="1060">
        <v>25.4</v>
      </c>
      <c r="AF440" s="2627">
        <f>+((AB440*'[1]COKE OVENS'!$AW$124)+(AC440*'[1]COKE OVENS'!$AY$124))/'[1]COKE OVENS'!$BE$124</f>
        <v>25.4</v>
      </c>
    </row>
    <row r="441" spans="4:38" s="3170" customFormat="1" ht="35" customHeight="1" x14ac:dyDescent="0.4">
      <c r="D441" s="4225"/>
      <c r="E441" s="4127" t="s">
        <v>1061</v>
      </c>
      <c r="F441" s="3386"/>
      <c r="G441" s="3386"/>
      <c r="H441" s="3386"/>
      <c r="I441" s="3386"/>
      <c r="J441" s="3242"/>
      <c r="K441" s="3386"/>
      <c r="L441" s="3242"/>
      <c r="M441" s="3386"/>
      <c r="N441" s="3242"/>
      <c r="O441" s="3386"/>
      <c r="P441" s="3242"/>
      <c r="Q441" s="3242"/>
      <c r="R441" s="3386"/>
      <c r="S441" s="3242"/>
      <c r="T441" s="3386"/>
      <c r="U441" s="3242"/>
      <c r="V441" s="3386"/>
      <c r="W441" s="3242"/>
      <c r="X441" s="3242"/>
      <c r="Y441" s="3386"/>
      <c r="Z441" s="3242"/>
      <c r="AA441" s="3386"/>
      <c r="AB441" s="3242"/>
      <c r="AC441" s="3386"/>
      <c r="AD441" s="4125"/>
      <c r="AE441" s="3242"/>
      <c r="AF441" s="3242"/>
      <c r="AG441" s="4756"/>
      <c r="AH441" s="4756"/>
      <c r="AI441" s="4756"/>
      <c r="AJ441" s="4756"/>
      <c r="AK441" s="4756"/>
      <c r="AL441" s="4756"/>
    </row>
    <row r="442" spans="4:38" ht="35" customHeight="1" x14ac:dyDescent="0.25">
      <c r="D442" s="4225"/>
      <c r="E442" s="1055" t="s">
        <v>251</v>
      </c>
      <c r="F442" s="4174">
        <v>8.1999999999999993</v>
      </c>
      <c r="G442" s="4174">
        <v>8.1</v>
      </c>
      <c r="H442" s="1059" t="e">
        <f>+((F442*'COKE OVENS'!$E$129)+(G442*'COKE OVENS'!$G$129))/'COKE OVENS'!$I$129</f>
        <v>#DIV/0!</v>
      </c>
      <c r="I442" s="4898" t="s">
        <v>127</v>
      </c>
      <c r="J442" s="1058" t="e">
        <f>+((H442*'COKE OVENS'!$I$129)+(I442*'COKE OVENS'!$K$129))/'COKE OVENS'!$M$129</f>
        <v>#DIV/0!</v>
      </c>
      <c r="K442" s="4174"/>
      <c r="L442" s="1059" t="e">
        <f>+((J442*'COKE OVENS'!$M$129)+(K442*'COKE OVENS'!$O$129))/'COKE OVENS'!$Q$129</f>
        <v>#DIV/0!</v>
      </c>
      <c r="M442" s="4174">
        <v>9.7666666666666657</v>
      </c>
      <c r="N442" s="1059" t="e">
        <f>+((L442*'COKE OVENS'!$Q$129)+(M442*'COKE OVENS'!#REF!))/'COKE OVENS'!#REF!</f>
        <v>#DIV/0!</v>
      </c>
      <c r="O442" s="4174">
        <v>9.9499999999999993</v>
      </c>
      <c r="P442" s="1058" t="e">
        <f>+((K442*'COKE OVENS'!$O$129)+(M442*'COKE OVENS'!#REF!)+(O442*'COKE OVENS'!#REF!))/'COKE OVENS'!#REF!</f>
        <v>#REF!</v>
      </c>
      <c r="Q442" s="1060" t="e">
        <f>+((N442*'COKE OVENS'!#REF!)+(O442*'COKE OVENS'!#REF!))/'COKE OVENS'!#REF!</f>
        <v>#DIV/0!</v>
      </c>
      <c r="R442" s="4174">
        <v>9.3000000000000007</v>
      </c>
      <c r="S442" s="1059" t="e">
        <f>+((Q442*'COKE OVENS'!#REF!)+(R442*'COKE OVENS'!#REF!))/'COKE OVENS'!#REF!</f>
        <v>#DIV/0!</v>
      </c>
      <c r="T442" s="4174">
        <v>8.1666666666666661</v>
      </c>
      <c r="U442" s="1059" t="e">
        <f>+((S442*'COKE OVENS'!#REF!)+(T442*'COKE OVENS'!#REF!))/'COKE OVENS'!#REF!</f>
        <v>#DIV/0!</v>
      </c>
      <c r="V442" s="4174">
        <v>8.1333333333333329</v>
      </c>
      <c r="W442" s="1058" t="e">
        <f>+((R442*'COKE OVENS'!#REF!)+(T442*'COKE OVENS'!#REF!)+(V442*'COKE OVENS'!#REF!))/'COKE OVENS'!#REF!</f>
        <v>#REF!</v>
      </c>
      <c r="X442" s="1059" t="e">
        <f>+((U442*'COKE OVENS'!#REF!)+(V442*'COKE OVENS'!#REF!))/'COKE OVENS'!#REF!</f>
        <v>#DIV/0!</v>
      </c>
      <c r="Y442" s="4174">
        <v>8</v>
      </c>
      <c r="Z442" s="1059" t="e">
        <f>+((X442*'COKE OVENS'!#REF!)+(Y442*'COKE OVENS'!#REF!))/'COKE OVENS'!#REF!</f>
        <v>#DIV/0!</v>
      </c>
      <c r="AA442" s="4174">
        <v>8.1</v>
      </c>
      <c r="AB442" s="1059" t="e">
        <f>+((Z442*'COKE OVENS'!#REF!)+(AA442*'COKE OVENS'!#REF!))/'COKE OVENS'!#REF!</f>
        <v>#DIV/0!</v>
      </c>
      <c r="AC442" s="4174">
        <v>8.8000000000000007</v>
      </c>
      <c r="AD442" s="1058" t="e">
        <f>+((Y442*'COKE OVENS'!#REF!)+(AA442*'COKE OVENS'!#REF!)+(AC442*'COKE OVENS'!#REF!))/'COKE OVENS'!#REF!</f>
        <v>#REF!</v>
      </c>
      <c r="AE442" s="1060" t="e">
        <f>+((W442*'COKE OVENS'!#REF!)+(AD442*'COKE OVENS'!#REF!))/'COKE OVENS'!#REF!</f>
        <v>#REF!</v>
      </c>
      <c r="AF442" s="2627" t="e">
        <f>+((AB442*'COKE OVENS'!#REF!)+(AC442*'COKE OVENS'!#REF!))/'COKE OVENS'!#REF!</f>
        <v>#DIV/0!</v>
      </c>
    </row>
    <row r="443" spans="4:38" ht="35" customHeight="1" x14ac:dyDescent="0.25">
      <c r="D443" s="4225"/>
      <c r="E443" s="1055" t="s">
        <v>252</v>
      </c>
      <c r="F443" s="4174">
        <v>28.8</v>
      </c>
      <c r="G443" s="4174">
        <v>29.1</v>
      </c>
      <c r="H443" s="1059" t="e">
        <f>+((F443*'COKE OVENS'!$E$129)+(G443*'COKE OVENS'!$G$129))/'COKE OVENS'!$I$129</f>
        <v>#DIV/0!</v>
      </c>
      <c r="I443" s="4898" t="s">
        <v>127</v>
      </c>
      <c r="J443" s="1058" t="e">
        <f>+((H443*'COKE OVENS'!$I$129)+(I443*'COKE OVENS'!$K$129))/'COKE OVENS'!$M$129</f>
        <v>#DIV/0!</v>
      </c>
      <c r="K443" s="4174"/>
      <c r="L443" s="1059" t="e">
        <f>+((J443*'COKE OVENS'!$M$129)+(K443*'COKE OVENS'!$O$129))/'COKE OVENS'!$Q$129</f>
        <v>#DIV/0!</v>
      </c>
      <c r="M443" s="4174">
        <v>23.466666666666669</v>
      </c>
      <c r="N443" s="1059" t="e">
        <f>+((L443*'COKE OVENS'!$Q$129)+(M443*'COKE OVENS'!#REF!))/'COKE OVENS'!#REF!</f>
        <v>#DIV/0!</v>
      </c>
      <c r="O443" s="4174">
        <v>23.950000000000003</v>
      </c>
      <c r="P443" s="1058" t="e">
        <f>+((K443*'COKE OVENS'!$O$129)+(M443*'COKE OVENS'!#REF!)+(O443*'COKE OVENS'!#REF!))/'COKE OVENS'!#REF!</f>
        <v>#REF!</v>
      </c>
      <c r="Q443" s="1060" t="e">
        <f>+((N443*'COKE OVENS'!#REF!)+(O443*'COKE OVENS'!#REF!))/'COKE OVENS'!#REF!</f>
        <v>#DIV/0!</v>
      </c>
      <c r="R443" s="4174">
        <v>23.375</v>
      </c>
      <c r="S443" s="1059" t="e">
        <f>+((Q443*'COKE OVENS'!#REF!)+(R443*'COKE OVENS'!#REF!))/'COKE OVENS'!#REF!</f>
        <v>#DIV/0!</v>
      </c>
      <c r="T443" s="4174">
        <v>22.433333333333334</v>
      </c>
      <c r="U443" s="1059" t="e">
        <f>+((S443*'COKE OVENS'!#REF!)+(T443*'COKE OVENS'!#REF!))/'COKE OVENS'!#REF!</f>
        <v>#DIV/0!</v>
      </c>
      <c r="V443" s="4174">
        <v>21.766666666666666</v>
      </c>
      <c r="W443" s="1058" t="e">
        <f>+((R443*'COKE OVENS'!#REF!)+(T443*'COKE OVENS'!#REF!)+(V443*'COKE OVENS'!#REF!))/'COKE OVENS'!#REF!</f>
        <v>#REF!</v>
      </c>
      <c r="X443" s="1059" t="e">
        <f>+((U443*'COKE OVENS'!#REF!)+(V443*'COKE OVENS'!#REF!))/'COKE OVENS'!#REF!</f>
        <v>#DIV/0!</v>
      </c>
      <c r="Y443" s="4174">
        <v>23.200000000000003</v>
      </c>
      <c r="Z443" s="1059" t="e">
        <f>+((X443*'COKE OVENS'!#REF!)+(Y443*'COKE OVENS'!#REF!))/'COKE OVENS'!#REF!</f>
        <v>#DIV/0!</v>
      </c>
      <c r="AA443" s="4174">
        <v>23.2</v>
      </c>
      <c r="AB443" s="1059" t="e">
        <f>+((Z443*'COKE OVENS'!#REF!)+(AA443*'COKE OVENS'!#REF!))/'COKE OVENS'!#REF!</f>
        <v>#DIV/0!</v>
      </c>
      <c r="AC443" s="4174">
        <v>23.2</v>
      </c>
      <c r="AD443" s="1058" t="e">
        <f>+((Y443*'COKE OVENS'!#REF!)+(AA443*'COKE OVENS'!#REF!)+(AC443*'COKE OVENS'!#REF!))/'COKE OVENS'!#REF!</f>
        <v>#REF!</v>
      </c>
      <c r="AE443" s="1060" t="e">
        <f>+((W443*'COKE OVENS'!#REF!)+(AD443*'COKE OVENS'!#REF!))/'COKE OVENS'!#REF!</f>
        <v>#REF!</v>
      </c>
      <c r="AF443" s="2627" t="e">
        <f>+((AB443*'COKE OVENS'!#REF!)+(AC443*'COKE OVENS'!#REF!))/'COKE OVENS'!#REF!</f>
        <v>#DIV/0!</v>
      </c>
    </row>
    <row r="444" spans="4:38" ht="35" customHeight="1" x14ac:dyDescent="0.25">
      <c r="D444" s="4225"/>
      <c r="E444" s="1055" t="s">
        <v>253</v>
      </c>
      <c r="F444" s="4174">
        <v>21</v>
      </c>
      <c r="G444" s="4174">
        <v>20.3</v>
      </c>
      <c r="H444" s="1059" t="e">
        <f>+((F444*'COKE OVENS'!$E$129)+(G444*'COKE OVENS'!$G$129))/'COKE OVENS'!$I$129</f>
        <v>#DIV/0!</v>
      </c>
      <c r="I444" s="4898" t="s">
        <v>127</v>
      </c>
      <c r="J444" s="1058" t="e">
        <f>+((H444*'COKE OVENS'!$I$129)+(I444*'COKE OVENS'!$K$129))/'COKE OVENS'!$M$129</f>
        <v>#DIV/0!</v>
      </c>
      <c r="K444" s="4174"/>
      <c r="L444" s="1059" t="e">
        <f>+((J444*'COKE OVENS'!$M$129)+(K444*'COKE OVENS'!$O$129))/'COKE OVENS'!$Q$129</f>
        <v>#DIV/0!</v>
      </c>
      <c r="M444" s="4174">
        <v>19.5</v>
      </c>
      <c r="N444" s="1059" t="e">
        <f>+((L444*'COKE OVENS'!$Q$129)+(M444*'COKE OVENS'!#REF!))/'COKE OVENS'!#REF!</f>
        <v>#DIV/0!</v>
      </c>
      <c r="O444" s="4174">
        <v>19.850000000000001</v>
      </c>
      <c r="P444" s="1058" t="e">
        <f>+((K444*'COKE OVENS'!$O$129)+(M444*'COKE OVENS'!#REF!)+(O444*'COKE OVENS'!#REF!))/'COKE OVENS'!#REF!</f>
        <v>#REF!</v>
      </c>
      <c r="Q444" s="1060" t="e">
        <f>+((N444*'COKE OVENS'!#REF!)+(O444*'COKE OVENS'!#REF!))/'COKE OVENS'!#REF!</f>
        <v>#DIV/0!</v>
      </c>
      <c r="R444" s="4174">
        <v>20.25</v>
      </c>
      <c r="S444" s="1059" t="e">
        <f>+((Q444*'COKE OVENS'!#REF!)+(R444*'COKE OVENS'!#REF!))/'COKE OVENS'!#REF!</f>
        <v>#DIV/0!</v>
      </c>
      <c r="T444" s="4174">
        <v>20.2</v>
      </c>
      <c r="U444" s="1059" t="e">
        <f>+((S444*'COKE OVENS'!#REF!)+(T444*'COKE OVENS'!#REF!))/'COKE OVENS'!#REF!</f>
        <v>#DIV/0!</v>
      </c>
      <c r="V444" s="4174">
        <v>20.533333333333331</v>
      </c>
      <c r="W444" s="1058" t="e">
        <f>+((R444*'COKE OVENS'!#REF!)+(T444*'COKE OVENS'!#REF!)+(V444*'COKE OVENS'!#REF!))/'COKE OVENS'!#REF!</f>
        <v>#REF!</v>
      </c>
      <c r="X444" s="1059" t="e">
        <f>+((U444*'COKE OVENS'!#REF!)+(V444*'COKE OVENS'!#REF!))/'COKE OVENS'!#REF!</f>
        <v>#DIV/0!</v>
      </c>
      <c r="Y444" s="4174">
        <v>19.899999999999999</v>
      </c>
      <c r="Z444" s="1059" t="e">
        <f>+((X444*'COKE OVENS'!#REF!)+(Y444*'COKE OVENS'!#REF!))/'COKE OVENS'!#REF!</f>
        <v>#DIV/0!</v>
      </c>
      <c r="AA444" s="4174">
        <v>20.3</v>
      </c>
      <c r="AB444" s="1059" t="e">
        <f>+((Z444*'COKE OVENS'!#REF!)+(AA444*'COKE OVENS'!#REF!))/'COKE OVENS'!#REF!</f>
        <v>#DIV/0!</v>
      </c>
      <c r="AC444" s="4174">
        <v>19.600000000000001</v>
      </c>
      <c r="AD444" s="1058" t="e">
        <f>+((Y444*'COKE OVENS'!#REF!)+(AA444*'COKE OVENS'!#REF!)+(AC444*'COKE OVENS'!#REF!))/'COKE OVENS'!#REF!</f>
        <v>#REF!</v>
      </c>
      <c r="AE444" s="1060" t="e">
        <f>+((W444*'COKE OVENS'!#REF!)+(AD444*'COKE OVENS'!#REF!))/'COKE OVENS'!#REF!</f>
        <v>#REF!</v>
      </c>
      <c r="AF444" s="2627" t="e">
        <f>+((AB444*'COKE OVENS'!#REF!)+(AC444*'COKE OVENS'!#REF!))/'COKE OVENS'!#REF!</f>
        <v>#DIV/0!</v>
      </c>
    </row>
    <row r="445" spans="4:38" ht="35" customHeight="1" x14ac:dyDescent="0.25">
      <c r="D445" s="4225"/>
      <c r="E445" s="992" t="s">
        <v>268</v>
      </c>
      <c r="F445" s="993"/>
      <c r="G445" s="993"/>
      <c r="H445" s="3243"/>
      <c r="I445" s="993"/>
      <c r="J445" s="3243"/>
      <c r="K445" s="993"/>
      <c r="L445" s="3243"/>
      <c r="M445" s="993"/>
      <c r="N445" s="993"/>
      <c r="O445" s="993"/>
      <c r="P445" s="993"/>
      <c r="Q445" s="985"/>
      <c r="R445" s="993"/>
      <c r="S445" s="993"/>
      <c r="T445" s="993"/>
      <c r="U445" s="993"/>
      <c r="V445" s="993"/>
      <c r="W445" s="993"/>
      <c r="X445" s="993"/>
      <c r="Y445" s="993"/>
      <c r="Z445" s="993"/>
      <c r="AA445" s="993"/>
      <c r="AB445" s="993"/>
      <c r="AC445" s="993"/>
      <c r="AD445" s="993"/>
      <c r="AE445" s="985"/>
      <c r="AF445" s="985"/>
    </row>
    <row r="446" spans="4:38" ht="35" customHeight="1" x14ac:dyDescent="0.25">
      <c r="D446" s="1043"/>
      <c r="E446" s="1055" t="s">
        <v>23</v>
      </c>
      <c r="F446" s="3307">
        <v>3.6528735632183902</v>
      </c>
      <c r="G446" s="3307">
        <v>3.5741176470588245</v>
      </c>
      <c r="H446" s="1063">
        <f>+((F446*$F$22)+(G446*$G$22))/$H$22</f>
        <v>3.6109020792250122</v>
      </c>
      <c r="I446" s="3307">
        <v>3.6279069767441858</v>
      </c>
      <c r="J446" s="1062">
        <f>+((H446*$H$22)+(I446*$I$22))/$J$22</f>
        <v>3.6170267542702246</v>
      </c>
      <c r="K446" s="3307">
        <v>3.8746835443037977</v>
      </c>
      <c r="L446" s="1063">
        <f>+((J446*$J$22)+(K446*$K$22))/$L$22</f>
        <v>3.6896279071413782</v>
      </c>
      <c r="M446" s="3307">
        <v>4.1922077922077943</v>
      </c>
      <c r="N446" s="1063">
        <f>+((L446*$L$22)+(M446*$M$22))/$N$22</f>
        <v>3.7953955763282514</v>
      </c>
      <c r="O446" s="3307">
        <v>3.880281690140845</v>
      </c>
      <c r="P446" s="1062">
        <f>+((K446*$K$22)+(M446*$M$22)+(O446*$O$22))/$P$22</f>
        <v>3.9830531851559776</v>
      </c>
      <c r="Q446" s="1064">
        <f>+((N446*$N$22)+(O446*$O$22))/$Q$22</f>
        <v>3.809169963272895</v>
      </c>
      <c r="R446" s="3307">
        <v>4.1657142857142864</v>
      </c>
      <c r="S446" s="1059">
        <f>+((Q446*$Q$22)+(R446*$R$22))/$S$22</f>
        <v>3.8624146115180427</v>
      </c>
      <c r="T446" s="3307">
        <v>3.9888888888888894</v>
      </c>
      <c r="U446" s="1059">
        <f>+((S446*$S$22)+(T446*$T$22))/$U$22</f>
        <v>3.8787672981680048</v>
      </c>
      <c r="V446" s="3307">
        <v>3.8022222222222228</v>
      </c>
      <c r="W446" s="1062">
        <f>+((R446*$R$22)+(T446*$T$22)+(V446*$V$22))/$W$22</f>
        <v>3.9833339001336627</v>
      </c>
      <c r="X446" s="1059">
        <f>+((U446*$U$22)+(V446*$V$22))/$X$22</f>
        <v>3.8696685619250153</v>
      </c>
      <c r="Y446" s="3307">
        <v>3.7022471910112364</v>
      </c>
      <c r="Z446" s="1059">
        <f>+((X446*$X$22)+(Y446*$Y$22))/$Z$22</f>
        <v>3.8516850729362515</v>
      </c>
      <c r="AA446" s="3307">
        <v>3.6835443037974671</v>
      </c>
      <c r="AB446" s="1059">
        <f>+((Z446*$Z$22)+(AA446*$AA$22))/$AB$22</f>
        <v>3.8362785576025633</v>
      </c>
      <c r="AC446" s="3307">
        <v>3.7186813186813192</v>
      </c>
      <c r="AD446" s="1062">
        <f t="shared" ref="AD446:AD451" si="1149">+((Y446*$Y$22)+(AA446*$AA$22)+(AC446*$AC$22))/$AD$22</f>
        <v>3.7016025954031053</v>
      </c>
      <c r="AE446" s="1064">
        <f>+((W446*$W$22)+(AD446*$AD$22))/$AE$22</f>
        <v>3.842278798571185</v>
      </c>
      <c r="AF446" s="2627">
        <f>+((AB446*$AB$22)+(AC446*$AC$22))/$AF$22</f>
        <v>3.8262527399205082</v>
      </c>
    </row>
    <row r="447" spans="4:38" ht="35" customHeight="1" x14ac:dyDescent="0.25">
      <c r="D447" s="1043"/>
      <c r="E447" s="1055" t="s">
        <v>22</v>
      </c>
      <c r="F447" s="3307">
        <v>15.014942528735629</v>
      </c>
      <c r="G447" s="3307">
        <v>14.629411764705887</v>
      </c>
      <c r="H447" s="1063">
        <f t="shared" ref="H447:J451" si="1150">+((F447*$F$22)+(G447*$G$22))/$H$22</f>
        <v>14.809481160491947</v>
      </c>
      <c r="I447" s="3307">
        <v>14.54418604651163</v>
      </c>
      <c r="J447" s="1062">
        <f t="shared" ref="J447:J449" si="1151">+((H447*$H$22)+(I447*$I$22))/$J$22</f>
        <v>14.713929490017016</v>
      </c>
      <c r="K447" s="3307">
        <v>14.496202531645567</v>
      </c>
      <c r="L447" s="1063">
        <f t="shared" ref="L447:L451" si="1152">+((J447*$J$22)+(K447*$K$22))/$L$22</f>
        <v>14.652579551648083</v>
      </c>
      <c r="M447" s="3307">
        <v>14.485882352941179</v>
      </c>
      <c r="N447" s="1063">
        <f t="shared" ref="N447:N451" si="1153">+((L447*$L$22)+(M447*$M$22))/$N$22</f>
        <v>14.617498214946993</v>
      </c>
      <c r="O447" s="3307">
        <v>14.551388888888889</v>
      </c>
      <c r="P447" s="1062">
        <f t="shared" ref="P447:P449" si="1154">+((K447*$K$22)+(M447*$M$22)+(O447*$O$22))/$P$22</f>
        <v>14.509795590727297</v>
      </c>
      <c r="Q447" s="1064">
        <f t="shared" ref="Q447:Q449" si="1155">+((N447*$N$22)+(O447*$O$22))/$Q$22</f>
        <v>14.606770719048377</v>
      </c>
      <c r="R447" s="3307">
        <v>14.6</v>
      </c>
      <c r="S447" s="1051">
        <f t="shared" ref="S447:S451" si="1156">+((Q447*$Q$22)+(R447*$R$22))/$S$22</f>
        <v>14.605759611785107</v>
      </c>
      <c r="T447" s="3307">
        <v>14.675308641975306</v>
      </c>
      <c r="U447" s="1051">
        <f t="shared" ref="U447:U451" si="1157">+((S447*$S$22)+(T447*$T$22))/$U$22</f>
        <v>14.61475206085184</v>
      </c>
      <c r="V447" s="3307">
        <v>14.580000000000005</v>
      </c>
      <c r="W447" s="1062">
        <f t="shared" ref="W447:W451" si="1158">+((R447*$R$22)+(T447*$T$22)+(V447*$V$22))/$W$22</f>
        <v>14.617855415480099</v>
      </c>
      <c r="X447" s="1059">
        <f t="shared" ref="X447:X451" si="1159">+((U447*$U$22)+(V447*$V$22))/$X$22</f>
        <v>14.610621163708108</v>
      </c>
      <c r="Y447" s="3307">
        <v>14.584269662921351</v>
      </c>
      <c r="Z447" s="1051">
        <f t="shared" ref="Z447:Z449" si="1160">+((X447*$X$22)+(Y447*$Y$22))/$Z$22</f>
        <v>14.607790629460004</v>
      </c>
      <c r="AA447" s="3307">
        <v>14.649367088607598</v>
      </c>
      <c r="AB447" s="1059">
        <f t="shared" ref="AB447:AB451" si="1161">+((Z447*$Z$22)+(AA447*$AA$22))/$AB$22</f>
        <v>14.611600225185411</v>
      </c>
      <c r="AC447" s="3307">
        <v>14.636263736263732</v>
      </c>
      <c r="AD447" s="1062">
        <f t="shared" si="1149"/>
        <v>14.622550902992927</v>
      </c>
      <c r="AE447" s="1064">
        <f t="shared" ref="AE447:AE451" si="1162">+((W447*$W$22)+(AD447*$AD$22))/$AE$22</f>
        <v>14.620206316700113</v>
      </c>
      <c r="AF447" s="2627">
        <f t="shared" ref="AF447:AF451" si="1163">+((AB447*$AB$22)+(AC447*$AC$22))/$AF$22</f>
        <v>14.613702926471078</v>
      </c>
      <c r="AI447" s="4756">
        <v>8160</v>
      </c>
    </row>
    <row r="448" spans="4:38" ht="35" customHeight="1" x14ac:dyDescent="0.25">
      <c r="D448" s="1043"/>
      <c r="E448" s="1055" t="s">
        <v>259</v>
      </c>
      <c r="F448" s="3307">
        <v>83.567441860465124</v>
      </c>
      <c r="G448" s="3307">
        <v>83.905882352941191</v>
      </c>
      <c r="H448" s="1063">
        <f t="shared" si="1150"/>
        <v>83.747807354327065</v>
      </c>
      <c r="I448" s="3307">
        <v>83.937647058823529</v>
      </c>
      <c r="J448" s="1062">
        <f t="shared" si="1151"/>
        <v>83.816182156316259</v>
      </c>
      <c r="K448" s="3307">
        <v>84.025316455696185</v>
      </c>
      <c r="L448" s="1063">
        <f t="shared" si="1152"/>
        <v>83.875110901170629</v>
      </c>
      <c r="M448" s="3307">
        <v>84.016470588235322</v>
      </c>
      <c r="N448" s="1063">
        <f t="shared" si="1153"/>
        <v>83.904859972038921</v>
      </c>
      <c r="O448" s="3307">
        <v>83.849315068493198</v>
      </c>
      <c r="P448" s="1062">
        <f t="shared" si="1154"/>
        <v>83.967940570052008</v>
      </c>
      <c r="Q448" s="1064">
        <f t="shared" si="1155"/>
        <v>83.895846754683603</v>
      </c>
      <c r="R448" s="3307">
        <v>83.892753623188426</v>
      </c>
      <c r="S448" s="1051">
        <f t="shared" si="1156"/>
        <v>83.895384841008152</v>
      </c>
      <c r="T448" s="3307">
        <v>83.866666666666703</v>
      </c>
      <c r="U448" s="1051">
        <f t="shared" si="1157"/>
        <v>83.891671680388242</v>
      </c>
      <c r="V448" s="3307">
        <v>83.900000000000034</v>
      </c>
      <c r="W448" s="1062">
        <f t="shared" si="1158"/>
        <v>83.88667744090705</v>
      </c>
      <c r="X448" s="1059">
        <f t="shared" si="1159"/>
        <v>83.892661648489508</v>
      </c>
      <c r="Y448" s="3307">
        <v>84.267499999999941</v>
      </c>
      <c r="Z448" s="1051">
        <f t="shared" si="1160"/>
        <v>83.93292473635077</v>
      </c>
      <c r="AA448" s="3307">
        <v>84.067532467532445</v>
      </c>
      <c r="AB448" s="1059">
        <f t="shared" si="1161"/>
        <v>83.945258663958612</v>
      </c>
      <c r="AC448" s="3307">
        <v>84.397802197802193</v>
      </c>
      <c r="AD448" s="1062">
        <f t="shared" si="1149"/>
        <v>84.245622005920552</v>
      </c>
      <c r="AE448" s="1064">
        <f t="shared" si="1162"/>
        <v>84.066391094388692</v>
      </c>
      <c r="AF448" s="2627">
        <f t="shared" si="1163"/>
        <v>83.983840513372158</v>
      </c>
    </row>
    <row r="449" spans="2:38" ht="35" customHeight="1" x14ac:dyDescent="0.25">
      <c r="D449" s="1043"/>
      <c r="E449" s="1055" t="s">
        <v>258</v>
      </c>
      <c r="F449" s="3307">
        <v>7.6767441860465091</v>
      </c>
      <c r="G449" s="3307">
        <v>7.7352941176470571</v>
      </c>
      <c r="H449" s="1063">
        <f t="shared" si="1150"/>
        <v>7.7079472706758194</v>
      </c>
      <c r="I449" s="3307">
        <v>7.8141176470588238</v>
      </c>
      <c r="J449" s="1062">
        <f t="shared" si="1151"/>
        <v>7.7461867869116929</v>
      </c>
      <c r="K449" s="3307">
        <v>7.7405063291139227</v>
      </c>
      <c r="L449" s="1063">
        <f t="shared" si="1152"/>
        <v>7.7445861778809721</v>
      </c>
      <c r="M449" s="3307">
        <v>7.5670588235294121</v>
      </c>
      <c r="N449" s="1063">
        <f t="shared" si="1153"/>
        <v>7.7072256406915551</v>
      </c>
      <c r="O449" s="3307">
        <v>7.6712328767123319</v>
      </c>
      <c r="P449" s="1062">
        <f t="shared" si="1154"/>
        <v>7.6608411185683813</v>
      </c>
      <c r="Q449" s="1064">
        <f t="shared" si="1155"/>
        <v>7.7013851299650113</v>
      </c>
      <c r="R449" s="3307">
        <v>7.7411764705882433</v>
      </c>
      <c r="S449" s="1051">
        <f t="shared" si="1156"/>
        <v>7.7073273811841005</v>
      </c>
      <c r="T449" s="3307">
        <v>7.6620987654321002</v>
      </c>
      <c r="U449" s="1051">
        <f t="shared" si="1157"/>
        <v>7.7014794775915361</v>
      </c>
      <c r="V449" s="3307">
        <v>7.573809523809528</v>
      </c>
      <c r="W449" s="1062">
        <f t="shared" si="1158"/>
        <v>7.6579684095414873</v>
      </c>
      <c r="X449" s="1059">
        <f t="shared" si="1159"/>
        <v>7.6863036452958049</v>
      </c>
      <c r="Y449" s="3307">
        <v>7.3699999999999974</v>
      </c>
      <c r="Z449" s="1051">
        <f t="shared" si="1160"/>
        <v>7.6523280357828929</v>
      </c>
      <c r="AA449" s="3307">
        <v>7.4922077922077932</v>
      </c>
      <c r="AB449" s="1059">
        <f t="shared" si="1161"/>
        <v>7.6376564305528882</v>
      </c>
      <c r="AC449" s="3307">
        <v>7.4593406593406577</v>
      </c>
      <c r="AD449" s="1062">
        <f t="shared" si="1149"/>
        <v>7.4391368669723219</v>
      </c>
      <c r="AE449" s="1064">
        <f t="shared" si="1162"/>
        <v>7.5484054857773408</v>
      </c>
      <c r="AF449" s="2627">
        <f t="shared" si="1163"/>
        <v>7.6224540207989815</v>
      </c>
    </row>
    <row r="450" spans="2:38" ht="35" customHeight="1" x14ac:dyDescent="0.25">
      <c r="D450" s="1043"/>
      <c r="E450" s="1055" t="s">
        <v>486</v>
      </c>
      <c r="F450" s="3305">
        <v>64.024999999999991</v>
      </c>
      <c r="G450" s="3305">
        <v>64.072727272727278</v>
      </c>
      <c r="H450" s="1063">
        <f t="shared" si="1150"/>
        <v>64.050435352174205</v>
      </c>
      <c r="I450" s="3305">
        <v>64.058333333333323</v>
      </c>
      <c r="J450" s="1062">
        <f t="shared" si="1150"/>
        <v>64.054644432659387</v>
      </c>
      <c r="K450" s="3305">
        <v>64.291666666666671</v>
      </c>
      <c r="L450" s="1063">
        <f t="shared" si="1152"/>
        <v>64.121431290645091</v>
      </c>
      <c r="M450" s="3305">
        <v>63.658333333333339</v>
      </c>
      <c r="N450" s="1063">
        <f>+((L450*$L$22)+(M450*$M$22))/$N$22</f>
        <v>64.023972572129935</v>
      </c>
      <c r="O450" s="3305">
        <v>63.463636363636368</v>
      </c>
      <c r="P450" s="1062">
        <f>+((K450*$K$22)+(O450*$O$22))/($P$22-$M$22)</f>
        <v>63.906276803880893</v>
      </c>
      <c r="Q450" s="1064">
        <f t="shared" ref="Q450:Q451" si="1164">+((N450*$N$22)+(O450*$O$22))/$Q$22</f>
        <v>63.933047361771919</v>
      </c>
      <c r="R450" s="3305">
        <v>64.055555555555557</v>
      </c>
      <c r="S450" s="1051">
        <f t="shared" si="1156"/>
        <v>63.951342157887282</v>
      </c>
      <c r="T450" s="3305">
        <v>64.009090909090915</v>
      </c>
      <c r="U450" s="1051">
        <f t="shared" si="1157"/>
        <v>63.958808871692575</v>
      </c>
      <c r="V450" s="3305">
        <v>64.341666666666669</v>
      </c>
      <c r="W450" s="1062">
        <f t="shared" si="1158"/>
        <v>64.138222790764004</v>
      </c>
      <c r="X450" s="1059">
        <f t="shared" si="1159"/>
        <v>64.004318292801642</v>
      </c>
      <c r="Y450" s="3305">
        <v>64.399999999999991</v>
      </c>
      <c r="Z450" s="1051">
        <f>+((X450*$X$22)+(Y450*$Y$22))/$Z$22</f>
        <v>64.046820260057203</v>
      </c>
      <c r="AA450" s="3305">
        <v>64.527272727272731</v>
      </c>
      <c r="AB450" s="1059">
        <f t="shared" si="1161"/>
        <v>64.090843481439961</v>
      </c>
      <c r="AC450" s="3305">
        <v>64.615384615384613</v>
      </c>
      <c r="AD450" s="1062">
        <f t="shared" si="1149"/>
        <v>64.51237862578958</v>
      </c>
      <c r="AE450" s="1064">
        <f t="shared" si="1162"/>
        <v>64.325552308015205</v>
      </c>
      <c r="AF450" s="2627">
        <f t="shared" si="1163"/>
        <v>64.135563526093293</v>
      </c>
    </row>
    <row r="451" spans="2:38" ht="35" customHeight="1" x14ac:dyDescent="0.25">
      <c r="D451" s="1043"/>
      <c r="E451" s="1055" t="s">
        <v>1453</v>
      </c>
      <c r="F451" s="3305">
        <v>22.974999999999998</v>
      </c>
      <c r="G451" s="3305">
        <v>22.799999999999997</v>
      </c>
      <c r="H451" s="1063">
        <f t="shared" si="1150"/>
        <v>22.881737042027932</v>
      </c>
      <c r="I451" s="3305">
        <v>22.833333333333332</v>
      </c>
      <c r="J451" s="1062">
        <f t="shared" si="1150"/>
        <v>22.855941196029779</v>
      </c>
      <c r="K451" s="3305">
        <v>22.616666666666664</v>
      </c>
      <c r="L451" s="1063">
        <f t="shared" si="1152"/>
        <v>22.788519698299403</v>
      </c>
      <c r="M451" s="3305">
        <v>23.549999999999997</v>
      </c>
      <c r="N451" s="1063">
        <f t="shared" si="1153"/>
        <v>22.948772822301663</v>
      </c>
      <c r="O451" s="3305">
        <v>23.527272727272724</v>
      </c>
      <c r="P451" s="1062">
        <f>+((K451*$K$22)+(O451*$O$22))/($P$22-$M$22)</f>
        <v>23.040489736262728</v>
      </c>
      <c r="Q451" s="1064">
        <f t="shared" si="1164"/>
        <v>23.042645437981815</v>
      </c>
      <c r="R451" s="3305">
        <v>22.6</v>
      </c>
      <c r="S451" s="1051">
        <f t="shared" si="1156"/>
        <v>22.97654285505109</v>
      </c>
      <c r="T451" s="3305">
        <v>23.063636363636363</v>
      </c>
      <c r="U451" s="1051">
        <f t="shared" si="1157"/>
        <v>22.987803744496336</v>
      </c>
      <c r="V451" s="3305">
        <v>23.141666666666666</v>
      </c>
      <c r="W451" s="1062">
        <f t="shared" si="1158"/>
        <v>22.937418148673178</v>
      </c>
      <c r="X451" s="1059">
        <f t="shared" si="1159"/>
        <v>23.006093074399086</v>
      </c>
      <c r="Y451" s="3305">
        <v>23.09090909090909</v>
      </c>
      <c r="Z451" s="1051">
        <f>+((X451*$X$22)+(Y451*$Y$22))/$Z$22</f>
        <v>23.015203547516428</v>
      </c>
      <c r="AA451" s="3305">
        <v>23.027272727272727</v>
      </c>
      <c r="AB451" s="1059">
        <f t="shared" si="1161"/>
        <v>23.016309430425927</v>
      </c>
      <c r="AC451" s="3305">
        <v>22.723076923076924</v>
      </c>
      <c r="AD451" s="1062">
        <f t="shared" si="1149"/>
        <v>22.948865620764124</v>
      </c>
      <c r="AE451" s="1064">
        <f t="shared" si="1162"/>
        <v>22.943149582529866</v>
      </c>
      <c r="AF451" s="2627">
        <f t="shared" si="1163"/>
        <v>22.991309730738237</v>
      </c>
    </row>
    <row r="452" spans="2:38" s="3170" customFormat="1" ht="35" customHeight="1" x14ac:dyDescent="0.35">
      <c r="D452" s="4123"/>
      <c r="E452" s="4296" t="s">
        <v>24</v>
      </c>
      <c r="F452" s="4297"/>
      <c r="G452" s="4297"/>
      <c r="H452" s="4298"/>
      <c r="I452" s="4297"/>
      <c r="J452" s="3624"/>
      <c r="K452" s="4297"/>
      <c r="L452" s="3625"/>
      <c r="M452" s="4297"/>
      <c r="N452" s="4299"/>
      <c r="O452" s="4297"/>
      <c r="P452" s="3624">
        <f>+K452+M452+O452</f>
        <v>0</v>
      </c>
      <c r="Q452" s="3624">
        <f>+N452+O452</f>
        <v>0</v>
      </c>
      <c r="R452" s="4297"/>
      <c r="S452" s="3624">
        <f>SUM(Q452:R452)</f>
        <v>0</v>
      </c>
      <c r="T452" s="4297"/>
      <c r="U452" s="3624">
        <f>SUM(S452:T452)</f>
        <v>0</v>
      </c>
      <c r="V452" s="4297"/>
      <c r="W452" s="3624"/>
      <c r="X452" s="4300"/>
      <c r="Y452" s="4297"/>
      <c r="Z452" s="3624"/>
      <c r="AA452" s="4297"/>
      <c r="AB452" s="4301"/>
      <c r="AC452" s="4297"/>
      <c r="AD452" s="3624">
        <f>+Y452+AA452+AC452</f>
        <v>0</v>
      </c>
      <c r="AE452" s="3386"/>
      <c r="AF452" s="3386"/>
      <c r="AG452" s="4756"/>
      <c r="AH452" s="4756"/>
      <c r="AI452" s="4756"/>
      <c r="AJ452" s="4756"/>
      <c r="AK452" s="4756"/>
      <c r="AL452" s="4756"/>
    </row>
    <row r="453" spans="2:38" ht="35" customHeight="1" x14ac:dyDescent="0.25">
      <c r="D453" s="1043"/>
      <c r="E453" s="1066" t="s">
        <v>29</v>
      </c>
      <c r="F453" s="3309">
        <v>12.606999999999999</v>
      </c>
      <c r="G453" s="3309">
        <v>14.247</v>
      </c>
      <c r="H453" s="840">
        <f>SUM(F453:G453)</f>
        <v>26.853999999999999</v>
      </c>
      <c r="I453" s="3309">
        <v>14.967000000000001</v>
      </c>
      <c r="J453" s="858">
        <f>+H453+I453</f>
        <v>41.820999999999998</v>
      </c>
      <c r="K453" s="3309">
        <v>16.276</v>
      </c>
      <c r="L453" s="1255">
        <f>+J453+K453</f>
        <v>58.096999999999994</v>
      </c>
      <c r="M453" s="3309">
        <v>16.367999999999999</v>
      </c>
      <c r="N453" s="743">
        <f>+L453+M453</f>
        <v>74.464999999999989</v>
      </c>
      <c r="O453" s="3309">
        <v>14.901999999999999</v>
      </c>
      <c r="P453" s="1152">
        <f>+K453+M453+O453</f>
        <v>47.545999999999999</v>
      </c>
      <c r="Q453" s="2125">
        <f>+J453+P453</f>
        <v>89.36699999999999</v>
      </c>
      <c r="R453" s="3309">
        <v>16.036999999999999</v>
      </c>
      <c r="S453" s="743">
        <f>SUM(Q453:R453)</f>
        <v>105.404</v>
      </c>
      <c r="T453" s="3309">
        <v>15.688000000000001</v>
      </c>
      <c r="U453" s="743">
        <f>SUM(S453:T453)</f>
        <v>121.092</v>
      </c>
      <c r="V453" s="3309">
        <v>16.199000000000002</v>
      </c>
      <c r="W453" s="1240">
        <f>+R453+T453+V453</f>
        <v>47.924000000000007</v>
      </c>
      <c r="X453" s="743">
        <f>+U453+V453</f>
        <v>137.291</v>
      </c>
      <c r="Y453" s="3309">
        <v>16.527999999999999</v>
      </c>
      <c r="Z453" s="743">
        <f>+X453+Y453</f>
        <v>153.81899999999999</v>
      </c>
      <c r="AA453" s="3309">
        <v>15.436999999999999</v>
      </c>
      <c r="AB453" s="1257">
        <f>+AA453+Z453</f>
        <v>169.256</v>
      </c>
      <c r="AC453" s="3309">
        <v>15.698</v>
      </c>
      <c r="AD453" s="1240">
        <f>+Y453+AA453+AC453</f>
        <v>47.662999999999997</v>
      </c>
      <c r="AE453" s="1331">
        <f>+W453+AD453</f>
        <v>95.587000000000003</v>
      </c>
      <c r="AF453" s="2628">
        <f>+AB453+AC453</f>
        <v>184.95400000000001</v>
      </c>
    </row>
    <row r="454" spans="2:38" ht="35" customHeight="1" x14ac:dyDescent="0.25">
      <c r="D454" s="1043"/>
      <c r="E454" s="1067" t="s">
        <v>30</v>
      </c>
      <c r="F454" s="711">
        <f t="shared" ref="F454:G454" si="1165">+(F453*1000000)/((F8)*17.2)</f>
        <v>313.76931347562919</v>
      </c>
      <c r="G454" s="711">
        <f t="shared" si="1165"/>
        <v>312.92555855246394</v>
      </c>
      <c r="H454" s="812">
        <f t="shared" ref="H454:AF454" si="1166">+(H453*1000000)/((H8)*17.2)</f>
        <v>313.3211057129123</v>
      </c>
      <c r="I454" s="711">
        <f t="shared" si="1166"/>
        <v>314.59668062351818</v>
      </c>
      <c r="J454" s="813">
        <f t="shared" si="1166"/>
        <v>313.77642126365896</v>
      </c>
      <c r="K454" s="711">
        <f t="shared" si="1166"/>
        <v>314.48290786555066</v>
      </c>
      <c r="L454" s="812">
        <f t="shared" si="1166"/>
        <v>313.97402473875576</v>
      </c>
      <c r="M454" s="711">
        <f t="shared" si="1166"/>
        <v>314.69176818014029</v>
      </c>
      <c r="N454" s="812">
        <f t="shared" si="1166"/>
        <v>314.13150958614705</v>
      </c>
      <c r="O454" s="711">
        <f t="shared" si="1166"/>
        <v>311.65300317885226</v>
      </c>
      <c r="P454" s="813">
        <f t="shared" si="1166"/>
        <v>313.66190010001083</v>
      </c>
      <c r="Q454" s="2126">
        <f t="shared" si="1166"/>
        <v>313.71548206457481</v>
      </c>
      <c r="R454" s="711">
        <f t="shared" si="1166"/>
        <v>309.9679923305294</v>
      </c>
      <c r="S454" s="743">
        <f t="shared" si="1166"/>
        <v>313.13947546672051</v>
      </c>
      <c r="T454" s="711">
        <f t="shared" si="1166"/>
        <v>310.5526126168927</v>
      </c>
      <c r="U454" s="743">
        <f t="shared" si="1166"/>
        <v>312.80190865684165</v>
      </c>
      <c r="V454" s="711">
        <f t="shared" si="1166"/>
        <v>309.59971255141204</v>
      </c>
      <c r="W454" s="1240">
        <f t="shared" si="1166"/>
        <v>310.0343907608148</v>
      </c>
      <c r="X454" s="743">
        <f t="shared" si="1166"/>
        <v>312.42063813538419</v>
      </c>
      <c r="Y454" s="711">
        <f t="shared" si="1166"/>
        <v>312.29451821843986</v>
      </c>
      <c r="Z454" s="743">
        <f t="shared" si="1166"/>
        <v>312.40708154401841</v>
      </c>
      <c r="AA454" s="711">
        <f t="shared" si="1166"/>
        <v>311.41568355308812</v>
      </c>
      <c r="AB454" s="743">
        <f t="shared" si="1166"/>
        <v>312.31639952643997</v>
      </c>
      <c r="AC454" s="711">
        <f t="shared" si="1166"/>
        <v>312.55973239885316</v>
      </c>
      <c r="AD454" s="1240">
        <f t="shared" si="1166"/>
        <v>312.09648059047089</v>
      </c>
      <c r="AE454" s="1331">
        <f t="shared" si="1166"/>
        <v>311.05920300740132</v>
      </c>
      <c r="AF454" s="2628">
        <f t="shared" si="1166"/>
        <v>312.33703772753927</v>
      </c>
    </row>
    <row r="455" spans="2:38" ht="35" customHeight="1" x14ac:dyDescent="0.25">
      <c r="D455" s="1043"/>
      <c r="E455" s="1066" t="s">
        <v>31</v>
      </c>
      <c r="F455" s="1094">
        <v>4234.7</v>
      </c>
      <c r="G455" s="1094">
        <v>4232.8</v>
      </c>
      <c r="H455" s="812">
        <f>+((F455*F453)+(G455*G453))/H453</f>
        <v>4233.691982572429</v>
      </c>
      <c r="I455" s="1094">
        <v>4260.5</v>
      </c>
      <c r="J455" s="813">
        <f>+((H455*H453)+(I455*I453))/J453</f>
        <v>4243.2861002845457</v>
      </c>
      <c r="K455" s="1094">
        <v>4262.1000000000004</v>
      </c>
      <c r="L455" s="812">
        <f>+((J455*J453)+(K455*K453))/L453</f>
        <v>4248.5568549150557</v>
      </c>
      <c r="M455" s="1094">
        <v>4231.3999999999996</v>
      </c>
      <c r="N455" s="812">
        <f>+((L455*L453)+(M455*M453))/N453</f>
        <v>4244.78564157658</v>
      </c>
      <c r="O455" s="1094">
        <v>4236.3999999999996</v>
      </c>
      <c r="P455" s="813">
        <f>+((K455*K453)+(M455*M453)+(O455*O453))/P453</f>
        <v>4243.4763723551923</v>
      </c>
      <c r="Q455" s="2126">
        <f>+((N455*N453)+(O455*O453))/Q453</f>
        <v>4243.3873308939537</v>
      </c>
      <c r="R455" s="1094">
        <v>4242.3999999999996</v>
      </c>
      <c r="S455" s="812">
        <f>+((Q455*Q453)+(R455*R453))/S453</f>
        <v>4243.2371105460888</v>
      </c>
      <c r="T455" s="1094">
        <v>4248.8999999999996</v>
      </c>
      <c r="U455" s="812">
        <f>+((S455*S453)+(T455*T453))/U453</f>
        <v>4243.9707627258604</v>
      </c>
      <c r="V455" s="1094">
        <v>4246.1000000000004</v>
      </c>
      <c r="W455" s="1231">
        <f>+((R455*R453)+(T455*T453)+(V455*V453))/W453</f>
        <v>4245.7784387780648</v>
      </c>
      <c r="X455" s="812">
        <f>+((U455*U453)+(V455*V453))/X453</f>
        <v>4244.2219919732534</v>
      </c>
      <c r="Y455" s="1094">
        <v>4240.1000000000004</v>
      </c>
      <c r="Z455" s="812">
        <f>+((X455*X453)+(Y455*Y453))/Z453</f>
        <v>4243.7790799576123</v>
      </c>
      <c r="AA455" s="1094">
        <v>4245</v>
      </c>
      <c r="AB455" s="812">
        <f>+((Z455*Z453)+(AA455*AA453))/AB453</f>
        <v>4243.8904340171093</v>
      </c>
      <c r="AC455" s="1094">
        <v>4242.5</v>
      </c>
      <c r="AD455" s="1231">
        <f>+((Y455*Y453)+(AA455*AA453)+(AC455*AC453))/AD453</f>
        <v>4242.4774521117006</v>
      </c>
      <c r="AE455" s="1080">
        <f>+((W455*W453)+(AD455*AD453))/AE453</f>
        <v>4244.1324521116885</v>
      </c>
      <c r="AF455" s="2601">
        <f>+((AB455*AB453)+(AC455*AC453))/AF453</f>
        <v>4243.7724207100136</v>
      </c>
    </row>
    <row r="456" spans="2:38" ht="35" customHeight="1" x14ac:dyDescent="0.25">
      <c r="D456" s="1043"/>
      <c r="E456" s="1066" t="s">
        <v>1283</v>
      </c>
      <c r="F456" s="3811">
        <f>+(7424.5)/(F380*24)</f>
        <v>10.311805555555555</v>
      </c>
      <c r="G456" s="3811">
        <f>+(8416.24)/(G380*24)</f>
        <v>11.312150537634409</v>
      </c>
      <c r="H456" s="812">
        <f>+((F456*F380)+(G456*G380))/H380</f>
        <v>10.820177595628413</v>
      </c>
      <c r="I456" s="3811">
        <f>+(8746.6)/(I380*24)</f>
        <v>12.148055555555556</v>
      </c>
      <c r="J456" s="813">
        <f>+((H456*H380)+(I456*I380))/J380</f>
        <v>11.257939560439558</v>
      </c>
      <c r="K456" s="3811">
        <f>+(9595.04)/(K380*24)</f>
        <v>12.896559139784948</v>
      </c>
      <c r="L456" s="812">
        <f>+((J456*J380)+(K456*K380))/L380</f>
        <v>11.674310109289618</v>
      </c>
      <c r="M456" s="3811">
        <f>+(2802.5+9634.7)/(M380*24)</f>
        <v>16.716666666666669</v>
      </c>
      <c r="N456" s="811">
        <f>+((L456*L380)+(M456*M380))/N380</f>
        <v>12.695964052287582</v>
      </c>
      <c r="O456" s="3811">
        <f>+(483.8+8899.8)/(O380*24)</f>
        <v>13.032777777777776</v>
      </c>
      <c r="P456" s="813">
        <f>+((K456*K380)+(M456*M380)+(O456*O380))/P380</f>
        <v>14.228188405797102</v>
      </c>
      <c r="Q456" s="2126">
        <f>+((N456*N380)+(O456*O380))/Q380</f>
        <v>12.751179417122039</v>
      </c>
      <c r="R456" s="3811">
        <f>+(9549.67)/(R380*24)</f>
        <v>12.835577956989248</v>
      </c>
      <c r="S456" s="811">
        <f>+((Q456*Q380)+(R456*R380))/S380</f>
        <v>12.763405373831773</v>
      </c>
      <c r="T456" s="3811">
        <f>+(9293.86)/(T380*24)</f>
        <v>12.908138888888889</v>
      </c>
      <c r="U456" s="811">
        <f>+((S456*S380)+(T456*T380))/U380</f>
        <v>12.781200478142075</v>
      </c>
      <c r="V456" s="3811">
        <f>+(9648.84)/(V380*24)</f>
        <v>12.968870967741935</v>
      </c>
      <c r="W456" s="813">
        <f>+((R456*R380)+(T456*T380)+(V456*V380))/W380</f>
        <v>12.904153079710143</v>
      </c>
      <c r="X456" s="811">
        <f>+((U456*U380)+(V456*V380))/X380</f>
        <v>12.80235606060606</v>
      </c>
      <c r="Y456" s="3811">
        <f>+(9792)/(Y380*24)</f>
        <v>13.161290322580646</v>
      </c>
      <c r="Z456" s="811">
        <f>+((X456*X380)+(Y456*Y380))/Z380</f>
        <v>12.838718681917213</v>
      </c>
      <c r="AA456" s="3811">
        <f>+(9171.62)/(AA380*24)</f>
        <v>13.177614942528736</v>
      </c>
      <c r="AB456" s="811">
        <f>+((Z456*Z380)+(AA456*AA380))/AB380</f>
        <v>12.868055970149257</v>
      </c>
      <c r="AC456" s="3811">
        <f>+(9270.6)/(AC380*24)</f>
        <v>12.460483870967742</v>
      </c>
      <c r="AD456" s="813">
        <f>+((Y456*Y380)+(AA456*AA380)+(AC456*AC380))/AD380</f>
        <v>13.07139814814815</v>
      </c>
      <c r="AE456" s="1080">
        <f>+((W456*W454)+(AD456*AD454))/AE454</f>
        <v>25.976626052738265</v>
      </c>
      <c r="AF456" s="2601">
        <f>+((AB456*AB454)+(AC456*AC454))/AF454</f>
        <v>25.336573822137773</v>
      </c>
    </row>
    <row r="457" spans="2:38" ht="35" customHeight="1" x14ac:dyDescent="0.25">
      <c r="D457" s="1043"/>
      <c r="E457" s="1066" t="s">
        <v>572</v>
      </c>
      <c r="F457" s="3388">
        <f>+F1502</f>
        <v>77399973.200000018</v>
      </c>
      <c r="G457" s="3388">
        <f>+G1502</f>
        <v>82288425.699999988</v>
      </c>
      <c r="H457" s="814">
        <f>SUM(F457:G457)</f>
        <v>159688398.90000001</v>
      </c>
      <c r="I457" s="3388">
        <f>+I1502</f>
        <v>83874154.00000003</v>
      </c>
      <c r="J457" s="815">
        <f>SUM(H457:I457)</f>
        <v>243562552.90000004</v>
      </c>
      <c r="K457" s="3388">
        <f>+K1502</f>
        <v>0</v>
      </c>
      <c r="L457" s="814">
        <f>SUM(J457:K457)</f>
        <v>243562552.90000004</v>
      </c>
      <c r="M457" s="3388">
        <f>+M1502</f>
        <v>1588243</v>
      </c>
      <c r="N457" s="814">
        <f>SUM(L457:M457)</f>
        <v>245150795.90000004</v>
      </c>
      <c r="O457" s="3388">
        <f>+O1502</f>
        <v>1528444</v>
      </c>
      <c r="P457" s="815">
        <f>+K457+M457+O457</f>
        <v>3116687</v>
      </c>
      <c r="Q457" s="2223">
        <f>+N457+O457</f>
        <v>246679239.90000004</v>
      </c>
      <c r="R457" s="3388">
        <f>+R1502</f>
        <v>1553095</v>
      </c>
      <c r="S457" s="690">
        <f>SUM(Q457:R457)</f>
        <v>248232334.90000004</v>
      </c>
      <c r="T457" s="3388">
        <f>+T1502</f>
        <v>1470907</v>
      </c>
      <c r="U457" s="690">
        <f>SUM(S457:T457)</f>
        <v>249703241.90000004</v>
      </c>
      <c r="V457" s="3388">
        <f>+V1502</f>
        <v>1561445</v>
      </c>
      <c r="W457" s="1413">
        <f>+R457+T457+V457</f>
        <v>4585447</v>
      </c>
      <c r="X457" s="814">
        <f>+U457+V457</f>
        <v>251264686.90000004</v>
      </c>
      <c r="Y457" s="3388">
        <f>+Y1502</f>
        <v>1531763</v>
      </c>
      <c r="Z457" s="690">
        <f>+X457+Y457</f>
        <v>252796449.90000004</v>
      </c>
      <c r="AA457" s="3388">
        <f>+AA1502</f>
        <v>1505611</v>
      </c>
      <c r="AB457" s="714">
        <f>+AA457+Z457</f>
        <v>254302060.90000004</v>
      </c>
      <c r="AC457" s="3388">
        <f>+AC1502</f>
        <v>1590521</v>
      </c>
      <c r="AD457" s="1413">
        <f>+Y457+AA457+AC457</f>
        <v>4627895</v>
      </c>
      <c r="AE457" s="990">
        <f>+W457+AD457</f>
        <v>9213342</v>
      </c>
      <c r="AF457" s="723">
        <f>+AB457+AC457</f>
        <v>255892581.90000004</v>
      </c>
      <c r="AI457" s="4756">
        <v>4</v>
      </c>
    </row>
    <row r="458" spans="2:38" ht="35" customHeight="1" x14ac:dyDescent="0.25">
      <c r="D458" s="1043"/>
      <c r="E458" s="1066" t="s">
        <v>571</v>
      </c>
      <c r="F458" s="831">
        <f t="shared" ref="F458:G458" si="1167">F457/((F8)*17.2)</f>
        <v>1926.3691960019121</v>
      </c>
      <c r="G458" s="831">
        <f t="shared" si="1167"/>
        <v>1807.4086877641205</v>
      </c>
      <c r="H458" s="829">
        <f t="shared" ref="H458:AF458" si="1168">H457/((H8)*17.2)</f>
        <v>1863.1766482785661</v>
      </c>
      <c r="I458" s="711">
        <f t="shared" si="1168"/>
        <v>1762.9805865240721</v>
      </c>
      <c r="J458" s="815">
        <f t="shared" si="1168"/>
        <v>1827.4117357978678</v>
      </c>
      <c r="K458" s="831">
        <f t="shared" si="1168"/>
        <v>0</v>
      </c>
      <c r="L458" s="814">
        <f t="shared" si="1168"/>
        <v>1316.2868135989661</v>
      </c>
      <c r="M458" s="831">
        <f t="shared" si="1168"/>
        <v>30.535618155530948</v>
      </c>
      <c r="N458" s="829">
        <f t="shared" si="1168"/>
        <v>1034.1716187781165</v>
      </c>
      <c r="O458" s="831">
        <f t="shared" si="1168"/>
        <v>31.965116279069768</v>
      </c>
      <c r="P458" s="815">
        <f t="shared" si="1168"/>
        <v>20.560845632377116</v>
      </c>
      <c r="Q458" s="2223">
        <f t="shared" si="1168"/>
        <v>865.94712433618031</v>
      </c>
      <c r="R458" s="831">
        <f t="shared" si="1168"/>
        <v>30.018690468827312</v>
      </c>
      <c r="S458" s="690">
        <f t="shared" si="1168"/>
        <v>737.46103700490789</v>
      </c>
      <c r="T458" s="831">
        <f t="shared" si="1168"/>
        <v>29.117415334426045</v>
      </c>
      <c r="U458" s="690">
        <f t="shared" si="1168"/>
        <v>645.02734007301103</v>
      </c>
      <c r="V458" s="831">
        <f t="shared" si="1168"/>
        <v>29.842763328899284</v>
      </c>
      <c r="W458" s="1413">
        <f t="shared" si="1168"/>
        <v>29.664599511956549</v>
      </c>
      <c r="X458" s="690">
        <f t="shared" si="1168"/>
        <v>571.78018822927595</v>
      </c>
      <c r="Y458" s="831">
        <f t="shared" si="1168"/>
        <v>28.942472659113758</v>
      </c>
      <c r="Z458" s="690">
        <f t="shared" si="1168"/>
        <v>513.43072792013777</v>
      </c>
      <c r="AA458" s="831">
        <f t="shared" si="1168"/>
        <v>30.373186417700886</v>
      </c>
      <c r="AB458" s="690">
        <f t="shared" si="1168"/>
        <v>469.24601817626245</v>
      </c>
      <c r="AC458" s="831">
        <f t="shared" si="1168"/>
        <v>31.668544918763939</v>
      </c>
      <c r="AD458" s="1413">
        <f t="shared" si="1168"/>
        <v>30.303374568160571</v>
      </c>
      <c r="AE458" s="990">
        <f t="shared" si="1168"/>
        <v>29.982056341914873</v>
      </c>
      <c r="AF458" s="723">
        <f t="shared" si="1168"/>
        <v>432.13302230337132</v>
      </c>
    </row>
    <row r="459" spans="2:38" ht="35" customHeight="1" thickBot="1" x14ac:dyDescent="0.3">
      <c r="D459" s="1068"/>
      <c r="E459" s="1069" t="s">
        <v>1109</v>
      </c>
      <c r="F459" s="3314">
        <v>0.69399999999999995</v>
      </c>
      <c r="G459" s="3314">
        <v>0.69399999999999995</v>
      </c>
      <c r="H459" s="1927">
        <f>+((F459*F19)+(G459*G19))/H19</f>
        <v>0.69399999999999995</v>
      </c>
      <c r="I459" s="3314">
        <v>0.69499999999999995</v>
      </c>
      <c r="J459" s="1956">
        <f>+((H459*H19)+(I459*I19))/J19</f>
        <v>0.69435694928377856</v>
      </c>
      <c r="K459" s="3314">
        <v>0.70099999999999996</v>
      </c>
      <c r="L459" s="1927">
        <f>+((J459*J19)+(K459*K19))/L19</f>
        <v>0.69621500278862247</v>
      </c>
      <c r="M459" s="3314">
        <v>0.69599999999999995</v>
      </c>
      <c r="N459" s="1927">
        <f>+((L459*L19)+(M459*M19))/N19</f>
        <v>0.69616782760121909</v>
      </c>
      <c r="O459" s="3314">
        <v>0.7</v>
      </c>
      <c r="P459" s="817">
        <f>+((K459*K19)+(M459*M19)+(O459*O19))/P19</f>
        <v>0.69896890956541469</v>
      </c>
      <c r="Q459" s="2224">
        <f>+((N459*N19)+(O459*O19))/Q19</f>
        <v>0.6968110735418428</v>
      </c>
      <c r="R459" s="3314">
        <v>0.69499999999999995</v>
      </c>
      <c r="S459" s="1927">
        <f>+((Q459*Q19)+(R459*R19))/S19</f>
        <v>0.69653270311701587</v>
      </c>
      <c r="T459" s="3314">
        <v>0.69399999999999995</v>
      </c>
      <c r="U459" s="1927">
        <f>+((S459*S19)+(T459*T19))/U19</f>
        <v>0.69620220375883057</v>
      </c>
      <c r="V459" s="3314">
        <v>0.69499999999999995</v>
      </c>
      <c r="W459" s="2386">
        <f>+((R459*R19)+(T459*T19)+(V459*V19))/W19</f>
        <v>0.6946731946144431</v>
      </c>
      <c r="X459" s="816">
        <f>+((U459*U19)+(V459*V19))/X19</f>
        <v>0.69605906297702447</v>
      </c>
      <c r="Y459" s="3314">
        <v>0.69599999999999995</v>
      </c>
      <c r="Z459" s="1927">
        <f>+((X459*X19)+(Y459*Y19))/Z19</f>
        <v>0.69605271431565707</v>
      </c>
      <c r="AA459" s="3314">
        <v>0.69699999999999995</v>
      </c>
      <c r="AB459" s="816">
        <f>+((Z459*Z19)+(AA459*AA19))/AB19</f>
        <v>0.69613936143201727</v>
      </c>
      <c r="AC459" s="3314">
        <v>0.69499999999999995</v>
      </c>
      <c r="AD459" s="2386">
        <f>+((Y459*Y19)+(AA459*AA19)+(AC459*AC19))/AD19</f>
        <v>0.69599572023876566</v>
      </c>
      <c r="AE459" s="851">
        <f>+((W459*W19)+(AD459*AD19))/AE19</f>
        <v>0.69533046009179456</v>
      </c>
      <c r="AF459" s="2603">
        <f>+((AB459*AB19)+(AC459*AC19))/AF19</f>
        <v>0.69604272685023816</v>
      </c>
    </row>
    <row r="460" spans="2:38" s="3170" customFormat="1" ht="35" customHeight="1" x14ac:dyDescent="0.25">
      <c r="B460" s="3170" t="e">
        <v>#DIV/0!</v>
      </c>
      <c r="D460" s="4295" t="s">
        <v>1876</v>
      </c>
      <c r="E460" s="3597"/>
      <c r="F460" s="4182"/>
      <c r="G460" s="4182"/>
      <c r="H460" s="3597"/>
      <c r="I460" s="4182"/>
      <c r="J460" s="3597"/>
      <c r="K460" s="4182"/>
      <c r="L460" s="3597"/>
      <c r="M460" s="4182"/>
      <c r="N460" s="3597"/>
      <c r="O460" s="4182"/>
      <c r="P460" s="3597"/>
      <c r="Q460" s="3597"/>
      <c r="R460" s="4182"/>
      <c r="S460" s="3597"/>
      <c r="T460" s="4182"/>
      <c r="U460" s="3597"/>
      <c r="V460" s="4182"/>
      <c r="W460" s="3597"/>
      <c r="X460" s="4182"/>
      <c r="Y460" s="4182"/>
      <c r="Z460" s="3597"/>
      <c r="AA460" s="4182"/>
      <c r="AB460" s="4182"/>
      <c r="AC460" s="4182"/>
      <c r="AD460" s="4182"/>
      <c r="AE460" s="4182"/>
      <c r="AF460" s="4182"/>
      <c r="AG460" s="4756"/>
      <c r="AH460" s="4756"/>
      <c r="AI460" s="4756"/>
      <c r="AJ460" s="4756"/>
      <c r="AK460" s="4756"/>
      <c r="AL460" s="4756"/>
    </row>
    <row r="461" spans="2:38" ht="35" customHeight="1" x14ac:dyDescent="0.35">
      <c r="B461" s="394">
        <v>0.41898901652425485</v>
      </c>
      <c r="D461" s="977" t="s">
        <v>10</v>
      </c>
      <c r="E461" s="1040" t="s">
        <v>1</v>
      </c>
      <c r="F461" s="660" t="s">
        <v>9</v>
      </c>
      <c r="G461" s="660" t="s">
        <v>51</v>
      </c>
      <c r="H461" s="3513" t="s">
        <v>52</v>
      </c>
      <c r="I461" s="660" t="s">
        <v>1073</v>
      </c>
      <c r="J461" s="3476" t="s">
        <v>60</v>
      </c>
      <c r="K461" s="660" t="s">
        <v>2117</v>
      </c>
      <c r="L461" s="3513" t="s">
        <v>62</v>
      </c>
      <c r="M461" s="660" t="s">
        <v>63</v>
      </c>
      <c r="N461" s="884" t="s">
        <v>64</v>
      </c>
      <c r="O461" s="660" t="s">
        <v>65</v>
      </c>
      <c r="P461" s="659" t="s">
        <v>66</v>
      </c>
      <c r="Q461" s="979" t="s">
        <v>82</v>
      </c>
      <c r="R461" s="660" t="s">
        <v>100</v>
      </c>
      <c r="S461" s="658" t="s">
        <v>101</v>
      </c>
      <c r="T461" s="660" t="s">
        <v>104</v>
      </c>
      <c r="U461" s="658" t="s">
        <v>105</v>
      </c>
      <c r="V461" s="660" t="s">
        <v>106</v>
      </c>
      <c r="W461" s="659" t="s">
        <v>107</v>
      </c>
      <c r="X461" s="658" t="s">
        <v>108</v>
      </c>
      <c r="Y461" s="660" t="s">
        <v>109</v>
      </c>
      <c r="Z461" s="658" t="s">
        <v>110</v>
      </c>
      <c r="AA461" s="660" t="s">
        <v>112</v>
      </c>
      <c r="AB461" s="811" t="s">
        <v>113</v>
      </c>
      <c r="AC461" s="660" t="s">
        <v>114</v>
      </c>
      <c r="AD461" s="47" t="s">
        <v>115</v>
      </c>
      <c r="AE461" s="274" t="s">
        <v>116</v>
      </c>
      <c r="AF461" s="2578" t="s">
        <v>117</v>
      </c>
    </row>
    <row r="462" spans="2:38" s="3170" customFormat="1" ht="35" customHeight="1" x14ac:dyDescent="0.25">
      <c r="B462" s="3170">
        <v>0.35187724375566876</v>
      </c>
      <c r="D462" s="4289">
        <v>27</v>
      </c>
      <c r="E462" s="4290" t="s">
        <v>41</v>
      </c>
      <c r="F462" s="3633"/>
      <c r="G462" s="3633"/>
      <c r="H462" s="4291"/>
      <c r="I462" s="3633"/>
      <c r="J462" s="3633"/>
      <c r="K462" s="3633"/>
      <c r="L462" s="3633"/>
      <c r="M462" s="3633"/>
      <c r="N462" s="3633"/>
      <c r="O462" s="3633"/>
      <c r="P462" s="3633"/>
      <c r="Q462" s="3633"/>
      <c r="R462" s="3633"/>
      <c r="S462" s="3633"/>
      <c r="T462" s="3633"/>
      <c r="U462" s="3633"/>
      <c r="V462" s="3633"/>
      <c r="W462" s="3633"/>
      <c r="X462" s="3633"/>
      <c r="Y462" s="3633"/>
      <c r="Z462" s="3633"/>
      <c r="AA462" s="3633"/>
      <c r="AB462" s="3633"/>
      <c r="AC462" s="3633"/>
      <c r="AD462" s="4292"/>
      <c r="AE462" s="4292"/>
      <c r="AF462" s="4292"/>
      <c r="AG462" s="4756"/>
      <c r="AH462" s="4756"/>
      <c r="AI462" s="4756"/>
      <c r="AJ462" s="4756"/>
      <c r="AK462" s="4756"/>
      <c r="AL462" s="4756"/>
    </row>
    <row r="463" spans="2:38" s="3170" customFormat="1" ht="35" customHeight="1" x14ac:dyDescent="0.25">
      <c r="B463" s="3170">
        <v>0.37887083527452659</v>
      </c>
      <c r="D463" s="4293"/>
      <c r="E463" s="4294" t="s">
        <v>1766</v>
      </c>
      <c r="F463" s="3592"/>
      <c r="G463" s="3592"/>
      <c r="H463" s="3592"/>
      <c r="I463" s="3592"/>
      <c r="J463" s="3592"/>
      <c r="K463" s="3592"/>
      <c r="L463" s="3592"/>
      <c r="M463" s="3592"/>
      <c r="N463" s="3592"/>
      <c r="O463" s="3592"/>
      <c r="P463" s="3592"/>
      <c r="Q463" s="3592"/>
      <c r="R463" s="3592"/>
      <c r="S463" s="3592"/>
      <c r="T463" s="3592"/>
      <c r="U463" s="3592"/>
      <c r="V463" s="3592"/>
      <c r="W463" s="3592"/>
      <c r="X463" s="3592"/>
      <c r="Y463" s="3592"/>
      <c r="Z463" s="3592"/>
      <c r="AA463" s="3592"/>
      <c r="AB463" s="3592"/>
      <c r="AC463" s="3592"/>
      <c r="AD463" s="4292"/>
      <c r="AE463" s="4292"/>
      <c r="AF463" s="4292"/>
      <c r="AG463" s="4756"/>
      <c r="AH463" s="4756"/>
      <c r="AI463" s="4756"/>
      <c r="AJ463" s="4756"/>
      <c r="AK463" s="4756"/>
      <c r="AL463" s="4756"/>
    </row>
    <row r="464" spans="2:38" ht="35" customHeight="1" x14ac:dyDescent="0.25">
      <c r="D464" s="1001"/>
      <c r="E464" s="1102" t="s">
        <v>36</v>
      </c>
      <c r="F464" s="1094">
        <v>20110</v>
      </c>
      <c r="G464" s="1094">
        <v>20900</v>
      </c>
      <c r="H464" s="3527">
        <f>+F464+G464</f>
        <v>41010</v>
      </c>
      <c r="I464" s="1094">
        <v>20830</v>
      </c>
      <c r="J464" s="1957">
        <f>+H464+I464</f>
        <v>61840</v>
      </c>
      <c r="K464" s="1094">
        <v>21000</v>
      </c>
      <c r="L464" s="3580">
        <f>+J464+K464</f>
        <v>82840</v>
      </c>
      <c r="M464" s="1094">
        <v>22617</v>
      </c>
      <c r="N464" s="928">
        <f>+L464+M464</f>
        <v>105457</v>
      </c>
      <c r="O464" s="1094">
        <v>18867</v>
      </c>
      <c r="P464" s="1006">
        <f t="shared" ref="P464:P481" si="1169">+Q464-J464</f>
        <v>62484</v>
      </c>
      <c r="Q464" s="726">
        <f t="shared" ref="Q464:Q481" si="1170">+N464+O464</f>
        <v>124324</v>
      </c>
      <c r="R464" s="1094">
        <v>23709</v>
      </c>
      <c r="S464" s="928">
        <f>+Q464+R464</f>
        <v>148033</v>
      </c>
      <c r="T464" s="1094">
        <v>23314</v>
      </c>
      <c r="U464" s="928">
        <f>+S464+T464</f>
        <v>171347</v>
      </c>
      <c r="V464" s="1094">
        <v>24800</v>
      </c>
      <c r="W464" s="846">
        <f>+R464+T464+V464</f>
        <v>71823</v>
      </c>
      <c r="X464" s="1201">
        <f>+U464+V464</f>
        <v>196147</v>
      </c>
      <c r="Y464" s="1094">
        <v>27030</v>
      </c>
      <c r="Z464" s="928">
        <f>+X464+Y464</f>
        <v>223177</v>
      </c>
      <c r="AA464" s="1094">
        <v>27280</v>
      </c>
      <c r="AB464" s="735">
        <f>+Z464+AA464</f>
        <v>250457</v>
      </c>
      <c r="AC464" s="1094">
        <v>26320</v>
      </c>
      <c r="AD464" s="698">
        <f>+Y464+AA464+AC464</f>
        <v>80630</v>
      </c>
      <c r="AE464" s="769">
        <f t="shared" ref="AE464:AE469" si="1171">+W464+AD464</f>
        <v>152453</v>
      </c>
      <c r="AF464" s="2589">
        <f>+AB464+AC464</f>
        <v>276777</v>
      </c>
    </row>
    <row r="465" spans="2:32" ht="35" customHeight="1" x14ac:dyDescent="0.25">
      <c r="B465" s="2">
        <f>+R464/R482*100</f>
        <v>42.159076764407779</v>
      </c>
      <c r="D465" s="1001"/>
      <c r="E465" s="1102" t="s">
        <v>1193</v>
      </c>
      <c r="F465" s="1094">
        <v>0</v>
      </c>
      <c r="G465" s="1094"/>
      <c r="H465" s="3527">
        <f t="shared" ref="H465:J481" si="1172">+F465+G465</f>
        <v>0</v>
      </c>
      <c r="I465" s="1094">
        <v>0</v>
      </c>
      <c r="J465" s="1957">
        <f t="shared" si="1172"/>
        <v>0</v>
      </c>
      <c r="K465" s="1094"/>
      <c r="L465" s="3580">
        <f t="shared" ref="L465:L481" si="1173">+J465+K465</f>
        <v>0</v>
      </c>
      <c r="M465" s="1094">
        <v>0</v>
      </c>
      <c r="N465" s="928">
        <f t="shared" ref="N465:N481" si="1174">+L465+M465</f>
        <v>0</v>
      </c>
      <c r="O465" s="1094">
        <v>0</v>
      </c>
      <c r="P465" s="1006">
        <f t="shared" si="1169"/>
        <v>0</v>
      </c>
      <c r="Q465" s="726">
        <f t="shared" si="1170"/>
        <v>0</v>
      </c>
      <c r="R465" s="1094">
        <v>0</v>
      </c>
      <c r="S465" s="928">
        <f t="shared" ref="S465:S481" si="1175">+Q465+R465</f>
        <v>0</v>
      </c>
      <c r="T465" s="1094">
        <v>0</v>
      </c>
      <c r="U465" s="928">
        <f t="shared" ref="U465:U481" si="1176">+S465+T465</f>
        <v>0</v>
      </c>
      <c r="V465" s="1094">
        <v>0</v>
      </c>
      <c r="W465" s="846">
        <f>+R465+T465+V465</f>
        <v>0</v>
      </c>
      <c r="X465" s="1201">
        <f t="shared" ref="X465:X471" si="1177">+U465+V465</f>
        <v>0</v>
      </c>
      <c r="Y465" s="1094">
        <v>0</v>
      </c>
      <c r="Z465" s="928">
        <f>+X465+Y465</f>
        <v>0</v>
      </c>
      <c r="AA465" s="1094"/>
      <c r="AB465" s="735">
        <f>+Z465+AA465</f>
        <v>0</v>
      </c>
      <c r="AC465" s="1094"/>
      <c r="AD465" s="698">
        <f t="shared" ref="AD465:AD471" si="1178">+Y465+AA465+AC465</f>
        <v>0</v>
      </c>
      <c r="AE465" s="769">
        <f t="shared" si="1171"/>
        <v>0</v>
      </c>
      <c r="AF465" s="2589">
        <f t="shared" ref="AF465:AF471" si="1179">+AB465+AC465</f>
        <v>0</v>
      </c>
    </row>
    <row r="466" spans="2:32" ht="34.5" customHeight="1" x14ac:dyDescent="0.25">
      <c r="D466" s="1001"/>
      <c r="E466" s="1102" t="s">
        <v>2121</v>
      </c>
      <c r="F466" s="1094">
        <v>0</v>
      </c>
      <c r="G466" s="1094"/>
      <c r="H466" s="3527">
        <f t="shared" si="1172"/>
        <v>0</v>
      </c>
      <c r="I466" s="1094">
        <v>0</v>
      </c>
      <c r="J466" s="1957">
        <f t="shared" si="1172"/>
        <v>0</v>
      </c>
      <c r="K466" s="1094">
        <v>2195</v>
      </c>
      <c r="L466" s="3580">
        <f t="shared" si="1173"/>
        <v>2195</v>
      </c>
      <c r="M466" s="1094">
        <v>0</v>
      </c>
      <c r="N466" s="928">
        <f t="shared" si="1174"/>
        <v>2195</v>
      </c>
      <c r="O466" s="1094">
        <v>0</v>
      </c>
      <c r="P466" s="1006">
        <f t="shared" si="1169"/>
        <v>2195</v>
      </c>
      <c r="Q466" s="726">
        <f t="shared" si="1170"/>
        <v>2195</v>
      </c>
      <c r="R466" s="1094">
        <v>0</v>
      </c>
      <c r="S466" s="928">
        <f t="shared" si="1175"/>
        <v>2195</v>
      </c>
      <c r="T466" s="1094">
        <v>0</v>
      </c>
      <c r="U466" s="928">
        <f t="shared" si="1176"/>
        <v>2195</v>
      </c>
      <c r="V466" s="1094">
        <v>0</v>
      </c>
      <c r="W466" s="846">
        <f t="shared" ref="W466:W471" si="1180">+R466+T466+V466</f>
        <v>0</v>
      </c>
      <c r="X466" s="1201">
        <f t="shared" si="1177"/>
        <v>2195</v>
      </c>
      <c r="Y466" s="1094">
        <v>0</v>
      </c>
      <c r="Z466" s="928">
        <f t="shared" ref="Z466:Z471" si="1181">+X466+Y466</f>
        <v>2195</v>
      </c>
      <c r="AA466" s="1094"/>
      <c r="AB466" s="735">
        <f>+Z466+AA466</f>
        <v>2195</v>
      </c>
      <c r="AC466" s="1094"/>
      <c r="AD466" s="698">
        <f t="shared" si="1178"/>
        <v>0</v>
      </c>
      <c r="AE466" s="769">
        <f t="shared" si="1171"/>
        <v>0</v>
      </c>
      <c r="AF466" s="2589">
        <f t="shared" si="1179"/>
        <v>2195</v>
      </c>
    </row>
    <row r="467" spans="2:32" ht="35" customHeight="1" x14ac:dyDescent="0.25">
      <c r="B467" s="2">
        <f>+S464/S482*100</f>
        <v>40.117452892826265</v>
      </c>
      <c r="D467" s="1001"/>
      <c r="E467" s="2480" t="s">
        <v>37</v>
      </c>
      <c r="F467" s="1094">
        <v>4980</v>
      </c>
      <c r="G467" s="1094">
        <v>6590</v>
      </c>
      <c r="H467" s="3527">
        <f t="shared" si="1172"/>
        <v>11570</v>
      </c>
      <c r="I467" s="1094">
        <v>7465</v>
      </c>
      <c r="J467" s="1957">
        <f t="shared" si="1172"/>
        <v>19035</v>
      </c>
      <c r="K467" s="1094">
        <v>7395</v>
      </c>
      <c r="L467" s="3580">
        <f t="shared" si="1173"/>
        <v>26430</v>
      </c>
      <c r="M467" s="1094">
        <v>7617</v>
      </c>
      <c r="N467" s="928">
        <f t="shared" si="1174"/>
        <v>34047</v>
      </c>
      <c r="O467" s="1094">
        <v>5272</v>
      </c>
      <c r="P467" s="846">
        <f t="shared" si="1169"/>
        <v>20284</v>
      </c>
      <c r="Q467" s="847">
        <f t="shared" si="1170"/>
        <v>39319</v>
      </c>
      <c r="R467" s="1094">
        <v>4702</v>
      </c>
      <c r="S467" s="928">
        <f t="shared" si="1175"/>
        <v>44021</v>
      </c>
      <c r="T467" s="1094">
        <v>4996</v>
      </c>
      <c r="U467" s="928">
        <f t="shared" si="1176"/>
        <v>49017</v>
      </c>
      <c r="V467" s="1094">
        <v>5175</v>
      </c>
      <c r="W467" s="846">
        <f t="shared" si="1180"/>
        <v>14873</v>
      </c>
      <c r="X467" s="1201">
        <f t="shared" si="1177"/>
        <v>54192</v>
      </c>
      <c r="Y467" s="1094">
        <v>5300</v>
      </c>
      <c r="Z467" s="928">
        <f t="shared" si="1181"/>
        <v>59492</v>
      </c>
      <c r="AA467" s="1094">
        <v>6210</v>
      </c>
      <c r="AB467" s="735">
        <f>+Z467+AA467</f>
        <v>65702</v>
      </c>
      <c r="AC467" s="1094">
        <v>5675</v>
      </c>
      <c r="AD467" s="698">
        <f t="shared" si="1178"/>
        <v>17185</v>
      </c>
      <c r="AE467" s="769">
        <f t="shared" si="1171"/>
        <v>32058</v>
      </c>
      <c r="AF467" s="2589">
        <f t="shared" si="1179"/>
        <v>71377</v>
      </c>
    </row>
    <row r="468" spans="2:32" ht="35" customHeight="1" x14ac:dyDescent="0.25">
      <c r="D468" s="1001"/>
      <c r="E468" s="2480" t="s">
        <v>1398</v>
      </c>
      <c r="F468" s="1094">
        <v>0</v>
      </c>
      <c r="G468" s="1094">
        <v>0</v>
      </c>
      <c r="H468" s="3527">
        <f t="shared" si="1172"/>
        <v>0</v>
      </c>
      <c r="I468" s="1094">
        <v>0</v>
      </c>
      <c r="J468" s="1957">
        <f t="shared" si="1172"/>
        <v>0</v>
      </c>
      <c r="K468" s="1094"/>
      <c r="L468" s="3580">
        <f t="shared" si="1173"/>
        <v>0</v>
      </c>
      <c r="M468" s="1094">
        <v>737</v>
      </c>
      <c r="N468" s="928">
        <f t="shared" si="1174"/>
        <v>737</v>
      </c>
      <c r="O468" s="1094">
        <v>2743</v>
      </c>
      <c r="P468" s="846">
        <f t="shared" si="1169"/>
        <v>3480</v>
      </c>
      <c r="Q468" s="847">
        <f t="shared" si="1170"/>
        <v>3480</v>
      </c>
      <c r="R468" s="1094">
        <v>0</v>
      </c>
      <c r="S468" s="928">
        <f t="shared" si="1175"/>
        <v>3480</v>
      </c>
      <c r="T468" s="1094">
        <v>0</v>
      </c>
      <c r="U468" s="928">
        <f t="shared" si="1176"/>
        <v>3480</v>
      </c>
      <c r="V468" s="1094">
        <v>0</v>
      </c>
      <c r="W468" s="846">
        <f t="shared" ref="W468" si="1182">+R468+T468+V468</f>
        <v>0</v>
      </c>
      <c r="X468" s="1201">
        <f t="shared" ref="X468" si="1183">+U468+V468</f>
        <v>3480</v>
      </c>
      <c r="Y468" s="1094">
        <v>0</v>
      </c>
      <c r="Z468" s="928">
        <f t="shared" si="1181"/>
        <v>3480</v>
      </c>
      <c r="AA468" s="1094"/>
      <c r="AB468" s="735">
        <f t="shared" ref="AB468:AB469" si="1184">+Z468+AA468</f>
        <v>3480</v>
      </c>
      <c r="AC468" s="1094">
        <v>0</v>
      </c>
      <c r="AD468" s="698">
        <f t="shared" si="1178"/>
        <v>0</v>
      </c>
      <c r="AE468" s="769">
        <f t="shared" si="1171"/>
        <v>0</v>
      </c>
      <c r="AF468" s="2589">
        <f t="shared" ref="AF468" si="1185">+AB468+AC468</f>
        <v>3480</v>
      </c>
    </row>
    <row r="469" spans="2:32" ht="35" customHeight="1" x14ac:dyDescent="0.25">
      <c r="D469" s="1001"/>
      <c r="E469" s="2480" t="s">
        <v>1456</v>
      </c>
      <c r="F469" s="1094">
        <v>0</v>
      </c>
      <c r="G469" s="1094"/>
      <c r="H469" s="3527">
        <f t="shared" si="1172"/>
        <v>0</v>
      </c>
      <c r="I469" s="1094">
        <v>0</v>
      </c>
      <c r="J469" s="1957">
        <f t="shared" si="1172"/>
        <v>0</v>
      </c>
      <c r="K469" s="1094"/>
      <c r="L469" s="3580">
        <f t="shared" si="1173"/>
        <v>0</v>
      </c>
      <c r="M469" s="1094">
        <v>0</v>
      </c>
      <c r="N469" s="928">
        <f t="shared" si="1174"/>
        <v>0</v>
      </c>
      <c r="O469" s="1094">
        <v>0</v>
      </c>
      <c r="P469" s="846">
        <f t="shared" si="1169"/>
        <v>0</v>
      </c>
      <c r="Q469" s="847">
        <f t="shared" si="1170"/>
        <v>0</v>
      </c>
      <c r="R469" s="1094">
        <v>0</v>
      </c>
      <c r="S469" s="928">
        <f t="shared" si="1175"/>
        <v>0</v>
      </c>
      <c r="T469" s="1094">
        <v>0</v>
      </c>
      <c r="U469" s="928">
        <f t="shared" si="1176"/>
        <v>0</v>
      </c>
      <c r="V469" s="1094">
        <v>0</v>
      </c>
      <c r="W469" s="846">
        <f t="shared" si="1180"/>
        <v>0</v>
      </c>
      <c r="X469" s="1201">
        <f t="shared" si="1177"/>
        <v>0</v>
      </c>
      <c r="Y469" s="1094">
        <v>0</v>
      </c>
      <c r="Z469" s="928">
        <f t="shared" si="1181"/>
        <v>0</v>
      </c>
      <c r="AA469" s="1094"/>
      <c r="AB469" s="735">
        <f t="shared" si="1184"/>
        <v>0</v>
      </c>
      <c r="AC469" s="1094"/>
      <c r="AD469" s="698">
        <f t="shared" si="1178"/>
        <v>0</v>
      </c>
      <c r="AE469" s="769">
        <f t="shared" si="1171"/>
        <v>0</v>
      </c>
      <c r="AF469" s="2589">
        <f t="shared" si="1179"/>
        <v>0</v>
      </c>
    </row>
    <row r="470" spans="2:32" ht="35" customHeight="1" x14ac:dyDescent="0.25">
      <c r="D470" s="1001"/>
      <c r="E470" s="2480" t="s">
        <v>1424</v>
      </c>
      <c r="F470" s="1094">
        <v>3170</v>
      </c>
      <c r="G470" s="1094">
        <v>4100</v>
      </c>
      <c r="H470" s="3527">
        <f t="shared" si="1172"/>
        <v>7270</v>
      </c>
      <c r="I470" s="1094">
        <v>5575</v>
      </c>
      <c r="J470" s="1957">
        <f t="shared" si="1172"/>
        <v>12845</v>
      </c>
      <c r="K470" s="1094">
        <v>8770</v>
      </c>
      <c r="L470" s="3580">
        <f t="shared" si="1173"/>
        <v>21615</v>
      </c>
      <c r="M470" s="1094">
        <v>5573</v>
      </c>
      <c r="N470" s="928">
        <f t="shared" si="1174"/>
        <v>27188</v>
      </c>
      <c r="O470" s="1094">
        <v>4998</v>
      </c>
      <c r="P470" s="846">
        <f t="shared" si="1169"/>
        <v>19341</v>
      </c>
      <c r="Q470" s="847">
        <f t="shared" si="1170"/>
        <v>32186</v>
      </c>
      <c r="R470" s="1094">
        <v>5331</v>
      </c>
      <c r="S470" s="928">
        <f t="shared" si="1175"/>
        <v>37517</v>
      </c>
      <c r="T470" s="1094">
        <v>4996</v>
      </c>
      <c r="U470" s="928">
        <f t="shared" si="1176"/>
        <v>42513</v>
      </c>
      <c r="V470" s="1094">
        <v>5175</v>
      </c>
      <c r="W470" s="846">
        <f t="shared" si="1180"/>
        <v>15502</v>
      </c>
      <c r="X470" s="1201">
        <f t="shared" si="1177"/>
        <v>47688</v>
      </c>
      <c r="Y470" s="1094">
        <v>5300</v>
      </c>
      <c r="Z470" s="928">
        <f t="shared" si="1181"/>
        <v>52988</v>
      </c>
      <c r="AA470" s="1094">
        <v>5270</v>
      </c>
      <c r="AB470" s="735">
        <f t="shared" ref="AB470:AB471" si="1186">+Z470+AA470</f>
        <v>58258</v>
      </c>
      <c r="AC470" s="1094">
        <v>5505</v>
      </c>
      <c r="AD470" s="698">
        <f t="shared" si="1178"/>
        <v>16075</v>
      </c>
      <c r="AE470" s="769">
        <f t="shared" ref="AE470:AE471" si="1187">+W470+AD470</f>
        <v>31577</v>
      </c>
      <c r="AF470" s="2589">
        <f t="shared" si="1179"/>
        <v>63763</v>
      </c>
    </row>
    <row r="471" spans="2:32" ht="35" customHeight="1" thickBot="1" x14ac:dyDescent="0.3">
      <c r="D471" s="1001"/>
      <c r="E471" s="1911" t="s">
        <v>1211</v>
      </c>
      <c r="F471" s="1094">
        <v>0</v>
      </c>
      <c r="G471" s="1094"/>
      <c r="H471" s="3527">
        <f t="shared" si="1172"/>
        <v>0</v>
      </c>
      <c r="I471" s="1094">
        <v>0</v>
      </c>
      <c r="J471" s="1957">
        <f t="shared" si="1172"/>
        <v>0</v>
      </c>
      <c r="K471" s="1094"/>
      <c r="L471" s="3580">
        <f t="shared" si="1173"/>
        <v>0</v>
      </c>
      <c r="M471" s="1094">
        <v>0</v>
      </c>
      <c r="N471" s="924">
        <f t="shared" si="1174"/>
        <v>0</v>
      </c>
      <c r="O471" s="1094">
        <v>0</v>
      </c>
      <c r="P471" s="846">
        <f t="shared" si="1169"/>
        <v>0</v>
      </c>
      <c r="Q471" s="847">
        <f t="shared" si="1170"/>
        <v>0</v>
      </c>
      <c r="R471" s="1094">
        <v>0</v>
      </c>
      <c r="S471" s="928">
        <f t="shared" si="1175"/>
        <v>0</v>
      </c>
      <c r="T471" s="1094">
        <v>0</v>
      </c>
      <c r="U471" s="928">
        <f t="shared" si="1176"/>
        <v>0</v>
      </c>
      <c r="V471" s="1094">
        <v>0</v>
      </c>
      <c r="W471" s="846">
        <f t="shared" si="1180"/>
        <v>0</v>
      </c>
      <c r="X471" s="1201">
        <f t="shared" si="1177"/>
        <v>0</v>
      </c>
      <c r="Y471" s="1094">
        <v>0</v>
      </c>
      <c r="Z471" s="928">
        <f t="shared" si="1181"/>
        <v>0</v>
      </c>
      <c r="AA471" s="1094"/>
      <c r="AB471" s="735">
        <f t="shared" si="1186"/>
        <v>0</v>
      </c>
      <c r="AC471" s="1094"/>
      <c r="AD471" s="698">
        <f t="shared" si="1178"/>
        <v>0</v>
      </c>
      <c r="AE471" s="769">
        <f t="shared" si="1187"/>
        <v>0</v>
      </c>
      <c r="AF471" s="2589">
        <f t="shared" si="1179"/>
        <v>0</v>
      </c>
    </row>
    <row r="472" spans="2:32" ht="35" customHeight="1" thickBot="1" x14ac:dyDescent="0.3">
      <c r="D472" s="1001"/>
      <c r="E472" s="3964" t="s">
        <v>40</v>
      </c>
      <c r="F472" s="925">
        <f t="shared" ref="F472:G472" si="1188">SUM(F464:F471)</f>
        <v>28260</v>
      </c>
      <c r="G472" s="925">
        <f t="shared" si="1188"/>
        <v>31590</v>
      </c>
      <c r="H472" s="3250">
        <f t="shared" ref="H472:AF472" si="1189">SUM(H464:H471)</f>
        <v>59850</v>
      </c>
      <c r="I472" s="925">
        <f t="shared" ref="I472" si="1190">SUM(I464:I471)</f>
        <v>33870</v>
      </c>
      <c r="J472" s="3965">
        <f t="shared" si="1189"/>
        <v>93720</v>
      </c>
      <c r="K472" s="925">
        <f t="shared" ref="K472" si="1191">SUM(K464:K471)</f>
        <v>39360</v>
      </c>
      <c r="L472" s="3250">
        <f t="shared" si="1189"/>
        <v>133080</v>
      </c>
      <c r="M472" s="925">
        <f t="shared" ref="M472" si="1192">SUM(M464:M471)</f>
        <v>36544</v>
      </c>
      <c r="N472" s="3250">
        <f t="shared" si="1189"/>
        <v>169624</v>
      </c>
      <c r="O472" s="925">
        <f t="shared" si="1189"/>
        <v>31880</v>
      </c>
      <c r="P472" s="3965">
        <f t="shared" si="1189"/>
        <v>107784</v>
      </c>
      <c r="Q472" s="3249">
        <f t="shared" si="1189"/>
        <v>201504</v>
      </c>
      <c r="R472" s="925">
        <f t="shared" si="1189"/>
        <v>33742</v>
      </c>
      <c r="S472" s="3250">
        <f t="shared" si="1189"/>
        <v>235246</v>
      </c>
      <c r="T472" s="925">
        <f t="shared" ref="T472" si="1193">SUM(T464:T471)</f>
        <v>33306</v>
      </c>
      <c r="U472" s="3250">
        <f t="shared" si="1189"/>
        <v>268552</v>
      </c>
      <c r="V472" s="925">
        <f t="shared" ref="V472" si="1194">SUM(V464:V471)</f>
        <v>35150</v>
      </c>
      <c r="W472" s="3965">
        <f t="shared" si="1189"/>
        <v>102198</v>
      </c>
      <c r="X472" s="3250">
        <f t="shared" si="1189"/>
        <v>303702</v>
      </c>
      <c r="Y472" s="925">
        <f t="shared" si="1189"/>
        <v>37630</v>
      </c>
      <c r="Z472" s="3250">
        <f t="shared" si="1189"/>
        <v>341332</v>
      </c>
      <c r="AA472" s="925">
        <f t="shared" ref="AA472" si="1195">SUM(AA464:AA471)</f>
        <v>38760</v>
      </c>
      <c r="AB472" s="575">
        <f t="shared" si="1189"/>
        <v>380092</v>
      </c>
      <c r="AC472" s="925">
        <f t="shared" ref="AC472" si="1196">SUM(AC464:AC471)</f>
        <v>37500</v>
      </c>
      <c r="AD472" s="704">
        <f t="shared" si="1189"/>
        <v>113890</v>
      </c>
      <c r="AE472" s="775">
        <f t="shared" si="1189"/>
        <v>216088</v>
      </c>
      <c r="AF472" s="2621">
        <f t="shared" si="1189"/>
        <v>417592</v>
      </c>
    </row>
    <row r="473" spans="2:32" ht="35" customHeight="1" x14ac:dyDescent="0.25">
      <c r="B473" s="2">
        <f>+R467/R482*100</f>
        <v>8.3610434411508443</v>
      </c>
      <c r="D473" s="3963"/>
      <c r="E473" s="3966" t="s">
        <v>1458</v>
      </c>
      <c r="F473" s="4169">
        <v>7270</v>
      </c>
      <c r="G473" s="4169">
        <v>8780</v>
      </c>
      <c r="H473" s="4167">
        <f t="shared" si="1172"/>
        <v>16050</v>
      </c>
      <c r="I473" s="4169">
        <v>9590</v>
      </c>
      <c r="J473" s="4168">
        <f t="shared" si="1172"/>
        <v>25640</v>
      </c>
      <c r="K473" s="4169">
        <v>10525</v>
      </c>
      <c r="L473" s="3972">
        <f t="shared" si="1173"/>
        <v>36165</v>
      </c>
      <c r="M473" s="4169">
        <v>9482</v>
      </c>
      <c r="N473" s="3972">
        <f t="shared" si="1174"/>
        <v>45647</v>
      </c>
      <c r="O473" s="4169">
        <v>9889</v>
      </c>
      <c r="P473" s="3970">
        <f t="shared" si="1169"/>
        <v>29896</v>
      </c>
      <c r="Q473" s="3971">
        <f t="shared" si="1170"/>
        <v>55536</v>
      </c>
      <c r="R473" s="4169">
        <v>11247</v>
      </c>
      <c r="S473" s="3972">
        <f t="shared" si="1175"/>
        <v>66783</v>
      </c>
      <c r="T473" s="4169">
        <v>11102</v>
      </c>
      <c r="U473" s="3972">
        <f t="shared" si="1176"/>
        <v>77885</v>
      </c>
      <c r="V473" s="4169">
        <v>11500</v>
      </c>
      <c r="W473" s="3970">
        <f>+R473+T473+V473</f>
        <v>33849</v>
      </c>
      <c r="X473" s="3972">
        <f>+U473+V473</f>
        <v>89385</v>
      </c>
      <c r="Y473" s="4169">
        <v>11600</v>
      </c>
      <c r="Z473" s="3972">
        <f>+X473+Y473</f>
        <v>100985</v>
      </c>
      <c r="AA473" s="4169">
        <v>7400</v>
      </c>
      <c r="AB473" s="3577">
        <f>+Z473+AA473</f>
        <v>108385</v>
      </c>
      <c r="AC473" s="4169">
        <v>9280</v>
      </c>
      <c r="AD473" s="702">
        <f>+Y473+AA473+AC473</f>
        <v>28280</v>
      </c>
      <c r="AE473" s="1322">
        <f>+W473+AD473</f>
        <v>62129</v>
      </c>
      <c r="AF473" s="3973">
        <f>+AB473+AC473</f>
        <v>117665</v>
      </c>
    </row>
    <row r="474" spans="2:32" ht="35" customHeight="1" x14ac:dyDescent="0.25">
      <c r="D474" s="3963"/>
      <c r="E474" s="3966" t="s">
        <v>1430</v>
      </c>
      <c r="F474" s="1094">
        <v>3930</v>
      </c>
      <c r="G474" s="1094">
        <v>4490</v>
      </c>
      <c r="H474" s="4170">
        <f t="shared" ref="H474" si="1197">+F474+G474</f>
        <v>8420</v>
      </c>
      <c r="I474" s="1094">
        <v>4480</v>
      </c>
      <c r="J474" s="4171">
        <f t="shared" ref="J474" si="1198">+H474+I474</f>
        <v>12900</v>
      </c>
      <c r="K474" s="1094">
        <v>4025</v>
      </c>
      <c r="L474" s="3969">
        <f t="shared" ref="L474" si="1199">+J474+K474</f>
        <v>16925</v>
      </c>
      <c r="M474" s="1094">
        <v>6016</v>
      </c>
      <c r="N474" s="3969">
        <f t="shared" ref="N474" si="1200">+L474+M474</f>
        <v>22941</v>
      </c>
      <c r="O474" s="1094">
        <v>5783</v>
      </c>
      <c r="P474" s="3967">
        <f t="shared" ref="P474" si="1201">+Q474-J474</f>
        <v>15824</v>
      </c>
      <c r="Q474" s="3968">
        <f t="shared" ref="Q474" si="1202">+N474+O474</f>
        <v>28724</v>
      </c>
      <c r="R474" s="1094">
        <v>5624</v>
      </c>
      <c r="S474" s="3969">
        <f t="shared" ref="S474" si="1203">+Q474+R474</f>
        <v>34348</v>
      </c>
      <c r="T474" s="1094">
        <v>5551</v>
      </c>
      <c r="U474" s="3969">
        <f t="shared" ref="U474" si="1204">+S474+T474</f>
        <v>39899</v>
      </c>
      <c r="V474" s="1094">
        <v>5750</v>
      </c>
      <c r="W474" s="3967">
        <f>+R474+T474+V474</f>
        <v>16925</v>
      </c>
      <c r="X474" s="3969">
        <f>+U474+V474</f>
        <v>45649</v>
      </c>
      <c r="Y474" s="1094">
        <v>5800</v>
      </c>
      <c r="Z474" s="3969">
        <f>+X474+Y474</f>
        <v>51449</v>
      </c>
      <c r="AA474" s="1094">
        <v>5430</v>
      </c>
      <c r="AB474" s="3969">
        <f>+Z474+AA474</f>
        <v>56879</v>
      </c>
      <c r="AC474" s="1094">
        <v>5505</v>
      </c>
      <c r="AD474" s="3975">
        <f>+Y474+AA474+AC474</f>
        <v>16735</v>
      </c>
      <c r="AE474" s="3976">
        <f>+W474+AD474</f>
        <v>33660</v>
      </c>
      <c r="AF474" s="3977">
        <f>+AB474+AC474</f>
        <v>62384</v>
      </c>
    </row>
    <row r="475" spans="2:32" ht="35" customHeight="1" thickBot="1" x14ac:dyDescent="0.3">
      <c r="D475" s="1001"/>
      <c r="E475" s="1911" t="s">
        <v>1457</v>
      </c>
      <c r="F475" s="1094">
        <v>0</v>
      </c>
      <c r="G475" s="1094"/>
      <c r="H475" s="4170">
        <f t="shared" si="1172"/>
        <v>0</v>
      </c>
      <c r="I475" s="1094">
        <v>0</v>
      </c>
      <c r="J475" s="4171">
        <f t="shared" si="1172"/>
        <v>0</v>
      </c>
      <c r="K475" s="1094"/>
      <c r="L475" s="3969">
        <f t="shared" si="1173"/>
        <v>0</v>
      </c>
      <c r="M475" s="1094">
        <v>0</v>
      </c>
      <c r="N475" s="3969">
        <f t="shared" si="1174"/>
        <v>0</v>
      </c>
      <c r="O475" s="1094">
        <v>0</v>
      </c>
      <c r="P475" s="3967">
        <f t="shared" si="1169"/>
        <v>0</v>
      </c>
      <c r="Q475" s="3968">
        <f t="shared" si="1170"/>
        <v>0</v>
      </c>
      <c r="R475" s="1094">
        <v>0</v>
      </c>
      <c r="S475" s="3969">
        <f t="shared" si="1175"/>
        <v>0</v>
      </c>
      <c r="T475" s="1094">
        <v>0</v>
      </c>
      <c r="U475" s="3969">
        <f t="shared" si="1176"/>
        <v>0</v>
      </c>
      <c r="V475" s="1094">
        <v>0</v>
      </c>
      <c r="W475" s="3967">
        <f>+R475+T475+V475</f>
        <v>0</v>
      </c>
      <c r="X475" s="3969">
        <f>+U475+V475</f>
        <v>0</v>
      </c>
      <c r="Y475" s="1094">
        <v>0</v>
      </c>
      <c r="Z475" s="3969">
        <f>+X475+Y475</f>
        <v>0</v>
      </c>
      <c r="AA475" s="1094"/>
      <c r="AB475" s="3969">
        <f>+Z475+AA475</f>
        <v>0</v>
      </c>
      <c r="AC475" s="1094"/>
      <c r="AD475" s="3975">
        <f>+Y475+AA475+AC475</f>
        <v>0</v>
      </c>
      <c r="AE475" s="3976">
        <f>+W475+AD475</f>
        <v>0</v>
      </c>
      <c r="AF475" s="3977">
        <f>+AB475+AC475</f>
        <v>0</v>
      </c>
    </row>
    <row r="476" spans="2:32" ht="35" customHeight="1" thickBot="1" x14ac:dyDescent="0.3">
      <c r="D476" s="1001"/>
      <c r="E476" s="1085" t="s">
        <v>582</v>
      </c>
      <c r="F476" s="1023">
        <f>SUM(F473:F475)</f>
        <v>11200</v>
      </c>
      <c r="G476" s="1023">
        <f>SUM(G473:G475)</f>
        <v>13270</v>
      </c>
      <c r="H476" s="1021">
        <f t="shared" ref="H476:AF476" si="1205">SUM(H473:H475)</f>
        <v>24470</v>
      </c>
      <c r="I476" s="1023">
        <f>SUM(I473:I475)</f>
        <v>14070</v>
      </c>
      <c r="J476" s="1019">
        <f t="shared" ref="J476" si="1206">SUM(J473:J475)</f>
        <v>38540</v>
      </c>
      <c r="K476" s="1023">
        <f>SUM(K473:K475)</f>
        <v>14550</v>
      </c>
      <c r="L476" s="598">
        <f t="shared" si="1205"/>
        <v>53090</v>
      </c>
      <c r="M476" s="1023">
        <f>SUM(M473:M475)</f>
        <v>15498</v>
      </c>
      <c r="N476" s="598">
        <f t="shared" si="1205"/>
        <v>68588</v>
      </c>
      <c r="O476" s="1023">
        <f>SUM(O473:O475)</f>
        <v>15672</v>
      </c>
      <c r="P476" s="3974">
        <f t="shared" si="1205"/>
        <v>45720</v>
      </c>
      <c r="Q476" s="1165">
        <f t="shared" si="1205"/>
        <v>84260</v>
      </c>
      <c r="R476" s="1023">
        <f>SUM(R473:R475)</f>
        <v>16871</v>
      </c>
      <c r="S476" s="598">
        <f t="shared" si="1205"/>
        <v>101131</v>
      </c>
      <c r="T476" s="1023">
        <f>SUM(T473:T475)</f>
        <v>16653</v>
      </c>
      <c r="U476" s="598">
        <f t="shared" si="1205"/>
        <v>117784</v>
      </c>
      <c r="V476" s="1023">
        <f>SUM(V473:V475)</f>
        <v>17250</v>
      </c>
      <c r="W476" s="3974">
        <f t="shared" si="1205"/>
        <v>50774</v>
      </c>
      <c r="X476" s="598">
        <f t="shared" si="1205"/>
        <v>135034</v>
      </c>
      <c r="Y476" s="1023">
        <f>SUM(Y473:Y475)</f>
        <v>17400</v>
      </c>
      <c r="Z476" s="598">
        <f t="shared" si="1205"/>
        <v>152434</v>
      </c>
      <c r="AA476" s="1023">
        <f>SUM(AA473:AA475)</f>
        <v>12830</v>
      </c>
      <c r="AB476" s="598">
        <f t="shared" si="1205"/>
        <v>165264</v>
      </c>
      <c r="AC476" s="1023">
        <f>SUM(AC473:AC475)</f>
        <v>14785</v>
      </c>
      <c r="AD476" s="3974">
        <f t="shared" si="1205"/>
        <v>45015</v>
      </c>
      <c r="AE476" s="1165">
        <f t="shared" si="1205"/>
        <v>95789</v>
      </c>
      <c r="AF476" s="2585">
        <f t="shared" si="1205"/>
        <v>180049</v>
      </c>
    </row>
    <row r="477" spans="2:32" ht="34.5" customHeight="1" thickBot="1" x14ac:dyDescent="0.3">
      <c r="B477" s="2">
        <f>+S467/S482*100</f>
        <v>11.929842628299806</v>
      </c>
      <c r="D477" s="1001"/>
      <c r="E477" s="1085" t="s">
        <v>39</v>
      </c>
      <c r="F477" s="925">
        <f>+F472+F476</f>
        <v>39460</v>
      </c>
      <c r="G477" s="925">
        <f>+G472+G476</f>
        <v>44860</v>
      </c>
      <c r="H477" s="575">
        <f t="shared" ref="H477:AF477" si="1207">+H472+H476+H481</f>
        <v>84320</v>
      </c>
      <c r="I477" s="925">
        <f>+I472+I476</f>
        <v>47940</v>
      </c>
      <c r="J477" s="704">
        <f t="shared" si="1207"/>
        <v>132260</v>
      </c>
      <c r="K477" s="925">
        <f>+K472+K476</f>
        <v>53910</v>
      </c>
      <c r="L477" s="575">
        <f t="shared" si="1207"/>
        <v>186170</v>
      </c>
      <c r="M477" s="925">
        <f>+M472+M476</f>
        <v>52042</v>
      </c>
      <c r="N477" s="575">
        <f t="shared" si="1207"/>
        <v>238212</v>
      </c>
      <c r="O477" s="925">
        <f>+O472+O476</f>
        <v>47552</v>
      </c>
      <c r="P477" s="704">
        <f t="shared" si="1207"/>
        <v>153504</v>
      </c>
      <c r="Q477" s="775">
        <f t="shared" si="1207"/>
        <v>285764</v>
      </c>
      <c r="R477" s="925">
        <f>+R472+R476</f>
        <v>50613</v>
      </c>
      <c r="S477" s="575">
        <f t="shared" si="1207"/>
        <v>336377</v>
      </c>
      <c r="T477" s="925">
        <f>+T472+T476</f>
        <v>49959</v>
      </c>
      <c r="U477" s="575">
        <f t="shared" si="1207"/>
        <v>386336</v>
      </c>
      <c r="V477" s="925">
        <f>+V472+V476</f>
        <v>52400</v>
      </c>
      <c r="W477" s="704">
        <f t="shared" si="1207"/>
        <v>152972</v>
      </c>
      <c r="X477" s="575">
        <f t="shared" si="1207"/>
        <v>438736</v>
      </c>
      <c r="Y477" s="925">
        <f>+Y472+Y476</f>
        <v>55030</v>
      </c>
      <c r="Z477" s="575">
        <f t="shared" si="1207"/>
        <v>493766</v>
      </c>
      <c r="AA477" s="925">
        <f>+AA472+AA476</f>
        <v>51590</v>
      </c>
      <c r="AB477" s="575">
        <f t="shared" si="1207"/>
        <v>545356</v>
      </c>
      <c r="AC477" s="925">
        <f>+AC472+AC476</f>
        <v>52285</v>
      </c>
      <c r="AD477" s="704">
        <f t="shared" si="1207"/>
        <v>158905</v>
      </c>
      <c r="AE477" s="775">
        <f t="shared" si="1207"/>
        <v>311877</v>
      </c>
      <c r="AF477" s="2621">
        <f t="shared" si="1207"/>
        <v>597641</v>
      </c>
    </row>
    <row r="478" spans="2:32" ht="35" customHeight="1" x14ac:dyDescent="0.25">
      <c r="D478" s="1001"/>
      <c r="E478" s="1912" t="s">
        <v>1057</v>
      </c>
      <c r="F478" s="1094">
        <v>200</v>
      </c>
      <c r="G478" s="1094">
        <v>4990</v>
      </c>
      <c r="H478" s="3528">
        <f t="shared" si="1172"/>
        <v>5190</v>
      </c>
      <c r="I478" s="1094">
        <v>3125</v>
      </c>
      <c r="J478" s="3488">
        <f t="shared" si="1172"/>
        <v>8315</v>
      </c>
      <c r="K478" s="1094">
        <v>1550</v>
      </c>
      <c r="L478" s="4172">
        <f t="shared" si="1173"/>
        <v>9865</v>
      </c>
      <c r="M478" s="1094">
        <v>0</v>
      </c>
      <c r="N478" s="924">
        <f t="shared" si="1174"/>
        <v>9865</v>
      </c>
      <c r="O478" s="1094">
        <v>0</v>
      </c>
      <c r="P478" s="1006">
        <f>+Q478-J478</f>
        <v>1550</v>
      </c>
      <c r="Q478" s="726">
        <f>+N478+O478</f>
        <v>9865</v>
      </c>
      <c r="R478" s="1094">
        <v>0</v>
      </c>
      <c r="S478" s="924">
        <f>+Q478+R478</f>
        <v>9865</v>
      </c>
      <c r="T478" s="1094">
        <v>0</v>
      </c>
      <c r="U478" s="924">
        <f t="shared" si="1176"/>
        <v>9865</v>
      </c>
      <c r="V478" s="1094">
        <v>0</v>
      </c>
      <c r="W478" s="846">
        <f>+R478+T478+V478</f>
        <v>0</v>
      </c>
      <c r="X478" s="1201">
        <f>+U478+V478</f>
        <v>9865</v>
      </c>
      <c r="Y478" s="1094">
        <v>0</v>
      </c>
      <c r="Z478" s="924">
        <f>+X478+Y478</f>
        <v>9865</v>
      </c>
      <c r="AA478" s="1094"/>
      <c r="AB478" s="735">
        <f>+Z478+AA478</f>
        <v>9865</v>
      </c>
      <c r="AC478" s="1094"/>
      <c r="AD478" s="698">
        <f>+Y478+AA478+AC478</f>
        <v>0</v>
      </c>
      <c r="AE478" s="1297">
        <f>+W478+AD478</f>
        <v>0</v>
      </c>
      <c r="AF478" s="2589">
        <f>+AB478+AC478</f>
        <v>9865</v>
      </c>
    </row>
    <row r="479" spans="2:32" ht="35" customHeight="1" thickBot="1" x14ac:dyDescent="0.3">
      <c r="D479" s="1001"/>
      <c r="E479" s="1911" t="s">
        <v>1059</v>
      </c>
      <c r="F479" s="1094">
        <v>4400</v>
      </c>
      <c r="G479" s="1094">
        <v>0</v>
      </c>
      <c r="H479" s="3528">
        <f t="shared" si="1172"/>
        <v>4400</v>
      </c>
      <c r="I479" s="1094">
        <v>1045</v>
      </c>
      <c r="J479" s="3488">
        <f t="shared" si="1172"/>
        <v>5445</v>
      </c>
      <c r="K479" s="1094">
        <v>1290</v>
      </c>
      <c r="L479" s="4172">
        <f t="shared" si="1173"/>
        <v>6735</v>
      </c>
      <c r="M479" s="1094">
        <v>5115</v>
      </c>
      <c r="N479" s="924">
        <f t="shared" si="1174"/>
        <v>11850</v>
      </c>
      <c r="O479" s="1094">
        <v>5283</v>
      </c>
      <c r="P479" s="1033">
        <f>+Q479-J479</f>
        <v>11688</v>
      </c>
      <c r="Q479" s="1034">
        <f>+N479+O479</f>
        <v>17133</v>
      </c>
      <c r="R479" s="1094">
        <v>5624</v>
      </c>
      <c r="S479" s="924">
        <f>+Q479+R479</f>
        <v>22757</v>
      </c>
      <c r="T479" s="1094">
        <v>5551</v>
      </c>
      <c r="U479" s="924">
        <f t="shared" si="1176"/>
        <v>28308</v>
      </c>
      <c r="V479" s="1094">
        <v>5100</v>
      </c>
      <c r="W479" s="846">
        <f>+R479+T479+V479</f>
        <v>16275</v>
      </c>
      <c r="X479" s="1201">
        <f>+U479+V479</f>
        <v>33408</v>
      </c>
      <c r="Y479" s="1094">
        <v>3000</v>
      </c>
      <c r="Z479" s="924">
        <f>+X479+Y479</f>
        <v>36408</v>
      </c>
      <c r="AA479" s="1094">
        <v>2720</v>
      </c>
      <c r="AB479" s="735">
        <f>+Z479+AA479</f>
        <v>39128</v>
      </c>
      <c r="AC479" s="1094">
        <v>2750</v>
      </c>
      <c r="AD479" s="698">
        <f>+Y479+AA479+AC479</f>
        <v>8470</v>
      </c>
      <c r="AE479" s="1297">
        <f>+W479+AD479</f>
        <v>24745</v>
      </c>
      <c r="AF479" s="2589">
        <f>+AB479+AC479</f>
        <v>41878</v>
      </c>
    </row>
    <row r="480" spans="2:32" ht="35" customHeight="1" thickBot="1" x14ac:dyDescent="0.3">
      <c r="D480" s="1001"/>
      <c r="E480" s="1085" t="s">
        <v>1060</v>
      </c>
      <c r="F480" s="925">
        <f t="shared" ref="F480:G480" si="1208">SUM(F478:F479)</f>
        <v>4600</v>
      </c>
      <c r="G480" s="925">
        <f t="shared" si="1208"/>
        <v>4990</v>
      </c>
      <c r="H480" s="575">
        <f t="shared" ref="H480:L480" si="1209">SUM(H478:H479)</f>
        <v>9590</v>
      </c>
      <c r="I480" s="925">
        <f t="shared" ref="I480" si="1210">SUM(I478:I479)</f>
        <v>4170</v>
      </c>
      <c r="J480" s="704">
        <f t="shared" si="1209"/>
        <v>13760</v>
      </c>
      <c r="K480" s="925">
        <f t="shared" ref="K480" si="1211">SUM(K478:K479)</f>
        <v>2840</v>
      </c>
      <c r="L480" s="575">
        <f t="shared" si="1209"/>
        <v>16600</v>
      </c>
      <c r="M480" s="925">
        <f t="shared" ref="M480" si="1212">SUM(M478:M479)</f>
        <v>5115</v>
      </c>
      <c r="N480" s="1169">
        <f>SUM(N478:N479)</f>
        <v>21715</v>
      </c>
      <c r="O480" s="925">
        <f t="shared" ref="O480" si="1213">SUM(O478:O479)</f>
        <v>5283</v>
      </c>
      <c r="P480" s="923">
        <f>SUM(P478:P479)</f>
        <v>13238</v>
      </c>
      <c r="Q480" s="916">
        <f>SUM(Q478:Q479)</f>
        <v>26998</v>
      </c>
      <c r="R480" s="925">
        <f t="shared" ref="R480" si="1214">SUM(R478:R479)</f>
        <v>5624</v>
      </c>
      <c r="S480" s="599">
        <f>SUM(S478:S479)</f>
        <v>32622</v>
      </c>
      <c r="T480" s="925">
        <f t="shared" ref="T480" si="1215">SUM(T478:T479)</f>
        <v>5551</v>
      </c>
      <c r="U480" s="599">
        <f>SUM(U478:U479)</f>
        <v>38173</v>
      </c>
      <c r="V480" s="925">
        <f t="shared" ref="V480" si="1216">SUM(V478:V479)</f>
        <v>5100</v>
      </c>
      <c r="W480" s="923">
        <f>SUM(W478:W479)</f>
        <v>16275</v>
      </c>
      <c r="X480" s="1202">
        <f>SUM(X478:X479)</f>
        <v>43273</v>
      </c>
      <c r="Y480" s="925">
        <f t="shared" ref="Y480" si="1217">SUM(Y478:Y479)</f>
        <v>3000</v>
      </c>
      <c r="Z480" s="599">
        <f>SUM(Z478:Z479)</f>
        <v>46273</v>
      </c>
      <c r="AA480" s="925">
        <f t="shared" ref="AA480" si="1218">SUM(AA478:AA479)</f>
        <v>2720</v>
      </c>
      <c r="AB480" s="599">
        <f>SUM(AB478:AB479)</f>
        <v>48993</v>
      </c>
      <c r="AC480" s="925">
        <f t="shared" ref="AC480" si="1219">SUM(AC478:AC479)</f>
        <v>2750</v>
      </c>
      <c r="AD480" s="923">
        <f>SUM(AD478:AD479)</f>
        <v>8470</v>
      </c>
      <c r="AE480" s="775">
        <f>SUM(AE478:AE479)</f>
        <v>24745</v>
      </c>
      <c r="AF480" s="2583">
        <f>SUM(AF478:AF479)</f>
        <v>51743</v>
      </c>
    </row>
    <row r="481" spans="1:32" ht="35" customHeight="1" thickBot="1" x14ac:dyDescent="0.3">
      <c r="D481" s="1001"/>
      <c r="E481" s="1911"/>
      <c r="F481" s="1094"/>
      <c r="G481" s="1094"/>
      <c r="H481" s="3536">
        <f t="shared" si="1172"/>
        <v>0</v>
      </c>
      <c r="I481" s="1094"/>
      <c r="J481" s="3489">
        <f t="shared" si="1172"/>
        <v>0</v>
      </c>
      <c r="K481" s="1094"/>
      <c r="L481" s="3581">
        <f t="shared" si="1173"/>
        <v>0</v>
      </c>
      <c r="M481" s="3313">
        <v>0</v>
      </c>
      <c r="N481" s="4173">
        <f t="shared" si="1174"/>
        <v>0</v>
      </c>
      <c r="O481" s="3313">
        <v>0</v>
      </c>
      <c r="P481" s="1008">
        <f t="shared" si="1169"/>
        <v>0</v>
      </c>
      <c r="Q481" s="1009">
        <f t="shared" si="1170"/>
        <v>0</v>
      </c>
      <c r="R481" s="1094">
        <v>0</v>
      </c>
      <c r="S481" s="4173">
        <f t="shared" si="1175"/>
        <v>0</v>
      </c>
      <c r="T481" s="1094">
        <v>0</v>
      </c>
      <c r="U481" s="4173">
        <f t="shared" si="1176"/>
        <v>0</v>
      </c>
      <c r="V481" s="1094">
        <v>0</v>
      </c>
      <c r="W481" s="1006">
        <f>+R481+T481+V481</f>
        <v>0</v>
      </c>
      <c r="X481" s="2346">
        <f>+U481+V481</f>
        <v>0</v>
      </c>
      <c r="Y481" s="1094">
        <v>0</v>
      </c>
      <c r="Z481" s="4173">
        <f>+X481+Y481</f>
        <v>0</v>
      </c>
      <c r="AA481" s="1094"/>
      <c r="AB481" s="693">
        <f>+Z481+AA481</f>
        <v>0</v>
      </c>
      <c r="AC481" s="1094"/>
      <c r="AD481" s="734">
        <f>+Y481+AA481+AC481</f>
        <v>0</v>
      </c>
      <c r="AE481" s="731">
        <f>+W481+AD481</f>
        <v>0</v>
      </c>
      <c r="AF481" s="2589">
        <f>+AB481+AC481</f>
        <v>0</v>
      </c>
    </row>
    <row r="482" spans="1:32" ht="35" customHeight="1" thickBot="1" x14ac:dyDescent="0.3">
      <c r="A482" s="2">
        <v>14616</v>
      </c>
      <c r="B482" s="2">
        <v>5960</v>
      </c>
      <c r="C482" s="2">
        <f>SUM(A482:B482)</f>
        <v>20576</v>
      </c>
      <c r="D482" s="1082"/>
      <c r="E482" s="1087" t="s">
        <v>38</v>
      </c>
      <c r="F482" s="732">
        <f>+F477+F480</f>
        <v>44060</v>
      </c>
      <c r="G482" s="732">
        <f>+G477+G480</f>
        <v>49850</v>
      </c>
      <c r="H482" s="575">
        <f t="shared" ref="H482:AF482" si="1220">+H477+H480</f>
        <v>93910</v>
      </c>
      <c r="I482" s="732">
        <f>+I477+I480</f>
        <v>52110</v>
      </c>
      <c r="J482" s="704">
        <f t="shared" si="1220"/>
        <v>146020</v>
      </c>
      <c r="K482" s="732">
        <f>+K477+K480</f>
        <v>56750</v>
      </c>
      <c r="L482" s="575">
        <f t="shared" si="1220"/>
        <v>202770</v>
      </c>
      <c r="M482" s="732">
        <f>+M477+M480</f>
        <v>57157</v>
      </c>
      <c r="N482" s="575">
        <f t="shared" si="1220"/>
        <v>259927</v>
      </c>
      <c r="O482" s="732">
        <f>+O477+O480</f>
        <v>52835</v>
      </c>
      <c r="P482" s="704">
        <f t="shared" si="1220"/>
        <v>166742</v>
      </c>
      <c r="Q482" s="775">
        <f t="shared" si="1220"/>
        <v>312762</v>
      </c>
      <c r="R482" s="732">
        <f>+R477+R480</f>
        <v>56237</v>
      </c>
      <c r="S482" s="575">
        <f t="shared" si="1220"/>
        <v>368999</v>
      </c>
      <c r="T482" s="732">
        <f>+T477+T480</f>
        <v>55510</v>
      </c>
      <c r="U482" s="575">
        <f t="shared" si="1220"/>
        <v>424509</v>
      </c>
      <c r="V482" s="732">
        <f>+V477+V480</f>
        <v>57500</v>
      </c>
      <c r="W482" s="704">
        <f t="shared" si="1220"/>
        <v>169247</v>
      </c>
      <c r="X482" s="575">
        <f t="shared" si="1220"/>
        <v>482009</v>
      </c>
      <c r="Y482" s="732">
        <f>+Y477+Y480</f>
        <v>58030</v>
      </c>
      <c r="Z482" s="575">
        <f t="shared" si="1220"/>
        <v>540039</v>
      </c>
      <c r="AA482" s="732">
        <f>+AA477+AA480</f>
        <v>54310</v>
      </c>
      <c r="AB482" s="575">
        <f t="shared" si="1220"/>
        <v>594349</v>
      </c>
      <c r="AC482" s="732">
        <f>+AC477+AC480</f>
        <v>55035</v>
      </c>
      <c r="AD482" s="704">
        <f t="shared" si="1220"/>
        <v>167375</v>
      </c>
      <c r="AE482" s="775">
        <f t="shared" si="1220"/>
        <v>336622</v>
      </c>
      <c r="AF482" s="2621">
        <f t="shared" si="1220"/>
        <v>649384</v>
      </c>
    </row>
    <row r="483" spans="1:32" ht="35" customHeight="1" x14ac:dyDescent="0.35">
      <c r="D483" s="1098">
        <v>29</v>
      </c>
      <c r="E483" s="1003" t="s">
        <v>266</v>
      </c>
      <c r="F483" s="660" t="s">
        <v>9</v>
      </c>
      <c r="G483" s="660" t="s">
        <v>51</v>
      </c>
      <c r="H483" s="1390" t="s">
        <v>52</v>
      </c>
      <c r="I483" s="660" t="s">
        <v>1073</v>
      </c>
      <c r="J483" s="1388" t="s">
        <v>60</v>
      </c>
      <c r="K483" s="660" t="s">
        <v>2117</v>
      </c>
      <c r="L483" s="1390" t="s">
        <v>62</v>
      </c>
      <c r="M483" s="660" t="s">
        <v>63</v>
      </c>
      <c r="N483" s="884" t="s">
        <v>64</v>
      </c>
      <c r="O483" s="660" t="s">
        <v>65</v>
      </c>
      <c r="P483" s="1099" t="s">
        <v>66</v>
      </c>
      <c r="Q483" s="1100" t="s">
        <v>82</v>
      </c>
      <c r="R483" s="660" t="s">
        <v>100</v>
      </c>
      <c r="S483" s="1025" t="s">
        <v>1718</v>
      </c>
      <c r="T483" s="660" t="s">
        <v>104</v>
      </c>
      <c r="U483" s="1025" t="s">
        <v>105</v>
      </c>
      <c r="V483" s="660" t="s">
        <v>106</v>
      </c>
      <c r="W483" s="1075" t="s">
        <v>107</v>
      </c>
      <c r="X483" s="1203" t="s">
        <v>108</v>
      </c>
      <c r="Y483" s="660" t="s">
        <v>109</v>
      </c>
      <c r="Z483" s="1025" t="s">
        <v>110</v>
      </c>
      <c r="AA483" s="660" t="s">
        <v>112</v>
      </c>
      <c r="AB483" s="811" t="s">
        <v>1791</v>
      </c>
      <c r="AC483" s="660" t="s">
        <v>114</v>
      </c>
      <c r="AD483" s="659" t="s">
        <v>115</v>
      </c>
      <c r="AE483" s="1321" t="s">
        <v>116</v>
      </c>
      <c r="AF483" s="2620" t="s">
        <v>117</v>
      </c>
    </row>
    <row r="484" spans="1:32" ht="35" customHeight="1" x14ac:dyDescent="0.25">
      <c r="D484" s="1101"/>
      <c r="E484" s="988" t="s">
        <v>544</v>
      </c>
      <c r="F484" s="1094">
        <v>3002.93</v>
      </c>
      <c r="G484" s="1094">
        <v>3075.1</v>
      </c>
      <c r="H484" s="3076">
        <f>+F484+G484</f>
        <v>6078.03</v>
      </c>
      <c r="I484" s="1094">
        <v>2777.8</v>
      </c>
      <c r="J484" s="1061">
        <f>+H484+I484</f>
        <v>8855.83</v>
      </c>
      <c r="K484" s="1094">
        <v>2952.8</v>
      </c>
      <c r="L484" s="3076">
        <f>+J484+K484</f>
        <v>11808.630000000001</v>
      </c>
      <c r="M484" s="1094">
        <v>2798.8</v>
      </c>
      <c r="N484" s="697">
        <f>+L484+M484</f>
        <v>14607.43</v>
      </c>
      <c r="O484" s="1094">
        <v>2844.5</v>
      </c>
      <c r="P484" s="1061">
        <f>+K484+M484+O484</f>
        <v>8596.1</v>
      </c>
      <c r="Q484" s="847">
        <f>+J484+P484</f>
        <v>17451.93</v>
      </c>
      <c r="R484" s="1094">
        <v>3150.78</v>
      </c>
      <c r="S484" s="661">
        <f>+Q484+R484</f>
        <v>20602.71</v>
      </c>
      <c r="T484" s="1094">
        <v>3026.45</v>
      </c>
      <c r="U484" s="661">
        <f>+S484+T484</f>
        <v>23629.16</v>
      </c>
      <c r="V484" s="1094">
        <v>3061.71</v>
      </c>
      <c r="W484" s="1070">
        <f>+R484+T484+V484</f>
        <v>9238.9399999999987</v>
      </c>
      <c r="X484" s="2388">
        <f>+U484+V484</f>
        <v>26690.87</v>
      </c>
      <c r="Y484" s="1094">
        <v>3175.16</v>
      </c>
      <c r="Z484" s="661">
        <f>+X484+Y484</f>
        <v>29866.03</v>
      </c>
      <c r="AA484" s="1094">
        <v>2935.76</v>
      </c>
      <c r="AB484" s="735">
        <f>+Z484+AA484</f>
        <v>32801.79</v>
      </c>
      <c r="AC484" s="1094">
        <v>3130.9</v>
      </c>
      <c r="AD484" s="1076">
        <f>+Y484+AA484+AC484</f>
        <v>9241.82</v>
      </c>
      <c r="AE484" s="769">
        <f>+W484+AD484</f>
        <v>18480.759999999998</v>
      </c>
      <c r="AF484" s="2589">
        <f>+AB484+AC484</f>
        <v>35932.69</v>
      </c>
    </row>
    <row r="485" spans="1:32" ht="35" customHeight="1" x14ac:dyDescent="0.25">
      <c r="D485" s="1101"/>
      <c r="E485" s="1102" t="s">
        <v>119</v>
      </c>
      <c r="F485" s="1094">
        <v>21600</v>
      </c>
      <c r="G485" s="1094">
        <v>21696</v>
      </c>
      <c r="H485" s="3076">
        <f>SUM(F485:G485)</f>
        <v>43296</v>
      </c>
      <c r="I485" s="1094">
        <v>20160</v>
      </c>
      <c r="J485" s="1061">
        <f>SUM(H485:I485)</f>
        <v>63456</v>
      </c>
      <c r="K485" s="1094">
        <v>20064</v>
      </c>
      <c r="L485" s="3076">
        <f>+J485+K485</f>
        <v>83520</v>
      </c>
      <c r="M485" s="1094">
        <v>23808</v>
      </c>
      <c r="N485" s="697">
        <f>+L485+M485</f>
        <v>107328</v>
      </c>
      <c r="O485" s="1094">
        <v>22368</v>
      </c>
      <c r="P485" s="1061">
        <f>+K485+M485+O485</f>
        <v>66240</v>
      </c>
      <c r="Q485" s="847">
        <f>+J485+P485</f>
        <v>129696</v>
      </c>
      <c r="R485" s="1094">
        <v>22320</v>
      </c>
      <c r="S485" s="661">
        <f>+Q485+R485</f>
        <v>152016</v>
      </c>
      <c r="T485" s="1094">
        <v>21600</v>
      </c>
      <c r="U485" s="661">
        <f>+S485+T485</f>
        <v>173616</v>
      </c>
      <c r="V485" s="1094">
        <v>22200</v>
      </c>
      <c r="W485" s="1070">
        <f>+R485+T485+V485</f>
        <v>66120</v>
      </c>
      <c r="X485" s="2388">
        <f>+U485+V485</f>
        <v>195816</v>
      </c>
      <c r="Y485" s="1094">
        <v>22320</v>
      </c>
      <c r="Z485" s="661">
        <f>+X485+Y485</f>
        <v>218136</v>
      </c>
      <c r="AA485" s="1094">
        <v>20880</v>
      </c>
      <c r="AB485" s="735">
        <f>+Z485+AA485</f>
        <v>239016</v>
      </c>
      <c r="AC485" s="1094">
        <v>22320</v>
      </c>
      <c r="AD485" s="1076">
        <f>+Y485+AA485+AC485</f>
        <v>65520</v>
      </c>
      <c r="AE485" s="769">
        <f>+W485+AD485</f>
        <v>131640</v>
      </c>
      <c r="AF485" s="2589">
        <f>+AB485+AC485</f>
        <v>261336</v>
      </c>
    </row>
    <row r="486" spans="1:32" ht="35" customHeight="1" x14ac:dyDescent="0.25">
      <c r="D486" s="1101"/>
      <c r="E486" s="1102" t="s">
        <v>545</v>
      </c>
      <c r="F486" s="3636">
        <f>+F455/1000</f>
        <v>4.2347000000000001</v>
      </c>
      <c r="G486" s="3636">
        <f>+G455/1000</f>
        <v>4.2328000000000001</v>
      </c>
      <c r="H486" s="3540">
        <f>+((F486*F484)+(G486*G484))/H484</f>
        <v>4.2337387197825613</v>
      </c>
      <c r="I486" s="3636">
        <f>+I455/1000</f>
        <v>4.2605000000000004</v>
      </c>
      <c r="J486" s="1103">
        <f>+((F486*F484)+(G486*G484)+(I486*I484))/J484</f>
        <v>4.2421329057807116</v>
      </c>
      <c r="K486" s="3636">
        <f>+K455/1000</f>
        <v>4.2621000000000002</v>
      </c>
      <c r="L486" s="3540">
        <f>+((J486*J484)+(K486*K484))/L484</f>
        <v>4.24712576573235</v>
      </c>
      <c r="M486" s="3636">
        <f>+M455/1000</f>
        <v>4.2313999999999998</v>
      </c>
      <c r="N486" s="1092">
        <f>+((L486*L484)+(M486*M484))/N484</f>
        <v>4.2441126913495397</v>
      </c>
      <c r="O486" s="3636">
        <f>+O455/1000</f>
        <v>4.2363999999999997</v>
      </c>
      <c r="P486" s="1103">
        <f>+((K486*K484)+(M486*M484)+(O486*O484))/P484</f>
        <v>4.2436001209850973</v>
      </c>
      <c r="Q486" s="1104">
        <f>+((O486*O484)+(N486*N484))/Q484</f>
        <v>4.2428555953983311</v>
      </c>
      <c r="R486" s="3636">
        <f>+R455/1000</f>
        <v>4.2423999999999999</v>
      </c>
      <c r="S486" s="811">
        <f>+((Q486*Q484)+(R486*R484))/S484</f>
        <v>4.2427859210268943</v>
      </c>
      <c r="T486" s="3636">
        <f>+T455/1000</f>
        <v>4.2488999999999999</v>
      </c>
      <c r="U486" s="811">
        <f>+((S486*S484)+(T486*T484))/U484</f>
        <v>4.2435690192964968</v>
      </c>
      <c r="V486" s="3636">
        <f>+V455/1000</f>
        <v>4.2461000000000002</v>
      </c>
      <c r="W486" s="2387">
        <f>+((R486*R484)+(T486*T484)+(V486*V484))/W484</f>
        <v>4.2457553905534624</v>
      </c>
      <c r="X486" s="1105">
        <f>+((U486*U484)+(V486*V484))/X484</f>
        <v>4.2438593481216618</v>
      </c>
      <c r="Y486" s="3636">
        <f>+Y455/1000</f>
        <v>4.2401</v>
      </c>
      <c r="Z486" s="811">
        <f>+((X486*X484)+(Y486*Y484))/Z484</f>
        <v>4.2434596789395851</v>
      </c>
      <c r="AA486" s="3636">
        <f>+AA455/1000</f>
        <v>4.2450000000000001</v>
      </c>
      <c r="AB486" s="1105">
        <f>+((Z486*Z484)+(AA486*AA484))/AB484</f>
        <v>4.2435975376648658</v>
      </c>
      <c r="AC486" s="3636">
        <f>+AC455/1000</f>
        <v>4.2424999999999997</v>
      </c>
      <c r="AD486" s="2387">
        <f>+((Y486*Y484)+(AA486*AA484)+(AC486*AC484))/AD484</f>
        <v>4.2424695964647654</v>
      </c>
      <c r="AE486" s="1332">
        <f>+((W486*W484)+(AD486*AD484))/AE484</f>
        <v>4.2441122374837406</v>
      </c>
      <c r="AF486" s="2629">
        <f>+((AB486*AB484)+(AC486*AC484))/AF484</f>
        <v>4.2435019066204065</v>
      </c>
    </row>
    <row r="487" spans="1:32" ht="35" customHeight="1" x14ac:dyDescent="0.35">
      <c r="D487" s="1101"/>
      <c r="E487" s="988" t="s">
        <v>91</v>
      </c>
      <c r="F487" s="2770">
        <f t="shared" ref="F487:G487" si="1221">+((F484*1000)/F485)*F486</f>
        <v>588.7272069907408</v>
      </c>
      <c r="G487" s="2770">
        <f t="shared" si="1221"/>
        <v>599.93931047197634</v>
      </c>
      <c r="H487" s="829">
        <f t="shared" ref="H487:R487" si="1222">+((H484*1000)/H485)*H486</f>
        <v>594.34568900129341</v>
      </c>
      <c r="I487" s="2770">
        <f t="shared" si="1222"/>
        <v>587.0444890873016</v>
      </c>
      <c r="J487" s="828">
        <f t="shared" si="1222"/>
        <v>592.0260944749117</v>
      </c>
      <c r="K487" s="2770">
        <f t="shared" si="1222"/>
        <v>627.24924641148334</v>
      </c>
      <c r="L487" s="829">
        <f t="shared" si="1222"/>
        <v>600.48774821599625</v>
      </c>
      <c r="M487" s="2770">
        <f t="shared" ref="M487:O487" si="1223">+((M484*1000)/M485)*M486</f>
        <v>497.43121303763439</v>
      </c>
      <c r="N487" s="827">
        <f t="shared" si="1222"/>
        <v>577.62726456283553</v>
      </c>
      <c r="O487" s="4927">
        <f t="shared" si="1223"/>
        <v>538.73568490700995</v>
      </c>
      <c r="P487" s="863">
        <f t="shared" si="1222"/>
        <v>550.70064915458931</v>
      </c>
      <c r="Q487" s="852">
        <f t="shared" si="1222"/>
        <v>570.91983446675306</v>
      </c>
      <c r="R487" s="2770">
        <f t="shared" si="1222"/>
        <v>598.87406236559139</v>
      </c>
      <c r="S487" s="811">
        <f t="shared" ref="S487:X487" si="1224">+((S484*1000)/S485)*S486</f>
        <v>575.02426009762132</v>
      </c>
      <c r="T487" s="2770">
        <f t="shared" si="1224"/>
        <v>595.32793541666661</v>
      </c>
      <c r="U487" s="811">
        <f t="shared" si="1224"/>
        <v>577.55029103308448</v>
      </c>
      <c r="V487" s="2770">
        <f t="shared" si="1224"/>
        <v>585.60030770270271</v>
      </c>
      <c r="W487" s="1206">
        <f t="shared" si="1224"/>
        <v>593.25891270417424</v>
      </c>
      <c r="X487" s="1205">
        <f t="shared" si="1224"/>
        <v>578.46293540364434</v>
      </c>
      <c r="Y487" s="2770">
        <f t="shared" ref="Y487" si="1225">+((Y484*1000)/Y485)*Y486</f>
        <v>603.18082060931908</v>
      </c>
      <c r="Z487" s="811">
        <f t="shared" ref="Z487:AF487" si="1226">+((Z484*1000)/Z485)*Z486</f>
        <v>580.99210618604911</v>
      </c>
      <c r="AA487" s="2770">
        <f t="shared" si="1226"/>
        <v>596.85350574712652</v>
      </c>
      <c r="AB487" s="1241">
        <f t="shared" si="1226"/>
        <v>582.37772900140578</v>
      </c>
      <c r="AC487" s="2770">
        <f t="shared" si="1226"/>
        <v>595.10946460573473</v>
      </c>
      <c r="AD487" s="1333">
        <f t="shared" si="1226"/>
        <v>598.41484075091569</v>
      </c>
      <c r="AE487" s="1334">
        <f t="shared" si="1226"/>
        <v>595.82512666362811</v>
      </c>
      <c r="AF487" s="2630">
        <f t="shared" si="1226"/>
        <v>583.46511205880563</v>
      </c>
    </row>
    <row r="488" spans="1:32" ht="35" customHeight="1" x14ac:dyDescent="0.4">
      <c r="D488" s="1101"/>
      <c r="E488" s="1116"/>
      <c r="F488" s="1102"/>
      <c r="G488" s="1102"/>
      <c r="H488" s="3541"/>
      <c r="I488" s="1102"/>
      <c r="J488" s="3491"/>
      <c r="K488" s="1102"/>
      <c r="L488" s="3541"/>
      <c r="M488" s="1102"/>
      <c r="N488" s="1106"/>
      <c r="O488" s="1102"/>
      <c r="P488" s="1083"/>
      <c r="Q488" s="1106"/>
      <c r="R488" s="1102"/>
      <c r="S488" s="4954"/>
      <c r="T488" s="1102"/>
      <c r="U488" s="4954"/>
      <c r="V488" s="1102"/>
      <c r="W488" s="1106"/>
      <c r="X488" s="1106"/>
      <c r="Y488" s="1102"/>
      <c r="Z488" s="4954"/>
      <c r="AA488" s="1102"/>
      <c r="AB488" s="1077"/>
      <c r="AC488" s="1102"/>
      <c r="AD488" s="1077"/>
      <c r="AE488" s="1074"/>
      <c r="AF488" s="1074"/>
    </row>
    <row r="489" spans="1:32" ht="35" customHeight="1" x14ac:dyDescent="0.25">
      <c r="D489" s="1101"/>
      <c r="E489" s="988" t="s">
        <v>135</v>
      </c>
      <c r="F489" s="1094">
        <v>0</v>
      </c>
      <c r="G489" s="1094">
        <v>0</v>
      </c>
      <c r="H489" s="3076">
        <f>SUM(F489:G489)</f>
        <v>0</v>
      </c>
      <c r="I489" s="1094">
        <v>0</v>
      </c>
      <c r="J489" s="1061">
        <f>SUM(H489:I489)</f>
        <v>0</v>
      </c>
      <c r="K489" s="1094">
        <v>0</v>
      </c>
      <c r="L489" s="3076">
        <f>+J489+K489</f>
        <v>0</v>
      </c>
      <c r="M489" s="1094">
        <v>0</v>
      </c>
      <c r="N489" s="697">
        <f>+L489+M489</f>
        <v>0</v>
      </c>
      <c r="O489" s="1094">
        <v>0</v>
      </c>
      <c r="P489" s="1061">
        <f>+K489+M489+O489</f>
        <v>0</v>
      </c>
      <c r="Q489" s="847">
        <f>+J489+P489</f>
        <v>0</v>
      </c>
      <c r="R489" s="1094">
        <v>0</v>
      </c>
      <c r="S489" s="811">
        <f>+Q489+R489</f>
        <v>0</v>
      </c>
      <c r="T489" s="1094">
        <v>0</v>
      </c>
      <c r="U489" s="811">
        <f>+S489+T489</f>
        <v>0</v>
      </c>
      <c r="V489" s="1094">
        <v>0</v>
      </c>
      <c r="W489" s="1006">
        <f>+R489+T489+V489</f>
        <v>0</v>
      </c>
      <c r="X489" s="2388">
        <f>+U489+V489</f>
        <v>0</v>
      </c>
      <c r="Y489" s="1094">
        <v>0</v>
      </c>
      <c r="Z489" s="811">
        <f>+X489+Y489</f>
        <v>0</v>
      </c>
      <c r="AA489" s="1094">
        <v>0</v>
      </c>
      <c r="AB489" s="1201">
        <f>+Z489+AA489</f>
        <v>0</v>
      </c>
      <c r="AC489" s="1094">
        <v>0</v>
      </c>
      <c r="AD489" s="698">
        <f>+Y489+AA489+AC489</f>
        <v>0</v>
      </c>
      <c r="AE489" s="769">
        <f>+W489+AD489</f>
        <v>0</v>
      </c>
      <c r="AF489" s="2589">
        <f>+AB489+AC489</f>
        <v>0</v>
      </c>
    </row>
    <row r="490" spans="1:32" ht="35" customHeight="1" x14ac:dyDescent="0.25">
      <c r="D490" s="1101"/>
      <c r="E490" s="1102" t="s">
        <v>119</v>
      </c>
      <c r="F490" s="711">
        <f>F485</f>
        <v>21600</v>
      </c>
      <c r="G490" s="711">
        <f>G485</f>
        <v>21696</v>
      </c>
      <c r="H490" s="3076">
        <f>SUM(F490:G490)</f>
        <v>43296</v>
      </c>
      <c r="I490" s="711">
        <f>I485</f>
        <v>20160</v>
      </c>
      <c r="J490" s="1061">
        <f>SUM(H490:I490)</f>
        <v>63456</v>
      </c>
      <c r="K490" s="711">
        <f>K485</f>
        <v>20064</v>
      </c>
      <c r="L490" s="3076">
        <f>+J490+K490</f>
        <v>83520</v>
      </c>
      <c r="M490" s="711">
        <f>M485</f>
        <v>23808</v>
      </c>
      <c r="N490" s="697">
        <f>+L490+M490</f>
        <v>107328</v>
      </c>
      <c r="O490" s="711">
        <f>O485</f>
        <v>22368</v>
      </c>
      <c r="P490" s="1061">
        <f>+K490+M490+O490</f>
        <v>66240</v>
      </c>
      <c r="Q490" s="847">
        <f>+J490+P490</f>
        <v>129696</v>
      </c>
      <c r="R490" s="711">
        <f>R485</f>
        <v>22320</v>
      </c>
      <c r="S490" s="811">
        <f>+Q490+R490</f>
        <v>152016</v>
      </c>
      <c r="T490" s="711">
        <f>T485</f>
        <v>21600</v>
      </c>
      <c r="U490" s="811">
        <f>+S490+T490</f>
        <v>173616</v>
      </c>
      <c r="V490" s="711">
        <f>V485</f>
        <v>22200</v>
      </c>
      <c r="W490" s="846">
        <f>+R490+T490+V490</f>
        <v>66120</v>
      </c>
      <c r="X490" s="2388">
        <f>+U490+V490</f>
        <v>195816</v>
      </c>
      <c r="Y490" s="711">
        <f>Y485</f>
        <v>22320</v>
      </c>
      <c r="Z490" s="811">
        <f>+X490+Y490</f>
        <v>218136</v>
      </c>
      <c r="AA490" s="711">
        <f>AA485</f>
        <v>20880</v>
      </c>
      <c r="AB490" s="1201">
        <f>+Z490+AA490</f>
        <v>239016</v>
      </c>
      <c r="AC490" s="711">
        <f>AC485</f>
        <v>22320</v>
      </c>
      <c r="AD490" s="698">
        <f>+AD485</f>
        <v>65520</v>
      </c>
      <c r="AE490" s="769">
        <f>+AE485</f>
        <v>131640</v>
      </c>
      <c r="AF490" s="1475">
        <f>+AF485</f>
        <v>261336</v>
      </c>
    </row>
    <row r="491" spans="1:32" ht="35" customHeight="1" thickBot="1" x14ac:dyDescent="0.3">
      <c r="D491" s="1107"/>
      <c r="E491" s="1102" t="s">
        <v>118</v>
      </c>
      <c r="F491" s="1093"/>
      <c r="G491" s="1093"/>
      <c r="H491" s="3540" t="e">
        <f>+((F491*F489)+(G491*G489))/H489</f>
        <v>#DIV/0!</v>
      </c>
      <c r="I491" s="1093"/>
      <c r="J491" s="1103" t="e">
        <f>+((H491*H489)+(I491*I489))/J489</f>
        <v>#DIV/0!</v>
      </c>
      <c r="K491" s="1093"/>
      <c r="L491" s="3540" t="e">
        <f>+((J491*J489)+(K491*K489))/L489</f>
        <v>#DIV/0!</v>
      </c>
      <c r="M491" s="1093"/>
      <c r="N491" s="697" t="e">
        <f>+((L491*L489)+(M491*M489))/N489</f>
        <v>#DIV/0!</v>
      </c>
      <c r="O491" s="1093"/>
      <c r="P491" s="1061" t="e">
        <f>+((K491*K489)+(M491*M489)+(O491*O489))/P489</f>
        <v>#DIV/0!</v>
      </c>
      <c r="Q491" s="1297" t="e">
        <f>+((O491*O489)+(N491*N489))/Q489</f>
        <v>#DIV/0!</v>
      </c>
      <c r="R491" s="1093"/>
      <c r="S491" s="811" t="e">
        <f>+((Q491*Q489)+(R491*R489))/S489</f>
        <v>#DIV/0!</v>
      </c>
      <c r="T491" s="1093"/>
      <c r="U491" s="811" t="e">
        <f>+((S491*S489)+(T491*T489))/U489</f>
        <v>#DIV/0!</v>
      </c>
      <c r="V491" s="1093"/>
      <c r="W491" s="1061" t="e">
        <f>+((R491*R489)+(T491*T489)+(V491*V489))/W489</f>
        <v>#DIV/0!</v>
      </c>
      <c r="X491" s="661" t="e">
        <f>+((U491*U489)+(V491*V489))/X489</f>
        <v>#DIV/0!</v>
      </c>
      <c r="Y491" s="1093"/>
      <c r="Z491" s="811" t="e">
        <f>+((X491*X489)+(Y491*Y489))/Z489</f>
        <v>#DIV/0!</v>
      </c>
      <c r="AA491" s="1093"/>
      <c r="AB491" s="1105" t="e">
        <f>+((Z491*Z489)+(AA491*AA489))/AB489</f>
        <v>#DIV/0!</v>
      </c>
      <c r="AC491" s="1093"/>
      <c r="AD491" s="1103" t="e">
        <f>+((Y491*Y489)+(AA491*AA489)+(AC491*AC489))/AD489</f>
        <v>#DIV/0!</v>
      </c>
      <c r="AE491" s="1332" t="e">
        <f>+((W491*W489)+(AD491*AD489))/AE489</f>
        <v>#DIV/0!</v>
      </c>
      <c r="AF491" s="2629" t="e">
        <f>+((AB491*AB489)+(AC491*AC489))/AF489</f>
        <v>#DIV/0!</v>
      </c>
    </row>
    <row r="492" spans="1:32" ht="35" customHeight="1" x14ac:dyDescent="0.35">
      <c r="D492" s="1108"/>
      <c r="E492" s="988" t="s">
        <v>91</v>
      </c>
      <c r="F492" s="989">
        <f t="shared" ref="F492:G492" si="1227">+((F489*1000)/F490)*F491</f>
        <v>0</v>
      </c>
      <c r="G492" s="989">
        <f t="shared" si="1227"/>
        <v>0</v>
      </c>
      <c r="H492" s="829" t="e">
        <f t="shared" ref="H492:R492" si="1228">+((H489*1000)/H490)*H491</f>
        <v>#DIV/0!</v>
      </c>
      <c r="I492" s="989">
        <f t="shared" si="1228"/>
        <v>0</v>
      </c>
      <c r="J492" s="828" t="e">
        <f t="shared" si="1228"/>
        <v>#DIV/0!</v>
      </c>
      <c r="K492" s="989">
        <f t="shared" si="1228"/>
        <v>0</v>
      </c>
      <c r="L492" s="829" t="e">
        <f t="shared" si="1228"/>
        <v>#DIV/0!</v>
      </c>
      <c r="M492" s="989">
        <f t="shared" ref="M492:O492" si="1229">+((M489*1000)/M490)*M491</f>
        <v>0</v>
      </c>
      <c r="N492" s="661" t="e">
        <f t="shared" si="1228"/>
        <v>#DIV/0!</v>
      </c>
      <c r="O492" s="989">
        <f t="shared" si="1229"/>
        <v>0</v>
      </c>
      <c r="P492" s="715" t="e">
        <f t="shared" si="1228"/>
        <v>#DIV/0!</v>
      </c>
      <c r="Q492" s="850" t="e">
        <f t="shared" si="1228"/>
        <v>#DIV/0!</v>
      </c>
      <c r="R492" s="989">
        <f t="shared" si="1228"/>
        <v>0</v>
      </c>
      <c r="S492" s="811" t="e">
        <f t="shared" ref="S492:X492" si="1230">+((S489*1000)/S490)*S491</f>
        <v>#DIV/0!</v>
      </c>
      <c r="T492" s="989">
        <f t="shared" si="1230"/>
        <v>0</v>
      </c>
      <c r="U492" s="811" t="e">
        <f t="shared" si="1230"/>
        <v>#DIV/0!</v>
      </c>
      <c r="V492" s="989">
        <f t="shared" si="1230"/>
        <v>0</v>
      </c>
      <c r="W492" s="715" t="e">
        <f t="shared" si="1230"/>
        <v>#DIV/0!</v>
      </c>
      <c r="X492" s="661" t="e">
        <f t="shared" si="1230"/>
        <v>#DIV/0!</v>
      </c>
      <c r="Y492" s="989">
        <f t="shared" ref="Y492" si="1231">+((Y489*1000)/Y490)*Y491</f>
        <v>0</v>
      </c>
      <c r="Z492" s="811" t="e">
        <f t="shared" ref="Z492:AF492" si="1232">+((Z489*1000)/Z490)*Z491</f>
        <v>#DIV/0!</v>
      </c>
      <c r="AA492" s="989">
        <f t="shared" si="1232"/>
        <v>0</v>
      </c>
      <c r="AB492" s="827" t="e">
        <f>+((AB489*1000)/AB490)*AB491</f>
        <v>#DIV/0!</v>
      </c>
      <c r="AC492" s="989">
        <f t="shared" ref="AC492" si="1233">+((AC489*1000)/AC490)*AC491</f>
        <v>0</v>
      </c>
      <c r="AD492" s="1333" t="e">
        <f t="shared" si="1232"/>
        <v>#DIV/0!</v>
      </c>
      <c r="AE492" s="1334" t="e">
        <f t="shared" si="1232"/>
        <v>#DIV/0!</v>
      </c>
      <c r="AF492" s="2630" t="e">
        <f t="shared" si="1232"/>
        <v>#DIV/0!</v>
      </c>
    </row>
    <row r="493" spans="1:32" ht="35" customHeight="1" x14ac:dyDescent="0.4">
      <c r="D493" s="1101"/>
      <c r="E493" s="1116"/>
      <c r="F493" s="1102"/>
      <c r="G493" s="1102"/>
      <c r="H493" s="3541"/>
      <c r="I493" s="1102"/>
      <c r="J493" s="3491"/>
      <c r="K493" s="1102"/>
      <c r="L493" s="3541"/>
      <c r="M493" s="1102"/>
      <c r="N493" s="1106"/>
      <c r="O493" s="1102"/>
      <c r="P493" s="1083"/>
      <c r="Q493" s="941"/>
      <c r="R493" s="1102"/>
      <c r="S493" s="4954"/>
      <c r="T493" s="1102"/>
      <c r="U493" s="4954"/>
      <c r="V493" s="1102"/>
      <c r="W493" s="2347"/>
      <c r="X493" s="2347"/>
      <c r="Y493" s="1102"/>
      <c r="Z493" s="4954"/>
      <c r="AA493" s="1102"/>
      <c r="AB493" s="1077"/>
      <c r="AC493" s="1102"/>
      <c r="AD493" s="1074"/>
      <c r="AE493" s="1074"/>
      <c r="AF493" s="1074"/>
    </row>
    <row r="494" spans="1:32" ht="35" customHeight="1" x14ac:dyDescent="0.25">
      <c r="D494" s="1101"/>
      <c r="E494" s="988" t="s">
        <v>121</v>
      </c>
      <c r="F494" s="1094"/>
      <c r="G494" s="1094"/>
      <c r="H494" s="3539">
        <f>SUM(F494:G494)</f>
        <v>0</v>
      </c>
      <c r="I494" s="1094"/>
      <c r="J494" s="1958">
        <f>SUM(H494:I494)</f>
        <v>0</v>
      </c>
      <c r="K494" s="1094"/>
      <c r="L494" s="3076">
        <f>+J494+K494</f>
        <v>0</v>
      </c>
      <c r="M494" s="1094"/>
      <c r="N494" s="733">
        <f>+L494+M494</f>
        <v>0</v>
      </c>
      <c r="O494" s="1094"/>
      <c r="P494" s="1109">
        <f>+K494+M494+O494</f>
        <v>0</v>
      </c>
      <c r="Q494" s="1110">
        <f>+J494+P494</f>
        <v>0</v>
      </c>
      <c r="R494" s="1094"/>
      <c r="S494" s="811">
        <f>+Q494+R494</f>
        <v>0</v>
      </c>
      <c r="T494" s="1094"/>
      <c r="U494" s="811">
        <f>+S494+T494</f>
        <v>0</v>
      </c>
      <c r="V494" s="1094"/>
      <c r="W494" s="1006">
        <f>+R494+T494+V494</f>
        <v>0</v>
      </c>
      <c r="X494" s="693">
        <f>+U494+V494</f>
        <v>0</v>
      </c>
      <c r="Y494" s="1094"/>
      <c r="Z494" s="811">
        <f>+X494+Y494</f>
        <v>0</v>
      </c>
      <c r="AA494" s="1094"/>
      <c r="AB494" s="735">
        <f>+Z494+AA494</f>
        <v>0</v>
      </c>
      <c r="AC494" s="1094"/>
      <c r="AD494" s="698">
        <f>+Y494+AA494+AC494</f>
        <v>0</v>
      </c>
      <c r="AE494" s="769">
        <f>+W494+AD494</f>
        <v>0</v>
      </c>
      <c r="AF494" s="2589">
        <f>+AB494+AC494</f>
        <v>0</v>
      </c>
    </row>
    <row r="495" spans="1:32" ht="35" customHeight="1" x14ac:dyDescent="0.25">
      <c r="D495" s="1101"/>
      <c r="E495" s="1102" t="s">
        <v>119</v>
      </c>
      <c r="F495" s="711">
        <f>F490</f>
        <v>21600</v>
      </c>
      <c r="G495" s="711">
        <f>G490</f>
        <v>21696</v>
      </c>
      <c r="H495" s="3076">
        <f>SUM(F495:G495)</f>
        <v>43296</v>
      </c>
      <c r="I495" s="711">
        <f>I490</f>
        <v>20160</v>
      </c>
      <c r="J495" s="1061">
        <f>SUM(H495:I495)</f>
        <v>63456</v>
      </c>
      <c r="K495" s="711">
        <f>K490</f>
        <v>20064</v>
      </c>
      <c r="L495" s="3076">
        <f>+J495+K495</f>
        <v>83520</v>
      </c>
      <c r="M495" s="711">
        <f>M490</f>
        <v>23808</v>
      </c>
      <c r="N495" s="697">
        <f>+L495+M495</f>
        <v>107328</v>
      </c>
      <c r="O495" s="711">
        <f>O490</f>
        <v>22368</v>
      </c>
      <c r="P495" s="1061">
        <f>+K495+M495+O495</f>
        <v>66240</v>
      </c>
      <c r="Q495" s="847">
        <f>+J495+P495</f>
        <v>129696</v>
      </c>
      <c r="R495" s="711">
        <f>R490</f>
        <v>22320</v>
      </c>
      <c r="S495" s="811">
        <f>+Q495+R495</f>
        <v>152016</v>
      </c>
      <c r="T495" s="711">
        <f>T490</f>
        <v>21600</v>
      </c>
      <c r="U495" s="811">
        <f>+S495+T495</f>
        <v>173616</v>
      </c>
      <c r="V495" s="711">
        <f>V490</f>
        <v>22200</v>
      </c>
      <c r="W495" s="846">
        <f>+R495+T495+V495</f>
        <v>66120</v>
      </c>
      <c r="X495" s="735">
        <f>+U495+V495</f>
        <v>195816</v>
      </c>
      <c r="Y495" s="711">
        <f>Y490</f>
        <v>22320</v>
      </c>
      <c r="Z495" s="811">
        <f>+X495+Y495</f>
        <v>218136</v>
      </c>
      <c r="AA495" s="711">
        <f>AA490</f>
        <v>20880</v>
      </c>
      <c r="AB495" s="735">
        <f>+Z495+AA495</f>
        <v>239016</v>
      </c>
      <c r="AC495" s="711">
        <f>AC490</f>
        <v>22320</v>
      </c>
      <c r="AD495" s="1076">
        <f>+Y495+AA495+AC495</f>
        <v>65520</v>
      </c>
      <c r="AE495" s="769">
        <f>+W495+AD495</f>
        <v>131640</v>
      </c>
      <c r="AF495" s="2589">
        <f>+AB495+AC495</f>
        <v>261336</v>
      </c>
    </row>
    <row r="496" spans="1:32" ht="35" customHeight="1" x14ac:dyDescent="0.25">
      <c r="D496" s="1101"/>
      <c r="E496" s="1102" t="s">
        <v>120</v>
      </c>
      <c r="F496" s="1094"/>
      <c r="G496" s="1094"/>
      <c r="H496" s="3540" t="e">
        <f>+((F496*F494)+(G496*G494))/H494</f>
        <v>#DIV/0!</v>
      </c>
      <c r="I496" s="1094"/>
      <c r="J496" s="1061" t="e">
        <f>+((H496*H494)+(I496*I494))/J494</f>
        <v>#DIV/0!</v>
      </c>
      <c r="K496" s="1094"/>
      <c r="L496" s="3076" t="e">
        <f>+((J496*J494)+(K496*K494))/L494</f>
        <v>#DIV/0!</v>
      </c>
      <c r="M496" s="1094"/>
      <c r="N496" s="697" t="e">
        <f>+((L496*L494)+(M496*M494))/N494</f>
        <v>#DIV/0!</v>
      </c>
      <c r="O496" s="1094"/>
      <c r="P496" s="1103" t="e">
        <f>+((K496*K494)+(M496*M494)+(O496*O494))/P494</f>
        <v>#DIV/0!</v>
      </c>
      <c r="Q496" s="1297" t="e">
        <f>+((O496*O494)+(N496*N494))/Q494</f>
        <v>#DIV/0!</v>
      </c>
      <c r="R496" s="1094"/>
      <c r="S496" s="811" t="e">
        <f>+((Q496*Q494)+(R496*R494))/S494</f>
        <v>#DIV/0!</v>
      </c>
      <c r="T496" s="1094"/>
      <c r="U496" s="811" t="e">
        <f>+((S496*S494)+(T496*T494))/U494</f>
        <v>#DIV/0!</v>
      </c>
      <c r="V496" s="1094"/>
      <c r="W496" s="1103" t="e">
        <f>+((R496*R494)+(T496*T494)+(V496*V494))/W494</f>
        <v>#DIV/0!</v>
      </c>
      <c r="X496" s="1105" t="e">
        <f>+((U496*U494)+(V496*V494))/X494</f>
        <v>#DIV/0!</v>
      </c>
      <c r="Y496" s="1094"/>
      <c r="Z496" s="811" t="e">
        <f>+((X496*X494)+(Y496*Y494))/Z494</f>
        <v>#DIV/0!</v>
      </c>
      <c r="AA496" s="1094"/>
      <c r="AB496" s="661" t="e">
        <f>+((Z496*Z494)+(AA496*AA494))/AB494</f>
        <v>#DIV/0!</v>
      </c>
      <c r="AC496" s="1094"/>
      <c r="AD496" s="1375" t="e">
        <f>+((Y496*Y494)+(AA496*AA494)+(AC496*AC494))/AD494</f>
        <v>#DIV/0!</v>
      </c>
      <c r="AE496" s="850" t="e">
        <f>+((W496*W494)+(AD496*AD494))/AE494</f>
        <v>#DIV/0!</v>
      </c>
      <c r="AF496" s="2600" t="e">
        <f>+((AB496*AB494)+(AC496*AC494))/AF494</f>
        <v>#DIV/0!</v>
      </c>
    </row>
    <row r="497" spans="3:38" ht="35" customHeight="1" x14ac:dyDescent="0.25">
      <c r="D497" s="1101"/>
      <c r="E497" s="988" t="s">
        <v>91</v>
      </c>
      <c r="F497" s="989">
        <f t="shared" ref="F497:G497" si="1234">+((F494*1000)/F495)*F496</f>
        <v>0</v>
      </c>
      <c r="G497" s="989">
        <f t="shared" si="1234"/>
        <v>0</v>
      </c>
      <c r="H497" s="814" t="e">
        <f t="shared" ref="H497:R497" si="1235">+((H494*1000)/H495)*H496</f>
        <v>#DIV/0!</v>
      </c>
      <c r="I497" s="989">
        <f t="shared" si="1235"/>
        <v>0</v>
      </c>
      <c r="J497" s="815" t="e">
        <f t="shared" si="1235"/>
        <v>#DIV/0!</v>
      </c>
      <c r="K497" s="989">
        <f t="shared" si="1235"/>
        <v>0</v>
      </c>
      <c r="L497" s="814" t="e">
        <f t="shared" si="1235"/>
        <v>#DIV/0!</v>
      </c>
      <c r="M497" s="989">
        <f t="shared" ref="M497:O497" si="1236">+((M494*1000)/M495)*M496</f>
        <v>0</v>
      </c>
      <c r="N497" s="661" t="e">
        <f t="shared" si="1235"/>
        <v>#DIV/0!</v>
      </c>
      <c r="O497" s="989">
        <f t="shared" si="1236"/>
        <v>0</v>
      </c>
      <c r="P497" s="828" t="e">
        <f t="shared" si="1235"/>
        <v>#DIV/0!</v>
      </c>
      <c r="Q497" s="850" t="e">
        <f t="shared" si="1235"/>
        <v>#DIV/0!</v>
      </c>
      <c r="R497" s="989">
        <f t="shared" si="1235"/>
        <v>0</v>
      </c>
      <c r="S497" s="811" t="e">
        <f t="shared" ref="S497:AF497" si="1237">+((S494*1000)/S495)*S496</f>
        <v>#DIV/0!</v>
      </c>
      <c r="T497" s="989">
        <f t="shared" si="1237"/>
        <v>0</v>
      </c>
      <c r="U497" s="811" t="e">
        <f t="shared" si="1237"/>
        <v>#DIV/0!</v>
      </c>
      <c r="V497" s="989">
        <f t="shared" si="1237"/>
        <v>0</v>
      </c>
      <c r="W497" s="863" t="e">
        <f t="shared" si="1237"/>
        <v>#DIV/0!</v>
      </c>
      <c r="X497" s="827" t="e">
        <f t="shared" si="1237"/>
        <v>#DIV/0!</v>
      </c>
      <c r="Y497" s="989">
        <f t="shared" ref="Y497" si="1238">+((Y494*1000)/Y495)*Y496</f>
        <v>0</v>
      </c>
      <c r="Z497" s="811" t="e">
        <f>+((Z494*1000)/Z495)*Z496</f>
        <v>#DIV/0!</v>
      </c>
      <c r="AA497" s="989">
        <f t="shared" ref="AA497" si="1239">+((AA494*1000)/AA495)*AA496</f>
        <v>0</v>
      </c>
      <c r="AB497" s="661" t="e">
        <f>+((AB494*1000)/AB495)*AB496</f>
        <v>#DIV/0!</v>
      </c>
      <c r="AC497" s="989">
        <f t="shared" ref="AC497" si="1240">+((AC494*1000)/AC495)*AC496</f>
        <v>0</v>
      </c>
      <c r="AD497" s="1328" t="e">
        <f t="shared" si="1237"/>
        <v>#DIV/0!</v>
      </c>
      <c r="AE497" s="1329" t="e">
        <f t="shared" si="1237"/>
        <v>#DIV/0!</v>
      </c>
      <c r="AF497" s="2629" t="e">
        <f t="shared" si="1237"/>
        <v>#DIV/0!</v>
      </c>
    </row>
    <row r="498" spans="3:38" ht="35" customHeight="1" x14ac:dyDescent="0.4">
      <c r="D498" s="1101"/>
      <c r="E498" s="1116"/>
      <c r="F498" s="1128"/>
      <c r="G498" s="1128"/>
      <c r="H498" s="3541"/>
      <c r="I498" s="1128"/>
      <c r="J498" s="3492"/>
      <c r="K498" s="1128"/>
      <c r="L498" s="3541"/>
      <c r="M498" s="1128"/>
      <c r="N498" s="1106"/>
      <c r="O498" s="1128"/>
      <c r="P498" s="1083"/>
      <c r="Q498" s="941"/>
      <c r="R498" s="1128"/>
      <c r="S498" s="4954"/>
      <c r="T498" s="1128"/>
      <c r="U498" s="4954"/>
      <c r="V498" s="1128"/>
      <c r="W498" s="2347"/>
      <c r="X498" s="2347"/>
      <c r="Y498" s="1128"/>
      <c r="Z498" s="4954"/>
      <c r="AA498" s="1128"/>
      <c r="AB498" s="1106"/>
      <c r="AC498" s="1128"/>
      <c r="AD498" s="1074"/>
      <c r="AE498" s="1074"/>
      <c r="AF498" s="1074"/>
    </row>
    <row r="499" spans="3:38" ht="35" customHeight="1" x14ac:dyDescent="0.25">
      <c r="D499" s="1101"/>
      <c r="E499" s="988" t="s">
        <v>1229</v>
      </c>
      <c r="F499" s="3304">
        <v>2891</v>
      </c>
      <c r="G499" s="3304">
        <v>2963</v>
      </c>
      <c r="H499" s="3525">
        <f>SUM(F499:G499)</f>
        <v>5854</v>
      </c>
      <c r="I499" s="3304">
        <v>2836</v>
      </c>
      <c r="J499" s="1099">
        <f>SUM(H499:I499)</f>
        <v>8690</v>
      </c>
      <c r="K499" s="3304">
        <v>2857</v>
      </c>
      <c r="L499" s="3076">
        <f>+J499+K499</f>
        <v>11547</v>
      </c>
      <c r="M499" s="3304">
        <v>2835</v>
      </c>
      <c r="N499" s="918">
        <f>+L499+M499</f>
        <v>14382</v>
      </c>
      <c r="O499" s="3304">
        <v>2668</v>
      </c>
      <c r="P499" s="815">
        <f>+K499+M499+O499</f>
        <v>8360</v>
      </c>
      <c r="Q499" s="1071">
        <f>+J499+P499</f>
        <v>17050</v>
      </c>
      <c r="R499" s="3304">
        <v>2728</v>
      </c>
      <c r="S499" s="811">
        <f>+Q499+R499</f>
        <v>19778</v>
      </c>
      <c r="T499" s="3304">
        <v>2698</v>
      </c>
      <c r="U499" s="811">
        <f>+S499+T499</f>
        <v>22476</v>
      </c>
      <c r="V499" s="3304">
        <v>2804</v>
      </c>
      <c r="W499" s="1088">
        <f>+R499+T499+V499</f>
        <v>8230</v>
      </c>
      <c r="X499" s="2388">
        <f>+U499+V499</f>
        <v>25280</v>
      </c>
      <c r="Y499" s="3304">
        <v>2999</v>
      </c>
      <c r="Z499" s="811">
        <f>+X499+Y499</f>
        <v>28279</v>
      </c>
      <c r="AA499" s="3304">
        <v>2793</v>
      </c>
      <c r="AB499" s="735">
        <f>+Z499+AA499</f>
        <v>31072</v>
      </c>
      <c r="AC499" s="3304">
        <v>2783</v>
      </c>
      <c r="AD499" s="698">
        <f>+Y499+AA499+AC499</f>
        <v>8575</v>
      </c>
      <c r="AE499" s="1335">
        <f>+W499+AD499</f>
        <v>16805</v>
      </c>
      <c r="AF499" s="2589">
        <f>+AB499+AC499</f>
        <v>33855</v>
      </c>
    </row>
    <row r="500" spans="3:38" ht="35" customHeight="1" x14ac:dyDescent="0.25">
      <c r="D500" s="1101"/>
      <c r="E500" s="1102" t="s">
        <v>119</v>
      </c>
      <c r="F500" s="711">
        <f>F490</f>
        <v>21600</v>
      </c>
      <c r="G500" s="711">
        <f>G490</f>
        <v>21696</v>
      </c>
      <c r="H500" s="3076">
        <f>SUM(F500:G500)</f>
        <v>43296</v>
      </c>
      <c r="I500" s="711">
        <f>I490</f>
        <v>20160</v>
      </c>
      <c r="J500" s="1061">
        <f>SUM(H500:I500)</f>
        <v>63456</v>
      </c>
      <c r="K500" s="711">
        <f>K490</f>
        <v>20064</v>
      </c>
      <c r="L500" s="3076">
        <f>+J500+K500</f>
        <v>83520</v>
      </c>
      <c r="M500" s="711">
        <f>M490</f>
        <v>23808</v>
      </c>
      <c r="N500" s="697">
        <f>+L500+M500</f>
        <v>107328</v>
      </c>
      <c r="O500" s="711">
        <f>O490</f>
        <v>22368</v>
      </c>
      <c r="P500" s="815">
        <f>+K500+M500+O500</f>
        <v>66240</v>
      </c>
      <c r="Q500" s="1071">
        <f>+J500+P500</f>
        <v>129696</v>
      </c>
      <c r="R500" s="711">
        <f>R490</f>
        <v>22320</v>
      </c>
      <c r="S500" s="811">
        <f>+Q500+R500</f>
        <v>152016</v>
      </c>
      <c r="T500" s="711">
        <f>T490</f>
        <v>21600</v>
      </c>
      <c r="U500" s="811">
        <f>+S500+T500</f>
        <v>173616</v>
      </c>
      <c r="V500" s="711">
        <f>V490</f>
        <v>22200</v>
      </c>
      <c r="W500" s="1070">
        <f>+R500+T500+V500</f>
        <v>66120</v>
      </c>
      <c r="X500" s="2388">
        <f>+U500+V500</f>
        <v>195816</v>
      </c>
      <c r="Y500" s="711">
        <f>Y490</f>
        <v>22320</v>
      </c>
      <c r="Z500" s="811">
        <f>+X500+Y500</f>
        <v>218136</v>
      </c>
      <c r="AA500" s="711">
        <f>AA490</f>
        <v>20880</v>
      </c>
      <c r="AB500" s="735">
        <f>+Z500+AA500</f>
        <v>239016</v>
      </c>
      <c r="AC500" s="711">
        <f>AC490</f>
        <v>22320</v>
      </c>
      <c r="AD500" s="698">
        <f>+Y500+AA500+AC500</f>
        <v>65520</v>
      </c>
      <c r="AE500" s="1335">
        <f>+W500+AD500</f>
        <v>131640</v>
      </c>
      <c r="AF500" s="2589">
        <f>+AB500+AC500</f>
        <v>261336</v>
      </c>
    </row>
    <row r="501" spans="3:38" ht="35" customHeight="1" x14ac:dyDescent="0.25">
      <c r="D501" s="1101"/>
      <c r="E501" s="1102" t="s">
        <v>122</v>
      </c>
      <c r="F501" s="3304">
        <f>3766.4/1000</f>
        <v>3.7664</v>
      </c>
      <c r="G501" s="3304">
        <v>3.7664</v>
      </c>
      <c r="H501" s="3540">
        <f>+((F501*F499)+(G501*G499))/H499</f>
        <v>3.7663999999999995</v>
      </c>
      <c r="I501" s="3304">
        <v>3.766</v>
      </c>
      <c r="J501" s="1103">
        <f>+((F501*F499)+(G501*G499)+(I501*I499))/J499</f>
        <v>3.7662694591484462</v>
      </c>
      <c r="K501" s="3304">
        <v>3.7664</v>
      </c>
      <c r="L501" s="3540">
        <f>+((J501*J499)+(K501*K499))/L499</f>
        <v>3.7663017580323888</v>
      </c>
      <c r="M501" s="3304">
        <v>3.8906000000000001</v>
      </c>
      <c r="N501" s="1092">
        <f>+((L501*L499)+(M501*M499))/N499</f>
        <v>3.7908036017243774</v>
      </c>
      <c r="O501" s="3304">
        <f>3600.8/1000</f>
        <v>3.6008</v>
      </c>
      <c r="P501" s="2387">
        <f>+((K501*K499)+(M501*M499)+(O501*O499))/P499</f>
        <v>3.7556686842105265</v>
      </c>
      <c r="Q501" s="1332">
        <f>+((O501*O499)+(N501*N499))/Q499</f>
        <v>3.7610716598240468</v>
      </c>
      <c r="R501" s="3304">
        <v>3.0074000000000001</v>
      </c>
      <c r="S501" s="811">
        <f>+((Q501*Q499)+(R501*R499))/S499</f>
        <v>3.6571169481241785</v>
      </c>
      <c r="T501" s="3304">
        <v>3.7664</v>
      </c>
      <c r="U501" s="811">
        <f>+((S501*S499)+(T501*T499))/U499</f>
        <v>3.6702351930948569</v>
      </c>
      <c r="V501" s="3304">
        <v>3.7664</v>
      </c>
      <c r="W501" s="2387">
        <f>+((R501*R499)+(T501*T499)+(V501*V499))/W499</f>
        <v>3.5148140947752124</v>
      </c>
      <c r="X501" s="1105">
        <f>+((U501*U499)+(V501*V499))/X499</f>
        <v>3.6809015743670885</v>
      </c>
      <c r="Y501" s="3304">
        <v>3.7664</v>
      </c>
      <c r="Z501" s="811">
        <f>+((X501*X499)+(Y501*Y499))/Z499</f>
        <v>3.6899687188372998</v>
      </c>
      <c r="AA501" s="3304">
        <v>3.7664</v>
      </c>
      <c r="AB501" s="1105">
        <f>+((Z501*Z499)+(AA501*AA499))/AB499</f>
        <v>3.6968389739958809</v>
      </c>
      <c r="AC501" s="3304">
        <v>3.7664</v>
      </c>
      <c r="AD501" s="1103">
        <f>+((Y501*Y499)+(AA501*AA499)+(AC501*AC499))/AD499</f>
        <v>3.7663999999999995</v>
      </c>
      <c r="AE501" s="1332">
        <f>+((W501*W499)+(AD501*AD499))/AE499</f>
        <v>3.6431895269265095</v>
      </c>
      <c r="AF501" s="2629">
        <f>+((AB501*AB499)+(AC501*AC499))/AF499</f>
        <v>3.7025571348397581</v>
      </c>
    </row>
    <row r="502" spans="3:38" ht="35" customHeight="1" x14ac:dyDescent="0.35">
      <c r="D502" s="1101"/>
      <c r="E502" s="988" t="s">
        <v>91</v>
      </c>
      <c r="F502" s="2770">
        <f t="shared" ref="F502:G502" si="1241">+((F499*1000)/F500)*F501</f>
        <v>504.10474074074068</v>
      </c>
      <c r="G502" s="2770">
        <f t="shared" si="1241"/>
        <v>514.37330383480833</v>
      </c>
      <c r="H502" s="829">
        <f t="shared" ref="H502:T502" si="1242">+((H499*1000)/H500)*H501</f>
        <v>509.25040650406498</v>
      </c>
      <c r="I502" s="2770">
        <f t="shared" si="1242"/>
        <v>529.78055555555557</v>
      </c>
      <c r="J502" s="828">
        <f t="shared" si="1242"/>
        <v>515.77284417549163</v>
      </c>
      <c r="K502" s="2770">
        <f t="shared" si="1242"/>
        <v>536.31403508771928</v>
      </c>
      <c r="L502" s="829">
        <f t="shared" si="1242"/>
        <v>520.70745210727966</v>
      </c>
      <c r="M502" s="2770">
        <f t="shared" ref="M502:O502" si="1243">+((M499*1000)/M500)*M501</f>
        <v>463.28339213709677</v>
      </c>
      <c r="N502" s="827">
        <f t="shared" si="1242"/>
        <v>507.96937798151458</v>
      </c>
      <c r="O502" s="4927">
        <f t="shared" si="1243"/>
        <v>429.49456366237479</v>
      </c>
      <c r="P502" s="863">
        <f t="shared" si="1242"/>
        <v>473.99441727053141</v>
      </c>
      <c r="Q502" s="852">
        <f t="shared" si="1242"/>
        <v>494.43523161855416</v>
      </c>
      <c r="R502" s="2770">
        <f t="shared" si="1242"/>
        <v>367.57111111111112</v>
      </c>
      <c r="S502" s="811">
        <f t="shared" si="1242"/>
        <v>475.80819782128196</v>
      </c>
      <c r="T502" s="2770">
        <f t="shared" si="1242"/>
        <v>470.45125925925925</v>
      </c>
      <c r="U502" s="811">
        <f t="shared" ref="U502:AF502" si="1244">+((U499*1000)/U500)*U501</f>
        <v>475.14172772094736</v>
      </c>
      <c r="V502" s="2770">
        <f t="shared" si="1244"/>
        <v>475.72007207207207</v>
      </c>
      <c r="W502" s="863">
        <f t="shared" si="1244"/>
        <v>437.49122807017545</v>
      </c>
      <c r="X502" s="1072">
        <f t="shared" si="1244"/>
        <v>475.20729562446382</v>
      </c>
      <c r="Y502" s="2770">
        <f t="shared" ref="Y502" si="1245">+((Y499*1000)/Y500)*Y501</f>
        <v>506.06781362007166</v>
      </c>
      <c r="Z502" s="811">
        <f>+((Z499*1000)/Z500)*Z501</f>
        <v>478.36498973117688</v>
      </c>
      <c r="AA502" s="2770">
        <f t="shared" ref="AA502" si="1246">+((AA499*1000)/AA500)*AA501</f>
        <v>503.81011494252868</v>
      </c>
      <c r="AB502" s="827">
        <f>+((AB499*1000)/AB500)*AB501</f>
        <v>480.58782926665998</v>
      </c>
      <c r="AC502" s="2770">
        <f t="shared" ref="AC502" si="1247">+((AC499*1000)/AC500)*AC501</f>
        <v>469.61878136200721</v>
      </c>
      <c r="AD502" s="1206">
        <f t="shared" si="1244"/>
        <v>492.9316239316239</v>
      </c>
      <c r="AE502" s="1336">
        <f t="shared" si="1244"/>
        <v>465.08508052263744</v>
      </c>
      <c r="AF502" s="2631">
        <f t="shared" si="1244"/>
        <v>479.65099259191231</v>
      </c>
    </row>
    <row r="503" spans="3:38" s="3170" customFormat="1" ht="35" customHeight="1" thickBot="1" x14ac:dyDescent="0.45">
      <c r="D503" s="4667"/>
      <c r="E503" s="4266"/>
      <c r="F503" s="4668"/>
      <c r="G503" s="4668"/>
      <c r="H503" s="4669"/>
      <c r="I503" s="4668"/>
      <c r="J503" s="4670"/>
      <c r="K503" s="4668"/>
      <c r="L503" s="4669"/>
      <c r="M503" s="4668"/>
      <c r="N503" s="4669"/>
      <c r="O503" s="4668"/>
      <c r="P503" s="4671"/>
      <c r="Q503" s="4669"/>
      <c r="R503" s="4668"/>
      <c r="S503" s="4955"/>
      <c r="T503" s="4668"/>
      <c r="U503" s="4955"/>
      <c r="V503" s="4668"/>
      <c r="W503" s="4672"/>
      <c r="X503" s="4669"/>
      <c r="Y503" s="4668"/>
      <c r="Z503" s="4955"/>
      <c r="AA503" s="4668"/>
      <c r="AB503" s="4669"/>
      <c r="AC503" s="4668"/>
      <c r="AD503" s="4283"/>
      <c r="AE503" s="4283"/>
      <c r="AF503" s="4283"/>
      <c r="AG503" s="4756"/>
      <c r="AH503" s="4756"/>
      <c r="AI503" s="4756"/>
      <c r="AJ503" s="4756"/>
      <c r="AK503" s="4756"/>
      <c r="AL503" s="4756"/>
    </row>
    <row r="504" spans="3:38" ht="35" customHeight="1" thickBot="1" x14ac:dyDescent="0.4">
      <c r="D504" s="1111"/>
      <c r="E504" s="1085" t="s">
        <v>1221</v>
      </c>
      <c r="F504" s="5196">
        <f>1.058*1000</f>
        <v>1058</v>
      </c>
      <c r="G504" s="5196">
        <f>1.078*1000</f>
        <v>1078</v>
      </c>
      <c r="H504" s="1114">
        <f>+((F504*F485)+(G504*G485))/H485</f>
        <v>1068.0221729490022</v>
      </c>
      <c r="I504" s="4163">
        <v>1080</v>
      </c>
      <c r="J504" s="946">
        <f>+((H504*H485)+(I504*I485))/J485</f>
        <v>1071.8275340393343</v>
      </c>
      <c r="K504" s="4163">
        <f>1.126*1000</f>
        <v>1126</v>
      </c>
      <c r="L504" s="575">
        <f>+((J504*J485)+(K504*K485))/L485</f>
        <v>1084.8413793103448</v>
      </c>
      <c r="M504" s="4163">
        <v>961</v>
      </c>
      <c r="N504" s="1112">
        <f>+((L504*L485)+(M504*M485))/N485</f>
        <v>1057.3703041144902</v>
      </c>
      <c r="O504" s="4163">
        <v>968</v>
      </c>
      <c r="P504" s="946">
        <f>+((K504*K485)+(M504*M485)+(O504*O485))/P485</f>
        <v>1013.3420289855072</v>
      </c>
      <c r="Q504" s="1115">
        <f>+((N504*N485)+(O504*O485))/Q485</f>
        <v>1041.9570688378979</v>
      </c>
      <c r="R504" s="4163">
        <v>966</v>
      </c>
      <c r="S504" s="1199">
        <f>+((Q504*Q485)+(R504*R485))/S485</f>
        <v>1030.804546889801</v>
      </c>
      <c r="T504" s="4163">
        <f>1.066*1000</f>
        <v>1066</v>
      </c>
      <c r="U504" s="1199">
        <f>+((S504*S485)+(T504*T485))/U485</f>
        <v>1035.1833010782416</v>
      </c>
      <c r="V504" s="4163">
        <v>1061</v>
      </c>
      <c r="W504" s="946">
        <f>+((R504*R485)+(T504*T485)+(V504*V485))/W485</f>
        <v>1030.5644283121596</v>
      </c>
      <c r="X504" s="1112">
        <f>+((U504*U485)+(V504*V485))/X485</f>
        <v>1038.1101850717</v>
      </c>
      <c r="Y504" s="4163">
        <v>1074</v>
      </c>
      <c r="Z504" s="1199">
        <f>+((X504*X485)+(Y504*Y485))/Z485</f>
        <v>1041.7824843217077</v>
      </c>
      <c r="AA504" s="4163">
        <v>1065</v>
      </c>
      <c r="AB504" s="1112">
        <f>+((Z504*Z485)+(AA504*AA485))/AB485</f>
        <v>1043.8107239682699</v>
      </c>
      <c r="AC504" s="4163">
        <v>1065</v>
      </c>
      <c r="AD504" s="946">
        <f>+((Y504*Y485)+(AA504*AA485)+(AC504*AC485))/AD485</f>
        <v>1068.065934065934</v>
      </c>
      <c r="AE504" s="1115">
        <f>+((W504*W485)+(AD504*AD485))/AE485</f>
        <v>1049.2297174111213</v>
      </c>
      <c r="AF504" s="2632">
        <f>+((AB504*AB485)+(AC504*AC485))/AF485</f>
        <v>1045.6204426485444</v>
      </c>
    </row>
    <row r="505" spans="3:38" s="3170" customFormat="1" ht="35" customHeight="1" thickBot="1" x14ac:dyDescent="0.45">
      <c r="D505" s="4284"/>
      <c r="E505" s="4285" t="s">
        <v>309</v>
      </c>
      <c r="F505" s="3622"/>
      <c r="G505" s="3622"/>
      <c r="H505" s="4286"/>
      <c r="I505" s="3622"/>
      <c r="J505" s="4269"/>
      <c r="K505" s="3622"/>
      <c r="L505" s="4269"/>
      <c r="M505" s="3622"/>
      <c r="N505" s="4287"/>
      <c r="O505" s="3622"/>
      <c r="P505" s="4266"/>
      <c r="Q505" s="4287"/>
      <c r="R505" s="3622"/>
      <c r="S505" s="4287"/>
      <c r="T505" s="3622"/>
      <c r="U505" s="4287"/>
      <c r="V505" s="3622"/>
      <c r="W505" s="4283"/>
      <c r="X505" s="3622"/>
      <c r="Y505" s="3622"/>
      <c r="Z505" s="4287"/>
      <c r="AA505" s="3622"/>
      <c r="AB505" s="3622"/>
      <c r="AC505" s="3622"/>
      <c r="AD505" s="3622"/>
      <c r="AE505" s="4288"/>
      <c r="AF505" s="4288"/>
      <c r="AG505" s="4756"/>
      <c r="AH505" s="4756"/>
      <c r="AI505" s="4756"/>
      <c r="AJ505" s="4756"/>
      <c r="AK505" s="4756"/>
      <c r="AL505" s="4756"/>
    </row>
    <row r="506" spans="3:38" ht="35" customHeight="1" x14ac:dyDescent="0.25">
      <c r="D506" s="8428">
        <v>30</v>
      </c>
      <c r="E506" s="8431" t="s">
        <v>602</v>
      </c>
      <c r="F506" s="1117" t="s">
        <v>9</v>
      </c>
      <c r="G506" s="1117" t="s">
        <v>51</v>
      </c>
      <c r="H506" s="3542" t="s">
        <v>52</v>
      </c>
      <c r="I506" s="1117" t="s">
        <v>1073</v>
      </c>
      <c r="J506" s="3493" t="s">
        <v>60</v>
      </c>
      <c r="K506" s="1117" t="s">
        <v>2117</v>
      </c>
      <c r="L506" s="3542" t="s">
        <v>62</v>
      </c>
      <c r="M506" s="1117" t="s">
        <v>63</v>
      </c>
      <c r="N506" s="1119" t="s">
        <v>64</v>
      </c>
      <c r="O506" s="1117" t="s">
        <v>65</v>
      </c>
      <c r="P506" s="1120" t="s">
        <v>66</v>
      </c>
      <c r="Q506" s="1121" t="s">
        <v>82</v>
      </c>
      <c r="R506" s="1117" t="s">
        <v>100</v>
      </c>
      <c r="S506" s="1118" t="s">
        <v>101</v>
      </c>
      <c r="T506" s="1117" t="s">
        <v>104</v>
      </c>
      <c r="U506" s="1118" t="s">
        <v>105</v>
      </c>
      <c r="V506" s="1117" t="s">
        <v>106</v>
      </c>
      <c r="W506" s="1120" t="s">
        <v>107</v>
      </c>
      <c r="X506" s="1118" t="s">
        <v>108</v>
      </c>
      <c r="Y506" s="1117" t="s">
        <v>109</v>
      </c>
      <c r="Z506" s="1118" t="s">
        <v>110</v>
      </c>
      <c r="AA506" s="1117" t="s">
        <v>112</v>
      </c>
      <c r="AB506" s="1258" t="str">
        <f>+AB483</f>
        <v>11 M</v>
      </c>
      <c r="AC506" s="1117" t="s">
        <v>114</v>
      </c>
      <c r="AD506" s="1120" t="s">
        <v>115</v>
      </c>
      <c r="AE506" s="1438" t="s">
        <v>116</v>
      </c>
      <c r="AF506" s="2633" t="s">
        <v>117</v>
      </c>
    </row>
    <row r="507" spans="3:38" ht="35" customHeight="1" thickBot="1" x14ac:dyDescent="0.4">
      <c r="D507" s="8429"/>
      <c r="E507" s="8432"/>
      <c r="F507" s="1141" t="s">
        <v>96</v>
      </c>
      <c r="G507" s="1141" t="s">
        <v>96</v>
      </c>
      <c r="H507" s="3531" t="s">
        <v>96</v>
      </c>
      <c r="I507" s="1141" t="s">
        <v>96</v>
      </c>
      <c r="J507" s="3484" t="s">
        <v>96</v>
      </c>
      <c r="K507" s="1141" t="s">
        <v>96</v>
      </c>
      <c r="L507" s="3531" t="s">
        <v>96</v>
      </c>
      <c r="M507" s="1141" t="s">
        <v>96</v>
      </c>
      <c r="N507" s="797" t="s">
        <v>96</v>
      </c>
      <c r="O507" s="1141" t="s">
        <v>96</v>
      </c>
      <c r="P507" s="1124" t="s">
        <v>96</v>
      </c>
      <c r="Q507" s="1125" t="s">
        <v>96</v>
      </c>
      <c r="R507" s="1141" t="s">
        <v>96</v>
      </c>
      <c r="S507" s="1123" t="s">
        <v>96</v>
      </c>
      <c r="T507" s="1141" t="s">
        <v>96</v>
      </c>
      <c r="U507" s="1123" t="s">
        <v>96</v>
      </c>
      <c r="V507" s="1141" t="s">
        <v>96</v>
      </c>
      <c r="W507" s="798" t="s">
        <v>96</v>
      </c>
      <c r="X507" s="797" t="s">
        <v>96</v>
      </c>
      <c r="Y507" s="1141" t="s">
        <v>96</v>
      </c>
      <c r="Z507" s="1123" t="s">
        <v>96</v>
      </c>
      <c r="AA507" s="1141" t="s">
        <v>96</v>
      </c>
      <c r="AB507" s="1123" t="s">
        <v>96</v>
      </c>
      <c r="AC507" s="1141" t="s">
        <v>96</v>
      </c>
      <c r="AD507" s="1339" t="s">
        <v>96</v>
      </c>
      <c r="AE507" s="1340" t="s">
        <v>96</v>
      </c>
      <c r="AF507" s="2634" t="s">
        <v>96</v>
      </c>
    </row>
    <row r="508" spans="3:38" ht="35" customHeight="1" x14ac:dyDescent="0.25">
      <c r="C508" s="2">
        <v>581</v>
      </c>
      <c r="D508" s="8429"/>
      <c r="E508" s="1126" t="s">
        <v>444</v>
      </c>
      <c r="F508" s="3408">
        <f>+F42</f>
        <v>3047</v>
      </c>
      <c r="G508" s="3408">
        <f>+G42</f>
        <v>2899</v>
      </c>
      <c r="H508" s="3543">
        <f>+F508+G508</f>
        <v>5946</v>
      </c>
      <c r="I508" s="3408">
        <f>+I42</f>
        <v>2804</v>
      </c>
      <c r="J508" s="3486">
        <f>+H508+I508</f>
        <v>8750</v>
      </c>
      <c r="K508" s="3408">
        <f>+K42</f>
        <v>8503</v>
      </c>
      <c r="L508" s="3075">
        <f>+J508+K508</f>
        <v>17253</v>
      </c>
      <c r="M508" s="3408">
        <f>+M42</f>
        <v>5056</v>
      </c>
      <c r="N508" s="918">
        <f>+L508+M508</f>
        <v>22309</v>
      </c>
      <c r="O508" s="3408">
        <f>+O42</f>
        <v>4657</v>
      </c>
      <c r="P508" s="1360">
        <f>+Q508-J508</f>
        <v>18216</v>
      </c>
      <c r="Q508" s="990">
        <f>+N508+O508</f>
        <v>26966</v>
      </c>
      <c r="R508" s="3408">
        <f>+R42</f>
        <v>6703</v>
      </c>
      <c r="S508" s="720">
        <f>+Q508+R508</f>
        <v>33669</v>
      </c>
      <c r="T508" s="3408">
        <f>+T42</f>
        <v>13729</v>
      </c>
      <c r="U508" s="720">
        <f>+S508+T508</f>
        <v>47398</v>
      </c>
      <c r="V508" s="3408">
        <f>+V42</f>
        <v>12623</v>
      </c>
      <c r="W508" s="1088">
        <f>+R508+T508+V508</f>
        <v>33055</v>
      </c>
      <c r="X508" s="690">
        <f>+U508+V508</f>
        <v>60021</v>
      </c>
      <c r="Y508" s="3408">
        <f>+Y42</f>
        <v>8529</v>
      </c>
      <c r="Z508" s="720">
        <f>+X508+Y508</f>
        <v>68550</v>
      </c>
      <c r="AA508" s="3408">
        <f>+AA42</f>
        <v>9429</v>
      </c>
      <c r="AB508" s="693">
        <f>+Z508+AA508</f>
        <v>77979</v>
      </c>
      <c r="AC508" s="3408">
        <f>+AC42</f>
        <v>13226</v>
      </c>
      <c r="AD508" s="734">
        <f>+Y508+AA508+AC508</f>
        <v>31184</v>
      </c>
      <c r="AE508" s="725">
        <f>+W508+AD508</f>
        <v>64239</v>
      </c>
      <c r="AF508" s="2589">
        <f>+AB508+AC508</f>
        <v>91205</v>
      </c>
    </row>
    <row r="509" spans="3:38" ht="35" customHeight="1" x14ac:dyDescent="0.25">
      <c r="C509" s="2">
        <f>SUM(C508:C508)</f>
        <v>581</v>
      </c>
      <c r="D509" s="8429"/>
      <c r="E509" s="1127" t="s">
        <v>311</v>
      </c>
      <c r="F509" s="3409">
        <f>+F43</f>
        <v>201</v>
      </c>
      <c r="G509" s="3409">
        <f>+G43</f>
        <v>191</v>
      </c>
      <c r="H509" s="3544">
        <f>+F509+G509</f>
        <v>392</v>
      </c>
      <c r="I509" s="3409">
        <f>+I43</f>
        <v>185</v>
      </c>
      <c r="J509" s="1099">
        <f>+H509+I509</f>
        <v>577</v>
      </c>
      <c r="K509" s="3409">
        <f>+K43</f>
        <v>561</v>
      </c>
      <c r="L509" s="3076">
        <f>+J509+K509</f>
        <v>1138</v>
      </c>
      <c r="M509" s="3409">
        <f>+M43</f>
        <v>341</v>
      </c>
      <c r="N509" s="903">
        <f>+L509+M509</f>
        <v>1479</v>
      </c>
      <c r="O509" s="3409">
        <f>+O43</f>
        <v>313</v>
      </c>
      <c r="P509" s="1079">
        <f>+Q509-J509</f>
        <v>1215</v>
      </c>
      <c r="Q509" s="849">
        <f>+N509+O509</f>
        <v>1792</v>
      </c>
      <c r="R509" s="3409">
        <f>+R43</f>
        <v>518</v>
      </c>
      <c r="S509" s="661">
        <f>+Q509+R509</f>
        <v>2310</v>
      </c>
      <c r="T509" s="3409">
        <f>+T43</f>
        <v>905</v>
      </c>
      <c r="U509" s="661">
        <f>+S509+T509</f>
        <v>3215</v>
      </c>
      <c r="V509" s="3409">
        <f>+V43</f>
        <v>832</v>
      </c>
      <c r="W509" s="1070">
        <f>+R509+T509+V509</f>
        <v>2255</v>
      </c>
      <c r="X509" s="714">
        <f>+U509+V509</f>
        <v>4047</v>
      </c>
      <c r="Y509" s="3409">
        <f>+Y43</f>
        <v>562</v>
      </c>
      <c r="Z509" s="661">
        <f>+X509+Y509</f>
        <v>4609</v>
      </c>
      <c r="AA509" s="3409">
        <f>+AA43</f>
        <v>622</v>
      </c>
      <c r="AB509" s="735">
        <f>+Z509+AA509</f>
        <v>5231</v>
      </c>
      <c r="AC509" s="3409">
        <f>+AC43</f>
        <v>872</v>
      </c>
      <c r="AD509" s="698">
        <f>+Y509+AA509+AC509</f>
        <v>2056</v>
      </c>
      <c r="AE509" s="769">
        <f>+W509+AD509</f>
        <v>4311</v>
      </c>
      <c r="AF509" s="2589">
        <f t="shared" ref="AF509:AF511" si="1248">+AB509+AC509</f>
        <v>6103</v>
      </c>
    </row>
    <row r="510" spans="3:38" ht="35" hidden="1" customHeight="1" x14ac:dyDescent="0.25">
      <c r="D510" s="8429"/>
      <c r="E510" s="1129" t="s">
        <v>95</v>
      </c>
      <c r="F510" s="3244"/>
      <c r="G510" s="3244"/>
      <c r="H510" s="3544">
        <f>+F510+G510</f>
        <v>0</v>
      </c>
      <c r="I510" s="3244"/>
      <c r="J510" s="1099">
        <f>+H510+I510</f>
        <v>0</v>
      </c>
      <c r="K510" s="3244"/>
      <c r="L510" s="3076">
        <f>+J510+K510</f>
        <v>0</v>
      </c>
      <c r="M510" s="3244"/>
      <c r="N510" s="903">
        <f>+L510+M510</f>
        <v>0</v>
      </c>
      <c r="O510" s="3244"/>
      <c r="P510" s="1079">
        <f>+Q510-J510</f>
        <v>0</v>
      </c>
      <c r="Q510" s="849">
        <f>+N510+O510</f>
        <v>0</v>
      </c>
      <c r="R510" s="3244"/>
      <c r="S510" s="661">
        <f>+Q510+R510</f>
        <v>0</v>
      </c>
      <c r="T510" s="3244"/>
      <c r="U510" s="661">
        <f>+S510+T510</f>
        <v>0</v>
      </c>
      <c r="V510" s="3244"/>
      <c r="W510" s="1070">
        <f>+R510+T510+V510</f>
        <v>0</v>
      </c>
      <c r="X510" s="714">
        <f>+U510+V510</f>
        <v>0</v>
      </c>
      <c r="Y510" s="3244"/>
      <c r="Z510" s="661">
        <f>+X510+Y510</f>
        <v>0</v>
      </c>
      <c r="AA510" s="3244"/>
      <c r="AB510" s="735">
        <f>+Z510+AA510</f>
        <v>0</v>
      </c>
      <c r="AC510" s="3244"/>
      <c r="AD510" s="698">
        <f>+Y510+AA510+AC510</f>
        <v>0</v>
      </c>
      <c r="AE510" s="769">
        <f>+W510+AD510</f>
        <v>0</v>
      </c>
      <c r="AF510" s="2589">
        <f t="shared" si="1248"/>
        <v>0</v>
      </c>
    </row>
    <row r="511" spans="3:38" ht="35" thickBot="1" x14ac:dyDescent="0.3">
      <c r="D511" s="8429"/>
      <c r="E511" s="1130" t="s">
        <v>507</v>
      </c>
      <c r="F511" s="4994">
        <f>+F44</f>
        <v>2418</v>
      </c>
      <c r="G511" s="4994">
        <f>+G44</f>
        <v>4190</v>
      </c>
      <c r="H511" s="3545">
        <f>+F511+G511</f>
        <v>6608</v>
      </c>
      <c r="I511" s="4994">
        <f>+I44</f>
        <v>4452</v>
      </c>
      <c r="J511" s="3021">
        <f>+H511+I511</f>
        <v>11060</v>
      </c>
      <c r="K511" s="4994">
        <f>+K44</f>
        <v>2813</v>
      </c>
      <c r="L511" s="3585">
        <f>+J511+K511</f>
        <v>13873</v>
      </c>
      <c r="M511" s="3781">
        <f>+M44</f>
        <v>6142</v>
      </c>
      <c r="N511" s="1131">
        <f>+L511+M511</f>
        <v>20015</v>
      </c>
      <c r="O511" s="3781">
        <f>+O44</f>
        <v>6105</v>
      </c>
      <c r="P511" s="1079">
        <f>+Q511-J511</f>
        <v>15060</v>
      </c>
      <c r="Q511" s="849">
        <f>+N511+O511</f>
        <v>26120</v>
      </c>
      <c r="R511" s="3781">
        <f>+R44</f>
        <v>5596</v>
      </c>
      <c r="S511" s="661">
        <f>+Q511+R511</f>
        <v>31716</v>
      </c>
      <c r="T511" s="4994">
        <f>+T44</f>
        <v>5686.5</v>
      </c>
      <c r="U511" s="661">
        <f>+S511+T511</f>
        <v>37402.5</v>
      </c>
      <c r="V511" s="4994">
        <f>+V44</f>
        <v>2905.92</v>
      </c>
      <c r="W511" s="1070">
        <f>+R511+T511+V511</f>
        <v>14188.42</v>
      </c>
      <c r="X511" s="714">
        <f>+U511+V511</f>
        <v>40308.42</v>
      </c>
      <c r="Y511" s="4994">
        <f>+Y44</f>
        <v>7767.28</v>
      </c>
      <c r="Z511" s="661">
        <f>+X511+Y511</f>
        <v>48075.7</v>
      </c>
      <c r="AA511" s="4994">
        <f>+AA44</f>
        <v>3268</v>
      </c>
      <c r="AB511" s="735">
        <f>+Z511+AA511</f>
        <v>51343.7</v>
      </c>
      <c r="AC511" s="4994">
        <f>+AC44</f>
        <v>6946</v>
      </c>
      <c r="AD511" s="698">
        <f>+Y511+AA511+AC511</f>
        <v>17981.28</v>
      </c>
      <c r="AE511" s="769">
        <f>+W511+AD511</f>
        <v>32169.699999999997</v>
      </c>
      <c r="AF511" s="2589">
        <f t="shared" si="1248"/>
        <v>58289.7</v>
      </c>
    </row>
    <row r="512" spans="3:38" ht="35" customHeight="1" thickBot="1" x14ac:dyDescent="0.3">
      <c r="D512" s="8429"/>
      <c r="E512" s="1132" t="s">
        <v>506</v>
      </c>
      <c r="F512" s="1133">
        <f t="shared" ref="F512:G512" si="1249">SUM(F508:F511)</f>
        <v>5666</v>
      </c>
      <c r="G512" s="1133">
        <f t="shared" si="1249"/>
        <v>7280</v>
      </c>
      <c r="H512" s="575">
        <f t="shared" ref="H512:AF512" si="1250">SUM(H508:H511)</f>
        <v>12946</v>
      </c>
      <c r="I512" s="1133">
        <f t="shared" ref="I512" si="1251">SUM(I508:I511)</f>
        <v>7441</v>
      </c>
      <c r="J512" s="704">
        <f t="shared" si="1250"/>
        <v>20387</v>
      </c>
      <c r="K512" s="1133">
        <f t="shared" ref="K512" si="1252">SUM(K508:K511)</f>
        <v>11877</v>
      </c>
      <c r="L512" s="575">
        <f t="shared" si="1250"/>
        <v>32264</v>
      </c>
      <c r="M512" s="1133">
        <f t="shared" ref="M512" si="1253">SUM(M508:M511)</f>
        <v>11539</v>
      </c>
      <c r="N512" s="912">
        <f t="shared" si="1250"/>
        <v>43803</v>
      </c>
      <c r="O512" s="1133">
        <f t="shared" si="1250"/>
        <v>11075</v>
      </c>
      <c r="P512" s="1312">
        <f t="shared" si="1250"/>
        <v>34491</v>
      </c>
      <c r="Q512" s="767">
        <f t="shared" si="1250"/>
        <v>54878</v>
      </c>
      <c r="R512" s="1133">
        <f t="shared" si="1250"/>
        <v>12817</v>
      </c>
      <c r="S512" s="572">
        <f t="shared" si="1250"/>
        <v>67695</v>
      </c>
      <c r="T512" s="1133">
        <f t="shared" ref="T512" si="1254">SUM(T508:T511)</f>
        <v>20320.5</v>
      </c>
      <c r="U512" s="572">
        <f t="shared" si="1250"/>
        <v>88015.5</v>
      </c>
      <c r="V512" s="1133">
        <f t="shared" ref="V512" si="1255">SUM(V508:V511)</f>
        <v>16360.92</v>
      </c>
      <c r="W512" s="913">
        <f t="shared" si="1250"/>
        <v>49498.42</v>
      </c>
      <c r="X512" s="912">
        <f t="shared" si="1250"/>
        <v>104376.42</v>
      </c>
      <c r="Y512" s="1133">
        <f t="shared" si="1250"/>
        <v>16858.28</v>
      </c>
      <c r="Z512" s="572">
        <f t="shared" si="1250"/>
        <v>121234.7</v>
      </c>
      <c r="AA512" s="1133">
        <f t="shared" ref="AA512" si="1256">SUM(AA508:AA511)</f>
        <v>13319</v>
      </c>
      <c r="AB512" s="572">
        <f t="shared" si="1250"/>
        <v>134553.70000000001</v>
      </c>
      <c r="AC512" s="1133">
        <f t="shared" ref="AC512" si="1257">SUM(AC508:AC511)</f>
        <v>21044</v>
      </c>
      <c r="AD512" s="704">
        <f t="shared" si="1250"/>
        <v>51221.279999999999</v>
      </c>
      <c r="AE512" s="775">
        <f t="shared" si="1250"/>
        <v>100719.7</v>
      </c>
      <c r="AF512" s="2588">
        <f t="shared" si="1250"/>
        <v>155597.70000000001</v>
      </c>
    </row>
    <row r="513" spans="4:38" ht="66.75" hidden="1" customHeight="1" thickBot="1" x14ac:dyDescent="0.3">
      <c r="D513" s="8430"/>
      <c r="E513" s="1135" t="s">
        <v>508</v>
      </c>
      <c r="F513" s="1136">
        <v>10059.200000000001</v>
      </c>
      <c r="G513" s="1136">
        <v>10059.200000000001</v>
      </c>
      <c r="H513" s="3546">
        <f>+F513+G513</f>
        <v>20118.400000000001</v>
      </c>
      <c r="I513" s="1136">
        <v>10059.200000000001</v>
      </c>
      <c r="J513" s="3494">
        <f>+H513+I513</f>
        <v>30177.600000000002</v>
      </c>
      <c r="K513" s="1136">
        <v>10059.200000000001</v>
      </c>
      <c r="L513" s="3586">
        <f>+J513+K513</f>
        <v>40236.800000000003</v>
      </c>
      <c r="M513" s="1136">
        <v>10059.200000000001</v>
      </c>
      <c r="N513" s="1137">
        <f>+L513+M513</f>
        <v>50296</v>
      </c>
      <c r="O513" s="1136">
        <v>10059.200000000001</v>
      </c>
      <c r="P513" s="1836"/>
      <c r="Q513" s="2348"/>
      <c r="R513" s="1136">
        <v>10059.200000000001</v>
      </c>
      <c r="S513" s="1835"/>
      <c r="T513" s="1136">
        <v>10059.200000000001</v>
      </c>
      <c r="U513" s="1835"/>
      <c r="V513" s="1136">
        <v>10059.200000000001</v>
      </c>
      <c r="W513" s="1836"/>
      <c r="X513" s="2349"/>
      <c r="Y513" s="1136">
        <v>10059.200000000001</v>
      </c>
      <c r="Z513" s="1835"/>
      <c r="AA513" s="1136">
        <v>10059.200000000001</v>
      </c>
      <c r="AB513" s="2444"/>
      <c r="AC513" s="1136">
        <v>10059.200000000001</v>
      </c>
      <c r="AD513" s="1341"/>
      <c r="AE513" s="1295"/>
      <c r="AF513" s="2635"/>
    </row>
    <row r="514" spans="4:38" s="3170" customFormat="1" ht="35" customHeight="1" thickBot="1" x14ac:dyDescent="0.45">
      <c r="D514" s="4278"/>
      <c r="E514" s="4279"/>
      <c r="F514" s="4266"/>
      <c r="G514" s="4266"/>
      <c r="H514" s="4280"/>
      <c r="I514" s="4266"/>
      <c r="J514" s="4281"/>
      <c r="K514" s="4266"/>
      <c r="L514" s="4281"/>
      <c r="M514" s="4266"/>
      <c r="N514" s="4281"/>
      <c r="O514" s="4266"/>
      <c r="P514" s="4265"/>
      <c r="Q514" s="4281"/>
      <c r="R514" s="4266"/>
      <c r="S514" s="4265"/>
      <c r="T514" s="4266"/>
      <c r="U514" s="4265"/>
      <c r="V514" s="4266"/>
      <c r="W514" s="4282"/>
      <c r="X514" s="4282"/>
      <c r="Y514" s="4266"/>
      <c r="Z514" s="4265"/>
      <c r="AA514" s="4266"/>
      <c r="AB514" s="4282"/>
      <c r="AC514" s="4266"/>
      <c r="AD514" s="4282"/>
      <c r="AE514" s="4283"/>
      <c r="AF514" s="4283"/>
      <c r="AG514" s="4756"/>
      <c r="AH514" s="4756"/>
      <c r="AI514" s="4756"/>
      <c r="AJ514" s="4756"/>
      <c r="AK514" s="4756"/>
      <c r="AL514" s="4756"/>
    </row>
    <row r="515" spans="4:38" ht="35" customHeight="1" x14ac:dyDescent="0.25">
      <c r="D515" s="1139">
        <v>31</v>
      </c>
      <c r="E515" s="8433" t="s">
        <v>603</v>
      </c>
      <c r="F515" s="1117" t="s">
        <v>9</v>
      </c>
      <c r="G515" s="1117" t="s">
        <v>51</v>
      </c>
      <c r="H515" s="3542" t="s">
        <v>52</v>
      </c>
      <c r="I515" s="1117" t="s">
        <v>1073</v>
      </c>
      <c r="J515" s="3493" t="s">
        <v>60</v>
      </c>
      <c r="K515" s="1117" t="s">
        <v>2117</v>
      </c>
      <c r="L515" s="3542" t="s">
        <v>62</v>
      </c>
      <c r="M515" s="1117" t="s">
        <v>63</v>
      </c>
      <c r="N515" s="1119" t="s">
        <v>64</v>
      </c>
      <c r="O515" s="1117" t="s">
        <v>65</v>
      </c>
      <c r="P515" s="1120" t="s">
        <v>66</v>
      </c>
      <c r="Q515" s="1121" t="s">
        <v>82</v>
      </c>
      <c r="R515" s="1117" t="s">
        <v>100</v>
      </c>
      <c r="S515" s="1118" t="s">
        <v>101</v>
      </c>
      <c r="T515" s="1117" t="s">
        <v>104</v>
      </c>
      <c r="U515" s="1118" t="s">
        <v>105</v>
      </c>
      <c r="V515" s="1117" t="s">
        <v>106</v>
      </c>
      <c r="W515" s="1120" t="s">
        <v>107</v>
      </c>
      <c r="X515" s="1118" t="s">
        <v>108</v>
      </c>
      <c r="Y515" s="1117" t="s">
        <v>109</v>
      </c>
      <c r="Z515" s="1118" t="s">
        <v>110</v>
      </c>
      <c r="AA515" s="1117" t="s">
        <v>112</v>
      </c>
      <c r="AB515" s="1258" t="str">
        <f>+AB506</f>
        <v>11 M</v>
      </c>
      <c r="AC515" s="1117" t="s">
        <v>114</v>
      </c>
      <c r="AD515" s="1120" t="s">
        <v>115</v>
      </c>
      <c r="AE515" s="1438" t="s">
        <v>116</v>
      </c>
      <c r="AF515" s="2633" t="s">
        <v>117</v>
      </c>
    </row>
    <row r="516" spans="4:38" ht="35" customHeight="1" thickBot="1" x14ac:dyDescent="0.3">
      <c r="D516" s="1140"/>
      <c r="E516" s="8434"/>
      <c r="F516" s="3419" t="s">
        <v>96</v>
      </c>
      <c r="G516" s="3419" t="s">
        <v>96</v>
      </c>
      <c r="H516" s="3520" t="s">
        <v>96</v>
      </c>
      <c r="I516" s="3419" t="s">
        <v>96</v>
      </c>
      <c r="J516" s="3484" t="s">
        <v>96</v>
      </c>
      <c r="K516" s="3419" t="s">
        <v>96</v>
      </c>
      <c r="L516" s="3520" t="s">
        <v>96</v>
      </c>
      <c r="M516" s="3419" t="s">
        <v>96</v>
      </c>
      <c r="N516" s="1123" t="s">
        <v>96</v>
      </c>
      <c r="O516" s="3419" t="s">
        <v>96</v>
      </c>
      <c r="P516" s="1124" t="s">
        <v>96</v>
      </c>
      <c r="Q516" s="1125" t="s">
        <v>96</v>
      </c>
      <c r="R516" s="3419" t="s">
        <v>96</v>
      </c>
      <c r="S516" s="1123" t="s">
        <v>96</v>
      </c>
      <c r="T516" s="3419" t="s">
        <v>96</v>
      </c>
      <c r="U516" s="1123" t="s">
        <v>96</v>
      </c>
      <c r="V516" s="3419" t="s">
        <v>96</v>
      </c>
      <c r="W516" s="798" t="s">
        <v>96</v>
      </c>
      <c r="X516" s="797" t="s">
        <v>96</v>
      </c>
      <c r="Y516" s="3419" t="s">
        <v>96</v>
      </c>
      <c r="Z516" s="1123" t="s">
        <v>96</v>
      </c>
      <c r="AA516" s="3419" t="s">
        <v>96</v>
      </c>
      <c r="AB516" s="1123" t="s">
        <v>96</v>
      </c>
      <c r="AC516" s="3419" t="s">
        <v>96</v>
      </c>
      <c r="AD516" s="1124" t="s">
        <v>96</v>
      </c>
      <c r="AE516" s="1125" t="s">
        <v>96</v>
      </c>
      <c r="AF516" s="2636" t="s">
        <v>96</v>
      </c>
    </row>
    <row r="517" spans="4:38" ht="35" customHeight="1" x14ac:dyDescent="0.25">
      <c r="D517" s="1140"/>
      <c r="E517" s="1142" t="s">
        <v>93</v>
      </c>
      <c r="F517" s="3388"/>
      <c r="G517" s="3388"/>
      <c r="H517" s="3547">
        <f>+F517+G517</f>
        <v>0</v>
      </c>
      <c r="I517" s="3388"/>
      <c r="J517" s="2868">
        <f>+H517+I517</f>
        <v>0</v>
      </c>
      <c r="K517" s="3388"/>
      <c r="L517" s="3075">
        <f>+J517+K517</f>
        <v>0</v>
      </c>
      <c r="M517" s="3388"/>
      <c r="N517" s="733">
        <f>+L517+M517</f>
        <v>0</v>
      </c>
      <c r="O517" s="3388"/>
      <c r="P517" s="721">
        <f>+K517+M517+O517</f>
        <v>0</v>
      </c>
      <c r="Q517" s="990">
        <f>+N517+O517</f>
        <v>0</v>
      </c>
      <c r="R517" s="3388"/>
      <c r="S517" s="720">
        <f>+Q517+R517</f>
        <v>0</v>
      </c>
      <c r="T517" s="3388"/>
      <c r="U517" s="720">
        <f>+S517+T517</f>
        <v>0</v>
      </c>
      <c r="V517" s="3388"/>
      <c r="W517" s="1088">
        <f>+R517+T517+V517</f>
        <v>0</v>
      </c>
      <c r="X517" s="690">
        <f>+U517+V517</f>
        <v>0</v>
      </c>
      <c r="Y517" s="3388"/>
      <c r="Z517" s="720">
        <f>+X517+Y517</f>
        <v>0</v>
      </c>
      <c r="AA517" s="3388"/>
      <c r="AB517" s="693">
        <f>+Z517+AA517</f>
        <v>0</v>
      </c>
      <c r="AC517" s="3388"/>
      <c r="AD517" s="734">
        <f>+Y517+AA517+AC517</f>
        <v>0</v>
      </c>
      <c r="AE517" s="725">
        <f>+W517+AD517</f>
        <v>0</v>
      </c>
      <c r="AF517" s="2589">
        <f>+AB517+AC517</f>
        <v>0</v>
      </c>
    </row>
    <row r="518" spans="4:38" ht="34.5" customHeight="1" x14ac:dyDescent="0.25">
      <c r="D518" s="1140"/>
      <c r="E518" s="1143" t="s">
        <v>1324</v>
      </c>
      <c r="F518" s="3388">
        <f>+F138</f>
        <v>0</v>
      </c>
      <c r="G518" s="3388">
        <f>+G138</f>
        <v>0</v>
      </c>
      <c r="H518" s="3548">
        <f>+F518+G518</f>
        <v>0</v>
      </c>
      <c r="I518" s="3388">
        <f>+I138</f>
        <v>0</v>
      </c>
      <c r="J518" s="1061">
        <f>+H518+I518</f>
        <v>0</v>
      </c>
      <c r="K518" s="3388">
        <f>+K138</f>
        <v>0</v>
      </c>
      <c r="L518" s="3076">
        <f>+J518+K518</f>
        <v>0</v>
      </c>
      <c r="M518" s="3388">
        <f>+M138</f>
        <v>19437.500000000018</v>
      </c>
      <c r="N518" s="697">
        <f>+L518+M518</f>
        <v>19437.500000000018</v>
      </c>
      <c r="O518" s="3388">
        <f>+O138</f>
        <v>3697.0200000000004</v>
      </c>
      <c r="P518" s="715">
        <f t="shared" ref="P518:P519" si="1258">+K518+M518+O518</f>
        <v>23134.520000000019</v>
      </c>
      <c r="Q518" s="849">
        <f>+N518+O518</f>
        <v>23134.520000000019</v>
      </c>
      <c r="R518" s="3388">
        <f>+R138</f>
        <v>11090.620000000006</v>
      </c>
      <c r="S518" s="661">
        <f>+Q518+R518</f>
        <v>34225.140000000029</v>
      </c>
      <c r="T518" s="3388">
        <f>+T138</f>
        <v>10093.960000000001</v>
      </c>
      <c r="U518" s="661">
        <f>+S518+T518</f>
        <v>44319.100000000028</v>
      </c>
      <c r="V518" s="3388">
        <f>+V138</f>
        <v>14848.460000000003</v>
      </c>
      <c r="W518" s="1070">
        <f>+R518+T518+V518</f>
        <v>36033.040000000008</v>
      </c>
      <c r="X518" s="714">
        <f>+U518+V518</f>
        <v>59167.560000000027</v>
      </c>
      <c r="Y518" s="3388">
        <f>+Y138</f>
        <v>7454.7000000000016</v>
      </c>
      <c r="Z518" s="661">
        <f>+X518+Y518</f>
        <v>66622.260000000024</v>
      </c>
      <c r="AA518" s="3388">
        <f>+AA138</f>
        <v>5674.7200000000012</v>
      </c>
      <c r="AB518" s="735">
        <f>+Z518+AA518</f>
        <v>72296.980000000025</v>
      </c>
      <c r="AC518" s="3388">
        <f>+AC138</f>
        <v>3696.5999999999995</v>
      </c>
      <c r="AD518" s="698">
        <f>+Y518+AA518+AC518</f>
        <v>16826.02</v>
      </c>
      <c r="AE518" s="769">
        <f>+W518+AD518</f>
        <v>52859.060000000012</v>
      </c>
      <c r="AF518" s="2589">
        <f t="shared" ref="AF518:AF520" si="1259">+AB518+AC518</f>
        <v>75993.580000000031</v>
      </c>
    </row>
    <row r="519" spans="4:38" ht="35" customHeight="1" x14ac:dyDescent="0.25">
      <c r="D519" s="1140"/>
      <c r="E519" s="1144" t="s">
        <v>311</v>
      </c>
      <c r="F519" s="3388">
        <f>+F123</f>
        <v>0</v>
      </c>
      <c r="G519" s="3388">
        <f>+G123</f>
        <v>0</v>
      </c>
      <c r="H519" s="3548">
        <f>+F519+G519</f>
        <v>0</v>
      </c>
      <c r="I519" s="3388">
        <f>+I123</f>
        <v>0</v>
      </c>
      <c r="J519" s="1061">
        <f>+H519+I519</f>
        <v>0</v>
      </c>
      <c r="K519" s="3388">
        <f>+K123</f>
        <v>0</v>
      </c>
      <c r="L519" s="3076">
        <f>+J519+K519</f>
        <v>0</v>
      </c>
      <c r="M519" s="3388">
        <f>+M123</f>
        <v>0</v>
      </c>
      <c r="N519" s="697">
        <f>+L519+M519</f>
        <v>0</v>
      </c>
      <c r="O519" s="3388">
        <f>+O123</f>
        <v>0</v>
      </c>
      <c r="P519" s="715">
        <f t="shared" si="1258"/>
        <v>0</v>
      </c>
      <c r="Q519" s="849">
        <f>+N519+O519</f>
        <v>0</v>
      </c>
      <c r="R519" s="3388">
        <f>+R123</f>
        <v>0</v>
      </c>
      <c r="S519" s="661">
        <f>+Q519+R519</f>
        <v>0</v>
      </c>
      <c r="T519" s="3388">
        <f>+T123</f>
        <v>0</v>
      </c>
      <c r="U519" s="661">
        <f>+S519+T519</f>
        <v>0</v>
      </c>
      <c r="V519" s="3388">
        <f>+V123</f>
        <v>0</v>
      </c>
      <c r="W519" s="1070">
        <f>+R519+T519+V519</f>
        <v>0</v>
      </c>
      <c r="X519" s="714">
        <f>+U519+V519</f>
        <v>0</v>
      </c>
      <c r="Y519" s="3388">
        <f>+Y123</f>
        <v>0</v>
      </c>
      <c r="Z519" s="661">
        <f>+X519+Y519</f>
        <v>0</v>
      </c>
      <c r="AA519" s="3388">
        <f>+AA123</f>
        <v>0</v>
      </c>
      <c r="AB519" s="735">
        <f>+Z519+AA519</f>
        <v>0</v>
      </c>
      <c r="AC519" s="3388">
        <f>+AC123</f>
        <v>0</v>
      </c>
      <c r="AD519" s="698">
        <f>+Y519+AA519+AC519</f>
        <v>0</v>
      </c>
      <c r="AE519" s="769">
        <f>+W519+AD519</f>
        <v>0</v>
      </c>
      <c r="AF519" s="2589">
        <f t="shared" si="1259"/>
        <v>0</v>
      </c>
    </row>
    <row r="520" spans="4:38" ht="35" thickBot="1" x14ac:dyDescent="0.3">
      <c r="D520" s="1146"/>
      <c r="E520" s="1130" t="s">
        <v>507</v>
      </c>
      <c r="F520" s="3388">
        <f>+F145</f>
        <v>0</v>
      </c>
      <c r="G520" s="3388">
        <f>+G145</f>
        <v>0</v>
      </c>
      <c r="H520" s="3549">
        <f>+F520+G520</f>
        <v>0</v>
      </c>
      <c r="I520" s="3388">
        <f>+I145</f>
        <v>0</v>
      </c>
      <c r="J520" s="3480">
        <f>+H520+I520</f>
        <v>0</v>
      </c>
      <c r="K520" s="3388">
        <f>+K145</f>
        <v>0</v>
      </c>
      <c r="L520" s="3516">
        <f>+J520+K520</f>
        <v>0</v>
      </c>
      <c r="M520" s="3388">
        <f>+M145</f>
        <v>7398.0699999999979</v>
      </c>
      <c r="N520" s="736">
        <f>+L520+M520</f>
        <v>7398.0699999999979</v>
      </c>
      <c r="O520" s="3388">
        <f>+O145</f>
        <v>6100.7999999999965</v>
      </c>
      <c r="P520" s="875">
        <f t="shared" ref="P520" si="1260">+K520+M520+O520</f>
        <v>13498.869999999995</v>
      </c>
      <c r="Q520" s="876">
        <f>+N520+O520</f>
        <v>13498.869999999995</v>
      </c>
      <c r="R520" s="3388">
        <f>+R145</f>
        <v>5690.19</v>
      </c>
      <c r="S520" s="786">
        <f>+Q520+R520</f>
        <v>19189.059999999994</v>
      </c>
      <c r="T520" s="3388">
        <f>+T145</f>
        <v>4736.9799999999996</v>
      </c>
      <c r="U520" s="786">
        <f>+S520+T520</f>
        <v>23926.039999999994</v>
      </c>
      <c r="V520" s="3388">
        <f>+V145</f>
        <v>2905.92</v>
      </c>
      <c r="W520" s="2389">
        <f>+R520+T520+V520</f>
        <v>13333.089999999998</v>
      </c>
      <c r="X520" s="724">
        <f>+U520+V520</f>
        <v>26831.959999999992</v>
      </c>
      <c r="Y520" s="3388">
        <f>+Y145</f>
        <v>4388.32</v>
      </c>
      <c r="Z520" s="786">
        <f>+X520+Y520</f>
        <v>31220.279999999992</v>
      </c>
      <c r="AA520" s="3388">
        <f>+AA145</f>
        <v>2867.8199999999993</v>
      </c>
      <c r="AB520" s="735">
        <f>+Z520+AA520</f>
        <v>34088.099999999991</v>
      </c>
      <c r="AC520" s="3388">
        <f>+AC145</f>
        <v>2033.0399999999997</v>
      </c>
      <c r="AD520" s="698">
        <f>+Y520+AA520+AC520</f>
        <v>9289.1799999999985</v>
      </c>
      <c r="AE520" s="769">
        <f>+W520+AD520</f>
        <v>22622.269999999997</v>
      </c>
      <c r="AF520" s="2589">
        <f t="shared" si="1259"/>
        <v>36121.139999999992</v>
      </c>
    </row>
    <row r="521" spans="4:38" ht="35" customHeight="1" thickBot="1" x14ac:dyDescent="0.3">
      <c r="D521" s="1146"/>
      <c r="E521" s="1132" t="s">
        <v>506</v>
      </c>
      <c r="F521" s="2350">
        <f t="shared" ref="F521:G521" si="1261">SUM(F517:F520)</f>
        <v>0</v>
      </c>
      <c r="G521" s="2350">
        <f t="shared" si="1261"/>
        <v>0</v>
      </c>
      <c r="H521" s="1021">
        <f t="shared" ref="H521:AF521" si="1262">SUM(H517:H520)</f>
        <v>0</v>
      </c>
      <c r="I521" s="2350">
        <f t="shared" ref="I521" si="1263">SUM(I517:I520)</f>
        <v>0</v>
      </c>
      <c r="J521" s="1019">
        <f t="shared" si="1262"/>
        <v>0</v>
      </c>
      <c r="K521" s="2350">
        <f t="shared" ref="K521" si="1264">SUM(K517:K520)</f>
        <v>0</v>
      </c>
      <c r="L521" s="1021">
        <f t="shared" si="1262"/>
        <v>0</v>
      </c>
      <c r="M521" s="2350">
        <f t="shared" ref="M521" si="1265">SUM(M517:M520)</f>
        <v>26835.570000000014</v>
      </c>
      <c r="N521" s="720">
        <f t="shared" si="1262"/>
        <v>26835.570000000014</v>
      </c>
      <c r="O521" s="2350">
        <f t="shared" ref="O521" si="1266">SUM(O517:O520)</f>
        <v>9797.8199999999961</v>
      </c>
      <c r="P521" s="1149">
        <f t="shared" si="1262"/>
        <v>36633.390000000014</v>
      </c>
      <c r="Q521" s="2351">
        <f t="shared" si="1262"/>
        <v>36633.390000000014</v>
      </c>
      <c r="R521" s="2350">
        <f t="shared" ref="R521" si="1267">SUM(R517:R520)</f>
        <v>16780.810000000005</v>
      </c>
      <c r="S521" s="1018">
        <f t="shared" si="1262"/>
        <v>53414.200000000026</v>
      </c>
      <c r="T521" s="2350">
        <f t="shared" ref="T521" si="1268">SUM(T517:T520)</f>
        <v>14830.94</v>
      </c>
      <c r="U521" s="1018">
        <f t="shared" si="1262"/>
        <v>68245.140000000014</v>
      </c>
      <c r="V521" s="2350">
        <f t="shared" ref="V521" si="1269">SUM(V517:V520)</f>
        <v>17754.380000000005</v>
      </c>
      <c r="W521" s="1149">
        <f t="shared" si="1262"/>
        <v>49366.130000000005</v>
      </c>
      <c r="X521" s="1018">
        <f t="shared" si="1262"/>
        <v>85999.520000000019</v>
      </c>
      <c r="Y521" s="2350">
        <f t="shared" ref="Y521" si="1270">SUM(Y517:Y520)</f>
        <v>11843.02</v>
      </c>
      <c r="Z521" s="1018">
        <f t="shared" si="1262"/>
        <v>97842.540000000008</v>
      </c>
      <c r="AA521" s="2350">
        <f t="shared" ref="AA521" si="1271">SUM(AA517:AA520)</f>
        <v>8542.5400000000009</v>
      </c>
      <c r="AB521" s="572">
        <f t="shared" si="1262"/>
        <v>106385.08000000002</v>
      </c>
      <c r="AC521" s="2350">
        <f t="shared" ref="AC521" si="1272">SUM(AC517:AC520)</f>
        <v>5729.6399999999994</v>
      </c>
      <c r="AD521" s="704">
        <f t="shared" si="1262"/>
        <v>26115.199999999997</v>
      </c>
      <c r="AE521" s="775">
        <f t="shared" si="1262"/>
        <v>75481.330000000016</v>
      </c>
      <c r="AF521" s="2588">
        <f t="shared" si="1262"/>
        <v>112114.72000000003</v>
      </c>
    </row>
    <row r="522" spans="4:38" s="3170" customFormat="1" ht="35" customHeight="1" thickBot="1" x14ac:dyDescent="0.3">
      <c r="D522" s="4264"/>
      <c r="E522" s="4273"/>
      <c r="F522" s="4274"/>
      <c r="G522" s="4274"/>
      <c r="H522" s="4275"/>
      <c r="I522" s="4274"/>
      <c r="J522" s="4276"/>
      <c r="K522" s="4274"/>
      <c r="L522" s="4277"/>
      <c r="M522" s="4274"/>
      <c r="N522" s="4277"/>
      <c r="O522" s="4274"/>
      <c r="P522" s="4274"/>
      <c r="Q522" s="4277"/>
      <c r="R522" s="4274"/>
      <c r="S522" s="4274"/>
      <c r="T522" s="4274"/>
      <c r="U522" s="4274"/>
      <c r="V522" s="4274"/>
      <c r="W522" s="4277"/>
      <c r="X522" s="4277"/>
      <c r="Y522" s="4274"/>
      <c r="Z522" s="4274"/>
      <c r="AA522" s="4274"/>
      <c r="AB522" s="4277"/>
      <c r="AC522" s="4274"/>
      <c r="AD522" s="4274"/>
      <c r="AE522" s="4274"/>
      <c r="AF522" s="4274"/>
      <c r="AG522" s="4756"/>
      <c r="AH522" s="4756"/>
      <c r="AI522" s="4756"/>
      <c r="AJ522" s="4756"/>
      <c r="AK522" s="4756"/>
      <c r="AL522" s="4756"/>
    </row>
    <row r="523" spans="4:38" ht="35" customHeight="1" x14ac:dyDescent="0.25">
      <c r="D523" s="1139">
        <v>32</v>
      </c>
      <c r="E523" s="8433" t="s">
        <v>600</v>
      </c>
      <c r="F523" s="1117" t="s">
        <v>9</v>
      </c>
      <c r="G523" s="1117" t="s">
        <v>51</v>
      </c>
      <c r="H523" s="3542" t="s">
        <v>52</v>
      </c>
      <c r="I523" s="1117" t="s">
        <v>1073</v>
      </c>
      <c r="J523" s="3493" t="s">
        <v>60</v>
      </c>
      <c r="K523" s="1117" t="s">
        <v>2117</v>
      </c>
      <c r="L523" s="712" t="s">
        <v>62</v>
      </c>
      <c r="M523" s="1117" t="s">
        <v>63</v>
      </c>
      <c r="N523" s="720" t="s">
        <v>64</v>
      </c>
      <c r="O523" s="1117" t="s">
        <v>65</v>
      </c>
      <c r="P523" s="765" t="s">
        <v>66</v>
      </c>
      <c r="Q523" s="1148" t="s">
        <v>82</v>
      </c>
      <c r="R523" s="1117" t="s">
        <v>100</v>
      </c>
      <c r="S523" s="1147" t="s">
        <v>101</v>
      </c>
      <c r="T523" s="1117" t="s">
        <v>104</v>
      </c>
      <c r="U523" s="1147" t="s">
        <v>105</v>
      </c>
      <c r="V523" s="1117" t="s">
        <v>106</v>
      </c>
      <c r="W523" s="1075" t="s">
        <v>107</v>
      </c>
      <c r="X523" s="1025" t="s">
        <v>108</v>
      </c>
      <c r="Y523" s="1117" t="s">
        <v>109</v>
      </c>
      <c r="Z523" s="1147" t="s">
        <v>110</v>
      </c>
      <c r="AA523" s="1117" t="s">
        <v>112</v>
      </c>
      <c r="AB523" s="1258" t="str">
        <f>+AB515</f>
        <v>11 M</v>
      </c>
      <c r="AC523" s="1117" t="s">
        <v>114</v>
      </c>
      <c r="AD523" s="1120" t="s">
        <v>115</v>
      </c>
      <c r="AE523" s="1342" t="s">
        <v>116</v>
      </c>
      <c r="AF523" s="2633" t="s">
        <v>117</v>
      </c>
    </row>
    <row r="524" spans="4:38" ht="35" customHeight="1" thickBot="1" x14ac:dyDescent="0.3">
      <c r="D524" s="1140"/>
      <c r="E524" s="8434"/>
      <c r="F524" s="1020" t="s">
        <v>96</v>
      </c>
      <c r="G524" s="1020" t="s">
        <v>96</v>
      </c>
      <c r="H524" s="1021" t="s">
        <v>96</v>
      </c>
      <c r="I524" s="1020" t="s">
        <v>96</v>
      </c>
      <c r="J524" s="1019" t="s">
        <v>96</v>
      </c>
      <c r="K524" s="1020" t="s">
        <v>96</v>
      </c>
      <c r="L524" s="2220" t="s">
        <v>96</v>
      </c>
      <c r="M524" s="1020" t="s">
        <v>96</v>
      </c>
      <c r="N524" s="1018" t="s">
        <v>96</v>
      </c>
      <c r="O524" s="1020" t="s">
        <v>96</v>
      </c>
      <c r="P524" s="1149" t="s">
        <v>96</v>
      </c>
      <c r="Q524" s="883" t="s">
        <v>96</v>
      </c>
      <c r="R524" s="1020" t="s">
        <v>96</v>
      </c>
      <c r="S524" s="1018" t="s">
        <v>96</v>
      </c>
      <c r="T524" s="1020" t="s">
        <v>96</v>
      </c>
      <c r="U524" s="1018" t="s">
        <v>96</v>
      </c>
      <c r="V524" s="1020" t="s">
        <v>96</v>
      </c>
      <c r="W524" s="875" t="s">
        <v>96</v>
      </c>
      <c r="X524" s="786" t="s">
        <v>96</v>
      </c>
      <c r="Y524" s="1020" t="s">
        <v>96</v>
      </c>
      <c r="Z524" s="1018" t="s">
        <v>96</v>
      </c>
      <c r="AA524" s="1020" t="s">
        <v>96</v>
      </c>
      <c r="AB524" s="1123" t="s">
        <v>96</v>
      </c>
      <c r="AC524" s="1020" t="s">
        <v>96</v>
      </c>
      <c r="AD524" s="1124" t="s">
        <v>96</v>
      </c>
      <c r="AE524" s="1343" t="s">
        <v>96</v>
      </c>
      <c r="AF524" s="2636" t="s">
        <v>96</v>
      </c>
    </row>
    <row r="525" spans="4:38" ht="35" customHeight="1" x14ac:dyDescent="0.25">
      <c r="D525" s="1140"/>
      <c r="E525" s="1150" t="s">
        <v>1200</v>
      </c>
      <c r="F525" s="3461">
        <f>+F518</f>
        <v>0</v>
      </c>
      <c r="G525" s="3461">
        <f>+G518</f>
        <v>0</v>
      </c>
      <c r="H525" s="3075">
        <f>+F525+G525</f>
        <v>0</v>
      </c>
      <c r="I525" s="3461">
        <f>+I518</f>
        <v>0</v>
      </c>
      <c r="J525" s="2868">
        <f>+H525+I525</f>
        <v>0</v>
      </c>
      <c r="K525" s="3461">
        <f>+K518</f>
        <v>0</v>
      </c>
      <c r="L525" s="3075">
        <f t="shared" ref="L525:N526" si="1273">+J525+K525</f>
        <v>0</v>
      </c>
      <c r="M525" s="3461">
        <f>+M518</f>
        <v>19437.500000000018</v>
      </c>
      <c r="N525" s="733">
        <f t="shared" si="1273"/>
        <v>19437.500000000018</v>
      </c>
      <c r="O525" s="3461">
        <f>+O518</f>
        <v>3697.0200000000004</v>
      </c>
      <c r="P525" s="721">
        <f t="shared" ref="P525:P526" si="1274">+K525+M525+O525</f>
        <v>23134.520000000019</v>
      </c>
      <c r="Q525" s="990">
        <f t="shared" ref="Q525:Q526" si="1275">+N525+O525</f>
        <v>23134.520000000019</v>
      </c>
      <c r="R525" s="3461">
        <f>+R518</f>
        <v>11090.620000000006</v>
      </c>
      <c r="S525" s="1147">
        <f t="shared" ref="S525:U526" si="1276">+Q525+R525</f>
        <v>34225.140000000029</v>
      </c>
      <c r="T525" s="3461">
        <f>+T518</f>
        <v>10093.960000000001</v>
      </c>
      <c r="U525" s="1147">
        <f t="shared" si="1276"/>
        <v>44319.100000000028</v>
      </c>
      <c r="V525" s="3461">
        <f>+V518</f>
        <v>14848.460000000003</v>
      </c>
      <c r="W525" s="721">
        <f t="shared" ref="W525:W526" si="1277">+R525+T525+V525</f>
        <v>36033.040000000008</v>
      </c>
      <c r="X525" s="720">
        <f t="shared" ref="X525:X526" si="1278">+U525+V525</f>
        <v>59167.560000000027</v>
      </c>
      <c r="Y525" s="3461">
        <f>+Y518</f>
        <v>7454.7000000000016</v>
      </c>
      <c r="Z525" s="1147">
        <f t="shared" ref="Z525:Z526" si="1279">+X525+Y525</f>
        <v>66622.260000000024</v>
      </c>
      <c r="AA525" s="3461">
        <f>+AA518</f>
        <v>5674.7200000000012</v>
      </c>
      <c r="AB525" s="690">
        <f t="shared" ref="AB525:AB526" si="1280">+Z525+AA525</f>
        <v>72296.980000000025</v>
      </c>
      <c r="AC525" s="3461">
        <f>+AC518</f>
        <v>3696.5999999999995</v>
      </c>
      <c r="AD525" s="734">
        <f t="shared" ref="AD525:AD526" si="1281">+Y525+AA525+AC525</f>
        <v>16826.02</v>
      </c>
      <c r="AE525" s="725">
        <f t="shared" ref="AE525:AE526" si="1282">+W525+AD525</f>
        <v>52859.060000000012</v>
      </c>
      <c r="AF525" s="2589">
        <f>+AB525+AC525</f>
        <v>75993.580000000031</v>
      </c>
    </row>
    <row r="526" spans="4:38" ht="35" customHeight="1" thickBot="1" x14ac:dyDescent="0.3">
      <c r="D526" s="1140"/>
      <c r="E526" s="1151" t="s">
        <v>1325</v>
      </c>
      <c r="F526" s="3462">
        <f>+F520</f>
        <v>0</v>
      </c>
      <c r="G526" s="3462">
        <f>+G520</f>
        <v>0</v>
      </c>
      <c r="H526" s="3514">
        <f>+F526+G526</f>
        <v>0</v>
      </c>
      <c r="I526" s="3462">
        <f>+I520</f>
        <v>0</v>
      </c>
      <c r="J526" s="3020">
        <f>+H526+I526</f>
        <v>0</v>
      </c>
      <c r="K526" s="3462">
        <f>+K520</f>
        <v>0</v>
      </c>
      <c r="L526" s="3516">
        <f t="shared" si="1273"/>
        <v>0</v>
      </c>
      <c r="M526" s="3462">
        <f>+M520</f>
        <v>7398.0699999999979</v>
      </c>
      <c r="N526" s="736">
        <f t="shared" si="1273"/>
        <v>7398.0699999999979</v>
      </c>
      <c r="O526" s="3462">
        <f>+O520</f>
        <v>6100.7999999999965</v>
      </c>
      <c r="P526" s="715">
        <f t="shared" si="1274"/>
        <v>13498.869999999995</v>
      </c>
      <c r="Q526" s="849">
        <f t="shared" si="1275"/>
        <v>13498.869999999995</v>
      </c>
      <c r="R526" s="3462">
        <f>+R520</f>
        <v>5690.19</v>
      </c>
      <c r="S526" s="786">
        <f t="shared" si="1276"/>
        <v>19189.059999999994</v>
      </c>
      <c r="T526" s="3462">
        <f>+T520</f>
        <v>4736.9799999999996</v>
      </c>
      <c r="U526" s="786">
        <f t="shared" si="1276"/>
        <v>23926.039999999994</v>
      </c>
      <c r="V526" s="3462">
        <f>+V520</f>
        <v>2905.92</v>
      </c>
      <c r="W526" s="718">
        <f t="shared" si="1277"/>
        <v>13333.089999999998</v>
      </c>
      <c r="X526" s="1032">
        <f t="shared" si="1278"/>
        <v>26831.959999999992</v>
      </c>
      <c r="Y526" s="3462">
        <f>+Y520</f>
        <v>4388.32</v>
      </c>
      <c r="Z526" s="786">
        <f t="shared" si="1279"/>
        <v>31220.279999999992</v>
      </c>
      <c r="AA526" s="3462">
        <f>+AA520</f>
        <v>2867.8199999999993</v>
      </c>
      <c r="AB526" s="714">
        <f t="shared" si="1280"/>
        <v>34088.099999999991</v>
      </c>
      <c r="AC526" s="3462">
        <f>+AC520</f>
        <v>2033.0399999999997</v>
      </c>
      <c r="AD526" s="698">
        <f t="shared" si="1281"/>
        <v>9289.1799999999985</v>
      </c>
      <c r="AE526" s="769">
        <f t="shared" si="1282"/>
        <v>22622.269999999997</v>
      </c>
      <c r="AF526" s="2589">
        <f>+AB526+AC526</f>
        <v>36121.139999999992</v>
      </c>
    </row>
    <row r="527" spans="4:38" ht="35" customHeight="1" thickBot="1" x14ac:dyDescent="0.3">
      <c r="D527" s="1146"/>
      <c r="E527" s="1132" t="s">
        <v>506</v>
      </c>
      <c r="F527" s="705">
        <f>SUM(F525:F526)</f>
        <v>0</v>
      </c>
      <c r="G527" s="705">
        <f>SUM(G525:G526)</f>
        <v>0</v>
      </c>
      <c r="H527" s="575">
        <f>+F527+G527</f>
        <v>0</v>
      </c>
      <c r="I527" s="705">
        <f>SUM(I525:I526)</f>
        <v>0</v>
      </c>
      <c r="J527" s="1422">
        <f>+H527+I527</f>
        <v>0</v>
      </c>
      <c r="K527" s="705">
        <f>SUM(K525:K526)</f>
        <v>0</v>
      </c>
      <c r="L527" s="712">
        <f t="shared" ref="L527:Q527" si="1283">SUM(L525:L526)</f>
        <v>0</v>
      </c>
      <c r="M527" s="705">
        <f>SUM(M525:M526)</f>
        <v>26835.570000000014</v>
      </c>
      <c r="N527" s="1147">
        <f t="shared" si="1283"/>
        <v>26835.570000000014</v>
      </c>
      <c r="O527" s="705">
        <f>SUM(O525:O526)</f>
        <v>9797.8199999999961</v>
      </c>
      <c r="P527" s="765">
        <f t="shared" si="1283"/>
        <v>36633.390000000014</v>
      </c>
      <c r="Q527" s="1148">
        <f t="shared" si="1283"/>
        <v>36633.390000000014</v>
      </c>
      <c r="R527" s="705">
        <f>SUM(R525:R526)</f>
        <v>16780.810000000005</v>
      </c>
      <c r="S527" s="1147">
        <f t="shared" ref="S527" si="1284">SUM(S525:S526)</f>
        <v>53414.200000000026</v>
      </c>
      <c r="T527" s="705">
        <f>SUM(T525:T526)</f>
        <v>14830.94</v>
      </c>
      <c r="U527" s="1147">
        <f t="shared" ref="U527:AF527" si="1285">SUM(U525:U526)</f>
        <v>68245.140000000014</v>
      </c>
      <c r="V527" s="705">
        <f>SUM(V525:V526)</f>
        <v>17754.380000000005</v>
      </c>
      <c r="W527" s="573">
        <f t="shared" si="1285"/>
        <v>49366.130000000005</v>
      </c>
      <c r="X527" s="572">
        <f t="shared" si="1285"/>
        <v>85999.520000000019</v>
      </c>
      <c r="Y527" s="705">
        <f>SUM(Y525:Y526)</f>
        <v>11843.02</v>
      </c>
      <c r="Z527" s="1147">
        <f>SUM(Z525:Z526)</f>
        <v>97842.540000000008</v>
      </c>
      <c r="AA527" s="705">
        <f>SUM(AA525:AA526)</f>
        <v>8542.5400000000009</v>
      </c>
      <c r="AB527" s="572">
        <f>SUM(AB525:AB526)</f>
        <v>106385.08000000002</v>
      </c>
      <c r="AC527" s="705">
        <f>SUM(AC525:AC526)</f>
        <v>5729.6399999999994</v>
      </c>
      <c r="AD527" s="704">
        <f t="shared" si="1285"/>
        <v>26115.199999999997</v>
      </c>
      <c r="AE527" s="775">
        <f t="shared" si="1285"/>
        <v>75481.330000000016</v>
      </c>
      <c r="AF527" s="2588">
        <f t="shared" si="1285"/>
        <v>112114.72000000003</v>
      </c>
    </row>
    <row r="528" spans="4:38" s="3170" customFormat="1" ht="35" customHeight="1" thickBot="1" x14ac:dyDescent="0.45">
      <c r="D528" s="4264"/>
      <c r="E528" s="4265"/>
      <c r="F528" s="4266"/>
      <c r="G528" s="4266"/>
      <c r="H528" s="4267"/>
      <c r="I528" s="4266"/>
      <c r="J528" s="4268"/>
      <c r="K528" s="4266"/>
      <c r="L528" s="4268"/>
      <c r="M528" s="4266"/>
      <c r="N528" s="4268"/>
      <c r="O528" s="4266"/>
      <c r="P528" s="4266"/>
      <c r="Q528" s="4270"/>
      <c r="R528" s="4266"/>
      <c r="S528" s="4266"/>
      <c r="T528" s="4266"/>
      <c r="U528" s="4266"/>
      <c r="V528" s="4266"/>
      <c r="W528" s="3622"/>
      <c r="X528" s="3622"/>
      <c r="Y528" s="4266"/>
      <c r="Z528" s="4266"/>
      <c r="AA528" s="4266"/>
      <c r="AB528" s="3622"/>
      <c r="AC528" s="4266"/>
      <c r="AD528" s="4272"/>
      <c r="AE528" s="4272"/>
      <c r="AF528" s="4272"/>
      <c r="AG528" s="4756"/>
      <c r="AH528" s="4756"/>
      <c r="AI528" s="4756"/>
      <c r="AJ528" s="4756"/>
      <c r="AK528" s="4756"/>
      <c r="AL528" s="4756"/>
    </row>
    <row r="529" spans="1:38" ht="35" customHeight="1" x14ac:dyDescent="0.25">
      <c r="D529" s="1139">
        <v>33</v>
      </c>
      <c r="E529" s="8433" t="s">
        <v>601</v>
      </c>
      <c r="F529" s="1117" t="s">
        <v>9</v>
      </c>
      <c r="G529" s="1117" t="s">
        <v>51</v>
      </c>
      <c r="H529" s="3542" t="s">
        <v>52</v>
      </c>
      <c r="I529" s="1117" t="s">
        <v>1073</v>
      </c>
      <c r="J529" s="3493" t="s">
        <v>60</v>
      </c>
      <c r="K529" s="1117" t="s">
        <v>2117</v>
      </c>
      <c r="L529" s="1390" t="s">
        <v>62</v>
      </c>
      <c r="M529" s="1117" t="s">
        <v>63</v>
      </c>
      <c r="N529" s="1119" t="s">
        <v>64</v>
      </c>
      <c r="O529" s="1117" t="s">
        <v>65</v>
      </c>
      <c r="P529" s="1120" t="s">
        <v>66</v>
      </c>
      <c r="Q529" s="1121" t="s">
        <v>82</v>
      </c>
      <c r="R529" s="1117" t="s">
        <v>100</v>
      </c>
      <c r="S529" s="1118" t="s">
        <v>101</v>
      </c>
      <c r="T529" s="1117" t="s">
        <v>104</v>
      </c>
      <c r="U529" s="1118" t="s">
        <v>105</v>
      </c>
      <c r="V529" s="1117" t="s">
        <v>106</v>
      </c>
      <c r="W529" s="1120" t="s">
        <v>107</v>
      </c>
      <c r="X529" s="1118" t="s">
        <v>108</v>
      </c>
      <c r="Y529" s="1117" t="s">
        <v>109</v>
      </c>
      <c r="Z529" s="1118" t="s">
        <v>110</v>
      </c>
      <c r="AA529" s="1117" t="s">
        <v>112</v>
      </c>
      <c r="AB529" s="1258" t="str">
        <f>+AB515</f>
        <v>11 M</v>
      </c>
      <c r="AC529" s="1117" t="s">
        <v>114</v>
      </c>
      <c r="AD529" s="1120" t="s">
        <v>115</v>
      </c>
      <c r="AE529" s="1338" t="s">
        <v>116</v>
      </c>
      <c r="AF529" s="2633" t="s">
        <v>117</v>
      </c>
    </row>
    <row r="530" spans="1:38" ht="35" customHeight="1" thickBot="1" x14ac:dyDescent="0.4">
      <c r="D530" s="1140"/>
      <c r="E530" s="8434"/>
      <c r="F530" s="1020" t="s">
        <v>96</v>
      </c>
      <c r="G530" s="1020" t="s">
        <v>96</v>
      </c>
      <c r="H530" s="1021" t="s">
        <v>96</v>
      </c>
      <c r="I530" s="1020" t="s">
        <v>96</v>
      </c>
      <c r="J530" s="1399" t="s">
        <v>96</v>
      </c>
      <c r="K530" s="1020" t="s">
        <v>96</v>
      </c>
      <c r="L530" s="2220" t="s">
        <v>96</v>
      </c>
      <c r="M530" s="1020" t="s">
        <v>96</v>
      </c>
      <c r="N530" s="1018" t="s">
        <v>96</v>
      </c>
      <c r="O530" s="1020" t="s">
        <v>96</v>
      </c>
      <c r="P530" s="1149" t="s">
        <v>96</v>
      </c>
      <c r="Q530" s="883" t="s">
        <v>96</v>
      </c>
      <c r="R530" s="1020" t="s">
        <v>96</v>
      </c>
      <c r="S530" s="1018" t="s">
        <v>96</v>
      </c>
      <c r="T530" s="1020" t="s">
        <v>96</v>
      </c>
      <c r="U530" s="1018" t="s">
        <v>96</v>
      </c>
      <c r="V530" s="1020" t="s">
        <v>96</v>
      </c>
      <c r="W530" s="798" t="s">
        <v>96</v>
      </c>
      <c r="X530" s="786" t="s">
        <v>96</v>
      </c>
      <c r="Y530" s="1020" t="s">
        <v>96</v>
      </c>
      <c r="Z530" s="1018" t="s">
        <v>96</v>
      </c>
      <c r="AA530" s="1020" t="s">
        <v>96</v>
      </c>
      <c r="AB530" s="1123" t="s">
        <v>96</v>
      </c>
      <c r="AC530" s="1020" t="s">
        <v>96</v>
      </c>
      <c r="AD530" s="1344" t="s">
        <v>96</v>
      </c>
      <c r="AE530" s="1345" t="s">
        <v>96</v>
      </c>
      <c r="AF530" s="2637" t="s">
        <v>96</v>
      </c>
    </row>
    <row r="531" spans="1:38" ht="35" customHeight="1" x14ac:dyDescent="0.25">
      <c r="D531" s="1140"/>
      <c r="E531" s="1150" t="s">
        <v>98</v>
      </c>
      <c r="F531" s="3461">
        <f>+F518</f>
        <v>0</v>
      </c>
      <c r="G531" s="3461">
        <f>+G518</f>
        <v>0</v>
      </c>
      <c r="H531" s="3075">
        <f>+F531+G531</f>
        <v>0</v>
      </c>
      <c r="I531" s="3461">
        <f>+I518</f>
        <v>0</v>
      </c>
      <c r="J531" s="2868">
        <f>+H531+I531</f>
        <v>0</v>
      </c>
      <c r="K531" s="3461">
        <f>+K518</f>
        <v>0</v>
      </c>
      <c r="L531" s="3075">
        <f>+J531+K531</f>
        <v>0</v>
      </c>
      <c r="M531" s="3461">
        <f>+M518</f>
        <v>19437.500000000018</v>
      </c>
      <c r="N531" s="733">
        <f>+L531+M531</f>
        <v>19437.500000000018</v>
      </c>
      <c r="O531" s="3461">
        <f>+O518</f>
        <v>3697.0200000000004</v>
      </c>
      <c r="P531" s="721">
        <f t="shared" ref="P531:P532" si="1286">+K531+M531+O531</f>
        <v>23134.520000000019</v>
      </c>
      <c r="Q531" s="990">
        <f t="shared" ref="Q531:Q532" si="1287">+N531+O531</f>
        <v>23134.520000000019</v>
      </c>
      <c r="R531" s="3461">
        <f>+R518</f>
        <v>11090.620000000006</v>
      </c>
      <c r="S531" s="733">
        <f>+Q531+R531</f>
        <v>34225.140000000029</v>
      </c>
      <c r="T531" s="3461">
        <f>+T518</f>
        <v>10093.960000000001</v>
      </c>
      <c r="U531" s="733">
        <f>+S531+T531</f>
        <v>44319.100000000028</v>
      </c>
      <c r="V531" s="3461">
        <f>+V518</f>
        <v>14848.460000000003</v>
      </c>
      <c r="W531" s="1006">
        <f>+R531+T531+V531</f>
        <v>36033.040000000008</v>
      </c>
      <c r="X531" s="693">
        <f>+U531+V531</f>
        <v>59167.560000000027</v>
      </c>
      <c r="Y531" s="3461">
        <f>+Y518</f>
        <v>7454.7000000000016</v>
      </c>
      <c r="Z531" s="733">
        <f>+X531+Y531</f>
        <v>66622.260000000024</v>
      </c>
      <c r="AA531" s="3461">
        <f>+AA518</f>
        <v>5674.7200000000012</v>
      </c>
      <c r="AB531" s="693">
        <f>+Z531+AA531</f>
        <v>72296.980000000025</v>
      </c>
      <c r="AC531" s="3461">
        <f>+AC518</f>
        <v>3696.5999999999995</v>
      </c>
      <c r="AD531" s="734">
        <f>+Y531+AA531+AC531</f>
        <v>16826.02</v>
      </c>
      <c r="AE531" s="725">
        <f>+W531+AD531</f>
        <v>52859.060000000012</v>
      </c>
      <c r="AF531" s="2589">
        <f>+AB531+AC531</f>
        <v>75993.580000000031</v>
      </c>
    </row>
    <row r="532" spans="1:38" ht="35" customHeight="1" thickBot="1" x14ac:dyDescent="0.3">
      <c r="D532" s="1140"/>
      <c r="E532" s="1151" t="s">
        <v>99</v>
      </c>
      <c r="F532" s="3462">
        <f>+F520</f>
        <v>0</v>
      </c>
      <c r="G532" s="3462">
        <f>+G520</f>
        <v>0</v>
      </c>
      <c r="H532" s="3514">
        <f>+F532+G532</f>
        <v>0</v>
      </c>
      <c r="I532" s="3462">
        <f>+I520</f>
        <v>0</v>
      </c>
      <c r="J532" s="3020">
        <f>+H532+I532</f>
        <v>0</v>
      </c>
      <c r="K532" s="3462">
        <f>+K520</f>
        <v>0</v>
      </c>
      <c r="L532" s="3514">
        <f>+J532+K532</f>
        <v>0</v>
      </c>
      <c r="M532" s="3462">
        <f>+M520</f>
        <v>7398.0699999999979</v>
      </c>
      <c r="N532" s="701">
        <f>+L532+M532</f>
        <v>7398.0699999999979</v>
      </c>
      <c r="O532" s="3462">
        <f>+O520</f>
        <v>6100.7999999999965</v>
      </c>
      <c r="P532" s="715">
        <f t="shared" si="1286"/>
        <v>13498.869999999995</v>
      </c>
      <c r="Q532" s="849">
        <f t="shared" si="1287"/>
        <v>13498.869999999995</v>
      </c>
      <c r="R532" s="3462">
        <f>+R520</f>
        <v>5690.19</v>
      </c>
      <c r="S532" s="701">
        <f>+Q532+R532</f>
        <v>19189.059999999994</v>
      </c>
      <c r="T532" s="3462">
        <f>+T520</f>
        <v>4736.9799999999996</v>
      </c>
      <c r="U532" s="701">
        <f>+S532+T532</f>
        <v>23926.039999999994</v>
      </c>
      <c r="V532" s="3462">
        <f>+V520</f>
        <v>2905.92</v>
      </c>
      <c r="W532" s="1204">
        <f>+R532+T532+V532</f>
        <v>13333.089999999998</v>
      </c>
      <c r="X532" s="881">
        <f>+U532+V532</f>
        <v>26831.959999999992</v>
      </c>
      <c r="Y532" s="3462">
        <f>+Y520</f>
        <v>4388.32</v>
      </c>
      <c r="Z532" s="701">
        <f>+X532+Y532</f>
        <v>31220.279999999992</v>
      </c>
      <c r="AA532" s="3462">
        <f>+AA520</f>
        <v>2867.8199999999993</v>
      </c>
      <c r="AB532" s="737">
        <f>+Z532+AA532</f>
        <v>34088.099999999991</v>
      </c>
      <c r="AC532" s="3462">
        <f>+AC520</f>
        <v>2033.0399999999997</v>
      </c>
      <c r="AD532" s="702">
        <f>+Y532+AA532+AC532</f>
        <v>9289.1799999999985</v>
      </c>
      <c r="AE532" s="1322">
        <f>+W532+AD532</f>
        <v>22622.269999999997</v>
      </c>
      <c r="AF532" s="2589">
        <f>+AB532+AC532</f>
        <v>36121.139999999992</v>
      </c>
    </row>
    <row r="533" spans="1:38" ht="70.5" customHeight="1" thickBot="1" x14ac:dyDescent="0.3">
      <c r="D533" s="1146"/>
      <c r="E533" s="1132" t="s">
        <v>506</v>
      </c>
      <c r="F533" s="705">
        <f>SUM(F531:F532)</f>
        <v>0</v>
      </c>
      <c r="G533" s="705">
        <f>SUM(G531:G532)</f>
        <v>0</v>
      </c>
      <c r="H533" s="575">
        <f>+F533+G533</f>
        <v>0</v>
      </c>
      <c r="I533" s="705">
        <f>SUM(I531:I532)</f>
        <v>0</v>
      </c>
      <c r="J533" s="704">
        <f>+H533+I533</f>
        <v>0</v>
      </c>
      <c r="K533" s="705">
        <f>SUM(K531:K532)</f>
        <v>0</v>
      </c>
      <c r="L533" s="575">
        <f>+J533+K533</f>
        <v>0</v>
      </c>
      <c r="M533" s="705">
        <f>SUM(M531:M532)</f>
        <v>26835.570000000014</v>
      </c>
      <c r="N533" s="572">
        <f>+L533+M533</f>
        <v>26835.570000000014</v>
      </c>
      <c r="O533" s="705">
        <f>SUM(O531:O532)</f>
        <v>9797.8199999999961</v>
      </c>
      <c r="P533" s="573">
        <f>+Q533-J533</f>
        <v>36633.390000000014</v>
      </c>
      <c r="Q533" s="767">
        <f>+N533+O533</f>
        <v>36633.390000000014</v>
      </c>
      <c r="R533" s="705">
        <f>SUM(R531:R532)</f>
        <v>16780.810000000005</v>
      </c>
      <c r="S533" s="572">
        <f>+Q533+R533</f>
        <v>53414.200000000019</v>
      </c>
      <c r="T533" s="705">
        <f>SUM(T531:T532)</f>
        <v>14830.94</v>
      </c>
      <c r="U533" s="572">
        <f>+S533+T533</f>
        <v>68245.140000000014</v>
      </c>
      <c r="V533" s="705">
        <f>SUM(V531:V532)</f>
        <v>17754.380000000005</v>
      </c>
      <c r="W533" s="573">
        <f t="shared" ref="W533:AF533" si="1288">SUM(W531:W532)</f>
        <v>49366.130000000005</v>
      </c>
      <c r="X533" s="572">
        <f t="shared" si="1288"/>
        <v>85999.520000000019</v>
      </c>
      <c r="Y533" s="705">
        <f>SUM(Y531:Y532)</f>
        <v>11843.02</v>
      </c>
      <c r="Z533" s="572">
        <f t="shared" si="1288"/>
        <v>97842.540000000008</v>
      </c>
      <c r="AA533" s="705">
        <f>SUM(AA531:AA532)</f>
        <v>8542.5400000000009</v>
      </c>
      <c r="AB533" s="572">
        <f>SUM(AB531:AB532)</f>
        <v>106385.08000000002</v>
      </c>
      <c r="AC533" s="705">
        <f>SUM(AC531:AC532)</f>
        <v>5729.6399999999994</v>
      </c>
      <c r="AD533" s="573">
        <f t="shared" si="1288"/>
        <v>26115.199999999997</v>
      </c>
      <c r="AE533" s="767">
        <f t="shared" si="1288"/>
        <v>75481.330000000016</v>
      </c>
      <c r="AF533" s="2588">
        <f t="shared" si="1288"/>
        <v>112114.72000000003</v>
      </c>
    </row>
    <row r="534" spans="1:38" ht="35" customHeight="1" thickTop="1" x14ac:dyDescent="0.35">
      <c r="C534" s="329"/>
      <c r="D534" s="330" t="s">
        <v>10</v>
      </c>
      <c r="E534" s="331" t="s">
        <v>1</v>
      </c>
      <c r="F534" s="336" t="s">
        <v>9</v>
      </c>
      <c r="G534" s="336" t="s">
        <v>51</v>
      </c>
      <c r="H534" s="3550" t="s">
        <v>52</v>
      </c>
      <c r="I534" s="336" t="s">
        <v>1073</v>
      </c>
      <c r="J534" s="3495" t="s">
        <v>60</v>
      </c>
      <c r="K534" s="336" t="s">
        <v>2117</v>
      </c>
      <c r="L534" s="3587" t="s">
        <v>62</v>
      </c>
      <c r="M534" s="336" t="s">
        <v>63</v>
      </c>
      <c r="N534" s="334" t="s">
        <v>64</v>
      </c>
      <c r="O534" s="336" t="s">
        <v>65</v>
      </c>
      <c r="P534" s="332" t="s">
        <v>66</v>
      </c>
      <c r="Q534" s="335" t="s">
        <v>82</v>
      </c>
      <c r="R534" s="336" t="s">
        <v>100</v>
      </c>
      <c r="S534" s="333" t="s">
        <v>101</v>
      </c>
      <c r="T534" s="336" t="s">
        <v>104</v>
      </c>
      <c r="U534" s="333" t="s">
        <v>105</v>
      </c>
      <c r="V534" s="336" t="s">
        <v>106</v>
      </c>
      <c r="W534" s="332" t="s">
        <v>107</v>
      </c>
      <c r="X534" s="333" t="s">
        <v>108</v>
      </c>
      <c r="Y534" s="336" t="s">
        <v>109</v>
      </c>
      <c r="Z534" s="333" t="s">
        <v>110</v>
      </c>
      <c r="AA534" s="336" t="s">
        <v>112</v>
      </c>
      <c r="AB534" s="337" t="str">
        <f>+AB529</f>
        <v>11 M</v>
      </c>
      <c r="AC534" s="336" t="s">
        <v>114</v>
      </c>
      <c r="AD534" s="1346" t="s">
        <v>115</v>
      </c>
      <c r="AE534" s="1347" t="s">
        <v>116</v>
      </c>
      <c r="AF534" s="1501" t="s">
        <v>117</v>
      </c>
    </row>
    <row r="535" spans="1:38" ht="35" customHeight="1" thickBot="1" x14ac:dyDescent="0.3">
      <c r="C535" s="338"/>
      <c r="D535" s="201"/>
      <c r="E535" s="323" t="s">
        <v>1877</v>
      </c>
      <c r="F535" s="339">
        <f>+F6</f>
        <v>30</v>
      </c>
      <c r="G535" s="339">
        <f>+G6</f>
        <v>31</v>
      </c>
      <c r="H535" s="3551">
        <f>SUM(F535:G535)</f>
        <v>61</v>
      </c>
      <c r="I535" s="339">
        <f>+I6</f>
        <v>30</v>
      </c>
      <c r="J535" s="3496">
        <f>SUM(H535:I535)</f>
        <v>91</v>
      </c>
      <c r="K535" s="339">
        <f>+K6</f>
        <v>31</v>
      </c>
      <c r="L535" s="3551">
        <f>SUM(J535:K535)</f>
        <v>122</v>
      </c>
      <c r="M535" s="339">
        <v>31</v>
      </c>
      <c r="N535" s="2105">
        <f>SUM(L535:M535)</f>
        <v>153</v>
      </c>
      <c r="O535" s="339">
        <v>30</v>
      </c>
      <c r="P535" s="339">
        <f>+K535+M535+O535</f>
        <v>92</v>
      </c>
      <c r="Q535" s="2105">
        <f>+J535+P535</f>
        <v>183</v>
      </c>
      <c r="R535" s="339">
        <v>31</v>
      </c>
      <c r="S535" s="2105">
        <f>SUM(Q535:R535)</f>
        <v>214</v>
      </c>
      <c r="T535" s="339">
        <v>30</v>
      </c>
      <c r="U535" s="2105">
        <f>SUM(S535:T535)</f>
        <v>244</v>
      </c>
      <c r="V535" s="339">
        <v>31</v>
      </c>
      <c r="W535" s="339">
        <f>+R535+T535+V535</f>
        <v>92</v>
      </c>
      <c r="X535" s="339">
        <f>+U535+V535</f>
        <v>275</v>
      </c>
      <c r="Y535" s="339">
        <v>31</v>
      </c>
      <c r="Z535" s="2105">
        <f>SUM(X535:Y535)</f>
        <v>306</v>
      </c>
      <c r="AA535" s="339">
        <v>29</v>
      </c>
      <c r="AB535" s="2470">
        <f>+Z535+AA535</f>
        <v>335</v>
      </c>
      <c r="AC535" s="339">
        <v>31</v>
      </c>
      <c r="AD535" s="339">
        <f>+Y535+AA535+AC535</f>
        <v>91</v>
      </c>
      <c r="AE535" s="339">
        <f>+AD535+W535</f>
        <v>183</v>
      </c>
      <c r="AF535" s="339">
        <f>+AE535+Q535</f>
        <v>366</v>
      </c>
    </row>
    <row r="536" spans="1:38" s="3170" customFormat="1" ht="35" customHeight="1" thickBot="1" x14ac:dyDescent="0.3">
      <c r="C536" s="4215"/>
      <c r="D536" s="8456">
        <v>33</v>
      </c>
      <c r="E536" s="4260" t="s">
        <v>210</v>
      </c>
      <c r="F536" s="4261"/>
      <c r="G536" s="4261"/>
      <c r="H536" s="4262"/>
      <c r="I536" s="4261"/>
      <c r="J536" s="4262"/>
      <c r="K536" s="4261"/>
      <c r="L536" s="4262"/>
      <c r="M536" s="4261"/>
      <c r="N536" s="4262"/>
      <c r="O536" s="4261"/>
      <c r="P536" s="4262"/>
      <c r="Q536" s="4262"/>
      <c r="R536" s="4261"/>
      <c r="S536" s="4262"/>
      <c r="T536" s="4261"/>
      <c r="U536" s="4262"/>
      <c r="V536" s="4261"/>
      <c r="W536" s="4262"/>
      <c r="X536" s="4263"/>
      <c r="Y536" s="4261"/>
      <c r="Z536" s="4262"/>
      <c r="AA536" s="4261"/>
      <c r="AB536" s="4262"/>
      <c r="AC536" s="4261"/>
      <c r="AD536" s="4262"/>
      <c r="AE536" s="4262"/>
      <c r="AF536" s="4262"/>
      <c r="AG536" s="4756"/>
      <c r="AH536" s="4756"/>
      <c r="AI536" s="4756"/>
      <c r="AJ536" s="4756"/>
      <c r="AK536" s="4756"/>
      <c r="AL536" s="4756"/>
    </row>
    <row r="537" spans="1:38" ht="35" customHeight="1" x14ac:dyDescent="0.25">
      <c r="C537" s="338"/>
      <c r="D537" s="8457"/>
      <c r="E537" s="208" t="s">
        <v>236</v>
      </c>
      <c r="F537" s="83">
        <f>+F539+F541+F543+F545+F547</f>
        <v>29290.5</v>
      </c>
      <c r="G537" s="83">
        <f>+G539+G541+G543+G545+G547</f>
        <v>29010.5</v>
      </c>
      <c r="H537" s="459">
        <f>SUM(F537:G537)</f>
        <v>58301</v>
      </c>
      <c r="I537" s="83">
        <f>+I539+I541+I543+I545+I547</f>
        <v>29720</v>
      </c>
      <c r="J537" s="270">
        <f>SUM(H537:I537)</f>
        <v>88021</v>
      </c>
      <c r="K537" s="83">
        <f>+K539+K541+K543+K545+K547</f>
        <v>0</v>
      </c>
      <c r="L537" s="789">
        <f>SUM(J537:K537)</f>
        <v>88021</v>
      </c>
      <c r="M537" s="83">
        <f>+M539+M541+M543+M545+M547</f>
        <v>35208.800000000003</v>
      </c>
      <c r="N537" s="789">
        <f>SUM(L537:M537)</f>
        <v>123229.8</v>
      </c>
      <c r="O537" s="83">
        <f>+O539+O541+O543+O545+O547</f>
        <v>30842.2</v>
      </c>
      <c r="P537" s="270">
        <f>+K537+M537+O537</f>
        <v>66051</v>
      </c>
      <c r="Q537" s="2128">
        <f>+N537+O537</f>
        <v>154072</v>
      </c>
      <c r="R537" s="83">
        <f>+R539+R541+R543+R545+R547</f>
        <v>32606.400000000001</v>
      </c>
      <c r="S537" s="789">
        <f>SUM(Q537:R537)</f>
        <v>186678.39999999999</v>
      </c>
      <c r="T537" s="83">
        <f>+T539+T541+T543+T545+T547</f>
        <v>32818.5</v>
      </c>
      <c r="U537" s="789">
        <f>SUM(S537:T537)</f>
        <v>219496.9</v>
      </c>
      <c r="V537" s="83">
        <f>+V539+V541+V543+V545+V547</f>
        <v>36033.800000000003</v>
      </c>
      <c r="W537" s="1226">
        <f>+R537+T537+V537</f>
        <v>101458.70000000001</v>
      </c>
      <c r="X537" s="789">
        <f>+U537+V537</f>
        <v>255530.7</v>
      </c>
      <c r="Y537" s="83">
        <f>+Y539+Y541+Y543+Y545+Y547</f>
        <v>34972.5</v>
      </c>
      <c r="Z537" s="789">
        <f>SUM(X537:Y537)</f>
        <v>290503.2</v>
      </c>
      <c r="AA537" s="83">
        <f>+AA539+AA541+AA543+AA545+AA547</f>
        <v>32510.400000000001</v>
      </c>
      <c r="AB537" s="107">
        <f>SUM(Z537:AA537)</f>
        <v>323013.60000000003</v>
      </c>
      <c r="AC537" s="83">
        <f>+AC539+AC541+AC543+AC545+AC547</f>
        <v>32012.400000000001</v>
      </c>
      <c r="AD537" s="715">
        <f>+Y537+AA537+AC537</f>
        <v>99495.299999999988</v>
      </c>
      <c r="AE537" s="1350">
        <f>+W537+AD537</f>
        <v>200954</v>
      </c>
      <c r="AF537" s="723">
        <f>+AB537+AC537</f>
        <v>355026.00000000006</v>
      </c>
    </row>
    <row r="538" spans="1:38" ht="35" customHeight="1" thickBot="1" x14ac:dyDescent="0.3">
      <c r="C538" s="338"/>
      <c r="D538" s="8457"/>
      <c r="E538" s="1220" t="s">
        <v>237</v>
      </c>
      <c r="F538" s="2421">
        <f t="shared" ref="F538:G538" si="1289">+F537/F535/24</f>
        <v>40.681249999999999</v>
      </c>
      <c r="G538" s="2421">
        <f t="shared" si="1289"/>
        <v>38.99260752688172</v>
      </c>
      <c r="H538" s="2422">
        <f t="shared" ref="H538:AB538" si="1290">+H537/H535/24</f>
        <v>39.823087431693985</v>
      </c>
      <c r="I538" s="2421">
        <f t="shared" si="1290"/>
        <v>41.277777777777779</v>
      </c>
      <c r="J538" s="2423">
        <f t="shared" si="1290"/>
        <v>40.302655677655679</v>
      </c>
      <c r="K538" s="2421">
        <f t="shared" si="1290"/>
        <v>0</v>
      </c>
      <c r="L538" s="2422">
        <f t="shared" si="1290"/>
        <v>30.061816939890708</v>
      </c>
      <c r="M538" s="2421">
        <f t="shared" ref="M538:O538" si="1291">+M537/M535/24</f>
        <v>47.323655913978492</v>
      </c>
      <c r="N538" s="2422">
        <f t="shared" si="1290"/>
        <v>33.559313725490199</v>
      </c>
      <c r="O538" s="2421">
        <f t="shared" si="1291"/>
        <v>42.836388888888884</v>
      </c>
      <c r="P538" s="2423">
        <f t="shared" si="1290"/>
        <v>29.914402173913043</v>
      </c>
      <c r="Q538" s="2424">
        <f t="shared" si="1290"/>
        <v>35.080145719489984</v>
      </c>
      <c r="R538" s="2421">
        <f t="shared" si="1290"/>
        <v>43.825806451612898</v>
      </c>
      <c r="S538" s="2422">
        <f t="shared" si="1290"/>
        <v>36.347040498442368</v>
      </c>
      <c r="T538" s="2421">
        <f t="shared" si="1290"/>
        <v>45.581250000000004</v>
      </c>
      <c r="U538" s="2422">
        <f t="shared" si="1290"/>
        <v>37.482394125683058</v>
      </c>
      <c r="V538" s="2421">
        <f t="shared" ref="V538" si="1292">+V537/V535/24</f>
        <v>48.432526881720435</v>
      </c>
      <c r="W538" s="1222">
        <f t="shared" si="1290"/>
        <v>45.950498188405795</v>
      </c>
      <c r="X538" s="870">
        <f t="shared" si="1290"/>
        <v>38.716772727272733</v>
      </c>
      <c r="Y538" s="2421">
        <f t="shared" si="1290"/>
        <v>47.006048387096776</v>
      </c>
      <c r="Z538" s="2422">
        <f t="shared" si="1290"/>
        <v>39.556535947712419</v>
      </c>
      <c r="AA538" s="2421">
        <f t="shared" ref="AA538" si="1293">+AA537/AA535/24</f>
        <v>46.710344827586205</v>
      </c>
      <c r="AB538" s="116">
        <f t="shared" si="1290"/>
        <v>40.175820895522392</v>
      </c>
      <c r="AC538" s="2421">
        <f t="shared" ref="AC538" si="1294">+AC537/AC535/24</f>
        <v>43.027419354838713</v>
      </c>
      <c r="AD538" s="2494">
        <f t="shared" ref="AD538:AF538" si="1295">+AD537/AD535/24</f>
        <v>45.55645604395604</v>
      </c>
      <c r="AE538" s="1309">
        <f t="shared" si="1295"/>
        <v>45.754553734061936</v>
      </c>
      <c r="AF538" s="2597">
        <f t="shared" si="1295"/>
        <v>40.41734972677596</v>
      </c>
    </row>
    <row r="539" spans="1:38" ht="35" customHeight="1" x14ac:dyDescent="0.3">
      <c r="A539" s="342">
        <f>+V539+V543+V547</f>
        <v>23050.2</v>
      </c>
      <c r="C539" s="338"/>
      <c r="D539" s="8457"/>
      <c r="E539" s="1981" t="s">
        <v>561</v>
      </c>
      <c r="F539" s="3315">
        <v>12775.3</v>
      </c>
      <c r="G539" s="3315">
        <v>12918.4</v>
      </c>
      <c r="H539" s="363">
        <f>SUM(F539:G539)</f>
        <v>25693.699999999997</v>
      </c>
      <c r="I539" s="3315">
        <v>12494.1</v>
      </c>
      <c r="J539" s="304">
        <f>SUM(H539:I539)</f>
        <v>38187.799999999996</v>
      </c>
      <c r="K539" s="3315"/>
      <c r="L539" s="501">
        <f>SUM(J539:K539)</f>
        <v>38187.799999999996</v>
      </c>
      <c r="M539" s="3315">
        <v>0</v>
      </c>
      <c r="N539" s="501">
        <f>SUM(L539:M539)</f>
        <v>38187.799999999996</v>
      </c>
      <c r="O539" s="3315">
        <v>0</v>
      </c>
      <c r="P539" s="304">
        <f>+K539+M539+O539</f>
        <v>0</v>
      </c>
      <c r="Q539" s="2128">
        <f>+N539+O539</f>
        <v>38187.799999999996</v>
      </c>
      <c r="R539" s="3315">
        <v>2230.5</v>
      </c>
      <c r="S539" s="2275">
        <f>SUM(Q539:R539)</f>
        <v>40418.299999999996</v>
      </c>
      <c r="T539" s="3315">
        <v>2856.6</v>
      </c>
      <c r="U539" s="2275">
        <f>SUM(S539:T539)</f>
        <v>43274.899999999994</v>
      </c>
      <c r="V539" s="3315">
        <v>0</v>
      </c>
      <c r="W539" s="558">
        <f>+R539+T539+V539</f>
        <v>5087.1000000000004</v>
      </c>
      <c r="X539" s="501">
        <f>+U539+V539</f>
        <v>43274.899999999994</v>
      </c>
      <c r="Y539" s="3315">
        <v>12234</v>
      </c>
      <c r="Z539" s="2275">
        <f>SUM(X539:Y539)</f>
        <v>55508.899999999994</v>
      </c>
      <c r="AA539" s="3315">
        <v>7110.9</v>
      </c>
      <c r="AB539" s="84">
        <f>SUM(Z539:AA539)</f>
        <v>62619.799999999996</v>
      </c>
      <c r="AC539" s="3315">
        <v>7367.5</v>
      </c>
      <c r="AD539" s="721">
        <f>+Y539+AA539+AC539</f>
        <v>26712.400000000001</v>
      </c>
      <c r="AE539" s="2493">
        <f>+W539+AD539</f>
        <v>31799.5</v>
      </c>
      <c r="AF539" s="723">
        <f>+AB539+AC539</f>
        <v>69987.299999999988</v>
      </c>
    </row>
    <row r="540" spans="1:38" ht="35" customHeight="1" x14ac:dyDescent="0.25">
      <c r="C540" s="338"/>
      <c r="D540" s="8457"/>
      <c r="E540" s="207" t="s">
        <v>562</v>
      </c>
      <c r="F540" s="1217">
        <f t="shared" ref="F540:G540" si="1296">+F539/F535/24</f>
        <v>17.74347222222222</v>
      </c>
      <c r="G540" s="1217">
        <f t="shared" si="1296"/>
        <v>17.363440860215054</v>
      </c>
      <c r="H540" s="1218">
        <f t="shared" ref="H540:Z540" si="1297">+H539/H535/24</f>
        <v>17.550341530054641</v>
      </c>
      <c r="I540" s="1217">
        <f t="shared" si="1297"/>
        <v>17.352916666666669</v>
      </c>
      <c r="J540" s="1219">
        <f t="shared" si="1297"/>
        <v>17.485256410256408</v>
      </c>
      <c r="K540" s="1217">
        <f t="shared" si="1297"/>
        <v>0</v>
      </c>
      <c r="L540" s="293">
        <f t="shared" si="1297"/>
        <v>13.042281420765027</v>
      </c>
      <c r="M540" s="1217">
        <f t="shared" ref="M540:O540" si="1298">+M539/M535/24</f>
        <v>0</v>
      </c>
      <c r="N540" s="293">
        <f t="shared" si="1297"/>
        <v>10.399727668845314</v>
      </c>
      <c r="O540" s="1217">
        <f t="shared" si="1298"/>
        <v>0</v>
      </c>
      <c r="P540" s="347">
        <f t="shared" si="1297"/>
        <v>0</v>
      </c>
      <c r="Q540" s="2129">
        <f t="shared" si="1297"/>
        <v>8.6948542805100164</v>
      </c>
      <c r="R540" s="1217">
        <f t="shared" si="1297"/>
        <v>2.997983870967742</v>
      </c>
      <c r="S540" s="2276">
        <f t="shared" si="1297"/>
        <v>7.8696066978193135</v>
      </c>
      <c r="T540" s="1217">
        <f t="shared" si="1297"/>
        <v>3.9674999999999998</v>
      </c>
      <c r="U540" s="2276">
        <f t="shared" si="1297"/>
        <v>7.3898394808743157</v>
      </c>
      <c r="V540" s="1217">
        <f t="shared" ref="V540" si="1299">+V539/V535/24</f>
        <v>0</v>
      </c>
      <c r="W540" s="347">
        <f t="shared" si="1297"/>
        <v>2.3039402173913044</v>
      </c>
      <c r="X540" s="1229">
        <f t="shared" si="1297"/>
        <v>6.5568030303030298</v>
      </c>
      <c r="Y540" s="1217">
        <f t="shared" si="1297"/>
        <v>16.443548387096772</v>
      </c>
      <c r="Z540" s="2276">
        <f t="shared" si="1297"/>
        <v>7.5584014161220034</v>
      </c>
      <c r="AA540" s="1217">
        <f t="shared" ref="AA540" si="1300">+AA539/AA535/24</f>
        <v>10.216810344827586</v>
      </c>
      <c r="AB540" s="1224">
        <f t="shared" ref="AB540:AE540" si="1301">+AB539/AB535/24</f>
        <v>7.7885323383084568</v>
      </c>
      <c r="AC540" s="1217">
        <f t="shared" si="1301"/>
        <v>9.90255376344086</v>
      </c>
      <c r="AD540" s="1351">
        <f t="shared" si="1301"/>
        <v>12.230952380952381</v>
      </c>
      <c r="AE540" s="1352">
        <f t="shared" si="1301"/>
        <v>7.2403233151183963</v>
      </c>
      <c r="AF540" s="2670">
        <f t="shared" ref="AF540" si="1302">+AF539/AF535/24</f>
        <v>7.9675887978142059</v>
      </c>
    </row>
    <row r="541" spans="1:38" ht="35" customHeight="1" x14ac:dyDescent="0.25">
      <c r="C541" s="338"/>
      <c r="D541" s="8457"/>
      <c r="E541" s="1981" t="s">
        <v>563</v>
      </c>
      <c r="F541" s="3315">
        <v>0</v>
      </c>
      <c r="G541" s="3315">
        <v>0</v>
      </c>
      <c r="H541" s="363">
        <f>SUM(F541:G541)</f>
        <v>0</v>
      </c>
      <c r="I541" s="3315">
        <v>4990.5</v>
      </c>
      <c r="J541" s="304">
        <f>SUM(H541:I541)</f>
        <v>4990.5</v>
      </c>
      <c r="K541" s="3315"/>
      <c r="L541" s="501">
        <f>SUM(J541:K541)</f>
        <v>4990.5</v>
      </c>
      <c r="M541" s="3315">
        <v>13045.6</v>
      </c>
      <c r="N541" s="501">
        <f>SUM(L541:M541)</f>
        <v>18036.099999999999</v>
      </c>
      <c r="O541" s="3315">
        <v>12614</v>
      </c>
      <c r="P541" s="304">
        <f>+K541+M541+O541</f>
        <v>25659.599999999999</v>
      </c>
      <c r="Q541" s="2128">
        <f>+N541+O541</f>
        <v>30650.1</v>
      </c>
      <c r="R541" s="3315">
        <v>13082.7</v>
      </c>
      <c r="S541" s="2275">
        <f>SUM(Q541:R541)</f>
        <v>43732.800000000003</v>
      </c>
      <c r="T541" s="3315">
        <v>12258.8</v>
      </c>
      <c r="U541" s="2275">
        <f>SUM(S541:T541)</f>
        <v>55991.600000000006</v>
      </c>
      <c r="V541" s="3315">
        <v>12983.6</v>
      </c>
      <c r="W541" s="558">
        <f>+R541+T541+V541</f>
        <v>38325.1</v>
      </c>
      <c r="X541" s="501">
        <f>+U541+V541</f>
        <v>68975.200000000012</v>
      </c>
      <c r="Y541" s="3315">
        <v>1089</v>
      </c>
      <c r="Z541" s="2275">
        <f>SUM(X541:Y541)</f>
        <v>70064.200000000012</v>
      </c>
      <c r="AA541" s="3315">
        <v>4730.3999999999996</v>
      </c>
      <c r="AB541" s="86">
        <f>SUM(Z541:AA541)</f>
        <v>74794.600000000006</v>
      </c>
      <c r="AC541" s="3315">
        <v>4904.3999999999996</v>
      </c>
      <c r="AD541" s="715">
        <f>+Y541+AA541+AC541</f>
        <v>10723.8</v>
      </c>
      <c r="AE541" s="1353">
        <f>+W541+AD541</f>
        <v>49048.899999999994</v>
      </c>
      <c r="AF541" s="723">
        <f>+AB541+AC541</f>
        <v>79699</v>
      </c>
    </row>
    <row r="542" spans="1:38" ht="35" customHeight="1" x14ac:dyDescent="0.25">
      <c r="C542" s="338"/>
      <c r="D542" s="8457"/>
      <c r="E542" s="207" t="s">
        <v>564</v>
      </c>
      <c r="F542" s="1217">
        <f t="shared" ref="F542:G542" si="1303">+F541/F535/24</f>
        <v>0</v>
      </c>
      <c r="G542" s="1217">
        <f t="shared" si="1303"/>
        <v>0</v>
      </c>
      <c r="H542" s="1218">
        <f t="shared" ref="H542:Z542" si="1304">+H541/H535/24</f>
        <v>0</v>
      </c>
      <c r="I542" s="1217">
        <f t="shared" si="1304"/>
        <v>6.9312499999999995</v>
      </c>
      <c r="J542" s="1219">
        <f t="shared" si="1304"/>
        <v>2.2850274725274726</v>
      </c>
      <c r="K542" s="1217">
        <f t="shared" si="1304"/>
        <v>0</v>
      </c>
      <c r="L542" s="293">
        <f t="shared" si="1304"/>
        <v>1.704405737704918</v>
      </c>
      <c r="M542" s="1217">
        <f t="shared" ref="M542:O542" si="1305">+M541/M535/24</f>
        <v>17.534408602150538</v>
      </c>
      <c r="N542" s="293">
        <f t="shared" si="1304"/>
        <v>4.9117919389978208</v>
      </c>
      <c r="O542" s="1217">
        <f t="shared" si="1305"/>
        <v>17.519444444444442</v>
      </c>
      <c r="P542" s="347">
        <f t="shared" si="1304"/>
        <v>11.621195652173911</v>
      </c>
      <c r="Q542" s="2129">
        <f t="shared" si="1304"/>
        <v>6.9786202185792341</v>
      </c>
      <c r="R542" s="1217">
        <f t="shared" si="1304"/>
        <v>17.584274193548389</v>
      </c>
      <c r="S542" s="2276">
        <f t="shared" si="1304"/>
        <v>8.5149532710280376</v>
      </c>
      <c r="T542" s="1217">
        <f t="shared" si="1304"/>
        <v>17.02611111111111</v>
      </c>
      <c r="U542" s="2276">
        <f t="shared" si="1304"/>
        <v>9.5614071038251378</v>
      </c>
      <c r="V542" s="1217">
        <f t="shared" ref="V542" si="1306">+V541/V535/24</f>
        <v>17.451075268817203</v>
      </c>
      <c r="W542" s="347">
        <f t="shared" si="1304"/>
        <v>17.357382246376812</v>
      </c>
      <c r="X542" s="1229">
        <f t="shared" si="1304"/>
        <v>10.45078787878788</v>
      </c>
      <c r="Y542" s="1217">
        <f t="shared" si="1304"/>
        <v>1.463709677419355</v>
      </c>
      <c r="Z542" s="2276">
        <f t="shared" si="1304"/>
        <v>9.5403322440087166</v>
      </c>
      <c r="AA542" s="1217">
        <f t="shared" ref="AA542" si="1307">+AA541/AA535/24</f>
        <v>6.796551724137931</v>
      </c>
      <c r="AB542" s="1224">
        <f t="shared" ref="AB542:AE542" si="1308">+AB541/AB535/24</f>
        <v>9.3028109452736327</v>
      </c>
      <c r="AC542" s="1217">
        <f t="shared" si="1308"/>
        <v>6.5919354838709667</v>
      </c>
      <c r="AD542" s="1351">
        <f t="shared" si="1308"/>
        <v>4.910164835164835</v>
      </c>
      <c r="AE542" s="1352">
        <f t="shared" si="1308"/>
        <v>11.167782331511837</v>
      </c>
      <c r="AF542" s="2670">
        <f t="shared" ref="AF542" si="1309">+AF541/AF535/24</f>
        <v>9.0732012750455375</v>
      </c>
    </row>
    <row r="543" spans="1:38" ht="35" customHeight="1" x14ac:dyDescent="0.25">
      <c r="C543" s="338"/>
      <c r="D543" s="8457"/>
      <c r="E543" s="1981" t="s">
        <v>565</v>
      </c>
      <c r="F543" s="3315">
        <v>12155.1</v>
      </c>
      <c r="G543" s="3315">
        <v>11578.4</v>
      </c>
      <c r="H543" s="363">
        <f>SUM(F543:G543)</f>
        <v>23733.5</v>
      </c>
      <c r="I543" s="3315">
        <v>5968.8</v>
      </c>
      <c r="J543" s="304">
        <f>SUM(H543:I543)</f>
        <v>29702.3</v>
      </c>
      <c r="K543" s="3315"/>
      <c r="L543" s="501">
        <f>SUM(J543:K543)</f>
        <v>29702.3</v>
      </c>
      <c r="M543" s="3315">
        <v>12574.4</v>
      </c>
      <c r="N543" s="501">
        <f>SUM(L543:M543)</f>
        <v>42276.7</v>
      </c>
      <c r="O543" s="3315">
        <v>12286</v>
      </c>
      <c r="P543" s="304">
        <f>+K543+M543+O543</f>
        <v>24860.400000000001</v>
      </c>
      <c r="Q543" s="2128">
        <f>+N543+O543</f>
        <v>54562.7</v>
      </c>
      <c r="R543" s="3315">
        <v>10861</v>
      </c>
      <c r="S543" s="2275">
        <f>SUM(Q543:R543)</f>
        <v>65423.7</v>
      </c>
      <c r="T543" s="3315">
        <v>10068.200000000001</v>
      </c>
      <c r="U543" s="2275">
        <f>SUM(S543:T543)</f>
        <v>75491.899999999994</v>
      </c>
      <c r="V543" s="3315">
        <v>13314.5</v>
      </c>
      <c r="W543" s="558">
        <f>+R543+T543+V543</f>
        <v>34243.699999999997</v>
      </c>
      <c r="X543" s="501">
        <f>+U543+V543</f>
        <v>88806.399999999994</v>
      </c>
      <c r="Y543" s="3315">
        <v>12375</v>
      </c>
      <c r="Z543" s="2275">
        <f>SUM(X543:Y543)</f>
        <v>101181.4</v>
      </c>
      <c r="AA543" s="3315">
        <v>11401.6</v>
      </c>
      <c r="AB543" s="86">
        <f>SUM(Z543:AA543)</f>
        <v>112583</v>
      </c>
      <c r="AC543" s="3315">
        <v>11304.4</v>
      </c>
      <c r="AD543" s="715">
        <f>+Y543+AA543+AC543</f>
        <v>35081</v>
      </c>
      <c r="AE543" s="1353">
        <f>+W543+AD543</f>
        <v>69324.7</v>
      </c>
      <c r="AF543" s="723">
        <f>+AB543+AC543</f>
        <v>123887.4</v>
      </c>
    </row>
    <row r="544" spans="1:38" ht="35" customHeight="1" x14ac:dyDescent="0.25">
      <c r="C544" s="338"/>
      <c r="D544" s="8457"/>
      <c r="E544" s="207" t="s">
        <v>566</v>
      </c>
      <c r="F544" s="1217">
        <f t="shared" ref="F544:G544" si="1310">+F543/F535/24</f>
        <v>16.882083333333334</v>
      </c>
      <c r="G544" s="1217">
        <f t="shared" si="1310"/>
        <v>15.56236559139785</v>
      </c>
      <c r="H544" s="1218">
        <f t="shared" ref="H544:Z544" si="1311">+H543/H535/24</f>
        <v>16.211407103825135</v>
      </c>
      <c r="I544" s="1217">
        <f t="shared" si="1311"/>
        <v>8.2900000000000009</v>
      </c>
      <c r="J544" s="1219">
        <f t="shared" si="1311"/>
        <v>13.599954212454213</v>
      </c>
      <c r="K544" s="1217">
        <f t="shared" si="1311"/>
        <v>0</v>
      </c>
      <c r="L544" s="293">
        <f t="shared" si="1311"/>
        <v>10.144228142076502</v>
      </c>
      <c r="M544" s="1217">
        <f t="shared" ref="M544:O544" si="1312">+M543/M535/24</f>
        <v>16.901075268817205</v>
      </c>
      <c r="N544" s="293">
        <f t="shared" si="1311"/>
        <v>11.513262527233115</v>
      </c>
      <c r="O544" s="1217">
        <f t="shared" si="1312"/>
        <v>17.06388888888889</v>
      </c>
      <c r="P544" s="1228">
        <f t="shared" si="1311"/>
        <v>11.259239130434784</v>
      </c>
      <c r="Q544" s="2129">
        <f t="shared" si="1311"/>
        <v>12.423201275045537</v>
      </c>
      <c r="R544" s="1217">
        <f t="shared" si="1311"/>
        <v>14.598118279569894</v>
      </c>
      <c r="S544" s="2276">
        <f t="shared" si="1311"/>
        <v>12.738259345794392</v>
      </c>
      <c r="T544" s="1217">
        <f t="shared" si="1311"/>
        <v>13.983611111111111</v>
      </c>
      <c r="U544" s="2276">
        <f t="shared" si="1311"/>
        <v>12.891376366120218</v>
      </c>
      <c r="V544" s="1217">
        <f t="shared" ref="V544" si="1313">+V543/V535/24</f>
        <v>17.895833333333332</v>
      </c>
      <c r="W544" s="347">
        <f t="shared" si="1311"/>
        <v>15.508922101449274</v>
      </c>
      <c r="X544" s="1229">
        <f t="shared" si="1311"/>
        <v>13.455515151515151</v>
      </c>
      <c r="Y544" s="1217">
        <f t="shared" si="1311"/>
        <v>16.633064516129032</v>
      </c>
      <c r="Z544" s="2276">
        <f t="shared" si="1311"/>
        <v>13.777423747276687</v>
      </c>
      <c r="AA544" s="1217">
        <f t="shared" ref="AA544" si="1314">+AA543/AA535/24</f>
        <v>16.381609195402302</v>
      </c>
      <c r="AB544" s="1224">
        <f t="shared" ref="AB544:AE544" si="1315">+AB543/AB535/24</f>
        <v>14.002860696517414</v>
      </c>
      <c r="AC544" s="1217">
        <f t="shared" si="1315"/>
        <v>15.194086021505376</v>
      </c>
      <c r="AD544" s="1351">
        <f t="shared" si="1315"/>
        <v>16.062728937728938</v>
      </c>
      <c r="AE544" s="1352">
        <f t="shared" si="1315"/>
        <v>15.784312386156648</v>
      </c>
      <c r="AF544" s="2670">
        <f t="shared" ref="AF544" si="1316">+AF543/AF535/24</f>
        <v>14.103756830601093</v>
      </c>
    </row>
    <row r="545" spans="3:38" ht="35" customHeight="1" x14ac:dyDescent="0.25">
      <c r="C545" s="338"/>
      <c r="D545" s="8457"/>
      <c r="E545" s="1981" t="s">
        <v>567</v>
      </c>
      <c r="F545" s="3315">
        <v>0</v>
      </c>
      <c r="G545" s="3315">
        <v>0</v>
      </c>
      <c r="H545" s="363">
        <f>SUM(F545:G545)</f>
        <v>0</v>
      </c>
      <c r="I545" s="3315">
        <v>0</v>
      </c>
      <c r="J545" s="304">
        <f>SUM(H545:I545)</f>
        <v>0</v>
      </c>
      <c r="K545" s="3315"/>
      <c r="L545" s="501">
        <f>SUM(J545:K545)</f>
        <v>0</v>
      </c>
      <c r="M545" s="3315">
        <v>0</v>
      </c>
      <c r="N545" s="501">
        <f>SUM(L545:M545)</f>
        <v>0</v>
      </c>
      <c r="O545" s="3315">
        <v>0</v>
      </c>
      <c r="P545" s="304">
        <f>+K545+M545+O545</f>
        <v>0</v>
      </c>
      <c r="Q545" s="2128">
        <f>+N545+O545</f>
        <v>0</v>
      </c>
      <c r="R545" s="3315">
        <v>0</v>
      </c>
      <c r="S545" s="2275">
        <f>SUM(Q545:R545)</f>
        <v>0</v>
      </c>
      <c r="T545" s="3315">
        <v>0</v>
      </c>
      <c r="U545" s="2275">
        <f>SUM(S545:T545)</f>
        <v>0</v>
      </c>
      <c r="V545" s="3315">
        <v>0</v>
      </c>
      <c r="W545" s="558">
        <f>+R545+T545+V545</f>
        <v>0</v>
      </c>
      <c r="X545" s="501">
        <f>+U545+V545</f>
        <v>0</v>
      </c>
      <c r="Y545" s="3315">
        <v>0</v>
      </c>
      <c r="Z545" s="2275">
        <f>SUM(X545:Y545)</f>
        <v>0</v>
      </c>
      <c r="AA545" s="3315">
        <v>0</v>
      </c>
      <c r="AB545" s="86">
        <f>SUM(Z545:AA545)</f>
        <v>0</v>
      </c>
      <c r="AC545" s="3315">
        <v>0</v>
      </c>
      <c r="AD545" s="715">
        <f>+Y545+AA545+AC545</f>
        <v>0</v>
      </c>
      <c r="AE545" s="1353">
        <f>+W545+AD545</f>
        <v>0</v>
      </c>
      <c r="AF545" s="723">
        <f>+AB545+AC545</f>
        <v>0</v>
      </c>
    </row>
    <row r="546" spans="3:38" ht="35" customHeight="1" x14ac:dyDescent="0.25">
      <c r="C546" s="338"/>
      <c r="D546" s="8457"/>
      <c r="E546" s="207" t="s">
        <v>568</v>
      </c>
      <c r="F546" s="1217">
        <f t="shared" ref="F546:G546" si="1317">+F545/F535/24</f>
        <v>0</v>
      </c>
      <c r="G546" s="1217">
        <f t="shared" si="1317"/>
        <v>0</v>
      </c>
      <c r="H546" s="1218">
        <f t="shared" ref="H546:Z546" si="1318">+H545/H535/24</f>
        <v>0</v>
      </c>
      <c r="I546" s="1217">
        <f t="shared" si="1318"/>
        <v>0</v>
      </c>
      <c r="J546" s="1219">
        <f t="shared" si="1318"/>
        <v>0</v>
      </c>
      <c r="K546" s="1217">
        <f t="shared" si="1318"/>
        <v>0</v>
      </c>
      <c r="L546" s="1988">
        <f t="shared" si="1318"/>
        <v>0</v>
      </c>
      <c r="M546" s="1217">
        <f t="shared" ref="M546:O546" si="1319">+M545/M535/24</f>
        <v>0</v>
      </c>
      <c r="N546" s="1988">
        <f t="shared" si="1318"/>
        <v>0</v>
      </c>
      <c r="O546" s="1217">
        <f t="shared" si="1319"/>
        <v>0</v>
      </c>
      <c r="P546" s="1227">
        <f t="shared" si="1318"/>
        <v>0</v>
      </c>
      <c r="Q546" s="2130">
        <f t="shared" si="1318"/>
        <v>0</v>
      </c>
      <c r="R546" s="1217">
        <f t="shared" si="1318"/>
        <v>0</v>
      </c>
      <c r="S546" s="2277">
        <f t="shared" si="1318"/>
        <v>0</v>
      </c>
      <c r="T546" s="1217">
        <f t="shared" si="1318"/>
        <v>0</v>
      </c>
      <c r="U546" s="2277">
        <f t="shared" si="1318"/>
        <v>0</v>
      </c>
      <c r="V546" s="1217">
        <f t="shared" ref="V546" si="1320">+V545/V535/24</f>
        <v>0</v>
      </c>
      <c r="W546" s="1227">
        <f t="shared" si="1318"/>
        <v>0</v>
      </c>
      <c r="X546" s="1230">
        <f t="shared" si="1318"/>
        <v>0</v>
      </c>
      <c r="Y546" s="1217">
        <f t="shared" si="1318"/>
        <v>0</v>
      </c>
      <c r="Z546" s="2277">
        <f t="shared" si="1318"/>
        <v>0</v>
      </c>
      <c r="AA546" s="1217">
        <f t="shared" ref="AA546" si="1321">+AA545/AA535/24</f>
        <v>0</v>
      </c>
      <c r="AB546" s="1242">
        <f t="shared" ref="AB546:AE546" si="1322">+AB545/AB535/24</f>
        <v>0</v>
      </c>
      <c r="AC546" s="1217">
        <f t="shared" si="1322"/>
        <v>0</v>
      </c>
      <c r="AD546" s="1354">
        <f t="shared" si="1322"/>
        <v>0</v>
      </c>
      <c r="AE546" s="1355">
        <f t="shared" si="1322"/>
        <v>0</v>
      </c>
      <c r="AF546" s="2671">
        <f t="shared" ref="AF546" si="1323">+AF545/AF535/24</f>
        <v>0</v>
      </c>
    </row>
    <row r="547" spans="3:38" ht="35" customHeight="1" x14ac:dyDescent="0.25">
      <c r="C547" s="338"/>
      <c r="D547" s="8457"/>
      <c r="E547" s="1981" t="s">
        <v>569</v>
      </c>
      <c r="F547" s="3315">
        <v>4360.1000000000004</v>
      </c>
      <c r="G547" s="3315">
        <v>4513.7</v>
      </c>
      <c r="H547" s="363">
        <f>SUM(F547:G547)</f>
        <v>8873.7999999999993</v>
      </c>
      <c r="I547" s="3315">
        <v>6266.6</v>
      </c>
      <c r="J547" s="304">
        <f>SUM(H547:I547)</f>
        <v>15140.4</v>
      </c>
      <c r="K547" s="3315"/>
      <c r="L547" s="501">
        <f>SUM(J547:K547)</f>
        <v>15140.4</v>
      </c>
      <c r="M547" s="3315">
        <v>9588.7999999999993</v>
      </c>
      <c r="N547" s="501">
        <f>SUM(L547:M547)</f>
        <v>24729.199999999997</v>
      </c>
      <c r="O547" s="3315">
        <v>5942.2</v>
      </c>
      <c r="P547" s="304">
        <f>+K547+M547+O547</f>
        <v>15531</v>
      </c>
      <c r="Q547" s="2128">
        <f>+N547+O547</f>
        <v>30671.399999999998</v>
      </c>
      <c r="R547" s="3315">
        <v>6432.2</v>
      </c>
      <c r="S547" s="2275">
        <f>SUM(Q547:R547)</f>
        <v>37103.599999999999</v>
      </c>
      <c r="T547" s="3315">
        <v>7634.9</v>
      </c>
      <c r="U547" s="2275">
        <f>SUM(S547:T547)</f>
        <v>44738.5</v>
      </c>
      <c r="V547" s="3315">
        <v>9735.7000000000007</v>
      </c>
      <c r="W547" s="558">
        <f>+R547+T547+V547</f>
        <v>23802.799999999999</v>
      </c>
      <c r="X547" s="501">
        <f>+U547+V547</f>
        <v>54474.2</v>
      </c>
      <c r="Y547" s="3315">
        <v>9274.5</v>
      </c>
      <c r="Z547" s="2275">
        <f>SUM(X547:Y547)</f>
        <v>63748.7</v>
      </c>
      <c r="AA547" s="3315">
        <v>9267.5</v>
      </c>
      <c r="AB547" s="86">
        <f>SUM(Z547:AA547)</f>
        <v>73016.2</v>
      </c>
      <c r="AC547" s="3315">
        <v>8436.1</v>
      </c>
      <c r="AD547" s="715">
        <f>+Y547+AA547+AC547</f>
        <v>26978.1</v>
      </c>
      <c r="AE547" s="1353">
        <f>+W547+AD547</f>
        <v>50780.899999999994</v>
      </c>
      <c r="AF547" s="723">
        <f>+AB547+AC547</f>
        <v>81452.3</v>
      </c>
    </row>
    <row r="548" spans="3:38" ht="35" customHeight="1" thickBot="1" x14ac:dyDescent="0.3">
      <c r="C548" s="338"/>
      <c r="D548" s="8457"/>
      <c r="E548" s="2425" t="s">
        <v>570</v>
      </c>
      <c r="F548" s="2426">
        <f t="shared" ref="F548:G548" si="1324">+F547/F535/24</f>
        <v>6.0556944444444447</v>
      </c>
      <c r="G548" s="2426">
        <f t="shared" si="1324"/>
        <v>6.0668010752688168</v>
      </c>
      <c r="H548" s="2427">
        <f t="shared" ref="H548:Z548" si="1325">+H547/H535/24</f>
        <v>6.0613387978142077</v>
      </c>
      <c r="I548" s="2426">
        <f t="shared" si="1325"/>
        <v>8.7036111111111119</v>
      </c>
      <c r="J548" s="2428">
        <f t="shared" si="1325"/>
        <v>6.9324175824175818</v>
      </c>
      <c r="K548" s="2426">
        <f t="shared" si="1325"/>
        <v>0</v>
      </c>
      <c r="L548" s="2427">
        <f t="shared" si="1325"/>
        <v>5.1709016393442626</v>
      </c>
      <c r="M548" s="2426">
        <f t="shared" ref="M548:O548" si="1326">+M547/M535/24</f>
        <v>12.888172043010753</v>
      </c>
      <c r="N548" s="2427">
        <f t="shared" si="1325"/>
        <v>6.7345315904139431</v>
      </c>
      <c r="O548" s="2426">
        <f t="shared" si="1326"/>
        <v>8.2530555555555551</v>
      </c>
      <c r="P548" s="2428">
        <f t="shared" si="1325"/>
        <v>7.0339673913043477</v>
      </c>
      <c r="Q548" s="2429">
        <f t="shared" si="1325"/>
        <v>6.9834699453551901</v>
      </c>
      <c r="R548" s="2426">
        <f t="shared" si="1325"/>
        <v>8.6454301075268809</v>
      </c>
      <c r="S548" s="2430">
        <f t="shared" si="1325"/>
        <v>7.2242211838006227</v>
      </c>
      <c r="T548" s="2426">
        <f t="shared" si="1325"/>
        <v>10.604027777777777</v>
      </c>
      <c r="U548" s="2430">
        <f t="shared" si="1325"/>
        <v>7.6397711748633874</v>
      </c>
      <c r="V548" s="2426">
        <f t="shared" ref="V548" si="1327">+V547/V535/24</f>
        <v>13.085618279569893</v>
      </c>
      <c r="W548" s="2431">
        <f t="shared" si="1325"/>
        <v>10.780253623188406</v>
      </c>
      <c r="X548" s="2432">
        <f t="shared" si="1325"/>
        <v>8.2536666666666658</v>
      </c>
      <c r="Y548" s="2426">
        <f t="shared" si="1325"/>
        <v>12.465725806451614</v>
      </c>
      <c r="Z548" s="2430">
        <f t="shared" si="1325"/>
        <v>8.6803785403050107</v>
      </c>
      <c r="AA548" s="2426">
        <f t="shared" ref="AA548" si="1328">+AA547/AA535/24</f>
        <v>13.315373563218392</v>
      </c>
      <c r="AB548" s="2432">
        <f t="shared" ref="AB548:AE548" si="1329">+AB547/AB535/24</f>
        <v>9.0816169154228863</v>
      </c>
      <c r="AC548" s="2426">
        <f t="shared" si="1329"/>
        <v>11.338844086021505</v>
      </c>
      <c r="AD548" s="2495">
        <f t="shared" si="1329"/>
        <v>12.352609890109889</v>
      </c>
      <c r="AE548" s="2496">
        <f t="shared" si="1329"/>
        <v>11.562135701275045</v>
      </c>
      <c r="AF548" s="2672">
        <f t="shared" ref="AF548" si="1330">+AF547/AF535/24</f>
        <v>9.2728028233151196</v>
      </c>
    </row>
    <row r="549" spans="3:38" ht="35" customHeight="1" x14ac:dyDescent="0.25">
      <c r="C549" s="338"/>
      <c r="D549" s="8457"/>
      <c r="E549" s="129" t="s">
        <v>409</v>
      </c>
      <c r="F549" s="3315">
        <f>56402000/1000</f>
        <v>56402</v>
      </c>
      <c r="G549" s="3315">
        <f>65310000/1000</f>
        <v>65310</v>
      </c>
      <c r="H549" s="363">
        <f>SUM(F549:G549)</f>
        <v>121712</v>
      </c>
      <c r="I549" s="3315">
        <f>65253000/1000</f>
        <v>65253</v>
      </c>
      <c r="J549" s="304">
        <f>SUM(H549:I549)</f>
        <v>186965</v>
      </c>
      <c r="K549" s="3315"/>
      <c r="L549" s="501">
        <f>SUM(J549:K549)</f>
        <v>186965</v>
      </c>
      <c r="M549" s="3315">
        <f>74484000/1000</f>
        <v>74484</v>
      </c>
      <c r="N549" s="501">
        <f>SUM(L549:M549)</f>
        <v>261449</v>
      </c>
      <c r="O549" s="3315">
        <f>64565000/1000</f>
        <v>64565</v>
      </c>
      <c r="P549" s="304">
        <f>+K549+M549+O549</f>
        <v>139049</v>
      </c>
      <c r="Q549" s="2128">
        <f>+N549+O549</f>
        <v>326014</v>
      </c>
      <c r="R549" s="3315">
        <v>70072</v>
      </c>
      <c r="S549" s="2275">
        <f>SUM(Q549:R549)</f>
        <v>396086</v>
      </c>
      <c r="T549" s="3315">
        <f>66980000/1000</f>
        <v>66980</v>
      </c>
      <c r="U549" s="2275">
        <f>SUM(S549:T549)</f>
        <v>463066</v>
      </c>
      <c r="V549" s="3315">
        <f>68647000/1000</f>
        <v>68647</v>
      </c>
      <c r="W549" s="558">
        <f>+R549+T549+V549</f>
        <v>205699</v>
      </c>
      <c r="X549" s="501">
        <f>+U549+V549</f>
        <v>531713</v>
      </c>
      <c r="Y549" s="3315">
        <f>69754000/1000</f>
        <v>69754</v>
      </c>
      <c r="Z549" s="2275">
        <f>SUM(X549:Y549)</f>
        <v>601467</v>
      </c>
      <c r="AA549" s="3315">
        <f>67952000/1000</f>
        <v>67952</v>
      </c>
      <c r="AB549" s="84">
        <f>SUM(Z549:AA549)</f>
        <v>669419</v>
      </c>
      <c r="AC549" s="3315">
        <f>71577000/1000</f>
        <v>71577</v>
      </c>
      <c r="AD549" s="721">
        <f>+Y549+AA549+AC549</f>
        <v>209283</v>
      </c>
      <c r="AE549" s="2493">
        <f>+W549+AD549</f>
        <v>414982</v>
      </c>
      <c r="AF549" s="723">
        <f>+AB549+AC549</f>
        <v>740996</v>
      </c>
    </row>
    <row r="550" spans="3:38" ht="35" customHeight="1" thickBot="1" x14ac:dyDescent="0.3">
      <c r="C550" s="338"/>
      <c r="D550" s="8457"/>
      <c r="E550" s="1220" t="s">
        <v>238</v>
      </c>
      <c r="F550" s="1221">
        <f>+F549/F535/24</f>
        <v>78.336111111111109</v>
      </c>
      <c r="G550" s="1221">
        <f t="shared" ref="G550:I550" si="1331">+G549/G535/24</f>
        <v>87.782258064516142</v>
      </c>
      <c r="H550" s="1225">
        <f t="shared" ref="H550:AF550" si="1332">+H549/H535/24</f>
        <v>83.136612021857914</v>
      </c>
      <c r="I550" s="1221">
        <f t="shared" si="1331"/>
        <v>90.629166666666663</v>
      </c>
      <c r="J550" s="1222">
        <f t="shared" si="1332"/>
        <v>85.606684981684978</v>
      </c>
      <c r="K550" s="1221">
        <f t="shared" si="1332"/>
        <v>0</v>
      </c>
      <c r="L550" s="1225">
        <f t="shared" si="1332"/>
        <v>63.854166666666664</v>
      </c>
      <c r="M550" s="1221">
        <f t="shared" ref="M550:O550" si="1333">+M549/M535/24</f>
        <v>100.11290322580645</v>
      </c>
      <c r="N550" s="1225">
        <f t="shared" si="1332"/>
        <v>71.200708061002175</v>
      </c>
      <c r="O550" s="1221">
        <f t="shared" si="1333"/>
        <v>89.6736111111111</v>
      </c>
      <c r="P550" s="1222">
        <f t="shared" si="1332"/>
        <v>62.975090579710148</v>
      </c>
      <c r="Q550" s="2131">
        <f t="shared" si="1332"/>
        <v>74.229052823315115</v>
      </c>
      <c r="R550" s="1221">
        <f t="shared" si="1332"/>
        <v>94.182795698924735</v>
      </c>
      <c r="S550" s="2278">
        <f t="shared" si="1332"/>
        <v>77.11954828660437</v>
      </c>
      <c r="T550" s="1221">
        <f t="shared" si="1332"/>
        <v>93.027777777777771</v>
      </c>
      <c r="U550" s="2278">
        <f t="shared" si="1332"/>
        <v>79.075478142076506</v>
      </c>
      <c r="V550" s="1221">
        <f t="shared" ref="V550" si="1334">+V549/V535/24</f>
        <v>92.267473118279568</v>
      </c>
      <c r="W550" s="1223">
        <f t="shared" si="1332"/>
        <v>93.16077898550725</v>
      </c>
      <c r="X550" s="1225">
        <f t="shared" si="1332"/>
        <v>80.562575757575758</v>
      </c>
      <c r="Y550" s="1221">
        <f t="shared" si="1332"/>
        <v>93.755376344086017</v>
      </c>
      <c r="Z550" s="2278">
        <f t="shared" si="1332"/>
        <v>81.89910130718954</v>
      </c>
      <c r="AA550" s="1221">
        <f t="shared" ref="AA550" si="1335">+AA549/AA535/24</f>
        <v>97.632183908045974</v>
      </c>
      <c r="AB550" s="116">
        <f t="shared" ref="AB550:AC550" si="1336">+AB549/AB535/24</f>
        <v>83.261069651741295</v>
      </c>
      <c r="AC550" s="1221">
        <f t="shared" si="1336"/>
        <v>96.20564516129032</v>
      </c>
      <c r="AD550" s="1308">
        <f t="shared" si="1332"/>
        <v>95.825549450549445</v>
      </c>
      <c r="AE550" s="1309">
        <f t="shared" si="1332"/>
        <v>94.485883424408016</v>
      </c>
      <c r="AF550" s="2673">
        <f t="shared" si="1332"/>
        <v>84.357468123861565</v>
      </c>
    </row>
    <row r="551" spans="3:38" s="3170" customFormat="1" ht="35" customHeight="1" x14ac:dyDescent="0.25">
      <c r="C551" s="4215"/>
      <c r="D551" s="8439">
        <v>33.01</v>
      </c>
      <c r="E551" s="4259" t="s">
        <v>214</v>
      </c>
      <c r="F551" s="4237"/>
      <c r="G551" s="4237"/>
      <c r="H551" s="4237"/>
      <c r="I551" s="4237"/>
      <c r="J551" s="4237"/>
      <c r="K551" s="4237"/>
      <c r="L551" s="4237"/>
      <c r="M551" s="4237"/>
      <c r="N551" s="4237"/>
      <c r="O551" s="4237"/>
      <c r="P551" s="4237"/>
      <c r="Q551" s="4237"/>
      <c r="R551" s="4237"/>
      <c r="S551" s="4237"/>
      <c r="T551" s="4237"/>
      <c r="U551" s="4237"/>
      <c r="V551" s="4237"/>
      <c r="W551" s="4237"/>
      <c r="X551" s="4237"/>
      <c r="Y551" s="4237"/>
      <c r="Z551" s="4237"/>
      <c r="AA551" s="4237"/>
      <c r="AB551" s="4237"/>
      <c r="AC551" s="4237"/>
      <c r="AD551" s="4237"/>
      <c r="AE551" s="4237"/>
      <c r="AF551" s="4237"/>
      <c r="AG551" s="4756"/>
      <c r="AH551" s="4756"/>
      <c r="AI551" s="4756"/>
      <c r="AJ551" s="4756"/>
      <c r="AK551" s="4756"/>
      <c r="AL551" s="4756"/>
    </row>
    <row r="552" spans="3:38" ht="35" customHeight="1" x14ac:dyDescent="0.25">
      <c r="C552" s="338"/>
      <c r="D552" s="8439"/>
      <c r="E552" s="961" t="s">
        <v>210</v>
      </c>
      <c r="F552" s="3316">
        <v>169171</v>
      </c>
      <c r="G552" s="3316">
        <v>181094.2</v>
      </c>
      <c r="H552" s="2280">
        <f>SUM(F552:G552)</f>
        <v>350265.2</v>
      </c>
      <c r="I552" s="3316">
        <v>177755.36</v>
      </c>
      <c r="J552" s="304">
        <f>SUM(H552:I552)</f>
        <v>528020.56000000006</v>
      </c>
      <c r="K552" s="3316"/>
      <c r="L552" s="501">
        <f>SUM(J552:K552)</f>
        <v>528020.56000000006</v>
      </c>
      <c r="M552" s="3316">
        <v>211527</v>
      </c>
      <c r="N552" s="84">
        <f>SUM(L552:M552)</f>
        <v>739547.56</v>
      </c>
      <c r="O552" s="3316">
        <v>183021</v>
      </c>
      <c r="P552" s="79">
        <f>+K552+M552+O552</f>
        <v>394548</v>
      </c>
      <c r="Q552" s="2128">
        <f>+N552+O552</f>
        <v>922568.56</v>
      </c>
      <c r="R552" s="3316">
        <v>188989</v>
      </c>
      <c r="S552" s="2279">
        <f>SUM(Q552:R552)</f>
        <v>1111557.56</v>
      </c>
      <c r="T552" s="3316">
        <v>188184.6</v>
      </c>
      <c r="U552" s="2279">
        <f>SUM(S552:T552)</f>
        <v>1299742.1600000001</v>
      </c>
      <c r="V552" s="3316">
        <v>199872.4</v>
      </c>
      <c r="W552" s="87">
        <f>+R552+T552+V552</f>
        <v>577046</v>
      </c>
      <c r="X552" s="84">
        <f>+U552+V552</f>
        <v>1499614.56</v>
      </c>
      <c r="Y552" s="3316">
        <v>195368</v>
      </c>
      <c r="Z552" s="2279">
        <f>SUM(X552:Y552)</f>
        <v>1694982.56</v>
      </c>
      <c r="AA552" s="3316">
        <v>182536</v>
      </c>
      <c r="AB552" s="84">
        <f>SUM(Z552:AA552)</f>
        <v>1877518.56</v>
      </c>
      <c r="AC552" s="3316">
        <v>186000.2</v>
      </c>
      <c r="AD552" s="721">
        <f t="shared" ref="AD552:AD553" si="1337">+Y552+AA552+AC552</f>
        <v>563904.19999999995</v>
      </c>
      <c r="AE552" s="990">
        <f t="shared" ref="AE552:AE553" si="1338">+W552+AD552</f>
        <v>1140950.2</v>
      </c>
      <c r="AF552" s="714">
        <f>+AB552+AC552</f>
        <v>2063518.76</v>
      </c>
    </row>
    <row r="553" spans="3:38" ht="35" customHeight="1" thickBot="1" x14ac:dyDescent="0.3">
      <c r="C553" s="338"/>
      <c r="D553" s="8439"/>
      <c r="E553" s="962" t="s">
        <v>190</v>
      </c>
      <c r="F553" s="3317">
        <v>38128.800000000003</v>
      </c>
      <c r="G553" s="3317">
        <v>36049.199999999997</v>
      </c>
      <c r="H553" s="2288">
        <f>SUM(F553:G553)</f>
        <v>74178</v>
      </c>
      <c r="I553" s="3317">
        <v>38927.839999999997</v>
      </c>
      <c r="J553" s="314">
        <f>SUM(H553:I553)</f>
        <v>113105.84</v>
      </c>
      <c r="K553" s="3317"/>
      <c r="L553" s="2458">
        <f>SUM(J553:K553)</f>
        <v>113105.84</v>
      </c>
      <c r="M553" s="3317">
        <v>40509.599999999999</v>
      </c>
      <c r="N553" s="97">
        <f>SUM(L553:M553)</f>
        <v>153615.44</v>
      </c>
      <c r="O553" s="3317">
        <v>40313.4</v>
      </c>
      <c r="P553" s="115">
        <f>+K553+M553+O553</f>
        <v>80823</v>
      </c>
      <c r="Q553" s="3025">
        <f>+N553+O553</f>
        <v>193928.84</v>
      </c>
      <c r="R553" s="3317">
        <v>43077.599999999999</v>
      </c>
      <c r="S553" s="97">
        <f>SUM(Q553:R553)</f>
        <v>237006.44</v>
      </c>
      <c r="T553" s="3317">
        <v>41839.279999999999</v>
      </c>
      <c r="U553" s="97">
        <f>SUM(S553:T553)</f>
        <v>278845.71999999997</v>
      </c>
      <c r="V553" s="3317">
        <v>44266.2</v>
      </c>
      <c r="W553" s="133">
        <f>+R553+T553+V553</f>
        <v>129183.08</v>
      </c>
      <c r="X553" s="132">
        <f>+U553+V553</f>
        <v>323111.92</v>
      </c>
      <c r="Y553" s="3317">
        <v>44052.68</v>
      </c>
      <c r="Z553" s="97">
        <f>SUM(X553:Y553)</f>
        <v>367164.6</v>
      </c>
      <c r="AA553" s="3317">
        <v>41328.300000000003</v>
      </c>
      <c r="AB553" s="96">
        <f>SUM(Z553:AA553)</f>
        <v>408492.89999999997</v>
      </c>
      <c r="AC553" s="3317">
        <v>43932.160000000003</v>
      </c>
      <c r="AD553" s="715">
        <f t="shared" si="1337"/>
        <v>129313.14000000001</v>
      </c>
      <c r="AE553" s="849">
        <f t="shared" si="1338"/>
        <v>258496.22000000003</v>
      </c>
      <c r="AF553" s="714">
        <f>+AB553+AC553</f>
        <v>452425.05999999994</v>
      </c>
    </row>
    <row r="554" spans="3:38" ht="35" customHeight="1" thickBot="1" x14ac:dyDescent="0.3">
      <c r="C554" s="338"/>
      <c r="D554" s="8439"/>
      <c r="E554" s="963" t="s">
        <v>15</v>
      </c>
      <c r="F554" s="430">
        <f>SUM(F552:F553)</f>
        <v>207299.8</v>
      </c>
      <c r="G554" s="430">
        <f>SUM(G552:G553)</f>
        <v>217143.40000000002</v>
      </c>
      <c r="H554" s="3552">
        <f>SUM(F554:G554)</f>
        <v>424443.2</v>
      </c>
      <c r="I554" s="430">
        <f>SUM(I552:I553)</f>
        <v>216683.19999999998</v>
      </c>
      <c r="J554" s="249">
        <f>SUM(H554:I554)</f>
        <v>641126.40000000002</v>
      </c>
      <c r="K554" s="430">
        <f>SUM(K552:K553)</f>
        <v>0</v>
      </c>
      <c r="L554" s="482">
        <f>SUM(J554:K554)</f>
        <v>641126.40000000002</v>
      </c>
      <c r="M554" s="430">
        <f>SUM(M552:M553)</f>
        <v>252036.6</v>
      </c>
      <c r="N554" s="99">
        <f>SUM(L554:M554)</f>
        <v>893163</v>
      </c>
      <c r="O554" s="430">
        <f>SUM(O552:O553)</f>
        <v>223334.39999999999</v>
      </c>
      <c r="P554" s="76">
        <f>+K554+M554+O554</f>
        <v>475371</v>
      </c>
      <c r="Q554" s="236">
        <f>+N554+O554</f>
        <v>1116497.3999999999</v>
      </c>
      <c r="R554" s="430">
        <f>SUM(R552:R553)</f>
        <v>232066.6</v>
      </c>
      <c r="S554" s="99">
        <f>SUM(Q554:R554)</f>
        <v>1348564</v>
      </c>
      <c r="T554" s="430">
        <f>SUM(T552:T553)</f>
        <v>230023.88</v>
      </c>
      <c r="U554" s="99">
        <f>SUM(S554:T554)</f>
        <v>1578587.88</v>
      </c>
      <c r="V554" s="430">
        <f>SUM(V552:V553)</f>
        <v>244138.59999999998</v>
      </c>
      <c r="W554" s="100">
        <f t="shared" ref="W554:AB554" si="1339">SUM(W552:W553)</f>
        <v>706229.08</v>
      </c>
      <c r="X554" s="99">
        <f t="shared" si="1339"/>
        <v>1822726.48</v>
      </c>
      <c r="Y554" s="430">
        <f>SUM(Y552:Y553)</f>
        <v>239420.68</v>
      </c>
      <c r="Z554" s="99">
        <f t="shared" si="1339"/>
        <v>2062147.1600000001</v>
      </c>
      <c r="AA554" s="430">
        <f>SUM(AA552:AA553)</f>
        <v>223864.3</v>
      </c>
      <c r="AB554" s="99">
        <f t="shared" si="1339"/>
        <v>2286011.46</v>
      </c>
      <c r="AC554" s="430">
        <f>SUM(AC552:AC553)</f>
        <v>229932.36000000002</v>
      </c>
      <c r="AD554" s="573">
        <f>SUM(AD552:AD553)</f>
        <v>693217.34</v>
      </c>
      <c r="AE554" s="775">
        <f>SUM(AE552:AE553)</f>
        <v>1399446.42</v>
      </c>
      <c r="AF554" s="572">
        <f>SUM(AF552:AF553)</f>
        <v>2515943.8199999998</v>
      </c>
    </row>
    <row r="555" spans="3:38" ht="35" customHeight="1" thickBot="1" x14ac:dyDescent="0.3">
      <c r="C555" s="338"/>
      <c r="D555" s="8439"/>
      <c r="E555" s="2756" t="s">
        <v>211</v>
      </c>
      <c r="F555" s="3318">
        <v>636.27999999999884</v>
      </c>
      <c r="G555" s="3318">
        <v>442.98000000001048</v>
      </c>
      <c r="H555" s="3553">
        <f>SUM(F555:G555)</f>
        <v>1079.2600000000093</v>
      </c>
      <c r="I555" s="3318">
        <v>521.59999999997672</v>
      </c>
      <c r="J555" s="316">
        <f>SUM(H555:I555)</f>
        <v>1600.859999999986</v>
      </c>
      <c r="K555" s="3318"/>
      <c r="L555" s="3588">
        <f>SUM(J555:K555)</f>
        <v>1600.859999999986</v>
      </c>
      <c r="M555" s="3318">
        <v>528</v>
      </c>
      <c r="N555" s="104">
        <f>SUM(L555:M555)</f>
        <v>2128.859999999986</v>
      </c>
      <c r="O555" s="3318">
        <v>587.39999999999418</v>
      </c>
      <c r="P555" s="103">
        <f>+K555+M555+O555</f>
        <v>1115.3999999999942</v>
      </c>
      <c r="Q555" s="236">
        <f>+N555+O555</f>
        <v>2716.2599999999802</v>
      </c>
      <c r="R555" s="3318">
        <v>552.60000000000582</v>
      </c>
      <c r="S555" s="99">
        <f>SUM(Q555:R555)</f>
        <v>3268.859999999986</v>
      </c>
      <c r="T555" s="3318">
        <v>348.47999999998137</v>
      </c>
      <c r="U555" s="99">
        <f>SUM(S555:T555)</f>
        <v>3617.3399999999674</v>
      </c>
      <c r="V555" s="3318">
        <v>343.39999999996508</v>
      </c>
      <c r="W555" s="100">
        <f>+R555+T555+V555</f>
        <v>1244.4799999999523</v>
      </c>
      <c r="X555" s="99">
        <f>+U555+V555</f>
        <v>3960.7399999999325</v>
      </c>
      <c r="Y555" s="3318">
        <v>292.72000000000116</v>
      </c>
      <c r="Z555" s="99">
        <f>SUM(X555:Y555)</f>
        <v>4253.4599999999336</v>
      </c>
      <c r="AA555" s="3318">
        <v>256.29999999998836</v>
      </c>
      <c r="AB555" s="99">
        <f>SUM(Z555:AA555)</f>
        <v>4509.759999999922</v>
      </c>
      <c r="AC555" s="3318">
        <v>337.11999999998079</v>
      </c>
      <c r="AD555" s="573">
        <f>+Y555+AA555+AC555</f>
        <v>886.13999999997031</v>
      </c>
      <c r="AE555" s="767">
        <f>+W555+AD555</f>
        <v>2130.6199999999226</v>
      </c>
      <c r="AF555" s="599">
        <f>+AB555+AC555</f>
        <v>4846.8799999999028</v>
      </c>
    </row>
    <row r="556" spans="3:38" ht="35" customHeight="1" x14ac:dyDescent="0.25">
      <c r="C556" s="338"/>
      <c r="D556" s="8439"/>
      <c r="E556" s="1490" t="s">
        <v>212</v>
      </c>
      <c r="F556" s="291">
        <f>+F554-F555</f>
        <v>206663.52</v>
      </c>
      <c r="G556" s="291">
        <f>+G554-G555</f>
        <v>216700.42</v>
      </c>
      <c r="H556" s="3554">
        <f>SUM(F556:G556)</f>
        <v>423363.94</v>
      </c>
      <c r="I556" s="291">
        <f>+I554-I555</f>
        <v>216161.6</v>
      </c>
      <c r="J556" s="270">
        <f>SUM(H556:I556)</f>
        <v>639525.54</v>
      </c>
      <c r="K556" s="291">
        <f>+K554-K555</f>
        <v>0</v>
      </c>
      <c r="L556" s="789">
        <f>SUM(J556:K556)</f>
        <v>639525.54</v>
      </c>
      <c r="M556" s="291">
        <f>+M554-M555</f>
        <v>251508.6</v>
      </c>
      <c r="N556" s="107">
        <f>SUM(L556:M556)</f>
        <v>891034.14</v>
      </c>
      <c r="O556" s="291">
        <f>+O554-O555</f>
        <v>222747</v>
      </c>
      <c r="P556" s="106">
        <f>+K556+M556+O556</f>
        <v>474255.6</v>
      </c>
      <c r="Q556" s="2128">
        <f>+N556+O556</f>
        <v>1113781.1400000001</v>
      </c>
      <c r="R556" s="291">
        <f>+R554-R555</f>
        <v>231514</v>
      </c>
      <c r="S556" s="84">
        <f>SUM(Q556:R556)</f>
        <v>1345295.1400000001</v>
      </c>
      <c r="T556" s="291">
        <f>+T554-T555</f>
        <v>229675.40000000002</v>
      </c>
      <c r="U556" s="84">
        <f>SUM(S556:T556)</f>
        <v>1574970.54</v>
      </c>
      <c r="V556" s="291">
        <f>+V554-V555</f>
        <v>243795.20000000001</v>
      </c>
      <c r="W556" s="108">
        <f>+R556+T556+V556</f>
        <v>704984.60000000009</v>
      </c>
      <c r="X556" s="107">
        <f>+U556+V556</f>
        <v>1818765.74</v>
      </c>
      <c r="Y556" s="291">
        <f>+Y554-Y555</f>
        <v>239127.96</v>
      </c>
      <c r="Z556" s="84">
        <f>SUM(X556:Y556)</f>
        <v>2057893.7</v>
      </c>
      <c r="AA556" s="291">
        <f>+AA554-AA555</f>
        <v>223608</v>
      </c>
      <c r="AB556" s="84">
        <f>SUM(Z556:AA556)</f>
        <v>2281501.7000000002</v>
      </c>
      <c r="AC556" s="291">
        <f>+AC554-AC555</f>
        <v>229595.24000000005</v>
      </c>
      <c r="AD556" s="2522">
        <f>+Y556+AA556+AC556</f>
        <v>692331.2</v>
      </c>
      <c r="AE556" s="1356">
        <f t="shared" ref="AE556" si="1340">+AE554-AE555</f>
        <v>1397315.8</v>
      </c>
      <c r="AF556" s="714">
        <f>+AB556+AC556</f>
        <v>2511096.9400000004</v>
      </c>
    </row>
    <row r="557" spans="3:38" s="3170" customFormat="1" ht="35" customHeight="1" x14ac:dyDescent="0.25">
      <c r="C557" s="4215"/>
      <c r="D557" s="8463">
        <v>33.020000000000003</v>
      </c>
      <c r="E557" s="4251" t="s">
        <v>213</v>
      </c>
      <c r="F557" s="4252"/>
      <c r="G557" s="4252"/>
      <c r="H557" s="3246"/>
      <c r="I557" s="4252"/>
      <c r="J557" s="3246"/>
      <c r="K557" s="4252"/>
      <c r="L557" s="3246"/>
      <c r="M557" s="4252"/>
      <c r="N557" s="3246"/>
      <c r="O557" s="4252"/>
      <c r="P557" s="3246"/>
      <c r="Q557" s="3246"/>
      <c r="R557" s="4252"/>
      <c r="S557" s="3246"/>
      <c r="T557" s="4252"/>
      <c r="U557" s="3246"/>
      <c r="V557" s="4252"/>
      <c r="W557" s="4253"/>
      <c r="X557" s="4254"/>
      <c r="Y557" s="4252"/>
      <c r="Z557" s="3246"/>
      <c r="AA557" s="4252"/>
      <c r="AB557" s="4254"/>
      <c r="AC557" s="4252"/>
      <c r="AD557" s="4255"/>
      <c r="AE557" s="4255"/>
      <c r="AF557" s="4255"/>
      <c r="AG557" s="4756"/>
      <c r="AH557" s="4756"/>
      <c r="AI557" s="4756"/>
      <c r="AJ557" s="4756"/>
      <c r="AK557" s="4756"/>
      <c r="AL557" s="4756"/>
    </row>
    <row r="558" spans="3:38" s="3170" customFormat="1" ht="35" customHeight="1" x14ac:dyDescent="0.25">
      <c r="C558" s="4215"/>
      <c r="D558" s="8463"/>
      <c r="E558" s="4256" t="s">
        <v>269</v>
      </c>
      <c r="F558" s="4257"/>
      <c r="G558" s="4257"/>
      <c r="H558" s="3773"/>
      <c r="I558" s="4257"/>
      <c r="J558" s="3773"/>
      <c r="K558" s="4257"/>
      <c r="L558" s="3773"/>
      <c r="M558" s="4257"/>
      <c r="N558" s="3773"/>
      <c r="O558" s="4257"/>
      <c r="P558" s="3246"/>
      <c r="Q558" s="3246"/>
      <c r="R558" s="4257"/>
      <c r="S558" s="3246"/>
      <c r="T558" s="4257"/>
      <c r="U558" s="3246"/>
      <c r="V558" s="4257"/>
      <c r="W558" s="4258"/>
      <c r="X558" s="4254"/>
      <c r="Y558" s="4257"/>
      <c r="Z558" s="3246"/>
      <c r="AA558" s="4257"/>
      <c r="AB558" s="4254"/>
      <c r="AC558" s="4257"/>
      <c r="AD558" s="4254"/>
      <c r="AE558" s="4254"/>
      <c r="AF558" s="4254"/>
      <c r="AG558" s="4756"/>
      <c r="AH558" s="4756"/>
      <c r="AI558" s="4756"/>
      <c r="AJ558" s="4756"/>
      <c r="AK558" s="4756"/>
      <c r="AL558" s="4756"/>
    </row>
    <row r="559" spans="3:38" ht="35" customHeight="1" x14ac:dyDescent="0.25">
      <c r="C559" s="338"/>
      <c r="D559" s="8463"/>
      <c r="E559" s="2757" t="s">
        <v>215</v>
      </c>
      <c r="F559" s="3319">
        <v>2463.96</v>
      </c>
      <c r="G559" s="3319">
        <v>2726</v>
      </c>
      <c r="H559" s="2280">
        <f>SUM(F559:G559)</f>
        <v>5189.96</v>
      </c>
      <c r="I559" s="3319">
        <v>2828</v>
      </c>
      <c r="J559" s="313">
        <f>SUM(H559:I559)</f>
        <v>8017.96</v>
      </c>
      <c r="K559" s="3319"/>
      <c r="L559" s="475">
        <f>SUM(J559:K559)</f>
        <v>8017.96</v>
      </c>
      <c r="M559" s="3319">
        <v>2674</v>
      </c>
      <c r="N559" s="84">
        <f>SUM(L559:M559)</f>
        <v>10691.96</v>
      </c>
      <c r="O559" s="3319">
        <v>2803</v>
      </c>
      <c r="P559" s="74">
        <f>+K559+M559+O559</f>
        <v>5477</v>
      </c>
      <c r="Q559" s="348">
        <f>+J559+P559</f>
        <v>13494.96</v>
      </c>
      <c r="R559" s="3319">
        <v>2666</v>
      </c>
      <c r="S559" s="86">
        <f>SUM(Q559:R559)</f>
        <v>16160.96</v>
      </c>
      <c r="T559" s="3319">
        <v>2399.6</v>
      </c>
      <c r="U559" s="86">
        <f>SUM(S559:T559)</f>
        <v>18560.559999999998</v>
      </c>
      <c r="V559" s="3319">
        <v>2277.6</v>
      </c>
      <c r="W559" s="87">
        <f>+R559+T559+V559</f>
        <v>7343.2000000000007</v>
      </c>
      <c r="X559" s="84">
        <f>+U559+V559</f>
        <v>20838.159999999996</v>
      </c>
      <c r="Y559" s="3319">
        <v>2440</v>
      </c>
      <c r="Z559" s="86">
        <f>SUM(X559:Y559)</f>
        <v>23278.159999999996</v>
      </c>
      <c r="AA559" s="3319">
        <v>2301</v>
      </c>
      <c r="AB559" s="86">
        <f>SUM(Z559:AA559)</f>
        <v>25579.159999999996</v>
      </c>
      <c r="AC559" s="3319">
        <v>2583.6400000000003</v>
      </c>
      <c r="AD559" s="721">
        <f t="shared" ref="AD559" si="1341">+Y559+AA559+AC559</f>
        <v>7324.64</v>
      </c>
      <c r="AE559" s="990">
        <f t="shared" ref="AE559" si="1342">+W559+AD559</f>
        <v>14667.84</v>
      </c>
      <c r="AF559" s="723">
        <f>+AB559+AC559</f>
        <v>28162.799999999996</v>
      </c>
    </row>
    <row r="560" spans="3:38" ht="35" customHeight="1" x14ac:dyDescent="0.25">
      <c r="C560" s="338"/>
      <c r="D560" s="8463"/>
      <c r="E560" s="2758" t="s">
        <v>216</v>
      </c>
      <c r="F560" s="2760">
        <f t="shared" ref="F560:G560" si="1343">+F559/F535/24</f>
        <v>3.422166666666667</v>
      </c>
      <c r="G560" s="2760">
        <f t="shared" si="1343"/>
        <v>3.663978494623656</v>
      </c>
      <c r="H560" s="355">
        <f t="shared" ref="H560:W560" si="1344">+H559/H535/24</f>
        <v>3.5450546448087432</v>
      </c>
      <c r="I560" s="2760">
        <f t="shared" si="1344"/>
        <v>3.9277777777777776</v>
      </c>
      <c r="J560" s="245">
        <f t="shared" si="1344"/>
        <v>3.6712271062271067</v>
      </c>
      <c r="K560" s="2760">
        <f t="shared" si="1344"/>
        <v>0</v>
      </c>
      <c r="L560" s="246">
        <f t="shared" si="1344"/>
        <v>2.7383743169398911</v>
      </c>
      <c r="M560" s="2760">
        <f t="shared" ref="M560:O560" si="1345">+M559/M535/24</f>
        <v>3.5940860215053765</v>
      </c>
      <c r="N560" s="246">
        <f t="shared" si="1344"/>
        <v>2.9117538126361655</v>
      </c>
      <c r="O560" s="2760">
        <f t="shared" si="1345"/>
        <v>3.8930555555555557</v>
      </c>
      <c r="P560" s="255">
        <f t="shared" si="1344"/>
        <v>2.4805253623188404</v>
      </c>
      <c r="Q560" s="349">
        <f t="shared" si="1344"/>
        <v>3.0726229508196723</v>
      </c>
      <c r="R560" s="2760">
        <f t="shared" si="1344"/>
        <v>3.5833333333333335</v>
      </c>
      <c r="S560" s="246">
        <f t="shared" si="1344"/>
        <v>3.1466043613707164</v>
      </c>
      <c r="T560" s="2760">
        <f t="shared" si="1344"/>
        <v>3.3327777777777778</v>
      </c>
      <c r="U560" s="246">
        <f t="shared" si="1344"/>
        <v>3.1694945355191249</v>
      </c>
      <c r="V560" s="2760">
        <f t="shared" ref="V560" si="1346">+V559/V535/24</f>
        <v>3.0612903225806449</v>
      </c>
      <c r="W560" s="69">
        <f t="shared" si="1344"/>
        <v>3.32572463768116</v>
      </c>
      <c r="X560" s="91">
        <f>+X559/X535/24</f>
        <v>3.157296969696969</v>
      </c>
      <c r="Y560" s="2760">
        <f t="shared" ref="Y560" si="1347">+Y559/Y535/24</f>
        <v>3.279569892473118</v>
      </c>
      <c r="Z560" s="246">
        <f>+Z559/Z535/24</f>
        <v>3.1696840958605659</v>
      </c>
      <c r="AA560" s="2760">
        <f t="shared" ref="AA560" si="1348">+AA559/AA535/24</f>
        <v>3.3060344827586206</v>
      </c>
      <c r="AB560" s="91">
        <f>+AB559/AB535/24</f>
        <v>3.1814875621890546</v>
      </c>
      <c r="AC560" s="2760">
        <f t="shared" ref="AC560" si="1349">+AC559/AC535/24</f>
        <v>3.472634408602151</v>
      </c>
      <c r="AD560" s="744">
        <f>+AD559/AD535/24</f>
        <v>3.3537728937728937</v>
      </c>
      <c r="AE560" s="859">
        <f>+AE559/AE535/24</f>
        <v>3.339672131147541</v>
      </c>
      <c r="AF560" s="2668">
        <f>+AF559/AF535/24</f>
        <v>3.206147540983606</v>
      </c>
    </row>
    <row r="561" spans="3:38" s="3170" customFormat="1" ht="35" customHeight="1" x14ac:dyDescent="0.25">
      <c r="C561" s="4215"/>
      <c r="D561" s="8463"/>
      <c r="E561" s="4244" t="s">
        <v>191</v>
      </c>
      <c r="F561" s="4245"/>
      <c r="G561" s="4245"/>
      <c r="H561" s="3773"/>
      <c r="I561" s="4245"/>
      <c r="J561" s="3773"/>
      <c r="K561" s="4245"/>
      <c r="L561" s="3773"/>
      <c r="M561" s="4245"/>
      <c r="N561" s="3773"/>
      <c r="O561" s="4245"/>
      <c r="P561" s="3773"/>
      <c r="Q561" s="3773"/>
      <c r="R561" s="4245"/>
      <c r="S561" s="3773"/>
      <c r="T561" s="4245"/>
      <c r="U561" s="3773"/>
      <c r="V561" s="4245"/>
      <c r="W561" s="3773"/>
      <c r="X561" s="3773"/>
      <c r="Y561" s="4245"/>
      <c r="Z561" s="3773"/>
      <c r="AA561" s="4245"/>
      <c r="AB561" s="3773"/>
      <c r="AC561" s="4245"/>
      <c r="AD561" s="3773"/>
      <c r="AE561" s="3619"/>
      <c r="AF561" s="3619"/>
      <c r="AG561" s="4756"/>
      <c r="AH561" s="4756"/>
      <c r="AI561" s="4756"/>
      <c r="AJ561" s="4756"/>
      <c r="AK561" s="4756"/>
      <c r="AL561" s="4756"/>
    </row>
    <row r="562" spans="3:38" ht="35" customHeight="1" x14ac:dyDescent="0.25">
      <c r="C562" s="338"/>
      <c r="D562" s="8463"/>
      <c r="E562" s="2758" t="s">
        <v>215</v>
      </c>
      <c r="F562" s="3319">
        <v>18322.2</v>
      </c>
      <c r="G562" s="3319">
        <v>20080</v>
      </c>
      <c r="H562" s="2280">
        <f>SUM(F562:G562)</f>
        <v>38402.199999999997</v>
      </c>
      <c r="I562" s="3319">
        <v>18495.96</v>
      </c>
      <c r="J562" s="304">
        <f>SUM(H562:I562)</f>
        <v>56898.159999999996</v>
      </c>
      <c r="K562" s="3319"/>
      <c r="L562" s="501">
        <f>SUM(J562:K562)</f>
        <v>56898.159999999996</v>
      </c>
      <c r="M562" s="3319">
        <v>18632</v>
      </c>
      <c r="N562" s="84">
        <f>SUM(L562:M562)</f>
        <v>75530.16</v>
      </c>
      <c r="O562" s="3319">
        <v>17192</v>
      </c>
      <c r="P562" s="79">
        <f>+K562+M562+O562</f>
        <v>35824</v>
      </c>
      <c r="Q562" s="85">
        <f>+J562+P562</f>
        <v>92722.16</v>
      </c>
      <c r="R562" s="3319">
        <v>18157</v>
      </c>
      <c r="S562" s="86">
        <f>SUM(Q562:R562)</f>
        <v>110879.16</v>
      </c>
      <c r="T562" s="3319">
        <v>18002</v>
      </c>
      <c r="U562" s="86">
        <f>SUM(S562:T562)</f>
        <v>128881.16</v>
      </c>
      <c r="V562" s="3319">
        <v>18303</v>
      </c>
      <c r="W562" s="87">
        <f>+R562+T562+V562</f>
        <v>54462</v>
      </c>
      <c r="X562" s="84">
        <f>+U562+V562</f>
        <v>147184.16</v>
      </c>
      <c r="Y562" s="3319">
        <v>18963</v>
      </c>
      <c r="Z562" s="86">
        <f>SUM(X562:Y562)</f>
        <v>166147.16</v>
      </c>
      <c r="AA562" s="3319">
        <v>18396</v>
      </c>
      <c r="AB562" s="84">
        <f>SUM(Z562:AA562)</f>
        <v>184543.16</v>
      </c>
      <c r="AC562" s="3319">
        <v>19109.8</v>
      </c>
      <c r="AD562" s="721">
        <f t="shared" ref="AD562" si="1350">+Y562+AA562+AC562</f>
        <v>56468.800000000003</v>
      </c>
      <c r="AE562" s="990">
        <f t="shared" ref="AE562" si="1351">+W562+AD562</f>
        <v>110930.8</v>
      </c>
      <c r="AF562" s="723">
        <f>+AB562+AC562</f>
        <v>203652.96</v>
      </c>
    </row>
    <row r="563" spans="3:38" ht="35" customHeight="1" x14ac:dyDescent="0.25">
      <c r="C563" s="338"/>
      <c r="D563" s="8463"/>
      <c r="E563" s="2758" t="s">
        <v>216</v>
      </c>
      <c r="F563" s="2760">
        <f t="shared" ref="F563:G563" si="1352">+F562/F535/24</f>
        <v>25.447500000000002</v>
      </c>
      <c r="G563" s="2760">
        <f t="shared" si="1352"/>
        <v>26.989247311827956</v>
      </c>
      <c r="H563" s="355">
        <f t="shared" ref="H563:U563" si="1353">+H562/H535/24</f>
        <v>26.231010928961748</v>
      </c>
      <c r="I563" s="2760">
        <f t="shared" si="1353"/>
        <v>25.688833333333331</v>
      </c>
      <c r="J563" s="245">
        <f t="shared" si="1353"/>
        <v>26.05227106227106</v>
      </c>
      <c r="K563" s="2760">
        <f t="shared" si="1353"/>
        <v>0</v>
      </c>
      <c r="L563" s="246">
        <f t="shared" si="1353"/>
        <v>19.43243169398907</v>
      </c>
      <c r="M563" s="2760">
        <f t="shared" ref="M563:O563" si="1354">+M562/M535/24</f>
        <v>25.043010752688172</v>
      </c>
      <c r="N563" s="246">
        <f t="shared" si="1353"/>
        <v>20.569215686274511</v>
      </c>
      <c r="O563" s="2760">
        <f t="shared" si="1354"/>
        <v>23.87777777777778</v>
      </c>
      <c r="P563" s="245">
        <f t="shared" si="1353"/>
        <v>16.224637681159418</v>
      </c>
      <c r="Q563" s="240">
        <f t="shared" si="1353"/>
        <v>21.111602914389803</v>
      </c>
      <c r="R563" s="2760">
        <f t="shared" si="1353"/>
        <v>24.40456989247312</v>
      </c>
      <c r="S563" s="246">
        <f t="shared" si="1353"/>
        <v>21.588621495327104</v>
      </c>
      <c r="T563" s="2760">
        <f t="shared" si="1353"/>
        <v>25.00277777777778</v>
      </c>
      <c r="U563" s="246">
        <f t="shared" si="1353"/>
        <v>22.008394808743173</v>
      </c>
      <c r="V563" s="2760">
        <f t="shared" ref="V563" si="1355">+V562/V535/24</f>
        <v>24.6008064516129</v>
      </c>
      <c r="W563" s="69">
        <f>+W562/W535/24</f>
        <v>24.665760869565219</v>
      </c>
      <c r="X563" s="91">
        <f>+X562/X535/24</f>
        <v>22.300630303030303</v>
      </c>
      <c r="Y563" s="2760">
        <f t="shared" ref="Y563" si="1356">+Y562/Y535/24</f>
        <v>25.487903225806452</v>
      </c>
      <c r="Z563" s="246">
        <f>+Z562/Z535/24</f>
        <v>22.623523965141612</v>
      </c>
      <c r="AA563" s="2760">
        <f t="shared" ref="AA563" si="1357">+AA562/AA535/24</f>
        <v>26.431034482758619</v>
      </c>
      <c r="AB563" s="91">
        <f>+AB562/AB535/24</f>
        <v>22.95312935323383</v>
      </c>
      <c r="AC563" s="2760">
        <f t="shared" ref="AC563" si="1358">+AC562/AC535/24</f>
        <v>25.685215053763439</v>
      </c>
      <c r="AD563" s="744">
        <f>+AD562/AD535/24</f>
        <v>25.855677655677656</v>
      </c>
      <c r="AE563" s="859">
        <f>+AE562/AE535/24</f>
        <v>25.257468123861567</v>
      </c>
      <c r="AF563" s="2668">
        <f>+AF562/AF535/24</f>
        <v>23.184535519125685</v>
      </c>
    </row>
    <row r="564" spans="3:38" s="3170" customFormat="1" ht="35" customHeight="1" x14ac:dyDescent="0.25">
      <c r="C564" s="4215"/>
      <c r="D564" s="8463"/>
      <c r="E564" s="4244" t="s">
        <v>282</v>
      </c>
      <c r="F564" s="4245"/>
      <c r="G564" s="4245"/>
      <c r="H564" s="3773"/>
      <c r="I564" s="4245"/>
      <c r="J564" s="3773"/>
      <c r="K564" s="4245"/>
      <c r="L564" s="3773"/>
      <c r="M564" s="4245"/>
      <c r="N564" s="3773"/>
      <c r="O564" s="4245"/>
      <c r="P564" s="3773"/>
      <c r="Q564" s="3773"/>
      <c r="R564" s="4245"/>
      <c r="S564" s="4250"/>
      <c r="T564" s="4245"/>
      <c r="U564" s="4250"/>
      <c r="V564" s="4245"/>
      <c r="W564" s="4250"/>
      <c r="X564" s="4250"/>
      <c r="Y564" s="4245"/>
      <c r="Z564" s="4250"/>
      <c r="AA564" s="4245"/>
      <c r="AB564" s="4250"/>
      <c r="AC564" s="4245"/>
      <c r="AD564" s="4250"/>
      <c r="AE564" s="3242"/>
      <c r="AF564" s="3242"/>
      <c r="AG564" s="4756"/>
      <c r="AH564" s="4756"/>
      <c r="AI564" s="4756"/>
      <c r="AJ564" s="4756"/>
      <c r="AK564" s="4756"/>
      <c r="AL564" s="4756"/>
    </row>
    <row r="565" spans="3:38" ht="35" customHeight="1" x14ac:dyDescent="0.25">
      <c r="C565" s="338"/>
      <c r="D565" s="8463"/>
      <c r="E565" s="2758" t="s">
        <v>215</v>
      </c>
      <c r="F565" s="3319">
        <v>5807.4</v>
      </c>
      <c r="G565" s="3319">
        <v>7031.5</v>
      </c>
      <c r="H565" s="2280">
        <f>SUM(F565:G565)</f>
        <v>12838.9</v>
      </c>
      <c r="I565" s="3319">
        <v>6530.2</v>
      </c>
      <c r="J565" s="304">
        <f>SUM(H565:I565)</f>
        <v>19369.099999999999</v>
      </c>
      <c r="K565" s="3319"/>
      <c r="L565" s="501">
        <f>SUM(J565:K565)</f>
        <v>19369.099999999999</v>
      </c>
      <c r="M565" s="3319">
        <v>6229.6</v>
      </c>
      <c r="N565" s="84">
        <f>SUM(L565:M565)</f>
        <v>25598.699999999997</v>
      </c>
      <c r="O565" s="3319">
        <v>5489</v>
      </c>
      <c r="P565" s="79">
        <f>+K565+M565+O565</f>
        <v>11718.6</v>
      </c>
      <c r="Q565" s="2127">
        <f>+J565+P565</f>
        <v>31087.699999999997</v>
      </c>
      <c r="R565" s="3319">
        <v>5565</v>
      </c>
      <c r="S565" s="46">
        <f>SUM(Q565:R565)</f>
        <v>36652.699999999997</v>
      </c>
      <c r="T565" s="3319">
        <v>5225.8</v>
      </c>
      <c r="U565" s="46">
        <f>SUM(S565:T565)</f>
        <v>41878.5</v>
      </c>
      <c r="V565" s="3319">
        <v>4910.6000000000004</v>
      </c>
      <c r="W565" s="79">
        <f>+V565+T565+R565</f>
        <v>15701.400000000001</v>
      </c>
      <c r="X565" s="46">
        <f>+V565+U565</f>
        <v>46789.1</v>
      </c>
      <c r="Y565" s="3319">
        <v>6750.2</v>
      </c>
      <c r="Z565" s="46">
        <f>SUM(X565:Y565)</f>
        <v>53539.299999999996</v>
      </c>
      <c r="AA565" s="3319">
        <v>5353</v>
      </c>
      <c r="AB565" s="86">
        <f>SUM(Z565:AA565)</f>
        <v>58892.299999999996</v>
      </c>
      <c r="AC565" s="3319">
        <v>5600.8</v>
      </c>
      <c r="AD565" s="721">
        <f t="shared" ref="AD565" si="1359">+Y565+AA565+AC565</f>
        <v>17704</v>
      </c>
      <c r="AE565" s="990">
        <f t="shared" ref="AE565" si="1360">+W565+AD565</f>
        <v>33405.4</v>
      </c>
      <c r="AF565" s="723">
        <f>+AB565+AC565</f>
        <v>64493.1</v>
      </c>
    </row>
    <row r="566" spans="3:38" ht="35" customHeight="1" x14ac:dyDescent="0.25">
      <c r="C566" s="338"/>
      <c r="D566" s="8463"/>
      <c r="E566" s="2758" t="s">
        <v>216</v>
      </c>
      <c r="F566" s="2760">
        <f t="shared" ref="F566:G566" si="1361">+F565/F535/24</f>
        <v>8.0658333333333321</v>
      </c>
      <c r="G566" s="2760">
        <f t="shared" si="1361"/>
        <v>9.450940860215054</v>
      </c>
      <c r="H566" s="355">
        <f t="shared" ref="H566:N566" si="1362">+H565/H535/24</f>
        <v>8.76974043715847</v>
      </c>
      <c r="I566" s="2760">
        <f t="shared" si="1362"/>
        <v>9.0697222222222216</v>
      </c>
      <c r="J566" s="245">
        <f t="shared" si="1362"/>
        <v>8.8686355311355296</v>
      </c>
      <c r="K566" s="2760">
        <f t="shared" si="1362"/>
        <v>0</v>
      </c>
      <c r="L566" s="246">
        <f t="shared" si="1362"/>
        <v>6.615129781420765</v>
      </c>
      <c r="M566" s="2760">
        <f t="shared" ref="M566:O566" si="1363">+M565/M535/24</f>
        <v>8.3731182795698924</v>
      </c>
      <c r="N566" s="246">
        <f t="shared" si="1362"/>
        <v>6.9713235294117633</v>
      </c>
      <c r="O566" s="2760">
        <f t="shared" si="1363"/>
        <v>7.6236111111111109</v>
      </c>
      <c r="P566" s="245">
        <f t="shared" ref="P566:U566" si="1364">+P565/P535/24</f>
        <v>5.3073369565217394</v>
      </c>
      <c r="Q566" s="2137">
        <f t="shared" si="1364"/>
        <v>7.0782559198542794</v>
      </c>
      <c r="R566" s="2760">
        <f t="shared" si="1364"/>
        <v>7.4798387096774199</v>
      </c>
      <c r="S566" s="355">
        <f t="shared" si="1364"/>
        <v>7.1364291277258554</v>
      </c>
      <c r="T566" s="2760">
        <f t="shared" si="1364"/>
        <v>7.258055555555555</v>
      </c>
      <c r="U566" s="355">
        <f t="shared" si="1364"/>
        <v>7.1513831967213113</v>
      </c>
      <c r="V566" s="2760">
        <f t="shared" ref="V566" si="1365">+V565/V535/24</f>
        <v>6.6002688172043014</v>
      </c>
      <c r="W566" s="69">
        <f>+W565/W535/24</f>
        <v>7.111141304347826</v>
      </c>
      <c r="X566" s="156">
        <f>+X565/X535/24</f>
        <v>7.0892575757575758</v>
      </c>
      <c r="Y566" s="2760">
        <f t="shared" ref="Y566" si="1366">+Y565/Y535/24</f>
        <v>9.0728494623655909</v>
      </c>
      <c r="Z566" s="355">
        <f>+Z565/Z535/24</f>
        <v>7.2902096949891062</v>
      </c>
      <c r="AA566" s="2760">
        <f t="shared" ref="AA566" si="1367">+AA565/AA535/24</f>
        <v>7.6910919540229878</v>
      </c>
      <c r="AB566" s="91">
        <f>+AB565/AB535/24</f>
        <v>7.3249129353233826</v>
      </c>
      <c r="AC566" s="2760">
        <f t="shared" ref="AC566" si="1368">+AC565/AC535/24</f>
        <v>7.5279569892473122</v>
      </c>
      <c r="AD566" s="828">
        <f t="shared" ref="AD566:AF566" si="1369">+AD565/AD535/24</f>
        <v>8.1062271062271058</v>
      </c>
      <c r="AE566" s="852">
        <f t="shared" si="1369"/>
        <v>7.6059653916211296</v>
      </c>
      <c r="AF566" s="2605">
        <f t="shared" si="1369"/>
        <v>7.3421106557377049</v>
      </c>
    </row>
    <row r="567" spans="3:38" s="3170" customFormat="1" ht="35" customHeight="1" x14ac:dyDescent="0.25">
      <c r="C567" s="4215"/>
      <c r="D567" s="8463"/>
      <c r="E567" s="4244" t="s">
        <v>192</v>
      </c>
      <c r="F567" s="4245"/>
      <c r="G567" s="4245"/>
      <c r="H567" s="3773"/>
      <c r="I567" s="4245"/>
      <c r="J567" s="3773"/>
      <c r="K567" s="4245"/>
      <c r="L567" s="3773"/>
      <c r="M567" s="4245"/>
      <c r="N567" s="3773"/>
      <c r="O567" s="4245"/>
      <c r="P567" s="3773"/>
      <c r="Q567" s="3773"/>
      <c r="R567" s="4245"/>
      <c r="S567" s="3773"/>
      <c r="T567" s="4245"/>
      <c r="U567" s="3773"/>
      <c r="V567" s="4245"/>
      <c r="W567" s="3773"/>
      <c r="X567" s="3773"/>
      <c r="Y567" s="4245"/>
      <c r="Z567" s="3773"/>
      <c r="AA567" s="4245"/>
      <c r="AB567" s="3773"/>
      <c r="AC567" s="4245"/>
      <c r="AD567" s="3773"/>
      <c r="AE567" s="3773"/>
      <c r="AF567" s="3773"/>
      <c r="AG567" s="4756"/>
      <c r="AH567" s="4756"/>
      <c r="AI567" s="4756"/>
      <c r="AJ567" s="4756"/>
      <c r="AK567" s="4756"/>
      <c r="AL567" s="4756"/>
    </row>
    <row r="568" spans="3:38" ht="35" customHeight="1" x14ac:dyDescent="0.25">
      <c r="C568" s="338"/>
      <c r="D568" s="8463"/>
      <c r="E568" s="2758" t="s">
        <v>215</v>
      </c>
      <c r="F568" s="3319">
        <v>3472</v>
      </c>
      <c r="G568" s="3319">
        <v>3592</v>
      </c>
      <c r="H568" s="2280">
        <f>SUM(F568:G568)</f>
        <v>7064</v>
      </c>
      <c r="I568" s="3319">
        <v>3896</v>
      </c>
      <c r="J568" s="304">
        <f>SUM(H568:I568)</f>
        <v>10960</v>
      </c>
      <c r="K568" s="3319"/>
      <c r="L568" s="501">
        <f>SUM(J568:K568)</f>
        <v>10960</v>
      </c>
      <c r="M568" s="3319">
        <v>5632</v>
      </c>
      <c r="N568" s="84">
        <f>SUM(L568:M568)</f>
        <v>16592</v>
      </c>
      <c r="O568" s="3319">
        <v>4180</v>
      </c>
      <c r="P568" s="79">
        <f>+K568+M568+O568</f>
        <v>9812</v>
      </c>
      <c r="Q568" s="2127">
        <f>+J568+P568</f>
        <v>20772</v>
      </c>
      <c r="R568" s="3319">
        <v>4760</v>
      </c>
      <c r="S568" s="46">
        <f>SUM(Q568:R568)</f>
        <v>25532</v>
      </c>
      <c r="T568" s="3319">
        <v>4860</v>
      </c>
      <c r="U568" s="46">
        <f>SUM(S568:T568)</f>
        <v>30392</v>
      </c>
      <c r="V568" s="3319">
        <v>5748</v>
      </c>
      <c r="W568" s="79">
        <f>+V568+T568+R568</f>
        <v>15368</v>
      </c>
      <c r="X568" s="46">
        <f>+V568+U568</f>
        <v>36140</v>
      </c>
      <c r="Y568" s="3319">
        <v>5576</v>
      </c>
      <c r="Z568" s="46">
        <f>SUM(X568:Y568)</f>
        <v>41716</v>
      </c>
      <c r="AA568" s="3319">
        <v>5312</v>
      </c>
      <c r="AB568" s="86">
        <f>SUM(Z568:AA568)</f>
        <v>47028</v>
      </c>
      <c r="AC568" s="3319">
        <v>4988</v>
      </c>
      <c r="AD568" s="721">
        <f t="shared" ref="AD568" si="1370">+Y568+AA568+AC568</f>
        <v>15876</v>
      </c>
      <c r="AE568" s="990">
        <f t="shared" ref="AE568" si="1371">+W568+AD568</f>
        <v>31244</v>
      </c>
      <c r="AF568" s="723">
        <f>+AB568+AC568</f>
        <v>52016</v>
      </c>
    </row>
    <row r="569" spans="3:38" ht="35" customHeight="1" x14ac:dyDescent="0.25">
      <c r="C569" s="338"/>
      <c r="D569" s="8463"/>
      <c r="E569" s="2758" t="s">
        <v>216</v>
      </c>
      <c r="F569" s="2760">
        <f t="shared" ref="F569:G569" si="1372">+F568/F535/24</f>
        <v>4.822222222222222</v>
      </c>
      <c r="G569" s="2760">
        <f t="shared" si="1372"/>
        <v>4.827956989247312</v>
      </c>
      <c r="H569" s="355">
        <f t="shared" ref="H569:W569" si="1373">+H568/H535/24</f>
        <v>4.8251366120218577</v>
      </c>
      <c r="I569" s="2760">
        <f t="shared" si="1373"/>
        <v>5.4111111111111114</v>
      </c>
      <c r="J569" s="245">
        <f t="shared" si="1373"/>
        <v>5.0183150183150182</v>
      </c>
      <c r="K569" s="2760">
        <f t="shared" si="1373"/>
        <v>0</v>
      </c>
      <c r="L569" s="355">
        <f t="shared" si="1373"/>
        <v>3.7431693989071042</v>
      </c>
      <c r="M569" s="2760">
        <f t="shared" ref="M569:O569" si="1374">+M568/M535/24</f>
        <v>7.56989247311828</v>
      </c>
      <c r="N569" s="355">
        <f t="shared" si="1373"/>
        <v>4.5185185185185182</v>
      </c>
      <c r="O569" s="2760">
        <f t="shared" si="1374"/>
        <v>5.8055555555555562</v>
      </c>
      <c r="P569" s="2225">
        <f t="shared" si="1373"/>
        <v>4.4438405797101455</v>
      </c>
      <c r="Q569" s="2137">
        <f t="shared" si="1373"/>
        <v>4.7295081967213113</v>
      </c>
      <c r="R569" s="2760">
        <f t="shared" si="1373"/>
        <v>6.3978494623655919</v>
      </c>
      <c r="S569" s="355">
        <f t="shared" si="1373"/>
        <v>4.9711838006230531</v>
      </c>
      <c r="T569" s="2760">
        <f t="shared" si="1373"/>
        <v>6.75</v>
      </c>
      <c r="U569" s="355">
        <f t="shared" ref="U569:V569" si="1375">+U568/U535/24</f>
        <v>5.1898907103825138</v>
      </c>
      <c r="V569" s="2760">
        <f t="shared" si="1375"/>
        <v>7.725806451612903</v>
      </c>
      <c r="W569" s="2225">
        <f t="shared" si="1373"/>
        <v>6.9601449275362315</v>
      </c>
      <c r="X569" s="355">
        <f t="shared" ref="X569:AB569" si="1376">+X568/X535/24</f>
        <v>5.4757575757575756</v>
      </c>
      <c r="Y569" s="2760">
        <f t="shared" si="1376"/>
        <v>7.4946236559139789</v>
      </c>
      <c r="Z569" s="355">
        <f t="shared" si="1376"/>
        <v>5.6802832244008714</v>
      </c>
      <c r="AA569" s="2760">
        <f t="shared" ref="AA569" si="1377">+AA568/AA535/24</f>
        <v>7.6321839080459775</v>
      </c>
      <c r="AB569" s="246">
        <f t="shared" si="1376"/>
        <v>5.8492537313432829</v>
      </c>
      <c r="AC569" s="2760">
        <f t="shared" ref="AC569" si="1378">+AC568/AC535/24</f>
        <v>6.704301075268817</v>
      </c>
      <c r="AD569" s="828">
        <f>+AD568/AD535/24</f>
        <v>7.2692307692307692</v>
      </c>
      <c r="AE569" s="852">
        <f>+AE568/AE535/24</f>
        <v>7.1138433515482697</v>
      </c>
      <c r="AF569" s="2605">
        <f t="shared" ref="AF569" si="1379">+AF568/AF535/24</f>
        <v>5.9216757741347905</v>
      </c>
    </row>
    <row r="570" spans="3:38" s="3170" customFormat="1" ht="35" customHeight="1" x14ac:dyDescent="0.25">
      <c r="C570" s="4215"/>
      <c r="D570" s="8463"/>
      <c r="E570" s="4244" t="s">
        <v>272</v>
      </c>
      <c r="F570" s="4245"/>
      <c r="G570" s="4245"/>
      <c r="H570" s="3773"/>
      <c r="I570" s="4245"/>
      <c r="J570" s="3773"/>
      <c r="K570" s="4245"/>
      <c r="L570" s="3691"/>
      <c r="M570" s="4245"/>
      <c r="N570" s="3691"/>
      <c r="O570" s="4245"/>
      <c r="P570" s="4249"/>
      <c r="Q570" s="3773"/>
      <c r="R570" s="4245"/>
      <c r="S570" s="3773"/>
      <c r="T570" s="4245"/>
      <c r="U570" s="3773"/>
      <c r="V570" s="4245"/>
      <c r="W570" s="3773"/>
      <c r="X570" s="3773"/>
      <c r="Y570" s="4245"/>
      <c r="Z570" s="3773"/>
      <c r="AA570" s="4245"/>
      <c r="AB570" s="3773"/>
      <c r="AC570" s="4245"/>
      <c r="AD570" s="3618"/>
      <c r="AE570" s="3618"/>
      <c r="AF570" s="3618"/>
      <c r="AG570" s="4756"/>
      <c r="AH570" s="4756"/>
      <c r="AI570" s="4756"/>
      <c r="AJ570" s="4756"/>
      <c r="AK570" s="4756"/>
      <c r="AL570" s="4756"/>
    </row>
    <row r="571" spans="3:38" ht="35" customHeight="1" x14ac:dyDescent="0.25">
      <c r="C571" s="338"/>
      <c r="D571" s="8463"/>
      <c r="E571" s="2758" t="s">
        <v>215</v>
      </c>
      <c r="F571" s="3319">
        <v>1080</v>
      </c>
      <c r="G571" s="3319">
        <v>1116</v>
      </c>
      <c r="H571" s="2280">
        <f>SUM(F571:G571)</f>
        <v>2196</v>
      </c>
      <c r="I571" s="3319">
        <v>1080</v>
      </c>
      <c r="J571" s="304">
        <f>SUM(H571:I571)</f>
        <v>3276</v>
      </c>
      <c r="K571" s="3319"/>
      <c r="L571" s="501">
        <f>SUM(J571:K571)</f>
        <v>3276</v>
      </c>
      <c r="M571" s="3319">
        <v>1116</v>
      </c>
      <c r="N571" s="84">
        <f>SUM(L571:M571)</f>
        <v>4392</v>
      </c>
      <c r="O571" s="3319">
        <v>1080</v>
      </c>
      <c r="P571" s="79">
        <f>+K571+M571+O571</f>
        <v>2196</v>
      </c>
      <c r="Q571" s="85">
        <f>+J571+P571</f>
        <v>5472</v>
      </c>
      <c r="R571" s="3319">
        <v>1116</v>
      </c>
      <c r="S571" s="86">
        <f>SUM(Q571:R571)</f>
        <v>6588</v>
      </c>
      <c r="T571" s="3319">
        <v>1080</v>
      </c>
      <c r="U571" s="86">
        <f>SUM(S571:T571)</f>
        <v>7668</v>
      </c>
      <c r="V571" s="3319">
        <v>1116</v>
      </c>
      <c r="W571" s="87">
        <f>+R571+T571+V571</f>
        <v>3312</v>
      </c>
      <c r="X571" s="86">
        <f>+U571+V571</f>
        <v>8784</v>
      </c>
      <c r="Y571" s="3319">
        <v>1116</v>
      </c>
      <c r="Z571" s="86">
        <f>SUM(X571:Y571)</f>
        <v>9900</v>
      </c>
      <c r="AA571" s="3319">
        <v>1044</v>
      </c>
      <c r="AB571" s="86">
        <f>SUM(Z571:AA571)</f>
        <v>10944</v>
      </c>
      <c r="AC571" s="3319">
        <v>1116</v>
      </c>
      <c r="AD571" s="721">
        <f t="shared" ref="AD571" si="1380">+Y571+AA571+AC571</f>
        <v>3276</v>
      </c>
      <c r="AE571" s="990">
        <f t="shared" ref="AE571" si="1381">+W571+AD571</f>
        <v>6588</v>
      </c>
      <c r="AF571" s="723">
        <f>+AB571+AC571</f>
        <v>12060</v>
      </c>
    </row>
    <row r="572" spans="3:38" ht="35" customHeight="1" x14ac:dyDescent="0.25">
      <c r="C572" s="338"/>
      <c r="D572" s="8463"/>
      <c r="E572" s="2758" t="s">
        <v>216</v>
      </c>
      <c r="F572" s="2779">
        <f t="shared" ref="F572:G572" si="1382">+F571/F535/24</f>
        <v>1.5</v>
      </c>
      <c r="G572" s="2779">
        <f t="shared" si="1382"/>
        <v>1.5</v>
      </c>
      <c r="H572" s="355">
        <f t="shared" ref="H572:U572" si="1383">+H571/H535/24</f>
        <v>1.5</v>
      </c>
      <c r="I572" s="2779">
        <f t="shared" si="1383"/>
        <v>1.5</v>
      </c>
      <c r="J572" s="245">
        <f t="shared" si="1383"/>
        <v>1.5</v>
      </c>
      <c r="K572" s="2779">
        <f t="shared" si="1383"/>
        <v>0</v>
      </c>
      <c r="L572" s="246">
        <f t="shared" si="1383"/>
        <v>1.1188524590163935</v>
      </c>
      <c r="M572" s="2779">
        <f t="shared" ref="M572:O572" si="1384">+M571/M535/24</f>
        <v>1.5</v>
      </c>
      <c r="N572" s="246">
        <f t="shared" si="1383"/>
        <v>1.196078431372549</v>
      </c>
      <c r="O572" s="2779">
        <f t="shared" si="1384"/>
        <v>1.5</v>
      </c>
      <c r="P572" s="245">
        <f t="shared" si="1383"/>
        <v>0.99456521739130432</v>
      </c>
      <c r="Q572" s="240">
        <f t="shared" si="1383"/>
        <v>1.2459016393442623</v>
      </c>
      <c r="R572" s="2779">
        <f t="shared" si="1383"/>
        <v>1.5</v>
      </c>
      <c r="S572" s="246">
        <f t="shared" si="1383"/>
        <v>1.2827102803738317</v>
      </c>
      <c r="T572" s="2779">
        <f t="shared" si="1383"/>
        <v>1.5</v>
      </c>
      <c r="U572" s="246">
        <f t="shared" si="1383"/>
        <v>1.3094262295081966</v>
      </c>
      <c r="V572" s="2779">
        <f t="shared" ref="V572" si="1385">+V571/V535/24</f>
        <v>1.5</v>
      </c>
      <c r="W572" s="69">
        <f>+W571/W535/24</f>
        <v>1.5</v>
      </c>
      <c r="X572" s="91">
        <f>+X571/X535/24</f>
        <v>1.3309090909090908</v>
      </c>
      <c r="Y572" s="2779">
        <f t="shared" ref="Y572" si="1386">+Y571/Y535/24</f>
        <v>1.5</v>
      </c>
      <c r="Z572" s="246">
        <f>+Z571/Z535/24</f>
        <v>1.3480392156862744</v>
      </c>
      <c r="AA572" s="2779">
        <f t="shared" ref="AA572" si="1387">+AA571/AA535/24</f>
        <v>1.5</v>
      </c>
      <c r="AB572" s="91">
        <f>+AB571/AB535/24</f>
        <v>1.3611940298507463</v>
      </c>
      <c r="AC572" s="2779">
        <f t="shared" ref="AC572" si="1388">+AC571/AC535/24</f>
        <v>1.5</v>
      </c>
      <c r="AD572" s="744">
        <f>+AD571/AD535/24</f>
        <v>1.5</v>
      </c>
      <c r="AE572" s="859">
        <f>+AE571/AE535/24</f>
        <v>1.5</v>
      </c>
      <c r="AF572" s="2669">
        <f>+AF571/AF535/24</f>
        <v>1.3729508196721312</v>
      </c>
    </row>
    <row r="573" spans="3:38" s="3170" customFormat="1" ht="35" customHeight="1" x14ac:dyDescent="0.25">
      <c r="C573" s="4215"/>
      <c r="D573" s="8463"/>
      <c r="E573" s="4247" t="s">
        <v>270</v>
      </c>
      <c r="F573" s="4248"/>
      <c r="G573" s="4248"/>
      <c r="H573" s="3773"/>
      <c r="I573" s="4248"/>
      <c r="J573" s="3773"/>
      <c r="K573" s="4248"/>
      <c r="L573" s="3773"/>
      <c r="M573" s="4248"/>
      <c r="N573" s="3773"/>
      <c r="O573" s="4248"/>
      <c r="P573" s="3773"/>
      <c r="Q573" s="3773"/>
      <c r="R573" s="4248"/>
      <c r="S573" s="3685"/>
      <c r="T573" s="4248"/>
      <c r="U573" s="3685"/>
      <c r="V573" s="4248"/>
      <c r="W573" s="3685"/>
      <c r="X573" s="3685"/>
      <c r="Y573" s="4248"/>
      <c r="Z573" s="3685"/>
      <c r="AA573" s="4248"/>
      <c r="AB573" s="3685"/>
      <c r="AC573" s="4248"/>
      <c r="AD573" s="4246"/>
      <c r="AE573" s="4246"/>
      <c r="AF573" s="4246"/>
      <c r="AG573" s="4756"/>
      <c r="AH573" s="4756"/>
      <c r="AI573" s="4756"/>
      <c r="AJ573" s="4756"/>
      <c r="AK573" s="4756"/>
      <c r="AL573" s="4756"/>
    </row>
    <row r="574" spans="3:38" ht="35" customHeight="1" x14ac:dyDescent="0.25">
      <c r="C574" s="338"/>
      <c r="D574" s="8463"/>
      <c r="E574" s="2758" t="s">
        <v>215</v>
      </c>
      <c r="F574" s="3319">
        <v>1989.72</v>
      </c>
      <c r="G574" s="3319">
        <v>1956.8</v>
      </c>
      <c r="H574" s="2280">
        <f>SUM(F574:G574)</f>
        <v>3946.52</v>
      </c>
      <c r="I574" s="3319">
        <v>2931.2</v>
      </c>
      <c r="J574" s="304">
        <f>SUM(H574:I574)</f>
        <v>6877.7199999999993</v>
      </c>
      <c r="K574" s="3319"/>
      <c r="L574" s="501">
        <f>SUM(J574:K574)</f>
        <v>6877.7199999999993</v>
      </c>
      <c r="M574" s="3319">
        <v>2703</v>
      </c>
      <c r="N574" s="84">
        <f>SUM(L574:M574)</f>
        <v>9580.7199999999993</v>
      </c>
      <c r="O574" s="3319">
        <v>2579</v>
      </c>
      <c r="P574" s="79">
        <f>+K574+M574+O574</f>
        <v>5282</v>
      </c>
      <c r="Q574" s="85">
        <f>+J574+P574</f>
        <v>12159.72</v>
      </c>
      <c r="R574" s="3319">
        <v>3580</v>
      </c>
      <c r="S574" s="86">
        <f>SUM(Q574:R574)</f>
        <v>15739.72</v>
      </c>
      <c r="T574" s="3319">
        <v>3986</v>
      </c>
      <c r="U574" s="86">
        <f>SUM(S574:T574)</f>
        <v>19725.72</v>
      </c>
      <c r="V574" s="3319">
        <v>3746.8</v>
      </c>
      <c r="W574" s="74">
        <f>+V574+T574+R574</f>
        <v>11312.8</v>
      </c>
      <c r="X574" s="46">
        <f>+V574+U574</f>
        <v>23472.52</v>
      </c>
      <c r="Y574" s="3319">
        <v>4391</v>
      </c>
      <c r="Z574" s="86">
        <f>SUM(X574:Y574)</f>
        <v>27863.52</v>
      </c>
      <c r="AA574" s="3319">
        <v>2646</v>
      </c>
      <c r="AB574" s="86">
        <f>SUM(Z574:AA574)</f>
        <v>30509.52</v>
      </c>
      <c r="AC574" s="3319">
        <v>2525</v>
      </c>
      <c r="AD574" s="721">
        <f t="shared" ref="AD574" si="1389">+Y574+AA574+AC574</f>
        <v>9562</v>
      </c>
      <c r="AE574" s="990">
        <f t="shared" ref="AE574" si="1390">+W574+AD574</f>
        <v>20874.8</v>
      </c>
      <c r="AF574" s="723">
        <f>+AB574+AC574</f>
        <v>33034.520000000004</v>
      </c>
    </row>
    <row r="575" spans="3:38" ht="35" customHeight="1" x14ac:dyDescent="0.25">
      <c r="C575" s="338"/>
      <c r="D575" s="8463"/>
      <c r="E575" s="2758" t="s">
        <v>216</v>
      </c>
      <c r="F575" s="2760">
        <f t="shared" ref="F575:G575" si="1391">+F574/F535/24</f>
        <v>2.7635000000000001</v>
      </c>
      <c r="G575" s="2760">
        <f t="shared" si="1391"/>
        <v>2.6301075268817202</v>
      </c>
      <c r="H575" s="355">
        <f t="shared" ref="H575:T575" si="1392">+H574/H535/24</f>
        <v>2.6957103825136612</v>
      </c>
      <c r="I575" s="2760">
        <f t="shared" si="1392"/>
        <v>4.0711111111111107</v>
      </c>
      <c r="J575" s="245">
        <f t="shared" si="1392"/>
        <v>3.149139194139194</v>
      </c>
      <c r="K575" s="2760">
        <f t="shared" si="1392"/>
        <v>0</v>
      </c>
      <c r="L575" s="246">
        <f t="shared" si="1392"/>
        <v>2.3489480874316935</v>
      </c>
      <c r="M575" s="2760">
        <f t="shared" ref="M575:O575" si="1393">+M574/M535/24</f>
        <v>3.633064516129032</v>
      </c>
      <c r="N575" s="246">
        <f t="shared" si="1392"/>
        <v>2.6091285403050106</v>
      </c>
      <c r="O575" s="2760">
        <f t="shared" si="1393"/>
        <v>3.5819444444444444</v>
      </c>
      <c r="P575" s="245">
        <f t="shared" si="1392"/>
        <v>2.3922101449275361</v>
      </c>
      <c r="Q575" s="240">
        <f t="shared" si="1392"/>
        <v>2.7686065573770491</v>
      </c>
      <c r="R575" s="2760">
        <f t="shared" si="1392"/>
        <v>4.811827956989247</v>
      </c>
      <c r="S575" s="246">
        <f t="shared" si="1392"/>
        <v>3.06458722741433</v>
      </c>
      <c r="T575" s="2760">
        <f t="shared" si="1392"/>
        <v>5.5361111111111114</v>
      </c>
      <c r="U575" s="246">
        <f t="shared" ref="U575:V575" si="1394">+U574/U535/24</f>
        <v>3.3684631147540984</v>
      </c>
      <c r="V575" s="2760">
        <f t="shared" si="1394"/>
        <v>5.0360215053763442</v>
      </c>
      <c r="W575" s="69">
        <f>+W574/W535/24</f>
        <v>5.1235507246376804</v>
      </c>
      <c r="X575" s="156">
        <f>+X574/X535/24</f>
        <v>3.5564424242424244</v>
      </c>
      <c r="Y575" s="2760">
        <f t="shared" ref="Y575" si="1395">+Y574/Y535/24</f>
        <v>5.9018817204301079</v>
      </c>
      <c r="Z575" s="246">
        <f>+Z574/Z535/24</f>
        <v>3.7940522875816995</v>
      </c>
      <c r="AA575" s="2760">
        <f t="shared" ref="AA575" si="1396">+AA574/AA535/24</f>
        <v>3.8017241379310343</v>
      </c>
      <c r="AB575" s="156">
        <f>+AB574/AB535/24</f>
        <v>3.7947164179104482</v>
      </c>
      <c r="AC575" s="2760">
        <f t="shared" ref="AC575" si="1397">+AC574/AC535/24</f>
        <v>3.3938172043010755</v>
      </c>
      <c r="AD575" s="744">
        <f>+AD574/AD535/24</f>
        <v>4.3782051282051286</v>
      </c>
      <c r="AE575" s="859">
        <f>+AE574/AE535/24</f>
        <v>4.7529143897996358</v>
      </c>
      <c r="AF575" s="2669">
        <f>+AF574/AF535/24</f>
        <v>3.7607604735883431</v>
      </c>
    </row>
    <row r="576" spans="3:38" s="3170" customFormat="1" ht="35" customHeight="1" x14ac:dyDescent="0.25">
      <c r="C576" s="4215"/>
      <c r="D576" s="8463"/>
      <c r="E576" s="4244" t="s">
        <v>1384</v>
      </c>
      <c r="F576" s="4245"/>
      <c r="G576" s="4245"/>
      <c r="H576" s="3773"/>
      <c r="I576" s="4245"/>
      <c r="J576" s="3773"/>
      <c r="K576" s="4245"/>
      <c r="L576" s="3773"/>
      <c r="M576" s="4245"/>
      <c r="N576" s="3773"/>
      <c r="O576" s="4245"/>
      <c r="P576" s="3773"/>
      <c r="Q576" s="3773"/>
      <c r="R576" s="4245"/>
      <c r="S576" s="3773"/>
      <c r="T576" s="4245"/>
      <c r="U576" s="3773"/>
      <c r="V576" s="4245"/>
      <c r="W576" s="3773"/>
      <c r="X576" s="3773"/>
      <c r="Y576" s="4245"/>
      <c r="Z576" s="3773"/>
      <c r="AA576" s="4245"/>
      <c r="AB576" s="3773"/>
      <c r="AC576" s="4245"/>
      <c r="AD576" s="3619"/>
      <c r="AE576" s="3619"/>
      <c r="AF576" s="3619"/>
      <c r="AG576" s="4756"/>
      <c r="AH576" s="4756"/>
      <c r="AI576" s="4756"/>
      <c r="AJ576" s="4756"/>
      <c r="AK576" s="4756"/>
      <c r="AL576" s="4756"/>
    </row>
    <row r="577" spans="3:38" ht="35" customHeight="1" x14ac:dyDescent="0.25">
      <c r="C577" s="338"/>
      <c r="D577" s="8463"/>
      <c r="E577" s="2758" t="s">
        <v>215</v>
      </c>
      <c r="F577" s="3319">
        <v>9819.9599999999991</v>
      </c>
      <c r="G577" s="3319">
        <v>9828.4</v>
      </c>
      <c r="H577" s="2280">
        <f>SUM(F577:G577)</f>
        <v>19648.36</v>
      </c>
      <c r="I577" s="3319">
        <v>9105.36</v>
      </c>
      <c r="J577" s="304">
        <f>SUM(H577:I577)</f>
        <v>28753.72</v>
      </c>
      <c r="K577" s="3319"/>
      <c r="L577" s="475">
        <f>SUM(J577:K577)</f>
        <v>28753.72</v>
      </c>
      <c r="M577" s="3319">
        <v>9250</v>
      </c>
      <c r="N577" s="84">
        <f>SUM(L577:M577)</f>
        <v>38003.72</v>
      </c>
      <c r="O577" s="3319">
        <v>9079</v>
      </c>
      <c r="P577" s="79">
        <f>+K577+M577+O577</f>
        <v>18329</v>
      </c>
      <c r="Q577" s="85">
        <f>+J577+P577</f>
        <v>47082.720000000001</v>
      </c>
      <c r="R577" s="3319">
        <v>9660</v>
      </c>
      <c r="S577" s="86">
        <f>SUM(Q577:R577)</f>
        <v>56742.720000000001</v>
      </c>
      <c r="T577" s="3319">
        <v>9288</v>
      </c>
      <c r="U577" s="86">
        <f>SUM(S577:T577)</f>
        <v>66030.720000000001</v>
      </c>
      <c r="V577" s="3319">
        <v>9495.6</v>
      </c>
      <c r="W577" s="74">
        <f>+V577+T577+R577</f>
        <v>28443.599999999999</v>
      </c>
      <c r="X577" s="86">
        <f>+V577+U577</f>
        <v>75526.320000000007</v>
      </c>
      <c r="Y577" s="3319">
        <v>9788.9599999999991</v>
      </c>
      <c r="Z577" s="86">
        <f>SUM(X577:Y577)</f>
        <v>85315.28</v>
      </c>
      <c r="AA577" s="3319">
        <v>9419</v>
      </c>
      <c r="AB577" s="86">
        <f>SUM(Z577:AA577)</f>
        <v>94734.28</v>
      </c>
      <c r="AC577" s="3319">
        <v>10535</v>
      </c>
      <c r="AD577" s="721">
        <f t="shared" ref="AD577" si="1398">+Y577+AA577+AC577</f>
        <v>29742.959999999999</v>
      </c>
      <c r="AE577" s="990">
        <f t="shared" ref="AE577" si="1399">+W577+AD577</f>
        <v>58186.559999999998</v>
      </c>
      <c r="AF577" s="723">
        <f>+AB577+AC577</f>
        <v>105269.28</v>
      </c>
    </row>
    <row r="578" spans="3:38" ht="35" customHeight="1" x14ac:dyDescent="0.25">
      <c r="C578" s="338"/>
      <c r="D578" s="8463"/>
      <c r="E578" s="2758" t="s">
        <v>216</v>
      </c>
      <c r="F578" s="2760">
        <f t="shared" ref="F578:G578" si="1400">+F577/F535/24</f>
        <v>13.638833333333332</v>
      </c>
      <c r="G578" s="2760">
        <f t="shared" si="1400"/>
        <v>13.210215053763442</v>
      </c>
      <c r="H578" s="355">
        <f t="shared" ref="H578:T578" si="1401">+H577/H535/24</f>
        <v>13.421010928961749</v>
      </c>
      <c r="I578" s="2760">
        <f t="shared" si="1401"/>
        <v>12.646333333333333</v>
      </c>
      <c r="J578" s="245">
        <f t="shared" si="1401"/>
        <v>13.165622710622712</v>
      </c>
      <c r="K578" s="2760">
        <f t="shared" si="1401"/>
        <v>0</v>
      </c>
      <c r="L578" s="246">
        <f t="shared" si="1401"/>
        <v>9.8202595628415299</v>
      </c>
      <c r="M578" s="2760">
        <f t="shared" ref="M578:O578" si="1402">+M577/M535/24</f>
        <v>12.43279569892473</v>
      </c>
      <c r="N578" s="246">
        <f t="shared" si="1401"/>
        <v>10.349596949891067</v>
      </c>
      <c r="O578" s="2760">
        <f t="shared" si="1402"/>
        <v>12.609722222222222</v>
      </c>
      <c r="P578" s="245">
        <f t="shared" si="1401"/>
        <v>8.3011775362318847</v>
      </c>
      <c r="Q578" s="240">
        <f t="shared" si="1401"/>
        <v>10.720109289617488</v>
      </c>
      <c r="R578" s="2760">
        <f t="shared" si="1401"/>
        <v>12.983870967741936</v>
      </c>
      <c r="S578" s="246">
        <f t="shared" si="1401"/>
        <v>11.04803738317757</v>
      </c>
      <c r="T578" s="2760">
        <f t="shared" si="1401"/>
        <v>12.9</v>
      </c>
      <c r="U578" s="246">
        <f t="shared" ref="U578:V578" si="1403">+U577/U535/24</f>
        <v>11.275737704918035</v>
      </c>
      <c r="V578" s="2760">
        <f t="shared" si="1403"/>
        <v>12.762903225806452</v>
      </c>
      <c r="W578" s="69">
        <f>+W577/W535/24</f>
        <v>12.882065217391302</v>
      </c>
      <c r="X578" s="91">
        <f>+X577/X535/24</f>
        <v>11.44338181818182</v>
      </c>
      <c r="Y578" s="2760">
        <f t="shared" ref="Y578" si="1404">+Y577/Y535/24</f>
        <v>13.157204301075268</v>
      </c>
      <c r="Z578" s="246">
        <f>+Z577/Z535/24</f>
        <v>11.617004357298475</v>
      </c>
      <c r="AA578" s="2760">
        <f t="shared" ref="AA578" si="1405">+AA577/AA535/24</f>
        <v>13.533045977011495</v>
      </c>
      <c r="AB578" s="91">
        <f>+AB577/AB535/24</f>
        <v>11.782870646766169</v>
      </c>
      <c r="AC578" s="2760">
        <f t="shared" ref="AC578" si="1406">+AC577/AC535/24</f>
        <v>14.159946236559138</v>
      </c>
      <c r="AD578" s="1348">
        <f t="shared" ref="AD578:AF578" si="1407">+AD577/AD535/24</f>
        <v>13.618571428571428</v>
      </c>
      <c r="AE578" s="1349">
        <f t="shared" si="1407"/>
        <v>13.248306010928962</v>
      </c>
      <c r="AF578" s="2669">
        <f t="shared" si="1407"/>
        <v>11.984207650273225</v>
      </c>
    </row>
    <row r="579" spans="3:38" s="3170" customFormat="1" ht="35" customHeight="1" x14ac:dyDescent="0.25">
      <c r="C579" s="4215"/>
      <c r="D579" s="8463"/>
      <c r="E579" s="4244" t="s">
        <v>283</v>
      </c>
      <c r="F579" s="4245"/>
      <c r="G579" s="4245"/>
      <c r="H579" s="3773"/>
      <c r="I579" s="4245"/>
      <c r="J579" s="3773"/>
      <c r="K579" s="4245"/>
      <c r="L579" s="3773"/>
      <c r="M579" s="4245"/>
      <c r="N579" s="3773"/>
      <c r="O579" s="4245"/>
      <c r="P579" s="3773"/>
      <c r="Q579" s="3773"/>
      <c r="R579" s="4245"/>
      <c r="S579" s="3685"/>
      <c r="T579" s="4245"/>
      <c r="U579" s="3685"/>
      <c r="V579" s="4245"/>
      <c r="W579" s="3685"/>
      <c r="X579" s="3685"/>
      <c r="Y579" s="4245"/>
      <c r="Z579" s="3685"/>
      <c r="AA579" s="4245"/>
      <c r="AB579" s="3685"/>
      <c r="AC579" s="4245"/>
      <c r="AD579" s="4246"/>
      <c r="AE579" s="4246"/>
      <c r="AF579" s="4246"/>
      <c r="AG579" s="4756"/>
      <c r="AH579" s="4756"/>
      <c r="AI579" s="4756"/>
      <c r="AJ579" s="4756"/>
      <c r="AK579" s="4756"/>
      <c r="AL579" s="4756"/>
    </row>
    <row r="580" spans="3:38" ht="35" customHeight="1" x14ac:dyDescent="0.25">
      <c r="C580" s="338"/>
      <c r="D580" s="8463"/>
      <c r="E580" s="2758" t="s">
        <v>215</v>
      </c>
      <c r="F580" s="3319">
        <v>50268.6</v>
      </c>
      <c r="G580" s="3319">
        <v>54524.92</v>
      </c>
      <c r="H580" s="2280">
        <f>SUM(F580:G580)</f>
        <v>104793.51999999999</v>
      </c>
      <c r="I580" s="3319">
        <v>60807.08</v>
      </c>
      <c r="J580" s="304">
        <f>SUM(H580:I580)</f>
        <v>165600.59999999998</v>
      </c>
      <c r="K580" s="3319"/>
      <c r="L580" s="475">
        <f>SUM(J580:K580)</f>
        <v>165600.59999999998</v>
      </c>
      <c r="M580" s="3319">
        <v>83420</v>
      </c>
      <c r="N580" s="84">
        <f>SUM(L580:M580)</f>
        <v>249020.59999999998</v>
      </c>
      <c r="O580" s="3319">
        <v>62468</v>
      </c>
      <c r="P580" s="79">
        <f>+K580+M580+O580</f>
        <v>145888</v>
      </c>
      <c r="Q580" s="85">
        <f>+J580+P580</f>
        <v>311488.59999999998</v>
      </c>
      <c r="R580" s="3319">
        <v>63775</v>
      </c>
      <c r="S580" s="86">
        <f>SUM(Q580:R580)</f>
        <v>375263.6</v>
      </c>
      <c r="T580" s="3319">
        <v>68008</v>
      </c>
      <c r="U580" s="86">
        <f>SUM(S580:T580)</f>
        <v>443271.6</v>
      </c>
      <c r="V580" s="3319">
        <v>76599.8</v>
      </c>
      <c r="W580" s="74">
        <f>+V580+T580+R580</f>
        <v>208382.8</v>
      </c>
      <c r="X580" s="86">
        <f>+V580+U580</f>
        <v>519871.39999999997</v>
      </c>
      <c r="Y580" s="3319">
        <v>73004.800000000003</v>
      </c>
      <c r="Z580" s="86">
        <f>SUM(X580:Y580)</f>
        <v>592876.19999999995</v>
      </c>
      <c r="AA580" s="3319">
        <v>71956</v>
      </c>
      <c r="AB580" s="86">
        <f>SUM(Z580:AA580)</f>
        <v>664832.19999999995</v>
      </c>
      <c r="AC580" s="3319">
        <v>71306.399999999994</v>
      </c>
      <c r="AD580" s="721">
        <f t="shared" ref="AD580" si="1408">+Y580+AA580+AC580</f>
        <v>216267.19999999998</v>
      </c>
      <c r="AE580" s="990">
        <f t="shared" ref="AE580" si="1409">+W580+AD580</f>
        <v>424650</v>
      </c>
      <c r="AF580" s="723">
        <f>+AB580+AC580</f>
        <v>736138.6</v>
      </c>
    </row>
    <row r="581" spans="3:38" ht="35" customHeight="1" x14ac:dyDescent="0.25">
      <c r="C581" s="338"/>
      <c r="D581" s="8463"/>
      <c r="E581" s="2758" t="s">
        <v>216</v>
      </c>
      <c r="F581" s="2760">
        <f t="shared" ref="F581:G581" si="1410">+F580/F535/24</f>
        <v>69.817499999999995</v>
      </c>
      <c r="G581" s="2760">
        <f t="shared" si="1410"/>
        <v>73.28618279569892</v>
      </c>
      <c r="H581" s="355">
        <f t="shared" ref="H581:R581" si="1411">+H580/H535/24</f>
        <v>71.580273224043708</v>
      </c>
      <c r="I581" s="2760">
        <f t="shared" si="1411"/>
        <v>84.454277777777776</v>
      </c>
      <c r="J581" s="245">
        <f t="shared" si="1411"/>
        <v>75.824450549450532</v>
      </c>
      <c r="K581" s="2760">
        <f t="shared" si="1411"/>
        <v>0</v>
      </c>
      <c r="L581" s="246">
        <f t="shared" si="1411"/>
        <v>56.55758196721311</v>
      </c>
      <c r="M581" s="2760">
        <f t="shared" ref="M581:O581" si="1412">+M580/M535/24</f>
        <v>112.1236559139785</v>
      </c>
      <c r="N581" s="246">
        <f t="shared" si="1411"/>
        <v>67.816067538126347</v>
      </c>
      <c r="O581" s="2760">
        <f t="shared" si="1412"/>
        <v>86.76111111111112</v>
      </c>
      <c r="P581" s="245">
        <f t="shared" si="1411"/>
        <v>66.072463768115938</v>
      </c>
      <c r="Q581" s="240">
        <f t="shared" si="1411"/>
        <v>70.921812386156645</v>
      </c>
      <c r="R581" s="2760">
        <f t="shared" si="1411"/>
        <v>85.71908602150539</v>
      </c>
      <c r="S581" s="246">
        <f>+S580/S535/24</f>
        <v>73.065342679127724</v>
      </c>
      <c r="T581" s="2760">
        <f t="shared" ref="T581" si="1413">+T580/T535/24</f>
        <v>94.455555555555563</v>
      </c>
      <c r="U581" s="246">
        <f>+U580/U535/24</f>
        <v>75.695286885245892</v>
      </c>
      <c r="V581" s="2760">
        <f t="shared" ref="V581" si="1414">+V580/V535/24</f>
        <v>102.95672043010752</v>
      </c>
      <c r="W581" s="69">
        <f t="shared" ref="W581:AF581" si="1415">+W580/W535/24</f>
        <v>94.376268115942025</v>
      </c>
      <c r="X581" s="91">
        <f t="shared" si="1415"/>
        <v>78.768393939393931</v>
      </c>
      <c r="Y581" s="2760">
        <f t="shared" si="1415"/>
        <v>98.124731182795699</v>
      </c>
      <c r="Z581" s="246">
        <f t="shared" si="1415"/>
        <v>80.729330065359463</v>
      </c>
      <c r="AA581" s="2760">
        <f t="shared" ref="AA581" si="1416">+AA580/AA535/24</f>
        <v>103.38505747126436</v>
      </c>
      <c r="AB581" s="91">
        <f t="shared" si="1415"/>
        <v>82.690572139303484</v>
      </c>
      <c r="AC581" s="2760">
        <f t="shared" ref="AC581" si="1417">+AC580/AC535/24</f>
        <v>95.841935483870955</v>
      </c>
      <c r="AD581" s="1348">
        <f t="shared" si="1415"/>
        <v>99.023443223443223</v>
      </c>
      <c r="AE581" s="1349">
        <f t="shared" si="1415"/>
        <v>96.687158469945359</v>
      </c>
      <c r="AF581" s="2669">
        <f t="shared" si="1415"/>
        <v>83.804485428050995</v>
      </c>
    </row>
    <row r="582" spans="3:38" s="3170" customFormat="1" ht="35" customHeight="1" x14ac:dyDescent="0.25">
      <c r="C582" s="4215"/>
      <c r="D582" s="8463"/>
      <c r="E582" s="4244" t="s">
        <v>271</v>
      </c>
      <c r="F582" s="4245"/>
      <c r="G582" s="4245"/>
      <c r="H582" s="3728"/>
      <c r="I582" s="4245"/>
      <c r="J582" s="3773"/>
      <c r="K582" s="4245"/>
      <c r="L582" s="3773"/>
      <c r="M582" s="4245"/>
      <c r="N582" s="3773"/>
      <c r="O582" s="4245"/>
      <c r="P582" s="3773"/>
      <c r="Q582" s="3773"/>
      <c r="R582" s="4245"/>
      <c r="S582" s="3773"/>
      <c r="T582" s="4245"/>
      <c r="U582" s="3773"/>
      <c r="V582" s="4245"/>
      <c r="W582" s="3773"/>
      <c r="X582" s="3773"/>
      <c r="Y582" s="4245"/>
      <c r="Z582" s="3773"/>
      <c r="AA582" s="4245"/>
      <c r="AB582" s="3773"/>
      <c r="AC582" s="4245"/>
      <c r="AD582" s="3618"/>
      <c r="AE582" s="3618"/>
      <c r="AF582" s="3618"/>
      <c r="AG582" s="4756"/>
      <c r="AH582" s="4756"/>
      <c r="AI582" s="4756"/>
      <c r="AJ582" s="4756"/>
      <c r="AK582" s="4756"/>
      <c r="AL582" s="4756"/>
    </row>
    <row r="583" spans="3:38" ht="35" customHeight="1" x14ac:dyDescent="0.25">
      <c r="C583" s="338"/>
      <c r="D583" s="8463"/>
      <c r="E583" s="2758" t="s">
        <v>215</v>
      </c>
      <c r="F583" s="3319">
        <v>113439.67999999999</v>
      </c>
      <c r="G583" s="3319">
        <v>115844.8</v>
      </c>
      <c r="H583" s="2280">
        <f>SUM(F583:G583)</f>
        <v>229284.47999999998</v>
      </c>
      <c r="I583" s="3319">
        <v>110487.8</v>
      </c>
      <c r="J583" s="304">
        <f>SUM(H583:I583)</f>
        <v>339772.27999999997</v>
      </c>
      <c r="K583" s="3319"/>
      <c r="L583" s="501">
        <f>SUM(J583:K583)</f>
        <v>339772.27999999997</v>
      </c>
      <c r="M583" s="3319">
        <v>121852</v>
      </c>
      <c r="N583" s="84">
        <f>SUM(L583:M583)</f>
        <v>461624.27999999997</v>
      </c>
      <c r="O583" s="3319">
        <v>117877</v>
      </c>
      <c r="P583" s="79">
        <f>+K583+M583+O583</f>
        <v>239729</v>
      </c>
      <c r="Q583" s="85">
        <f>+J583+P583</f>
        <v>579501.28</v>
      </c>
      <c r="R583" s="3319">
        <v>122235</v>
      </c>
      <c r="S583" s="86">
        <f>SUM(Q583:R583)</f>
        <v>701736.28</v>
      </c>
      <c r="T583" s="3319">
        <v>116826</v>
      </c>
      <c r="U583" s="86">
        <f>SUM(S583:T583)</f>
        <v>818562.28</v>
      </c>
      <c r="V583" s="3319">
        <v>121597.8</v>
      </c>
      <c r="W583" s="87">
        <f>+R583+T583+V583</f>
        <v>360658.8</v>
      </c>
      <c r="X583" s="84">
        <f>+U583+V583</f>
        <v>940160.08000000007</v>
      </c>
      <c r="Y583" s="3319">
        <v>117098</v>
      </c>
      <c r="Z583" s="86">
        <f>SUM(X583:Y583)</f>
        <v>1057258.08</v>
      </c>
      <c r="AA583" s="3319">
        <v>107181</v>
      </c>
      <c r="AB583" s="86">
        <f>SUM(Z583:AA583)</f>
        <v>1164439.08</v>
      </c>
      <c r="AC583" s="3319">
        <v>111830.6</v>
      </c>
      <c r="AD583" s="721">
        <f t="shared" ref="AD583" si="1418">+Y583+AA583+AC583</f>
        <v>336109.6</v>
      </c>
      <c r="AE583" s="990">
        <f t="shared" ref="AE583" si="1419">+W583+AD583</f>
        <v>696768.39999999991</v>
      </c>
      <c r="AF583" s="723">
        <f>+AB583+AC583</f>
        <v>1276269.6800000002</v>
      </c>
    </row>
    <row r="584" spans="3:38" ht="35" customHeight="1" thickBot="1" x14ac:dyDescent="0.3">
      <c r="C584" s="338"/>
      <c r="D584" s="8464"/>
      <c r="E584" s="2759" t="s">
        <v>216</v>
      </c>
      <c r="F584" s="2780">
        <f t="shared" ref="F584:G584" si="1420">+F583/F535/24</f>
        <v>157.5551111111111</v>
      </c>
      <c r="G584" s="2780">
        <f t="shared" si="1420"/>
        <v>155.70537634408603</v>
      </c>
      <c r="H584" s="1489">
        <f t="shared" ref="H584:AB584" si="1421">+H583/H535/24</f>
        <v>156.61508196721311</v>
      </c>
      <c r="I584" s="2780">
        <f t="shared" si="1421"/>
        <v>153.45527777777778</v>
      </c>
      <c r="J584" s="305">
        <f t="shared" si="1421"/>
        <v>155.57338827838825</v>
      </c>
      <c r="K584" s="2780">
        <f t="shared" si="1421"/>
        <v>0</v>
      </c>
      <c r="L584" s="273">
        <f t="shared" si="1421"/>
        <v>116.04244535519125</v>
      </c>
      <c r="M584" s="2780">
        <f t="shared" ref="M584:O584" si="1422">+M583/M535/24</f>
        <v>163.77956989247312</v>
      </c>
      <c r="N584" s="273">
        <f t="shared" si="1421"/>
        <v>125.71467320261438</v>
      </c>
      <c r="O584" s="2780">
        <f t="shared" si="1422"/>
        <v>163.71805555555554</v>
      </c>
      <c r="P584" s="305">
        <f t="shared" si="1421"/>
        <v>108.57291666666667</v>
      </c>
      <c r="Q584" s="239">
        <f t="shared" si="1421"/>
        <v>131.94473588342441</v>
      </c>
      <c r="R584" s="2780">
        <f t="shared" si="1421"/>
        <v>164.29435483870967</v>
      </c>
      <c r="S584" s="273">
        <f t="shared" si="1421"/>
        <v>136.63089563862928</v>
      </c>
      <c r="T584" s="2780">
        <f t="shared" si="1421"/>
        <v>162.25833333333333</v>
      </c>
      <c r="U584" s="273">
        <f t="shared" si="1421"/>
        <v>139.78181010928964</v>
      </c>
      <c r="V584" s="2780">
        <f t="shared" ref="V584" si="1423">+V583/V535/24</f>
        <v>163.43790322580645</v>
      </c>
      <c r="W584" s="305">
        <f t="shared" si="1421"/>
        <v>163.34184782608693</v>
      </c>
      <c r="X584" s="273">
        <f t="shared" si="1421"/>
        <v>142.44849696969698</v>
      </c>
      <c r="Y584" s="2780">
        <f t="shared" si="1421"/>
        <v>157.38978494623657</v>
      </c>
      <c r="Z584" s="273">
        <f t="shared" si="1421"/>
        <v>143.9621568627451</v>
      </c>
      <c r="AA584" s="2780">
        <f t="shared" ref="AA584" si="1424">+AA583/AA535/24</f>
        <v>153.99568965517241</v>
      </c>
      <c r="AB584" s="273">
        <f t="shared" si="1421"/>
        <v>144.83073134328359</v>
      </c>
      <c r="AC584" s="2780">
        <f t="shared" ref="AC584" si="1425">+AC583/AC535/24</f>
        <v>150.30994623655914</v>
      </c>
      <c r="AD584" s="864">
        <f>+AD583/AD535/24</f>
        <v>153.896336996337</v>
      </c>
      <c r="AE584" s="860">
        <f>+AE583/AE535/24</f>
        <v>158.64489981785061</v>
      </c>
      <c r="AF584" s="2594">
        <f>+AF583/AF535/24</f>
        <v>145.29481785063754</v>
      </c>
    </row>
    <row r="585" spans="3:38" s="3170" customFormat="1" ht="35" customHeight="1" x14ac:dyDescent="0.25">
      <c r="C585" s="4215"/>
      <c r="D585" s="8427">
        <v>33.03</v>
      </c>
      <c r="E585" s="4220" t="s">
        <v>224</v>
      </c>
      <c r="F585" s="4236" t="s">
        <v>262</v>
      </c>
      <c r="G585" s="4236" t="s">
        <v>262</v>
      </c>
      <c r="H585" s="4220"/>
      <c r="I585" s="4236" t="s">
        <v>262</v>
      </c>
      <c r="J585" s="4237"/>
      <c r="K585" s="4236" t="s">
        <v>262</v>
      </c>
      <c r="L585" s="3774"/>
      <c r="M585" s="4236" t="s">
        <v>262</v>
      </c>
      <c r="N585" s="3774"/>
      <c r="O585" s="4236" t="s">
        <v>262</v>
      </c>
      <c r="P585" s="4220"/>
      <c r="Q585" s="4237"/>
      <c r="R585" s="4236" t="s">
        <v>262</v>
      </c>
      <c r="S585" s="4237"/>
      <c r="T585" s="4236" t="s">
        <v>262</v>
      </c>
      <c r="U585" s="4237"/>
      <c r="V585" s="4236" t="s">
        <v>262</v>
      </c>
      <c r="W585" s="4220"/>
      <c r="X585" s="3655"/>
      <c r="Y585" s="4236" t="s">
        <v>262</v>
      </c>
      <c r="Z585" s="4237"/>
      <c r="AA585" s="4236" t="s">
        <v>262</v>
      </c>
      <c r="AB585" s="4237"/>
      <c r="AC585" s="4236" t="s">
        <v>262</v>
      </c>
      <c r="AD585" s="4238"/>
      <c r="AE585" s="4238"/>
      <c r="AF585" s="4239"/>
      <c r="AG585" s="4756"/>
      <c r="AH585" s="4756"/>
      <c r="AI585" s="4756"/>
      <c r="AJ585" s="4756"/>
      <c r="AK585" s="4756"/>
      <c r="AL585" s="4756"/>
    </row>
    <row r="586" spans="3:38" s="3170" customFormat="1" ht="35" customHeight="1" x14ac:dyDescent="0.25">
      <c r="C586" s="4215"/>
      <c r="D586" s="8426"/>
      <c r="E586" s="4216" t="s">
        <v>239</v>
      </c>
      <c r="F586" s="3320">
        <v>9582.93</v>
      </c>
      <c r="G586" s="3320">
        <v>10242.66</v>
      </c>
      <c r="H586" s="296">
        <f>SUM(F586:G586)</f>
        <v>19825.59</v>
      </c>
      <c r="I586" s="3320">
        <v>10738.4</v>
      </c>
      <c r="J586" s="304">
        <f>SUM(H586:I586)</f>
        <v>30563.989999999998</v>
      </c>
      <c r="K586" s="3320"/>
      <c r="L586" s="475">
        <f>SUM(J586:K586)</f>
        <v>30563.989999999998</v>
      </c>
      <c r="M586" s="3320">
        <v>10614.1</v>
      </c>
      <c r="N586" s="86">
        <f>SUM(L586:M586)</f>
        <v>41178.089999999997</v>
      </c>
      <c r="O586" s="3320">
        <v>10660.88</v>
      </c>
      <c r="P586" s="79">
        <f>+K586+M586+O586</f>
        <v>21274.98</v>
      </c>
      <c r="Q586" s="348">
        <f>+P586+J586</f>
        <v>51838.97</v>
      </c>
      <c r="R586" s="3320">
        <v>11243.17</v>
      </c>
      <c r="S586" s="4217">
        <f>SUM(Q586:R586)</f>
        <v>63082.14</v>
      </c>
      <c r="T586" s="3320">
        <v>10730.78</v>
      </c>
      <c r="U586" s="4217">
        <f>SUM(S586:T586)</f>
        <v>73812.92</v>
      </c>
      <c r="V586" s="3320">
        <v>11081.76</v>
      </c>
      <c r="W586" s="87">
        <f>+R586+T586+V586</f>
        <v>33055.71</v>
      </c>
      <c r="X586" s="2279">
        <f>+U586+V586</f>
        <v>84894.68</v>
      </c>
      <c r="Y586" s="3320">
        <v>11196.29</v>
      </c>
      <c r="Z586" s="46">
        <f>SUM(X586:Y586)</f>
        <v>96090.97</v>
      </c>
      <c r="AA586" s="3320">
        <v>9879.7999999999993</v>
      </c>
      <c r="AB586" s="86">
        <f>SUM(Z586:AA586)</f>
        <v>105970.77</v>
      </c>
      <c r="AC586" s="3320">
        <v>10378.700000000001</v>
      </c>
      <c r="AD586" s="4218">
        <f t="shared" ref="AD586" si="1426">+Y586+AA586+AC586</f>
        <v>31454.79</v>
      </c>
      <c r="AE586" s="4218">
        <f t="shared" ref="AE586" si="1427">+W586+AD586</f>
        <v>64510.5</v>
      </c>
      <c r="AF586" s="4219">
        <f>+AB586+AC586</f>
        <v>116349.47</v>
      </c>
      <c r="AG586" s="4756"/>
      <c r="AH586" s="4756"/>
      <c r="AI586" s="4756"/>
      <c r="AJ586" s="4756"/>
      <c r="AK586" s="4756"/>
      <c r="AL586" s="4756"/>
    </row>
    <row r="587" spans="3:38" s="3170" customFormat="1" ht="35" customHeight="1" x14ac:dyDescent="0.25">
      <c r="C587" s="4215"/>
      <c r="D587" s="8424">
        <v>33.04</v>
      </c>
      <c r="E587" s="4220" t="s">
        <v>338</v>
      </c>
      <c r="F587" s="4221" t="s">
        <v>262</v>
      </c>
      <c r="G587" s="4221" t="s">
        <v>262</v>
      </c>
      <c r="H587" s="4240"/>
      <c r="I587" s="4221" t="s">
        <v>262</v>
      </c>
      <c r="J587" s="4241"/>
      <c r="K587" s="4221" t="s">
        <v>262</v>
      </c>
      <c r="L587" s="3774"/>
      <c r="M587" s="4221" t="s">
        <v>262</v>
      </c>
      <c r="N587" s="3774"/>
      <c r="O587" s="4221" t="s">
        <v>262</v>
      </c>
      <c r="P587" s="3774"/>
      <c r="Q587" s="3774"/>
      <c r="R587" s="4221" t="s">
        <v>262</v>
      </c>
      <c r="S587" s="4240"/>
      <c r="T587" s="4221" t="s">
        <v>262</v>
      </c>
      <c r="U587" s="4240"/>
      <c r="V587" s="4221" t="s">
        <v>262</v>
      </c>
      <c r="W587" s="3774"/>
      <c r="X587" s="4222"/>
      <c r="Y587" s="4221" t="s">
        <v>262</v>
      </c>
      <c r="Z587" s="4240"/>
      <c r="AA587" s="4221" t="s">
        <v>262</v>
      </c>
      <c r="AB587" s="3774"/>
      <c r="AC587" s="4221" t="s">
        <v>262</v>
      </c>
      <c r="AD587" s="4242"/>
      <c r="AE587" s="4242"/>
      <c r="AF587" s="4243"/>
      <c r="AG587" s="4756"/>
      <c r="AH587" s="4756"/>
      <c r="AI587" s="4756"/>
      <c r="AJ587" s="4756"/>
      <c r="AK587" s="4756"/>
      <c r="AL587" s="4756"/>
    </row>
    <row r="588" spans="3:38" ht="35" customHeight="1" x14ac:dyDescent="0.25">
      <c r="C588" s="338"/>
      <c r="D588" s="8426"/>
      <c r="E588" s="207" t="s">
        <v>239</v>
      </c>
      <c r="F588" s="3320">
        <v>104387.52</v>
      </c>
      <c r="G588" s="3320">
        <v>110129.76</v>
      </c>
      <c r="H588" s="296">
        <f>SUM(F588:G588)</f>
        <v>214517.28</v>
      </c>
      <c r="I588" s="3320">
        <v>104236.1</v>
      </c>
      <c r="J588" s="304">
        <f>SUM(H588:I588)</f>
        <v>318753.38</v>
      </c>
      <c r="K588" s="3320"/>
      <c r="L588" s="475">
        <f>SUM(J588:K588)</f>
        <v>318753.38</v>
      </c>
      <c r="M588" s="3320">
        <v>138600</v>
      </c>
      <c r="N588" s="86">
        <f>SUM(L588:M588)</f>
        <v>457353.38</v>
      </c>
      <c r="O588" s="3320">
        <v>115740</v>
      </c>
      <c r="P588" s="79">
        <f>+K588+M588+O588</f>
        <v>254340</v>
      </c>
      <c r="Q588" s="348">
        <f>+P588+J588</f>
        <v>573093.38</v>
      </c>
      <c r="R588" s="3320">
        <v>121960.8</v>
      </c>
      <c r="S588" s="46">
        <f>SUM(Q588:R588)</f>
        <v>695054.18</v>
      </c>
      <c r="T588" s="3320">
        <v>125352</v>
      </c>
      <c r="U588" s="46">
        <f>SUM(S588:T588)</f>
        <v>820406.18</v>
      </c>
      <c r="V588" s="3320">
        <v>138710.39999999999</v>
      </c>
      <c r="W588" s="87">
        <f>+R588+T588+V588</f>
        <v>386023.19999999995</v>
      </c>
      <c r="X588" s="2279">
        <f>+U588+V588</f>
        <v>959116.58000000007</v>
      </c>
      <c r="Y588" s="3320">
        <v>130079.52</v>
      </c>
      <c r="Z588" s="46">
        <f>SUM(X588:Y588)</f>
        <v>1089196.1000000001</v>
      </c>
      <c r="AA588" s="3320">
        <v>127411.44</v>
      </c>
      <c r="AB588" s="86">
        <f>SUM(Z588:AA588)</f>
        <v>1216607.54</v>
      </c>
      <c r="AC588" s="3320">
        <v>129091.9</v>
      </c>
      <c r="AD588" s="721">
        <f t="shared" ref="AD588:AD590" si="1428">+Y588+AA588+AC588</f>
        <v>386582.86</v>
      </c>
      <c r="AE588" s="990">
        <f t="shared" ref="AE588" si="1429">+W588+AD588</f>
        <v>772606.05999999994</v>
      </c>
      <c r="AF588" s="714">
        <f>+AB588+AC588</f>
        <v>1345699.44</v>
      </c>
    </row>
    <row r="589" spans="3:38" s="3170" customFormat="1" ht="35" customHeight="1" x14ac:dyDescent="0.25">
      <c r="C589" s="4215"/>
      <c r="D589" s="8424">
        <v>33.04</v>
      </c>
      <c r="E589" s="4220" t="s">
        <v>1012</v>
      </c>
      <c r="F589" s="4221" t="s">
        <v>262</v>
      </c>
      <c r="G589" s="4221" t="s">
        <v>262</v>
      </c>
      <c r="H589" s="3774"/>
      <c r="I589" s="4221" t="s">
        <v>262</v>
      </c>
      <c r="J589" s="3774"/>
      <c r="K589" s="4221" t="s">
        <v>262</v>
      </c>
      <c r="L589" s="3774"/>
      <c r="M589" s="4221" t="s">
        <v>262</v>
      </c>
      <c r="N589" s="3774"/>
      <c r="O589" s="4221" t="s">
        <v>262</v>
      </c>
      <c r="P589" s="3774"/>
      <c r="Q589" s="3774"/>
      <c r="R589" s="4221" t="s">
        <v>262</v>
      </c>
      <c r="S589" s="4222"/>
      <c r="T589" s="4221" t="s">
        <v>262</v>
      </c>
      <c r="U589" s="4222"/>
      <c r="V589" s="4221" t="s">
        <v>262</v>
      </c>
      <c r="W589" s="4222"/>
      <c r="X589" s="4222"/>
      <c r="Y589" s="4221" t="s">
        <v>262</v>
      </c>
      <c r="Z589" s="4222"/>
      <c r="AA589" s="4221" t="s">
        <v>262</v>
      </c>
      <c r="AB589" s="4222"/>
      <c r="AC589" s="4221" t="s">
        <v>262</v>
      </c>
      <c r="AD589" s="3277"/>
      <c r="AE589" s="3277"/>
      <c r="AF589" s="4223"/>
      <c r="AG589" s="4756"/>
      <c r="AH589" s="4756"/>
      <c r="AI589" s="4756"/>
      <c r="AJ589" s="4756"/>
      <c r="AK589" s="4756"/>
      <c r="AL589" s="4756"/>
    </row>
    <row r="590" spans="3:38" ht="35" customHeight="1" x14ac:dyDescent="0.25">
      <c r="C590" s="338"/>
      <c r="D590" s="8426"/>
      <c r="E590" s="207" t="s">
        <v>239</v>
      </c>
      <c r="F590" s="3320">
        <v>5809.8</v>
      </c>
      <c r="G590" s="3320">
        <v>6176.2</v>
      </c>
      <c r="H590" s="296">
        <f>SUM(F590:G590)</f>
        <v>11986</v>
      </c>
      <c r="I590" s="3320">
        <v>9927.5509999999995</v>
      </c>
      <c r="J590" s="304">
        <f>SUM(H590:I590)</f>
        <v>21913.550999999999</v>
      </c>
      <c r="K590" s="3320"/>
      <c r="L590" s="475">
        <f>SUM(J590:K590)</f>
        <v>21913.550999999999</v>
      </c>
      <c r="M590" s="3320">
        <v>12702.4</v>
      </c>
      <c r="N590" s="86">
        <f>SUM(L590:M590)</f>
        <v>34615.951000000001</v>
      </c>
      <c r="O590" s="3320">
        <v>8967.2999999999993</v>
      </c>
      <c r="P590" s="79">
        <f>+K590+M590+O590</f>
        <v>21669.699999999997</v>
      </c>
      <c r="Q590" s="348">
        <f>+P590+J590</f>
        <v>43583.250999999997</v>
      </c>
      <c r="R590" s="3320">
        <v>11024.3</v>
      </c>
      <c r="S590" s="46">
        <f>SUM(Q590:R590)</f>
        <v>54607.550999999992</v>
      </c>
      <c r="T590" s="3320">
        <v>9936.2999999999993</v>
      </c>
      <c r="U590" s="46">
        <f>SUM(S590:T590)</f>
        <v>64543.850999999995</v>
      </c>
      <c r="V590" s="3320">
        <v>7988.8</v>
      </c>
      <c r="W590" s="87">
        <f>+R590+T590+V590</f>
        <v>28949.399999999998</v>
      </c>
      <c r="X590" s="2279">
        <f>+U590+V590</f>
        <v>72532.650999999998</v>
      </c>
      <c r="Y590" s="3320">
        <v>9894.7999999999993</v>
      </c>
      <c r="Z590" s="46">
        <f>SUM(X590:Y590)</f>
        <v>82427.451000000001</v>
      </c>
      <c r="AA590" s="3320">
        <v>9065.4</v>
      </c>
      <c r="AB590" s="86">
        <f>SUM(Z590:AA590)</f>
        <v>91492.850999999995</v>
      </c>
      <c r="AC590" s="3320">
        <v>6455.9210000000003</v>
      </c>
      <c r="AD590" s="721">
        <f t="shared" si="1428"/>
        <v>25416.120999999999</v>
      </c>
      <c r="AE590" s="990">
        <f t="shared" ref="AE590" si="1430">+W590+AD590</f>
        <v>54365.520999999993</v>
      </c>
      <c r="AF590" s="714">
        <f>+AB590+AC590</f>
        <v>97948.771999999997</v>
      </c>
    </row>
    <row r="591" spans="3:38" s="3170" customFormat="1" ht="35" customHeight="1" x14ac:dyDescent="0.25">
      <c r="C591" s="4215"/>
      <c r="D591" s="8424">
        <v>33.049999999999997</v>
      </c>
      <c r="E591" s="4638" t="s">
        <v>391</v>
      </c>
      <c r="F591" s="4639" t="s">
        <v>262</v>
      </c>
      <c r="G591" s="4639" t="s">
        <v>262</v>
      </c>
      <c r="H591" s="4640"/>
      <c r="I591" s="4639" t="s">
        <v>262</v>
      </c>
      <c r="J591" s="3389"/>
      <c r="K591" s="4639" t="s">
        <v>262</v>
      </c>
      <c r="L591" s="3774"/>
      <c r="M591" s="4639" t="s">
        <v>262</v>
      </c>
      <c r="N591" s="3774"/>
      <c r="O591" s="4639" t="s">
        <v>262</v>
      </c>
      <c r="P591" s="4641"/>
      <c r="Q591" s="4642"/>
      <c r="R591" s="4639" t="s">
        <v>262</v>
      </c>
      <c r="S591" s="4642"/>
      <c r="T591" s="4639" t="s">
        <v>262</v>
      </c>
      <c r="U591" s="4642"/>
      <c r="V591" s="4639" t="s">
        <v>262</v>
      </c>
      <c r="W591" s="4643"/>
      <c r="X591" s="4222"/>
      <c r="Y591" s="4639" t="s">
        <v>262</v>
      </c>
      <c r="Z591" s="4642"/>
      <c r="AA591" s="4639" t="s">
        <v>262</v>
      </c>
      <c r="AB591" s="4642"/>
      <c r="AC591" s="4639" t="s">
        <v>262</v>
      </c>
      <c r="AD591" s="4644"/>
      <c r="AE591" s="4644"/>
      <c r="AF591" s="4645"/>
      <c r="AG591" s="4756"/>
      <c r="AH591" s="4756"/>
      <c r="AI591" s="4756"/>
      <c r="AJ591" s="4756"/>
      <c r="AK591" s="4756"/>
      <c r="AL591" s="4756"/>
    </row>
    <row r="592" spans="3:38" ht="35" customHeight="1" x14ac:dyDescent="0.25">
      <c r="C592" s="338"/>
      <c r="D592" s="8425"/>
      <c r="E592" s="117" t="s">
        <v>198</v>
      </c>
      <c r="F592" s="3321">
        <v>8027.98</v>
      </c>
      <c r="G592" s="3321">
        <v>8028</v>
      </c>
      <c r="H592" s="363">
        <f>+((F592*F593)+(G592*G593))/H593</f>
        <v>8027.984427707619</v>
      </c>
      <c r="I592" s="3321">
        <v>8028</v>
      </c>
      <c r="J592" s="304">
        <f>+((H592*H593)+(I592*I593))/J593</f>
        <v>8027.9881420740885</v>
      </c>
      <c r="K592" s="3321"/>
      <c r="L592" s="363">
        <f>+((J592*J593)+(K592*K593))/L593</f>
        <v>8027.9881420740885</v>
      </c>
      <c r="M592" s="3321">
        <v>8027.96</v>
      </c>
      <c r="N592" s="363">
        <f>+((L592*L593)+(M592*M593))/N593</f>
        <v>8027.9874696909865</v>
      </c>
      <c r="O592" s="3321">
        <v>8027.98</v>
      </c>
      <c r="P592" s="304">
        <f>+((K592*K593)+(M592*M593)+(O592*O593))/P593</f>
        <v>8027.9787178327342</v>
      </c>
      <c r="Q592" s="241">
        <f>+((N592*N593)+(O592*O593))/Q593</f>
        <v>8027.9855380433182</v>
      </c>
      <c r="R592" s="3321">
        <v>8027.97</v>
      </c>
      <c r="S592" s="364">
        <f>+((Q592*Q593)+(R592*R593))/S593</f>
        <v>8027.984204301436</v>
      </c>
      <c r="T592" s="3321">
        <v>8027.98</v>
      </c>
      <c r="U592" s="364">
        <f>+((S592*S593)+(T592*T593))/U593</f>
        <v>8027.9839778276</v>
      </c>
      <c r="V592" s="3321">
        <v>8027.97</v>
      </c>
      <c r="W592" s="118">
        <f>+((R592*R593)+(T592*T593)+(V592*V593))/W593</f>
        <v>8027.9729611818057</v>
      </c>
      <c r="X592" s="86">
        <f>+((U592*U593)+(V592*V593))/X593</f>
        <v>8027.9833525221175</v>
      </c>
      <c r="Y592" s="3321">
        <v>8027.98</v>
      </c>
      <c r="Z592" s="364">
        <f>+((X592*X593)+(Y592*Y593))/Z593</f>
        <v>8027.9830994979829</v>
      </c>
      <c r="AA592" s="3321">
        <v>8027.97</v>
      </c>
      <c r="AB592" s="86">
        <f>+((Z592*Z593)+(AA592*AA593))/AB593</f>
        <v>8027.9826846803771</v>
      </c>
      <c r="AC592" s="3321">
        <v>8028</v>
      </c>
      <c r="AD592" s="1070">
        <f>+((Y592*Y593)+(AA592*AA593)+(AC592*AC593))/AD593</f>
        <v>8027.9837478011195</v>
      </c>
      <c r="AE592" s="1164">
        <f>+((W592*W593)+(AD592*AD593))/AE593</f>
        <v>8027.9782270757833</v>
      </c>
      <c r="AF592" s="714">
        <f>+((AB592*AB593)+(AC592*AC593))/AF593</f>
        <v>8027.9834087247027</v>
      </c>
    </row>
    <row r="593" spans="3:38" ht="35" customHeight="1" x14ac:dyDescent="0.25">
      <c r="C593" s="338"/>
      <c r="D593" s="8426"/>
      <c r="E593" s="119" t="s">
        <v>1148</v>
      </c>
      <c r="F593" s="3262">
        <v>2334.4259999999999</v>
      </c>
      <c r="G593" s="3262">
        <v>663.75300000000004</v>
      </c>
      <c r="H593" s="296">
        <f>SUM(F593:G593)</f>
        <v>2998.1790000000001</v>
      </c>
      <c r="I593" s="3262">
        <v>939.14700000000005</v>
      </c>
      <c r="J593" s="313">
        <f>SUM(H593:I593)</f>
        <v>3937.326</v>
      </c>
      <c r="K593" s="3262"/>
      <c r="L593" s="296">
        <f>SUM(J593:K593)</f>
        <v>3937.326</v>
      </c>
      <c r="M593" s="3262">
        <v>96.375</v>
      </c>
      <c r="N593" s="122">
        <f>SUM(L593:M593)</f>
        <v>4033.701</v>
      </c>
      <c r="O593" s="3262">
        <v>1406.9390000000001</v>
      </c>
      <c r="P593" s="74">
        <f>+K593+M593+O593</f>
        <v>1503.3140000000001</v>
      </c>
      <c r="Q593" s="219">
        <f>+J593+P593</f>
        <v>5440.64</v>
      </c>
      <c r="R593" s="3262">
        <v>510.86</v>
      </c>
      <c r="S593" s="86">
        <f>SUM(Q593:R593)</f>
        <v>5951.5</v>
      </c>
      <c r="T593" s="3262">
        <v>338.84300000000002</v>
      </c>
      <c r="U593" s="86">
        <f>SUM(S593:T593)</f>
        <v>6290.3429999999998</v>
      </c>
      <c r="V593" s="3262">
        <v>294.58</v>
      </c>
      <c r="W593" s="87">
        <f>+R593+T593+V593</f>
        <v>1144.2829999999999</v>
      </c>
      <c r="X593" s="84">
        <f>+U593+V593</f>
        <v>6584.9229999999998</v>
      </c>
      <c r="Y593" s="3262">
        <v>537.553</v>
      </c>
      <c r="Z593" s="86">
        <f>SUM(X593:Y593)</f>
        <v>7122.4759999999997</v>
      </c>
      <c r="AA593" s="3262">
        <v>232.92099999999999</v>
      </c>
      <c r="AB593" s="86">
        <f>SUM(Z593:AA593)</f>
        <v>7355.3969999999999</v>
      </c>
      <c r="AC593" s="3262">
        <v>320.99</v>
      </c>
      <c r="AD593" s="721">
        <f t="shared" ref="AD593" si="1431">+Y593+AA593+AC593</f>
        <v>1091.4639999999999</v>
      </c>
      <c r="AE593" s="990">
        <f t="shared" ref="AE593" si="1432">+W593+AD593</f>
        <v>2235.7469999999998</v>
      </c>
      <c r="AF593" s="714">
        <f>+AB593+AC593</f>
        <v>7676.3869999999997</v>
      </c>
    </row>
    <row r="594" spans="3:38" ht="35" customHeight="1" x14ac:dyDescent="0.25">
      <c r="C594" s="338"/>
      <c r="D594" s="8439">
        <v>33.06</v>
      </c>
      <c r="E594" s="120" t="s">
        <v>199</v>
      </c>
      <c r="F594" s="1487"/>
      <c r="G594" s="1487"/>
      <c r="H594" s="3555"/>
      <c r="I594" s="1487"/>
      <c r="J594" s="3389"/>
      <c r="K594" s="1487"/>
      <c r="L594" s="3389"/>
      <c r="M594" s="1487"/>
      <c r="N594" s="120"/>
      <c r="O594" s="1487"/>
      <c r="P594" s="120"/>
      <c r="Q594" s="120"/>
      <c r="R594" s="1487"/>
      <c r="S594" s="120"/>
      <c r="T594" s="1487"/>
      <c r="U594" s="120"/>
      <c r="V594" s="1487"/>
      <c r="W594" s="120"/>
      <c r="X594" s="120"/>
      <c r="Y594" s="1487"/>
      <c r="Z594" s="120"/>
      <c r="AA594" s="1487"/>
      <c r="AB594" s="120"/>
      <c r="AC594" s="1487"/>
      <c r="AD594" s="120"/>
      <c r="AE594" s="993"/>
      <c r="AF594" s="1090"/>
    </row>
    <row r="595" spans="3:38" ht="35" customHeight="1" x14ac:dyDescent="0.25">
      <c r="C595" s="338"/>
      <c r="D595" s="8439"/>
      <c r="E595" s="121" t="s">
        <v>200</v>
      </c>
      <c r="F595" s="3262">
        <v>9135</v>
      </c>
      <c r="G595" s="3262">
        <v>9135</v>
      </c>
      <c r="H595" s="363">
        <v>9135</v>
      </c>
      <c r="I595" s="3262">
        <v>9135</v>
      </c>
      <c r="J595" s="304">
        <v>9135</v>
      </c>
      <c r="K595" s="3262"/>
      <c r="L595" s="363">
        <v>9135</v>
      </c>
      <c r="M595" s="3262">
        <v>9135</v>
      </c>
      <c r="N595" s="78">
        <v>9135</v>
      </c>
      <c r="O595" s="3262">
        <v>9135</v>
      </c>
      <c r="P595" s="79">
        <v>9135</v>
      </c>
      <c r="Q595" s="85">
        <v>9135</v>
      </c>
      <c r="R595" s="3262">
        <v>9135</v>
      </c>
      <c r="S595" s="84">
        <v>9135</v>
      </c>
      <c r="T595" s="3262">
        <v>9135</v>
      </c>
      <c r="U595" s="84">
        <v>9135</v>
      </c>
      <c r="V595" s="3262">
        <v>9135</v>
      </c>
      <c r="W595" s="87">
        <v>9135</v>
      </c>
      <c r="X595" s="84">
        <v>9135</v>
      </c>
      <c r="Y595" s="3262">
        <v>9135</v>
      </c>
      <c r="Z595" s="84">
        <v>9135</v>
      </c>
      <c r="AA595" s="3262">
        <v>9135</v>
      </c>
      <c r="AB595" s="84">
        <v>9135</v>
      </c>
      <c r="AC595" s="3262">
        <v>9135</v>
      </c>
      <c r="AD595" s="721">
        <v>9135</v>
      </c>
      <c r="AE595" s="1290">
        <v>9135</v>
      </c>
      <c r="AF595" s="720">
        <v>9135</v>
      </c>
    </row>
    <row r="596" spans="3:38" ht="35" customHeight="1" x14ac:dyDescent="0.25">
      <c r="C596" s="338"/>
      <c r="D596" s="8439"/>
      <c r="E596" s="119" t="s">
        <v>218</v>
      </c>
      <c r="F596" s="3162">
        <v>8.74</v>
      </c>
      <c r="G596" s="3162">
        <v>12</v>
      </c>
      <c r="H596" s="246">
        <f>SUM(F596:G596)</f>
        <v>20.740000000000002</v>
      </c>
      <c r="I596" s="3162">
        <v>17.3</v>
      </c>
      <c r="J596" s="245">
        <f>SUM(H596:I596)</f>
        <v>38.040000000000006</v>
      </c>
      <c r="K596" s="3162"/>
      <c r="L596" s="246">
        <f>SUM(J596:K596)</f>
        <v>38.040000000000006</v>
      </c>
      <c r="M596" s="3162">
        <v>8.4700000000000006</v>
      </c>
      <c r="N596" s="68">
        <f>SUM(L596:M596)</f>
        <v>46.510000000000005</v>
      </c>
      <c r="O596" s="3162">
        <v>5.63</v>
      </c>
      <c r="P596" s="69">
        <f>+K596+M596+O596</f>
        <v>14.100000000000001</v>
      </c>
      <c r="Q596" s="216">
        <f>+J596+P596</f>
        <v>52.140000000000008</v>
      </c>
      <c r="R596" s="3162">
        <v>10.84</v>
      </c>
      <c r="S596" s="91">
        <f>SUM(Q596:R596)</f>
        <v>62.980000000000004</v>
      </c>
      <c r="T596" s="3162">
        <v>15.22</v>
      </c>
      <c r="U596" s="91">
        <f>SUM(S596:T596)</f>
        <v>78.2</v>
      </c>
      <c r="V596" s="3162">
        <v>2.94</v>
      </c>
      <c r="W596" s="92">
        <f>+V596+T596+R596</f>
        <v>29</v>
      </c>
      <c r="X596" s="91">
        <f>+U596+V596</f>
        <v>81.14</v>
      </c>
      <c r="Y596" s="3162">
        <v>22.3</v>
      </c>
      <c r="Z596" s="91">
        <f>SUM(X596:Y596)</f>
        <v>103.44</v>
      </c>
      <c r="AA596" s="3162">
        <v>27.05</v>
      </c>
      <c r="AB596" s="91">
        <f>SUM(Z596:AA596)</f>
        <v>130.49</v>
      </c>
      <c r="AC596" s="3162">
        <v>67.290000000000006</v>
      </c>
      <c r="AD596" s="863">
        <f t="shared" ref="AD596" si="1433">+Y596+AA596+AC596</f>
        <v>116.64000000000001</v>
      </c>
      <c r="AE596" s="1358">
        <f t="shared" ref="AE596" si="1434">+W596+AD596</f>
        <v>145.64000000000001</v>
      </c>
      <c r="AF596" s="809">
        <f>+AB596+AC596</f>
        <v>197.78000000000003</v>
      </c>
    </row>
    <row r="597" spans="3:38" ht="35" customHeight="1" x14ac:dyDescent="0.25">
      <c r="C597" s="338"/>
      <c r="D597" s="2492">
        <v>33.07</v>
      </c>
      <c r="E597" s="519" t="s">
        <v>1110</v>
      </c>
      <c r="F597" s="3151">
        <v>0.96199999999999997</v>
      </c>
      <c r="G597" s="3151">
        <v>0.874</v>
      </c>
      <c r="H597" s="257">
        <f>+((F597*F554)+(G597*G554))/H554</f>
        <v>0.91697956098719446</v>
      </c>
      <c r="I597" s="3151">
        <v>0.92900000000000005</v>
      </c>
      <c r="J597" s="416">
        <f>+((H597*H554)+(I597*I554))/J554</f>
        <v>0.92104214083213543</v>
      </c>
      <c r="K597" s="3151"/>
      <c r="L597" s="257">
        <f>+((J597*J554)+(K597*K554))/L554</f>
        <v>0.92104214083213543</v>
      </c>
      <c r="M597" s="3151">
        <v>0.95099999999999996</v>
      </c>
      <c r="N597" s="1723">
        <f>+((L597*L554)+(M597*M554))/N554</f>
        <v>0.92949577915789172</v>
      </c>
      <c r="O597" s="3151">
        <v>0.95499999999999996</v>
      </c>
      <c r="P597" s="416">
        <f>+((K597*K554)+(M597*M554)+(O597*O554))/P554</f>
        <v>0.95287924294919124</v>
      </c>
      <c r="Q597" s="2183">
        <f>+((N597*N554)+(O597*O554))/Q554</f>
        <v>0.93459742100608567</v>
      </c>
      <c r="R597" s="3151">
        <v>0.95899999999999996</v>
      </c>
      <c r="S597" s="1723">
        <f>+((Q597*Q554)+(R597*R554))/S554</f>
        <v>0.93879672006667836</v>
      </c>
      <c r="T597" s="3151">
        <v>0.95199999999999996</v>
      </c>
      <c r="U597" s="1723">
        <f>+((S597*S554)+(T597*T554))/U554</f>
        <v>0.94072063555942165</v>
      </c>
      <c r="V597" s="3151">
        <v>0.95699999999999996</v>
      </c>
      <c r="W597" s="416">
        <f>+((R597*R554)+(T597*T554)+(V597*V554))/W554</f>
        <v>0.95602866333399927</v>
      </c>
      <c r="X597" s="1723">
        <f>+((U597*U554)+(V597*V554))/X554</f>
        <v>0.94290111699041101</v>
      </c>
      <c r="Y597" s="3151">
        <v>0.96799999999999997</v>
      </c>
      <c r="Z597" s="1723">
        <f>+((X597*X554)+(Y597*Y554))/Z554</f>
        <v>0.94581516296829171</v>
      </c>
      <c r="AA597" s="3151">
        <v>0.97599999999999998</v>
      </c>
      <c r="AB597" s="1723">
        <f>+((Z597*Z554)+(AA597*AA554))/AB554</f>
        <v>0.94877110064881309</v>
      </c>
      <c r="AC597" s="3151">
        <v>0.94799999999999995</v>
      </c>
      <c r="AD597" s="2387">
        <f>+((Y597*Y554)+(AA597*AA554)+(AC597*AC554))/AD554</f>
        <v>0.96394970777851574</v>
      </c>
      <c r="AE597" s="1332">
        <f>+((W597*W554)+(AD597*AD554))/AE554</f>
        <v>0.95995236150591612</v>
      </c>
      <c r="AF597" s="1105">
        <f>+((AB597*AB554)+(AC597*AC554))/AF554</f>
        <v>0.94870062968258184</v>
      </c>
    </row>
    <row r="598" spans="3:38" ht="35" customHeight="1" x14ac:dyDescent="0.25">
      <c r="C598" s="338"/>
      <c r="D598" s="8424">
        <v>33.08</v>
      </c>
      <c r="E598" s="93" t="s">
        <v>209</v>
      </c>
      <c r="F598" s="3626"/>
      <c r="G598" s="3626"/>
      <c r="H598" s="3246"/>
      <c r="I598" s="3626"/>
      <c r="J598" s="3246"/>
      <c r="K598" s="3626"/>
      <c r="L598" s="3246"/>
      <c r="M598" s="3626"/>
      <c r="N598" s="94"/>
      <c r="O598" s="3626"/>
      <c r="P598" s="94"/>
      <c r="Q598" s="94"/>
      <c r="R598" s="3626"/>
      <c r="S598" s="94"/>
      <c r="T598" s="3626"/>
      <c r="U598" s="94"/>
      <c r="V598" s="3626"/>
      <c r="W598" s="94"/>
      <c r="X598" s="94"/>
      <c r="Y598" s="3626"/>
      <c r="Z598" s="94"/>
      <c r="AA598" s="3626"/>
      <c r="AB598" s="94"/>
      <c r="AC598" s="3626"/>
      <c r="AD598" s="94"/>
      <c r="AE598" s="681"/>
      <c r="AF598" s="2498"/>
    </row>
    <row r="599" spans="3:38" ht="35" customHeight="1" x14ac:dyDescent="0.25">
      <c r="C599" s="338"/>
      <c r="D599" s="8425"/>
      <c r="E599" s="124" t="s">
        <v>201</v>
      </c>
      <c r="F599" s="3262">
        <v>58.1</v>
      </c>
      <c r="G599" s="3262">
        <v>61.9</v>
      </c>
      <c r="H599" s="343">
        <f>SUM(F599:G599)</f>
        <v>120</v>
      </c>
      <c r="I599" s="3262">
        <v>50.7</v>
      </c>
      <c r="J599" s="306">
        <f>SUM(H599:I599)</f>
        <v>170.7</v>
      </c>
      <c r="K599" s="3262"/>
      <c r="L599" s="343">
        <f>SUM(J599:K599)</f>
        <v>170.7</v>
      </c>
      <c r="M599" s="3262">
        <v>68.8</v>
      </c>
      <c r="N599" s="294">
        <f>SUM(L599:M599)</f>
        <v>239.5</v>
      </c>
      <c r="O599" s="3262">
        <v>60.900000000000006</v>
      </c>
      <c r="P599" s="307">
        <f>+K599+M599+O599</f>
        <v>129.69999999999999</v>
      </c>
      <c r="Q599" s="3026">
        <f>+J599+P599</f>
        <v>300.39999999999998</v>
      </c>
      <c r="R599" s="3262">
        <v>50.4</v>
      </c>
      <c r="S599" s="232">
        <f>SUM(Q599:R599)</f>
        <v>350.79999999999995</v>
      </c>
      <c r="T599" s="3262">
        <v>45.2</v>
      </c>
      <c r="U599" s="232">
        <f>SUM(S599:T599)</f>
        <v>395.99999999999994</v>
      </c>
      <c r="V599" s="3262">
        <v>55.8</v>
      </c>
      <c r="W599" s="89">
        <f t="shared" ref="W599:W619" si="1435">+R599+T599+V599</f>
        <v>151.39999999999998</v>
      </c>
      <c r="X599" s="46">
        <f t="shared" ref="X599:X619" si="1436">+U599+V599</f>
        <v>451.79999999999995</v>
      </c>
      <c r="Y599" s="3262">
        <v>62.3</v>
      </c>
      <c r="Z599" s="84">
        <f>SUM(X599:Y599)</f>
        <v>514.09999999999991</v>
      </c>
      <c r="AA599" s="3262">
        <v>55.099999999999994</v>
      </c>
      <c r="AB599" s="156">
        <f>SUM(Z599:AA599)</f>
        <v>569.19999999999993</v>
      </c>
      <c r="AC599" s="3262">
        <v>64.5</v>
      </c>
      <c r="AD599" s="744">
        <f t="shared" ref="AD599:AD609" si="1437">+Y599+AA599+AC599</f>
        <v>181.89999999999998</v>
      </c>
      <c r="AE599" s="990">
        <f t="shared" ref="AE599:AE609" si="1438">+W599+AD599</f>
        <v>333.29999999999995</v>
      </c>
      <c r="AF599" s="809">
        <f>+AB599+AC599</f>
        <v>633.69999999999993</v>
      </c>
    </row>
    <row r="600" spans="3:38" ht="35" customHeight="1" x14ac:dyDescent="0.25">
      <c r="C600" s="338"/>
      <c r="D600" s="8425"/>
      <c r="E600" s="124" t="s">
        <v>202</v>
      </c>
      <c r="F600" s="3262">
        <v>28.728000000000002</v>
      </c>
      <c r="G600" s="3262">
        <v>33.192</v>
      </c>
      <c r="H600" s="254">
        <f t="shared" ref="H600:H606" si="1439">SUM(F600:G600)</f>
        <v>61.92</v>
      </c>
      <c r="I600" s="3262">
        <v>29.376000000000001</v>
      </c>
      <c r="J600" s="253">
        <f t="shared" ref="J600:J606" si="1440">SUM(H600:I600)</f>
        <v>91.296000000000006</v>
      </c>
      <c r="K600" s="3262"/>
      <c r="L600" s="254">
        <f t="shared" ref="L600:L606" si="1441">SUM(J600:K600)</f>
        <v>91.296000000000006</v>
      </c>
      <c r="M600" s="3262">
        <v>37.872</v>
      </c>
      <c r="N600" s="143">
        <f t="shared" ref="N600:N606" si="1442">SUM(L600:M600)</f>
        <v>129.16800000000001</v>
      </c>
      <c r="O600" s="3262">
        <v>30.240000000000002</v>
      </c>
      <c r="P600" s="144">
        <f t="shared" ref="P600:P606" si="1443">+K600+M600+O600</f>
        <v>68.111999999999995</v>
      </c>
      <c r="Q600" s="3026">
        <f t="shared" ref="Q600:Q606" si="1444">+J600+P600</f>
        <v>159.40800000000002</v>
      </c>
      <c r="R600" s="3262">
        <v>28.584</v>
      </c>
      <c r="S600" s="364">
        <f t="shared" ref="S600:S606" si="1445">SUM(Q600:R600)</f>
        <v>187.99200000000002</v>
      </c>
      <c r="T600" s="3262">
        <v>28.72</v>
      </c>
      <c r="U600" s="364">
        <f t="shared" ref="U600:U606" si="1446">SUM(S600:T600)</f>
        <v>216.71200000000002</v>
      </c>
      <c r="V600" s="3262">
        <v>31.175999999999998</v>
      </c>
      <c r="W600" s="92">
        <f t="shared" si="1435"/>
        <v>88.48</v>
      </c>
      <c r="X600" s="46">
        <f t="shared" si="1436"/>
        <v>247.88800000000001</v>
      </c>
      <c r="Y600" s="3262">
        <v>35.351999999999997</v>
      </c>
      <c r="Z600" s="86">
        <f t="shared" ref="Z600:Z609" si="1447">SUM(X600:Y600)</f>
        <v>283.24</v>
      </c>
      <c r="AA600" s="3262">
        <v>35.747999999999998</v>
      </c>
      <c r="AB600" s="156">
        <f t="shared" ref="AB600:AB608" si="1448">SUM(Z600:AA600)</f>
        <v>318.988</v>
      </c>
      <c r="AC600" s="3262">
        <v>37.512</v>
      </c>
      <c r="AD600" s="744">
        <f t="shared" si="1437"/>
        <v>108.61199999999999</v>
      </c>
      <c r="AE600" s="990">
        <f t="shared" si="1438"/>
        <v>197.09199999999998</v>
      </c>
      <c r="AF600" s="809">
        <f t="shared" ref="AF600:AF620" si="1449">+AB600+AC600</f>
        <v>356.5</v>
      </c>
    </row>
    <row r="601" spans="3:38" ht="35" customHeight="1" x14ac:dyDescent="0.25">
      <c r="C601" s="338"/>
      <c r="D601" s="8425"/>
      <c r="E601" s="125" t="s">
        <v>203</v>
      </c>
      <c r="F601" s="3262">
        <v>446</v>
      </c>
      <c r="G601" s="3262">
        <v>465</v>
      </c>
      <c r="H601" s="254">
        <f t="shared" si="1439"/>
        <v>911</v>
      </c>
      <c r="I601" s="3262">
        <v>450</v>
      </c>
      <c r="J601" s="253">
        <f t="shared" si="1440"/>
        <v>1361</v>
      </c>
      <c r="K601" s="3262"/>
      <c r="L601" s="254">
        <f t="shared" si="1441"/>
        <v>1361</v>
      </c>
      <c r="M601" s="3262">
        <v>875</v>
      </c>
      <c r="N601" s="143">
        <f t="shared" si="1442"/>
        <v>2236</v>
      </c>
      <c r="O601" s="3262">
        <v>960</v>
      </c>
      <c r="P601" s="144">
        <f t="shared" si="1443"/>
        <v>1835</v>
      </c>
      <c r="Q601" s="3026">
        <f t="shared" si="1444"/>
        <v>3196</v>
      </c>
      <c r="R601" s="3262">
        <v>930</v>
      </c>
      <c r="S601" s="364">
        <f t="shared" si="1445"/>
        <v>4126</v>
      </c>
      <c r="T601" s="3262">
        <v>875</v>
      </c>
      <c r="U601" s="364">
        <f t="shared" si="1446"/>
        <v>5001</v>
      </c>
      <c r="V601" s="3262">
        <v>915</v>
      </c>
      <c r="W601" s="92">
        <f t="shared" si="1435"/>
        <v>2720</v>
      </c>
      <c r="X601" s="46">
        <f t="shared" si="1436"/>
        <v>5916</v>
      </c>
      <c r="Y601" s="3262">
        <v>600</v>
      </c>
      <c r="Z601" s="86">
        <f t="shared" si="1447"/>
        <v>6516</v>
      </c>
      <c r="AA601" s="3262">
        <v>435</v>
      </c>
      <c r="AB601" s="156">
        <f t="shared" si="1448"/>
        <v>6951</v>
      </c>
      <c r="AC601" s="3262">
        <v>465</v>
      </c>
      <c r="AD601" s="744">
        <f t="shared" si="1437"/>
        <v>1500</v>
      </c>
      <c r="AE601" s="990">
        <f t="shared" si="1438"/>
        <v>4220</v>
      </c>
      <c r="AF601" s="809">
        <f t="shared" si="1449"/>
        <v>7416</v>
      </c>
    </row>
    <row r="602" spans="3:38" ht="35" customHeight="1" x14ac:dyDescent="0.25">
      <c r="C602" s="338"/>
      <c r="D602" s="8425"/>
      <c r="E602" s="125" t="s">
        <v>204</v>
      </c>
      <c r="F602" s="3262">
        <v>945</v>
      </c>
      <c r="G602" s="3262">
        <v>965</v>
      </c>
      <c r="H602" s="254">
        <f t="shared" si="1439"/>
        <v>1910</v>
      </c>
      <c r="I602" s="3262">
        <v>940</v>
      </c>
      <c r="J602" s="253">
        <f t="shared" si="1440"/>
        <v>2850</v>
      </c>
      <c r="K602" s="3262"/>
      <c r="L602" s="254">
        <f t="shared" si="1441"/>
        <v>2850</v>
      </c>
      <c r="M602" s="3262">
        <v>1505</v>
      </c>
      <c r="N602" s="143">
        <f t="shared" si="1442"/>
        <v>4355</v>
      </c>
      <c r="O602" s="3262">
        <v>1575</v>
      </c>
      <c r="P602" s="144">
        <f t="shared" si="1443"/>
        <v>3080</v>
      </c>
      <c r="Q602" s="3026">
        <f t="shared" si="1444"/>
        <v>5930</v>
      </c>
      <c r="R602" s="3262">
        <v>1493</v>
      </c>
      <c r="S602" s="364">
        <f t="shared" si="1445"/>
        <v>7423</v>
      </c>
      <c r="T602" s="3262">
        <v>1650</v>
      </c>
      <c r="U602" s="364">
        <f t="shared" si="1446"/>
        <v>9073</v>
      </c>
      <c r="V602" s="3262">
        <v>1080</v>
      </c>
      <c r="W602" s="92">
        <f t="shared" si="1435"/>
        <v>4223</v>
      </c>
      <c r="X602" s="46">
        <f t="shared" si="1436"/>
        <v>10153</v>
      </c>
      <c r="Y602" s="3262">
        <v>875</v>
      </c>
      <c r="Z602" s="86">
        <f t="shared" si="1447"/>
        <v>11028</v>
      </c>
      <c r="AA602" s="3262">
        <v>995</v>
      </c>
      <c r="AB602" s="156">
        <f t="shared" si="1448"/>
        <v>12023</v>
      </c>
      <c r="AC602" s="3262">
        <v>903</v>
      </c>
      <c r="AD602" s="744">
        <f t="shared" si="1437"/>
        <v>2773</v>
      </c>
      <c r="AE602" s="990">
        <f t="shared" si="1438"/>
        <v>6996</v>
      </c>
      <c r="AF602" s="809">
        <f t="shared" si="1449"/>
        <v>12926</v>
      </c>
    </row>
    <row r="603" spans="3:38" ht="35" customHeight="1" x14ac:dyDescent="0.25">
      <c r="C603" s="338"/>
      <c r="D603" s="8425"/>
      <c r="E603" s="125" t="s">
        <v>205</v>
      </c>
      <c r="F603" s="3262">
        <v>316</v>
      </c>
      <c r="G603" s="3262">
        <v>157</v>
      </c>
      <c r="H603" s="254">
        <f t="shared" si="1439"/>
        <v>473</v>
      </c>
      <c r="I603" s="3262">
        <v>133</v>
      </c>
      <c r="J603" s="253">
        <f t="shared" si="1440"/>
        <v>606</v>
      </c>
      <c r="K603" s="3262"/>
      <c r="L603" s="254">
        <f t="shared" si="1441"/>
        <v>606</v>
      </c>
      <c r="M603" s="3262">
        <v>334</v>
      </c>
      <c r="N603" s="143">
        <f t="shared" si="1442"/>
        <v>940</v>
      </c>
      <c r="O603" s="3262">
        <v>166</v>
      </c>
      <c r="P603" s="144">
        <f t="shared" si="1443"/>
        <v>500</v>
      </c>
      <c r="Q603" s="3026">
        <f t="shared" si="1444"/>
        <v>1106</v>
      </c>
      <c r="R603" s="3262">
        <v>392</v>
      </c>
      <c r="S603" s="364">
        <f t="shared" si="1445"/>
        <v>1498</v>
      </c>
      <c r="T603" s="3262">
        <v>359.5</v>
      </c>
      <c r="U603" s="364">
        <f t="shared" si="1446"/>
        <v>1857.5</v>
      </c>
      <c r="V603" s="3262">
        <v>317</v>
      </c>
      <c r="W603" s="92">
        <f t="shared" si="1435"/>
        <v>1068.5</v>
      </c>
      <c r="X603" s="46">
        <f t="shared" si="1436"/>
        <v>2174.5</v>
      </c>
      <c r="Y603" s="3262">
        <v>192</v>
      </c>
      <c r="Z603" s="86">
        <f t="shared" si="1447"/>
        <v>2366.5</v>
      </c>
      <c r="AA603" s="3262">
        <v>203.5</v>
      </c>
      <c r="AB603" s="156">
        <f t="shared" si="1448"/>
        <v>2570</v>
      </c>
      <c r="AC603" s="3262">
        <v>201.5</v>
      </c>
      <c r="AD603" s="744">
        <f t="shared" si="1437"/>
        <v>597</v>
      </c>
      <c r="AE603" s="990">
        <f t="shared" si="1438"/>
        <v>1665.5</v>
      </c>
      <c r="AF603" s="809">
        <f t="shared" si="1449"/>
        <v>2771.5</v>
      </c>
    </row>
    <row r="604" spans="3:38" ht="35" customHeight="1" x14ac:dyDescent="0.25">
      <c r="C604" s="338"/>
      <c r="D604" s="8425"/>
      <c r="E604" s="125" t="s">
        <v>206</v>
      </c>
      <c r="F604" s="3262">
        <v>117</v>
      </c>
      <c r="G604" s="3262">
        <v>111</v>
      </c>
      <c r="H604" s="254">
        <f t="shared" si="1439"/>
        <v>228</v>
      </c>
      <c r="I604" s="3262">
        <v>89</v>
      </c>
      <c r="J604" s="253">
        <f t="shared" si="1440"/>
        <v>317</v>
      </c>
      <c r="K604" s="3262"/>
      <c r="L604" s="254">
        <f t="shared" si="1441"/>
        <v>317</v>
      </c>
      <c r="M604" s="3262">
        <v>65</v>
      </c>
      <c r="N604" s="143">
        <f t="shared" si="1442"/>
        <v>382</v>
      </c>
      <c r="O604" s="3262">
        <v>63</v>
      </c>
      <c r="P604" s="144">
        <f t="shared" si="1443"/>
        <v>128</v>
      </c>
      <c r="Q604" s="3026">
        <f t="shared" si="1444"/>
        <v>445</v>
      </c>
      <c r="R604" s="3262">
        <v>71</v>
      </c>
      <c r="S604" s="364">
        <f t="shared" si="1445"/>
        <v>516</v>
      </c>
      <c r="T604" s="3262">
        <v>61</v>
      </c>
      <c r="U604" s="364">
        <f t="shared" si="1446"/>
        <v>577</v>
      </c>
      <c r="V604" s="3262">
        <v>87</v>
      </c>
      <c r="W604" s="92">
        <f t="shared" si="1435"/>
        <v>219</v>
      </c>
      <c r="X604" s="46">
        <f t="shared" si="1436"/>
        <v>664</v>
      </c>
      <c r="Y604" s="3262">
        <v>110</v>
      </c>
      <c r="Z604" s="86">
        <f t="shared" si="1447"/>
        <v>774</v>
      </c>
      <c r="AA604" s="3262">
        <v>77</v>
      </c>
      <c r="AB604" s="156">
        <f t="shared" si="1448"/>
        <v>851</v>
      </c>
      <c r="AC604" s="3262">
        <v>86</v>
      </c>
      <c r="AD604" s="744">
        <f t="shared" si="1437"/>
        <v>273</v>
      </c>
      <c r="AE604" s="990">
        <f t="shared" si="1438"/>
        <v>492</v>
      </c>
      <c r="AF604" s="809">
        <f t="shared" si="1449"/>
        <v>937</v>
      </c>
    </row>
    <row r="605" spans="3:38" ht="35" customHeight="1" x14ac:dyDescent="0.25">
      <c r="C605" s="338"/>
      <c r="D605" s="8425"/>
      <c r="E605" s="125" t="s">
        <v>207</v>
      </c>
      <c r="F605" s="3262">
        <v>145</v>
      </c>
      <c r="G605" s="3262">
        <v>209</v>
      </c>
      <c r="H605" s="254">
        <f t="shared" si="1439"/>
        <v>354</v>
      </c>
      <c r="I605" s="3262">
        <v>254</v>
      </c>
      <c r="J605" s="253">
        <f t="shared" si="1440"/>
        <v>608</v>
      </c>
      <c r="K605" s="3262"/>
      <c r="L605" s="254">
        <f t="shared" si="1441"/>
        <v>608</v>
      </c>
      <c r="M605" s="3262">
        <v>302</v>
      </c>
      <c r="N605" s="143">
        <f t="shared" si="1442"/>
        <v>910</v>
      </c>
      <c r="O605" s="3262">
        <v>239</v>
      </c>
      <c r="P605" s="144">
        <f t="shared" si="1443"/>
        <v>541</v>
      </c>
      <c r="Q605" s="3026">
        <f t="shared" si="1444"/>
        <v>1149</v>
      </c>
      <c r="R605" s="3262">
        <v>250</v>
      </c>
      <c r="S605" s="364">
        <f t="shared" si="1445"/>
        <v>1399</v>
      </c>
      <c r="T605" s="3262">
        <v>139</v>
      </c>
      <c r="U605" s="364">
        <f t="shared" si="1446"/>
        <v>1538</v>
      </c>
      <c r="V605" s="3262">
        <v>186</v>
      </c>
      <c r="W605" s="92">
        <f t="shared" si="1435"/>
        <v>575</v>
      </c>
      <c r="X605" s="46">
        <f t="shared" si="1436"/>
        <v>1724</v>
      </c>
      <c r="Y605" s="3262">
        <v>142</v>
      </c>
      <c r="Z605" s="86">
        <f t="shared" si="1447"/>
        <v>1866</v>
      </c>
      <c r="AA605" s="3262">
        <v>190</v>
      </c>
      <c r="AB605" s="156">
        <f t="shared" si="1448"/>
        <v>2056</v>
      </c>
      <c r="AC605" s="3262">
        <v>167</v>
      </c>
      <c r="AD605" s="744">
        <f t="shared" si="1437"/>
        <v>499</v>
      </c>
      <c r="AE605" s="990">
        <f t="shared" si="1438"/>
        <v>1074</v>
      </c>
      <c r="AF605" s="809">
        <f t="shared" si="1449"/>
        <v>2223</v>
      </c>
    </row>
    <row r="606" spans="3:38" s="5141" customFormat="1" ht="35" customHeight="1" x14ac:dyDescent="0.25">
      <c r="C606" s="5140"/>
      <c r="D606" s="8425"/>
      <c r="E606" s="125" t="s">
        <v>208</v>
      </c>
      <c r="F606" s="3262">
        <v>4430</v>
      </c>
      <c r="G606" s="3262">
        <v>4470</v>
      </c>
      <c r="H606" s="254">
        <f t="shared" si="1439"/>
        <v>8900</v>
      </c>
      <c r="I606" s="3262">
        <v>4580</v>
      </c>
      <c r="J606" s="253">
        <f t="shared" si="1440"/>
        <v>13480</v>
      </c>
      <c r="K606" s="3262"/>
      <c r="L606" s="254">
        <f t="shared" si="1441"/>
        <v>13480</v>
      </c>
      <c r="M606" s="3262">
        <v>5385</v>
      </c>
      <c r="N606" s="143">
        <f t="shared" si="1442"/>
        <v>18865</v>
      </c>
      <c r="O606" s="3262">
        <v>5295</v>
      </c>
      <c r="P606" s="144">
        <f t="shared" si="1443"/>
        <v>10680</v>
      </c>
      <c r="Q606" s="3026">
        <f t="shared" si="1444"/>
        <v>24160</v>
      </c>
      <c r="R606" s="3262">
        <v>4820</v>
      </c>
      <c r="S606" s="364">
        <f t="shared" si="1445"/>
        <v>28980</v>
      </c>
      <c r="T606" s="3262">
        <v>4260</v>
      </c>
      <c r="U606" s="364">
        <f t="shared" si="1446"/>
        <v>33240</v>
      </c>
      <c r="V606" s="3262">
        <v>4640</v>
      </c>
      <c r="W606" s="92">
        <f t="shared" si="1435"/>
        <v>13720</v>
      </c>
      <c r="X606" s="46">
        <f t="shared" si="1436"/>
        <v>37880</v>
      </c>
      <c r="Y606" s="3262">
        <v>4550</v>
      </c>
      <c r="Z606" s="86">
        <f t="shared" si="1447"/>
        <v>42430</v>
      </c>
      <c r="AA606" s="3262">
        <v>4290</v>
      </c>
      <c r="AB606" s="156">
        <f t="shared" si="1448"/>
        <v>46720</v>
      </c>
      <c r="AC606" s="3262">
        <v>4590</v>
      </c>
      <c r="AD606" s="744">
        <f t="shared" si="1437"/>
        <v>13430</v>
      </c>
      <c r="AE606" s="990">
        <f t="shared" si="1438"/>
        <v>27150</v>
      </c>
      <c r="AF606" s="809">
        <f t="shared" si="1449"/>
        <v>51310</v>
      </c>
      <c r="AG606" s="5876"/>
      <c r="AH606" s="2104"/>
      <c r="AI606" s="2104"/>
      <c r="AJ606" s="2104"/>
      <c r="AK606" s="2104"/>
      <c r="AL606" s="2104"/>
    </row>
    <row r="607" spans="3:38" ht="35" customHeight="1" x14ac:dyDescent="0.25">
      <c r="C607" s="338"/>
      <c r="D607" s="8425"/>
      <c r="E607" s="125" t="s">
        <v>231</v>
      </c>
      <c r="F607" s="3262">
        <v>52</v>
      </c>
      <c r="G607" s="3262">
        <v>58</v>
      </c>
      <c r="H607" s="254">
        <f>SUM(F607:G607)</f>
        <v>110</v>
      </c>
      <c r="I607" s="3262">
        <v>38</v>
      </c>
      <c r="J607" s="253">
        <f>SUM(H607:I607)</f>
        <v>148</v>
      </c>
      <c r="K607" s="3262"/>
      <c r="L607" s="254">
        <f>SUM(J607:K607)</f>
        <v>148</v>
      </c>
      <c r="M607" s="3262">
        <v>37</v>
      </c>
      <c r="N607" s="143">
        <f>SUM(L607:M607)</f>
        <v>185</v>
      </c>
      <c r="O607" s="3262">
        <v>39</v>
      </c>
      <c r="P607" s="144">
        <f>+K607+M607+O607</f>
        <v>76</v>
      </c>
      <c r="Q607" s="3026">
        <f>+J607+P607</f>
        <v>224</v>
      </c>
      <c r="R607" s="3262">
        <v>50</v>
      </c>
      <c r="S607" s="364">
        <f>SUM(Q607:R607)</f>
        <v>274</v>
      </c>
      <c r="T607" s="3262">
        <v>49</v>
      </c>
      <c r="U607" s="364">
        <f>SUM(S607:T607)</f>
        <v>323</v>
      </c>
      <c r="V607" s="3262">
        <v>42</v>
      </c>
      <c r="W607" s="92">
        <f t="shared" si="1435"/>
        <v>141</v>
      </c>
      <c r="X607" s="46">
        <f t="shared" si="1436"/>
        <v>365</v>
      </c>
      <c r="Y607" s="3262">
        <v>29</v>
      </c>
      <c r="Z607" s="86">
        <f t="shared" si="1447"/>
        <v>394</v>
      </c>
      <c r="AA607" s="3262">
        <v>36</v>
      </c>
      <c r="AB607" s="156">
        <f t="shared" si="1448"/>
        <v>430</v>
      </c>
      <c r="AC607" s="3262">
        <v>55</v>
      </c>
      <c r="AD607" s="744">
        <f t="shared" si="1437"/>
        <v>120</v>
      </c>
      <c r="AE607" s="990">
        <f t="shared" si="1438"/>
        <v>261</v>
      </c>
      <c r="AF607" s="809">
        <f t="shared" si="1449"/>
        <v>485</v>
      </c>
      <c r="AG607" s="5876"/>
    </row>
    <row r="608" spans="3:38" s="5141" customFormat="1" ht="35" customHeight="1" x14ac:dyDescent="0.25">
      <c r="C608" s="5140"/>
      <c r="D608" s="8425"/>
      <c r="E608" s="125" t="s">
        <v>230</v>
      </c>
      <c r="F608" s="3262">
        <v>530</v>
      </c>
      <c r="G608" s="3262">
        <v>585</v>
      </c>
      <c r="H608" s="254">
        <f>SUM(F608:G608)</f>
        <v>1115</v>
      </c>
      <c r="I608" s="3262">
        <v>530</v>
      </c>
      <c r="J608" s="253">
        <f>SUM(H608:I608)</f>
        <v>1645</v>
      </c>
      <c r="K608" s="3262"/>
      <c r="L608" s="254">
        <f>SUM(J608:K608)</f>
        <v>1645</v>
      </c>
      <c r="M608" s="3262">
        <v>735</v>
      </c>
      <c r="N608" s="143">
        <f>SUM(L608:M608)</f>
        <v>2380</v>
      </c>
      <c r="O608" s="3262">
        <v>565</v>
      </c>
      <c r="P608" s="144">
        <f>+K608+M608+O608</f>
        <v>1300</v>
      </c>
      <c r="Q608" s="3026">
        <f>+J608+P608</f>
        <v>2945</v>
      </c>
      <c r="R608" s="3262">
        <v>625</v>
      </c>
      <c r="S608" s="364">
        <f>SUM(Q608:R608)</f>
        <v>3570</v>
      </c>
      <c r="T608" s="3262">
        <v>560</v>
      </c>
      <c r="U608" s="364">
        <f>SUM(S608:T608)</f>
        <v>4130</v>
      </c>
      <c r="V608" s="3262">
        <v>635</v>
      </c>
      <c r="W608" s="92">
        <f t="shared" si="1435"/>
        <v>1820</v>
      </c>
      <c r="X608" s="46">
        <f t="shared" si="1436"/>
        <v>4765</v>
      </c>
      <c r="Y608" s="3262">
        <v>685</v>
      </c>
      <c r="Z608" s="86">
        <f t="shared" si="1447"/>
        <v>5450</v>
      </c>
      <c r="AA608" s="3262">
        <v>590</v>
      </c>
      <c r="AB608" s="156">
        <f t="shared" si="1448"/>
        <v>6040</v>
      </c>
      <c r="AC608" s="3262">
        <v>655</v>
      </c>
      <c r="AD608" s="744">
        <f t="shared" si="1437"/>
        <v>1930</v>
      </c>
      <c r="AE608" s="990">
        <f t="shared" si="1438"/>
        <v>3750</v>
      </c>
      <c r="AF608" s="809">
        <f t="shared" si="1449"/>
        <v>6695</v>
      </c>
      <c r="AG608" s="5876"/>
      <c r="AH608" s="2104"/>
      <c r="AI608" s="2104"/>
      <c r="AJ608" s="2104"/>
      <c r="AK608" s="2104"/>
      <c r="AL608" s="2104"/>
    </row>
    <row r="609" spans="3:32" ht="35" customHeight="1" x14ac:dyDescent="0.25">
      <c r="C609" s="338"/>
      <c r="D609" s="8425"/>
      <c r="E609" s="125" t="s">
        <v>232</v>
      </c>
      <c r="F609" s="3262">
        <v>47.25</v>
      </c>
      <c r="G609" s="3262">
        <v>53</v>
      </c>
      <c r="H609" s="254">
        <f>SUM(F609:G609)</f>
        <v>100.25</v>
      </c>
      <c r="I609" s="3262">
        <v>49</v>
      </c>
      <c r="J609" s="253">
        <f>SUM(H609:I609)</f>
        <v>149.25</v>
      </c>
      <c r="K609" s="3262"/>
      <c r="L609" s="254">
        <f>SUM(J609:K609)</f>
        <v>149.25</v>
      </c>
      <c r="M609" s="3262">
        <v>47.75</v>
      </c>
      <c r="N609" s="143">
        <f>SUM(L609:M609)</f>
        <v>197</v>
      </c>
      <c r="O609" s="3262">
        <v>45.7</v>
      </c>
      <c r="P609" s="144">
        <f>+K609+M609+O609</f>
        <v>93.45</v>
      </c>
      <c r="Q609" s="3026">
        <f>+J609+P609</f>
        <v>242.7</v>
      </c>
      <c r="R609" s="3262">
        <v>42.5</v>
      </c>
      <c r="S609" s="364">
        <f>SUM(Q609:R609)</f>
        <v>285.2</v>
      </c>
      <c r="T609" s="3262">
        <v>35</v>
      </c>
      <c r="U609" s="364">
        <f>SUM(S609:T609)</f>
        <v>320.2</v>
      </c>
      <c r="V609" s="3262">
        <v>51.7</v>
      </c>
      <c r="W609" s="92">
        <f t="shared" si="1435"/>
        <v>129.19999999999999</v>
      </c>
      <c r="X609" s="46">
        <f t="shared" si="1436"/>
        <v>371.9</v>
      </c>
      <c r="Y609" s="3262">
        <v>34.5</v>
      </c>
      <c r="Z609" s="86">
        <f t="shared" si="1447"/>
        <v>406.4</v>
      </c>
      <c r="AA609" s="3262">
        <v>40</v>
      </c>
      <c r="AB609" s="156">
        <f>SUM(Z609:AA609)</f>
        <v>446.4</v>
      </c>
      <c r="AC609" s="3262">
        <v>52.5</v>
      </c>
      <c r="AD609" s="863">
        <f t="shared" si="1437"/>
        <v>127</v>
      </c>
      <c r="AE609" s="849">
        <f t="shared" si="1438"/>
        <v>256.2</v>
      </c>
      <c r="AF609" s="809">
        <f t="shared" si="1449"/>
        <v>498.9</v>
      </c>
    </row>
    <row r="610" spans="3:32" ht="35" customHeight="1" x14ac:dyDescent="0.25">
      <c r="C610" s="338"/>
      <c r="D610" s="8425"/>
      <c r="E610" s="503" t="s">
        <v>363</v>
      </c>
      <c r="F610" s="3262">
        <v>0</v>
      </c>
      <c r="G610" s="3262">
        <v>0</v>
      </c>
      <c r="H610" s="296">
        <f t="shared" ref="H610:H616" si="1450">SUM(F610:G610)</f>
        <v>0</v>
      </c>
      <c r="I610" s="3262">
        <v>0</v>
      </c>
      <c r="J610" s="313">
        <f t="shared" ref="J610:J616" si="1451">SUM(H610:I610)</f>
        <v>0</v>
      </c>
      <c r="K610" s="3262"/>
      <c r="L610" s="296">
        <f t="shared" ref="L610:L616" si="1452">SUM(J610:K610)</f>
        <v>0</v>
      </c>
      <c r="M610" s="3262">
        <v>0</v>
      </c>
      <c r="N610" s="143">
        <f t="shared" ref="N610:N616" si="1453">SUM(L610:M610)</f>
        <v>0</v>
      </c>
      <c r="O610" s="3262">
        <v>0</v>
      </c>
      <c r="P610" s="74">
        <f t="shared" ref="P610:P616" si="1454">+K610+M610+O610</f>
        <v>0</v>
      </c>
      <c r="Q610" s="348">
        <f t="shared" ref="Q610:Q616" si="1455">+J610+P610</f>
        <v>0</v>
      </c>
      <c r="R610" s="3262">
        <v>0</v>
      </c>
      <c r="S610" s="86">
        <f t="shared" ref="S610:S616" si="1456">SUM(Q610:R610)</f>
        <v>0</v>
      </c>
      <c r="T610" s="3262">
        <v>0</v>
      </c>
      <c r="U610" s="86">
        <f t="shared" ref="U610:U616" si="1457">SUM(S610:T610)</f>
        <v>0</v>
      </c>
      <c r="V610" s="3262">
        <v>0</v>
      </c>
      <c r="W610" s="92">
        <f t="shared" ref="W610:W616" si="1458">+R610+T610+V610</f>
        <v>0</v>
      </c>
      <c r="X610" s="46">
        <f t="shared" ref="X610:X616" si="1459">+U610+V610</f>
        <v>0</v>
      </c>
      <c r="Y610" s="3262">
        <v>0</v>
      </c>
      <c r="Z610" s="86">
        <f t="shared" ref="Z610:Z616" si="1460">SUM(X610:Y610)</f>
        <v>0</v>
      </c>
      <c r="AA610" s="3262">
        <v>0</v>
      </c>
      <c r="AB610" s="156">
        <f t="shared" ref="AB610:AB616" si="1461">SUM(Z610:AA610)</f>
        <v>0</v>
      </c>
      <c r="AC610" s="3262">
        <v>0</v>
      </c>
      <c r="AD610" s="863">
        <f t="shared" ref="AD610:AD616" si="1462">+Y610+AA610+AC610</f>
        <v>0</v>
      </c>
      <c r="AE610" s="849">
        <f t="shared" ref="AE610:AE616" si="1463">+W610+AD610</f>
        <v>0</v>
      </c>
      <c r="AF610" s="809">
        <f t="shared" si="1449"/>
        <v>0</v>
      </c>
    </row>
    <row r="611" spans="3:32" ht="35" customHeight="1" x14ac:dyDescent="0.25">
      <c r="C611" s="338"/>
      <c r="D611" s="8425"/>
      <c r="E611" s="503" t="s">
        <v>364</v>
      </c>
      <c r="F611" s="3262">
        <v>0</v>
      </c>
      <c r="G611" s="3262">
        <v>0</v>
      </c>
      <c r="H611" s="296">
        <f t="shared" si="1450"/>
        <v>0</v>
      </c>
      <c r="I611" s="3262">
        <v>0</v>
      </c>
      <c r="J611" s="313">
        <f t="shared" si="1451"/>
        <v>0</v>
      </c>
      <c r="K611" s="3262"/>
      <c r="L611" s="296">
        <f t="shared" si="1452"/>
        <v>0</v>
      </c>
      <c r="M611" s="3262">
        <v>0</v>
      </c>
      <c r="N611" s="122">
        <f t="shared" si="1453"/>
        <v>0</v>
      </c>
      <c r="O611" s="3262">
        <v>0</v>
      </c>
      <c r="P611" s="74">
        <f t="shared" si="1454"/>
        <v>0</v>
      </c>
      <c r="Q611" s="348">
        <f t="shared" si="1455"/>
        <v>0</v>
      </c>
      <c r="R611" s="3262">
        <v>0</v>
      </c>
      <c r="S611" s="86">
        <f t="shared" si="1456"/>
        <v>0</v>
      </c>
      <c r="T611" s="3262">
        <v>0</v>
      </c>
      <c r="U611" s="86">
        <f t="shared" si="1457"/>
        <v>0</v>
      </c>
      <c r="V611" s="3262">
        <v>0</v>
      </c>
      <c r="W611" s="118">
        <f t="shared" si="1458"/>
        <v>0</v>
      </c>
      <c r="X611" s="46">
        <f t="shared" si="1459"/>
        <v>0</v>
      </c>
      <c r="Y611" s="3262">
        <v>0</v>
      </c>
      <c r="Z611" s="86">
        <f t="shared" si="1460"/>
        <v>0</v>
      </c>
      <c r="AA611" s="3262">
        <v>0</v>
      </c>
      <c r="AB611" s="156">
        <f t="shared" si="1461"/>
        <v>0</v>
      </c>
      <c r="AC611" s="3262">
        <v>0</v>
      </c>
      <c r="AD611" s="863">
        <f t="shared" si="1462"/>
        <v>0</v>
      </c>
      <c r="AE611" s="849">
        <f t="shared" si="1463"/>
        <v>0</v>
      </c>
      <c r="AF611" s="809">
        <f t="shared" si="1449"/>
        <v>0</v>
      </c>
    </row>
    <row r="612" spans="3:32" ht="35" customHeight="1" x14ac:dyDescent="0.25">
      <c r="C612" s="338"/>
      <c r="D612" s="8425"/>
      <c r="E612" s="503" t="s">
        <v>365</v>
      </c>
      <c r="F612" s="3262">
        <v>0</v>
      </c>
      <c r="G612" s="3262">
        <v>0</v>
      </c>
      <c r="H612" s="254">
        <f t="shared" si="1450"/>
        <v>0</v>
      </c>
      <c r="I612" s="3262">
        <v>0</v>
      </c>
      <c r="J612" s="253">
        <f t="shared" si="1451"/>
        <v>0</v>
      </c>
      <c r="K612" s="3262"/>
      <c r="L612" s="254">
        <f t="shared" si="1452"/>
        <v>0</v>
      </c>
      <c r="M612" s="3262">
        <v>0</v>
      </c>
      <c r="N612" s="143">
        <f t="shared" si="1453"/>
        <v>0</v>
      </c>
      <c r="O612" s="3262">
        <v>0</v>
      </c>
      <c r="P612" s="144">
        <f t="shared" si="1454"/>
        <v>0</v>
      </c>
      <c r="Q612" s="3026">
        <f t="shared" si="1455"/>
        <v>0</v>
      </c>
      <c r="R612" s="3262">
        <v>0</v>
      </c>
      <c r="S612" s="364">
        <f t="shared" si="1456"/>
        <v>0</v>
      </c>
      <c r="T612" s="3262">
        <v>0</v>
      </c>
      <c r="U612" s="364">
        <f t="shared" si="1457"/>
        <v>0</v>
      </c>
      <c r="V612" s="3262">
        <v>0</v>
      </c>
      <c r="W612" s="92">
        <f t="shared" si="1458"/>
        <v>0</v>
      </c>
      <c r="X612" s="46">
        <f t="shared" si="1459"/>
        <v>0</v>
      </c>
      <c r="Y612" s="3262">
        <v>0</v>
      </c>
      <c r="Z612" s="86">
        <f t="shared" si="1460"/>
        <v>0</v>
      </c>
      <c r="AA612" s="3262">
        <v>0</v>
      </c>
      <c r="AB612" s="156">
        <f t="shared" si="1461"/>
        <v>0</v>
      </c>
      <c r="AC612" s="3262">
        <v>0</v>
      </c>
      <c r="AD612" s="863">
        <f t="shared" si="1462"/>
        <v>0</v>
      </c>
      <c r="AE612" s="1337">
        <f t="shared" si="1463"/>
        <v>0</v>
      </c>
      <c r="AF612" s="809">
        <f t="shared" si="1449"/>
        <v>0</v>
      </c>
    </row>
    <row r="613" spans="3:32" ht="35" customHeight="1" x14ac:dyDescent="0.25">
      <c r="C613" s="338"/>
      <c r="D613" s="8425"/>
      <c r="E613" s="503" t="s">
        <v>366</v>
      </c>
      <c r="F613" s="3262">
        <v>0</v>
      </c>
      <c r="G613" s="3262">
        <v>0</v>
      </c>
      <c r="H613" s="254">
        <f t="shared" si="1450"/>
        <v>0</v>
      </c>
      <c r="I613" s="3262">
        <v>0</v>
      </c>
      <c r="J613" s="253">
        <f t="shared" si="1451"/>
        <v>0</v>
      </c>
      <c r="K613" s="3262"/>
      <c r="L613" s="254">
        <f t="shared" si="1452"/>
        <v>0</v>
      </c>
      <c r="M613" s="3262">
        <v>0</v>
      </c>
      <c r="N613" s="143">
        <f t="shared" si="1453"/>
        <v>0</v>
      </c>
      <c r="O613" s="3262">
        <v>0</v>
      </c>
      <c r="P613" s="144">
        <f t="shared" si="1454"/>
        <v>0</v>
      </c>
      <c r="Q613" s="3026">
        <f t="shared" si="1455"/>
        <v>0</v>
      </c>
      <c r="R613" s="3262">
        <v>0</v>
      </c>
      <c r="S613" s="364">
        <f t="shared" si="1456"/>
        <v>0</v>
      </c>
      <c r="T613" s="3262">
        <v>0</v>
      </c>
      <c r="U613" s="364">
        <f t="shared" si="1457"/>
        <v>0</v>
      </c>
      <c r="V613" s="3262">
        <v>0</v>
      </c>
      <c r="W613" s="92">
        <f t="shared" si="1458"/>
        <v>0</v>
      </c>
      <c r="X613" s="46">
        <f t="shared" si="1459"/>
        <v>0</v>
      </c>
      <c r="Y613" s="3262">
        <v>0</v>
      </c>
      <c r="Z613" s="86">
        <f t="shared" si="1460"/>
        <v>0</v>
      </c>
      <c r="AA613" s="3262">
        <v>0</v>
      </c>
      <c r="AB613" s="156">
        <f t="shared" si="1461"/>
        <v>0</v>
      </c>
      <c r="AC613" s="3262">
        <v>0</v>
      </c>
      <c r="AD613" s="863">
        <f t="shared" si="1462"/>
        <v>0</v>
      </c>
      <c r="AE613" s="1337">
        <f t="shared" si="1463"/>
        <v>0</v>
      </c>
      <c r="AF613" s="809">
        <f t="shared" si="1449"/>
        <v>0</v>
      </c>
    </row>
    <row r="614" spans="3:32" ht="35" customHeight="1" x14ac:dyDescent="0.25">
      <c r="C614" s="338"/>
      <c r="D614" s="8425"/>
      <c r="E614" s="503" t="s">
        <v>367</v>
      </c>
      <c r="F614" s="3262">
        <v>0</v>
      </c>
      <c r="G614" s="3262">
        <v>0</v>
      </c>
      <c r="H614" s="296">
        <f t="shared" si="1450"/>
        <v>0</v>
      </c>
      <c r="I614" s="3262">
        <v>0</v>
      </c>
      <c r="J614" s="313">
        <f t="shared" si="1451"/>
        <v>0</v>
      </c>
      <c r="K614" s="3262"/>
      <c r="L614" s="296">
        <f t="shared" si="1452"/>
        <v>0</v>
      </c>
      <c r="M614" s="3262">
        <v>0</v>
      </c>
      <c r="N614" s="122">
        <f t="shared" si="1453"/>
        <v>0</v>
      </c>
      <c r="O614" s="3262">
        <v>0</v>
      </c>
      <c r="P614" s="74">
        <f t="shared" si="1454"/>
        <v>0</v>
      </c>
      <c r="Q614" s="348">
        <f t="shared" si="1455"/>
        <v>0</v>
      </c>
      <c r="R614" s="3262">
        <v>0</v>
      </c>
      <c r="S614" s="86">
        <f t="shared" si="1456"/>
        <v>0</v>
      </c>
      <c r="T614" s="3262">
        <v>0</v>
      </c>
      <c r="U614" s="86">
        <f t="shared" si="1457"/>
        <v>0</v>
      </c>
      <c r="V614" s="3262">
        <v>0</v>
      </c>
      <c r="W614" s="118">
        <f t="shared" si="1458"/>
        <v>0</v>
      </c>
      <c r="X614" s="46">
        <f t="shared" si="1459"/>
        <v>0</v>
      </c>
      <c r="Y614" s="3262">
        <v>0</v>
      </c>
      <c r="Z614" s="86">
        <f t="shared" si="1460"/>
        <v>0</v>
      </c>
      <c r="AA614" s="3262">
        <v>0</v>
      </c>
      <c r="AB614" s="156">
        <f t="shared" si="1461"/>
        <v>0</v>
      </c>
      <c r="AC614" s="3262">
        <v>0</v>
      </c>
      <c r="AD614" s="863">
        <f t="shared" si="1462"/>
        <v>0</v>
      </c>
      <c r="AE614" s="1337">
        <f t="shared" si="1463"/>
        <v>0</v>
      </c>
      <c r="AF614" s="809">
        <f t="shared" si="1449"/>
        <v>0</v>
      </c>
    </row>
    <row r="615" spans="3:32" ht="35" customHeight="1" x14ac:dyDescent="0.25">
      <c r="C615" s="338"/>
      <c r="D615" s="8425"/>
      <c r="E615" s="170" t="s">
        <v>1145</v>
      </c>
      <c r="F615" s="3262">
        <v>0</v>
      </c>
      <c r="G615" s="3262">
        <v>0</v>
      </c>
      <c r="H615" s="296">
        <f t="shared" si="1450"/>
        <v>0</v>
      </c>
      <c r="I615" s="3262">
        <v>0</v>
      </c>
      <c r="J615" s="313">
        <f t="shared" si="1451"/>
        <v>0</v>
      </c>
      <c r="K615" s="3262"/>
      <c r="L615" s="296">
        <f t="shared" si="1452"/>
        <v>0</v>
      </c>
      <c r="M615" s="3262">
        <v>0</v>
      </c>
      <c r="N615" s="122">
        <f t="shared" si="1453"/>
        <v>0</v>
      </c>
      <c r="O615" s="3262">
        <v>0</v>
      </c>
      <c r="P615" s="74">
        <f t="shared" si="1454"/>
        <v>0</v>
      </c>
      <c r="Q615" s="348">
        <f t="shared" si="1455"/>
        <v>0</v>
      </c>
      <c r="R615" s="3262">
        <v>0</v>
      </c>
      <c r="S615" s="86">
        <f t="shared" si="1456"/>
        <v>0</v>
      </c>
      <c r="T615" s="3262">
        <v>0</v>
      </c>
      <c r="U615" s="86">
        <f t="shared" si="1457"/>
        <v>0</v>
      </c>
      <c r="V615" s="3262">
        <v>0</v>
      </c>
      <c r="W615" s="92">
        <f t="shared" si="1458"/>
        <v>0</v>
      </c>
      <c r="X615" s="46">
        <f t="shared" si="1459"/>
        <v>0</v>
      </c>
      <c r="Y615" s="3262">
        <v>0</v>
      </c>
      <c r="Z615" s="86">
        <f t="shared" si="1460"/>
        <v>0</v>
      </c>
      <c r="AA615" s="3262">
        <v>0</v>
      </c>
      <c r="AB615" s="156">
        <f t="shared" si="1461"/>
        <v>0</v>
      </c>
      <c r="AC615" s="3262">
        <v>0</v>
      </c>
      <c r="AD615" s="863">
        <f t="shared" si="1462"/>
        <v>0</v>
      </c>
      <c r="AE615" s="1337">
        <f t="shared" si="1463"/>
        <v>0</v>
      </c>
      <c r="AF615" s="809">
        <f t="shared" si="1449"/>
        <v>0</v>
      </c>
    </row>
    <row r="616" spans="3:32" ht="35" customHeight="1" x14ac:dyDescent="0.25">
      <c r="C616" s="338"/>
      <c r="D616" s="8425"/>
      <c r="E616" s="170" t="s">
        <v>1146</v>
      </c>
      <c r="F616" s="3262">
        <v>0</v>
      </c>
      <c r="G616" s="3262">
        <v>0</v>
      </c>
      <c r="H616" s="296">
        <f t="shared" si="1450"/>
        <v>0</v>
      </c>
      <c r="I616" s="3262">
        <v>0</v>
      </c>
      <c r="J616" s="313">
        <f t="shared" si="1451"/>
        <v>0</v>
      </c>
      <c r="K616" s="3262"/>
      <c r="L616" s="296">
        <f t="shared" si="1452"/>
        <v>0</v>
      </c>
      <c r="M616" s="3262">
        <v>0</v>
      </c>
      <c r="N616" s="122">
        <f t="shared" si="1453"/>
        <v>0</v>
      </c>
      <c r="O616" s="3262">
        <v>0</v>
      </c>
      <c r="P616" s="74">
        <f t="shared" si="1454"/>
        <v>0</v>
      </c>
      <c r="Q616" s="348">
        <f t="shared" si="1455"/>
        <v>0</v>
      </c>
      <c r="R616" s="3262">
        <v>0</v>
      </c>
      <c r="S616" s="86">
        <f t="shared" si="1456"/>
        <v>0</v>
      </c>
      <c r="T616" s="3262">
        <v>0</v>
      </c>
      <c r="U616" s="86">
        <f t="shared" si="1457"/>
        <v>0</v>
      </c>
      <c r="V616" s="3262">
        <v>0</v>
      </c>
      <c r="W616" s="92">
        <f t="shared" si="1458"/>
        <v>0</v>
      </c>
      <c r="X616" s="46">
        <f t="shared" si="1459"/>
        <v>0</v>
      </c>
      <c r="Y616" s="3262">
        <v>0</v>
      </c>
      <c r="Z616" s="86">
        <f t="shared" si="1460"/>
        <v>0</v>
      </c>
      <c r="AA616" s="3262">
        <v>0</v>
      </c>
      <c r="AB616" s="156">
        <f t="shared" si="1461"/>
        <v>0</v>
      </c>
      <c r="AC616" s="3262">
        <v>0</v>
      </c>
      <c r="AD616" s="863">
        <f t="shared" si="1462"/>
        <v>0</v>
      </c>
      <c r="AE616" s="1337">
        <f t="shared" si="1463"/>
        <v>0</v>
      </c>
      <c r="AF616" s="809">
        <f t="shared" si="1449"/>
        <v>0</v>
      </c>
    </row>
    <row r="617" spans="3:32" ht="35" customHeight="1" x14ac:dyDescent="0.35">
      <c r="C617" s="338"/>
      <c r="D617" s="8458">
        <v>34</v>
      </c>
      <c r="E617" s="32" t="s">
        <v>1380</v>
      </c>
      <c r="F617" s="3729"/>
      <c r="G617" s="3729"/>
      <c r="H617" s="3728"/>
      <c r="I617" s="3729"/>
      <c r="J617" s="3728"/>
      <c r="K617" s="3729"/>
      <c r="L617" s="3728"/>
      <c r="M617" s="3729"/>
      <c r="N617" s="129"/>
      <c r="O617" s="3729"/>
      <c r="P617" s="129"/>
      <c r="Q617" s="3027"/>
      <c r="R617" s="3729"/>
      <c r="S617" s="109"/>
      <c r="T617" s="3729"/>
      <c r="U617" s="109"/>
      <c r="V617" s="3729"/>
      <c r="W617" s="109"/>
      <c r="X617" s="2456"/>
      <c r="Y617" s="3729"/>
      <c r="Z617" s="109"/>
      <c r="AA617" s="3729"/>
      <c r="AB617" s="2497"/>
      <c r="AC617" s="3729"/>
      <c r="AD617" s="2497"/>
      <c r="AE617" s="2497"/>
      <c r="AF617" s="2490"/>
    </row>
    <row r="618" spans="3:32" ht="35" customHeight="1" x14ac:dyDescent="0.25">
      <c r="C618" s="338"/>
      <c r="D618" s="8459"/>
      <c r="E618" s="130" t="s">
        <v>263</v>
      </c>
      <c r="F618" s="4764">
        <f>+F248</f>
        <v>1130900</v>
      </c>
      <c r="G618" s="4764">
        <f>+G248</f>
        <v>1171400</v>
      </c>
      <c r="H618" s="432">
        <f>SUM(F618:G618)</f>
        <v>2302300</v>
      </c>
      <c r="I618" s="4764">
        <f>+I248</f>
        <v>1156410</v>
      </c>
      <c r="J618" s="427">
        <f>SUM(H618:I618)</f>
        <v>3458710</v>
      </c>
      <c r="K618" s="4764">
        <f>+K248</f>
        <v>0</v>
      </c>
      <c r="L618" s="432">
        <f>SUM(J618:K618)</f>
        <v>3458710</v>
      </c>
      <c r="M618" s="4764">
        <f>+M248</f>
        <v>1340200</v>
      </c>
      <c r="N618" s="132">
        <f>SUM(L618:M618)</f>
        <v>4798910</v>
      </c>
      <c r="O618" s="4764">
        <f>+O248</f>
        <v>1288600</v>
      </c>
      <c r="P618" s="133">
        <f>+K618+M618+O618</f>
        <v>2628800</v>
      </c>
      <c r="Q618" s="350">
        <f>+P618+J618</f>
        <v>6087510</v>
      </c>
      <c r="R618" s="4764">
        <f>+R248</f>
        <v>1365400</v>
      </c>
      <c r="S618" s="86">
        <f>SUM(Q618:R618)</f>
        <v>7452910</v>
      </c>
      <c r="T618" s="4764">
        <f>+T248</f>
        <v>1228650</v>
      </c>
      <c r="U618" s="86">
        <f>SUM(S618:T618)</f>
        <v>8681560</v>
      </c>
      <c r="V618" s="4764">
        <f>+V248</f>
        <v>1288300</v>
      </c>
      <c r="W618" s="87">
        <f t="shared" si="1435"/>
        <v>3882350</v>
      </c>
      <c r="X618" s="84">
        <f t="shared" si="1436"/>
        <v>9969860</v>
      </c>
      <c r="Y618" s="4764">
        <f>+Y248</f>
        <v>1361100</v>
      </c>
      <c r="Z618" s="86">
        <f>SUM(X618:Y618)</f>
        <v>11330960</v>
      </c>
      <c r="AA618" s="4764">
        <f>+AA248</f>
        <v>1188600</v>
      </c>
      <c r="AB618" s="84">
        <f>SUM(Z618:AA618)</f>
        <v>12519560</v>
      </c>
      <c r="AC618" s="4764">
        <f>+AC248</f>
        <v>1189400</v>
      </c>
      <c r="AD618" s="721">
        <f t="shared" ref="AD618:AD620" si="1464">+Y618+AA618+AC618</f>
        <v>3739100</v>
      </c>
      <c r="AE618" s="990">
        <f t="shared" ref="AE618:AE620" si="1465">+W618+AD618</f>
        <v>7621450</v>
      </c>
      <c r="AF618" s="714">
        <f t="shared" si="1449"/>
        <v>13708960</v>
      </c>
    </row>
    <row r="619" spans="3:32" ht="35" customHeight="1" x14ac:dyDescent="0.25">
      <c r="C619" s="338"/>
      <c r="D619" s="8459"/>
      <c r="E619" s="111" t="s">
        <v>223</v>
      </c>
      <c r="F619" s="4764">
        <f>+F249</f>
        <v>81500</v>
      </c>
      <c r="G619" s="4764">
        <f>+G249</f>
        <v>85300</v>
      </c>
      <c r="H619" s="1482">
        <f>SUM(F619:G619)</f>
        <v>166800</v>
      </c>
      <c r="I619" s="4764">
        <f>+I249</f>
        <v>80490</v>
      </c>
      <c r="J619" s="401">
        <f>SUM(H619:I619)</f>
        <v>247290</v>
      </c>
      <c r="K619" s="4764">
        <f>+K249</f>
        <v>0</v>
      </c>
      <c r="L619" s="1482">
        <f>SUM(J619:K619)</f>
        <v>247290</v>
      </c>
      <c r="M619" s="4764">
        <f>+M249</f>
        <v>89600</v>
      </c>
      <c r="N619" s="96">
        <f>SUM(L619:M619)</f>
        <v>336890</v>
      </c>
      <c r="O619" s="4764">
        <f>+O249</f>
        <v>110200</v>
      </c>
      <c r="P619" s="98">
        <f>+K619+M619+O619</f>
        <v>199800</v>
      </c>
      <c r="Q619" s="350">
        <f>+P619+J619</f>
        <v>447090</v>
      </c>
      <c r="R619" s="4764">
        <f>+R249</f>
        <v>84700</v>
      </c>
      <c r="S619" s="86">
        <f>SUM(Q619:R619)</f>
        <v>531790</v>
      </c>
      <c r="T619" s="4764">
        <f>+T249</f>
        <v>82850</v>
      </c>
      <c r="U619" s="86">
        <f>SUM(S619:T619)</f>
        <v>614640</v>
      </c>
      <c r="V619" s="4764">
        <f>+V249</f>
        <v>88000</v>
      </c>
      <c r="W619" s="118">
        <f t="shared" si="1435"/>
        <v>255550</v>
      </c>
      <c r="X619" s="86">
        <f t="shared" si="1436"/>
        <v>702640</v>
      </c>
      <c r="Y619" s="4764">
        <f>+Y249</f>
        <v>88700</v>
      </c>
      <c r="Z619" s="86">
        <f>SUM(X619:Y619)</f>
        <v>791340</v>
      </c>
      <c r="AA619" s="4764">
        <f>+AA249</f>
        <v>81100</v>
      </c>
      <c r="AB619" s="84">
        <f>SUM(Z619:AA619)</f>
        <v>872440</v>
      </c>
      <c r="AC619" s="4764">
        <f>+AC249</f>
        <v>85300</v>
      </c>
      <c r="AD619" s="721">
        <f t="shared" si="1464"/>
        <v>255100</v>
      </c>
      <c r="AE619" s="990">
        <f t="shared" si="1465"/>
        <v>510650</v>
      </c>
      <c r="AF619" s="714">
        <f t="shared" si="1449"/>
        <v>957740</v>
      </c>
    </row>
    <row r="620" spans="3:32" ht="35" customHeight="1" thickBot="1" x14ac:dyDescent="0.3">
      <c r="C620" s="341"/>
      <c r="D620" s="8460"/>
      <c r="E620" s="2449" t="s">
        <v>15</v>
      </c>
      <c r="F620" s="2450">
        <f t="shared" ref="F620:G620" si="1466">SUM(F618:F619)</f>
        <v>1212400</v>
      </c>
      <c r="G620" s="2450">
        <f t="shared" si="1466"/>
        <v>1256700</v>
      </c>
      <c r="H620" s="3556">
        <f t="shared" ref="H620:R620" si="1467">SUM(H618:H619)</f>
        <v>2469100</v>
      </c>
      <c r="I620" s="2450">
        <f t="shared" si="1467"/>
        <v>1236900</v>
      </c>
      <c r="J620" s="3497">
        <f t="shared" si="1467"/>
        <v>3706000</v>
      </c>
      <c r="K620" s="2450">
        <f t="shared" si="1467"/>
        <v>0</v>
      </c>
      <c r="L620" s="3556">
        <f t="shared" si="1467"/>
        <v>3706000</v>
      </c>
      <c r="M620" s="2450">
        <f t="shared" ref="M620:O620" si="1468">SUM(M618:M619)</f>
        <v>1429800</v>
      </c>
      <c r="N620" s="2451">
        <f t="shared" si="1467"/>
        <v>5135800</v>
      </c>
      <c r="O620" s="2450">
        <f t="shared" si="1468"/>
        <v>1398800</v>
      </c>
      <c r="P620" s="2452">
        <f t="shared" si="1467"/>
        <v>2828600</v>
      </c>
      <c r="Q620" s="2453">
        <f t="shared" si="1467"/>
        <v>6534600</v>
      </c>
      <c r="R620" s="2450">
        <f t="shared" si="1467"/>
        <v>1450100</v>
      </c>
      <c r="S620" s="2454">
        <f t="shared" ref="S620:X620" si="1469">SUM(S618:S619)</f>
        <v>7984700</v>
      </c>
      <c r="T620" s="2450">
        <f t="shared" si="1469"/>
        <v>1311500</v>
      </c>
      <c r="U620" s="2454">
        <f t="shared" si="1469"/>
        <v>9296200</v>
      </c>
      <c r="V620" s="2450">
        <f t="shared" si="1469"/>
        <v>1376300</v>
      </c>
      <c r="W620" s="2455">
        <f t="shared" si="1469"/>
        <v>4137900</v>
      </c>
      <c r="X620" s="2454">
        <f t="shared" si="1469"/>
        <v>10672500</v>
      </c>
      <c r="Y620" s="2450">
        <f t="shared" ref="Y620" si="1470">SUM(Y618:Y619)</f>
        <v>1449800</v>
      </c>
      <c r="Z620" s="2454">
        <f>SUM(Z618:Z619)</f>
        <v>12122300</v>
      </c>
      <c r="AA620" s="2450">
        <f t="shared" ref="AA620" si="1471">SUM(AA618:AA619)</f>
        <v>1269700</v>
      </c>
      <c r="AB620" s="2454">
        <f>SUM(Z620:AA620)</f>
        <v>13392000</v>
      </c>
      <c r="AC620" s="2450">
        <f t="shared" ref="AC620" si="1472">SUM(AC618:AC619)</f>
        <v>1274700</v>
      </c>
      <c r="AD620" s="2471">
        <f t="shared" si="1464"/>
        <v>3994200</v>
      </c>
      <c r="AE620" s="2472">
        <f t="shared" si="1465"/>
        <v>8132100</v>
      </c>
      <c r="AF620" s="2473">
        <f t="shared" si="1449"/>
        <v>14666700</v>
      </c>
    </row>
    <row r="621" spans="3:32" ht="35" customHeight="1" thickTop="1" thickBot="1" x14ac:dyDescent="0.3">
      <c r="C621" s="338"/>
      <c r="D621" s="197"/>
      <c r="E621" s="323" t="s">
        <v>1473</v>
      </c>
      <c r="F621" s="3731"/>
      <c r="G621" s="3731"/>
      <c r="H621" s="3686"/>
      <c r="I621" s="3731"/>
      <c r="J621" s="3730"/>
      <c r="K621" s="3731"/>
      <c r="L621" s="3730"/>
      <c r="M621" s="3731"/>
      <c r="N621" s="3730"/>
      <c r="O621" s="3731"/>
      <c r="P621" s="3731"/>
      <c r="Q621" s="3731"/>
      <c r="R621" s="3731"/>
      <c r="S621" s="3731"/>
      <c r="T621" s="3731"/>
      <c r="U621" s="3731"/>
      <c r="V621" s="3731"/>
      <c r="W621" s="3731"/>
      <c r="X621" s="3731"/>
      <c r="Y621" s="3731"/>
      <c r="Z621" s="3731"/>
      <c r="AA621" s="3731"/>
      <c r="AB621" s="3730"/>
      <c r="AC621" s="3731"/>
      <c r="AD621" s="3730"/>
      <c r="AE621" s="3731"/>
      <c r="AF621" s="3731"/>
    </row>
    <row r="622" spans="3:32" ht="35" customHeight="1" thickBot="1" x14ac:dyDescent="0.35">
      <c r="C622" s="338"/>
      <c r="D622" s="199" t="s">
        <v>10</v>
      </c>
      <c r="E622" s="200" t="s">
        <v>1</v>
      </c>
      <c r="F622" s="3733" t="s">
        <v>9</v>
      </c>
      <c r="G622" s="3733" t="s">
        <v>51</v>
      </c>
      <c r="H622" s="3732" t="s">
        <v>52</v>
      </c>
      <c r="I622" s="3733" t="s">
        <v>1073</v>
      </c>
      <c r="J622" s="3696" t="s">
        <v>60</v>
      </c>
      <c r="K622" s="3733" t="s">
        <v>2117</v>
      </c>
      <c r="L622" s="3734" t="s">
        <v>62</v>
      </c>
      <c r="M622" s="3733" t="s">
        <v>63</v>
      </c>
      <c r="N622" s="3735" t="s">
        <v>64</v>
      </c>
      <c r="O622" s="3733" t="s">
        <v>65</v>
      </c>
      <c r="P622" s="3696" t="s">
        <v>66</v>
      </c>
      <c r="Q622" s="3734" t="s">
        <v>82</v>
      </c>
      <c r="R622" s="3733" t="s">
        <v>100</v>
      </c>
      <c r="S622" s="3734" t="s">
        <v>101</v>
      </c>
      <c r="T622" s="3733" t="s">
        <v>104</v>
      </c>
      <c r="U622" s="3734" t="s">
        <v>105</v>
      </c>
      <c r="V622" s="3733" t="s">
        <v>106</v>
      </c>
      <c r="W622" s="3734" t="s">
        <v>107</v>
      </c>
      <c r="X622" s="3734" t="s">
        <v>108</v>
      </c>
      <c r="Y622" s="3733" t="s">
        <v>109</v>
      </c>
      <c r="Z622" s="3734" t="s">
        <v>110</v>
      </c>
      <c r="AA622" s="3733" t="s">
        <v>112</v>
      </c>
      <c r="AB622" s="3736" t="str">
        <f>+AB534</f>
        <v>11 M</v>
      </c>
      <c r="AC622" s="3733" t="s">
        <v>114</v>
      </c>
      <c r="AD622" s="3705" t="s">
        <v>115</v>
      </c>
      <c r="AE622" s="3705" t="s">
        <v>116</v>
      </c>
      <c r="AF622" s="3705" t="s">
        <v>117</v>
      </c>
    </row>
    <row r="623" spans="3:32" ht="35" customHeight="1" thickBot="1" x14ac:dyDescent="0.45">
      <c r="C623" s="338"/>
      <c r="D623" s="321">
        <v>35</v>
      </c>
      <c r="E623" s="322" t="s">
        <v>145</v>
      </c>
      <c r="F623" s="3640">
        <f>+F6</f>
        <v>30</v>
      </c>
      <c r="G623" s="3640">
        <f>+G6</f>
        <v>31</v>
      </c>
      <c r="H623" s="3640">
        <f>SUM(F623:G623)</f>
        <v>61</v>
      </c>
      <c r="I623" s="3640">
        <f>+I6</f>
        <v>30</v>
      </c>
      <c r="J623" s="3640">
        <f>SUM(H623:I623)</f>
        <v>91</v>
      </c>
      <c r="K623" s="3640">
        <f>+K6</f>
        <v>31</v>
      </c>
      <c r="L623" s="3640">
        <f>SUM(J623:K623)</f>
        <v>122</v>
      </c>
      <c r="M623" s="3640">
        <v>31</v>
      </c>
      <c r="N623" s="3640">
        <f>SUM(L623:M623)</f>
        <v>153</v>
      </c>
      <c r="O623" s="3640">
        <v>30</v>
      </c>
      <c r="P623" s="3640">
        <f>+K623+M623+O623</f>
        <v>92</v>
      </c>
      <c r="Q623" s="3640">
        <f>+N623+O623</f>
        <v>183</v>
      </c>
      <c r="R623" s="3640">
        <v>31</v>
      </c>
      <c r="S623" s="3640">
        <f>SUM(Q623:R623)</f>
        <v>214</v>
      </c>
      <c r="T623" s="3640">
        <v>30</v>
      </c>
      <c r="U623" s="3640">
        <f>SUM(S623:T623)</f>
        <v>244</v>
      </c>
      <c r="V623" s="3640">
        <v>31</v>
      </c>
      <c r="W623" s="3720">
        <f>+R623+T623+V623</f>
        <v>92</v>
      </c>
      <c r="X623" s="3640">
        <f>+U623+V623</f>
        <v>275</v>
      </c>
      <c r="Y623" s="3640">
        <v>31</v>
      </c>
      <c r="Z623" s="3640">
        <f>SUM(X623:Y623)</f>
        <v>306</v>
      </c>
      <c r="AA623" s="3640">
        <v>29</v>
      </c>
      <c r="AB623" s="3640">
        <f>SUM(Z623:AA623)</f>
        <v>335</v>
      </c>
      <c r="AC623" s="3640">
        <v>31</v>
      </c>
      <c r="AD623" s="3628">
        <f>31+28+31</f>
        <v>90</v>
      </c>
      <c r="AE623" s="3605">
        <f>31+30+31+31+28+31</f>
        <v>182</v>
      </c>
      <c r="AF623" s="3737">
        <f>+AB623+AC623</f>
        <v>366</v>
      </c>
    </row>
    <row r="624" spans="3:32" ht="35" customHeight="1" x14ac:dyDescent="0.25">
      <c r="C624" s="338"/>
      <c r="D624" s="8427">
        <v>35.01</v>
      </c>
      <c r="E624" s="145" t="s">
        <v>172</v>
      </c>
      <c r="F624" s="3750">
        <f>+F10</f>
        <v>2333</v>
      </c>
      <c r="G624" s="3750">
        <f>+G10</f>
        <v>2329</v>
      </c>
      <c r="H624" s="363">
        <f>SUM(F624:G624)</f>
        <v>4662</v>
      </c>
      <c r="I624" s="3750">
        <f>+I10</f>
        <v>2595</v>
      </c>
      <c r="J624" s="304">
        <f>SUM(H624:I624)</f>
        <v>7257</v>
      </c>
      <c r="K624" s="3750">
        <f>+K10</f>
        <v>2816</v>
      </c>
      <c r="L624" s="363">
        <f>SUM(J624:K624)</f>
        <v>10073</v>
      </c>
      <c r="M624" s="3750">
        <f>+M10</f>
        <v>3052</v>
      </c>
      <c r="N624" s="78">
        <f>SUM(L624:M624)</f>
        <v>13125</v>
      </c>
      <c r="O624" s="3750">
        <f>+O10</f>
        <v>2775</v>
      </c>
      <c r="P624" s="79">
        <f>+K624+M624+O624</f>
        <v>8643</v>
      </c>
      <c r="Q624" s="2133">
        <f>+J624+P624</f>
        <v>15900</v>
      </c>
      <c r="R624" s="3750">
        <f>+R10</f>
        <v>3008</v>
      </c>
      <c r="S624" s="122">
        <f>SUM(Q624:R624)</f>
        <v>18908</v>
      </c>
      <c r="T624" s="3750">
        <f>+T10</f>
        <v>2912</v>
      </c>
      <c r="U624" s="122">
        <f>SUM(S624:T624)</f>
        <v>21820</v>
      </c>
      <c r="V624" s="3750">
        <f>+V10</f>
        <v>3047</v>
      </c>
      <c r="W624" s="81">
        <f>+R624+T624+V624</f>
        <v>8967</v>
      </c>
      <c r="X624" s="78">
        <f>+U624+V624</f>
        <v>24867</v>
      </c>
      <c r="Y624" s="3750">
        <f>+Y10</f>
        <v>2914</v>
      </c>
      <c r="Z624" s="122">
        <f>SUM(X624:Y624)</f>
        <v>27781</v>
      </c>
      <c r="AA624" s="3750">
        <f>+AA10</f>
        <v>2811</v>
      </c>
      <c r="AB624" s="209">
        <f>SUM(Z624:AA624)</f>
        <v>30592</v>
      </c>
      <c r="AC624" s="3750">
        <f>+AC10</f>
        <v>2858</v>
      </c>
      <c r="AD624" s="721">
        <f t="shared" ref="AD624" si="1473">+Y624+AA624+AC624</f>
        <v>8583</v>
      </c>
      <c r="AE624" s="990">
        <f t="shared" ref="AE624" si="1474">+W624+AD624</f>
        <v>17550</v>
      </c>
      <c r="AF624" s="714">
        <f t="shared" ref="AF624" si="1475">+AB624+AC624</f>
        <v>33450</v>
      </c>
    </row>
    <row r="625" spans="2:34" ht="35" customHeight="1" x14ac:dyDescent="0.25">
      <c r="B625" s="324">
        <v>1571</v>
      </c>
      <c r="C625" s="338"/>
      <c r="D625" s="8425"/>
      <c r="E625" s="145" t="s">
        <v>173</v>
      </c>
      <c r="F625" s="3749">
        <f t="shared" ref="F625:G625" si="1476">+F624/F535</f>
        <v>77.766666666666666</v>
      </c>
      <c r="G625" s="3749">
        <f t="shared" si="1476"/>
        <v>75.129032258064512</v>
      </c>
      <c r="H625" s="246">
        <f t="shared" ref="H625:AF625" si="1477">+H624/H535</f>
        <v>76.426229508196727</v>
      </c>
      <c r="I625" s="3749">
        <f t="shared" si="1477"/>
        <v>86.5</v>
      </c>
      <c r="J625" s="245">
        <f t="shared" si="1477"/>
        <v>79.747252747252745</v>
      </c>
      <c r="K625" s="3749">
        <f t="shared" si="1477"/>
        <v>90.838709677419359</v>
      </c>
      <c r="L625" s="246">
        <f t="shared" si="1477"/>
        <v>82.56557377049181</v>
      </c>
      <c r="M625" s="3749">
        <f t="shared" ref="M625:O625" si="1478">+M624/M535</f>
        <v>98.451612903225808</v>
      </c>
      <c r="N625" s="68">
        <f t="shared" si="1477"/>
        <v>85.784313725490193</v>
      </c>
      <c r="O625" s="3749">
        <f t="shared" si="1478"/>
        <v>92.5</v>
      </c>
      <c r="P625" s="69">
        <f t="shared" si="1477"/>
        <v>93.945652173913047</v>
      </c>
      <c r="Q625" s="240">
        <f t="shared" si="1477"/>
        <v>86.885245901639351</v>
      </c>
      <c r="R625" s="3749">
        <f t="shared" si="1477"/>
        <v>97.032258064516128</v>
      </c>
      <c r="S625" s="68">
        <f t="shared" si="1477"/>
        <v>88.355140186915889</v>
      </c>
      <c r="T625" s="3749">
        <f t="shared" si="1477"/>
        <v>97.066666666666663</v>
      </c>
      <c r="U625" s="68">
        <f t="shared" si="1477"/>
        <v>89.426229508196727</v>
      </c>
      <c r="V625" s="3749">
        <f t="shared" ref="V625" si="1479">+V624/V535</f>
        <v>98.290322580645167</v>
      </c>
      <c r="W625" s="69">
        <f t="shared" si="1477"/>
        <v>97.467391304347828</v>
      </c>
      <c r="X625" s="68">
        <f t="shared" si="1477"/>
        <v>90.425454545454542</v>
      </c>
      <c r="Y625" s="3749">
        <f t="shared" si="1477"/>
        <v>94</v>
      </c>
      <c r="Z625" s="68">
        <f t="shared" si="1477"/>
        <v>90.787581699346404</v>
      </c>
      <c r="AA625" s="3749">
        <f t="shared" ref="AA625" si="1480">+AA624/AA535</f>
        <v>96.931034482758619</v>
      </c>
      <c r="AB625" s="68">
        <f t="shared" si="1477"/>
        <v>91.319402985074632</v>
      </c>
      <c r="AC625" s="3749">
        <f t="shared" ref="AC625" si="1481">+AC624/AC535</f>
        <v>92.193548387096769</v>
      </c>
      <c r="AD625" s="863">
        <f t="shared" si="1477"/>
        <v>94.318681318681314</v>
      </c>
      <c r="AE625" s="852">
        <f t="shared" si="1477"/>
        <v>95.901639344262293</v>
      </c>
      <c r="AF625" s="827">
        <f t="shared" si="1477"/>
        <v>91.393442622950815</v>
      </c>
    </row>
    <row r="626" spans="2:34" ht="35" customHeight="1" x14ac:dyDescent="0.25">
      <c r="B626" s="324">
        <v>1832</v>
      </c>
      <c r="C626" s="338"/>
      <c r="D626" s="8424">
        <v>35.020000000000003</v>
      </c>
      <c r="E626" s="66" t="s">
        <v>368</v>
      </c>
      <c r="F626" s="3262">
        <v>51175.3</v>
      </c>
      <c r="G626" s="3262">
        <v>51446</v>
      </c>
      <c r="H626" s="296">
        <f>SUM(F626:G626)</f>
        <v>102621.3</v>
      </c>
      <c r="I626" s="3262">
        <v>57942.1</v>
      </c>
      <c r="J626" s="313">
        <f>SUM(H626:I626)</f>
        <v>160563.4</v>
      </c>
      <c r="K626" s="3262">
        <v>62959</v>
      </c>
      <c r="L626" s="296">
        <f>SUM(J626:K626)</f>
        <v>223522.4</v>
      </c>
      <c r="M626" s="3262">
        <v>64223.17</v>
      </c>
      <c r="N626" s="122">
        <f>SUM(L626:M626)</f>
        <v>287745.57</v>
      </c>
      <c r="O626" s="3262">
        <v>58471.09</v>
      </c>
      <c r="P626" s="74">
        <f>+K626+M626+O626</f>
        <v>185653.26</v>
      </c>
      <c r="Q626" s="2133">
        <f>+J626+P626</f>
        <v>346216.66000000003</v>
      </c>
      <c r="R626" s="3262">
        <v>63365.36</v>
      </c>
      <c r="S626" s="122">
        <f>SUM(Q626:R626)</f>
        <v>409582.02</v>
      </c>
      <c r="T626" s="3262">
        <v>62474</v>
      </c>
      <c r="U626" s="122">
        <f>SUM(S626:T626)</f>
        <v>472056.02</v>
      </c>
      <c r="V626" s="3262">
        <v>65847</v>
      </c>
      <c r="W626" s="74">
        <f>+R626+T626+V626</f>
        <v>191686.36</v>
      </c>
      <c r="X626" s="122">
        <f>+U626+V626</f>
        <v>537903.02</v>
      </c>
      <c r="Y626" s="3262">
        <v>63029</v>
      </c>
      <c r="Z626" s="122">
        <f>SUM(X626:Y626)</f>
        <v>600932.02</v>
      </c>
      <c r="AA626" s="3262">
        <v>60966</v>
      </c>
      <c r="AB626" s="210">
        <f>SUM(Z626:AA626)</f>
        <v>661898.02</v>
      </c>
      <c r="AC626" s="3262">
        <v>62225</v>
      </c>
      <c r="AD626" s="721">
        <f t="shared" ref="AD626" si="1482">+Y626+AA626+AC626</f>
        <v>186220</v>
      </c>
      <c r="AE626" s="990">
        <f t="shared" ref="AE626" si="1483">+W626+AD626</f>
        <v>377906.36</v>
      </c>
      <c r="AF626" s="714">
        <f t="shared" ref="AF626" si="1484">+AB626+AC626</f>
        <v>724123.02</v>
      </c>
    </row>
    <row r="627" spans="2:34" ht="35" customHeight="1" x14ac:dyDescent="0.25">
      <c r="B627" s="325"/>
      <c r="C627" s="338"/>
      <c r="D627" s="8425"/>
      <c r="E627" s="66" t="s">
        <v>369</v>
      </c>
      <c r="F627" s="3262">
        <v>582.6</v>
      </c>
      <c r="G627" s="3262">
        <v>297</v>
      </c>
      <c r="H627" s="296">
        <f t="shared" ref="H627:H630" si="1485">SUM(F627:G627)</f>
        <v>879.6</v>
      </c>
      <c r="I627" s="3262">
        <v>257.8</v>
      </c>
      <c r="J627" s="313">
        <f t="shared" ref="J627:J629" si="1486">SUM(H627:I627)</f>
        <v>1137.4000000000001</v>
      </c>
      <c r="K627" s="3262">
        <v>733</v>
      </c>
      <c r="L627" s="296">
        <f t="shared" ref="L627:L629" si="1487">SUM(J627:K627)</f>
        <v>1870.4</v>
      </c>
      <c r="M627" s="3262">
        <v>2979.15</v>
      </c>
      <c r="N627" s="122">
        <f t="shared" ref="N627:N629" si="1488">SUM(L627:M627)</f>
        <v>4849.55</v>
      </c>
      <c r="O627" s="3262">
        <v>2932.95</v>
      </c>
      <c r="P627" s="74">
        <f t="shared" ref="P627:P629" si="1489">+K627+M627+O627</f>
        <v>6645.1</v>
      </c>
      <c r="Q627" s="2133">
        <f t="shared" ref="Q627:Q629" si="1490">+J627+P627</f>
        <v>7782.5</v>
      </c>
      <c r="R627" s="3262">
        <v>2819.91</v>
      </c>
      <c r="S627" s="122">
        <f t="shared" ref="S627:S630" si="1491">SUM(Q627:R627)</f>
        <v>10602.41</v>
      </c>
      <c r="T627" s="3262">
        <v>2296.8000000000002</v>
      </c>
      <c r="U627" s="122">
        <f t="shared" ref="U627:U630" si="1492">SUM(S627:T627)</f>
        <v>12899.21</v>
      </c>
      <c r="V627" s="3262">
        <v>2463</v>
      </c>
      <c r="W627" s="74">
        <f t="shared" ref="W627:W634" si="1493">+R627+T627+V627</f>
        <v>7579.71</v>
      </c>
      <c r="X627" s="122">
        <f t="shared" ref="X627:X634" si="1494">+U627+V627</f>
        <v>15362.21</v>
      </c>
      <c r="Y627" s="3262">
        <v>1945</v>
      </c>
      <c r="Z627" s="122">
        <f t="shared" ref="Z627:AB630" si="1495">SUM(X627:Y627)</f>
        <v>17307.21</v>
      </c>
      <c r="AA627" s="3262">
        <v>1670</v>
      </c>
      <c r="AB627" s="122">
        <f t="shared" si="1495"/>
        <v>18977.21</v>
      </c>
      <c r="AC627" s="3262">
        <v>1795</v>
      </c>
      <c r="AD627" s="721">
        <f t="shared" ref="AD627:AD629" si="1496">+Y627+AA627+AC627</f>
        <v>5410</v>
      </c>
      <c r="AE627" s="990">
        <f t="shared" ref="AE627:AE629" si="1497">+W627+AD627</f>
        <v>12989.71</v>
      </c>
      <c r="AF627" s="690">
        <f t="shared" ref="AF627:AF629" si="1498">+Q627+AE627</f>
        <v>20772.21</v>
      </c>
    </row>
    <row r="628" spans="2:34" ht="35" customHeight="1" x14ac:dyDescent="0.25">
      <c r="B628" s="325"/>
      <c r="C628" s="338"/>
      <c r="D628" s="8425"/>
      <c r="E628" s="66" t="s">
        <v>370</v>
      </c>
      <c r="F628" s="3262">
        <v>3452.5</v>
      </c>
      <c r="G628" s="3262">
        <v>3374</v>
      </c>
      <c r="H628" s="296">
        <f t="shared" si="1485"/>
        <v>6826.5</v>
      </c>
      <c r="I628" s="3262">
        <v>3220.7</v>
      </c>
      <c r="J628" s="313">
        <f t="shared" si="1486"/>
        <v>10047.200000000001</v>
      </c>
      <c r="K628" s="3262">
        <v>2945</v>
      </c>
      <c r="L628" s="296">
        <f t="shared" si="1487"/>
        <v>12992.2</v>
      </c>
      <c r="M628" s="3262">
        <v>5068.8500000000004</v>
      </c>
      <c r="N628" s="122">
        <f t="shared" si="1488"/>
        <v>18061.050000000003</v>
      </c>
      <c r="O628" s="3262">
        <v>4373.49</v>
      </c>
      <c r="P628" s="74">
        <f t="shared" si="1489"/>
        <v>12387.34</v>
      </c>
      <c r="Q628" s="2133">
        <f t="shared" si="1490"/>
        <v>22434.54</v>
      </c>
      <c r="R628" s="3262">
        <v>5085.66</v>
      </c>
      <c r="S628" s="122">
        <f t="shared" si="1491"/>
        <v>27520.2</v>
      </c>
      <c r="T628" s="3262">
        <v>4134.3</v>
      </c>
      <c r="U628" s="122">
        <f t="shared" si="1492"/>
        <v>31654.5</v>
      </c>
      <c r="V628" s="3262">
        <v>3947</v>
      </c>
      <c r="W628" s="74">
        <f t="shared" si="1493"/>
        <v>13166.96</v>
      </c>
      <c r="X628" s="122">
        <f t="shared" si="1494"/>
        <v>35601.5</v>
      </c>
      <c r="Y628" s="3262">
        <v>3965</v>
      </c>
      <c r="Z628" s="122">
        <f t="shared" si="1495"/>
        <v>39566.5</v>
      </c>
      <c r="AA628" s="3262">
        <v>3887</v>
      </c>
      <c r="AB628" s="122">
        <f t="shared" si="1495"/>
        <v>43453.5</v>
      </c>
      <c r="AC628" s="3262">
        <v>3610</v>
      </c>
      <c r="AD628" s="721">
        <f t="shared" si="1496"/>
        <v>11462</v>
      </c>
      <c r="AE628" s="990">
        <f t="shared" si="1497"/>
        <v>24628.959999999999</v>
      </c>
      <c r="AF628" s="690">
        <f t="shared" si="1498"/>
        <v>47063.5</v>
      </c>
      <c r="AH628" s="4756">
        <f>+Y624*Y640*31.55</f>
        <v>6302900.0000000009</v>
      </c>
    </row>
    <row r="629" spans="2:34" ht="35" customHeight="1" x14ac:dyDescent="0.25">
      <c r="B629" s="325"/>
      <c r="C629" s="338"/>
      <c r="D629" s="8425"/>
      <c r="E629" s="66" t="s">
        <v>371</v>
      </c>
      <c r="F629" s="3262">
        <v>730.3</v>
      </c>
      <c r="G629" s="3262">
        <v>728</v>
      </c>
      <c r="H629" s="296">
        <f t="shared" si="1485"/>
        <v>1458.3</v>
      </c>
      <c r="I629" s="3262">
        <v>802.3</v>
      </c>
      <c r="J629" s="313">
        <f t="shared" si="1486"/>
        <v>2260.6</v>
      </c>
      <c r="K629" s="3262">
        <v>886</v>
      </c>
      <c r="L629" s="296">
        <f t="shared" si="1487"/>
        <v>3146.6</v>
      </c>
      <c r="M629" s="3262">
        <v>909.69</v>
      </c>
      <c r="N629" s="122">
        <f t="shared" si="1488"/>
        <v>4056.29</v>
      </c>
      <c r="O629" s="3262">
        <v>761.42</v>
      </c>
      <c r="P629" s="74">
        <f t="shared" si="1489"/>
        <v>2557.11</v>
      </c>
      <c r="Q629" s="2133">
        <f t="shared" si="1490"/>
        <v>4817.71</v>
      </c>
      <c r="R629" s="3262">
        <v>854.89</v>
      </c>
      <c r="S629" s="122">
        <f t="shared" si="1491"/>
        <v>5672.6</v>
      </c>
      <c r="T629" s="3262">
        <v>918.7</v>
      </c>
      <c r="U629" s="122">
        <f t="shared" si="1492"/>
        <v>6591.3</v>
      </c>
      <c r="V629" s="3262">
        <v>803</v>
      </c>
      <c r="W629" s="74">
        <f t="shared" si="1493"/>
        <v>2576.59</v>
      </c>
      <c r="X629" s="122">
        <f t="shared" si="1494"/>
        <v>7394.3</v>
      </c>
      <c r="Y629" s="3262">
        <v>933</v>
      </c>
      <c r="Z629" s="122">
        <f t="shared" si="1495"/>
        <v>8327.2999999999993</v>
      </c>
      <c r="AA629" s="3262">
        <v>879</v>
      </c>
      <c r="AB629" s="122">
        <f t="shared" si="1495"/>
        <v>9206.2999999999993</v>
      </c>
      <c r="AC629" s="3262">
        <v>898</v>
      </c>
      <c r="AD629" s="721">
        <f t="shared" si="1496"/>
        <v>2710</v>
      </c>
      <c r="AE629" s="990">
        <f t="shared" si="1497"/>
        <v>5286.59</v>
      </c>
      <c r="AF629" s="690">
        <f t="shared" si="1498"/>
        <v>10104.299999999999</v>
      </c>
    </row>
    <row r="630" spans="2:34" ht="35" customHeight="1" x14ac:dyDescent="0.25">
      <c r="B630" s="325"/>
      <c r="C630" s="338"/>
      <c r="D630" s="8426"/>
      <c r="E630" s="145" t="s">
        <v>372</v>
      </c>
      <c r="F630" s="504">
        <f>SUM(F626:F629)</f>
        <v>55940.700000000004</v>
      </c>
      <c r="G630" s="504">
        <f>SUM(G626:G629)</f>
        <v>55845</v>
      </c>
      <c r="H630" s="296">
        <f t="shared" si="1485"/>
        <v>111785.70000000001</v>
      </c>
      <c r="I630" s="504">
        <f>SUM(I626:I629)</f>
        <v>62222.9</v>
      </c>
      <c r="J630" s="313">
        <f t="shared" ref="J630:Q630" si="1499">SUM(J626:J629)</f>
        <v>174008.6</v>
      </c>
      <c r="K630" s="504">
        <f>SUM(K626:K629)</f>
        <v>67523</v>
      </c>
      <c r="L630" s="296">
        <f t="shared" si="1499"/>
        <v>241531.6</v>
      </c>
      <c r="M630" s="504">
        <f>SUM(M626:M629)</f>
        <v>73180.86</v>
      </c>
      <c r="N630" s="296">
        <f t="shared" si="1499"/>
        <v>314712.45999999996</v>
      </c>
      <c r="O630" s="504">
        <f>SUM(O626:O629)</f>
        <v>66538.95</v>
      </c>
      <c r="P630" s="74">
        <f t="shared" si="1499"/>
        <v>207242.81</v>
      </c>
      <c r="Q630" s="2133">
        <f t="shared" si="1499"/>
        <v>381251.41000000003</v>
      </c>
      <c r="R630" s="504">
        <f>SUM(R626:R629)</f>
        <v>72125.820000000007</v>
      </c>
      <c r="S630" s="122">
        <f t="shared" si="1491"/>
        <v>453377.23000000004</v>
      </c>
      <c r="T630" s="504">
        <f>SUM(T626:T629)</f>
        <v>69823.8</v>
      </c>
      <c r="U630" s="122">
        <f t="shared" si="1492"/>
        <v>523201.03</v>
      </c>
      <c r="V630" s="504">
        <f>SUM(V626:V629)</f>
        <v>73060</v>
      </c>
      <c r="W630" s="74">
        <f t="shared" si="1493"/>
        <v>215009.62</v>
      </c>
      <c r="X630" s="122">
        <f t="shared" si="1494"/>
        <v>596261.03</v>
      </c>
      <c r="Y630" s="504">
        <f>SUM(Y626:Y629)</f>
        <v>69872</v>
      </c>
      <c r="Z630" s="122">
        <f t="shared" si="1495"/>
        <v>666133.03</v>
      </c>
      <c r="AA630" s="504">
        <f>SUM(AA626:AA629)</f>
        <v>67402</v>
      </c>
      <c r="AB630" s="122">
        <f t="shared" si="1495"/>
        <v>733535.03</v>
      </c>
      <c r="AC630" s="504">
        <f>SUM(AC626:AC629)</f>
        <v>68528</v>
      </c>
      <c r="AD630" s="721">
        <f>SUM(AD626:AD629)</f>
        <v>205802</v>
      </c>
      <c r="AE630" s="990">
        <f>SUM(AE626:AE629)</f>
        <v>420811.62000000005</v>
      </c>
      <c r="AF630" s="690">
        <f>SUM(AF626:AF629)</f>
        <v>802063.03</v>
      </c>
    </row>
    <row r="631" spans="2:34" ht="35" customHeight="1" thickBot="1" x14ac:dyDescent="0.3">
      <c r="B631" s="325">
        <v>1707</v>
      </c>
      <c r="C631" s="338"/>
      <c r="D631" s="2439">
        <v>35.03</v>
      </c>
      <c r="E631" s="145" t="s">
        <v>174</v>
      </c>
      <c r="F631" s="3412">
        <f>+F299</f>
        <v>2131.1999999999998</v>
      </c>
      <c r="G631" s="3412">
        <f>+G299</f>
        <v>2204.4</v>
      </c>
      <c r="H631" s="296">
        <f>SUM(F631:G631)</f>
        <v>4335.6000000000004</v>
      </c>
      <c r="I631" s="3412">
        <f>+I299</f>
        <v>2456.17</v>
      </c>
      <c r="J631" s="313">
        <f>SUM(H631:I631)</f>
        <v>6791.77</v>
      </c>
      <c r="K631" s="3412">
        <f>+K299</f>
        <v>2665.34</v>
      </c>
      <c r="L631" s="296">
        <f>SUM(J631:K631)</f>
        <v>9457.11</v>
      </c>
      <c r="M631" s="3412">
        <f>+M299</f>
        <v>2691.86</v>
      </c>
      <c r="N631" s="122">
        <f>SUM(L631:M631)</f>
        <v>12148.970000000001</v>
      </c>
      <c r="O631" s="3412">
        <f>+O299</f>
        <v>2447.5500000000002</v>
      </c>
      <c r="P631" s="74">
        <f>+K631+M631+O631</f>
        <v>7804.7500000000009</v>
      </c>
      <c r="Q631" s="2133">
        <f>+J631+P631</f>
        <v>14596.52</v>
      </c>
      <c r="R631" s="3412">
        <f>+R299</f>
        <v>2653.06</v>
      </c>
      <c r="S631" s="122">
        <f>SUM(Q631:R631)</f>
        <v>17249.580000000002</v>
      </c>
      <c r="T631" s="3412">
        <f>+T299</f>
        <v>2568.38</v>
      </c>
      <c r="U631" s="122">
        <f>SUM(S631:T631)</f>
        <v>19817.960000000003</v>
      </c>
      <c r="V631" s="3412">
        <f>+V299</f>
        <v>2687.45</v>
      </c>
      <c r="W631" s="74">
        <f t="shared" si="1493"/>
        <v>7908.89</v>
      </c>
      <c r="X631" s="122">
        <f t="shared" si="1494"/>
        <v>22505.410000000003</v>
      </c>
      <c r="Y631" s="3412">
        <f>+Y299</f>
        <v>2570.15</v>
      </c>
      <c r="Z631" s="122">
        <f>SUM(X631:Y631)</f>
        <v>25075.560000000005</v>
      </c>
      <c r="AA631" s="3412">
        <f>+AA299</f>
        <v>2483.2399999999998</v>
      </c>
      <c r="AB631" s="210">
        <f>SUM(Z631:AA631)</f>
        <v>27558.800000000003</v>
      </c>
      <c r="AC631" s="3412">
        <f>+AC299</f>
        <v>2520.7600000000002</v>
      </c>
      <c r="AD631" s="721">
        <f t="shared" ref="AD631" si="1500">+Y631+AA631+AC631</f>
        <v>7574.15</v>
      </c>
      <c r="AE631" s="990">
        <f t="shared" ref="AE631" si="1501">+W631+AD631</f>
        <v>15483.04</v>
      </c>
      <c r="AF631" s="714">
        <f t="shared" ref="AF631:AF634" si="1502">+AB631+AC631</f>
        <v>30079.560000000005</v>
      </c>
    </row>
    <row r="632" spans="2:34" ht="35" customHeight="1" thickBot="1" x14ac:dyDescent="0.3">
      <c r="B632" s="326">
        <f>SUM(B625:B631)</f>
        <v>5110</v>
      </c>
      <c r="C632" s="338"/>
      <c r="D632" s="2439">
        <v>35.04</v>
      </c>
      <c r="E632" s="145" t="s">
        <v>175</v>
      </c>
      <c r="F632" s="3412">
        <f>+F302</f>
        <v>375</v>
      </c>
      <c r="G632" s="3412">
        <f>+G302</f>
        <v>281.5</v>
      </c>
      <c r="H632" s="296">
        <f>SUM(F632:G632)</f>
        <v>656.5</v>
      </c>
      <c r="I632" s="3412">
        <f>+I302</f>
        <v>318</v>
      </c>
      <c r="J632" s="313">
        <f>SUM(H632:I632)</f>
        <v>974.5</v>
      </c>
      <c r="K632" s="3412">
        <f>+K302</f>
        <v>324</v>
      </c>
      <c r="L632" s="296">
        <f>SUM(J632:K632)</f>
        <v>1298.5</v>
      </c>
      <c r="M632" s="3412">
        <f>+M302</f>
        <v>480</v>
      </c>
      <c r="N632" s="122">
        <f>SUM(L632:M632)</f>
        <v>1778.5</v>
      </c>
      <c r="O632" s="3412">
        <f>+O302</f>
        <v>288</v>
      </c>
      <c r="P632" s="74">
        <f>+K632+M632+O632</f>
        <v>1092</v>
      </c>
      <c r="Q632" s="2133">
        <f>+J632+P632</f>
        <v>2066.5</v>
      </c>
      <c r="R632" s="3412">
        <f>+R302</f>
        <v>452</v>
      </c>
      <c r="S632" s="122">
        <f>SUM(Q632:R632)</f>
        <v>2518.5</v>
      </c>
      <c r="T632" s="3412">
        <f>+T302</f>
        <v>713</v>
      </c>
      <c r="U632" s="122">
        <f>SUM(S632:T632)</f>
        <v>3231.5</v>
      </c>
      <c r="V632" s="3412">
        <f>+V302</f>
        <v>550</v>
      </c>
      <c r="W632" s="74">
        <f t="shared" si="1493"/>
        <v>1715</v>
      </c>
      <c r="X632" s="122">
        <f t="shared" si="1494"/>
        <v>3781.5</v>
      </c>
      <c r="Y632" s="3412">
        <f>+Y302</f>
        <v>472</v>
      </c>
      <c r="Z632" s="122">
        <f>SUM(X632:Y632)</f>
        <v>4253.5</v>
      </c>
      <c r="AA632" s="3412">
        <f>+AA302</f>
        <v>446.5</v>
      </c>
      <c r="AB632" s="210">
        <f>SUM(Z632:AA632)</f>
        <v>4700</v>
      </c>
      <c r="AC632" s="3412">
        <f>+AC302</f>
        <v>535</v>
      </c>
      <c r="AD632" s="721">
        <f t="shared" ref="AD632:AD634" si="1503">+Y632+AA632+AC632</f>
        <v>1453.5</v>
      </c>
      <c r="AE632" s="990">
        <f t="shared" ref="AE632:AE634" si="1504">+W632+AD632</f>
        <v>3168.5</v>
      </c>
      <c r="AF632" s="714">
        <f t="shared" si="1502"/>
        <v>5235</v>
      </c>
    </row>
    <row r="633" spans="2:34" ht="35" customHeight="1" x14ac:dyDescent="0.25">
      <c r="B633" s="20">
        <v>1857</v>
      </c>
      <c r="C633" s="338"/>
      <c r="D633" s="2439">
        <v>35.049999999999997</v>
      </c>
      <c r="E633" s="145" t="s">
        <v>176</v>
      </c>
      <c r="F633" s="3992">
        <f>+F313</f>
        <v>0.5</v>
      </c>
      <c r="G633" s="3992">
        <f>+G313</f>
        <v>1</v>
      </c>
      <c r="H633" s="254">
        <f>SUM(F633:G633)</f>
        <v>1.5</v>
      </c>
      <c r="I633" s="3992">
        <f>+I313</f>
        <v>1</v>
      </c>
      <c r="J633" s="253">
        <f>SUM(H633:I633)</f>
        <v>2.5</v>
      </c>
      <c r="K633" s="3992">
        <f>+K313</f>
        <v>1.4</v>
      </c>
      <c r="L633" s="254">
        <f>SUM(J633:K633)</f>
        <v>3.9</v>
      </c>
      <c r="M633" s="3992">
        <f>+M313</f>
        <v>1.2</v>
      </c>
      <c r="N633" s="143">
        <f>SUM(L633:M633)</f>
        <v>5.0999999999999996</v>
      </c>
      <c r="O633" s="3992">
        <f>+O313</f>
        <v>0.5</v>
      </c>
      <c r="P633" s="144">
        <f>+K633+M633+O633</f>
        <v>3.0999999999999996</v>
      </c>
      <c r="Q633" s="2140">
        <f>+J633+P633</f>
        <v>5.6</v>
      </c>
      <c r="R633" s="3992">
        <f>+R313</f>
        <v>0.8</v>
      </c>
      <c r="S633" s="143">
        <f>SUM(Q633:R633)</f>
        <v>6.3999999999999995</v>
      </c>
      <c r="T633" s="3992">
        <f>+T313</f>
        <v>1</v>
      </c>
      <c r="U633" s="143">
        <f>SUM(S633:T633)</f>
        <v>7.3999999999999995</v>
      </c>
      <c r="V633" s="3412">
        <f>+V313</f>
        <v>1</v>
      </c>
      <c r="W633" s="144">
        <f t="shared" si="1493"/>
        <v>2.8</v>
      </c>
      <c r="X633" s="143">
        <f t="shared" si="1494"/>
        <v>8.3999999999999986</v>
      </c>
      <c r="Y633" s="3992">
        <f>+Y313</f>
        <v>1</v>
      </c>
      <c r="Z633" s="143">
        <f>SUM(X633:Y633)</f>
        <v>9.3999999999999986</v>
      </c>
      <c r="AA633" s="3992">
        <f>+AA313</f>
        <v>1</v>
      </c>
      <c r="AB633" s="211">
        <f>SUM(Z633:AA633)</f>
        <v>10.399999999999999</v>
      </c>
      <c r="AC633" s="3992">
        <f>+AC313</f>
        <v>1.3</v>
      </c>
      <c r="AD633" s="721">
        <f t="shared" si="1503"/>
        <v>3.3</v>
      </c>
      <c r="AE633" s="990">
        <f t="shared" si="1504"/>
        <v>6.1</v>
      </c>
      <c r="AF633" s="714">
        <f t="shared" si="1502"/>
        <v>11.7</v>
      </c>
    </row>
    <row r="634" spans="2:34" ht="35" customHeight="1" x14ac:dyDescent="0.25">
      <c r="B634" s="21">
        <v>1719</v>
      </c>
      <c r="C634" s="338"/>
      <c r="D634" s="2439">
        <v>35.06</v>
      </c>
      <c r="E634" s="145" t="s">
        <v>177</v>
      </c>
      <c r="F634" s="3412">
        <f>+F314</f>
        <v>0</v>
      </c>
      <c r="G634" s="3412">
        <f>+G314</f>
        <v>0</v>
      </c>
      <c r="H634" s="296">
        <f>SUM(F634:G634)</f>
        <v>0</v>
      </c>
      <c r="I634" s="3412">
        <f>+I314</f>
        <v>0</v>
      </c>
      <c r="J634" s="313">
        <f>SUM(H634:I634)</f>
        <v>0</v>
      </c>
      <c r="K634" s="3412">
        <f>+K314</f>
        <v>0</v>
      </c>
      <c r="L634" s="296">
        <f>SUM(J634:K634)</f>
        <v>0</v>
      </c>
      <c r="M634" s="3412">
        <f>+M314</f>
        <v>0</v>
      </c>
      <c r="N634" s="122">
        <f>SUM(L634:M634)</f>
        <v>0</v>
      </c>
      <c r="O634" s="3412">
        <f>+O314</f>
        <v>0</v>
      </c>
      <c r="P634" s="74">
        <f>+K634+M634+O634</f>
        <v>0</v>
      </c>
      <c r="Q634" s="2133">
        <f>+J634+P634</f>
        <v>0</v>
      </c>
      <c r="R634" s="3412">
        <f>+R314</f>
        <v>0</v>
      </c>
      <c r="S634" s="122">
        <f>SUM(Q634:R634)</f>
        <v>0</v>
      </c>
      <c r="T634" s="3412">
        <f>+T314</f>
        <v>0</v>
      </c>
      <c r="U634" s="122">
        <f>SUM(S634:T634)</f>
        <v>0</v>
      </c>
      <c r="V634" s="3412">
        <f>+V314</f>
        <v>0</v>
      </c>
      <c r="W634" s="74">
        <f t="shared" si="1493"/>
        <v>0</v>
      </c>
      <c r="X634" s="122">
        <f t="shared" si="1494"/>
        <v>0</v>
      </c>
      <c r="Y634" s="3412">
        <f>+Y314</f>
        <v>0</v>
      </c>
      <c r="Z634" s="122">
        <f>SUM(X634:Y634)</f>
        <v>0</v>
      </c>
      <c r="AA634" s="3412">
        <f>+AA314</f>
        <v>0</v>
      </c>
      <c r="AB634" s="212">
        <f>SUM(Z634:AA634)</f>
        <v>0</v>
      </c>
      <c r="AC634" s="3412">
        <f>+AC314</f>
        <v>0</v>
      </c>
      <c r="AD634" s="721">
        <f t="shared" si="1503"/>
        <v>0</v>
      </c>
      <c r="AE634" s="990">
        <f t="shared" si="1504"/>
        <v>0</v>
      </c>
      <c r="AF634" s="714">
        <f t="shared" si="1502"/>
        <v>0</v>
      </c>
    </row>
    <row r="635" spans="2:34" ht="35" customHeight="1" x14ac:dyDescent="0.4">
      <c r="B635" s="22"/>
      <c r="C635" s="338"/>
      <c r="D635" s="8425">
        <v>35.07</v>
      </c>
      <c r="E635" s="171" t="s">
        <v>322</v>
      </c>
      <c r="F635" s="3389"/>
      <c r="G635" s="3389"/>
      <c r="H635" s="3389"/>
      <c r="I635" s="3389"/>
      <c r="J635" s="3389"/>
      <c r="K635" s="3389"/>
      <c r="L635" s="3389"/>
      <c r="M635" s="3389"/>
      <c r="N635" s="120"/>
      <c r="O635" s="3389"/>
      <c r="P635" s="141"/>
      <c r="Q635" s="120"/>
      <c r="R635" s="3389"/>
      <c r="S635" s="120"/>
      <c r="T635" s="3389"/>
      <c r="U635" s="120"/>
      <c r="V635" s="3389"/>
      <c r="W635" s="66"/>
      <c r="X635" s="145"/>
      <c r="Y635" s="3389"/>
      <c r="Z635" s="120"/>
      <c r="AA635" s="3389"/>
      <c r="AB635" s="145"/>
      <c r="AC635" s="3389"/>
      <c r="AD635" s="145"/>
      <c r="AE635" s="1302"/>
      <c r="AF635" s="2503"/>
    </row>
    <row r="636" spans="2:34" ht="35" customHeight="1" x14ac:dyDescent="0.25">
      <c r="B636" s="22"/>
      <c r="C636" s="338"/>
      <c r="D636" s="8425"/>
      <c r="E636" s="159" t="s">
        <v>103</v>
      </c>
      <c r="F636" s="3978">
        <f>+F158</f>
        <v>0</v>
      </c>
      <c r="G636" s="3978">
        <f>+G158</f>
        <v>0</v>
      </c>
      <c r="H636" s="1482">
        <f>SUM(F636:G636)</f>
        <v>0</v>
      </c>
      <c r="I636" s="3978">
        <f>+I158</f>
        <v>0</v>
      </c>
      <c r="J636" s="401">
        <f>SUM(H636:I636)</f>
        <v>0</v>
      </c>
      <c r="K636" s="3978">
        <f>+K158</f>
        <v>0</v>
      </c>
      <c r="L636" s="1482">
        <f>SUM(J636:K636)</f>
        <v>0</v>
      </c>
      <c r="M636" s="3978">
        <f>+M158</f>
        <v>0</v>
      </c>
      <c r="N636" s="95">
        <f>SUM(L636:M636)</f>
        <v>0</v>
      </c>
      <c r="O636" s="3978">
        <f>+O158</f>
        <v>0</v>
      </c>
      <c r="P636" s="75">
        <f>+K636+M636+O636</f>
        <v>0</v>
      </c>
      <c r="Q636" s="2134">
        <f>+J636+P636</f>
        <v>0</v>
      </c>
      <c r="R636" s="3978">
        <f>+R158</f>
        <v>0</v>
      </c>
      <c r="S636" s="122">
        <f>SUM(Q636:R636)</f>
        <v>0</v>
      </c>
      <c r="T636" s="3978">
        <f>+T158</f>
        <v>0</v>
      </c>
      <c r="U636" s="122">
        <f>SUM(S636:T636)</f>
        <v>0</v>
      </c>
      <c r="V636" s="3978">
        <f>+V158</f>
        <v>0</v>
      </c>
      <c r="W636" s="74">
        <f>+R636+T636+V636</f>
        <v>0</v>
      </c>
      <c r="X636" s="122">
        <f>+U636+V636</f>
        <v>0</v>
      </c>
      <c r="Y636" s="3978">
        <f>+Y158</f>
        <v>0</v>
      </c>
      <c r="Z636" s="122">
        <f>SUM(X636:Y636)</f>
        <v>0</v>
      </c>
      <c r="AA636" s="3978">
        <f>+AA158</f>
        <v>0</v>
      </c>
      <c r="AB636" s="210">
        <f t="shared" ref="AB636:AB639" si="1505">SUM(Z636:AA636)</f>
        <v>0</v>
      </c>
      <c r="AC636" s="3978">
        <f>+AC158</f>
        <v>0</v>
      </c>
      <c r="AD636" s="721">
        <f t="shared" ref="AD636" si="1506">+Y636+AA636+AC636</f>
        <v>0</v>
      </c>
      <c r="AE636" s="990">
        <f t="shared" ref="AE636" si="1507">+W636+AD636</f>
        <v>0</v>
      </c>
      <c r="AF636" s="714">
        <f t="shared" ref="AF636:AF639" si="1508">+AB636+AC636</f>
        <v>0</v>
      </c>
    </row>
    <row r="637" spans="2:34" ht="35" customHeight="1" x14ac:dyDescent="0.25">
      <c r="B637" s="22"/>
      <c r="C637" s="338"/>
      <c r="D637" s="8425"/>
      <c r="E637" s="145" t="s">
        <v>186</v>
      </c>
      <c r="F637" s="3412">
        <f>+F160</f>
        <v>0</v>
      </c>
      <c r="G637" s="3412">
        <f>+G160</f>
        <v>0</v>
      </c>
      <c r="H637" s="296">
        <f>SUM(F637:G637)</f>
        <v>0</v>
      </c>
      <c r="I637" s="3412">
        <f>+I160</f>
        <v>0</v>
      </c>
      <c r="J637" s="313">
        <f>SUM(H637:I637)</f>
        <v>0</v>
      </c>
      <c r="K637" s="3412">
        <f>+K160</f>
        <v>0</v>
      </c>
      <c r="L637" s="296">
        <f>SUM(J637:K637)</f>
        <v>0</v>
      </c>
      <c r="M637" s="3412">
        <f>+M160</f>
        <v>4211.4700000000021</v>
      </c>
      <c r="N637" s="122">
        <f>SUM(L637:M637)</f>
        <v>4211.4700000000021</v>
      </c>
      <c r="O637" s="3412">
        <f>+O160</f>
        <v>3687.02</v>
      </c>
      <c r="P637" s="74">
        <f>+K637+M637+O637</f>
        <v>7898.4900000000016</v>
      </c>
      <c r="Q637" s="2133">
        <f>+J637+P637</f>
        <v>7898.4900000000016</v>
      </c>
      <c r="R637" s="3412">
        <f>+R160</f>
        <v>3411.95</v>
      </c>
      <c r="S637" s="122">
        <f>SUM(Q637:R637)</f>
        <v>11310.440000000002</v>
      </c>
      <c r="T637" s="3412">
        <f>+T160</f>
        <v>3588.0699999999988</v>
      </c>
      <c r="U637" s="122">
        <f>SUM(S637:T637)</f>
        <v>14898.510000000002</v>
      </c>
      <c r="V637" s="3412">
        <f>+V160</f>
        <v>3931.5499999999988</v>
      </c>
      <c r="W637" s="74">
        <f>+R637+T637+V637</f>
        <v>10931.569999999998</v>
      </c>
      <c r="X637" s="122">
        <f>+U637+V637</f>
        <v>18830.060000000001</v>
      </c>
      <c r="Y637" s="3412">
        <f>+Y160</f>
        <v>4158.6500000000015</v>
      </c>
      <c r="Z637" s="122">
        <f>SUM(X637:Y637)</f>
        <v>22988.710000000003</v>
      </c>
      <c r="AA637" s="3412">
        <f>+AA160</f>
        <v>3426.1699999999992</v>
      </c>
      <c r="AB637" s="210">
        <f t="shared" si="1505"/>
        <v>26414.880000000001</v>
      </c>
      <c r="AC637" s="3412">
        <f>+AC160</f>
        <v>3710.08</v>
      </c>
      <c r="AD637" s="721">
        <f t="shared" ref="AD637" si="1509">+Y637+AA637+AC637</f>
        <v>11294.900000000001</v>
      </c>
      <c r="AE637" s="990">
        <f t="shared" ref="AE637" si="1510">+W637+AD637</f>
        <v>22226.47</v>
      </c>
      <c r="AF637" s="714">
        <f t="shared" si="1508"/>
        <v>30124.959999999999</v>
      </c>
    </row>
    <row r="638" spans="2:34" ht="35" customHeight="1" x14ac:dyDescent="0.25">
      <c r="B638" s="22"/>
      <c r="C638" s="338"/>
      <c r="D638" s="8425"/>
      <c r="E638" s="145" t="s">
        <v>312</v>
      </c>
      <c r="F638" s="3463">
        <f>+F171</f>
        <v>0</v>
      </c>
      <c r="G638" s="3463">
        <f>+G171</f>
        <v>0</v>
      </c>
      <c r="H638" s="363">
        <f t="shared" ref="H638" si="1511">+F638+G638</f>
        <v>0</v>
      </c>
      <c r="I638" s="3463">
        <f>+I171</f>
        <v>0</v>
      </c>
      <c r="J638" s="304">
        <f t="shared" ref="J638" si="1512">+H638+I638</f>
        <v>0</v>
      </c>
      <c r="K638" s="3463">
        <f>+K171</f>
        <v>0</v>
      </c>
      <c r="L638" s="501">
        <f t="shared" ref="L638" si="1513">+J638+K638</f>
        <v>0</v>
      </c>
      <c r="M638" s="3463">
        <f>+M171</f>
        <v>0</v>
      </c>
      <c r="N638" s="84">
        <f t="shared" ref="N638" si="1514">+L638+M638</f>
        <v>0</v>
      </c>
      <c r="O638" s="3463">
        <f>+O171</f>
        <v>0</v>
      </c>
      <c r="P638" s="79">
        <f t="shared" ref="P638" si="1515">+Q638-J638</f>
        <v>0</v>
      </c>
      <c r="Q638" s="241">
        <f t="shared" ref="Q638" si="1516">+N638+O638</f>
        <v>0</v>
      </c>
      <c r="R638" s="3463">
        <f>+R171</f>
        <v>0</v>
      </c>
      <c r="S638" s="84">
        <f t="shared" ref="S638" si="1517">+Q638+R638</f>
        <v>0</v>
      </c>
      <c r="T638" s="3463">
        <f>+T171</f>
        <v>0</v>
      </c>
      <c r="U638" s="84">
        <f t="shared" ref="U638" si="1518">+S638+T638</f>
        <v>0</v>
      </c>
      <c r="V638" s="3463">
        <f>+V171</f>
        <v>0</v>
      </c>
      <c r="W638" s="87">
        <f t="shared" ref="W638" si="1519">+R638+T638+V638</f>
        <v>0</v>
      </c>
      <c r="X638" s="84">
        <f t="shared" ref="X638" si="1520">+U638+V638</f>
        <v>0</v>
      </c>
      <c r="Y638" s="3463">
        <f>+Y171</f>
        <v>0</v>
      </c>
      <c r="Z638" s="84">
        <f t="shared" ref="Z638" si="1521">+X638+Y638</f>
        <v>0</v>
      </c>
      <c r="AA638" s="3463">
        <f>+AA171</f>
        <v>0</v>
      </c>
      <c r="AB638" s="409">
        <f t="shared" si="1505"/>
        <v>0</v>
      </c>
      <c r="AC638" s="3463">
        <f>+AC171</f>
        <v>0</v>
      </c>
      <c r="AD638" s="1360">
        <f t="shared" ref="AD638" si="1522">+Y638+AA638+AC638</f>
        <v>0</v>
      </c>
      <c r="AE638" s="1361">
        <f t="shared" ref="AE638" si="1523">+W638+AD638</f>
        <v>0</v>
      </c>
      <c r="AF638" s="714">
        <f t="shared" si="1508"/>
        <v>0</v>
      </c>
    </row>
    <row r="639" spans="2:34" ht="35" customHeight="1" thickBot="1" x14ac:dyDescent="0.3">
      <c r="B639" s="22"/>
      <c r="C639" s="338"/>
      <c r="D639" s="8438"/>
      <c r="E639" s="201" t="s">
        <v>235</v>
      </c>
      <c r="F639" s="3464">
        <f>+F169</f>
        <v>0</v>
      </c>
      <c r="G639" s="3464">
        <f>+G169</f>
        <v>0</v>
      </c>
      <c r="H639" s="579">
        <f>SUM(F639:G639)</f>
        <v>0</v>
      </c>
      <c r="I639" s="3464">
        <f>+I169</f>
        <v>0</v>
      </c>
      <c r="J639" s="314">
        <f>SUM(H639:I639)</f>
        <v>0</v>
      </c>
      <c r="K639" s="3464">
        <f>+K169</f>
        <v>0</v>
      </c>
      <c r="L639" s="579">
        <f>SUM(J639:K639)</f>
        <v>0</v>
      </c>
      <c r="M639" s="3464">
        <f>+M169</f>
        <v>1143.5</v>
      </c>
      <c r="N639" s="128">
        <f>SUM(L639:M639)</f>
        <v>1143.5</v>
      </c>
      <c r="O639" s="3464">
        <f>+O169</f>
        <v>1017.09</v>
      </c>
      <c r="P639" s="115">
        <f>+K639+M639+O639</f>
        <v>2160.59</v>
      </c>
      <c r="Q639" s="2135">
        <f>+J639+P639</f>
        <v>2160.59</v>
      </c>
      <c r="R639" s="3464">
        <f>+R169</f>
        <v>1056.47</v>
      </c>
      <c r="S639" s="128">
        <f>SUM(Q639:R639)</f>
        <v>3217.0600000000004</v>
      </c>
      <c r="T639" s="3464">
        <f>+T169</f>
        <v>1363.1799999999994</v>
      </c>
      <c r="U639" s="128">
        <f>SUM(S639:T639)</f>
        <v>4580.24</v>
      </c>
      <c r="V639" s="3464">
        <f>+V169</f>
        <v>1178.7900000000002</v>
      </c>
      <c r="W639" s="115">
        <f>+R639+T639+V639</f>
        <v>3598.4399999999996</v>
      </c>
      <c r="X639" s="128">
        <f>+U639+V639</f>
        <v>5759.03</v>
      </c>
      <c r="Y639" s="3464">
        <f>+Y169</f>
        <v>1028.08</v>
      </c>
      <c r="Z639" s="128">
        <f>SUM(X639:Y639)</f>
        <v>6787.11</v>
      </c>
      <c r="AA639" s="3464">
        <f>+AA169</f>
        <v>768.21000000000026</v>
      </c>
      <c r="AB639" s="213">
        <f t="shared" si="1505"/>
        <v>7555.32</v>
      </c>
      <c r="AC639" s="3464">
        <f>+AC169</f>
        <v>516.88000000000011</v>
      </c>
      <c r="AD639" s="721">
        <f t="shared" ref="AD639" si="1524">+Y639+AA639+AC639</f>
        <v>2313.17</v>
      </c>
      <c r="AE639" s="990">
        <f t="shared" ref="AE639" si="1525">+W639+AD639</f>
        <v>5911.61</v>
      </c>
      <c r="AF639" s="714">
        <f t="shared" si="1508"/>
        <v>8072.2</v>
      </c>
    </row>
    <row r="640" spans="2:34" ht="35" customHeight="1" thickBot="1" x14ac:dyDescent="0.3">
      <c r="B640" s="327">
        <v>1714</v>
      </c>
      <c r="C640" s="338"/>
      <c r="D640" s="2440">
        <v>35.08</v>
      </c>
      <c r="E640" s="485" t="s">
        <v>373</v>
      </c>
      <c r="F640" s="486">
        <f t="shared" ref="F640:G640" si="1526">+((F626/(F624*31.55)*100))</f>
        <v>69.52584804394742</v>
      </c>
      <c r="G640" s="486">
        <f t="shared" si="1526"/>
        <v>70.013656786647246</v>
      </c>
      <c r="H640" s="295">
        <f t="shared" ref="H640:K640" si="1527">+((H626/(H624*31.55)*100))</f>
        <v>69.769543145137433</v>
      </c>
      <c r="I640" s="486">
        <f t="shared" si="1527"/>
        <v>70.771354152353211</v>
      </c>
      <c r="J640" s="4630">
        <f t="shared" si="1527"/>
        <v>70.127776514811529</v>
      </c>
      <c r="K640" s="486">
        <f t="shared" si="1527"/>
        <v>70.864023555683616</v>
      </c>
      <c r="L640" s="4630">
        <f>+((L626/(L624*31.55)*100))</f>
        <v>70.33360116159956</v>
      </c>
      <c r="M640" s="486">
        <f>+((M626/(M624*31.55)*100))</f>
        <v>66.697237321192304</v>
      </c>
      <c r="N640" s="4630">
        <f>+((N626/(N624*31.55)*100))</f>
        <v>69.48802535657687</v>
      </c>
      <c r="O640" s="486">
        <f>+((O626/(O624*31.55)*100))</f>
        <v>66.78498593680844</v>
      </c>
      <c r="P640" s="4630">
        <f t="shared" ref="P640:Q640" si="1528">+((P626/(P624*31.55)*100))</f>
        <v>68.083002963291378</v>
      </c>
      <c r="Q640" s="4630">
        <f t="shared" si="1528"/>
        <v>69.01626847671163</v>
      </c>
      <c r="R640" s="486">
        <f t="shared" ref="R640:X640" si="1529">+((R626/(R624*31.55)*100))</f>
        <v>66.768975284081321</v>
      </c>
      <c r="S640" s="4630">
        <f t="shared" si="1529"/>
        <v>68.658755364619807</v>
      </c>
      <c r="T640" s="486">
        <f t="shared" si="1529"/>
        <v>67.999947754305907</v>
      </c>
      <c r="U640" s="4630">
        <f t="shared" si="1529"/>
        <v>68.570833835690664</v>
      </c>
      <c r="V640" s="486">
        <f t="shared" si="1529"/>
        <v>68.495836750912929</v>
      </c>
      <c r="W640" s="4630">
        <f t="shared" si="1529"/>
        <v>67.755519136287162</v>
      </c>
      <c r="X640" s="4630">
        <f t="shared" si="1529"/>
        <v>68.561644302682339</v>
      </c>
      <c r="Y640" s="486">
        <f t="shared" ref="Y640:AA640" si="1530">+((Y626/(Y624*31.55)*100))</f>
        <v>68.556952772940519</v>
      </c>
      <c r="Z640" s="4630">
        <f>+((X640*X623)+(Y623*Y640))/(X623+Y623)</f>
        <v>68.561169016989552</v>
      </c>
      <c r="AA640" s="486">
        <f t="shared" si="1530"/>
        <v>68.742843515485063</v>
      </c>
      <c r="AB640" s="295">
        <f>+((Z640*Z623)+(AA623*AA640))/(Z623+AA623)</f>
        <v>68.576896063127975</v>
      </c>
      <c r="AC640" s="177">
        <f t="shared" ref="AC640" si="1531">+((AC626/(AC624*31.55)*100))</f>
        <v>69.008615957209656</v>
      </c>
      <c r="AD640" s="744">
        <f>+((AD626/(AD624*31.55)*100))</f>
        <v>68.768229978804882</v>
      </c>
      <c r="AE640" s="770">
        <f>+((W640*W623)+(AD640*AD623))/(W623+AD623)</f>
        <v>68.256310212257461</v>
      </c>
      <c r="AF640" s="809">
        <f>+((J640*J623)+(P640*P623)+(W640*W623)+(AD640*AD623))/(J623+P623+W623+AD623)</f>
        <v>68.679212038634276</v>
      </c>
    </row>
    <row r="641" spans="2:38" s="3170" customFormat="1" ht="35" customHeight="1" thickBot="1" x14ac:dyDescent="0.3">
      <c r="B641" s="4680">
        <f>+B633+B634+B640</f>
        <v>5290</v>
      </c>
      <c r="C641" s="4215"/>
      <c r="D641" s="8426">
        <v>35.090000000000003</v>
      </c>
      <c r="E641" s="3308" t="s">
        <v>468</v>
      </c>
      <c r="F641" s="4681"/>
      <c r="G641" s="4681"/>
      <c r="H641" s="4681"/>
      <c r="I641" s="4681"/>
      <c r="J641" s="4682"/>
      <c r="K641" s="4681"/>
      <c r="L641" s="4682"/>
      <c r="M641" s="4681"/>
      <c r="N641" s="4681"/>
      <c r="O641" s="4681"/>
      <c r="P641" s="4682"/>
      <c r="Q641" s="4681"/>
      <c r="R641" s="4681"/>
      <c r="S641" s="4681"/>
      <c r="T641" s="4681"/>
      <c r="U641" s="4681"/>
      <c r="V641" s="4681"/>
      <c r="W641" s="4681"/>
      <c r="X641" s="4681"/>
      <c r="Y641" s="4681"/>
      <c r="Z641" s="4681"/>
      <c r="AA641" s="4681"/>
      <c r="AB641" s="3389"/>
      <c r="AC641" s="4681"/>
      <c r="AD641" s="3389"/>
      <c r="AE641" s="3243"/>
      <c r="AF641" s="4683"/>
      <c r="AG641" s="4756"/>
      <c r="AH641" s="4756"/>
      <c r="AI641" s="4756"/>
      <c r="AJ641" s="4756"/>
      <c r="AK641" s="4756"/>
      <c r="AL641" s="4756"/>
    </row>
    <row r="642" spans="2:38" ht="35" customHeight="1" thickBot="1" x14ac:dyDescent="0.3">
      <c r="B642" s="328">
        <f>+B632+B641</f>
        <v>10400</v>
      </c>
      <c r="C642" s="338"/>
      <c r="D642" s="8439"/>
      <c r="E642" s="202" t="s">
        <v>146</v>
      </c>
      <c r="F642" s="1216">
        <f t="shared" ref="F642:G642" si="1532">+F643+F644+F645+F646</f>
        <v>92.851579402855904</v>
      </c>
      <c r="G642" s="1216">
        <f t="shared" si="1532"/>
        <v>93.531728340020805</v>
      </c>
      <c r="H642" s="1216">
        <f t="shared" ref="H642:AF642" si="1533">+H643+H644+H645+H646</f>
        <v>93.191365624593985</v>
      </c>
      <c r="I642" s="1216">
        <f t="shared" si="1533"/>
        <v>96.075314830663899</v>
      </c>
      <c r="J642" s="1216">
        <f t="shared" si="1533"/>
        <v>94.222621441800925</v>
      </c>
      <c r="K642" s="1216">
        <f t="shared" si="1533"/>
        <v>94.999590298262859</v>
      </c>
      <c r="L642" s="1216">
        <f t="shared" ref="L642" si="1534">+L643+L644+L645+L646</f>
        <v>94.439831173367992</v>
      </c>
      <c r="M642" s="1216">
        <f t="shared" ref="M642:O642" si="1535">+M643+M644+M645+M646</f>
        <v>96.156426904066606</v>
      </c>
      <c r="N642" s="1216">
        <f t="shared" si="1533"/>
        <v>94.838994653299551</v>
      </c>
      <c r="O642" s="1216">
        <f t="shared" si="1535"/>
        <v>92.99968818210165</v>
      </c>
      <c r="P642" s="1216">
        <f t="shared" si="1533"/>
        <v>94.765980878009714</v>
      </c>
      <c r="Q642" s="1216">
        <f t="shared" si="1533"/>
        <v>94.517983445108186</v>
      </c>
      <c r="R642" s="1216">
        <f t="shared" si="1533"/>
        <v>93.372263613612176</v>
      </c>
      <c r="S642" s="1216">
        <f t="shared" si="1533"/>
        <v>94.335714046001357</v>
      </c>
      <c r="T642" s="1216">
        <f t="shared" si="1533"/>
        <v>94.367076069730587</v>
      </c>
      <c r="U642" s="1216">
        <f t="shared" si="1533"/>
        <v>94.33989948526515</v>
      </c>
      <c r="V642" s="1216">
        <f t="shared" ref="V642" si="1536">+V643+V644+V645+V646</f>
        <v>98.21281510019783</v>
      </c>
      <c r="W642" s="1216">
        <f t="shared" si="1533"/>
        <v>95.340152465502271</v>
      </c>
      <c r="X642" s="1216">
        <f t="shared" si="1533"/>
        <v>94.81445739531658</v>
      </c>
      <c r="Y642" s="1216">
        <f t="shared" si="1533"/>
        <v>99.605067801643088</v>
      </c>
      <c r="Z642" s="1216">
        <f t="shared" si="1533"/>
        <v>95.316956281140421</v>
      </c>
      <c r="AA642" s="1216">
        <f t="shared" ref="AA642" si="1537">+AA643+AA644+AA645+AA646</f>
        <v>99.185290073672761</v>
      </c>
      <c r="AB642" s="1216">
        <f t="shared" si="1533"/>
        <v>95.672403795839273</v>
      </c>
      <c r="AC642" s="1216">
        <f t="shared" ref="AC642" si="1538">+AC643+AC644+AC645+AC646</f>
        <v>100</v>
      </c>
      <c r="AD642" s="1216">
        <f t="shared" si="1533"/>
        <v>99.599094012958034</v>
      </c>
      <c r="AE642" s="1216">
        <f t="shared" si="1533"/>
        <v>97.423027745182139</v>
      </c>
      <c r="AF642" s="1216">
        <f t="shared" si="1533"/>
        <v>96.042158342983626</v>
      </c>
    </row>
    <row r="643" spans="2:38" ht="35" customHeight="1" x14ac:dyDescent="0.25">
      <c r="C643" s="338"/>
      <c r="D643" s="8439"/>
      <c r="E643" s="203" t="s">
        <v>1627</v>
      </c>
      <c r="F643" s="3079">
        <f t="shared" ref="F643:G643" si="1539">+((F671+F672+F673+F674)/F687)*100</f>
        <v>52.360759102429377</v>
      </c>
      <c r="G643" s="3079">
        <f t="shared" si="1539"/>
        <v>51.654530143161438</v>
      </c>
      <c r="H643" s="3079">
        <f t="shared" ref="H643:L643" si="1540">+((H671+H672+H673+H674)/H687)*100</f>
        <v>52.007943922342591</v>
      </c>
      <c r="I643" s="3079">
        <f t="shared" si="1540"/>
        <v>51.706698974091083</v>
      </c>
      <c r="J643" s="3079">
        <f t="shared" si="1540"/>
        <v>51.900223368653663</v>
      </c>
      <c r="K643" s="3079">
        <f t="shared" si="1540"/>
        <v>46.938503769255981</v>
      </c>
      <c r="L643" s="3079">
        <f t="shared" si="1540"/>
        <v>50.513123006351044</v>
      </c>
      <c r="M643" s="3079">
        <f t="shared" ref="M643:O643" si="1541">+((M671+M672+M673+M674)/M687)*100</f>
        <v>43.382193114267622</v>
      </c>
      <c r="N643" s="3079">
        <f t="shared" ref="N643:AF643" si="1542">+((N671+N672+N673+N674+N675)/N687)*100</f>
        <v>55.180234129661329</v>
      </c>
      <c r="O643" s="3079">
        <f t="shared" si="1541"/>
        <v>44.373765720819044</v>
      </c>
      <c r="P643" s="3079">
        <f t="shared" si="1542"/>
        <v>49.202249253307976</v>
      </c>
      <c r="Q643" s="3079">
        <f t="shared" si="1542"/>
        <v>53.294198531719331</v>
      </c>
      <c r="R643" s="3079">
        <f t="shared" ref="R643" si="1543">+((R671+R672+R673+R674)/R687)*100</f>
        <v>45.811159374430673</v>
      </c>
      <c r="S643" s="3079">
        <f t="shared" si="1542"/>
        <v>52.103742529128397</v>
      </c>
      <c r="T643" s="3079">
        <f t="shared" ref="T643" si="1544">+((T671+T672+T673+T674)/T687)*100</f>
        <v>46.666996830427891</v>
      </c>
      <c r="U643" s="3079">
        <f t="shared" si="1542"/>
        <v>51.378178097728245</v>
      </c>
      <c r="V643" s="3079">
        <f t="shared" ref="V643" si="1545">+((V671+V672+V673+V674)/V687)*100</f>
        <v>48.829526414933596</v>
      </c>
      <c r="W643" s="3079">
        <f t="shared" si="1542"/>
        <v>47.114735115314097</v>
      </c>
      <c r="X643" s="3079">
        <f t="shared" si="1542"/>
        <v>51.065885516043089</v>
      </c>
      <c r="Y643" s="3079">
        <f t="shared" ref="Y643" si="1546">+((Y671+Y672+Y673+Y674)/Y687)*100</f>
        <v>49.999010194991591</v>
      </c>
      <c r="Z643" s="3079">
        <f t="shared" si="1542"/>
        <v>50.953978344582559</v>
      </c>
      <c r="AA643" s="3079">
        <f t="shared" ref="AA643" si="1547">+((AA671+AA672+AA673+AA674)/AA687)*100</f>
        <v>54.185392681975827</v>
      </c>
      <c r="AB643" s="3079">
        <f t="shared" si="1542"/>
        <v>51.250901582542532</v>
      </c>
      <c r="AC643" s="3079">
        <f t="shared" ref="AC643" si="1548">+((AC671+AC672+AC673+AC674)/AC687)*100</f>
        <v>54.999596318424025</v>
      </c>
      <c r="AD643" s="3079">
        <f t="shared" si="1542"/>
        <v>53.035191010027695</v>
      </c>
      <c r="AE643" s="3079">
        <f t="shared" si="1542"/>
        <v>50.010189558660635</v>
      </c>
      <c r="AF643" s="3079">
        <f t="shared" si="1542"/>
        <v>51.571194155845831</v>
      </c>
    </row>
    <row r="644" spans="2:38" ht="35" customHeight="1" x14ac:dyDescent="0.25">
      <c r="C644" s="338"/>
      <c r="D644" s="8439"/>
      <c r="E644" s="203" t="s">
        <v>1628</v>
      </c>
      <c r="F644" s="152">
        <f t="shared" ref="F644:G644" si="1549">+(F676+F675)/F687*100</f>
        <v>4.9996909192062802</v>
      </c>
      <c r="G644" s="152">
        <f t="shared" si="1549"/>
        <v>5.2199435280130775</v>
      </c>
      <c r="H644" s="152">
        <f t="shared" ref="H644:L644" si="1550">+(H676+H675)/H687*100</f>
        <v>5.1097238806431857</v>
      </c>
      <c r="I644" s="152">
        <f t="shared" si="1550"/>
        <v>8.3473196323177987</v>
      </c>
      <c r="J644" s="152">
        <f t="shared" si="1550"/>
        <v>6.267438255657745</v>
      </c>
      <c r="K644" s="152">
        <f t="shared" si="1550"/>
        <v>13.329646017699115</v>
      </c>
      <c r="L644" s="152">
        <f t="shared" si="1550"/>
        <v>8.2417519485502559</v>
      </c>
      <c r="M644" s="152">
        <f t="shared" ref="M644:O644" si="1551">+(M676+M675)/M687*100</f>
        <v>9.8702427868031339</v>
      </c>
      <c r="N644" s="152">
        <f t="shared" ref="N644:AF644" si="1552">+N676/N687*100</f>
        <v>2.2951475342107517</v>
      </c>
      <c r="O644" s="152">
        <f t="shared" si="1551"/>
        <v>8.7911859474067136</v>
      </c>
      <c r="P644" s="152">
        <f t="shared" si="1552"/>
        <v>6.3079207755585589</v>
      </c>
      <c r="Q644" s="152">
        <f t="shared" si="1552"/>
        <v>3.4288906988936199</v>
      </c>
      <c r="R644" s="152">
        <f t="shared" ref="R644" si="1553">+(R676+R675)/R687*100</f>
        <v>8.7506831976526769</v>
      </c>
      <c r="S644" s="152">
        <f t="shared" si="1552"/>
        <v>4.2755199482568731</v>
      </c>
      <c r="T644" s="152">
        <f t="shared" ref="T644" si="1554">+(T676+T675)/T687*100</f>
        <v>8.7004754358161644</v>
      </c>
      <c r="U644" s="152">
        <f t="shared" si="1552"/>
        <v>4.866055259310567</v>
      </c>
      <c r="V644" s="152">
        <f t="shared" ref="V644" si="1555">+(V676+V675)/V687*100</f>
        <v>9.7405363447903746</v>
      </c>
      <c r="W644" s="152">
        <f t="shared" si="1552"/>
        <v>9.0707324133938041</v>
      </c>
      <c r="X644" s="152">
        <f t="shared" si="1552"/>
        <v>5.4633374586932391</v>
      </c>
      <c r="Y644" s="152">
        <f t="shared" ref="Y644" si="1556">+(Y676+Y675)/Y687*100</f>
        <v>9.6050678016430755</v>
      </c>
      <c r="Z644" s="152">
        <f t="shared" si="1552"/>
        <v>5.8977737217562298</v>
      </c>
      <c r="AA644" s="152">
        <f t="shared" ref="AA644" si="1557">+(AA676+AA675)/AA687*100</f>
        <v>5.000102608303064</v>
      </c>
      <c r="AB644" s="152">
        <f t="shared" si="1552"/>
        <v>5.8152898970899507</v>
      </c>
      <c r="AC644" s="152">
        <f t="shared" ref="AC644" si="1558">+(AC676+AC675)/AC687*100</f>
        <v>4.9995963184240271</v>
      </c>
      <c r="AD644" s="152">
        <f t="shared" si="1552"/>
        <v>6.5633653251606319</v>
      </c>
      <c r="AE644" s="152">
        <f t="shared" si="1552"/>
        <v>7.8444810392035045</v>
      </c>
      <c r="AF644" s="152">
        <f t="shared" si="1552"/>
        <v>5.745596146666057</v>
      </c>
    </row>
    <row r="645" spans="2:38" ht="35" customHeight="1" x14ac:dyDescent="0.25">
      <c r="C645" s="338"/>
      <c r="D645" s="8439"/>
      <c r="E645" s="203" t="s">
        <v>171</v>
      </c>
      <c r="F645" s="152">
        <f t="shared" ref="F645:G645" si="1559">+F677/F687*100</f>
        <v>9.3614390801755576</v>
      </c>
      <c r="G645" s="152">
        <f t="shared" si="1559"/>
        <v>10.20211026898499</v>
      </c>
      <c r="H645" s="152">
        <f t="shared" ref="H645:L645" si="1560">+H677/H687*100</f>
        <v>9.7814183984706098</v>
      </c>
      <c r="I645" s="152">
        <f t="shared" si="1560"/>
        <v>11.556202692038369</v>
      </c>
      <c r="J645" s="152">
        <f t="shared" si="1560"/>
        <v>10.416053926439377</v>
      </c>
      <c r="K645" s="152">
        <f t="shared" si="1560"/>
        <v>14.731850213044902</v>
      </c>
      <c r="L645" s="152">
        <f t="shared" si="1560"/>
        <v>11.622579703007153</v>
      </c>
      <c r="M645" s="152">
        <f t="shared" ref="M645:O645" si="1561">+M677/M687*100</f>
        <v>15.000047253173051</v>
      </c>
      <c r="N645" s="152">
        <f t="shared" ref="N645:AF645" si="1562">+N677/N687*100</f>
        <v>12.407949068997269</v>
      </c>
      <c r="O645" s="152">
        <f t="shared" si="1561"/>
        <v>11.834528635277</v>
      </c>
      <c r="P645" s="152">
        <f t="shared" si="1562"/>
        <v>13.896314094542056</v>
      </c>
      <c r="Q645" s="152">
        <f t="shared" si="1562"/>
        <v>12.307870920459967</v>
      </c>
      <c r="R645" s="152">
        <f t="shared" si="1562"/>
        <v>11.000201363518684</v>
      </c>
      <c r="S645" s="152">
        <f t="shared" si="1562"/>
        <v>12.099837387460225</v>
      </c>
      <c r="T645" s="152">
        <f t="shared" si="1562"/>
        <v>11.000396196513471</v>
      </c>
      <c r="U645" s="152">
        <f t="shared" si="1562"/>
        <v>11.953110748625919</v>
      </c>
      <c r="V645" s="152">
        <f t="shared" ref="V645" si="1563">+V677/V687*100</f>
        <v>11.642260107344686</v>
      </c>
      <c r="W645" s="152">
        <f t="shared" si="1562"/>
        <v>11.218437389430346</v>
      </c>
      <c r="X645" s="152">
        <f t="shared" si="1562"/>
        <v>11.915021452258141</v>
      </c>
      <c r="Y645" s="152">
        <f t="shared" si="1562"/>
        <v>12.000395922003365</v>
      </c>
      <c r="Z645" s="152">
        <f t="shared" si="1562"/>
        <v>11.923976589972559</v>
      </c>
      <c r="AA645" s="152">
        <f t="shared" ref="AA645" si="1564">+AA677/AA687*100</f>
        <v>12.000041043321225</v>
      </c>
      <c r="AB645" s="152">
        <f t="shared" si="1562"/>
        <v>11.930965883645175</v>
      </c>
      <c r="AC645" s="152">
        <f t="shared" ref="AC645" si="1565">+AC677/AC687*100</f>
        <v>12.00044404973357</v>
      </c>
      <c r="AD645" s="152">
        <f t="shared" si="1562"/>
        <v>12.000295722773343</v>
      </c>
      <c r="AE645" s="152">
        <f t="shared" si="1562"/>
        <v>11.600812535129325</v>
      </c>
      <c r="AF645" s="152">
        <f t="shared" si="1562"/>
        <v>11.936902174053632</v>
      </c>
    </row>
    <row r="646" spans="2:38" ht="35" customHeight="1" x14ac:dyDescent="0.25">
      <c r="C646" s="338"/>
      <c r="D646" s="8439"/>
      <c r="E646" s="204" t="s">
        <v>54</v>
      </c>
      <c r="F646" s="123">
        <f t="shared" ref="F646:G646" si="1566">+F681/F687*100</f>
        <v>26.129690301044693</v>
      </c>
      <c r="G646" s="123">
        <f t="shared" si="1566"/>
        <v>26.455144399861297</v>
      </c>
      <c r="H646" s="123">
        <f t="shared" ref="H646:L646" si="1567">+H681/H687*100</f>
        <v>26.292279423137604</v>
      </c>
      <c r="I646" s="123">
        <f t="shared" si="1567"/>
        <v>24.465093532216653</v>
      </c>
      <c r="J646" s="123">
        <f t="shared" si="1567"/>
        <v>25.63890589105015</v>
      </c>
      <c r="K646" s="123">
        <f t="shared" si="1567"/>
        <v>19.999590298262866</v>
      </c>
      <c r="L646" s="123">
        <f t="shared" si="1567"/>
        <v>24.062376515459547</v>
      </c>
      <c r="M646" s="123">
        <f t="shared" ref="M646:O646" si="1568">+M681/M687*100</f>
        <v>27.903943749822801</v>
      </c>
      <c r="N646" s="123">
        <f t="shared" ref="N646:AF646" si="1569">+N681/N687*100</f>
        <v>24.955663920430197</v>
      </c>
      <c r="O646" s="123">
        <f t="shared" si="1568"/>
        <v>28.0002078785989</v>
      </c>
      <c r="P646" s="123">
        <f t="shared" si="1569"/>
        <v>25.359496754601125</v>
      </c>
      <c r="Q646" s="123">
        <f t="shared" si="1569"/>
        <v>25.487023294035264</v>
      </c>
      <c r="R646" s="123">
        <f t="shared" si="1569"/>
        <v>27.810219678010146</v>
      </c>
      <c r="S646" s="123">
        <f t="shared" si="1569"/>
        <v>25.856614181155862</v>
      </c>
      <c r="T646" s="123">
        <f t="shared" si="1569"/>
        <v>27.999207606973059</v>
      </c>
      <c r="U646" s="123">
        <f t="shared" si="1569"/>
        <v>26.142555379600424</v>
      </c>
      <c r="V646" s="123">
        <f t="shared" ref="V646" si="1570">+V681/V687*100</f>
        <v>28.000492233129183</v>
      </c>
      <c r="W646" s="123">
        <f t="shared" si="1569"/>
        <v>27.936247547364019</v>
      </c>
      <c r="X646" s="123">
        <f t="shared" si="1569"/>
        <v>26.370212968322111</v>
      </c>
      <c r="Y646" s="123">
        <f t="shared" si="1569"/>
        <v>28.000593883005049</v>
      </c>
      <c r="Z646" s="123">
        <f t="shared" si="1569"/>
        <v>26.541227624829084</v>
      </c>
      <c r="AA646" s="123">
        <f t="shared" ref="AA646" si="1571">+AA681/AA687*100</f>
        <v>27.999753740072649</v>
      </c>
      <c r="AB646" s="123">
        <f t="shared" si="1569"/>
        <v>26.675246432561629</v>
      </c>
      <c r="AC646" s="123">
        <f t="shared" ref="AC646" si="1572">+AC681/AC687*100</f>
        <v>28.000363313418376</v>
      </c>
      <c r="AD646" s="123">
        <f t="shared" si="1569"/>
        <v>28.000241954996369</v>
      </c>
      <c r="AE646" s="123">
        <f t="shared" si="1569"/>
        <v>27.967544612188682</v>
      </c>
      <c r="AF646" s="123">
        <f t="shared" si="1569"/>
        <v>26.788465866418104</v>
      </c>
    </row>
    <row r="647" spans="2:38" ht="35" customHeight="1" x14ac:dyDescent="0.25">
      <c r="C647" s="338"/>
      <c r="D647" s="8439"/>
      <c r="E647" s="204" t="s">
        <v>70</v>
      </c>
      <c r="F647" s="123">
        <f t="shared" ref="F647:G647" si="1573">+F685/F687*100</f>
        <v>7.1484205971440939</v>
      </c>
      <c r="G647" s="123">
        <f t="shared" si="1573"/>
        <v>6.4682716599791936</v>
      </c>
      <c r="H647" s="123">
        <f t="shared" ref="H647:L647" si="1574">+H685/H687*100</f>
        <v>6.8086343754060126</v>
      </c>
      <c r="I647" s="123">
        <f t="shared" si="1574"/>
        <v>3.9246851693361049</v>
      </c>
      <c r="J647" s="123">
        <f t="shared" si="1574"/>
        <v>5.77737855819906</v>
      </c>
      <c r="K647" s="123">
        <f t="shared" si="1574"/>
        <v>5.0004097017371354</v>
      </c>
      <c r="L647" s="123">
        <f t="shared" si="1574"/>
        <v>5.5601688266320002</v>
      </c>
      <c r="M647" s="123">
        <f t="shared" ref="M647:O647" si="1575">+M685/M687*100</f>
        <v>3.843573095933392</v>
      </c>
      <c r="N647" s="123">
        <f t="shared" ref="N647:AF647" si="1576">+N685/N687*100</f>
        <v>5.1610053467004509</v>
      </c>
      <c r="O647" s="123">
        <f t="shared" si="1575"/>
        <v>7.0003118178983472</v>
      </c>
      <c r="P647" s="123">
        <f t="shared" si="1576"/>
        <v>5.234019121990289</v>
      </c>
      <c r="Q647" s="123">
        <f t="shared" si="1576"/>
        <v>5.4820165548918203</v>
      </c>
      <c r="R647" s="123">
        <f t="shared" si="1576"/>
        <v>6.6277363863878263</v>
      </c>
      <c r="S647" s="123">
        <f t="shared" si="1576"/>
        <v>5.6642859539986521</v>
      </c>
      <c r="T647" s="123">
        <f t="shared" si="1576"/>
        <v>5.6329239302694134</v>
      </c>
      <c r="U647" s="123">
        <f t="shared" si="1576"/>
        <v>5.6601005147348467</v>
      </c>
      <c r="V647" s="123">
        <f t="shared" ref="V647" si="1577">+V685/V687*100</f>
        <v>1.7871848998021602</v>
      </c>
      <c r="W647" s="123">
        <f t="shared" si="1576"/>
        <v>4.6598475344977324</v>
      </c>
      <c r="X647" s="123">
        <f t="shared" si="1576"/>
        <v>5.1855426046834241</v>
      </c>
      <c r="Y647" s="123">
        <f t="shared" si="1576"/>
        <v>0.39493219835692367</v>
      </c>
      <c r="Z647" s="123">
        <f t="shared" si="1576"/>
        <v>4.6830437188595653</v>
      </c>
      <c r="AA647" s="123">
        <f t="shared" ref="AA647" si="1578">+AA685/AA687*100</f>
        <v>0.81470992632723849</v>
      </c>
      <c r="AB647" s="123">
        <f t="shared" si="1576"/>
        <v>4.3275962041607148</v>
      </c>
      <c r="AC647" s="123">
        <f t="shared" ref="AC647" si="1579">+AC685/AC687*100</f>
        <v>0</v>
      </c>
      <c r="AD647" s="123">
        <f t="shared" si="1576"/>
        <v>0.40090598704196573</v>
      </c>
      <c r="AE647" s="123">
        <f t="shared" si="1576"/>
        <v>2.5769722548178535</v>
      </c>
      <c r="AF647" s="123">
        <f t="shared" si="1576"/>
        <v>3.9578416570163739</v>
      </c>
    </row>
    <row r="648" spans="2:38" ht="35" customHeight="1" x14ac:dyDescent="0.25">
      <c r="C648" s="338"/>
      <c r="D648" s="8439"/>
      <c r="E648" s="204" t="s">
        <v>71</v>
      </c>
      <c r="F648" s="123">
        <f t="shared" ref="F648:G648" si="1580">+F686/F687*100</f>
        <v>0</v>
      </c>
      <c r="G648" s="123">
        <f t="shared" si="1580"/>
        <v>0</v>
      </c>
      <c r="H648" s="123">
        <f t="shared" ref="H648:L648" si="1581">+H686/H687*100</f>
        <v>0</v>
      </c>
      <c r="I648" s="123">
        <f t="shared" si="1581"/>
        <v>0</v>
      </c>
      <c r="J648" s="123">
        <f t="shared" si="1581"/>
        <v>0</v>
      </c>
      <c r="K648" s="123">
        <f t="shared" si="1581"/>
        <v>0</v>
      </c>
      <c r="L648" s="123">
        <f t="shared" si="1581"/>
        <v>0</v>
      </c>
      <c r="M648" s="123">
        <f t="shared" ref="M648:O648" si="1582">+M686/M687*100</f>
        <v>0</v>
      </c>
      <c r="N648" s="123">
        <f t="shared" ref="N648:AF648" si="1583">+N686/N687*100</f>
        <v>0</v>
      </c>
      <c r="O648" s="123">
        <f t="shared" si="1582"/>
        <v>0</v>
      </c>
      <c r="P648" s="123">
        <f t="shared" si="1583"/>
        <v>0</v>
      </c>
      <c r="Q648" s="123">
        <f t="shared" si="1583"/>
        <v>0</v>
      </c>
      <c r="R648" s="123">
        <f t="shared" si="1583"/>
        <v>0</v>
      </c>
      <c r="S648" s="123">
        <f t="shared" si="1583"/>
        <v>0</v>
      </c>
      <c r="T648" s="123">
        <f t="shared" si="1583"/>
        <v>0</v>
      </c>
      <c r="U648" s="123">
        <f t="shared" si="1583"/>
        <v>0</v>
      </c>
      <c r="V648" s="123">
        <f t="shared" ref="V648" si="1584">+V686/V687*100</f>
        <v>0</v>
      </c>
      <c r="W648" s="123">
        <f t="shared" si="1583"/>
        <v>0</v>
      </c>
      <c r="X648" s="123">
        <f t="shared" si="1583"/>
        <v>0</v>
      </c>
      <c r="Y648" s="123">
        <f t="shared" si="1583"/>
        <v>0</v>
      </c>
      <c r="Z648" s="123">
        <f t="shared" si="1583"/>
        <v>0</v>
      </c>
      <c r="AA648" s="123">
        <f t="shared" ref="AA648" si="1585">+AA686/AA687*100</f>
        <v>0</v>
      </c>
      <c r="AB648" s="123">
        <f t="shared" si="1583"/>
        <v>0</v>
      </c>
      <c r="AC648" s="123">
        <f t="shared" ref="AC648" si="1586">+AC686/AC687*100</f>
        <v>0</v>
      </c>
      <c r="AD648" s="123">
        <f t="shared" si="1583"/>
        <v>0</v>
      </c>
      <c r="AE648" s="123">
        <f t="shared" si="1583"/>
        <v>0</v>
      </c>
      <c r="AF648" s="123">
        <f t="shared" si="1583"/>
        <v>0</v>
      </c>
    </row>
    <row r="649" spans="2:38" ht="35" customHeight="1" x14ac:dyDescent="0.35">
      <c r="C649" s="338"/>
      <c r="D649" s="8439"/>
      <c r="E649" s="1054" t="s">
        <v>257</v>
      </c>
      <c r="F649" s="3692"/>
      <c r="G649" s="3692"/>
      <c r="H649" s="3758"/>
      <c r="I649" s="3692"/>
      <c r="J649" s="3758"/>
      <c r="K649" s="3692"/>
      <c r="L649" s="3758"/>
      <c r="M649" s="3692"/>
      <c r="N649" s="356"/>
      <c r="O649" s="3692"/>
      <c r="P649" s="356"/>
      <c r="Q649" s="356"/>
      <c r="R649" s="3692"/>
      <c r="S649" s="356"/>
      <c r="T649" s="3692"/>
      <c r="U649" s="356"/>
      <c r="V649" s="3692"/>
      <c r="W649" s="149"/>
      <c r="X649" s="149"/>
      <c r="Y649" s="3692"/>
      <c r="Z649" s="356"/>
      <c r="AA649" s="3692"/>
      <c r="AB649" s="149"/>
      <c r="AC649" s="3692"/>
      <c r="AD649" s="149"/>
      <c r="AE649" s="1097"/>
      <c r="AF649" s="2504"/>
    </row>
    <row r="650" spans="2:38" ht="35" customHeight="1" x14ac:dyDescent="0.25">
      <c r="C650" s="338"/>
      <c r="D650" s="8439"/>
      <c r="E650" s="67" t="s">
        <v>20</v>
      </c>
      <c r="F650" s="3410">
        <v>8.6970588235294137</v>
      </c>
      <c r="G650" s="3410">
        <v>8.7806451612903249</v>
      </c>
      <c r="H650" s="399">
        <f>+((F650*$F$687)+(G650*$G$687))/$H$687</f>
        <v>8.7388165685537462</v>
      </c>
      <c r="I650" s="3410">
        <v>8.7787234042553166</v>
      </c>
      <c r="J650" s="352">
        <f>+((H650*$H$687)+(I650*$I$687))/$J$687</f>
        <v>8.7530866383514212</v>
      </c>
      <c r="K650" s="3410">
        <v>9.1757575757575705</v>
      </c>
      <c r="L650" s="399">
        <f>+((J650*$J$687)+(K650*$K$687))/$L$687</f>
        <v>8.871248698634318</v>
      </c>
      <c r="M650" s="3410">
        <v>9.5643678160919539</v>
      </c>
      <c r="N650" s="113">
        <f>+((L650*$L$687)+(M650*$M$687))/$N$687</f>
        <v>9.0324210900038793</v>
      </c>
      <c r="O650" s="3410">
        <v>9.4356164383561616</v>
      </c>
      <c r="P650" s="352">
        <f>+((K650*$K$687)+(M650*$M$687)+(O650*$O$687))/$P$687</f>
        <v>9.3964147866538106</v>
      </c>
      <c r="Q650" s="2138">
        <f>+((N650*$N$687)+(O650*$O$687))/$Q$687</f>
        <v>9.1027901274310192</v>
      </c>
      <c r="R650" s="3410">
        <v>9.507142857142858</v>
      </c>
      <c r="S650" s="91">
        <f>+((Q650*$Q$687)+(R650*$R$687))/$S$687</f>
        <v>9.1671174848230521</v>
      </c>
      <c r="T650" s="3410">
        <v>8.7698630136986306</v>
      </c>
      <c r="U650" s="91">
        <f>+((S650*$S$687)+(T650*$T$687))/$U$687</f>
        <v>9.1141016311421552</v>
      </c>
      <c r="V650" s="3410">
        <v>8.6011904761904763</v>
      </c>
      <c r="W650" s="92">
        <f>+((R650*$R$687)+(T650*$T$687)+(V650*$V$687))/$W$687</f>
        <v>8.9598705470964752</v>
      </c>
      <c r="X650" s="91">
        <f>+((U650*$U$687)+(V650*$V$687))/$X$687</f>
        <v>9.0512533612760535</v>
      </c>
      <c r="Y650" s="3410">
        <v>8.6244444444444444</v>
      </c>
      <c r="Z650" s="91">
        <f>+((X650*$X$687)+(Y650*$Y$687))/$Z$687</f>
        <v>9.0064843262310941</v>
      </c>
      <c r="AA650" s="3410">
        <v>8.4708860759493625</v>
      </c>
      <c r="AB650" s="88">
        <f>+((Z650*$Z$687)+(AA650*$AA$687))/$AB$687</f>
        <v>8.9572700967591672</v>
      </c>
      <c r="AC650" s="3410">
        <v>8.6821428571428569</v>
      </c>
      <c r="AD650" s="1081">
        <f>+((Y650*$Y$687)+(AA650*$AA$687)+(AC650*$AC$687))/$AD$687</f>
        <v>8.593365758127895</v>
      </c>
      <c r="AE650" s="1349">
        <f>+((W650*$W$687)+(AD650*$AD$687))/$AE$687</f>
        <v>8.7806279450741531</v>
      </c>
      <c r="AF650" s="866">
        <f>+((AB650*$AB$687)+(AC650*$AC$687))/$AF$687</f>
        <v>8.9337629248576871</v>
      </c>
    </row>
    <row r="651" spans="2:38" ht="35" customHeight="1" x14ac:dyDescent="0.25">
      <c r="C651" s="338"/>
      <c r="D651" s="8439"/>
      <c r="E651" s="67" t="s">
        <v>18</v>
      </c>
      <c r="F651" s="3162">
        <v>10.46764705882353</v>
      </c>
      <c r="G651" s="3162">
        <v>10.696774193548386</v>
      </c>
      <c r="H651" s="399">
        <f>+((F651*$F$687)+(G651*$G$687))/$H$687</f>
        <v>10.582113522198972</v>
      </c>
      <c r="I651" s="3162">
        <v>9.940425531914892</v>
      </c>
      <c r="J651" s="352">
        <f>+((H651*$H$687)+(I651*$I$687))/$J$687</f>
        <v>10.352655780218113</v>
      </c>
      <c r="K651" s="3162">
        <v>10.183333333333332</v>
      </c>
      <c r="L651" s="399">
        <f>+((J651*$J$687)+(K651*$K$687))/$L$687</f>
        <v>10.305319927654343</v>
      </c>
      <c r="M651" s="3162">
        <v>10.202298850574714</v>
      </c>
      <c r="N651" s="113">
        <f>+((L651*$L$687)+(M651*$M$687))/$N$687</f>
        <v>10.281364228069407</v>
      </c>
      <c r="O651" s="3162">
        <v>10.669863013698629</v>
      </c>
      <c r="P651" s="352">
        <f>+((K651*$K$687)+(M651*$M$687)+(O651*$O$687))/$P$687</f>
        <v>10.346240072162344</v>
      </c>
      <c r="Q651" s="2138">
        <f>+((N651*$N$687)+(O651*$O$687))/$Q$687</f>
        <v>10.349168297977611</v>
      </c>
      <c r="R651" s="3162">
        <v>10.631428571428575</v>
      </c>
      <c r="S651" s="91">
        <f>+((Q651*$Q$687)+(R651*$R$687))/$S$687</f>
        <v>10.394072304192168</v>
      </c>
      <c r="T651" s="3162">
        <v>10.436708860759492</v>
      </c>
      <c r="U651" s="91">
        <f>+((S651*$S$687)+(T651*$T$687))/$U$687</f>
        <v>10.399762393564938</v>
      </c>
      <c r="V651" s="3162">
        <v>9.992857142857142</v>
      </c>
      <c r="W651" s="92">
        <f>+((R651*$R$687)+(T651*$T$687)+(V651*$V$687))/$W$687</f>
        <v>10.351206543460915</v>
      </c>
      <c r="X651" s="91">
        <f>+((U651*$U$687)+(V651*$V$687))/$X$687</f>
        <v>10.349903288806674</v>
      </c>
      <c r="Y651" s="3162">
        <v>9.8888888888888857</v>
      </c>
      <c r="Z651" s="91">
        <f>+((X651*$X$687)+(Y651*$Y$687))/$Z$687</f>
        <v>10.301546356670947</v>
      </c>
      <c r="AA651" s="3162">
        <v>9.9354430379746805</v>
      </c>
      <c r="AB651" s="88">
        <f>+((Z651*$Z$687)+(AA651*$AA$687))/$AB$687</f>
        <v>10.267906417169138</v>
      </c>
      <c r="AC651" s="3162">
        <v>9.7428571428571402</v>
      </c>
      <c r="AD651" s="1081">
        <f>+((Y651*$Y$687)+(AA651*$AA$687)+(AC651*$AC$687))/$AD$687</f>
        <v>9.8555094517394171</v>
      </c>
      <c r="AE651" s="1349">
        <f>+((W651*$W$687)+(AD651*$AD$687))/$AE$687</f>
        <v>10.108781234953756</v>
      </c>
      <c r="AF651" s="866">
        <f>+((AB651*$AB$687)+(AC651*$AC$687))/$AF$687</f>
        <v>10.223045633608729</v>
      </c>
    </row>
    <row r="652" spans="2:38" ht="35" customHeight="1" x14ac:dyDescent="0.25">
      <c r="C652" s="338"/>
      <c r="D652" s="8439"/>
      <c r="E652" s="67" t="s">
        <v>19</v>
      </c>
      <c r="F652" s="3162">
        <v>24.261764705882356</v>
      </c>
      <c r="G652" s="3162">
        <v>24.022580645161288</v>
      </c>
      <c r="H652" s="399">
        <f>+((F652*$F$687)+(G652*$G$687))/$H$687</f>
        <v>24.142274041629978</v>
      </c>
      <c r="I652" s="3162">
        <v>24.481395348837211</v>
      </c>
      <c r="J652" s="352">
        <f>+((H652*$H$687)+(I652*$I$687))/$J$687</f>
        <v>24.263538597905871</v>
      </c>
      <c r="K652" s="3162">
        <v>24.415151515151518</v>
      </c>
      <c r="L652" s="399">
        <f>+((J652*$J$687)+(K652*$K$687))/$L$687</f>
        <v>24.305923567114274</v>
      </c>
      <c r="M652" s="3162">
        <v>24.386206896551727</v>
      </c>
      <c r="N652" s="113">
        <f>+((L652*$L$687)+(M652*$M$687))/$N$687</f>
        <v>24.324592012215035</v>
      </c>
      <c r="O652" s="3162">
        <v>24.260273972602743</v>
      </c>
      <c r="P652" s="352">
        <f>+((K652*$K$687)+(M652*$M$687)+(O652*$O$687))/$P$687</f>
        <v>24.355204291522622</v>
      </c>
      <c r="Q652" s="2138">
        <f>+((N652*$N$687)+(O652*$O$687))/$Q$687</f>
        <v>24.313366687926912</v>
      </c>
      <c r="R652" s="3162">
        <v>24.251428571428569</v>
      </c>
      <c r="S652" s="91">
        <f>+((Q652*$Q$687)+(R652*$R$687))/$S$687</f>
        <v>24.303513124284549</v>
      </c>
      <c r="T652" s="3162">
        <v>24.208860759493664</v>
      </c>
      <c r="U652" s="91">
        <f>+((S652*$S$687)+(T652*$T$687))/$U$687</f>
        <v>24.290881231412204</v>
      </c>
      <c r="V652" s="3162">
        <v>24.263095238095239</v>
      </c>
      <c r="W652" s="92">
        <f>+((R652*$R$687)+(T652*$T$687)+(V652*$V$687))/$W$687</f>
        <v>24.241569238675464</v>
      </c>
      <c r="X652" s="91">
        <f>+((U652*$U$687)+(V652*$V$687))/$X$687</f>
        <v>24.287476545065214</v>
      </c>
      <c r="Y652" s="3162">
        <v>24.483333333333338</v>
      </c>
      <c r="Z652" s="91">
        <f>+((X652*$X$687)+(Y652*$Y$687))/$Z$687</f>
        <v>24.308020444388731</v>
      </c>
      <c r="AA652" s="3162">
        <v>24.168354430379736</v>
      </c>
      <c r="AB652" s="88">
        <f>+((Z652*$Z$687)+(AA652*$AA$687))/$AB$687</f>
        <v>24.295187028186845</v>
      </c>
      <c r="AC652" s="3162">
        <v>24.441666666666666</v>
      </c>
      <c r="AD652" s="1081">
        <f>+((Y652*$Y$687)+(AA652*$AA$687)+(AC652*$AC$687))/$AD$687</f>
        <v>24.36630144705649</v>
      </c>
      <c r="AE652" s="1349">
        <f>+((W652*$W$687)+(AD652*$AD$687))/$AE$687</f>
        <v>24.302570694206572</v>
      </c>
      <c r="AF652" s="866">
        <f>+((AB652*$AB$687)+(AC652*$AC$687))/$AF$687</f>
        <v>24.307702408512743</v>
      </c>
    </row>
    <row r="653" spans="2:38" ht="35" customHeight="1" x14ac:dyDescent="0.25">
      <c r="C653" s="338"/>
      <c r="D653" s="8440">
        <v>35.1</v>
      </c>
      <c r="E653" s="120" t="s">
        <v>21</v>
      </c>
      <c r="F653" s="3398"/>
      <c r="G653" s="3398"/>
      <c r="H653" s="3389"/>
      <c r="I653" s="3398"/>
      <c r="J653" s="3389"/>
      <c r="K653" s="3398"/>
      <c r="L653" s="3759"/>
      <c r="M653" s="3398"/>
      <c r="N653" s="3389"/>
      <c r="O653" s="3398"/>
      <c r="P653" s="154"/>
      <c r="Q653" s="148"/>
      <c r="R653" s="3398"/>
      <c r="S653" s="148"/>
      <c r="T653" s="3398"/>
      <c r="U653" s="148"/>
      <c r="V653" s="3398"/>
      <c r="W653" s="148"/>
      <c r="X653" s="148"/>
      <c r="Y653" s="3398"/>
      <c r="Z653" s="148"/>
      <c r="AA653" s="3398"/>
      <c r="AB653" s="120"/>
      <c r="AC653" s="3398"/>
      <c r="AD653" s="120"/>
      <c r="AE653" s="1084"/>
      <c r="AF653" s="2505"/>
    </row>
    <row r="654" spans="2:38" ht="35" customHeight="1" x14ac:dyDescent="0.25">
      <c r="C654" s="338"/>
      <c r="D654" s="8440"/>
      <c r="E654" s="67" t="s">
        <v>23</v>
      </c>
      <c r="F654" s="3410">
        <v>0.8705617977528094</v>
      </c>
      <c r="G654" s="3410">
        <v>0.88827956989247336</v>
      </c>
      <c r="H654" s="1976">
        <f>+((F654*$F$626)+(G654*$G$626))/$H$626</f>
        <v>0.87944405227011857</v>
      </c>
      <c r="I654" s="3410">
        <v>0.90407865168539314</v>
      </c>
      <c r="J654" s="352">
        <f>+((H654*$H$626)+(I654*$I$626))/$J$626</f>
        <v>0.88833387661850549</v>
      </c>
      <c r="K654" s="3410">
        <v>0.90935483870967737</v>
      </c>
      <c r="L654" s="1976">
        <f>+((J654*$J$626)+(K654*$K$626))/$L$626</f>
        <v>0.8942547988719266</v>
      </c>
      <c r="M654" s="3410">
        <v>0.90517241379310309</v>
      </c>
      <c r="N654" s="155">
        <f>+((L654*$L$626)+(M654*$M$626))/$N$626</f>
        <v>0.89669154825116892</v>
      </c>
      <c r="O654" s="3410">
        <v>0.89578313253012043</v>
      </c>
      <c r="P654" s="352">
        <f>+((K654*$K$626)+(M654*$M$626)+(O654*$O$626))/$P$626</f>
        <v>0.90363363004408315</v>
      </c>
      <c r="Q654" s="2138">
        <f>+((N654*$N$626)+(O654*$O$626))/$Q$626</f>
        <v>0.89653812970284452</v>
      </c>
      <c r="R654" s="3410">
        <v>0.89080459770114961</v>
      </c>
      <c r="S654" s="155">
        <f>+((Q654*$Q$626)+(R654*$R$626))/$S$626</f>
        <v>0.89565111000564468</v>
      </c>
      <c r="T654" s="3410">
        <v>0.87942528735632153</v>
      </c>
      <c r="U654" s="155">
        <f t="shared" ref="U654:U659" si="1587">+((S654*$S$626)+(T654*$T$626))/$U$626</f>
        <v>0.89350371223663883</v>
      </c>
      <c r="V654" s="3410">
        <v>0.87378021978021958</v>
      </c>
      <c r="W654" s="92">
        <f>+((R654*R626)+(T654*T626)+(V654*V626))/W626</f>
        <v>0.88124776096304136</v>
      </c>
      <c r="X654" s="91">
        <f>+((U654*$U$626)+(V654*$V$626))/$X$626</f>
        <v>0.89108927550828976</v>
      </c>
      <c r="Y654" s="3410">
        <v>0.86369565217391286</v>
      </c>
      <c r="Z654" s="155">
        <f t="shared" ref="Z654:Z659" si="1588">+((X654*$X$626)+(Y654*$Y$626))/$Z$626</f>
        <v>0.88821608415273112</v>
      </c>
      <c r="AA654" s="3410">
        <v>0.8738095238095237</v>
      </c>
      <c r="AB654" s="88">
        <f>+((Z654*$Z$626)+(AA654*$AA$626))/$AB$626</f>
        <v>0.88688912693070476</v>
      </c>
      <c r="AC654" s="3410">
        <v>0.87285714285714278</v>
      </c>
      <c r="AD654" s="1081">
        <f>+((Y654*$Y$626)+(AA654*$AA$626)+(AC654*$AC$626))/$AD$626</f>
        <v>0.87006809367268123</v>
      </c>
      <c r="AE654" s="1349">
        <f>+((W654*$W$626)+(AD654*$AD$626))/$AE$626</f>
        <v>0.87573878344064437</v>
      </c>
      <c r="AF654" s="866">
        <f>+((AB654*$AB$626)+(AC654*$AC$626))/$AF$626</f>
        <v>0.88568333705127589</v>
      </c>
    </row>
    <row r="655" spans="2:38" ht="35" customHeight="1" x14ac:dyDescent="0.25">
      <c r="C655" s="338"/>
      <c r="D655" s="8440"/>
      <c r="E655" s="67" t="s">
        <v>242</v>
      </c>
      <c r="F655" s="3162">
        <v>14.128089887640451</v>
      </c>
      <c r="G655" s="3162">
        <v>14.201075268817203</v>
      </c>
      <c r="H655" s="1976">
        <f t="shared" ref="H655:H657" si="1589">+((F655*$F$626)+(G655*$G$626))/$H$626</f>
        <v>14.164678840616288</v>
      </c>
      <c r="I655" s="3162">
        <v>14.033707865168543</v>
      </c>
      <c r="J655" s="352">
        <f t="shared" ref="J655:J657" si="1590">+((H655*$H$626)+(I655*$I$626))/$J$626</f>
        <v>14.117415682533618</v>
      </c>
      <c r="K655" s="3162">
        <v>14.051612903225804</v>
      </c>
      <c r="L655" s="1976">
        <f t="shared" ref="L655:L657" si="1591">+((J655*$J$626)+(K655*$K$626))/$L$626</f>
        <v>14.098881176898207</v>
      </c>
      <c r="M655" s="3162">
        <v>14.039080459770116</v>
      </c>
      <c r="N655" s="155">
        <f t="shared" ref="N655:N659" si="1592">+((L655*$L$626)+(M655*$M$626))/$N$626</f>
        <v>14.08553399792256</v>
      </c>
      <c r="O655" s="3162">
        <v>14.125421686746989</v>
      </c>
      <c r="P655" s="352">
        <f t="shared" ref="P655:P657" si="1593">+((K655*$K$626)+(M655*$M$626)+(O655*$O$626))/$P$626</f>
        <v>14.070523461421699</v>
      </c>
      <c r="Q655" s="2138">
        <f t="shared" ref="Q655:Q659" si="1594">+((N655*$N$626)+(O655*$O$626))/$Q$626</f>
        <v>14.092270463588727</v>
      </c>
      <c r="R655" s="3162">
        <v>14.472413793103449</v>
      </c>
      <c r="S655" s="155">
        <f t="shared" ref="S655:S659" si="1595">+((Q655*$Q$626)+(R655*$R$626))/$S$626</f>
        <v>14.151081441000038</v>
      </c>
      <c r="T655" s="3162">
        <v>14.225287356321836</v>
      </c>
      <c r="U655" s="155">
        <f t="shared" si="1587"/>
        <v>14.160902182940399</v>
      </c>
      <c r="V655" s="3162">
        <v>13.830769230769235</v>
      </c>
      <c r="W655" s="92">
        <f>+((R655*R626)+(T655*T626)+(V655*V626))/W626</f>
        <v>14.171456820956264</v>
      </c>
      <c r="X655" s="91">
        <f>+((U655*$U$626)+(V655*$V$626))/$X$626</f>
        <v>14.120489201987784</v>
      </c>
      <c r="Y655" s="3162">
        <v>13.561956521739136</v>
      </c>
      <c r="Z655" s="155">
        <f t="shared" si="1588"/>
        <v>14.061907274029624</v>
      </c>
      <c r="AA655" s="3162">
        <v>13.730952380952388</v>
      </c>
      <c r="AB655" s="88">
        <f t="shared" ref="AB655:AB659" si="1596">+((Z655*$Z$626)+(AA655*$AA$626))/$AB$626</f>
        <v>14.03142373215206</v>
      </c>
      <c r="AC655" s="3162">
        <v>13.534065934065936</v>
      </c>
      <c r="AD655" s="1081">
        <f>+((Y655*$Y$626)+(AA655*$AA$626)+(AC655*$AC$626))/$AD$626</f>
        <v>13.607963984604726</v>
      </c>
      <c r="AE655" s="1349">
        <f t="shared" ref="AE655:AE659" si="1597">+((W655*$W$626)+(AD655*$AD$626))/$AE$626</f>
        <v>13.893785823343567</v>
      </c>
      <c r="AF655" s="866">
        <f t="shared" ref="AF655:AF659" si="1598">+((AB655*$AB$626)+(AC655*$AC$626))/$AF$626</f>
        <v>13.9886850149298</v>
      </c>
    </row>
    <row r="656" spans="2:38" ht="35" customHeight="1" x14ac:dyDescent="0.25">
      <c r="C656" s="338"/>
      <c r="D656" s="8440"/>
      <c r="E656" s="67" t="s">
        <v>259</v>
      </c>
      <c r="F656" s="3162">
        <v>88.093548387096774</v>
      </c>
      <c r="G656" s="3162">
        <v>87.76935483870966</v>
      </c>
      <c r="H656" s="1976">
        <f t="shared" si="1589"/>
        <v>87.931024025289602</v>
      </c>
      <c r="I656" s="3162">
        <v>88.173913043478279</v>
      </c>
      <c r="J656" s="352">
        <f t="shared" si="1590"/>
        <v>88.018674758774267</v>
      </c>
      <c r="K656" s="3162">
        <v>87.945454545454524</v>
      </c>
      <c r="L656" s="1976">
        <f t="shared" si="1591"/>
        <v>87.998051002898364</v>
      </c>
      <c r="M656" s="3162">
        <v>87.996666666666684</v>
      </c>
      <c r="N656" s="155">
        <f t="shared" si="1592"/>
        <v>87.997742026947336</v>
      </c>
      <c r="O656" s="3162">
        <v>87.555555555555543</v>
      </c>
      <c r="P656" s="352">
        <f t="shared" si="1593"/>
        <v>87.840372554636659</v>
      </c>
      <c r="Q656" s="2138">
        <f t="shared" si="1594"/>
        <v>87.923062995136632</v>
      </c>
      <c r="R656" s="3162">
        <v>87.311764705882396</v>
      </c>
      <c r="S656" s="155">
        <f t="shared" si="1595"/>
        <v>87.828490640212507</v>
      </c>
      <c r="T656" s="3162">
        <v>88.013559322033885</v>
      </c>
      <c r="U656" s="155">
        <f t="shared" si="1587"/>
        <v>87.852983455340905</v>
      </c>
      <c r="V656" s="3162">
        <v>88.647619047619003</v>
      </c>
      <c r="W656" s="352">
        <f>+((R656*$R$626)+(T656*$T$626)+(V656*$V$626))/$W$626</f>
        <v>87.999377104019544</v>
      </c>
      <c r="X656" s="91">
        <f>+((U656*$U$626)+(V656*$V$626))/$X$626</f>
        <v>87.950258183125001</v>
      </c>
      <c r="Y656" s="3162">
        <v>88.974603174603189</v>
      </c>
      <c r="Z656" s="155">
        <f t="shared" si="1588"/>
        <v>88.057697025321957</v>
      </c>
      <c r="AA656" s="3162">
        <v>88.832142857142841</v>
      </c>
      <c r="AB656" s="88">
        <f t="shared" si="1596"/>
        <v>88.12902956168881</v>
      </c>
      <c r="AC656" s="3162">
        <v>89.408064516129031</v>
      </c>
      <c r="AD656" s="1081">
        <f>+((Y656*$Y$626)+(AA656*$AA$626)+(AC656*$AC$626))/$AD$626</f>
        <v>89.072803670050291</v>
      </c>
      <c r="AE656" s="1349">
        <f t="shared" si="1597"/>
        <v>88.528326908215078</v>
      </c>
      <c r="AF656" s="866">
        <f t="shared" si="1598"/>
        <v>88.23893899398395</v>
      </c>
    </row>
    <row r="657" spans="3:36" ht="35" customHeight="1" x14ac:dyDescent="0.25">
      <c r="C657" s="338"/>
      <c r="D657" s="8440"/>
      <c r="E657" s="67" t="s">
        <v>258</v>
      </c>
      <c r="F657" s="3162">
        <v>6.5129032258064532</v>
      </c>
      <c r="G657" s="3162">
        <v>6.8</v>
      </c>
      <c r="H657" s="1976">
        <f t="shared" si="1589"/>
        <v>6.6568302725809652</v>
      </c>
      <c r="I657" s="3162">
        <v>6.5942028985507228</v>
      </c>
      <c r="J657" s="352">
        <f t="shared" si="1590"/>
        <v>6.6342300936560195</v>
      </c>
      <c r="K657" s="3162">
        <v>6.4333333333333336</v>
      </c>
      <c r="L657" s="1976">
        <f t="shared" si="1591"/>
        <v>6.5776440014650088</v>
      </c>
      <c r="M657" s="3162">
        <v>6.7000000000000046</v>
      </c>
      <c r="N657" s="155">
        <f t="shared" si="1592"/>
        <v>6.6049531624520315</v>
      </c>
      <c r="O657" s="3162">
        <v>6.9428571428571439</v>
      </c>
      <c r="P657" s="352">
        <f t="shared" si="1593"/>
        <v>6.6860549456038445</v>
      </c>
      <c r="Q657" s="2138">
        <f t="shared" si="1594"/>
        <v>6.662020358610719</v>
      </c>
      <c r="R657" s="3162">
        <v>7.1029411764705888</v>
      </c>
      <c r="S657" s="155">
        <f t="shared" si="1595"/>
        <v>6.7302340618274403</v>
      </c>
      <c r="T657" s="3162">
        <v>6.7559322033898344</v>
      </c>
      <c r="U657" s="155">
        <f t="shared" si="1587"/>
        <v>6.7336350685468735</v>
      </c>
      <c r="V657" s="3162">
        <v>6.241269841269844</v>
      </c>
      <c r="W657" s="352">
        <f>+((R657*$R$626)+(T657*$T$626)+(V657*$V$626))/$W$626</f>
        <v>6.6938483699025557</v>
      </c>
      <c r="X657" s="91">
        <f>+((U657*$U$626)+(V657*$V$626))/$X$626</f>
        <v>6.673362543732809</v>
      </c>
      <c r="Y657" s="3162">
        <v>5.9936507936507946</v>
      </c>
      <c r="Z657" s="155">
        <f t="shared" si="1588"/>
        <v>6.6020706996138694</v>
      </c>
      <c r="AA657" s="3162">
        <v>6.0785714285714292</v>
      </c>
      <c r="AB657" s="88">
        <f t="shared" si="1596"/>
        <v>6.5538523100825428</v>
      </c>
      <c r="AC657" s="3162">
        <v>5.8693548387096763</v>
      </c>
      <c r="AD657" s="1081">
        <f>+((Y657*$Y$626)+(AA657*$AA$626)+(AC657*$AC$626))/$AD$626</f>
        <v>5.9799194846204022</v>
      </c>
      <c r="AE657" s="1349">
        <f t="shared" si="1597"/>
        <v>6.3420473655023049</v>
      </c>
      <c r="AF657" s="866">
        <f t="shared" si="1598"/>
        <v>6.4950323941569632</v>
      </c>
      <c r="AJ657" s="4756">
        <f>5+8+2.4</f>
        <v>15.4</v>
      </c>
    </row>
    <row r="658" spans="3:36" ht="35" customHeight="1" x14ac:dyDescent="0.25">
      <c r="C658" s="338"/>
      <c r="D658" s="8440"/>
      <c r="E658" s="67" t="s">
        <v>260</v>
      </c>
      <c r="F658" s="3399">
        <v>66.049999999999983</v>
      </c>
      <c r="G658" s="3399">
        <v>65.907692307692315</v>
      </c>
      <c r="H658" s="399">
        <f>+((F658*$F$626)+(G658*$G$626))/$H$626</f>
        <v>65.978658460393106</v>
      </c>
      <c r="I658" s="3399">
        <v>66.391666666666666</v>
      </c>
      <c r="J658" s="352">
        <f>+((H658*$F$626)+(I658*$G$626))/$H$626</f>
        <v>66.185707291190894</v>
      </c>
      <c r="K658" s="3399">
        <v>66.285714285714292</v>
      </c>
      <c r="L658" s="399">
        <f>+((J658*$J$626)+(K658*$K$626))/$L$626</f>
        <v>66.213876013288527</v>
      </c>
      <c r="M658" s="3399">
        <v>65.61666666666666</v>
      </c>
      <c r="N658" s="155">
        <f t="shared" si="1592"/>
        <v>66.080582293445389</v>
      </c>
      <c r="O658" s="3399">
        <v>65.375</v>
      </c>
      <c r="P658" s="352">
        <f>+((K658*$K$626)+(O658*$O$626))/($P$626-$M$626)</f>
        <v>65.84718659488999</v>
      </c>
      <c r="Q658" s="2138">
        <f t="shared" si="1594"/>
        <v>65.961419438074842</v>
      </c>
      <c r="R658" s="3399">
        <v>65.433333333333337</v>
      </c>
      <c r="S658" s="155">
        <f t="shared" si="1595"/>
        <v>65.879720621955073</v>
      </c>
      <c r="T658" s="3399">
        <v>65.730769230769226</v>
      </c>
      <c r="U658" s="155">
        <f t="shared" si="1587"/>
        <v>65.860007730224666</v>
      </c>
      <c r="V658" s="3399">
        <v>66.507692307692309</v>
      </c>
      <c r="W658" s="352">
        <f t="shared" ref="W658:W659" si="1599">+((R658*$R$626)+(T658*$T$626)+(V658*$V$626))/$W$626</f>
        <v>65.899330630381641</v>
      </c>
      <c r="X658" s="91">
        <f t="shared" ref="X658:X659" si="1600">+((U658*$U$626)+(V658*$V$626))/$X$626</f>
        <v>65.939293558314105</v>
      </c>
      <c r="Y658" s="3399">
        <v>66.681818181818187</v>
      </c>
      <c r="Z658" s="155">
        <f t="shared" si="1588"/>
        <v>66.017173556279332</v>
      </c>
      <c r="AA658" s="3399">
        <v>66.63333333333334</v>
      </c>
      <c r="AB658" s="88">
        <f t="shared" si="1596"/>
        <v>66.073926705303521</v>
      </c>
      <c r="AC658" s="3399">
        <v>66.958333333333343</v>
      </c>
      <c r="AD658" s="1081">
        <f>+((AA658*$AA$626)+(AC658*$AC$626))/($AA$626+$AC$626)</f>
        <v>66.797494067477885</v>
      </c>
      <c r="AE658" s="1349">
        <f t="shared" si="1597"/>
        <v>66.341916447820822</v>
      </c>
      <c r="AF658" s="866">
        <f t="shared" si="1598"/>
        <v>66.149925121193064</v>
      </c>
    </row>
    <row r="659" spans="3:36" ht="35" customHeight="1" x14ac:dyDescent="0.25">
      <c r="C659" s="338"/>
      <c r="D659" s="8440"/>
      <c r="E659" s="67" t="s">
        <v>261</v>
      </c>
      <c r="F659" s="3399">
        <v>20.12</v>
      </c>
      <c r="G659" s="3399">
        <v>20.576923076923077</v>
      </c>
      <c r="H659" s="399">
        <f>+((F659*$F$626)+(G659*$G$626))/$H$626</f>
        <v>20.349064186629722</v>
      </c>
      <c r="I659" s="3399">
        <v>20.291666666666668</v>
      </c>
      <c r="J659" s="352">
        <f>+((H659*$F$626)+(I659*$G$626))/$H$626</f>
        <v>20.320289723511252</v>
      </c>
      <c r="K659" s="3399">
        <v>20.650000000000002</v>
      </c>
      <c r="L659" s="399">
        <f>+((J659*$J$626)+(K659*$K$626))/$L$626</f>
        <v>20.413158399301487</v>
      </c>
      <c r="M659" s="3399">
        <v>21.175000000000001</v>
      </c>
      <c r="N659" s="155">
        <f t="shared" si="1592"/>
        <v>20.58319709923606</v>
      </c>
      <c r="O659" s="3399">
        <v>21.700000000000003</v>
      </c>
      <c r="P659" s="352">
        <f>+((K659*$K$626)+(O659*$O$626))/($P$626-$M$626)</f>
        <v>21.155596631773889</v>
      </c>
      <c r="Q659" s="2138">
        <f t="shared" si="1594"/>
        <v>20.771809290581299</v>
      </c>
      <c r="R659" s="3399">
        <v>21.625</v>
      </c>
      <c r="S659" s="155">
        <f t="shared" si="1595"/>
        <v>20.903804187356723</v>
      </c>
      <c r="T659" s="3399">
        <v>21.04615384615385</v>
      </c>
      <c r="U659" s="155">
        <f t="shared" si="1587"/>
        <v>20.922643376365883</v>
      </c>
      <c r="V659" s="3399">
        <v>20.207692307692305</v>
      </c>
      <c r="W659" s="352">
        <f t="shared" si="1599"/>
        <v>20.949478308050875</v>
      </c>
      <c r="X659" s="91">
        <f t="shared" si="1600"/>
        <v>20.835123170550808</v>
      </c>
      <c r="Y659" s="3399">
        <v>19.527272727272724</v>
      </c>
      <c r="Z659" s="155">
        <f t="shared" si="1588"/>
        <v>20.697948743417815</v>
      </c>
      <c r="AA659" s="3399">
        <v>19.611111111111114</v>
      </c>
      <c r="AB659" s="88">
        <f t="shared" si="1596"/>
        <v>20.59784247162203</v>
      </c>
      <c r="AC659" s="3399">
        <v>19.458333333333336</v>
      </c>
      <c r="AD659" s="1081">
        <f>+((AA659*$AA$626)+(AC659*$AC$626))/($AA$626+$AC$626)</f>
        <v>19.5339415352312</v>
      </c>
      <c r="AE659" s="1349">
        <f t="shared" si="1597"/>
        <v>20.251947687411199</v>
      </c>
      <c r="AF659" s="866">
        <f t="shared" si="1598"/>
        <v>20.499922706372729</v>
      </c>
    </row>
    <row r="660" spans="3:36" ht="35" customHeight="1" x14ac:dyDescent="0.25">
      <c r="C660" s="338"/>
      <c r="D660" s="8439">
        <v>35.11</v>
      </c>
      <c r="E660" s="120" t="s">
        <v>24</v>
      </c>
      <c r="F660" s="3762"/>
      <c r="G660" s="3762"/>
      <c r="H660" s="3760"/>
      <c r="I660" s="3762"/>
      <c r="J660" s="3761"/>
      <c r="K660" s="3762"/>
      <c r="L660" s="3761"/>
      <c r="M660" s="3762"/>
      <c r="N660" s="2132"/>
      <c r="O660" s="3762"/>
      <c r="P660" s="421"/>
      <c r="Q660" s="2132"/>
      <c r="R660" s="3762"/>
      <c r="S660" s="2132"/>
      <c r="T660" s="3762"/>
      <c r="U660" s="2132"/>
      <c r="V660" s="3762"/>
      <c r="W660" s="2132"/>
      <c r="X660" s="2132"/>
      <c r="Y660" s="3762"/>
      <c r="Z660" s="2132"/>
      <c r="AA660" s="3762"/>
      <c r="AB660" s="2132"/>
      <c r="AC660" s="3762"/>
      <c r="AD660" s="2132"/>
      <c r="AE660" s="1364"/>
      <c r="AF660" s="2506"/>
    </row>
    <row r="661" spans="3:36" ht="35" customHeight="1" x14ac:dyDescent="0.25">
      <c r="C661" s="338"/>
      <c r="D661" s="8439"/>
      <c r="E661" s="205" t="s">
        <v>29</v>
      </c>
      <c r="F661" s="3399">
        <v>26.274000000000001</v>
      </c>
      <c r="G661" s="3399">
        <v>25.478000000000002</v>
      </c>
      <c r="H661" s="246">
        <f>SUM(F661:G661)</f>
        <v>51.752000000000002</v>
      </c>
      <c r="I661" s="3399">
        <v>28.123000000000001</v>
      </c>
      <c r="J661" s="245">
        <f>SUM(H661:I661)</f>
        <v>79.875</v>
      </c>
      <c r="K661" s="3399">
        <v>30.715</v>
      </c>
      <c r="L661" s="231">
        <f>SUM(J661:K661)</f>
        <v>110.59</v>
      </c>
      <c r="M661" s="3399">
        <v>33.901000000000003</v>
      </c>
      <c r="N661" s="91">
        <f>SUM(L661:M661)</f>
        <v>144.49100000000001</v>
      </c>
      <c r="O661" s="3399">
        <v>31.738</v>
      </c>
      <c r="P661" s="490">
        <f>+K661+M661+O661</f>
        <v>96.353999999999999</v>
      </c>
      <c r="Q661" s="2139">
        <f>+J661+P661</f>
        <v>176.22899999999998</v>
      </c>
      <c r="R661" s="3399">
        <v>33.369999999999997</v>
      </c>
      <c r="S661" s="88">
        <f>SUM(Q661:R661)</f>
        <v>209.59899999999999</v>
      </c>
      <c r="T661" s="3399">
        <v>32.475000000000001</v>
      </c>
      <c r="U661" s="88">
        <f>SUM(S661:T661)</f>
        <v>242.07399999999998</v>
      </c>
      <c r="V661" s="3399">
        <v>33.485999999999997</v>
      </c>
      <c r="W661" s="87">
        <f>+R661+T661+V661</f>
        <v>99.330999999999989</v>
      </c>
      <c r="X661" s="2279">
        <f>+U661+V661</f>
        <v>275.56</v>
      </c>
      <c r="Y661" s="3399">
        <v>31.228000000000002</v>
      </c>
      <c r="Z661" s="5044">
        <f>SUM(X661:Y661)</f>
        <v>306.78800000000001</v>
      </c>
      <c r="AA661" s="3399">
        <v>29.561</v>
      </c>
      <c r="AB661" s="91">
        <f>SUM(Z661:AA661)</f>
        <v>336.34899999999999</v>
      </c>
      <c r="AC661" s="3399">
        <v>31.579000000000001</v>
      </c>
      <c r="AD661" s="1365">
        <f>+Y661+AA661+AC661</f>
        <v>92.367999999999995</v>
      </c>
      <c r="AE661" s="1366">
        <f>+W661+AD661</f>
        <v>191.69899999999998</v>
      </c>
      <c r="AF661" s="809">
        <f t="shared" ref="AF661" si="1601">+AB661+AC661</f>
        <v>367.928</v>
      </c>
    </row>
    <row r="662" spans="3:36" ht="35" customHeight="1" x14ac:dyDescent="0.25">
      <c r="C662" s="338"/>
      <c r="D662" s="8439"/>
      <c r="E662" s="206" t="s">
        <v>30</v>
      </c>
      <c r="F662" s="3992">
        <f t="shared" ref="F662:G662" si="1602">+((F661*1000000)/(F624*31.55))</f>
        <v>356.95386866450696</v>
      </c>
      <c r="G662" s="3992">
        <f t="shared" si="1602"/>
        <v>346.73404105473674</v>
      </c>
      <c r="H662" s="254">
        <f t="shared" ref="H662:K662" si="1603">+((H661*1000000)/(H624*31.55))</f>
        <v>351.84833917005074</v>
      </c>
      <c r="I662" s="3992">
        <f t="shared" si="1603"/>
        <v>343.49856025698574</v>
      </c>
      <c r="J662" s="245">
        <f t="shared" si="1603"/>
        <v>348.862576970877</v>
      </c>
      <c r="K662" s="3992">
        <f t="shared" si="1603"/>
        <v>345.71522475147674</v>
      </c>
      <c r="L662" s="254">
        <f>+((L661*1000000)/(L624*31.55))</f>
        <v>347.98270564656139</v>
      </c>
      <c r="M662" s="3992">
        <f t="shared" ref="M662:O662" si="1604">+((M661*1000000)/(M624*31.55))</f>
        <v>352.06967242908445</v>
      </c>
      <c r="N662" s="254">
        <f>+((N661*1000000)/(N624*31.55))</f>
        <v>348.93306165572409</v>
      </c>
      <c r="O662" s="3992">
        <f t="shared" si="1604"/>
        <v>362.50767407661226</v>
      </c>
      <c r="P662" s="491">
        <f>+((P661*1000000)/(P624*31.55))</f>
        <v>353.35063157657328</v>
      </c>
      <c r="Q662" s="2140">
        <f>+((Q661*1000000)/(Q624*31.55))</f>
        <v>351.30221571031302</v>
      </c>
      <c r="R662" s="3992">
        <f t="shared" ref="R662" si="1605">+((R661*1000000)/(R624*31.55))</f>
        <v>351.62440570522972</v>
      </c>
      <c r="S662" s="143">
        <f>+((S661*1000000)/(S624*31.55))</f>
        <v>351.35347166042465</v>
      </c>
      <c r="T662" s="3992">
        <f t="shared" ref="T662" si="1606">+((T661*1000000)/(T624*31.55))</f>
        <v>353.47477403737304</v>
      </c>
      <c r="U662" s="143">
        <f>+((U661*1000000)/(U624*31.55))</f>
        <v>351.63657122603752</v>
      </c>
      <c r="V662" s="3992">
        <f t="shared" ref="V662:AC662" si="1607">+((V661*1000000)/(V624*31.55))</f>
        <v>348.33046143955988</v>
      </c>
      <c r="W662" s="87">
        <f t="shared" si="1607"/>
        <v>351.10601877601204</v>
      </c>
      <c r="X662" s="2279">
        <f t="shared" si="1607"/>
        <v>351.2314674129762</v>
      </c>
      <c r="Y662" s="3992">
        <f t="shared" ref="Y662" si="1608">+((Y661*1000000)/(Y624*31.55))</f>
        <v>339.66848929752757</v>
      </c>
      <c r="Z662" s="2275">
        <f t="shared" si="1607"/>
        <v>350.01860544874097</v>
      </c>
      <c r="AA662" s="3992">
        <f t="shared" si="1607"/>
        <v>333.31811126878159</v>
      </c>
      <c r="AB662" s="2275">
        <f t="shared" si="1607"/>
        <v>348.48405101817531</v>
      </c>
      <c r="AC662" s="3992">
        <f t="shared" si="1607"/>
        <v>350.21664657496569</v>
      </c>
      <c r="AD662" s="1367">
        <f>+((AD661*1000000)/(AD624*31.55))</f>
        <v>341.10105609935829</v>
      </c>
      <c r="AE662" s="1349">
        <f>+((W662*W626)+(AD662*AD626))/(W626+AD626)</f>
        <v>346.17589759560519</v>
      </c>
      <c r="AF662" s="809">
        <f>+((J662*J626)+(P662*P626)+(W662*W626)+(AD662*AD626))/(J626+P626+W626+AD626)</f>
        <v>348.61111244128568</v>
      </c>
    </row>
    <row r="663" spans="3:36" ht="35" customHeight="1" x14ac:dyDescent="0.25">
      <c r="C663" s="338"/>
      <c r="D663" s="8439"/>
      <c r="E663" s="205" t="s">
        <v>31</v>
      </c>
      <c r="F663" s="3262">
        <v>4271.3</v>
      </c>
      <c r="G663" s="3262">
        <v>4272.2</v>
      </c>
      <c r="H663" s="254">
        <f>+((F663*F661)+(G663*G661))/H661</f>
        <v>4271.7430785283659</v>
      </c>
      <c r="I663" s="3262">
        <v>4267.3999999999996</v>
      </c>
      <c r="J663" s="313">
        <f>+((H663*H661)+(I663*I661))/J661</f>
        <v>4270.2139342723003</v>
      </c>
      <c r="K663" s="3262">
        <v>4271.3</v>
      </c>
      <c r="L663" s="254">
        <f>+((J663*J661)+(K663*K661))/L661</f>
        <v>4270.5155755493261</v>
      </c>
      <c r="M663" s="3262">
        <v>4262.8999999999996</v>
      </c>
      <c r="N663" s="143">
        <f>+((L663*L661)+(M663*M661))/N661</f>
        <v>4268.7287817234292</v>
      </c>
      <c r="O663" s="3262">
        <v>4269.6000000000004</v>
      </c>
      <c r="P663" s="492">
        <f>+((O663*O661)+(M663*M661)+(K663*K661))/P661</f>
        <v>4267.7845984598462</v>
      </c>
      <c r="Q663" s="2141">
        <f>+((P663*P661)+(J663*J661))/Q661</f>
        <v>4268.8856839680193</v>
      </c>
      <c r="R663" s="3262">
        <v>4256.2</v>
      </c>
      <c r="S663" s="364">
        <f>+((R663*R661)+(Q663*Q661))/S661</f>
        <v>4266.8660117653235</v>
      </c>
      <c r="T663" s="3262">
        <v>4261.3999999999996</v>
      </c>
      <c r="U663" s="364">
        <f>+((T663*T661)+(S663*S661))/U661</f>
        <v>4266.1327288349839</v>
      </c>
      <c r="V663" s="3262">
        <v>4265.6000000000004</v>
      </c>
      <c r="W663" s="118">
        <f>+((V663*V661)+(T663*T661)+(R663*R661))/W661</f>
        <v>4261.0689573245008</v>
      </c>
      <c r="X663" s="46">
        <f>+((U663*U661)+(V663*V661))/X661</f>
        <v>4266.0679917259395</v>
      </c>
      <c r="Y663" s="3262">
        <v>4262.3</v>
      </c>
      <c r="Z663" s="1518">
        <f>+((Y663*Y661)+(X663*X661))/Z661</f>
        <v>4265.6844472404391</v>
      </c>
      <c r="AA663" s="3262">
        <v>4268.8999999999996</v>
      </c>
      <c r="AB663" s="86">
        <f>+((AA663*AA661)+(Z663*Z661))/AB661</f>
        <v>4265.9670553502456</v>
      </c>
      <c r="AC663" s="3262">
        <v>4263.8999999999996</v>
      </c>
      <c r="AD663" s="1368">
        <f>+((AC663*AC661)+(AA663*AA661)+(Y663*Y661))/AD661</f>
        <v>4264.9592434609385</v>
      </c>
      <c r="AE663" s="1164">
        <f>+((AD663*AD661)+(W663*W661))/AE661</f>
        <v>4262.9434478009798</v>
      </c>
      <c r="AF663" s="714">
        <f>+((AB663*AB661)+(AC663*AC661))/AF661</f>
        <v>4265.7896414515872</v>
      </c>
    </row>
    <row r="664" spans="3:36" ht="35" customHeight="1" x14ac:dyDescent="0.25">
      <c r="C664" s="338"/>
      <c r="D664" s="8439"/>
      <c r="E664" s="205" t="s">
        <v>1286</v>
      </c>
      <c r="F664" s="3813">
        <f>7184.88/(F623*24)</f>
        <v>9.979000000000001</v>
      </c>
      <c r="G664" s="3813">
        <f>7086/(G623*24)</f>
        <v>9.5241935483870961</v>
      </c>
      <c r="H664" s="254">
        <f>+((F664*$F$623)+(G664*$G$623))/$H$623</f>
        <v>9.7478688524590158</v>
      </c>
      <c r="I664" s="3813">
        <f>5699.5/(I623*24)</f>
        <v>7.915972222222222</v>
      </c>
      <c r="J664" s="253">
        <f>+((H664*$H$623)+(I664*$I$623))/$J$623</f>
        <v>9.1439468864468854</v>
      </c>
      <c r="K664" s="3813">
        <f>5527.44/(K623*24)</f>
        <v>7.4293548387096768</v>
      </c>
      <c r="L664" s="254">
        <f>+((J664*$J$623)+(K664*$K$623))/$L$623</f>
        <v>8.7082718579234957</v>
      </c>
      <c r="M664" s="3813">
        <f>8667.84/(M623*24)</f>
        <v>11.650322580645161</v>
      </c>
      <c r="N664" s="254">
        <f>+((L664*$L$623)+(M664*$M$623))/$N$623</f>
        <v>9.3043736383442273</v>
      </c>
      <c r="O664" s="3813">
        <f>8413.68/(O623*24)</f>
        <v>11.685666666666666</v>
      </c>
      <c r="P664" s="253">
        <f>+((K664*$K$623)+(M664*$M$623)+(O664*$O$623))/$P$623</f>
        <v>10.239565217391304</v>
      </c>
      <c r="Q664" s="2140">
        <f>+((N664*$N$623)+(O664*$O$623))/$Q$623</f>
        <v>9.6947495446265926</v>
      </c>
      <c r="R664" s="3813">
        <f>8613.84/(R623*24)</f>
        <v>11.577741935483871</v>
      </c>
      <c r="S664" s="254">
        <f>+((Q664*$Q$623)+(R664*$R$623))/$S$623</f>
        <v>9.9675194704049819</v>
      </c>
      <c r="T664" s="3813">
        <f>8206.08/(T623*24)</f>
        <v>11.397333333333334</v>
      </c>
      <c r="U664" s="254">
        <f>+((S664*$S$623)+(T664*$T$623))/$U$623</f>
        <v>10.1433162568306</v>
      </c>
      <c r="V664" s="3813">
        <f>8174.4/(V623*24)</f>
        <v>10.987096774193548</v>
      </c>
      <c r="W664" s="253">
        <f>+((R664*$R$623)+(T664*$T$623)+(V664*$V$623))/$W$623</f>
        <v>11.319891304347827</v>
      </c>
      <c r="X664" s="254">
        <f>+((U664*$U$623)+(V664*$V$623))/$X$623</f>
        <v>10.238433333333331</v>
      </c>
      <c r="Y664" s="3813">
        <f>7104.24/(Y623*24)</f>
        <v>9.5487096774193549</v>
      </c>
      <c r="Z664" s="254">
        <f>+((X664*$X$623)+(Y664*$Y$623))/$Z$623</f>
        <v>10.168559368191721</v>
      </c>
      <c r="AA664" s="3813">
        <f>7101.12/(AA623*24)</f>
        <v>10.202758620689655</v>
      </c>
      <c r="AB664" s="254">
        <f>+((Z664*$Z$623)+(AA664*$AA$623))/$AB$623</f>
        <v>10.171519900497511</v>
      </c>
      <c r="AC664" s="3813">
        <f>8132.4/(AC623*24)</f>
        <v>10.930645161290322</v>
      </c>
      <c r="AD664" s="1365">
        <f>+((Y664*$Y$623)+(AA664*$AA$623)+(AC664*$AC$623))/$AD$623</f>
        <v>10.341555555555555</v>
      </c>
      <c r="AE664" s="1366">
        <f>+((W664*$W$623)+(AD664*$AD$623))/$AE$623</f>
        <v>10.836098901098902</v>
      </c>
      <c r="AF664" s="809">
        <f>+((AB664*$AB$623)+(AC664*$AC$623))/$AF$623</f>
        <v>10.235817395264116</v>
      </c>
    </row>
    <row r="665" spans="3:36" ht="35" customHeight="1" x14ac:dyDescent="0.25">
      <c r="C665" s="338"/>
      <c r="D665" s="8439"/>
      <c r="E665" s="205" t="s">
        <v>1287</v>
      </c>
      <c r="F665" s="3813">
        <f>26351.04/(F623*24)</f>
        <v>36.598666666666666</v>
      </c>
      <c r="G665" s="3813">
        <f>28613.76/(G623*24)</f>
        <v>38.459354838709672</v>
      </c>
      <c r="H665" s="254">
        <f>+((F665*$F$623)+(G665*$G$623))/$H$623</f>
        <v>37.544262295081964</v>
      </c>
      <c r="I665" s="3812">
        <f>39272.9/(I623*24)</f>
        <v>54.545694444444443</v>
      </c>
      <c r="J665" s="253">
        <f>+((H665*$H$623)+(I665*$I$623))/$J$623</f>
        <v>43.149130036630034</v>
      </c>
      <c r="K665" s="3813">
        <f>40360.08/(K623*24)</f>
        <v>54.247419354838712</v>
      </c>
      <c r="L665" s="254">
        <f>+((J665*$J$623)+(K665*$K$623))/$L$623</f>
        <v>45.969187158469943</v>
      </c>
      <c r="M665" s="3813">
        <f>31468.8/(M623*24)</f>
        <v>42.296774193548387</v>
      </c>
      <c r="N665" s="254">
        <f>+((L665*$L$623)+(M665*$M$623))/$N$623</f>
        <v>45.22510348583878</v>
      </c>
      <c r="O665" s="3813">
        <f>30501.6/(O623*24)</f>
        <v>42.36333333333333</v>
      </c>
      <c r="P665" s="253">
        <f>+((K665*$K$623)+(M665*$M$623)+(O665*$O$623))/$P$623</f>
        <v>46.345326086956518</v>
      </c>
      <c r="Q665" s="2140">
        <f>+((N665*$N$623)+(O665*$O$623))/$Q$623</f>
        <v>44.755960837887066</v>
      </c>
      <c r="R665" s="3813">
        <f>31264.8/(R623*24)</f>
        <v>42.022580645161291</v>
      </c>
      <c r="S665" s="254">
        <f>+((Q665*$Q$623)+(R665*$R$623))/$S$623</f>
        <v>44.360003894080997</v>
      </c>
      <c r="T665" s="3813">
        <f>34372.8/(T623*24)</f>
        <v>47.74</v>
      </c>
      <c r="U665" s="254">
        <f>+((S665*$S$623)+(T665*$T$623))/$U$623</f>
        <v>44.775577185792351</v>
      </c>
      <c r="V665" s="3813">
        <f>38822.4/(V623*24)</f>
        <v>52.180645161290322</v>
      </c>
      <c r="W665" s="253">
        <f>+((R665*$R$623)+(T665*$T$623)+(V665*$V$623))/$W$623</f>
        <v>47.309782608695649</v>
      </c>
      <c r="X665" s="254">
        <f>+((U665*$U$623)+(V665*$V$623))/$X$623</f>
        <v>45.610330303030302</v>
      </c>
      <c r="Y665" s="3813">
        <f>38235.12/(Y623*24)</f>
        <v>51.391290322580652</v>
      </c>
      <c r="Z665" s="254">
        <f>+((X665*$X$623)+(Y665*$Y$623))/$Z$623</f>
        <v>46.195983115468408</v>
      </c>
      <c r="AA665" s="3813">
        <f>32398.08/(AA623*24)</f>
        <v>46.548965517241385</v>
      </c>
      <c r="AB665" s="254">
        <f>+((Z665*$Z$623)+(AA665*$AA$623))/$AB$623</f>
        <v>46.22653980099502</v>
      </c>
      <c r="AC665" s="3813">
        <f>30031.9/(AC623*24)</f>
        <v>40.365456989247313</v>
      </c>
      <c r="AD665" s="1365">
        <f>+((Y665*$Y$623)+(AA665*$AA$623)+(AC665*$AC$623))/$AD$623</f>
        <v>46.604212962962961</v>
      </c>
      <c r="AE665" s="1366">
        <f>+((W665*$W$623)+(AD665*$AD$623))/$AE$623</f>
        <v>46.960874542124536</v>
      </c>
      <c r="AF665" s="809">
        <f>+((AB665*$AB$623)+(AC665*$AC$623))/$AF$623</f>
        <v>45.730109289617481</v>
      </c>
    </row>
    <row r="666" spans="3:36" ht="35" customHeight="1" x14ac:dyDescent="0.25">
      <c r="C666" s="338"/>
      <c r="D666" s="8439"/>
      <c r="E666" s="205" t="s">
        <v>1396</v>
      </c>
      <c r="F666" s="3411">
        <f>+F1503</f>
        <v>5090630.0000000047</v>
      </c>
      <c r="G666" s="3411">
        <f>+G1503</f>
        <v>4892460.0000000009</v>
      </c>
      <c r="H666" s="488">
        <f>SUM(F666:G666)</f>
        <v>9983090.0000000056</v>
      </c>
      <c r="I666" s="3411">
        <f>+I1503</f>
        <v>5035560.0000000056</v>
      </c>
      <c r="J666" s="489">
        <f>SUM(H666:I666)</f>
        <v>15018650.000000011</v>
      </c>
      <c r="K666" s="3411">
        <f>+K1503</f>
        <v>0</v>
      </c>
      <c r="L666" s="488">
        <f>SUM(J666:K666)</f>
        <v>15018650.000000011</v>
      </c>
      <c r="M666" s="3411">
        <f>+M1503</f>
        <v>5786179.9999999972</v>
      </c>
      <c r="N666" s="488">
        <f>SUM(L666:M666)</f>
        <v>20804830.000000007</v>
      </c>
      <c r="O666" s="3411">
        <f>+O1503</f>
        <v>5221079.9999999991</v>
      </c>
      <c r="P666" s="487">
        <f>+K666+M666+O666</f>
        <v>11007259.999999996</v>
      </c>
      <c r="Q666" s="2142">
        <f>+N666+O666</f>
        <v>26025910.000000007</v>
      </c>
      <c r="R666" s="3411">
        <f>+R1503</f>
        <v>5389850.0000000075</v>
      </c>
      <c r="S666" s="488">
        <f>SUM(Q666:R666)</f>
        <v>31415760.000000015</v>
      </c>
      <c r="T666" s="3411">
        <f>+T1503</f>
        <v>5026840</v>
      </c>
      <c r="U666" s="488">
        <f>SUM(S666:T666)</f>
        <v>36442600.000000015</v>
      </c>
      <c r="V666" s="3411">
        <f>+V1503</f>
        <v>5258160</v>
      </c>
      <c r="W666" s="489">
        <f>+R666+T666+V666</f>
        <v>15674850.000000007</v>
      </c>
      <c r="X666" s="2366">
        <f>+U666+V666</f>
        <v>41700760.000000015</v>
      </c>
      <c r="Y666" s="3411">
        <f>+Y1503</f>
        <v>5201030</v>
      </c>
      <c r="Z666" s="488">
        <f>SUM(X666:Y666)</f>
        <v>46901790.000000015</v>
      </c>
      <c r="AA666" s="3411">
        <f>+AA1503</f>
        <v>4976030</v>
      </c>
      <c r="AB666" s="488">
        <f>SUM(Z666:AA666)</f>
        <v>51877820.000000015</v>
      </c>
      <c r="AC666" s="3411">
        <f>+AC1503</f>
        <v>5386970</v>
      </c>
      <c r="AD666" s="1369">
        <f>+Y666+AA666+AC666</f>
        <v>15564030</v>
      </c>
      <c r="AE666" s="1370">
        <f>+W666+AD666</f>
        <v>31238880.000000007</v>
      </c>
      <c r="AF666" s="684">
        <f>+AB666+AC666</f>
        <v>57264790.000000015</v>
      </c>
    </row>
    <row r="667" spans="3:36" ht="35" customHeight="1" x14ac:dyDescent="0.25">
      <c r="C667" s="338"/>
      <c r="D667" s="8439"/>
      <c r="E667" s="205" t="s">
        <v>80</v>
      </c>
      <c r="F667" s="3812">
        <f t="shared" ref="F667:G667" si="1609">F666/(F624*31.55)</f>
        <v>69.16038945115325</v>
      </c>
      <c r="G667" s="3812">
        <f t="shared" si="1609"/>
        <v>66.58224454426005</v>
      </c>
      <c r="H667" s="246">
        <f t="shared" ref="H667:K667" si="1610">H666/(H624*31.55)</f>
        <v>67.872423022977728</v>
      </c>
      <c r="I667" s="3812">
        <f t="shared" si="1610"/>
        <v>61.505088720537245</v>
      </c>
      <c r="J667" s="237">
        <f t="shared" si="1610"/>
        <v>65.595554824709438</v>
      </c>
      <c r="K667" s="3812">
        <f t="shared" si="1610"/>
        <v>0</v>
      </c>
      <c r="L667" s="246">
        <f>L666/(L624*31.55)</f>
        <v>47.257712832613556</v>
      </c>
      <c r="M667" s="3812">
        <f t="shared" ref="M667:O667" si="1611">M666/(M624*31.55)</f>
        <v>60.090808448592043</v>
      </c>
      <c r="N667" s="246">
        <f>N666/(N624*31.55)</f>
        <v>50.241835333182422</v>
      </c>
      <c r="O667" s="3812">
        <f t="shared" si="1611"/>
        <v>59.634556902385732</v>
      </c>
      <c r="P667" s="265">
        <f>P666/(P624*31.55)</f>
        <v>40.365965843945773</v>
      </c>
      <c r="Q667" s="240">
        <f>Q666/(Q624*31.55)</f>
        <v>51.881131078750926</v>
      </c>
      <c r="R667" s="3812">
        <f t="shared" ref="R667" si="1612">R666/(R624*31.55)</f>
        <v>56.793611120477529</v>
      </c>
      <c r="S667" s="4956">
        <f>S666/(S624*31.55)</f>
        <v>52.662638375425011</v>
      </c>
      <c r="T667" s="3812">
        <f t="shared" ref="T667" si="1613">T666/(T624*31.55)</f>
        <v>54.714738510301103</v>
      </c>
      <c r="U667" s="4956">
        <f>U666/(U624*31.55)</f>
        <v>52.936502518081255</v>
      </c>
      <c r="V667" s="3812">
        <f t="shared" ref="V667:AC667" si="1614">V666/(V624*31.55)</f>
        <v>54.696807594906417</v>
      </c>
      <c r="W667" s="422">
        <f t="shared" si="1614"/>
        <v>55.406007977481103</v>
      </c>
      <c r="X667" s="5004">
        <f t="shared" si="1614"/>
        <v>53.152195990115935</v>
      </c>
      <c r="Y667" s="3812">
        <f t="shared" ref="Y667" si="1615">Y666/(Y624*31.55)</f>
        <v>56.571858681027273</v>
      </c>
      <c r="Z667" s="5004">
        <f t="shared" si="1614"/>
        <v>53.510890676459674</v>
      </c>
      <c r="AA667" s="3812">
        <f t="shared" si="1614"/>
        <v>56.107740645336605</v>
      </c>
      <c r="AB667" s="5004">
        <f t="shared" si="1614"/>
        <v>53.749506826515677</v>
      </c>
      <c r="AC667" s="3812">
        <f t="shared" si="1614"/>
        <v>59.742441768261912</v>
      </c>
      <c r="AD667" s="1232">
        <f>AD666/(AD624*31.55)</f>
        <v>57.475609195415025</v>
      </c>
      <c r="AE667" s="1349">
        <f>+((W667*W626)+(AD667*AD626))/(W626+AD626)</f>
        <v>56.425840347604897</v>
      </c>
      <c r="AF667" s="809">
        <f>+((J667*J626)+(P667*P626)+(W667*W626)+(AD667*AD626))/(J626+P626+W626+AD626)</f>
        <v>54.341598469309041</v>
      </c>
    </row>
    <row r="668" spans="3:36" ht="35" customHeight="1" x14ac:dyDescent="0.25">
      <c r="C668" s="338"/>
      <c r="D668" s="8439"/>
      <c r="E668" s="205" t="s">
        <v>1111</v>
      </c>
      <c r="F668" s="3152">
        <v>0.68700000000000006</v>
      </c>
      <c r="G668" s="3152">
        <v>0.70899999999999996</v>
      </c>
      <c r="H668" s="257">
        <f>+((F668*F624*31.55)+(G668*G624*31.55))/(H624*31.55)</f>
        <v>0.69799056199056198</v>
      </c>
      <c r="I668" s="3152">
        <v>0.67700000000000005</v>
      </c>
      <c r="J668" s="237">
        <f>+((H668*H624*31.55)+(I668*I624*31.55))/(J624*31.55)</f>
        <v>0.69048463552432138</v>
      </c>
      <c r="K668" s="3152">
        <v>0.629</v>
      </c>
      <c r="L668" s="257">
        <f>+((J668*J624*31.55)+(K668*K624*31.55))/(L624*31.55)</f>
        <v>0.67329603891591383</v>
      </c>
      <c r="M668" s="3152">
        <v>0.64500000000000002</v>
      </c>
      <c r="N668" s="1723">
        <f>+((L668*L624*31.55)+(M668*M624*31.55))/(N624*31.55)</f>
        <v>0.66671626666666661</v>
      </c>
      <c r="O668" s="3152">
        <v>0.66800000000000004</v>
      </c>
      <c r="P668" s="2226">
        <f>+((K668*K624*31.55)+(M668*M624*31.55)+(O668*O624*31.55))/(P624*31.55)</f>
        <v>0.64717158394076124</v>
      </c>
      <c r="Q668" s="2183">
        <f>+((O668*O624*31.55)+(N668*N624*31.55))/(Q624*31.55)</f>
        <v>0.6669403144654088</v>
      </c>
      <c r="R668" s="3152">
        <v>0.63600000000000001</v>
      </c>
      <c r="S668" s="1723">
        <f>+((Q668*Q624*31.55)+(R668*R624*31.55))/(S624*31.55)</f>
        <v>0.66201814046964247</v>
      </c>
      <c r="T668" s="3152">
        <v>0.66900000000000004</v>
      </c>
      <c r="U668" s="1723">
        <f>+((S668*S624*31.55)+(T668*T624*31.55))/(U624*31.55)</f>
        <v>0.66294990834097156</v>
      </c>
      <c r="V668" s="3152">
        <v>0.68500000000000005</v>
      </c>
      <c r="W668" s="2390">
        <f>+((R668*R624*31.55)+(T668*T624*31.55)+(V668*V624*31.55))/(W624*31.55)</f>
        <v>0.66336690085870409</v>
      </c>
      <c r="X668" s="2391">
        <f>+((U668*U624*31.55)+(V668*V624*31.55))/(X624*31.55)</f>
        <v>0.66565174729561272</v>
      </c>
      <c r="Y668" s="3152">
        <v>0.66200000000000003</v>
      </c>
      <c r="Z668" s="2391">
        <f>+((Y668*Y624*31.55)+(X668*X624*31.55))/(Z624*31.55)</f>
        <v>0.66526870882977585</v>
      </c>
      <c r="AA668" s="3152">
        <v>0.63400000000000001</v>
      </c>
      <c r="AB668" s="156">
        <f>+((Z668*$Z$626)+(AA668*$AA$626))/$AB$626</f>
        <v>0.66238861545449113</v>
      </c>
      <c r="AC668" s="3152">
        <v>0.64300000000000002</v>
      </c>
      <c r="AD668" s="1367">
        <f>+((AB668*AB623)+(AC668*AC623))/(AB623+AC623)</f>
        <v>0.66074641032036763</v>
      </c>
      <c r="AE668" s="1349">
        <f>+((W668*W626)+(AD668*AD626))/(W626+AD626)</f>
        <v>0.66207560809493848</v>
      </c>
      <c r="AF668" s="809">
        <f>+((J668*J626)+(P668*P626)+(W668*W626)+(AD668*AD626))/(J626+P626+W626+AD626)</f>
        <v>0.66455373586308097</v>
      </c>
    </row>
    <row r="669" spans="3:36" ht="35" customHeight="1" x14ac:dyDescent="0.4">
      <c r="C669" s="338"/>
      <c r="D669" s="8439">
        <v>35.119999999999997</v>
      </c>
      <c r="E669" s="157" t="s">
        <v>147</v>
      </c>
      <c r="F669" s="3765"/>
      <c r="G669" s="3765"/>
      <c r="H669" s="3763"/>
      <c r="I669" s="3765"/>
      <c r="J669" s="3764"/>
      <c r="K669" s="3765"/>
      <c r="L669" s="3764"/>
      <c r="M669" s="3765"/>
      <c r="N669" s="3763"/>
      <c r="O669" s="3765"/>
      <c r="P669" s="157"/>
      <c r="Q669" s="157"/>
      <c r="R669" s="3765"/>
      <c r="S669" s="159"/>
      <c r="T669" s="3765"/>
      <c r="U669" s="159"/>
      <c r="V669" s="3765"/>
      <c r="W669" s="157"/>
      <c r="X669" s="158"/>
      <c r="Y669" s="3765"/>
      <c r="Z669" s="159"/>
      <c r="AA669" s="3765"/>
      <c r="AB669" s="2499"/>
      <c r="AC669" s="3765"/>
      <c r="AD669" s="2499"/>
      <c r="AE669" s="1372"/>
      <c r="AF669" s="2123"/>
    </row>
    <row r="670" spans="3:36" ht="35" customHeight="1" x14ac:dyDescent="0.4">
      <c r="C670" s="338"/>
      <c r="D670" s="8439"/>
      <c r="E670" s="141" t="s">
        <v>180</v>
      </c>
      <c r="F670" s="3766"/>
      <c r="G670" s="3766"/>
      <c r="H670" s="3421"/>
      <c r="I670" s="3766"/>
      <c r="J670" s="3421"/>
      <c r="K670" s="3766"/>
      <c r="L670" s="3421"/>
      <c r="M670" s="3766"/>
      <c r="N670" s="3421"/>
      <c r="O670" s="3766"/>
      <c r="P670" s="141"/>
      <c r="Q670" s="141"/>
      <c r="R670" s="3766"/>
      <c r="S670" s="141"/>
      <c r="T670" s="3766"/>
      <c r="U670" s="141"/>
      <c r="V670" s="3766"/>
      <c r="W670" s="141"/>
      <c r="X670" s="141"/>
      <c r="Y670" s="3766"/>
      <c r="Z670" s="141"/>
      <c r="AA670" s="3766"/>
      <c r="AB670" s="141"/>
      <c r="AC670" s="3766"/>
      <c r="AD670" s="141"/>
      <c r="AE670" s="1305"/>
      <c r="AF670" s="2502"/>
    </row>
    <row r="671" spans="3:36" ht="35" customHeight="1" x14ac:dyDescent="0.25">
      <c r="C671" s="338"/>
      <c r="D671" s="8439"/>
      <c r="E671" s="67" t="s">
        <v>36</v>
      </c>
      <c r="F671" s="3262">
        <v>35072</v>
      </c>
      <c r="G671" s="3262">
        <v>33835</v>
      </c>
      <c r="H671" s="790">
        <f>SUM(F671:G671)</f>
        <v>68907</v>
      </c>
      <c r="I671" s="3262">
        <v>38720</v>
      </c>
      <c r="J671" s="3498">
        <f t="shared" ref="J671:J684" si="1616">+H671+I671</f>
        <v>107627</v>
      </c>
      <c r="K671" s="3262">
        <v>41718</v>
      </c>
      <c r="L671" s="501">
        <f t="shared" ref="L671:L684" si="1617">+J671+K671</f>
        <v>149345</v>
      </c>
      <c r="M671" s="3262">
        <v>36335</v>
      </c>
      <c r="N671" s="84">
        <f t="shared" ref="N671:N684" si="1618">+L671+M671</f>
        <v>185680</v>
      </c>
      <c r="O671" s="3262">
        <v>33071</v>
      </c>
      <c r="P671" s="87">
        <f>+K671+M671+O671</f>
        <v>111124</v>
      </c>
      <c r="Q671" s="2143">
        <f t="shared" ref="Q671:Q684" si="1619">+N671+O671</f>
        <v>218751</v>
      </c>
      <c r="R671" s="3262">
        <v>37314</v>
      </c>
      <c r="S671" s="86">
        <f>+Q671+R671</f>
        <v>256065</v>
      </c>
      <c r="T671" s="3262">
        <v>37827</v>
      </c>
      <c r="U671" s="86">
        <f>+S671+T671</f>
        <v>293892</v>
      </c>
      <c r="V671" s="3262">
        <v>45857</v>
      </c>
      <c r="W671" s="118">
        <f>+R671+T671+V671</f>
        <v>120998</v>
      </c>
      <c r="X671" s="46">
        <f>+U671+V671</f>
        <v>339749</v>
      </c>
      <c r="Y671" s="3262">
        <v>41098</v>
      </c>
      <c r="Z671" s="86">
        <f>+X671+Y671</f>
        <v>380847</v>
      </c>
      <c r="AA671" s="3262">
        <v>43262</v>
      </c>
      <c r="AB671" s="276">
        <f>+Z671+AA671</f>
        <v>424109</v>
      </c>
      <c r="AC671" s="3262">
        <v>45580</v>
      </c>
      <c r="AD671" s="1373">
        <f>+Y671+AA671+AC671</f>
        <v>129940</v>
      </c>
      <c r="AE671" s="1374">
        <f>+W671+AD671</f>
        <v>250938</v>
      </c>
      <c r="AF671" s="1441">
        <f>+AB671+AC671</f>
        <v>469689</v>
      </c>
    </row>
    <row r="672" spans="3:36" ht="35" customHeight="1" x14ac:dyDescent="0.25">
      <c r="C672" s="338"/>
      <c r="D672" s="8439"/>
      <c r="E672" s="67" t="s">
        <v>2121</v>
      </c>
      <c r="F672" s="3262">
        <v>0</v>
      </c>
      <c r="G672" s="3262"/>
      <c r="H672" s="790">
        <f t="shared" ref="H672:H674" si="1620">SUM(F672:G672)</f>
        <v>0</v>
      </c>
      <c r="I672" s="3262"/>
      <c r="J672" s="3498">
        <f t="shared" si="1616"/>
        <v>0</v>
      </c>
      <c r="K672" s="3262">
        <v>4109</v>
      </c>
      <c r="L672" s="501">
        <f t="shared" si="1617"/>
        <v>4109</v>
      </c>
      <c r="M672" s="3262">
        <v>0</v>
      </c>
      <c r="N672" s="84">
        <f t="shared" si="1618"/>
        <v>4109</v>
      </c>
      <c r="O672" s="3262">
        <v>0</v>
      </c>
      <c r="P672" s="87">
        <f t="shared" ref="P672:P674" si="1621">+K672+M672+O672</f>
        <v>4109</v>
      </c>
      <c r="Q672" s="2143">
        <f t="shared" si="1619"/>
        <v>4109</v>
      </c>
      <c r="R672" s="3262">
        <v>0</v>
      </c>
      <c r="S672" s="86">
        <f t="shared" ref="S672:S674" si="1622">+Q672+R672</f>
        <v>4109</v>
      </c>
      <c r="T672" s="3262">
        <v>0</v>
      </c>
      <c r="U672" s="86">
        <f t="shared" ref="U672:U677" si="1623">+S672+T672</f>
        <v>4109</v>
      </c>
      <c r="V672" s="3262">
        <v>0</v>
      </c>
      <c r="W672" s="118">
        <f t="shared" ref="W672:W677" si="1624">+R672+T672+V672</f>
        <v>0</v>
      </c>
      <c r="X672" s="46">
        <f t="shared" ref="X672:X677" si="1625">+U672+V672</f>
        <v>4109</v>
      </c>
      <c r="Y672" s="3262">
        <v>0</v>
      </c>
      <c r="Z672" s="86">
        <f t="shared" ref="Z672:Z677" si="1626">+X672+Y672</f>
        <v>4109</v>
      </c>
      <c r="AA672" s="3262"/>
      <c r="AB672" s="276">
        <f t="shared" ref="AB672:AB677" si="1627">+Z672+AA672</f>
        <v>4109</v>
      </c>
      <c r="AC672" s="3262"/>
      <c r="AD672" s="1373">
        <f t="shared" ref="AD672:AD674" si="1628">+Y672+AA672+AC672</f>
        <v>0</v>
      </c>
      <c r="AE672" s="1374">
        <f t="shared" ref="AE672:AE674" si="1629">+W672+AD672</f>
        <v>0</v>
      </c>
      <c r="AF672" s="1441">
        <f t="shared" ref="AF672:AF674" si="1630">+AB672+AC672</f>
        <v>4109</v>
      </c>
    </row>
    <row r="673" spans="3:43" ht="35" customHeight="1" x14ac:dyDescent="0.25">
      <c r="C673" s="338"/>
      <c r="D673" s="8439"/>
      <c r="E673" s="67" t="s">
        <v>1372</v>
      </c>
      <c r="F673" s="3262">
        <v>7280</v>
      </c>
      <c r="G673" s="3262">
        <v>7875</v>
      </c>
      <c r="H673" s="790">
        <f t="shared" si="1620"/>
        <v>15155</v>
      </c>
      <c r="I673" s="3262">
        <v>7800</v>
      </c>
      <c r="J673" s="3498">
        <f t="shared" si="1616"/>
        <v>22955</v>
      </c>
      <c r="K673" s="3262"/>
      <c r="L673" s="501">
        <f t="shared" si="1617"/>
        <v>22955</v>
      </c>
      <c r="M673" s="3262">
        <v>9569</v>
      </c>
      <c r="N673" s="84">
        <f t="shared" si="1618"/>
        <v>32524</v>
      </c>
      <c r="O673" s="3262">
        <v>9621</v>
      </c>
      <c r="P673" s="87">
        <f t="shared" si="1621"/>
        <v>19190</v>
      </c>
      <c r="Q673" s="2143">
        <f t="shared" si="1619"/>
        <v>42145</v>
      </c>
      <c r="R673" s="3262">
        <v>10462</v>
      </c>
      <c r="S673" s="86">
        <f t="shared" si="1622"/>
        <v>52607</v>
      </c>
      <c r="T673" s="3262">
        <v>9288</v>
      </c>
      <c r="U673" s="86">
        <f t="shared" si="1623"/>
        <v>61895</v>
      </c>
      <c r="V673" s="3262">
        <v>5727</v>
      </c>
      <c r="W673" s="118">
        <f t="shared" si="1624"/>
        <v>25477</v>
      </c>
      <c r="X673" s="46">
        <f t="shared" si="1625"/>
        <v>67622</v>
      </c>
      <c r="Y673" s="3262">
        <v>9416</v>
      </c>
      <c r="Z673" s="86">
        <f t="shared" si="1626"/>
        <v>77038</v>
      </c>
      <c r="AA673" s="3262">
        <v>9546</v>
      </c>
      <c r="AB673" s="276">
        <f t="shared" si="1627"/>
        <v>86584</v>
      </c>
      <c r="AC673" s="3262">
        <v>8918</v>
      </c>
      <c r="AD673" s="1373">
        <f t="shared" si="1628"/>
        <v>27880</v>
      </c>
      <c r="AE673" s="1374">
        <f t="shared" si="1629"/>
        <v>53357</v>
      </c>
      <c r="AF673" s="1441">
        <f t="shared" si="1630"/>
        <v>95502</v>
      </c>
    </row>
    <row r="674" spans="3:43" ht="35" customHeight="1" x14ac:dyDescent="0.25">
      <c r="C674" s="338"/>
      <c r="D674" s="8439"/>
      <c r="E674" s="67" t="s">
        <v>1431</v>
      </c>
      <c r="F674" s="3262">
        <v>0</v>
      </c>
      <c r="G674" s="3262"/>
      <c r="H674" s="790">
        <f t="shared" si="1620"/>
        <v>0</v>
      </c>
      <c r="I674" s="3262"/>
      <c r="J674" s="3498">
        <f t="shared" si="1616"/>
        <v>0</v>
      </c>
      <c r="K674" s="3262"/>
      <c r="L674" s="501">
        <f t="shared" si="1617"/>
        <v>0</v>
      </c>
      <c r="M674" s="3262">
        <v>0</v>
      </c>
      <c r="N674" s="84">
        <f t="shared" si="1618"/>
        <v>0</v>
      </c>
      <c r="O674" s="3262">
        <v>0</v>
      </c>
      <c r="P674" s="87">
        <f t="shared" si="1621"/>
        <v>0</v>
      </c>
      <c r="Q674" s="2143">
        <f t="shared" si="1619"/>
        <v>0</v>
      </c>
      <c r="R674" s="3262">
        <v>0</v>
      </c>
      <c r="S674" s="86">
        <f t="shared" si="1622"/>
        <v>0</v>
      </c>
      <c r="T674" s="3262">
        <v>0</v>
      </c>
      <c r="U674" s="86">
        <f t="shared" si="1623"/>
        <v>0</v>
      </c>
      <c r="V674" s="3262">
        <v>0</v>
      </c>
      <c r="W674" s="118">
        <f t="shared" si="1624"/>
        <v>0</v>
      </c>
      <c r="X674" s="46">
        <f t="shared" si="1625"/>
        <v>0</v>
      </c>
      <c r="Y674" s="3262">
        <v>0</v>
      </c>
      <c r="Z674" s="86">
        <f t="shared" si="1626"/>
        <v>0</v>
      </c>
      <c r="AA674" s="3262"/>
      <c r="AB674" s="276">
        <f t="shared" si="1627"/>
        <v>0</v>
      </c>
      <c r="AC674" s="3262"/>
      <c r="AD674" s="1373">
        <f t="shared" si="1628"/>
        <v>0</v>
      </c>
      <c r="AE674" s="1374">
        <f t="shared" si="1629"/>
        <v>0</v>
      </c>
      <c r="AF674" s="1441">
        <f t="shared" si="1630"/>
        <v>0</v>
      </c>
    </row>
    <row r="675" spans="3:43" ht="35" customHeight="1" x14ac:dyDescent="0.25">
      <c r="C675" s="338"/>
      <c r="D675" s="8439"/>
      <c r="E675" s="67" t="s">
        <v>1442</v>
      </c>
      <c r="F675" s="3262">
        <v>4044</v>
      </c>
      <c r="G675" s="3262">
        <v>4215</v>
      </c>
      <c r="H675" s="790">
        <f t="shared" ref="H675" si="1631">SUM(F675:G675)</f>
        <v>8259</v>
      </c>
      <c r="I675" s="3262">
        <v>7510</v>
      </c>
      <c r="J675" s="3498">
        <f t="shared" ref="J675" si="1632">+H675+I675</f>
        <v>15769</v>
      </c>
      <c r="K675" s="3262">
        <v>13014</v>
      </c>
      <c r="L675" s="501">
        <f t="shared" ref="L675" si="1633">+J675+K675</f>
        <v>28783</v>
      </c>
      <c r="M675" s="3262">
        <v>0</v>
      </c>
      <c r="N675" s="84">
        <f t="shared" ref="N675" si="1634">+L675+M675</f>
        <v>28783</v>
      </c>
      <c r="O675" s="3262">
        <v>0</v>
      </c>
      <c r="P675" s="87">
        <f t="shared" ref="P675" si="1635">+K675+M675+O675</f>
        <v>13014</v>
      </c>
      <c r="Q675" s="2143">
        <f t="shared" ref="Q675" si="1636">+N675+O675</f>
        <v>28783</v>
      </c>
      <c r="R675" s="3262">
        <v>0</v>
      </c>
      <c r="S675" s="86">
        <f t="shared" ref="S675" si="1637">+Q675+R675</f>
        <v>28783</v>
      </c>
      <c r="T675" s="3262">
        <v>0</v>
      </c>
      <c r="U675" s="86">
        <f t="shared" ref="U675" si="1638">+S675+T675</f>
        <v>28783</v>
      </c>
      <c r="V675" s="3262">
        <v>0</v>
      </c>
      <c r="W675" s="118">
        <f t="shared" ref="W675" si="1639">+R675+T675+V675</f>
        <v>0</v>
      </c>
      <c r="X675" s="46">
        <f t="shared" ref="X675" si="1640">+U675+V675</f>
        <v>28783</v>
      </c>
      <c r="Y675" s="3262">
        <v>0</v>
      </c>
      <c r="Z675" s="86">
        <f t="shared" ref="Z675" si="1641">+X675+Y675</f>
        <v>28783</v>
      </c>
      <c r="AA675" s="3262"/>
      <c r="AB675" s="276">
        <f t="shared" ref="AB675" si="1642">+Z675+AA675</f>
        <v>28783</v>
      </c>
      <c r="AC675" s="3262"/>
      <c r="AD675" s="1373">
        <f t="shared" ref="AD675" si="1643">+Y675+AA675+AC675</f>
        <v>0</v>
      </c>
      <c r="AE675" s="1374">
        <f t="shared" ref="AE675" si="1644">+W675+AD675</f>
        <v>0</v>
      </c>
      <c r="AF675" s="1441">
        <f t="shared" ref="AF675" si="1645">+AB675+AC675</f>
        <v>28783</v>
      </c>
    </row>
    <row r="676" spans="3:43" ht="35" customHeight="1" x14ac:dyDescent="0.25">
      <c r="C676" s="338"/>
      <c r="D676" s="8439"/>
      <c r="E676" s="67" t="s">
        <v>558</v>
      </c>
      <c r="F676" s="3262">
        <v>0</v>
      </c>
      <c r="G676" s="3262"/>
      <c r="H676" s="790">
        <f t="shared" ref="H676" si="1646">SUM(F676:G676)</f>
        <v>0</v>
      </c>
      <c r="I676" s="3262"/>
      <c r="J676" s="3498">
        <f t="shared" ref="J676" si="1647">+H676+I676</f>
        <v>0</v>
      </c>
      <c r="K676" s="3262"/>
      <c r="L676" s="501">
        <f t="shared" ref="L676" si="1648">+J676+K676</f>
        <v>0</v>
      </c>
      <c r="M676" s="3262">
        <v>10444</v>
      </c>
      <c r="N676" s="84">
        <f t="shared" ref="N676" si="1649">+L676+M676</f>
        <v>10444</v>
      </c>
      <c r="O676" s="3262">
        <v>8458</v>
      </c>
      <c r="P676" s="87">
        <f t="shared" ref="P676" si="1650">+K676+M676+O676</f>
        <v>18902</v>
      </c>
      <c r="Q676" s="2143">
        <f t="shared" ref="Q676" si="1651">+N676+O676</f>
        <v>18902</v>
      </c>
      <c r="R676" s="3262">
        <v>9126</v>
      </c>
      <c r="S676" s="86">
        <f t="shared" ref="S676" si="1652">+Q676+R676</f>
        <v>28028</v>
      </c>
      <c r="T676" s="3262">
        <v>8784</v>
      </c>
      <c r="U676" s="86">
        <f t="shared" ref="U676" si="1653">+S676+T676</f>
        <v>36812</v>
      </c>
      <c r="V676" s="3262">
        <v>10290</v>
      </c>
      <c r="W676" s="118">
        <f t="shared" ref="W676" si="1654">+R676+T676+V676</f>
        <v>28200</v>
      </c>
      <c r="X676" s="46">
        <f t="shared" ref="X676" si="1655">+U676+V676</f>
        <v>47102</v>
      </c>
      <c r="Y676" s="3262">
        <v>9704</v>
      </c>
      <c r="Z676" s="86">
        <f t="shared" ref="Z676" si="1656">+X676+Y676</f>
        <v>56806</v>
      </c>
      <c r="AA676" s="3262">
        <v>4873</v>
      </c>
      <c r="AB676" s="276">
        <f t="shared" ref="AB676" si="1657">+Z676+AA676</f>
        <v>61679</v>
      </c>
      <c r="AC676" s="3262">
        <v>4954</v>
      </c>
      <c r="AD676" s="1373">
        <f t="shared" ref="AD676" si="1658">+Y676+AA676+AC676</f>
        <v>19531</v>
      </c>
      <c r="AE676" s="1374">
        <f t="shared" ref="AE676" si="1659">+W676+AD676</f>
        <v>47731</v>
      </c>
      <c r="AF676" s="1441">
        <f t="shared" ref="AF676" si="1660">+AB676+AC676</f>
        <v>66633</v>
      </c>
    </row>
    <row r="677" spans="3:43" ht="35" customHeight="1" thickBot="1" x14ac:dyDescent="0.3">
      <c r="C677" s="338"/>
      <c r="D677" s="8439"/>
      <c r="E677" s="160" t="s">
        <v>37</v>
      </c>
      <c r="F677" s="3324">
        <v>7572</v>
      </c>
      <c r="G677" s="3324">
        <v>8238</v>
      </c>
      <c r="H677" s="790">
        <f>SUM(F677:G677)</f>
        <v>15810</v>
      </c>
      <c r="I677" s="3324">
        <v>10397</v>
      </c>
      <c r="J677" s="3498">
        <f t="shared" si="1616"/>
        <v>26207</v>
      </c>
      <c r="K677" s="3324">
        <v>14383</v>
      </c>
      <c r="L677" s="475">
        <f t="shared" si="1617"/>
        <v>40590</v>
      </c>
      <c r="M677" s="3324">
        <v>15872</v>
      </c>
      <c r="N677" s="86">
        <f t="shared" si="1618"/>
        <v>56462</v>
      </c>
      <c r="O677" s="3324">
        <v>11386</v>
      </c>
      <c r="P677" s="87">
        <f t="shared" ref="P677" si="1661">+K677+M677+O677</f>
        <v>41641</v>
      </c>
      <c r="Q677" s="2145">
        <f t="shared" si="1619"/>
        <v>67848</v>
      </c>
      <c r="R677" s="3324">
        <v>11472</v>
      </c>
      <c r="S677" s="96">
        <f t="shared" ref="S677:U686" si="1662">+Q677+R677</f>
        <v>79320</v>
      </c>
      <c r="T677" s="3324">
        <v>11106</v>
      </c>
      <c r="U677" s="96">
        <f t="shared" si="1623"/>
        <v>90426</v>
      </c>
      <c r="V677" s="3324">
        <v>12299</v>
      </c>
      <c r="W677" s="118">
        <f t="shared" si="1624"/>
        <v>34877</v>
      </c>
      <c r="X677" s="46">
        <f t="shared" si="1625"/>
        <v>102725</v>
      </c>
      <c r="Y677" s="3324">
        <v>12124</v>
      </c>
      <c r="Z677" s="96">
        <f t="shared" si="1626"/>
        <v>114849</v>
      </c>
      <c r="AA677" s="3324">
        <v>11695</v>
      </c>
      <c r="AB677" s="276">
        <f t="shared" si="1627"/>
        <v>126544</v>
      </c>
      <c r="AC677" s="3324">
        <v>11891</v>
      </c>
      <c r="AD677" s="1376">
        <f>+Y677+AA677+AC677</f>
        <v>35710</v>
      </c>
      <c r="AE677" s="1377">
        <f>+W677+AD677</f>
        <v>70587</v>
      </c>
      <c r="AF677" s="1441">
        <f t="shared" ref="AF677" si="1663">+AB677+AC677</f>
        <v>138435</v>
      </c>
    </row>
    <row r="678" spans="3:43" s="3170" customFormat="1" ht="35" customHeight="1" thickBot="1" x14ac:dyDescent="0.3">
      <c r="C678" s="4215"/>
      <c r="D678" s="8439"/>
      <c r="E678" s="3956" t="s">
        <v>40</v>
      </c>
      <c r="F678" s="4660">
        <f t="shared" ref="F678:G678" si="1664">SUM(F671:F677)</f>
        <v>53968</v>
      </c>
      <c r="G678" s="4660">
        <f t="shared" si="1664"/>
        <v>54163</v>
      </c>
      <c r="H678" s="4660">
        <f t="shared" ref="H678:AF678" si="1665">SUM(H671:H677)</f>
        <v>108131</v>
      </c>
      <c r="I678" s="4660">
        <f t="shared" ref="I678" si="1666">SUM(I671:I677)</f>
        <v>64427</v>
      </c>
      <c r="J678" s="4660">
        <f t="shared" si="1665"/>
        <v>172558</v>
      </c>
      <c r="K678" s="4660">
        <f t="shared" ref="K678" si="1667">SUM(K671:K677)</f>
        <v>73224</v>
      </c>
      <c r="L678" s="4660">
        <f t="shared" si="1665"/>
        <v>245782</v>
      </c>
      <c r="M678" s="4660">
        <f t="shared" ref="M678" si="1668">SUM(M671:M677)</f>
        <v>72220</v>
      </c>
      <c r="N678" s="4660">
        <f t="shared" si="1665"/>
        <v>318002</v>
      </c>
      <c r="O678" s="4660">
        <f t="shared" si="1665"/>
        <v>62536</v>
      </c>
      <c r="P678" s="4660">
        <f t="shared" si="1665"/>
        <v>207980</v>
      </c>
      <c r="Q678" s="4660">
        <f t="shared" si="1665"/>
        <v>380538</v>
      </c>
      <c r="R678" s="4660">
        <f t="shared" si="1665"/>
        <v>68374</v>
      </c>
      <c r="S678" s="4660">
        <f t="shared" si="1665"/>
        <v>448912</v>
      </c>
      <c r="T678" s="4660">
        <f t="shared" ref="T678" si="1669">SUM(T671:T677)</f>
        <v>67005</v>
      </c>
      <c r="U678" s="4660">
        <f t="shared" si="1665"/>
        <v>515917</v>
      </c>
      <c r="V678" s="4660">
        <f t="shared" ref="V678" si="1670">SUM(V671:V677)</f>
        <v>74173</v>
      </c>
      <c r="W678" s="4660">
        <f t="shared" si="1665"/>
        <v>209552</v>
      </c>
      <c r="X678" s="4660">
        <f t="shared" si="1665"/>
        <v>590090</v>
      </c>
      <c r="Y678" s="4660">
        <f t="shared" si="1665"/>
        <v>72342</v>
      </c>
      <c r="Z678" s="4660">
        <f t="shared" si="1665"/>
        <v>662432</v>
      </c>
      <c r="AA678" s="4660">
        <f t="shared" ref="AA678" si="1671">SUM(AA671:AA677)</f>
        <v>69376</v>
      </c>
      <c r="AB678" s="4660">
        <f t="shared" si="1665"/>
        <v>731808</v>
      </c>
      <c r="AC678" s="4660">
        <f t="shared" ref="AC678" si="1672">SUM(AC671:AC677)</f>
        <v>71343</v>
      </c>
      <c r="AD678" s="4660">
        <f t="shared" si="1665"/>
        <v>213061</v>
      </c>
      <c r="AE678" s="4660">
        <f t="shared" si="1665"/>
        <v>422613</v>
      </c>
      <c r="AF678" s="4660">
        <f t="shared" si="1665"/>
        <v>803151</v>
      </c>
      <c r="AG678" s="4756"/>
      <c r="AH678" s="4756"/>
      <c r="AI678" s="4756"/>
      <c r="AJ678" s="4756"/>
      <c r="AK678" s="4756"/>
      <c r="AL678" s="4756"/>
    </row>
    <row r="679" spans="3:43" ht="35" customHeight="1" thickBot="1" x14ac:dyDescent="0.3">
      <c r="C679" s="338"/>
      <c r="D679" s="8439"/>
      <c r="E679" s="3991" t="s">
        <v>1458</v>
      </c>
      <c r="F679" s="3262">
        <v>14288</v>
      </c>
      <c r="G679" s="3262">
        <v>14413</v>
      </c>
      <c r="H679" s="3979">
        <f t="shared" ref="H679" si="1673">+F679+G679</f>
        <v>28701</v>
      </c>
      <c r="I679" s="3262">
        <v>15249</v>
      </c>
      <c r="J679" s="3980">
        <f t="shared" ref="J679" si="1674">+H679+I679</f>
        <v>43950</v>
      </c>
      <c r="K679" s="3262">
        <v>12692</v>
      </c>
      <c r="L679" s="3981">
        <f t="shared" ref="L679" si="1675">+J679+K679</f>
        <v>56642</v>
      </c>
      <c r="M679" s="3262">
        <v>19046</v>
      </c>
      <c r="N679" s="3982">
        <f t="shared" ref="N679" si="1676">+L679+M679</f>
        <v>75688</v>
      </c>
      <c r="O679" s="3262">
        <v>18079</v>
      </c>
      <c r="P679" s="286">
        <f>+K679+M679+O679</f>
        <v>49817</v>
      </c>
      <c r="Q679" s="3983">
        <f t="shared" ref="Q679" si="1677">+N679+O679</f>
        <v>93767</v>
      </c>
      <c r="R679" s="3262">
        <v>19815</v>
      </c>
      <c r="S679" s="3982">
        <f t="shared" ref="S679" si="1678">+Q679+R679</f>
        <v>113582</v>
      </c>
      <c r="T679" s="3262">
        <v>19182</v>
      </c>
      <c r="U679" s="3982">
        <f t="shared" ref="U679" si="1679">+S679+T679</f>
        <v>132764</v>
      </c>
      <c r="V679" s="3262">
        <v>20072</v>
      </c>
      <c r="W679" s="286">
        <f>+R679+T679+V679</f>
        <v>59069</v>
      </c>
      <c r="X679" s="3982">
        <f>+U679+V679</f>
        <v>152836</v>
      </c>
      <c r="Y679" s="3262">
        <v>19196</v>
      </c>
      <c r="Z679" s="3982">
        <f>+X679+Y679</f>
        <v>172032</v>
      </c>
      <c r="AA679" s="3262">
        <v>18517</v>
      </c>
      <c r="AB679" s="278">
        <f>+Z679+AA679</f>
        <v>190549</v>
      </c>
      <c r="AC679" s="3262">
        <v>18827</v>
      </c>
      <c r="AD679" s="1379">
        <f>+Y679+AA679+AC679</f>
        <v>56540</v>
      </c>
      <c r="AE679" s="1378">
        <f>+W679+AD679</f>
        <v>115609</v>
      </c>
      <c r="AF679" s="1441">
        <f>+AB679+AC679</f>
        <v>209376</v>
      </c>
    </row>
    <row r="680" spans="3:43" ht="35" customHeight="1" thickBot="1" x14ac:dyDescent="0.3">
      <c r="C680" s="338"/>
      <c r="D680" s="8439"/>
      <c r="E680" s="3991" t="s">
        <v>1459</v>
      </c>
      <c r="F680" s="3262">
        <v>6847</v>
      </c>
      <c r="G680" s="3262">
        <v>6949</v>
      </c>
      <c r="H680" s="3979">
        <f t="shared" ref="H680:H684" si="1680">+F680+G680</f>
        <v>13796</v>
      </c>
      <c r="I680" s="3262">
        <v>6762</v>
      </c>
      <c r="J680" s="3980">
        <f t="shared" si="1616"/>
        <v>20558</v>
      </c>
      <c r="K680" s="3262">
        <v>6834</v>
      </c>
      <c r="L680" s="3981">
        <f t="shared" si="1617"/>
        <v>27392</v>
      </c>
      <c r="M680" s="3262">
        <v>10480</v>
      </c>
      <c r="N680" s="3982">
        <f t="shared" si="1618"/>
        <v>37872</v>
      </c>
      <c r="O680" s="3262">
        <v>8860</v>
      </c>
      <c r="P680" s="286">
        <f>+K680+M680+O680</f>
        <v>26174</v>
      </c>
      <c r="Q680" s="3983">
        <f t="shared" si="1619"/>
        <v>46732</v>
      </c>
      <c r="R680" s="3262">
        <v>9188</v>
      </c>
      <c r="S680" s="3982">
        <f t="shared" si="1662"/>
        <v>55920</v>
      </c>
      <c r="T680" s="3262">
        <v>9086</v>
      </c>
      <c r="U680" s="3982">
        <f t="shared" ref="U680:U684" si="1681">+S680+T680</f>
        <v>65006</v>
      </c>
      <c r="V680" s="3262">
        <v>9508</v>
      </c>
      <c r="W680" s="286">
        <f>+R680+T680+V680</f>
        <v>27782</v>
      </c>
      <c r="X680" s="3982">
        <f>+U680+V680</f>
        <v>74514</v>
      </c>
      <c r="Y680" s="3262">
        <v>9093</v>
      </c>
      <c r="Z680" s="3982">
        <f>+X680+Y680</f>
        <v>83607</v>
      </c>
      <c r="AA680" s="3262">
        <v>8771</v>
      </c>
      <c r="AB680" s="278">
        <f>+Z680+AA680</f>
        <v>92378</v>
      </c>
      <c r="AC680" s="3262">
        <v>8918</v>
      </c>
      <c r="AD680" s="1379">
        <f>+Y680+AA680+AC680</f>
        <v>26782</v>
      </c>
      <c r="AE680" s="1378">
        <f>+W680+AD680</f>
        <v>54564</v>
      </c>
      <c r="AF680" s="1441">
        <f>+AB680+AC680</f>
        <v>101296</v>
      </c>
    </row>
    <row r="681" spans="3:43" s="4662" customFormat="1" ht="35" customHeight="1" thickBot="1" x14ac:dyDescent="0.3">
      <c r="C681" s="4661"/>
      <c r="D681" s="8439"/>
      <c r="E681" s="3956" t="s">
        <v>1460</v>
      </c>
      <c r="F681" s="3750">
        <f t="shared" ref="F681:G681" si="1682">+F680+F679</f>
        <v>21135</v>
      </c>
      <c r="G681" s="3750">
        <f t="shared" si="1682"/>
        <v>21362</v>
      </c>
      <c r="H681" s="3750">
        <f t="shared" ref="H681:AF681" si="1683">+H680+H679</f>
        <v>42497</v>
      </c>
      <c r="I681" s="3750">
        <f t="shared" si="1683"/>
        <v>22011</v>
      </c>
      <c r="J681" s="3750">
        <f t="shared" si="1683"/>
        <v>64508</v>
      </c>
      <c r="K681" s="3750">
        <f t="shared" si="1683"/>
        <v>19526</v>
      </c>
      <c r="L681" s="3750">
        <f t="shared" si="1683"/>
        <v>84034</v>
      </c>
      <c r="M681" s="3750">
        <f t="shared" ref="M681" si="1684">+M680+M679</f>
        <v>29526</v>
      </c>
      <c r="N681" s="3750">
        <f t="shared" si="1683"/>
        <v>113560</v>
      </c>
      <c r="O681" s="3750">
        <f t="shared" si="1683"/>
        <v>26939</v>
      </c>
      <c r="P681" s="3750">
        <f t="shared" si="1683"/>
        <v>75991</v>
      </c>
      <c r="Q681" s="3750">
        <f t="shared" si="1683"/>
        <v>140499</v>
      </c>
      <c r="R681" s="3750">
        <f t="shared" si="1683"/>
        <v>29003</v>
      </c>
      <c r="S681" s="3750">
        <f t="shared" si="1683"/>
        <v>169502</v>
      </c>
      <c r="T681" s="3750">
        <f t="shared" ref="T681" si="1685">+T680+T679</f>
        <v>28268</v>
      </c>
      <c r="U681" s="3750">
        <f t="shared" si="1683"/>
        <v>197770</v>
      </c>
      <c r="V681" s="3750">
        <f t="shared" ref="V681" si="1686">+V680+V679</f>
        <v>29580</v>
      </c>
      <c r="W681" s="3750">
        <f t="shared" si="1683"/>
        <v>86851</v>
      </c>
      <c r="X681" s="3750">
        <f t="shared" si="1683"/>
        <v>227350</v>
      </c>
      <c r="Y681" s="3750">
        <f t="shared" si="1683"/>
        <v>28289</v>
      </c>
      <c r="Z681" s="3750">
        <f t="shared" si="1683"/>
        <v>255639</v>
      </c>
      <c r="AA681" s="3750">
        <f t="shared" ref="AA681" si="1687">+AA680+AA679</f>
        <v>27288</v>
      </c>
      <c r="AB681" s="3750">
        <f t="shared" si="1683"/>
        <v>282927</v>
      </c>
      <c r="AC681" s="3750">
        <f t="shared" ref="AC681" si="1688">+AC680+AC679</f>
        <v>27745</v>
      </c>
      <c r="AD681" s="3750">
        <f t="shared" si="1683"/>
        <v>83322</v>
      </c>
      <c r="AE681" s="3750">
        <f t="shared" si="1683"/>
        <v>170173</v>
      </c>
      <c r="AF681" s="3750">
        <f t="shared" si="1683"/>
        <v>310672</v>
      </c>
      <c r="AG681" s="4756"/>
      <c r="AH681" s="4756"/>
      <c r="AI681" s="4756"/>
      <c r="AJ681" s="4756"/>
      <c r="AK681" s="4756"/>
      <c r="AL681" s="4756"/>
    </row>
    <row r="682" spans="3:43" s="3170" customFormat="1" ht="35" customHeight="1" thickBot="1" x14ac:dyDescent="0.3">
      <c r="C682" s="4215"/>
      <c r="D682" s="8439"/>
      <c r="E682" s="3956" t="s">
        <v>39</v>
      </c>
      <c r="F682" s="4663">
        <f t="shared" ref="F682:G682" si="1689">+F681+F678</f>
        <v>75103</v>
      </c>
      <c r="G682" s="4663">
        <f t="shared" si="1689"/>
        <v>75525</v>
      </c>
      <c r="H682" s="4663">
        <f t="shared" ref="H682:AF682" si="1690">+H681+H678</f>
        <v>150628</v>
      </c>
      <c r="I682" s="4663">
        <f t="shared" si="1690"/>
        <v>86438</v>
      </c>
      <c r="J682" s="4663">
        <f t="shared" si="1690"/>
        <v>237066</v>
      </c>
      <c r="K682" s="4663">
        <f t="shared" si="1690"/>
        <v>92750</v>
      </c>
      <c r="L682" s="4663">
        <f t="shared" si="1690"/>
        <v>329816</v>
      </c>
      <c r="M682" s="4663">
        <f t="shared" ref="M682" si="1691">+M681+M678</f>
        <v>101746</v>
      </c>
      <c r="N682" s="4663">
        <f t="shared" si="1690"/>
        <v>431562</v>
      </c>
      <c r="O682" s="4663">
        <f t="shared" si="1690"/>
        <v>89475</v>
      </c>
      <c r="P682" s="4663">
        <f t="shared" si="1690"/>
        <v>283971</v>
      </c>
      <c r="Q682" s="4663">
        <f t="shared" si="1690"/>
        <v>521037</v>
      </c>
      <c r="R682" s="4663">
        <f t="shared" si="1690"/>
        <v>97377</v>
      </c>
      <c r="S682" s="4663">
        <f t="shared" si="1690"/>
        <v>618414</v>
      </c>
      <c r="T682" s="4663">
        <f t="shared" ref="T682" si="1692">+T681+T678</f>
        <v>95273</v>
      </c>
      <c r="U682" s="4663">
        <f t="shared" si="1690"/>
        <v>713687</v>
      </c>
      <c r="V682" s="4663">
        <f t="shared" ref="V682" si="1693">+V681+V678</f>
        <v>103753</v>
      </c>
      <c r="W682" s="4663">
        <f t="shared" si="1690"/>
        <v>296403</v>
      </c>
      <c r="X682" s="4663">
        <f t="shared" si="1690"/>
        <v>817440</v>
      </c>
      <c r="Y682" s="4663">
        <f t="shared" si="1690"/>
        <v>100631</v>
      </c>
      <c r="Z682" s="4663">
        <f t="shared" si="1690"/>
        <v>918071</v>
      </c>
      <c r="AA682" s="4663">
        <f t="shared" ref="AA682" si="1694">+AA681+AA678</f>
        <v>96664</v>
      </c>
      <c r="AB682" s="4663">
        <f t="shared" si="1690"/>
        <v>1014735</v>
      </c>
      <c r="AC682" s="4663">
        <f t="shared" ref="AC682" si="1695">+AC681+AC678</f>
        <v>99088</v>
      </c>
      <c r="AD682" s="4663">
        <f t="shared" si="1690"/>
        <v>296383</v>
      </c>
      <c r="AE682" s="4663">
        <f t="shared" si="1690"/>
        <v>592786</v>
      </c>
      <c r="AF682" s="4663">
        <f t="shared" si="1690"/>
        <v>1113823</v>
      </c>
      <c r="AG682" s="4756"/>
      <c r="AH682" s="4756"/>
      <c r="AI682" s="4756"/>
      <c r="AJ682" s="4756"/>
      <c r="AK682" s="4756"/>
      <c r="AL682" s="4756"/>
    </row>
    <row r="683" spans="3:43" ht="35" customHeight="1" x14ac:dyDescent="0.25">
      <c r="C683" s="338"/>
      <c r="D683" s="8439"/>
      <c r="E683" s="164" t="s">
        <v>1057</v>
      </c>
      <c r="F683" s="3262">
        <v>1754</v>
      </c>
      <c r="G683" s="3262">
        <v>2011</v>
      </c>
      <c r="H683" s="790">
        <f>SUM(F683:G683)</f>
        <v>3765</v>
      </c>
      <c r="I683" s="3262">
        <v>2612</v>
      </c>
      <c r="J683" s="3498">
        <f t="shared" si="1616"/>
        <v>6377</v>
      </c>
      <c r="K683" s="3262">
        <v>4882</v>
      </c>
      <c r="L683" s="475">
        <f t="shared" si="1617"/>
        <v>11259</v>
      </c>
      <c r="M683" s="3262">
        <v>0</v>
      </c>
      <c r="N683" s="86">
        <f t="shared" si="1618"/>
        <v>11259</v>
      </c>
      <c r="O683" s="3262">
        <v>0</v>
      </c>
      <c r="P683" s="87">
        <f>+K683+M683+O683</f>
        <v>4882</v>
      </c>
      <c r="Q683" s="2144">
        <f t="shared" si="1619"/>
        <v>11259</v>
      </c>
      <c r="R683" s="3262">
        <v>0</v>
      </c>
      <c r="S683" s="84">
        <f t="shared" si="1662"/>
        <v>11259</v>
      </c>
      <c r="T683" s="3262">
        <v>0</v>
      </c>
      <c r="U683" s="84">
        <f t="shared" si="1681"/>
        <v>11259</v>
      </c>
      <c r="V683" s="3262">
        <v>0</v>
      </c>
      <c r="W683" s="118">
        <f>+R683+T683+V683</f>
        <v>0</v>
      </c>
      <c r="X683" s="46">
        <f>+U683+V683</f>
        <v>11259</v>
      </c>
      <c r="Y683" s="3262">
        <v>0</v>
      </c>
      <c r="Z683" s="84">
        <f>+X683+Y683</f>
        <v>11259</v>
      </c>
      <c r="AA683" s="3262">
        <v>0</v>
      </c>
      <c r="AB683" s="276">
        <f>+Z683+AA683</f>
        <v>11259</v>
      </c>
      <c r="AC683" s="3262"/>
      <c r="AD683" s="1373">
        <f>+Y683+AA683+AC683</f>
        <v>0</v>
      </c>
      <c r="AE683" s="1374">
        <f>+W683+AD683</f>
        <v>0</v>
      </c>
      <c r="AF683" s="1441">
        <f>+AB683+AC683</f>
        <v>11259</v>
      </c>
    </row>
    <row r="684" spans="3:43" ht="35" customHeight="1" thickBot="1" x14ac:dyDescent="0.3">
      <c r="C684" s="338"/>
      <c r="D684" s="8439"/>
      <c r="E684" s="160" t="s">
        <v>1058</v>
      </c>
      <c r="F684" s="3324">
        <v>4028</v>
      </c>
      <c r="G684" s="3324">
        <v>3212</v>
      </c>
      <c r="H684" s="3557">
        <f t="shared" si="1680"/>
        <v>7240</v>
      </c>
      <c r="I684" s="3324">
        <v>919</v>
      </c>
      <c r="J684" s="3499">
        <f t="shared" si="1616"/>
        <v>8159</v>
      </c>
      <c r="K684" s="3324">
        <v>0</v>
      </c>
      <c r="L684" s="3589">
        <f t="shared" si="1617"/>
        <v>8159</v>
      </c>
      <c r="M684" s="3324">
        <v>4067</v>
      </c>
      <c r="N684" s="96">
        <f t="shared" si="1618"/>
        <v>12226</v>
      </c>
      <c r="O684" s="3324">
        <v>6735</v>
      </c>
      <c r="P684" s="134">
        <f>+K684+M684+O684</f>
        <v>10802</v>
      </c>
      <c r="Q684" s="2145">
        <f t="shared" si="1619"/>
        <v>18961</v>
      </c>
      <c r="R684" s="3324">
        <v>6912</v>
      </c>
      <c r="S684" s="96">
        <f t="shared" si="1662"/>
        <v>25873</v>
      </c>
      <c r="T684" s="3324">
        <v>5687</v>
      </c>
      <c r="U684" s="96">
        <f t="shared" si="1681"/>
        <v>31560</v>
      </c>
      <c r="V684" s="3324">
        <v>1888</v>
      </c>
      <c r="W684" s="98">
        <f>+R684+T684+V684</f>
        <v>14487</v>
      </c>
      <c r="X684" s="2352">
        <f>+U684+V684</f>
        <v>33448</v>
      </c>
      <c r="Y684" s="3324">
        <v>399</v>
      </c>
      <c r="Z684" s="96">
        <f>+X684+Y684</f>
        <v>33847</v>
      </c>
      <c r="AA684" s="3324">
        <v>794</v>
      </c>
      <c r="AB684" s="284">
        <f>+Z684+AA684</f>
        <v>34641</v>
      </c>
      <c r="AC684" s="3324"/>
      <c r="AD684" s="1376">
        <f>+Y684+AA684+AC684</f>
        <v>1193</v>
      </c>
      <c r="AE684" s="1377">
        <f>+W684+AD684</f>
        <v>15680</v>
      </c>
      <c r="AF684" s="1441">
        <f>+AB684+AC684</f>
        <v>34641</v>
      </c>
    </row>
    <row r="685" spans="3:43" s="3170" customFormat="1" ht="35" customHeight="1" thickBot="1" x14ac:dyDescent="0.3">
      <c r="C685" s="4215"/>
      <c r="D685" s="8424"/>
      <c r="E685" s="4665" t="s">
        <v>1134</v>
      </c>
      <c r="F685" s="4664">
        <f t="shared" ref="F685:G685" si="1696">SUM(F683:F684)</f>
        <v>5782</v>
      </c>
      <c r="G685" s="4664">
        <f t="shared" si="1696"/>
        <v>5223</v>
      </c>
      <c r="H685" s="4664">
        <f t="shared" ref="H685:AF685" si="1697">SUM(H683:H684)</f>
        <v>11005</v>
      </c>
      <c r="I685" s="4664">
        <f t="shared" ref="I685" si="1698">SUM(I683:I684)</f>
        <v>3531</v>
      </c>
      <c r="J685" s="4664">
        <f t="shared" si="1697"/>
        <v>14536</v>
      </c>
      <c r="K685" s="4664">
        <f t="shared" ref="K685" si="1699">SUM(K683:K684)</f>
        <v>4882</v>
      </c>
      <c r="L685" s="4664">
        <f t="shared" si="1697"/>
        <v>19418</v>
      </c>
      <c r="M685" s="4664">
        <f t="shared" ref="M685" si="1700">SUM(M683:M684)</f>
        <v>4067</v>
      </c>
      <c r="N685" s="4664">
        <f t="shared" si="1697"/>
        <v>23485</v>
      </c>
      <c r="O685" s="4664">
        <f t="shared" ref="O685" si="1701">SUM(O683:O684)</f>
        <v>6735</v>
      </c>
      <c r="P685" s="4664">
        <f t="shared" si="1697"/>
        <v>15684</v>
      </c>
      <c r="Q685" s="4664">
        <f t="shared" si="1697"/>
        <v>30220</v>
      </c>
      <c r="R685" s="4664">
        <f t="shared" ref="R685" si="1702">SUM(R683:R684)</f>
        <v>6912</v>
      </c>
      <c r="S685" s="4664">
        <f t="shared" si="1697"/>
        <v>37132</v>
      </c>
      <c r="T685" s="4664">
        <f t="shared" ref="T685" si="1703">SUM(T683:T684)</f>
        <v>5687</v>
      </c>
      <c r="U685" s="4664">
        <f t="shared" si="1697"/>
        <v>42819</v>
      </c>
      <c r="V685" s="4664">
        <f t="shared" ref="V685" si="1704">SUM(V683:V684)</f>
        <v>1888</v>
      </c>
      <c r="W685" s="4664">
        <f t="shared" si="1697"/>
        <v>14487</v>
      </c>
      <c r="X685" s="4664">
        <f t="shared" si="1697"/>
        <v>44707</v>
      </c>
      <c r="Y685" s="4664">
        <f t="shared" ref="Y685" si="1705">SUM(Y683:Y684)</f>
        <v>399</v>
      </c>
      <c r="Z685" s="4664">
        <f t="shared" si="1697"/>
        <v>45106</v>
      </c>
      <c r="AA685" s="4664">
        <f t="shared" ref="AA685" si="1706">SUM(AA683:AA684)</f>
        <v>794</v>
      </c>
      <c r="AB685" s="4664">
        <f t="shared" si="1697"/>
        <v>45900</v>
      </c>
      <c r="AC685" s="4664">
        <f t="shared" ref="AC685" si="1707">SUM(AC683:AC684)</f>
        <v>0</v>
      </c>
      <c r="AD685" s="4664">
        <f t="shared" si="1697"/>
        <v>1193</v>
      </c>
      <c r="AE685" s="4664">
        <f t="shared" si="1697"/>
        <v>15680</v>
      </c>
      <c r="AF685" s="4664">
        <f t="shared" si="1697"/>
        <v>45900</v>
      </c>
      <c r="AG685" s="4756"/>
      <c r="AH685" s="4756"/>
      <c r="AI685" s="4756"/>
      <c r="AJ685" s="4756"/>
      <c r="AK685" s="4756"/>
      <c r="AL685" s="4756"/>
      <c r="AM685" s="4664"/>
      <c r="AN685" s="4664"/>
      <c r="AO685" s="4664"/>
      <c r="AP685" s="4664"/>
    </row>
    <row r="686" spans="3:43" ht="35" customHeight="1" thickBot="1" x14ac:dyDescent="0.3">
      <c r="C686" s="338"/>
      <c r="D686" s="8424"/>
      <c r="E686" s="470" t="s">
        <v>1314</v>
      </c>
      <c r="F686" s="3262">
        <v>0</v>
      </c>
      <c r="G686" s="3262">
        <v>0</v>
      </c>
      <c r="H686" s="250">
        <f>SUM(F686:G686)</f>
        <v>0</v>
      </c>
      <c r="I686" s="3262">
        <v>0</v>
      </c>
      <c r="J686" s="3500">
        <f>SUM(H686:I686)</f>
        <v>0</v>
      </c>
      <c r="K686" s="3262">
        <v>0</v>
      </c>
      <c r="L686" s="250">
        <f>SUM(J686:K686)</f>
        <v>0</v>
      </c>
      <c r="M686" s="3262">
        <v>0</v>
      </c>
      <c r="N686" s="250">
        <f>SUM(L686:M686)</f>
        <v>0</v>
      </c>
      <c r="O686" s="3262">
        <v>0</v>
      </c>
      <c r="P686" s="165">
        <f>+K686+M686+O686</f>
        <v>0</v>
      </c>
      <c r="Q686" s="2147">
        <f>+N686+O686</f>
        <v>0</v>
      </c>
      <c r="R686" s="3262">
        <v>0</v>
      </c>
      <c r="S686" s="84">
        <f t="shared" si="1662"/>
        <v>0</v>
      </c>
      <c r="T686" s="3262">
        <v>0</v>
      </c>
      <c r="U686" s="84">
        <f t="shared" si="1662"/>
        <v>0</v>
      </c>
      <c r="V686" s="3262">
        <v>0</v>
      </c>
      <c r="W686" s="118">
        <f>+R686+T686+V686</f>
        <v>0</v>
      </c>
      <c r="X686" s="46">
        <f>+U686+V686</f>
        <v>0</v>
      </c>
      <c r="Y686" s="3262">
        <v>0</v>
      </c>
      <c r="Z686" s="84">
        <f>+X686+Y686</f>
        <v>0</v>
      </c>
      <c r="AA686" s="3262">
        <v>0</v>
      </c>
      <c r="AB686" s="276">
        <f>+Z686+AA686</f>
        <v>0</v>
      </c>
      <c r="AC686" s="3262"/>
      <c r="AD686" s="118">
        <f>+Y686+AA686+AC686</f>
        <v>0</v>
      </c>
      <c r="AE686" s="1374">
        <f>+W686+AD686</f>
        <v>0</v>
      </c>
      <c r="AF686" s="1441">
        <f>+AB686+AC686</f>
        <v>0</v>
      </c>
    </row>
    <row r="687" spans="3:43" s="3170" customFormat="1" ht="35" customHeight="1" thickBot="1" x14ac:dyDescent="0.3">
      <c r="C687" s="4215"/>
      <c r="D687" s="8451"/>
      <c r="E687" s="3956" t="s">
        <v>38</v>
      </c>
      <c r="F687" s="4664">
        <f t="shared" ref="F687:G687" si="1708">+F682+F685+F686</f>
        <v>80885</v>
      </c>
      <c r="G687" s="4664">
        <f t="shared" si="1708"/>
        <v>80748</v>
      </c>
      <c r="H687" s="4664">
        <f t="shared" ref="H687:AF687" si="1709">+H682+H685+H686</f>
        <v>161633</v>
      </c>
      <c r="I687" s="4664">
        <f t="shared" si="1709"/>
        <v>89969</v>
      </c>
      <c r="J687" s="4664">
        <f t="shared" si="1709"/>
        <v>251602</v>
      </c>
      <c r="K687" s="4664">
        <f t="shared" si="1709"/>
        <v>97632</v>
      </c>
      <c r="L687" s="4664">
        <f t="shared" si="1709"/>
        <v>349234</v>
      </c>
      <c r="M687" s="4664">
        <f t="shared" ref="M687" si="1710">+M682+M685+M686</f>
        <v>105813</v>
      </c>
      <c r="N687" s="4664">
        <f t="shared" si="1709"/>
        <v>455047</v>
      </c>
      <c r="O687" s="4664">
        <f t="shared" si="1709"/>
        <v>96210</v>
      </c>
      <c r="P687" s="4664">
        <f t="shared" si="1709"/>
        <v>299655</v>
      </c>
      <c r="Q687" s="4664">
        <f t="shared" si="1709"/>
        <v>551257</v>
      </c>
      <c r="R687" s="4664">
        <f t="shared" si="1709"/>
        <v>104289</v>
      </c>
      <c r="S687" s="4664">
        <f t="shared" si="1709"/>
        <v>655546</v>
      </c>
      <c r="T687" s="4664">
        <f t="shared" ref="T687" si="1711">+T682+T685+T686</f>
        <v>100960</v>
      </c>
      <c r="U687" s="4664">
        <f t="shared" si="1709"/>
        <v>756506</v>
      </c>
      <c r="V687" s="4664">
        <f t="shared" ref="V687" si="1712">+V682+V685+V686</f>
        <v>105641</v>
      </c>
      <c r="W687" s="4664">
        <f t="shared" si="1709"/>
        <v>310890</v>
      </c>
      <c r="X687" s="4664">
        <f t="shared" si="1709"/>
        <v>862147</v>
      </c>
      <c r="Y687" s="4664">
        <f t="shared" si="1709"/>
        <v>101030</v>
      </c>
      <c r="Z687" s="4664">
        <f t="shared" si="1709"/>
        <v>963177</v>
      </c>
      <c r="AA687" s="4664">
        <f t="shared" ref="AA687" si="1713">+AA682+AA685+AA686</f>
        <v>97458</v>
      </c>
      <c r="AB687" s="4664">
        <f t="shared" si="1709"/>
        <v>1060635</v>
      </c>
      <c r="AC687" s="4664">
        <f t="shared" ref="AC687" si="1714">+AC682+AC685+AC686</f>
        <v>99088</v>
      </c>
      <c r="AD687" s="4664">
        <f t="shared" si="1709"/>
        <v>297576</v>
      </c>
      <c r="AE687" s="4664">
        <f t="shared" si="1709"/>
        <v>608466</v>
      </c>
      <c r="AF687" s="4664">
        <f t="shared" si="1709"/>
        <v>1159723</v>
      </c>
      <c r="AG687" s="4756"/>
      <c r="AH687" s="4756"/>
      <c r="AI687" s="4756"/>
      <c r="AJ687" s="4756"/>
      <c r="AK687" s="4756"/>
      <c r="AL687" s="4756"/>
      <c r="AM687" s="4664"/>
      <c r="AN687" s="4664"/>
      <c r="AO687" s="4664"/>
      <c r="AP687" s="4664"/>
      <c r="AQ687" s="4664"/>
    </row>
    <row r="688" spans="3:43" ht="35" customHeight="1" x14ac:dyDescent="0.25">
      <c r="C688" s="338"/>
      <c r="D688" s="166"/>
      <c r="E688" s="358" t="s">
        <v>1473</v>
      </c>
      <c r="F688" s="167"/>
      <c r="G688" s="167"/>
      <c r="H688" s="3710"/>
      <c r="I688" s="167"/>
      <c r="J688" s="3738"/>
      <c r="K688" s="167"/>
      <c r="L688" s="3709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8"/>
      <c r="X688" s="167"/>
      <c r="Y688" s="167"/>
      <c r="Z688" s="167"/>
      <c r="AA688" s="167"/>
      <c r="AB688" s="1251"/>
      <c r="AC688" s="167"/>
      <c r="AD688" s="1251"/>
      <c r="AE688" s="1251"/>
      <c r="AF688" s="1663"/>
    </row>
    <row r="689" spans="3:32" ht="35" customHeight="1" x14ac:dyDescent="0.3">
      <c r="C689" s="338"/>
      <c r="D689" s="289" t="s">
        <v>10</v>
      </c>
      <c r="E689" s="288" t="s">
        <v>1</v>
      </c>
      <c r="F689" s="64" t="s">
        <v>9</v>
      </c>
      <c r="G689" s="64" t="s">
        <v>51</v>
      </c>
      <c r="H689" s="3683" t="s">
        <v>52</v>
      </c>
      <c r="I689" s="64" t="s">
        <v>1073</v>
      </c>
      <c r="J689" s="3681" t="s">
        <v>60</v>
      </c>
      <c r="K689" s="64" t="s">
        <v>2117</v>
      </c>
      <c r="L689" s="3681" t="s">
        <v>62</v>
      </c>
      <c r="M689" s="64" t="s">
        <v>63</v>
      </c>
      <c r="N689" s="82" t="s">
        <v>64</v>
      </c>
      <c r="O689" s="64" t="s">
        <v>65</v>
      </c>
      <c r="P689" s="81" t="s">
        <v>66</v>
      </c>
      <c r="Q689" s="258" t="s">
        <v>82</v>
      </c>
      <c r="R689" s="64" t="s">
        <v>100</v>
      </c>
      <c r="S689" s="65" t="s">
        <v>101</v>
      </c>
      <c r="T689" s="64" t="s">
        <v>104</v>
      </c>
      <c r="U689" s="65" t="s">
        <v>105</v>
      </c>
      <c r="V689" s="64" t="s">
        <v>106</v>
      </c>
      <c r="W689" s="81" t="s">
        <v>107</v>
      </c>
      <c r="X689" s="65" t="s">
        <v>108</v>
      </c>
      <c r="Y689" s="64" t="s">
        <v>109</v>
      </c>
      <c r="Z689" s="65" t="s">
        <v>110</v>
      </c>
      <c r="AA689" s="64" t="s">
        <v>112</v>
      </c>
      <c r="AB689" s="65" t="s">
        <v>113</v>
      </c>
      <c r="AC689" s="64" t="s">
        <v>114</v>
      </c>
      <c r="AD689" s="659" t="s">
        <v>115</v>
      </c>
      <c r="AE689" s="1321" t="s">
        <v>116</v>
      </c>
      <c r="AF689" s="658" t="s">
        <v>117</v>
      </c>
    </row>
    <row r="690" spans="3:32" ht="35" customHeight="1" thickBot="1" x14ac:dyDescent="0.3">
      <c r="C690" s="338"/>
      <c r="D690" s="319">
        <v>36</v>
      </c>
      <c r="E690" s="320" t="s">
        <v>1381</v>
      </c>
      <c r="F690" s="3740">
        <f>+F6</f>
        <v>30</v>
      </c>
      <c r="G690" s="3740">
        <f>+G6</f>
        <v>31</v>
      </c>
      <c r="H690" s="3739">
        <f>SUM(F690:G690)</f>
        <v>61</v>
      </c>
      <c r="I690" s="3740">
        <f>+I6</f>
        <v>30</v>
      </c>
      <c r="J690" s="3740">
        <f>SUM(H690:I690)</f>
        <v>91</v>
      </c>
      <c r="K690" s="3740">
        <f>+K6</f>
        <v>31</v>
      </c>
      <c r="L690" s="3740">
        <f>SUM(J690:K690)</f>
        <v>122</v>
      </c>
      <c r="M690" s="3740">
        <v>31</v>
      </c>
      <c r="N690" s="2106">
        <f>SUM(L690:M690)</f>
        <v>153</v>
      </c>
      <c r="O690" s="3740">
        <v>30</v>
      </c>
      <c r="P690" s="353">
        <f>+K690+M690+O690</f>
        <v>92</v>
      </c>
      <c r="Q690" s="2106">
        <f>+J690+P690</f>
        <v>183</v>
      </c>
      <c r="R690" s="3740">
        <v>31</v>
      </c>
      <c r="S690" s="2282">
        <f>SUM(Q690:R690)</f>
        <v>214</v>
      </c>
      <c r="T690" s="3740">
        <v>30</v>
      </c>
      <c r="U690" s="2282">
        <f>SUM(S690:T690)</f>
        <v>244</v>
      </c>
      <c r="V690" s="3740">
        <v>31</v>
      </c>
      <c r="W690" s="374">
        <f>+V690+T690+R690</f>
        <v>92</v>
      </c>
      <c r="X690" s="2474">
        <f>+V690+U690</f>
        <v>275</v>
      </c>
      <c r="Y690" s="3740">
        <v>31</v>
      </c>
      <c r="Z690" s="2282">
        <f>SUM(X690:Y690)</f>
        <v>306</v>
      </c>
      <c r="AA690" s="3740">
        <v>29</v>
      </c>
      <c r="AB690" s="2500">
        <f>SUM(Z690:AA690)</f>
        <v>335</v>
      </c>
      <c r="AC690" s="3740">
        <v>31</v>
      </c>
      <c r="AD690" s="1122">
        <f>+Y690+AA690+AC690</f>
        <v>91</v>
      </c>
      <c r="AE690" s="1122">
        <f>+W690+AD690</f>
        <v>183</v>
      </c>
      <c r="AF690" s="2448">
        <f>+AB690+AC690</f>
        <v>366</v>
      </c>
    </row>
    <row r="691" spans="3:32" ht="35" customHeight="1" x14ac:dyDescent="0.35">
      <c r="C691" s="338"/>
      <c r="D691" s="8465">
        <v>36.01</v>
      </c>
      <c r="E691" s="290" t="s">
        <v>483</v>
      </c>
      <c r="F691" s="3628"/>
      <c r="G691" s="3628"/>
      <c r="H691" s="3627"/>
      <c r="I691" s="3628"/>
      <c r="J691" s="3628"/>
      <c r="K691" s="3628"/>
      <c r="L691" s="3629"/>
      <c r="M691" s="3628"/>
      <c r="N691" s="167"/>
      <c r="O691" s="3628"/>
      <c r="P691" s="171"/>
      <c r="Q691" s="167"/>
      <c r="R691" s="3628"/>
      <c r="S691" s="167"/>
      <c r="T691" s="3628"/>
      <c r="U691" s="167"/>
      <c r="V691" s="3628"/>
      <c r="W691" s="170"/>
      <c r="X691" s="178"/>
      <c r="Y691" s="3628"/>
      <c r="Z691" s="167"/>
      <c r="AA691" s="3628"/>
      <c r="AB691" s="178"/>
      <c r="AC691" s="3628"/>
      <c r="AD691" s="178"/>
      <c r="AE691" s="986"/>
      <c r="AF691" s="2490"/>
    </row>
    <row r="692" spans="3:32" ht="35" customHeight="1" x14ac:dyDescent="0.25">
      <c r="C692" s="338"/>
      <c r="D692" s="8439"/>
      <c r="E692" s="67" t="s">
        <v>148</v>
      </c>
      <c r="F692" s="3262">
        <v>198460</v>
      </c>
      <c r="G692" s="3262">
        <v>202500</v>
      </c>
      <c r="H692" s="363">
        <f>SUM(F692:G692)</f>
        <v>400960</v>
      </c>
      <c r="I692" s="3262">
        <v>220500</v>
      </c>
      <c r="J692" s="304">
        <f>SUM(H692:I692)</f>
        <v>621460</v>
      </c>
      <c r="K692" s="3262"/>
      <c r="L692" s="363">
        <f>SUM(J692:K692)</f>
        <v>621460</v>
      </c>
      <c r="M692" s="3262">
        <v>291468</v>
      </c>
      <c r="N692" s="78">
        <f>SUM(L692:M692)</f>
        <v>912928</v>
      </c>
      <c r="O692" s="3262">
        <v>216313</v>
      </c>
      <c r="P692" s="79">
        <f>+K692+M692+O692</f>
        <v>507781</v>
      </c>
      <c r="Q692" s="2133">
        <f>+J692+P692</f>
        <v>1129241</v>
      </c>
      <c r="R692" s="3262">
        <v>242183</v>
      </c>
      <c r="S692" s="122">
        <f>SUM(Q692:R692)</f>
        <v>1371424</v>
      </c>
      <c r="T692" s="3262">
        <v>266057</v>
      </c>
      <c r="U692" s="122">
        <f>SUM(S692:T692)</f>
        <v>1637481</v>
      </c>
      <c r="V692" s="3262">
        <v>316229</v>
      </c>
      <c r="W692" s="79">
        <f>+R692+T692+V692</f>
        <v>824469</v>
      </c>
      <c r="X692" s="78">
        <f>+U692+V692</f>
        <v>1953710</v>
      </c>
      <c r="Y692" s="3262">
        <v>300029</v>
      </c>
      <c r="Z692" s="122">
        <f>SUM(X692:Y692)</f>
        <v>2253739</v>
      </c>
      <c r="AA692" s="3262">
        <v>293329</v>
      </c>
      <c r="AB692" s="78">
        <f>SUM(Z692:AA692)</f>
        <v>2547068</v>
      </c>
      <c r="AC692" s="3262">
        <v>276500</v>
      </c>
      <c r="AD692" s="1384">
        <f t="shared" ref="AD692:AD701" si="1715">+Y692+AA692+AC692</f>
        <v>869858</v>
      </c>
      <c r="AE692" s="1385">
        <f t="shared" ref="AE692:AE701" si="1716">+W692+AD692</f>
        <v>1694327</v>
      </c>
      <c r="AF692" s="686">
        <f>+AB692+AC692</f>
        <v>2823568</v>
      </c>
    </row>
    <row r="693" spans="3:32" ht="35" customHeight="1" x14ac:dyDescent="0.25">
      <c r="C693" s="338"/>
      <c r="D693" s="8439"/>
      <c r="E693" s="67" t="s">
        <v>149</v>
      </c>
      <c r="F693" s="3262">
        <v>10012</v>
      </c>
      <c r="G693" s="3262">
        <v>11571</v>
      </c>
      <c r="H693" s="363">
        <f t="shared" ref="H693:H701" si="1717">SUM(F693:G693)</f>
        <v>21583</v>
      </c>
      <c r="I693" s="3262">
        <v>9100</v>
      </c>
      <c r="J693" s="304">
        <f t="shared" ref="J693:J701" si="1718">SUM(H693:I693)</f>
        <v>30683</v>
      </c>
      <c r="K693" s="3262"/>
      <c r="L693" s="363">
        <f t="shared" ref="L693:L701" si="1719">SUM(J693:K693)</f>
        <v>30683</v>
      </c>
      <c r="M693" s="3262">
        <v>15964</v>
      </c>
      <c r="N693" s="78">
        <f t="shared" ref="N693:N701" si="1720">SUM(L693:M693)</f>
        <v>46647</v>
      </c>
      <c r="O693" s="3262">
        <v>14451</v>
      </c>
      <c r="P693" s="79">
        <f t="shared" ref="P693:P701" si="1721">+K693+M693+O693</f>
        <v>30415</v>
      </c>
      <c r="Q693" s="241">
        <f t="shared" ref="Q693:Q701" si="1722">+J693+P693</f>
        <v>61098</v>
      </c>
      <c r="R693" s="3262">
        <v>13090</v>
      </c>
      <c r="S693" s="122">
        <f t="shared" ref="S693:S701" si="1723">SUM(Q693:R693)</f>
        <v>74188</v>
      </c>
      <c r="T693" s="3262">
        <v>13361</v>
      </c>
      <c r="U693" s="122">
        <f t="shared" ref="U693:U701" si="1724">SUM(S693:T693)</f>
        <v>87549</v>
      </c>
      <c r="V693" s="3262">
        <v>18865</v>
      </c>
      <c r="W693" s="79">
        <f t="shared" ref="W693:W701" si="1725">+R693+T693+V693</f>
        <v>45316</v>
      </c>
      <c r="X693" s="78">
        <f t="shared" ref="X693:X701" si="1726">+U693+V693</f>
        <v>106414</v>
      </c>
      <c r="Y693" s="3262">
        <v>15285</v>
      </c>
      <c r="Z693" s="122">
        <f t="shared" ref="Z693:Z701" si="1727">SUM(X693:Y693)</f>
        <v>121699</v>
      </c>
      <c r="AA693" s="3262">
        <v>18899</v>
      </c>
      <c r="AB693" s="78">
        <f t="shared" ref="AB693:AB701" si="1728">SUM(Z693:AA693)</f>
        <v>140598</v>
      </c>
      <c r="AC693" s="3262">
        <v>19783</v>
      </c>
      <c r="AD693" s="1384">
        <f t="shared" si="1715"/>
        <v>53967</v>
      </c>
      <c r="AE693" s="1385">
        <f t="shared" si="1716"/>
        <v>99283</v>
      </c>
      <c r="AF693" s="686">
        <f t="shared" ref="AF693:AF701" si="1729">+AB693+AC693</f>
        <v>160381</v>
      </c>
    </row>
    <row r="694" spans="3:32" ht="35" customHeight="1" x14ac:dyDescent="0.25">
      <c r="C694" s="338"/>
      <c r="D694" s="8439"/>
      <c r="E694" s="67" t="s">
        <v>150</v>
      </c>
      <c r="F694" s="3262">
        <v>21334</v>
      </c>
      <c r="G694" s="3262">
        <v>21772</v>
      </c>
      <c r="H694" s="363">
        <f t="shared" si="1717"/>
        <v>43106</v>
      </c>
      <c r="I694" s="3262">
        <v>23000</v>
      </c>
      <c r="J694" s="304">
        <f t="shared" si="1718"/>
        <v>66106</v>
      </c>
      <c r="K694" s="3262"/>
      <c r="L694" s="363">
        <f t="shared" si="1719"/>
        <v>66106</v>
      </c>
      <c r="M694" s="3262">
        <v>27529</v>
      </c>
      <c r="N694" s="78">
        <f t="shared" si="1720"/>
        <v>93635</v>
      </c>
      <c r="O694" s="3262">
        <v>21825</v>
      </c>
      <c r="P694" s="79">
        <f t="shared" si="1721"/>
        <v>49354</v>
      </c>
      <c r="Q694" s="241">
        <f t="shared" si="1722"/>
        <v>115460</v>
      </c>
      <c r="R694" s="3262">
        <v>21885</v>
      </c>
      <c r="S694" s="122">
        <f t="shared" si="1723"/>
        <v>137345</v>
      </c>
      <c r="T694" s="3262">
        <v>28271</v>
      </c>
      <c r="U694" s="122">
        <f t="shared" si="1724"/>
        <v>165616</v>
      </c>
      <c r="V694" s="3262">
        <v>34318</v>
      </c>
      <c r="W694" s="79">
        <f t="shared" si="1725"/>
        <v>84474</v>
      </c>
      <c r="X694" s="78">
        <f t="shared" si="1726"/>
        <v>199934</v>
      </c>
      <c r="Y694" s="3262">
        <v>32912</v>
      </c>
      <c r="Z694" s="122">
        <f t="shared" si="1727"/>
        <v>232846</v>
      </c>
      <c r="AA694" s="3262">
        <v>34838</v>
      </c>
      <c r="AB694" s="78">
        <f t="shared" si="1728"/>
        <v>267684</v>
      </c>
      <c r="AC694" s="3262">
        <v>31561</v>
      </c>
      <c r="AD694" s="1384">
        <f t="shared" si="1715"/>
        <v>99311</v>
      </c>
      <c r="AE694" s="1385">
        <f t="shared" si="1716"/>
        <v>183785</v>
      </c>
      <c r="AF694" s="686">
        <f t="shared" si="1729"/>
        <v>299245</v>
      </c>
    </row>
    <row r="695" spans="3:32" ht="35" customHeight="1" x14ac:dyDescent="0.25">
      <c r="C695" s="338"/>
      <c r="D695" s="8439"/>
      <c r="E695" s="67" t="s">
        <v>151</v>
      </c>
      <c r="F695" s="3262">
        <v>13793</v>
      </c>
      <c r="G695" s="3262">
        <v>13582</v>
      </c>
      <c r="H695" s="363">
        <f t="shared" si="1717"/>
        <v>27375</v>
      </c>
      <c r="I695" s="3262">
        <v>12853</v>
      </c>
      <c r="J695" s="304">
        <f t="shared" si="1718"/>
        <v>40228</v>
      </c>
      <c r="K695" s="3262"/>
      <c r="L695" s="363">
        <f t="shared" si="1719"/>
        <v>40228</v>
      </c>
      <c r="M695" s="3262">
        <v>12821</v>
      </c>
      <c r="N695" s="78">
        <f t="shared" si="1720"/>
        <v>53049</v>
      </c>
      <c r="O695" s="3262">
        <v>8661</v>
      </c>
      <c r="P695" s="79">
        <f t="shared" si="1721"/>
        <v>21482</v>
      </c>
      <c r="Q695" s="241">
        <f t="shared" si="1722"/>
        <v>61710</v>
      </c>
      <c r="R695" s="3262">
        <v>6704</v>
      </c>
      <c r="S695" s="122">
        <f t="shared" si="1723"/>
        <v>68414</v>
      </c>
      <c r="T695" s="3262">
        <v>10285</v>
      </c>
      <c r="U695" s="122">
        <f t="shared" si="1724"/>
        <v>78699</v>
      </c>
      <c r="V695" s="3262">
        <v>13973</v>
      </c>
      <c r="W695" s="79">
        <f t="shared" si="1725"/>
        <v>30962</v>
      </c>
      <c r="X695" s="78">
        <f t="shared" si="1726"/>
        <v>92672</v>
      </c>
      <c r="Y695" s="3262">
        <v>16559</v>
      </c>
      <c r="Z695" s="122">
        <f t="shared" si="1727"/>
        <v>109231</v>
      </c>
      <c r="AA695" s="3262">
        <v>17518</v>
      </c>
      <c r="AB695" s="78">
        <f t="shared" si="1728"/>
        <v>126749</v>
      </c>
      <c r="AC695" s="3262">
        <v>16809</v>
      </c>
      <c r="AD695" s="1384">
        <f t="shared" si="1715"/>
        <v>50886</v>
      </c>
      <c r="AE695" s="1385">
        <f t="shared" si="1716"/>
        <v>81848</v>
      </c>
      <c r="AF695" s="686">
        <f t="shared" si="1729"/>
        <v>143558</v>
      </c>
    </row>
    <row r="696" spans="3:32" ht="35" customHeight="1" x14ac:dyDescent="0.25">
      <c r="C696" s="338"/>
      <c r="D696" s="8439"/>
      <c r="E696" s="67" t="s">
        <v>1388</v>
      </c>
      <c r="F696" s="3327">
        <v>0</v>
      </c>
      <c r="G696" s="3327">
        <v>0</v>
      </c>
      <c r="H696" s="360">
        <f t="shared" si="1717"/>
        <v>0</v>
      </c>
      <c r="I696" s="3327">
        <v>0</v>
      </c>
      <c r="J696" s="361">
        <f t="shared" si="1718"/>
        <v>0</v>
      </c>
      <c r="K696" s="3327"/>
      <c r="L696" s="360">
        <f t="shared" si="1719"/>
        <v>0</v>
      </c>
      <c r="M696" s="3327">
        <v>0</v>
      </c>
      <c r="N696" s="62">
        <f t="shared" si="1720"/>
        <v>0</v>
      </c>
      <c r="O696" s="3327">
        <v>0</v>
      </c>
      <c r="P696" s="63">
        <f t="shared" si="1721"/>
        <v>0</v>
      </c>
      <c r="Q696" s="362">
        <f t="shared" si="1722"/>
        <v>0</v>
      </c>
      <c r="R696" s="3327">
        <v>0</v>
      </c>
      <c r="S696" s="122">
        <f t="shared" si="1723"/>
        <v>0</v>
      </c>
      <c r="T696" s="3327">
        <v>0</v>
      </c>
      <c r="U696" s="122">
        <f t="shared" si="1724"/>
        <v>0</v>
      </c>
      <c r="V696" s="3327">
        <v>0</v>
      </c>
      <c r="W696" s="79">
        <f t="shared" si="1725"/>
        <v>0</v>
      </c>
      <c r="X696" s="78">
        <f t="shared" si="1726"/>
        <v>0</v>
      </c>
      <c r="Y696" s="3327">
        <v>0</v>
      </c>
      <c r="Z696" s="122">
        <f t="shared" si="1727"/>
        <v>0</v>
      </c>
      <c r="AA696" s="3327"/>
      <c r="AB696" s="78">
        <f t="shared" si="1728"/>
        <v>0</v>
      </c>
      <c r="AC696" s="3327"/>
      <c r="AD696" s="1384">
        <f t="shared" si="1715"/>
        <v>0</v>
      </c>
      <c r="AE696" s="1385">
        <f t="shared" si="1716"/>
        <v>0</v>
      </c>
      <c r="AF696" s="686">
        <f t="shared" si="1729"/>
        <v>0</v>
      </c>
    </row>
    <row r="697" spans="3:32" ht="35" customHeight="1" x14ac:dyDescent="0.25">
      <c r="C697" s="338"/>
      <c r="D697" s="8439"/>
      <c r="E697" s="67" t="s">
        <v>1233</v>
      </c>
      <c r="F697" s="3327">
        <v>4785</v>
      </c>
      <c r="G697" s="3327">
        <v>4399</v>
      </c>
      <c r="H697" s="360">
        <f t="shared" si="1717"/>
        <v>9184</v>
      </c>
      <c r="I697" s="3327">
        <v>4188</v>
      </c>
      <c r="J697" s="361">
        <f t="shared" si="1718"/>
        <v>13372</v>
      </c>
      <c r="K697" s="3327"/>
      <c r="L697" s="360">
        <f t="shared" si="1719"/>
        <v>13372</v>
      </c>
      <c r="M697" s="3327">
        <v>1500</v>
      </c>
      <c r="N697" s="62">
        <f t="shared" si="1720"/>
        <v>14872</v>
      </c>
      <c r="O697" s="3327">
        <v>1548</v>
      </c>
      <c r="P697" s="63">
        <f t="shared" si="1721"/>
        <v>3048</v>
      </c>
      <c r="Q697" s="362">
        <f t="shared" si="1722"/>
        <v>16420</v>
      </c>
      <c r="R697" s="3327">
        <v>1482</v>
      </c>
      <c r="S697" s="122">
        <f t="shared" si="1723"/>
        <v>17902</v>
      </c>
      <c r="T697" s="3327">
        <v>1610</v>
      </c>
      <c r="U697" s="122">
        <f t="shared" si="1724"/>
        <v>19512</v>
      </c>
      <c r="V697" s="3327">
        <v>3468</v>
      </c>
      <c r="W697" s="79">
        <f t="shared" si="1725"/>
        <v>6560</v>
      </c>
      <c r="X697" s="78">
        <f t="shared" si="1726"/>
        <v>22980</v>
      </c>
      <c r="Y697" s="3327">
        <v>1594</v>
      </c>
      <c r="Z697" s="122">
        <f t="shared" si="1727"/>
        <v>24574</v>
      </c>
      <c r="AA697" s="3327">
        <v>2100</v>
      </c>
      <c r="AB697" s="78">
        <f t="shared" si="1728"/>
        <v>26674</v>
      </c>
      <c r="AC697" s="3327">
        <v>5489</v>
      </c>
      <c r="AD697" s="1384">
        <f t="shared" si="1715"/>
        <v>9183</v>
      </c>
      <c r="AE697" s="1385">
        <f t="shared" si="1716"/>
        <v>15743</v>
      </c>
      <c r="AF697" s="686">
        <f t="shared" si="1729"/>
        <v>32163</v>
      </c>
    </row>
    <row r="698" spans="3:32" ht="35" customHeight="1" x14ac:dyDescent="0.25">
      <c r="C698" s="338"/>
      <c r="D698" s="8439"/>
      <c r="E698" s="67" t="s">
        <v>152</v>
      </c>
      <c r="F698" s="3327">
        <v>1440</v>
      </c>
      <c r="G698" s="3327">
        <v>3100</v>
      </c>
      <c r="H698" s="360">
        <f t="shared" si="1717"/>
        <v>4540</v>
      </c>
      <c r="I698" s="3327">
        <v>2450</v>
      </c>
      <c r="J698" s="361">
        <f t="shared" si="1718"/>
        <v>6990</v>
      </c>
      <c r="K698" s="3327"/>
      <c r="L698" s="360">
        <f t="shared" si="1719"/>
        <v>6990</v>
      </c>
      <c r="M698" s="3327">
        <v>3750</v>
      </c>
      <c r="N698" s="62">
        <f t="shared" si="1720"/>
        <v>10740</v>
      </c>
      <c r="O698" s="3327">
        <v>3071</v>
      </c>
      <c r="P698" s="63">
        <f t="shared" si="1721"/>
        <v>6821</v>
      </c>
      <c r="Q698" s="362">
        <f t="shared" si="1722"/>
        <v>13811</v>
      </c>
      <c r="R698" s="3327">
        <v>3224</v>
      </c>
      <c r="S698" s="122">
        <f t="shared" si="1723"/>
        <v>17035</v>
      </c>
      <c r="T698" s="3327">
        <v>3794</v>
      </c>
      <c r="U698" s="122">
        <f t="shared" si="1724"/>
        <v>20829</v>
      </c>
      <c r="V698" s="3327">
        <v>3120</v>
      </c>
      <c r="W698" s="79">
        <f t="shared" si="1725"/>
        <v>10138</v>
      </c>
      <c r="X698" s="78">
        <f t="shared" si="1726"/>
        <v>23949</v>
      </c>
      <c r="Y698" s="3327">
        <v>3966</v>
      </c>
      <c r="Z698" s="122">
        <f t="shared" si="1727"/>
        <v>27915</v>
      </c>
      <c r="AA698" s="3327">
        <v>2005</v>
      </c>
      <c r="AB698" s="78">
        <f t="shared" si="1728"/>
        <v>29920</v>
      </c>
      <c r="AC698" s="3327">
        <v>800</v>
      </c>
      <c r="AD698" s="1384">
        <f t="shared" si="1715"/>
        <v>6771</v>
      </c>
      <c r="AE698" s="1385">
        <f t="shared" si="1716"/>
        <v>16909</v>
      </c>
      <c r="AF698" s="686">
        <f t="shared" si="1729"/>
        <v>30720</v>
      </c>
    </row>
    <row r="699" spans="3:32" ht="35" customHeight="1" x14ac:dyDescent="0.25">
      <c r="C699" s="338"/>
      <c r="D699" s="8439"/>
      <c r="E699" s="67" t="s">
        <v>153</v>
      </c>
      <c r="F699" s="3327">
        <v>5000</v>
      </c>
      <c r="G699" s="3327">
        <v>5400</v>
      </c>
      <c r="H699" s="360">
        <f t="shared" si="1717"/>
        <v>10400</v>
      </c>
      <c r="I699" s="3327">
        <v>5510</v>
      </c>
      <c r="J699" s="361">
        <f t="shared" si="1718"/>
        <v>15910</v>
      </c>
      <c r="K699" s="3327"/>
      <c r="L699" s="360">
        <f t="shared" si="1719"/>
        <v>15910</v>
      </c>
      <c r="M699" s="3327">
        <v>7546</v>
      </c>
      <c r="N699" s="62">
        <f t="shared" si="1720"/>
        <v>23456</v>
      </c>
      <c r="O699" s="3327">
        <v>6142</v>
      </c>
      <c r="P699" s="63">
        <f t="shared" si="1721"/>
        <v>13688</v>
      </c>
      <c r="Q699" s="362">
        <f t="shared" si="1722"/>
        <v>29598</v>
      </c>
      <c r="R699" s="3327">
        <v>6529</v>
      </c>
      <c r="S699" s="122">
        <f t="shared" si="1723"/>
        <v>36127</v>
      </c>
      <c r="T699" s="3327">
        <v>5222</v>
      </c>
      <c r="U699" s="122">
        <f t="shared" si="1724"/>
        <v>41349</v>
      </c>
      <c r="V699" s="3327">
        <v>6721</v>
      </c>
      <c r="W699" s="79">
        <f t="shared" si="1725"/>
        <v>18472</v>
      </c>
      <c r="X699" s="78">
        <f t="shared" si="1726"/>
        <v>48070</v>
      </c>
      <c r="Y699" s="3327">
        <v>3966</v>
      </c>
      <c r="Z699" s="122">
        <f t="shared" si="1727"/>
        <v>52036</v>
      </c>
      <c r="AA699" s="3327">
        <v>4098</v>
      </c>
      <c r="AB699" s="78">
        <f t="shared" si="1728"/>
        <v>56134</v>
      </c>
      <c r="AC699" s="3327">
        <v>3985</v>
      </c>
      <c r="AD699" s="1384">
        <f t="shared" si="1715"/>
        <v>12049</v>
      </c>
      <c r="AE699" s="1385">
        <f t="shared" si="1716"/>
        <v>30521</v>
      </c>
      <c r="AF699" s="686">
        <f t="shared" si="1729"/>
        <v>60119</v>
      </c>
    </row>
    <row r="700" spans="3:32" ht="35" customHeight="1" x14ac:dyDescent="0.25">
      <c r="C700" s="338"/>
      <c r="D700" s="8439"/>
      <c r="E700" s="160" t="s">
        <v>2049</v>
      </c>
      <c r="F700" s="3328">
        <v>0</v>
      </c>
      <c r="G700" s="3328">
        <v>92</v>
      </c>
      <c r="H700" s="252">
        <f t="shared" si="1717"/>
        <v>92</v>
      </c>
      <c r="I700" s="3328">
        <v>0</v>
      </c>
      <c r="J700" s="361">
        <f t="shared" si="1718"/>
        <v>92</v>
      </c>
      <c r="K700" s="3328"/>
      <c r="L700" s="360">
        <f t="shared" si="1719"/>
        <v>92</v>
      </c>
      <c r="M700" s="3328">
        <v>0</v>
      </c>
      <c r="N700" s="62">
        <f t="shared" si="1720"/>
        <v>92</v>
      </c>
      <c r="O700" s="3328">
        <v>0</v>
      </c>
      <c r="P700" s="63">
        <f t="shared" si="1721"/>
        <v>0</v>
      </c>
      <c r="Q700" s="362">
        <f t="shared" si="1722"/>
        <v>92</v>
      </c>
      <c r="R700" s="3328">
        <v>0</v>
      </c>
      <c r="S700" s="122">
        <f t="shared" si="1723"/>
        <v>92</v>
      </c>
      <c r="T700" s="3328">
        <v>0</v>
      </c>
      <c r="U700" s="122">
        <f t="shared" si="1724"/>
        <v>92</v>
      </c>
      <c r="V700" s="3328">
        <v>0</v>
      </c>
      <c r="W700" s="79">
        <f t="shared" si="1725"/>
        <v>0</v>
      </c>
      <c r="X700" s="78">
        <f t="shared" si="1726"/>
        <v>92</v>
      </c>
      <c r="Y700" s="3328">
        <v>0</v>
      </c>
      <c r="Z700" s="122">
        <f t="shared" si="1727"/>
        <v>92</v>
      </c>
      <c r="AA700" s="3328"/>
      <c r="AB700" s="78">
        <f t="shared" si="1728"/>
        <v>92</v>
      </c>
      <c r="AC700" s="3328">
        <v>160</v>
      </c>
      <c r="AD700" s="1384">
        <f t="shared" si="1715"/>
        <v>160</v>
      </c>
      <c r="AE700" s="1385">
        <f t="shared" si="1716"/>
        <v>160</v>
      </c>
      <c r="AF700" s="686">
        <f t="shared" si="1729"/>
        <v>252</v>
      </c>
    </row>
    <row r="701" spans="3:32" ht="35" customHeight="1" thickBot="1" x14ac:dyDescent="0.3">
      <c r="C701" s="338"/>
      <c r="D701" s="8439"/>
      <c r="E701" s="160" t="s">
        <v>358</v>
      </c>
      <c r="F701" s="3328">
        <v>34500</v>
      </c>
      <c r="G701" s="3328">
        <v>37357</v>
      </c>
      <c r="H701" s="360">
        <f t="shared" si="1717"/>
        <v>71857</v>
      </c>
      <c r="I701" s="3328">
        <v>40414</v>
      </c>
      <c r="J701" s="361">
        <f t="shared" si="1718"/>
        <v>112271</v>
      </c>
      <c r="K701" s="3328"/>
      <c r="L701" s="360">
        <f t="shared" si="1719"/>
        <v>112271</v>
      </c>
      <c r="M701" s="3328">
        <v>30381</v>
      </c>
      <c r="N701" s="62">
        <f t="shared" si="1720"/>
        <v>142652</v>
      </c>
      <c r="O701" s="3328">
        <v>33099</v>
      </c>
      <c r="P701" s="63">
        <f t="shared" si="1721"/>
        <v>63480</v>
      </c>
      <c r="Q701" s="362">
        <f t="shared" si="1722"/>
        <v>175751</v>
      </c>
      <c r="R701" s="3328">
        <v>31907</v>
      </c>
      <c r="S701" s="172">
        <f t="shared" si="1723"/>
        <v>207658</v>
      </c>
      <c r="T701" s="3328">
        <v>42822</v>
      </c>
      <c r="U701" s="172">
        <f t="shared" si="1724"/>
        <v>250480</v>
      </c>
      <c r="V701" s="3328">
        <v>45029</v>
      </c>
      <c r="W701" s="79">
        <f t="shared" si="1725"/>
        <v>119758</v>
      </c>
      <c r="X701" s="78">
        <f t="shared" si="1726"/>
        <v>295509</v>
      </c>
      <c r="Y701" s="3328">
        <v>44259</v>
      </c>
      <c r="Z701" s="172">
        <f t="shared" si="1727"/>
        <v>339768</v>
      </c>
      <c r="AA701" s="3328">
        <v>44213</v>
      </c>
      <c r="AB701" s="78">
        <f t="shared" si="1728"/>
        <v>383981</v>
      </c>
      <c r="AC701" s="3328">
        <v>43285</v>
      </c>
      <c r="AD701" s="1397">
        <f t="shared" si="1715"/>
        <v>131757</v>
      </c>
      <c r="AE701" s="1398">
        <f t="shared" si="1716"/>
        <v>251515</v>
      </c>
      <c r="AF701" s="669">
        <f t="shared" si="1729"/>
        <v>427266</v>
      </c>
    </row>
    <row r="702" spans="3:32" ht="35" customHeight="1" thickBot="1" x14ac:dyDescent="0.3">
      <c r="C702" s="338"/>
      <c r="D702" s="8439"/>
      <c r="E702" s="173" t="s">
        <v>97</v>
      </c>
      <c r="F702" s="177">
        <f t="shared" ref="F702:G702" si="1730">SUM(F692:F701)</f>
        <v>289324</v>
      </c>
      <c r="G702" s="177">
        <f t="shared" si="1730"/>
        <v>299773</v>
      </c>
      <c r="H702" s="459">
        <f t="shared" ref="H702:R702" si="1731">SUM(H692:H701)</f>
        <v>589097</v>
      </c>
      <c r="I702" s="177">
        <f t="shared" si="1731"/>
        <v>318015</v>
      </c>
      <c r="J702" s="270">
        <f t="shared" si="1731"/>
        <v>907112</v>
      </c>
      <c r="K702" s="177">
        <f t="shared" si="1731"/>
        <v>0</v>
      </c>
      <c r="L702" s="459">
        <f t="shared" si="1731"/>
        <v>907112</v>
      </c>
      <c r="M702" s="177">
        <f t="shared" ref="M702:O702" si="1732">SUM(M692:M701)</f>
        <v>390959</v>
      </c>
      <c r="N702" s="105">
        <f t="shared" si="1731"/>
        <v>1298071</v>
      </c>
      <c r="O702" s="177">
        <f t="shared" si="1732"/>
        <v>305110</v>
      </c>
      <c r="P702" s="106">
        <f t="shared" si="1731"/>
        <v>696069</v>
      </c>
      <c r="Q702" s="2148">
        <f t="shared" si="1731"/>
        <v>1603181</v>
      </c>
      <c r="R702" s="177">
        <f t="shared" si="1731"/>
        <v>327004</v>
      </c>
      <c r="S702" s="78">
        <f>SUM(Q702:R702)</f>
        <v>1930185</v>
      </c>
      <c r="T702" s="177">
        <f t="shared" ref="T702" si="1733">SUM(T692:T701)</f>
        <v>371422</v>
      </c>
      <c r="U702" s="78">
        <f>SUM(S702:T702)</f>
        <v>2301607</v>
      </c>
      <c r="V702" s="177">
        <f t="shared" ref="V702" si="1734">SUM(V692:V701)</f>
        <v>441723</v>
      </c>
      <c r="W702" s="106">
        <f>SUM(W692:W701)</f>
        <v>1140149</v>
      </c>
      <c r="X702" s="105">
        <f>SUM(X692:X701)</f>
        <v>2743330</v>
      </c>
      <c r="Y702" s="177">
        <f t="shared" ref="Y702" si="1735">SUM(Y692:Y701)</f>
        <v>418570</v>
      </c>
      <c r="Z702" s="78">
        <f>SUM(X702:Y702)</f>
        <v>3161900</v>
      </c>
      <c r="AA702" s="177">
        <f t="shared" ref="AA702" si="1736">SUM(AA692:AA701)</f>
        <v>417000</v>
      </c>
      <c r="AB702" s="105">
        <f>SUM(AB692:AB701)</f>
        <v>3578900</v>
      </c>
      <c r="AC702" s="177">
        <f t="shared" ref="AC702" si="1737">SUM(AC692:AC701)</f>
        <v>398372</v>
      </c>
      <c r="AD702" s="704">
        <f>+Y702+AA702+AC702</f>
        <v>1233942</v>
      </c>
      <c r="AE702" s="1385">
        <f>+W702+AD702</f>
        <v>2374091</v>
      </c>
      <c r="AF702" s="1381">
        <f>SUM(AF692:AF701)</f>
        <v>3977272</v>
      </c>
    </row>
    <row r="703" spans="3:32" ht="35" customHeight="1" x14ac:dyDescent="0.35">
      <c r="C703" s="338"/>
      <c r="D703" s="8437">
        <v>36.020000000000003</v>
      </c>
      <c r="E703" s="158" t="s">
        <v>154</v>
      </c>
      <c r="F703" s="3390"/>
      <c r="G703" s="3390"/>
      <c r="H703" s="3630"/>
      <c r="I703" s="3390"/>
      <c r="J703" s="3630"/>
      <c r="K703" s="3390"/>
      <c r="L703" s="3630"/>
      <c r="M703" s="3390"/>
      <c r="N703" s="145"/>
      <c r="O703" s="3390"/>
      <c r="P703" s="145"/>
      <c r="Q703" s="145"/>
      <c r="R703" s="3390"/>
      <c r="S703" s="145"/>
      <c r="T703" s="3390"/>
      <c r="U703" s="145"/>
      <c r="V703" s="3390"/>
      <c r="W703" s="145"/>
      <c r="X703" s="66"/>
      <c r="Y703" s="3390"/>
      <c r="Z703" s="145"/>
      <c r="AA703" s="3390"/>
      <c r="AB703" s="66"/>
      <c r="AC703" s="3390"/>
      <c r="AD703" s="170"/>
      <c r="AE703" s="1077"/>
      <c r="AF703" s="2490"/>
    </row>
    <row r="704" spans="3:32" ht="35" customHeight="1" x14ac:dyDescent="0.25">
      <c r="C704" s="338"/>
      <c r="D704" s="8437"/>
      <c r="E704" s="67" t="s">
        <v>155</v>
      </c>
      <c r="F704" s="3412">
        <f>+F702</f>
        <v>289324</v>
      </c>
      <c r="G704" s="3412">
        <f>+G702</f>
        <v>299773</v>
      </c>
      <c r="H704" s="363">
        <f t="shared" ref="H704:H712" si="1738">SUM(F704:G704)</f>
        <v>589097</v>
      </c>
      <c r="I704" s="3412">
        <f>+I702</f>
        <v>318015</v>
      </c>
      <c r="J704" s="304">
        <f t="shared" ref="J704:J712" si="1739">SUM(H704:I704)</f>
        <v>907112</v>
      </c>
      <c r="K704" s="3412">
        <f>+K702</f>
        <v>0</v>
      </c>
      <c r="L704" s="363">
        <f t="shared" ref="L704:L712" si="1740">SUM(J704:K704)</f>
        <v>907112</v>
      </c>
      <c r="M704" s="3412">
        <f>+M702</f>
        <v>390959</v>
      </c>
      <c r="N704" s="78">
        <f t="shared" ref="N704:N712" si="1741">SUM(L704:M704)</f>
        <v>1298071</v>
      </c>
      <c r="O704" s="3412">
        <f>+O702</f>
        <v>305110</v>
      </c>
      <c r="P704" s="79">
        <f t="shared" ref="P704:P712" si="1742">+K704+M704+O704</f>
        <v>696069</v>
      </c>
      <c r="Q704" s="2133">
        <f t="shared" ref="Q704:Q712" si="1743">+J704+P704</f>
        <v>1603181</v>
      </c>
      <c r="R704" s="3412">
        <f>+R702</f>
        <v>327004</v>
      </c>
      <c r="S704" s="122">
        <f t="shared" ref="S704:S713" si="1744">SUM(Q704:R704)</f>
        <v>1930185</v>
      </c>
      <c r="T704" s="3412">
        <f>+T702</f>
        <v>371422</v>
      </c>
      <c r="U704" s="122">
        <f>SUM(S704:T704)</f>
        <v>2301607</v>
      </c>
      <c r="V704" s="3412">
        <f>+V702</f>
        <v>441723</v>
      </c>
      <c r="W704" s="79">
        <f t="shared" ref="W704:W712" si="1745">+R704+T704+V704</f>
        <v>1140149</v>
      </c>
      <c r="X704" s="78">
        <f t="shared" ref="X704:X712" si="1746">+U704+V704</f>
        <v>2743330</v>
      </c>
      <c r="Y704" s="3412">
        <f>+Y702</f>
        <v>418570</v>
      </c>
      <c r="Z704" s="122">
        <f>SUM(X704:Y704)</f>
        <v>3161900</v>
      </c>
      <c r="AA704" s="3412">
        <f>+AA702</f>
        <v>417000</v>
      </c>
      <c r="AB704" s="78">
        <f>SUM(Z704:AA704)</f>
        <v>3578900</v>
      </c>
      <c r="AC704" s="3412">
        <f>+AC702</f>
        <v>398372</v>
      </c>
      <c r="AD704" s="713">
        <f t="shared" ref="AD704:AD713" si="1747">+Y704+AA704+AC704</f>
        <v>1233942</v>
      </c>
      <c r="AE704" s="1385">
        <f t="shared" ref="AE704:AE713" si="1748">+W704+AD704</f>
        <v>2374091</v>
      </c>
      <c r="AF704" s="686">
        <f>+AB704+AC704</f>
        <v>3977272</v>
      </c>
    </row>
    <row r="705" spans="1:38" ht="35" customHeight="1" x14ac:dyDescent="0.25">
      <c r="C705" s="338"/>
      <c r="D705" s="8437"/>
      <c r="E705" s="67" t="s">
        <v>225</v>
      </c>
      <c r="F705" s="3327">
        <v>3488</v>
      </c>
      <c r="G705" s="3327">
        <v>929</v>
      </c>
      <c r="H705" s="360">
        <f t="shared" si="1738"/>
        <v>4417</v>
      </c>
      <c r="I705" s="3327">
        <v>5447</v>
      </c>
      <c r="J705" s="361">
        <f t="shared" si="1739"/>
        <v>9864</v>
      </c>
      <c r="K705" s="3327"/>
      <c r="L705" s="360">
        <f t="shared" si="1740"/>
        <v>9864</v>
      </c>
      <c r="M705" s="3327">
        <v>7772</v>
      </c>
      <c r="N705" s="62">
        <f t="shared" si="1741"/>
        <v>17636</v>
      </c>
      <c r="O705" s="3327">
        <v>5715</v>
      </c>
      <c r="P705" s="63">
        <f t="shared" si="1742"/>
        <v>13487</v>
      </c>
      <c r="Q705" s="362">
        <f t="shared" si="1743"/>
        <v>23351</v>
      </c>
      <c r="R705" s="3327">
        <v>7781</v>
      </c>
      <c r="S705" s="122">
        <f t="shared" si="1744"/>
        <v>31132</v>
      </c>
      <c r="T705" s="3327">
        <v>10000</v>
      </c>
      <c r="U705" s="122">
        <f t="shared" ref="U705:U712" si="1749">SUM(S705:T705)</f>
        <v>41132</v>
      </c>
      <c r="V705" s="3327">
        <v>9194</v>
      </c>
      <c r="W705" s="79">
        <f t="shared" si="1745"/>
        <v>26975</v>
      </c>
      <c r="X705" s="78">
        <f t="shared" si="1746"/>
        <v>50326</v>
      </c>
      <c r="Y705" s="3327">
        <v>7287</v>
      </c>
      <c r="Z705" s="122">
        <f t="shared" ref="Z705:Z713" si="1750">SUM(X705:Y705)</f>
        <v>57613</v>
      </c>
      <c r="AA705" s="3327">
        <v>8097</v>
      </c>
      <c r="AB705" s="78">
        <f t="shared" ref="AB705:AB712" si="1751">SUM(Z705:AA705)</f>
        <v>65710</v>
      </c>
      <c r="AC705" s="3327">
        <v>4717</v>
      </c>
      <c r="AD705" s="713">
        <f t="shared" si="1747"/>
        <v>20101</v>
      </c>
      <c r="AE705" s="1385">
        <f t="shared" si="1748"/>
        <v>47076</v>
      </c>
      <c r="AF705" s="686">
        <f t="shared" ref="AF705:AF712" si="1752">+AB705+AC705</f>
        <v>70427</v>
      </c>
    </row>
    <row r="706" spans="1:38" ht="35" customHeight="1" x14ac:dyDescent="0.25">
      <c r="C706" s="338"/>
      <c r="D706" s="8437"/>
      <c r="E706" s="67" t="s">
        <v>1854</v>
      </c>
      <c r="F706" s="3327">
        <v>4166</v>
      </c>
      <c r="G706" s="3327">
        <v>2728</v>
      </c>
      <c r="H706" s="360">
        <f t="shared" si="1738"/>
        <v>6894</v>
      </c>
      <c r="I706" s="3327">
        <v>3400</v>
      </c>
      <c r="J706" s="304">
        <f t="shared" si="1739"/>
        <v>10294</v>
      </c>
      <c r="K706" s="3327"/>
      <c r="L706" s="363">
        <f t="shared" si="1740"/>
        <v>10294</v>
      </c>
      <c r="M706" s="3327">
        <v>6468</v>
      </c>
      <c r="N706" s="78">
        <f t="shared" si="1741"/>
        <v>16762</v>
      </c>
      <c r="O706" s="3327">
        <v>1945</v>
      </c>
      <c r="P706" s="63">
        <f t="shared" si="1742"/>
        <v>8413</v>
      </c>
      <c r="Q706" s="241">
        <f t="shared" si="1743"/>
        <v>18707</v>
      </c>
      <c r="R706" s="3327">
        <v>3388</v>
      </c>
      <c r="S706" s="122">
        <f t="shared" si="1744"/>
        <v>22095</v>
      </c>
      <c r="T706" s="3327">
        <v>4500</v>
      </c>
      <c r="U706" s="122">
        <f t="shared" si="1749"/>
        <v>26595</v>
      </c>
      <c r="V706" s="3327">
        <v>3517</v>
      </c>
      <c r="W706" s="79">
        <f t="shared" si="1745"/>
        <v>11405</v>
      </c>
      <c r="X706" s="78">
        <f t="shared" si="1746"/>
        <v>30112</v>
      </c>
      <c r="Y706" s="3327">
        <v>1615</v>
      </c>
      <c r="Z706" s="122">
        <f t="shared" si="1750"/>
        <v>31727</v>
      </c>
      <c r="AA706" s="3327">
        <v>0</v>
      </c>
      <c r="AB706" s="78">
        <f t="shared" si="1751"/>
        <v>31727</v>
      </c>
      <c r="AC706" s="3327">
        <v>1389</v>
      </c>
      <c r="AD706" s="713">
        <f t="shared" si="1747"/>
        <v>3004</v>
      </c>
      <c r="AE706" s="1385">
        <f t="shared" si="1748"/>
        <v>14409</v>
      </c>
      <c r="AF706" s="686">
        <f t="shared" si="1752"/>
        <v>33116</v>
      </c>
    </row>
    <row r="707" spans="1:38" ht="35" customHeight="1" x14ac:dyDescent="0.25">
      <c r="C707" s="338"/>
      <c r="D707" s="8437"/>
      <c r="E707" s="67" t="s">
        <v>156</v>
      </c>
      <c r="F707" s="3327">
        <v>3046</v>
      </c>
      <c r="G707" s="3327">
        <v>3133</v>
      </c>
      <c r="H707" s="360">
        <f t="shared" si="1738"/>
        <v>6179</v>
      </c>
      <c r="I707" s="3327">
        <v>3477</v>
      </c>
      <c r="J707" s="361">
        <f t="shared" si="1739"/>
        <v>9656</v>
      </c>
      <c r="K707" s="3327"/>
      <c r="L707" s="360">
        <f t="shared" si="1740"/>
        <v>9656</v>
      </c>
      <c r="M707" s="3327">
        <v>4591</v>
      </c>
      <c r="N707" s="62">
        <f t="shared" si="1741"/>
        <v>14247</v>
      </c>
      <c r="O707" s="3327">
        <v>4246</v>
      </c>
      <c r="P707" s="63">
        <f t="shared" si="1742"/>
        <v>8837</v>
      </c>
      <c r="Q707" s="362">
        <f t="shared" si="1743"/>
        <v>18493</v>
      </c>
      <c r="R707" s="3327">
        <v>5082</v>
      </c>
      <c r="S707" s="122">
        <f t="shared" si="1744"/>
        <v>23575</v>
      </c>
      <c r="T707" s="3327">
        <v>5292</v>
      </c>
      <c r="U707" s="122">
        <f t="shared" si="1749"/>
        <v>28867</v>
      </c>
      <c r="V707" s="3327">
        <v>5064</v>
      </c>
      <c r="W707" s="79">
        <f t="shared" si="1745"/>
        <v>15438</v>
      </c>
      <c r="X707" s="78">
        <f t="shared" si="1746"/>
        <v>33931</v>
      </c>
      <c r="Y707" s="3327">
        <v>4749</v>
      </c>
      <c r="Z707" s="122">
        <f t="shared" si="1750"/>
        <v>38680</v>
      </c>
      <c r="AA707" s="3327">
        <v>4460</v>
      </c>
      <c r="AB707" s="78">
        <f t="shared" si="1751"/>
        <v>43140</v>
      </c>
      <c r="AC707" s="3327">
        <v>4301</v>
      </c>
      <c r="AD707" s="713">
        <f t="shared" si="1747"/>
        <v>13510</v>
      </c>
      <c r="AE707" s="1385">
        <f t="shared" si="1748"/>
        <v>28948</v>
      </c>
      <c r="AF707" s="686">
        <f t="shared" si="1752"/>
        <v>47441</v>
      </c>
    </row>
    <row r="708" spans="1:38" ht="35" customHeight="1" x14ac:dyDescent="0.25">
      <c r="C708" s="338"/>
      <c r="D708" s="8437"/>
      <c r="E708" s="67" t="s">
        <v>226</v>
      </c>
      <c r="F708" s="3327">
        <v>1216</v>
      </c>
      <c r="G708" s="3327">
        <v>1518</v>
      </c>
      <c r="H708" s="360">
        <f t="shared" si="1738"/>
        <v>2734</v>
      </c>
      <c r="I708" s="3327">
        <v>3347</v>
      </c>
      <c r="J708" s="361">
        <f t="shared" si="1739"/>
        <v>6081</v>
      </c>
      <c r="K708" s="3327"/>
      <c r="L708" s="360">
        <f t="shared" si="1740"/>
        <v>6081</v>
      </c>
      <c r="M708" s="3327">
        <v>7299</v>
      </c>
      <c r="N708" s="62">
        <f t="shared" si="1741"/>
        <v>13380</v>
      </c>
      <c r="O708" s="3327">
        <v>5145</v>
      </c>
      <c r="P708" s="63">
        <f t="shared" si="1742"/>
        <v>12444</v>
      </c>
      <c r="Q708" s="258">
        <f t="shared" si="1743"/>
        <v>18525</v>
      </c>
      <c r="R708" s="3327">
        <v>8883</v>
      </c>
      <c r="S708" s="122">
        <f t="shared" si="1744"/>
        <v>27408</v>
      </c>
      <c r="T708" s="3327">
        <v>8500</v>
      </c>
      <c r="U708" s="122">
        <f t="shared" si="1749"/>
        <v>35908</v>
      </c>
      <c r="V708" s="3327">
        <v>8477</v>
      </c>
      <c r="W708" s="79">
        <f t="shared" si="1745"/>
        <v>25860</v>
      </c>
      <c r="X708" s="78">
        <f t="shared" si="1746"/>
        <v>44385</v>
      </c>
      <c r="Y708" s="3327">
        <v>5569</v>
      </c>
      <c r="Z708" s="122">
        <f t="shared" si="1750"/>
        <v>49954</v>
      </c>
      <c r="AA708" s="3327">
        <v>4268</v>
      </c>
      <c r="AB708" s="78">
        <f t="shared" si="1751"/>
        <v>54222</v>
      </c>
      <c r="AC708" s="3327">
        <v>3700</v>
      </c>
      <c r="AD708" s="713">
        <f t="shared" si="1747"/>
        <v>13537</v>
      </c>
      <c r="AE708" s="1385">
        <f t="shared" si="1748"/>
        <v>39397</v>
      </c>
      <c r="AF708" s="686">
        <f t="shared" si="1752"/>
        <v>57922</v>
      </c>
    </row>
    <row r="709" spans="1:38" ht="35" customHeight="1" x14ac:dyDescent="0.25">
      <c r="C709" s="338"/>
      <c r="D709" s="8437"/>
      <c r="E709" s="483" t="s">
        <v>220</v>
      </c>
      <c r="F709" s="3321">
        <v>18823.12</v>
      </c>
      <c r="G709" s="3321">
        <v>19121.600000000002</v>
      </c>
      <c r="H709" s="296">
        <f t="shared" ref="H709" si="1753">SUM(F709:G709)</f>
        <v>37944.720000000001</v>
      </c>
      <c r="I709" s="3321">
        <v>20843.28</v>
      </c>
      <c r="J709" s="313">
        <f t="shared" ref="J709" si="1754">SUM(H709:I709)</f>
        <v>58788</v>
      </c>
      <c r="K709" s="3321"/>
      <c r="L709" s="296">
        <f t="shared" ref="L709" si="1755">SUM(J709:K709)</f>
        <v>58788</v>
      </c>
      <c r="M709" s="3321">
        <v>26870</v>
      </c>
      <c r="N709" s="122">
        <f t="shared" ref="N709" si="1756">SUM(L709:M709)</f>
        <v>85658</v>
      </c>
      <c r="O709" s="3321">
        <v>19895.28</v>
      </c>
      <c r="P709" s="74">
        <f t="shared" ref="P709" si="1757">+K709+M709+O709</f>
        <v>46765.279999999999</v>
      </c>
      <c r="Q709" s="2133">
        <f t="shared" ref="Q709" si="1758">+J709+P709</f>
        <v>105553.28</v>
      </c>
      <c r="R709" s="3321">
        <v>22103.360000000001</v>
      </c>
      <c r="S709" s="122">
        <f t="shared" ref="S709" si="1759">SUM(Q709:R709)</f>
        <v>127656.64</v>
      </c>
      <c r="T709" s="3321">
        <v>24874.16</v>
      </c>
      <c r="U709" s="122">
        <f t="shared" ref="U709" si="1760">SUM(S709:T709)</f>
        <v>152530.79999999999</v>
      </c>
      <c r="V709" s="3321">
        <v>29332.080000000002</v>
      </c>
      <c r="W709" s="79">
        <f t="shared" si="1745"/>
        <v>76309.600000000006</v>
      </c>
      <c r="X709" s="78">
        <f t="shared" si="1746"/>
        <v>181862.88</v>
      </c>
      <c r="Y709" s="3321">
        <v>27765.200000000001</v>
      </c>
      <c r="Z709" s="122">
        <f t="shared" si="1750"/>
        <v>209628.08000000002</v>
      </c>
      <c r="AA709" s="3321">
        <v>27280.959999999999</v>
      </c>
      <c r="AB709" s="78">
        <f t="shared" si="1751"/>
        <v>236909.04</v>
      </c>
      <c r="AC709" s="3321">
        <v>25600.16</v>
      </c>
      <c r="AD709" s="713">
        <f t="shared" ref="AD709" si="1761">+Y709+AA709+AC709</f>
        <v>80646.320000000007</v>
      </c>
      <c r="AE709" s="1385">
        <f t="shared" ref="AE709" si="1762">+W709+AD709</f>
        <v>156955.92000000001</v>
      </c>
      <c r="AF709" s="686">
        <f t="shared" si="1752"/>
        <v>262509.2</v>
      </c>
    </row>
    <row r="710" spans="1:38" ht="35" customHeight="1" x14ac:dyDescent="0.25">
      <c r="C710" s="338"/>
      <c r="D710" s="8437"/>
      <c r="E710" s="67" t="s">
        <v>357</v>
      </c>
      <c r="F710" s="3262">
        <v>51283</v>
      </c>
      <c r="G710" s="3262">
        <v>50232</v>
      </c>
      <c r="H710" s="296">
        <f t="shared" si="1738"/>
        <v>101515</v>
      </c>
      <c r="I710" s="3262">
        <v>54507</v>
      </c>
      <c r="J710" s="313">
        <f t="shared" si="1739"/>
        <v>156022</v>
      </c>
      <c r="K710" s="3262"/>
      <c r="L710" s="296">
        <f t="shared" si="1740"/>
        <v>156022</v>
      </c>
      <c r="M710" s="3262">
        <v>70533.75</v>
      </c>
      <c r="N710" s="122">
        <f t="shared" si="1741"/>
        <v>226555.75</v>
      </c>
      <c r="O710" s="3262">
        <v>53543</v>
      </c>
      <c r="P710" s="74">
        <f t="shared" si="1742"/>
        <v>124076.75</v>
      </c>
      <c r="Q710" s="2133">
        <f t="shared" si="1743"/>
        <v>280098.75</v>
      </c>
      <c r="R710" s="3262">
        <v>56400</v>
      </c>
      <c r="S710" s="122">
        <f t="shared" si="1744"/>
        <v>336498.75</v>
      </c>
      <c r="T710" s="3262">
        <v>63141.740000000005</v>
      </c>
      <c r="U710" s="122">
        <f t="shared" si="1749"/>
        <v>399640.49</v>
      </c>
      <c r="V710" s="3262">
        <v>76996.709999999992</v>
      </c>
      <c r="W710" s="79">
        <f t="shared" si="1745"/>
        <v>196538.45</v>
      </c>
      <c r="X710" s="78">
        <f t="shared" si="1746"/>
        <v>476637.19999999995</v>
      </c>
      <c r="Y710" s="3262">
        <v>75666</v>
      </c>
      <c r="Z710" s="122">
        <f t="shared" si="1750"/>
        <v>552303.19999999995</v>
      </c>
      <c r="AA710" s="3262">
        <v>71612.52</v>
      </c>
      <c r="AB710" s="78">
        <f t="shared" si="1751"/>
        <v>623915.72</v>
      </c>
      <c r="AC710" s="3262">
        <v>61976.762199999997</v>
      </c>
      <c r="AD710" s="713">
        <f t="shared" si="1747"/>
        <v>209255.28220000002</v>
      </c>
      <c r="AE710" s="1385">
        <f t="shared" si="1748"/>
        <v>405793.73220000003</v>
      </c>
      <c r="AF710" s="686">
        <f t="shared" si="1752"/>
        <v>685892.48219999997</v>
      </c>
    </row>
    <row r="711" spans="1:38" ht="35" customHeight="1" x14ac:dyDescent="0.25">
      <c r="C711" s="338"/>
      <c r="D711" s="8437"/>
      <c r="E711" s="162" t="s">
        <v>1878</v>
      </c>
      <c r="F711" s="3326">
        <v>1431</v>
      </c>
      <c r="G711" s="3326">
        <v>2350</v>
      </c>
      <c r="H711" s="296">
        <f t="shared" si="1738"/>
        <v>3781</v>
      </c>
      <c r="I711" s="3326">
        <v>2000</v>
      </c>
      <c r="J711" s="313">
        <f t="shared" si="1739"/>
        <v>5781</v>
      </c>
      <c r="K711" s="3326"/>
      <c r="L711" s="296">
        <f t="shared" si="1740"/>
        <v>5781</v>
      </c>
      <c r="M711" s="3326"/>
      <c r="N711" s="122"/>
      <c r="O711" s="3326"/>
      <c r="P711" s="74"/>
      <c r="Q711" s="2133"/>
      <c r="R711" s="3326"/>
      <c r="S711" s="95"/>
      <c r="T711" s="3326"/>
      <c r="U711" s="95"/>
      <c r="V711" s="3326"/>
      <c r="W711" s="79"/>
      <c r="X711" s="78"/>
      <c r="Y711" s="3326"/>
      <c r="Z711" s="95"/>
      <c r="AA711" s="3326"/>
      <c r="AB711" s="78"/>
      <c r="AC711" s="3326"/>
      <c r="AD711" s="874"/>
      <c r="AE711" s="1401"/>
      <c r="AF711" s="669"/>
      <c r="AG711" s="5164"/>
      <c r="AH711" s="5164"/>
      <c r="AI711" s="5164"/>
      <c r="AJ711" s="5164"/>
      <c r="AK711" s="5164"/>
      <c r="AL711" s="5164"/>
    </row>
    <row r="712" spans="1:38" ht="35" customHeight="1" thickBot="1" x14ac:dyDescent="0.3">
      <c r="C712" s="338"/>
      <c r="D712" s="8437"/>
      <c r="E712" s="162" t="s">
        <v>221</v>
      </c>
      <c r="F712" s="3326">
        <v>9411.56</v>
      </c>
      <c r="G712" s="3326">
        <v>9560.8000000000011</v>
      </c>
      <c r="H712" s="296">
        <f t="shared" si="1738"/>
        <v>18972.36</v>
      </c>
      <c r="I712" s="3326">
        <v>10421.64</v>
      </c>
      <c r="J712" s="313">
        <f t="shared" si="1739"/>
        <v>29394</v>
      </c>
      <c r="K712" s="3326"/>
      <c r="L712" s="296">
        <f t="shared" si="1740"/>
        <v>29394</v>
      </c>
      <c r="M712" s="3326">
        <v>13435</v>
      </c>
      <c r="N712" s="122">
        <f t="shared" si="1741"/>
        <v>42829</v>
      </c>
      <c r="O712" s="3326">
        <v>9947.64</v>
      </c>
      <c r="P712" s="74">
        <f t="shared" si="1742"/>
        <v>23382.639999999999</v>
      </c>
      <c r="Q712" s="2133">
        <f t="shared" si="1743"/>
        <v>52776.639999999999</v>
      </c>
      <c r="R712" s="3326">
        <v>11051.68</v>
      </c>
      <c r="S712" s="128">
        <f t="shared" si="1744"/>
        <v>63828.32</v>
      </c>
      <c r="T712" s="3326">
        <v>12437.08</v>
      </c>
      <c r="U712" s="128">
        <f t="shared" si="1749"/>
        <v>76265.399999999994</v>
      </c>
      <c r="V712" s="3326">
        <v>14666.04</v>
      </c>
      <c r="W712" s="79">
        <f t="shared" si="1745"/>
        <v>38154.800000000003</v>
      </c>
      <c r="X712" s="78">
        <f t="shared" si="1746"/>
        <v>90931.44</v>
      </c>
      <c r="Y712" s="3326">
        <v>13882.6</v>
      </c>
      <c r="Z712" s="128">
        <f t="shared" si="1750"/>
        <v>104814.04000000001</v>
      </c>
      <c r="AA712" s="3326">
        <v>13640.48</v>
      </c>
      <c r="AB712" s="78">
        <f t="shared" si="1751"/>
        <v>118454.52</v>
      </c>
      <c r="AC712" s="3326">
        <v>12800.08</v>
      </c>
      <c r="AD712" s="1399">
        <f t="shared" si="1747"/>
        <v>40323.160000000003</v>
      </c>
      <c r="AE712" s="1398">
        <f t="shared" si="1748"/>
        <v>78477.960000000006</v>
      </c>
      <c r="AF712" s="669">
        <f t="shared" si="1752"/>
        <v>131254.6</v>
      </c>
    </row>
    <row r="713" spans="1:38" ht="35" customHeight="1" x14ac:dyDescent="0.25">
      <c r="C713" s="338"/>
      <c r="D713" s="8437"/>
      <c r="E713" s="176" t="s">
        <v>97</v>
      </c>
      <c r="F713" s="177">
        <f>SUM(F704:F712)</f>
        <v>382188.68</v>
      </c>
      <c r="G713" s="177">
        <f t="shared" ref="G713:I713" si="1763">SUM(G704:G712)</f>
        <v>389345.39999999997</v>
      </c>
      <c r="H713" s="459">
        <f t="shared" ref="H713:R713" si="1764">SUM(H704:H712)</f>
        <v>771534.08</v>
      </c>
      <c r="I713" s="177">
        <f t="shared" si="1763"/>
        <v>421457.92000000004</v>
      </c>
      <c r="J713" s="270">
        <f t="shared" si="1764"/>
        <v>1192992</v>
      </c>
      <c r="K713" s="177">
        <f t="shared" si="1764"/>
        <v>0</v>
      </c>
      <c r="L713" s="459">
        <f t="shared" si="1764"/>
        <v>1192992</v>
      </c>
      <c r="M713" s="177">
        <f t="shared" ref="M713" si="1765">SUM(M704:M712)</f>
        <v>527927.75</v>
      </c>
      <c r="N713" s="105">
        <f t="shared" si="1764"/>
        <v>1715138.75</v>
      </c>
      <c r="O713" s="177">
        <f t="shared" si="1764"/>
        <v>405546.92000000004</v>
      </c>
      <c r="P713" s="106">
        <f t="shared" si="1764"/>
        <v>933474.67</v>
      </c>
      <c r="Q713" s="2148">
        <f t="shared" si="1764"/>
        <v>2120685.67</v>
      </c>
      <c r="R713" s="177">
        <f t="shared" si="1764"/>
        <v>441693.04</v>
      </c>
      <c r="S713" s="78">
        <f t="shared" si="1744"/>
        <v>2562378.71</v>
      </c>
      <c r="T713" s="177">
        <f t="shared" ref="T713" si="1766">SUM(T704:T712)</f>
        <v>500166.98</v>
      </c>
      <c r="U713" s="78">
        <f>SUM(S713:T713)</f>
        <v>3062545.69</v>
      </c>
      <c r="V713" s="177">
        <f t="shared" ref="V713" si="1767">SUM(V704:V712)</f>
        <v>588969.83000000007</v>
      </c>
      <c r="W713" s="106">
        <f>SUM(W704:W712)</f>
        <v>1530829.85</v>
      </c>
      <c r="X713" s="105">
        <f>SUM(X704:X712)</f>
        <v>3651515.52</v>
      </c>
      <c r="Y713" s="177">
        <f t="shared" ref="Y713" si="1768">SUM(Y704:Y712)</f>
        <v>555103.79999999993</v>
      </c>
      <c r="Z713" s="78">
        <f t="shared" si="1750"/>
        <v>4206619.32</v>
      </c>
      <c r="AA713" s="177">
        <f t="shared" ref="AA713" si="1769">SUM(AA704:AA712)</f>
        <v>546358.96</v>
      </c>
      <c r="AB713" s="105">
        <f>SUM(AB704:AB712)</f>
        <v>4752978.2799999993</v>
      </c>
      <c r="AC713" s="177">
        <f t="shared" ref="AC713" si="1770">SUM(AC704:AC712)</f>
        <v>512856.00219999999</v>
      </c>
      <c r="AD713" s="1422">
        <f t="shared" si="1747"/>
        <v>1614318.7621999998</v>
      </c>
      <c r="AE713" s="2516">
        <f t="shared" si="1748"/>
        <v>3145148.6121999999</v>
      </c>
      <c r="AF713" s="2545">
        <f>SUM(AF704:AF712)</f>
        <v>5265834.2821999993</v>
      </c>
    </row>
    <row r="714" spans="1:38" ht="35" customHeight="1" x14ac:dyDescent="0.35">
      <c r="C714" s="338"/>
      <c r="D714" s="8437">
        <v>36.03</v>
      </c>
      <c r="E714" s="158" t="s">
        <v>222</v>
      </c>
      <c r="F714" s="3390"/>
      <c r="G714" s="3390"/>
      <c r="H714" s="3767"/>
      <c r="I714" s="3390"/>
      <c r="J714" s="3768"/>
      <c r="K714" s="3390"/>
      <c r="L714" s="3768"/>
      <c r="M714" s="3390"/>
      <c r="N714" s="66"/>
      <c r="O714" s="3390"/>
      <c r="P714" s="170"/>
      <c r="Q714" s="66"/>
      <c r="R714" s="3390"/>
      <c r="S714" s="66"/>
      <c r="T714" s="3390"/>
      <c r="U714" s="66"/>
      <c r="V714" s="3390"/>
      <c r="W714" s="66"/>
      <c r="X714" s="66"/>
      <c r="Y714" s="3390"/>
      <c r="Z714" s="66"/>
      <c r="AA714" s="3390"/>
      <c r="AB714" s="66"/>
      <c r="AC714" s="3390"/>
      <c r="AD714" s="170"/>
      <c r="AE714" s="986"/>
      <c r="AF714" s="2490"/>
    </row>
    <row r="715" spans="1:38" ht="35" customHeight="1" x14ac:dyDescent="0.25">
      <c r="C715" s="338"/>
      <c r="D715" s="8437"/>
      <c r="E715" s="67" t="s">
        <v>157</v>
      </c>
      <c r="F715" s="3262">
        <v>122801</v>
      </c>
      <c r="G715" s="3262">
        <v>120567</v>
      </c>
      <c r="H715" s="360">
        <f>SUM(F715:G715)</f>
        <v>243368</v>
      </c>
      <c r="I715" s="3262">
        <v>132342</v>
      </c>
      <c r="J715" s="304">
        <f>SUM(H715:I715)</f>
        <v>375710</v>
      </c>
      <c r="K715" s="3262"/>
      <c r="L715" s="363">
        <f>SUM(J715:K715)</f>
        <v>375710</v>
      </c>
      <c r="M715" s="3327">
        <v>163789</v>
      </c>
      <c r="N715" s="78">
        <f>SUM(L715:M715)</f>
        <v>539499</v>
      </c>
      <c r="O715" s="3327">
        <v>110008</v>
      </c>
      <c r="P715" s="63">
        <f>+K715+M715+O715</f>
        <v>273797</v>
      </c>
      <c r="Q715" s="2133">
        <f>+J715+P715</f>
        <v>649507</v>
      </c>
      <c r="R715" s="3262">
        <v>145292</v>
      </c>
      <c r="S715" s="122">
        <f>SUM(Q715:R715)</f>
        <v>794799</v>
      </c>
      <c r="T715" s="3262">
        <v>168928</v>
      </c>
      <c r="U715" s="122">
        <f>SUM(S715:T715)</f>
        <v>963727</v>
      </c>
      <c r="V715" s="3262">
        <v>185172</v>
      </c>
      <c r="W715" s="79">
        <f>+R715+T715+V715</f>
        <v>499392</v>
      </c>
      <c r="X715" s="78">
        <f>+U715+V715</f>
        <v>1148899</v>
      </c>
      <c r="Y715" s="3262">
        <v>174642</v>
      </c>
      <c r="Z715" s="122">
        <f>SUM(X715:Y715)</f>
        <v>1323541</v>
      </c>
      <c r="AA715" s="3262">
        <v>174273</v>
      </c>
      <c r="AB715" s="78">
        <f>SUM(Z715:AA715)</f>
        <v>1497814</v>
      </c>
      <c r="AC715" s="3262">
        <v>157635</v>
      </c>
      <c r="AD715" s="1384">
        <f t="shared" ref="AD715:AD717" si="1771">+Y715+AA715+AC715</f>
        <v>506550</v>
      </c>
      <c r="AE715" s="1385">
        <f t="shared" ref="AE715:AE717" si="1772">+W715+AD715</f>
        <v>1005942</v>
      </c>
      <c r="AF715" s="686">
        <f>+AB715+AC715</f>
        <v>1655449</v>
      </c>
    </row>
    <row r="716" spans="1:38" ht="35" customHeight="1" thickBot="1" x14ac:dyDescent="0.3">
      <c r="C716" s="338"/>
      <c r="D716" s="8437"/>
      <c r="E716" s="160" t="s">
        <v>337</v>
      </c>
      <c r="F716" s="3324">
        <v>112488</v>
      </c>
      <c r="G716" s="3324">
        <v>118453</v>
      </c>
      <c r="H716" s="360">
        <f>SUM(F716:G716)</f>
        <v>230941</v>
      </c>
      <c r="I716" s="3324">
        <v>128199</v>
      </c>
      <c r="J716" s="304">
        <f>SUM(H716:I716)</f>
        <v>359140</v>
      </c>
      <c r="K716" s="3324"/>
      <c r="L716" s="363">
        <f>SUM(J716:K716)</f>
        <v>359140</v>
      </c>
      <c r="M716" s="3328">
        <v>172086</v>
      </c>
      <c r="N716" s="78">
        <f>SUM(L716:M716)</f>
        <v>531226</v>
      </c>
      <c r="O716" s="3328">
        <v>138683</v>
      </c>
      <c r="P716" s="63">
        <f>+K716+M716+O716</f>
        <v>310769</v>
      </c>
      <c r="Q716" s="241">
        <f>+J716+P716</f>
        <v>669909</v>
      </c>
      <c r="R716" s="3324">
        <v>131000</v>
      </c>
      <c r="S716" s="128">
        <f>SUM(Q716:R716)</f>
        <v>800909</v>
      </c>
      <c r="T716" s="3324">
        <v>141999</v>
      </c>
      <c r="U716" s="128">
        <f>SUM(S716:T716)</f>
        <v>942908</v>
      </c>
      <c r="V716" s="3324">
        <v>181479</v>
      </c>
      <c r="W716" s="79">
        <f>+R716+T716+V716</f>
        <v>454478</v>
      </c>
      <c r="X716" s="78">
        <f>+U716+V716</f>
        <v>1124387</v>
      </c>
      <c r="Y716" s="3324">
        <v>172423</v>
      </c>
      <c r="Z716" s="128">
        <f>SUM(X716:Y716)</f>
        <v>1296810</v>
      </c>
      <c r="AA716" s="3324">
        <v>166739</v>
      </c>
      <c r="AB716" s="78">
        <f>SUM(Z716:AA716)</f>
        <v>1463549</v>
      </c>
      <c r="AC716" s="3324">
        <v>162367</v>
      </c>
      <c r="AD716" s="1400">
        <f t="shared" si="1771"/>
        <v>501529</v>
      </c>
      <c r="AE716" s="1401">
        <f t="shared" si="1772"/>
        <v>956007</v>
      </c>
      <c r="AF716" s="686">
        <f>+AB716+AC716</f>
        <v>1625916</v>
      </c>
    </row>
    <row r="717" spans="1:38" ht="35" customHeight="1" thickBot="1" x14ac:dyDescent="0.3">
      <c r="A717" s="2" t="s">
        <v>461</v>
      </c>
      <c r="B717" s="2">
        <f>+J692/J717</f>
        <v>0.84569640062597806</v>
      </c>
      <c r="C717" s="338"/>
      <c r="D717" s="8437"/>
      <c r="E717" s="180" t="s">
        <v>97</v>
      </c>
      <c r="F717" s="2761">
        <f t="shared" ref="F717:G717" si="1773">SUM(F715:F716)</f>
        <v>235289</v>
      </c>
      <c r="G717" s="2761">
        <f t="shared" si="1773"/>
        <v>239020</v>
      </c>
      <c r="H717" s="3559">
        <f t="shared" ref="H717:R717" si="1774">SUM(H715:H716)</f>
        <v>474309</v>
      </c>
      <c r="I717" s="2761">
        <f t="shared" si="1774"/>
        <v>260541</v>
      </c>
      <c r="J717" s="3501">
        <f>SUM(H717:I717)</f>
        <v>734850</v>
      </c>
      <c r="K717" s="2761">
        <f t="shared" ref="K717" si="1775">SUM(K715:K716)</f>
        <v>0</v>
      </c>
      <c r="L717" s="3559">
        <f t="shared" si="1774"/>
        <v>734850</v>
      </c>
      <c r="M717" s="2761">
        <f t="shared" ref="M717" si="1776">SUM(M715:M716)</f>
        <v>335875</v>
      </c>
      <c r="N717" s="395">
        <f t="shared" si="1774"/>
        <v>1070725</v>
      </c>
      <c r="O717" s="2761">
        <f t="shared" si="1774"/>
        <v>248691</v>
      </c>
      <c r="P717" s="396">
        <f t="shared" si="1774"/>
        <v>584566</v>
      </c>
      <c r="Q717" s="2149">
        <f t="shared" si="1774"/>
        <v>1319416</v>
      </c>
      <c r="R717" s="2761">
        <f t="shared" si="1774"/>
        <v>276292</v>
      </c>
      <c r="S717" s="395">
        <f>SUM(Q717:R717)</f>
        <v>1595708</v>
      </c>
      <c r="T717" s="2761">
        <f t="shared" ref="T717" si="1777">SUM(T715:T716)</f>
        <v>310927</v>
      </c>
      <c r="U717" s="395">
        <f>SUM(S717:T717)</f>
        <v>1906635</v>
      </c>
      <c r="V717" s="2761">
        <f t="shared" ref="V717" si="1778">SUM(V715:V716)</f>
        <v>366651</v>
      </c>
      <c r="W717" s="396">
        <f>SUM(W715:W716)</f>
        <v>953870</v>
      </c>
      <c r="X717" s="395">
        <f>SUM(X715:X716)</f>
        <v>2273286</v>
      </c>
      <c r="Y717" s="2761">
        <f t="shared" ref="Y717" si="1779">SUM(Y715:Y716)</f>
        <v>347065</v>
      </c>
      <c r="Z717" s="395">
        <f>SUM(X717:Y717)</f>
        <v>2620351</v>
      </c>
      <c r="AA717" s="2761">
        <f t="shared" ref="AA717" si="1780">SUM(AA715:AA716)</f>
        <v>341012</v>
      </c>
      <c r="AB717" s="71">
        <f>SUM(AB715:AB716)</f>
        <v>2961363</v>
      </c>
      <c r="AC717" s="2761">
        <f t="shared" ref="AC717" si="1781">SUM(AC715:AC716)</f>
        <v>320002</v>
      </c>
      <c r="AD717" s="1387">
        <f t="shared" si="1771"/>
        <v>1008079</v>
      </c>
      <c r="AE717" s="1380">
        <f t="shared" si="1772"/>
        <v>1961949</v>
      </c>
      <c r="AF717" s="1381">
        <f>SUM(AF715:AF716)</f>
        <v>3281365</v>
      </c>
    </row>
    <row r="718" spans="1:38" ht="35" customHeight="1" thickBot="1" x14ac:dyDescent="0.3">
      <c r="A718" s="2" t="s">
        <v>458</v>
      </c>
      <c r="B718" s="2">
        <f>+J693/J717</f>
        <v>4.1754099476083557E-2</v>
      </c>
      <c r="C718" s="338"/>
      <c r="D718" s="2441"/>
      <c r="E718" s="397" t="s">
        <v>314</v>
      </c>
      <c r="F718" s="3329">
        <v>35293.35</v>
      </c>
      <c r="G718" s="3329">
        <v>35853</v>
      </c>
      <c r="H718" s="250">
        <f>SUM(F718:G718)</f>
        <v>71146.350000000006</v>
      </c>
      <c r="I718" s="3329">
        <v>39081.15</v>
      </c>
      <c r="J718" s="249">
        <f>SUM(H718:I718)</f>
        <v>110227.5</v>
      </c>
      <c r="K718" s="3329"/>
      <c r="L718" s="250">
        <f>SUM(J718:K718)</f>
        <v>110227.5</v>
      </c>
      <c r="M718" s="3329">
        <v>50381.25</v>
      </c>
      <c r="N718" s="77">
        <f>SUM(L718:M718)</f>
        <v>160608.75</v>
      </c>
      <c r="O718" s="3329">
        <v>37303.65</v>
      </c>
      <c r="P718" s="76">
        <f>+K718+M718+O718</f>
        <v>87684.9</v>
      </c>
      <c r="Q718" s="236">
        <f>+J718+P718</f>
        <v>197912.4</v>
      </c>
      <c r="R718" s="3329">
        <v>41443.799999999996</v>
      </c>
      <c r="S718" s="77">
        <f>SUM(Q718:R718)</f>
        <v>239356.19999999998</v>
      </c>
      <c r="T718" s="3329">
        <v>46639.049999999996</v>
      </c>
      <c r="U718" s="77">
        <f>SUM(S718:T718)</f>
        <v>285995.25</v>
      </c>
      <c r="V718" s="3329">
        <v>54997.65</v>
      </c>
      <c r="W718" s="72">
        <f>+R718+T718+V718</f>
        <v>143080.5</v>
      </c>
      <c r="X718" s="77">
        <f>+U718+V718</f>
        <v>340992.9</v>
      </c>
      <c r="Y718" s="3329">
        <v>52059.75</v>
      </c>
      <c r="Z718" s="77">
        <f>SUM(X718:Y718)</f>
        <v>393052.65</v>
      </c>
      <c r="AA718" s="3329">
        <v>51151.799999999996</v>
      </c>
      <c r="AB718" s="77">
        <f>SUM(Z718:AA718)</f>
        <v>444204.45</v>
      </c>
      <c r="AC718" s="3329">
        <v>48000.299999999996</v>
      </c>
      <c r="AD718" s="704">
        <f t="shared" ref="AD718" si="1782">+Y718+AA718+AC718</f>
        <v>151211.84999999998</v>
      </c>
      <c r="AE718" s="1380">
        <f t="shared" ref="AE718" si="1783">+W718+AD718</f>
        <v>294292.34999999998</v>
      </c>
      <c r="AF718" s="686">
        <f>+AB718+AC718</f>
        <v>492204.75</v>
      </c>
    </row>
    <row r="719" spans="1:38" s="3170" customFormat="1" ht="35" customHeight="1" x14ac:dyDescent="0.35">
      <c r="A719" s="3170" t="s">
        <v>459</v>
      </c>
      <c r="B719" s="3170">
        <f>+J694/J717</f>
        <v>8.9958494930938285E-2</v>
      </c>
      <c r="C719" s="4215"/>
      <c r="D719" s="8424">
        <v>36.04</v>
      </c>
      <c r="E719" s="4327" t="s">
        <v>158</v>
      </c>
      <c r="F719" s="4627"/>
      <c r="G719" s="4627"/>
      <c r="H719" s="3709"/>
      <c r="I719" s="4627"/>
      <c r="J719" s="3709"/>
      <c r="K719" s="4627"/>
      <c r="L719" s="3709"/>
      <c r="M719" s="4627"/>
      <c r="N719" s="3709"/>
      <c r="O719" s="4627"/>
      <c r="P719" s="3709"/>
      <c r="Q719" s="3709"/>
      <c r="R719" s="4627"/>
      <c r="S719" s="3709"/>
      <c r="T719" s="4627"/>
      <c r="U719" s="3709"/>
      <c r="V719" s="4627"/>
      <c r="W719" s="4628"/>
      <c r="X719" s="4628"/>
      <c r="Y719" s="4627"/>
      <c r="Z719" s="3709"/>
      <c r="AA719" s="4627"/>
      <c r="AB719" s="4628"/>
      <c r="AC719" s="4627"/>
      <c r="AD719" s="4628"/>
      <c r="AE719" s="4320"/>
      <c r="AF719" s="4629"/>
      <c r="AG719" s="4756"/>
      <c r="AH719" s="4756"/>
      <c r="AI719" s="4756"/>
      <c r="AJ719" s="4756"/>
      <c r="AK719" s="4756"/>
      <c r="AL719" s="4756"/>
    </row>
    <row r="720" spans="1:38" ht="35" customHeight="1" x14ac:dyDescent="0.25">
      <c r="A720" s="2" t="s">
        <v>460</v>
      </c>
      <c r="B720" s="2">
        <f>+J695/J717</f>
        <v>5.4743144859495135E-2</v>
      </c>
      <c r="C720" s="338"/>
      <c r="D720" s="8425"/>
      <c r="E720" s="157" t="s">
        <v>313</v>
      </c>
      <c r="F720" s="547">
        <f t="shared" ref="F720:G720" si="1784">+F690*24</f>
        <v>720</v>
      </c>
      <c r="G720" s="547">
        <f t="shared" si="1784"/>
        <v>744</v>
      </c>
      <c r="H720" s="360">
        <f>SUM(F720:G720)</f>
        <v>1464</v>
      </c>
      <c r="I720" s="547">
        <f t="shared" ref="I720" si="1785">+I690*24</f>
        <v>720</v>
      </c>
      <c r="J720" s="361">
        <f t="shared" ref="J720:AF720" si="1786">+J690*24</f>
        <v>2184</v>
      </c>
      <c r="K720" s="547">
        <f t="shared" si="1786"/>
        <v>744</v>
      </c>
      <c r="L720" s="360">
        <f t="shared" si="1786"/>
        <v>2928</v>
      </c>
      <c r="M720" s="547">
        <f t="shared" ref="M720:O720" si="1787">+M690*24</f>
        <v>744</v>
      </c>
      <c r="N720" s="360">
        <f t="shared" ref="N720" si="1788">+N690*24</f>
        <v>3672</v>
      </c>
      <c r="O720" s="547">
        <f t="shared" si="1787"/>
        <v>720</v>
      </c>
      <c r="P720" s="361">
        <f t="shared" si="1786"/>
        <v>2208</v>
      </c>
      <c r="Q720" s="362">
        <f t="shared" si="1786"/>
        <v>4392</v>
      </c>
      <c r="R720" s="547">
        <f t="shared" si="1786"/>
        <v>744</v>
      </c>
      <c r="S720" s="360">
        <f t="shared" si="1786"/>
        <v>5136</v>
      </c>
      <c r="T720" s="547">
        <f t="shared" si="1786"/>
        <v>720</v>
      </c>
      <c r="U720" s="360">
        <f t="shared" si="1786"/>
        <v>5856</v>
      </c>
      <c r="V720" s="547">
        <f t="shared" ref="V720" si="1789">+V690*24</f>
        <v>744</v>
      </c>
      <c r="W720" s="361">
        <f t="shared" si="1786"/>
        <v>2208</v>
      </c>
      <c r="X720" s="472">
        <f t="shared" si="1786"/>
        <v>6600</v>
      </c>
      <c r="Y720" s="547">
        <f t="shared" si="1786"/>
        <v>744</v>
      </c>
      <c r="Z720" s="360">
        <f t="shared" si="1786"/>
        <v>7344</v>
      </c>
      <c r="AA720" s="547">
        <f t="shared" ref="AA720" si="1790">+AA690*24</f>
        <v>696</v>
      </c>
      <c r="AB720" s="360">
        <f t="shared" si="1786"/>
        <v>8040</v>
      </c>
      <c r="AC720" s="547">
        <f t="shared" ref="AC720" si="1791">+AC690*24</f>
        <v>744</v>
      </c>
      <c r="AD720" s="1388">
        <f t="shared" si="1786"/>
        <v>2184</v>
      </c>
      <c r="AE720" s="1389">
        <f t="shared" si="1786"/>
        <v>4392</v>
      </c>
      <c r="AF720" s="1390">
        <f t="shared" si="1786"/>
        <v>8784</v>
      </c>
    </row>
    <row r="721" spans="1:32" ht="35" customHeight="1" x14ac:dyDescent="0.25">
      <c r="A721" s="2" t="s">
        <v>462</v>
      </c>
      <c r="B721" s="2">
        <f>+J701/J717</f>
        <v>0.15278083962713479</v>
      </c>
      <c r="C721" s="338"/>
      <c r="D721" s="8425"/>
      <c r="E721" s="67" t="s">
        <v>276</v>
      </c>
      <c r="F721" s="3262">
        <v>605</v>
      </c>
      <c r="G721" s="3262">
        <v>527.21</v>
      </c>
      <c r="H721" s="360">
        <f>SUM(F721:G721)</f>
        <v>1132.21</v>
      </c>
      <c r="I721" s="3262">
        <v>612.38</v>
      </c>
      <c r="J721" s="304">
        <f>SUM(H721:I721)</f>
        <v>1744.5900000000001</v>
      </c>
      <c r="K721" s="3262"/>
      <c r="L721" s="363">
        <f>SUM(J721:K721)</f>
        <v>1744.5900000000001</v>
      </c>
      <c r="M721" s="3262">
        <v>720</v>
      </c>
      <c r="N721" s="363">
        <f>SUM(L721:M721)</f>
        <v>2464.59</v>
      </c>
      <c r="O721" s="3262">
        <v>596.79</v>
      </c>
      <c r="P721" s="304">
        <f>+K721+M721+O721</f>
        <v>1316.79</v>
      </c>
      <c r="Q721" s="241">
        <f>+J721+P721</f>
        <v>3061.38</v>
      </c>
      <c r="R721" s="3262">
        <v>660</v>
      </c>
      <c r="S721" s="296">
        <f>SUM(Q721:R721)</f>
        <v>3721.38</v>
      </c>
      <c r="T721" s="3262">
        <v>688.34</v>
      </c>
      <c r="U721" s="296">
        <f>SUM(S721:T721)</f>
        <v>4409.72</v>
      </c>
      <c r="V721" s="3262">
        <v>732.75</v>
      </c>
      <c r="W721" s="361">
        <f>+R721+T721+V721</f>
        <v>2081.09</v>
      </c>
      <c r="X721" s="2280">
        <f>+U721+V721</f>
        <v>5142.47</v>
      </c>
      <c r="Y721" s="3262">
        <v>707.28</v>
      </c>
      <c r="Z721" s="296">
        <f>SUM(X721:Y721)</f>
        <v>5849.75</v>
      </c>
      <c r="AA721" s="3262">
        <v>683.4</v>
      </c>
      <c r="AB721" s="363">
        <f>SUM(Z721:AA721)</f>
        <v>6533.15</v>
      </c>
      <c r="AC721" s="3262">
        <v>684.22</v>
      </c>
      <c r="AD721" s="713">
        <f t="shared" ref="AD721" si="1792">+Y721+AA721+AC721</f>
        <v>2074.8999999999996</v>
      </c>
      <c r="AE721" s="1385">
        <f t="shared" ref="AE721" si="1793">+W721+AD721</f>
        <v>4155.99</v>
      </c>
      <c r="AF721" s="686">
        <f>+AB721+AC721</f>
        <v>7217.37</v>
      </c>
    </row>
    <row r="722" spans="1:32" ht="35" customHeight="1" x14ac:dyDescent="0.25">
      <c r="A722" s="2" t="s">
        <v>463</v>
      </c>
      <c r="B722" s="2">
        <f>+J704/J717</f>
        <v>1.2344179084166838</v>
      </c>
      <c r="C722" s="338"/>
      <c r="D722" s="8425"/>
      <c r="E722" s="67" t="s">
        <v>159</v>
      </c>
      <c r="F722" s="2745">
        <f>+F721/F720*100</f>
        <v>84.027777777777786</v>
      </c>
      <c r="G722" s="2745">
        <f>+G721/G720*100</f>
        <v>70.861559139784944</v>
      </c>
      <c r="H722" s="2922">
        <f t="shared" ref="H722:AF722" si="1794">+H721/H720*100</f>
        <v>77.336748633879779</v>
      </c>
      <c r="I722" s="2745">
        <f>+I721/I720*100</f>
        <v>85.052777777777777</v>
      </c>
      <c r="J722" s="2923">
        <f t="shared" si="1794"/>
        <v>79.880494505494511</v>
      </c>
      <c r="K722" s="2745">
        <f>+K721/K720*100</f>
        <v>0</v>
      </c>
      <c r="L722" s="399">
        <f t="shared" si="1794"/>
        <v>59.582991803278695</v>
      </c>
      <c r="M722" s="2745">
        <f>+M721/M720*100</f>
        <v>96.774193548387103</v>
      </c>
      <c r="N722" s="399">
        <f t="shared" ref="N722" si="1795">+N721/N720*100</f>
        <v>67.118464052287578</v>
      </c>
      <c r="O722" s="2745">
        <f>+O721/O720*100</f>
        <v>82.887499999999989</v>
      </c>
      <c r="P722" s="352">
        <f t="shared" si="1794"/>
        <v>59.63722826086957</v>
      </c>
      <c r="Q722" s="2150">
        <f t="shared" si="1794"/>
        <v>69.703551912568301</v>
      </c>
      <c r="R722" s="2745">
        <f>+R721/R720*100</f>
        <v>88.709677419354833</v>
      </c>
      <c r="S722" s="399">
        <f t="shared" si="1794"/>
        <v>72.456775700934585</v>
      </c>
      <c r="T722" s="2745">
        <f>+T721/T720*100</f>
        <v>95.602777777777774</v>
      </c>
      <c r="U722" s="399">
        <f t="shared" si="1794"/>
        <v>75.302595628415304</v>
      </c>
      <c r="V722" s="2745">
        <f>+V721/V720*100</f>
        <v>98.487903225806448</v>
      </c>
      <c r="W722" s="352">
        <f t="shared" si="1794"/>
        <v>94.252264492753639</v>
      </c>
      <c r="X722" s="2353">
        <f t="shared" si="1794"/>
        <v>77.916212121212126</v>
      </c>
      <c r="Y722" s="2745">
        <f>+Y721/Y720*100</f>
        <v>95.064516129032256</v>
      </c>
      <c r="Z722" s="399">
        <f t="shared" si="1794"/>
        <v>79.653458605664483</v>
      </c>
      <c r="AA722" s="2745">
        <f>+AA721/AA720*100</f>
        <v>98.189655172413794</v>
      </c>
      <c r="AB722" s="399">
        <f t="shared" si="1794"/>
        <v>81.258084577114417</v>
      </c>
      <c r="AC722" s="2745">
        <f>+AC721/AC720*100</f>
        <v>91.965053763440864</v>
      </c>
      <c r="AD722" s="1391">
        <f t="shared" si="1794"/>
        <v>95.004578754578745</v>
      </c>
      <c r="AE722" s="1392">
        <f t="shared" si="1794"/>
        <v>94.626366120218577</v>
      </c>
      <c r="AF722" s="1393">
        <f t="shared" si="1794"/>
        <v>82.164959016393453</v>
      </c>
    </row>
    <row r="723" spans="1:32" ht="35" customHeight="1" x14ac:dyDescent="0.25">
      <c r="C723" s="338"/>
      <c r="D723" s="8425"/>
      <c r="E723" s="67" t="s">
        <v>275</v>
      </c>
      <c r="F723" s="3323">
        <v>496</v>
      </c>
      <c r="G723" s="3323">
        <v>501.84</v>
      </c>
      <c r="H723" s="254">
        <f>SUM(F723:G723)</f>
        <v>997.83999999999992</v>
      </c>
      <c r="I723" s="3323">
        <v>558.16</v>
      </c>
      <c r="J723" s="313">
        <f>SUM(H723:I723)</f>
        <v>1556</v>
      </c>
      <c r="K723" s="3323"/>
      <c r="L723" s="252">
        <f>SUM(J723:K723)</f>
        <v>1556</v>
      </c>
      <c r="M723" s="3323">
        <v>664</v>
      </c>
      <c r="N723" s="252">
        <f>SUM(L723:M723)</f>
        <v>2220</v>
      </c>
      <c r="O723" s="3323">
        <v>522.83000000000004</v>
      </c>
      <c r="P723" s="251">
        <f>+K723+M723+O723</f>
        <v>1186.83</v>
      </c>
      <c r="Q723" s="2133">
        <f>+J723+P723</f>
        <v>2742.83</v>
      </c>
      <c r="R723" s="3323">
        <v>565</v>
      </c>
      <c r="S723" s="296">
        <f>SUM(Q723:R723)</f>
        <v>3307.83</v>
      </c>
      <c r="T723" s="3323">
        <v>614.46</v>
      </c>
      <c r="U723" s="296">
        <f>SUM(S723:T723)</f>
        <v>3922.29</v>
      </c>
      <c r="V723" s="3262">
        <v>719.26</v>
      </c>
      <c r="W723" s="304">
        <f>+R723+T723+V723</f>
        <v>1898.72</v>
      </c>
      <c r="X723" s="2280">
        <f>+U723+V723</f>
        <v>4641.55</v>
      </c>
      <c r="Y723" s="3323">
        <v>686.73</v>
      </c>
      <c r="Z723" s="296">
        <f>SUM(X723:Y723)</f>
        <v>5328.2800000000007</v>
      </c>
      <c r="AA723" s="3323">
        <v>663.9</v>
      </c>
      <c r="AB723" s="296">
        <f>SUM(Z723:AA723)</f>
        <v>5992.18</v>
      </c>
      <c r="AC723" s="3323">
        <v>648.20000000000005</v>
      </c>
      <c r="AD723" s="713">
        <f t="shared" ref="AD723" si="1796">+Y723+AA723+AC723</f>
        <v>1998.8300000000002</v>
      </c>
      <c r="AE723" s="1385">
        <f t="shared" ref="AE723" si="1797">+W723+AD723</f>
        <v>3897.55</v>
      </c>
      <c r="AF723" s="686">
        <f>+AB723+AC723</f>
        <v>6640.38</v>
      </c>
    </row>
    <row r="724" spans="1:32" ht="35" customHeight="1" x14ac:dyDescent="0.25">
      <c r="C724" s="338"/>
      <c r="D724" s="8425"/>
      <c r="E724" s="67" t="s">
        <v>160</v>
      </c>
      <c r="F724" s="2746">
        <f t="shared" ref="F724:G724" si="1798">+F723/F721*100</f>
        <v>81.983471074380162</v>
      </c>
      <c r="G724" s="2746">
        <f t="shared" si="1798"/>
        <v>95.187875799017462</v>
      </c>
      <c r="H724" s="399">
        <f t="shared" ref="H724:AF724" si="1799">+H723/H721*100</f>
        <v>88.132060306833523</v>
      </c>
      <c r="I724" s="2746">
        <f t="shared" si="1799"/>
        <v>91.146020444821843</v>
      </c>
      <c r="J724" s="4646">
        <f t="shared" si="1799"/>
        <v>89.190010260290379</v>
      </c>
      <c r="K724" s="2746" t="e">
        <f t="shared" si="1799"/>
        <v>#DIV/0!</v>
      </c>
      <c r="L724" s="399">
        <f t="shared" si="1799"/>
        <v>89.190010260290379</v>
      </c>
      <c r="M724" s="2746">
        <f t="shared" ref="M724:O724" si="1800">+M723/M721*100</f>
        <v>92.222222222222229</v>
      </c>
      <c r="N724" s="399">
        <f t="shared" ref="N724" si="1801">+N723/N721*100</f>
        <v>90.075834114396301</v>
      </c>
      <c r="O724" s="2746">
        <f t="shared" si="1800"/>
        <v>87.607030948910008</v>
      </c>
      <c r="P724" s="352">
        <f t="shared" si="1799"/>
        <v>90.130544733784419</v>
      </c>
      <c r="Q724" s="2150">
        <f t="shared" si="1799"/>
        <v>89.5945619295873</v>
      </c>
      <c r="R724" s="2746">
        <f t="shared" si="1799"/>
        <v>85.606060606060609</v>
      </c>
      <c r="S724" s="399">
        <f t="shared" si="1799"/>
        <v>88.887187011270015</v>
      </c>
      <c r="T724" s="2746">
        <f t="shared" si="1799"/>
        <v>89.266932039399137</v>
      </c>
      <c r="U724" s="399">
        <f t="shared" si="1799"/>
        <v>88.946463721052581</v>
      </c>
      <c r="V724" s="2746">
        <f t="shared" ref="V724" si="1802">+V723/V721*100</f>
        <v>98.158990105765952</v>
      </c>
      <c r="W724" s="352">
        <f t="shared" si="1799"/>
        <v>91.236803790321403</v>
      </c>
      <c r="X724" s="2353">
        <f t="shared" si="1799"/>
        <v>90.259155619770269</v>
      </c>
      <c r="Y724" s="2746">
        <f t="shared" si="1799"/>
        <v>97.094502884289113</v>
      </c>
      <c r="Z724" s="399">
        <f t="shared" si="1799"/>
        <v>91.085601948801241</v>
      </c>
      <c r="AA724" s="2746">
        <f t="shared" ref="AA724" si="1803">+AA723/AA721*100</f>
        <v>97.14661984196664</v>
      </c>
      <c r="AB724" s="399">
        <f t="shared" ref="AB724:AC724" si="1804">+AB723/AB721*100</f>
        <v>91.719614581021418</v>
      </c>
      <c r="AC724" s="2746">
        <f t="shared" si="1804"/>
        <v>94.73561135307358</v>
      </c>
      <c r="AD724" s="828">
        <f t="shared" si="1799"/>
        <v>96.333799219239495</v>
      </c>
      <c r="AE724" s="852">
        <f t="shared" si="1799"/>
        <v>93.781505730283286</v>
      </c>
      <c r="AF724" s="829">
        <f t="shared" si="1799"/>
        <v>92.005536642849123</v>
      </c>
    </row>
    <row r="725" spans="1:32" ht="35" customHeight="1" x14ac:dyDescent="0.25">
      <c r="C725" s="338"/>
      <c r="D725" s="8425"/>
      <c r="E725" s="67" t="s">
        <v>547</v>
      </c>
      <c r="F725" s="142">
        <f t="shared" ref="F725:G725" si="1805">+F717/F723</f>
        <v>474.37298387096774</v>
      </c>
      <c r="G725" s="142">
        <f t="shared" si="1805"/>
        <v>476.28726287262873</v>
      </c>
      <c r="H725" s="254">
        <f t="shared" ref="H725:AF725" si="1806">+H717/H723</f>
        <v>475.3357251663594</v>
      </c>
      <c r="I725" s="142">
        <f t="shared" si="1806"/>
        <v>466.78550953131719</v>
      </c>
      <c r="J725" s="313">
        <f t="shared" si="1806"/>
        <v>472.26863753213365</v>
      </c>
      <c r="K725" s="142" t="e">
        <f t="shared" si="1806"/>
        <v>#DIV/0!</v>
      </c>
      <c r="L725" s="254">
        <f t="shared" si="1806"/>
        <v>472.26863753213365</v>
      </c>
      <c r="M725" s="142">
        <f t="shared" ref="M725:O725" si="1807">+M717/M723</f>
        <v>505.83584337349396</v>
      </c>
      <c r="N725" s="254">
        <f t="shared" ref="N725" si="1808">+N717/N723</f>
        <v>482.30855855855856</v>
      </c>
      <c r="O725" s="142">
        <f t="shared" si="1807"/>
        <v>475.6632174894325</v>
      </c>
      <c r="P725" s="253">
        <f t="shared" si="1806"/>
        <v>492.54400377476139</v>
      </c>
      <c r="Q725" s="2140">
        <f t="shared" si="1806"/>
        <v>481.04184364324442</v>
      </c>
      <c r="R725" s="142">
        <f t="shared" si="1806"/>
        <v>489.01238938053098</v>
      </c>
      <c r="S725" s="254">
        <f t="shared" si="1806"/>
        <v>482.40326739886876</v>
      </c>
      <c r="T725" s="142">
        <f t="shared" si="1806"/>
        <v>506.01666503922138</v>
      </c>
      <c r="U725" s="254">
        <f t="shared" si="1806"/>
        <v>486.10250644393966</v>
      </c>
      <c r="V725" s="142">
        <f t="shared" ref="V725" si="1809">+V717/V723</f>
        <v>509.761421460946</v>
      </c>
      <c r="W725" s="253">
        <f t="shared" si="1806"/>
        <v>502.37528440212355</v>
      </c>
      <c r="X725" s="2285">
        <f t="shared" si="1806"/>
        <v>489.76871950102873</v>
      </c>
      <c r="Y725" s="142">
        <f t="shared" si="1806"/>
        <v>505.38785257670406</v>
      </c>
      <c r="Z725" s="254">
        <f t="shared" si="1806"/>
        <v>491.7817757325065</v>
      </c>
      <c r="AA725" s="142">
        <f t="shared" ref="AA725" si="1810">+AA717/AA723</f>
        <v>513.64964603102874</v>
      </c>
      <c r="AB725" s="254">
        <f t="shared" ref="AB725:AC725" si="1811">+AB717/AB723</f>
        <v>494.20461334606102</v>
      </c>
      <c r="AC725" s="142">
        <f t="shared" si="1811"/>
        <v>493.67787719839555</v>
      </c>
      <c r="AD725" s="813">
        <f t="shared" si="1806"/>
        <v>504.33453570338645</v>
      </c>
      <c r="AE725" s="1080">
        <f t="shared" si="1806"/>
        <v>503.38007209657349</v>
      </c>
      <c r="AF725" s="812">
        <f t="shared" si="1806"/>
        <v>494.15319605203314</v>
      </c>
    </row>
    <row r="726" spans="1:32" ht="35" customHeight="1" x14ac:dyDescent="0.25">
      <c r="B726" s="2">
        <f>672/24</f>
        <v>28</v>
      </c>
      <c r="C726" s="338"/>
      <c r="D726" s="8425"/>
      <c r="E726" s="67" t="s">
        <v>161</v>
      </c>
      <c r="F726" s="142">
        <f t="shared" ref="F726:G726" si="1812">+(F717/(F704+F705+F706+F707+F708))*100</f>
        <v>78.106825122825654</v>
      </c>
      <c r="G726" s="142">
        <f t="shared" si="1812"/>
        <v>77.583492652906216</v>
      </c>
      <c r="H726" s="254">
        <f t="shared" ref="H726:Z726" si="1813">+(H717/(H704+H705+H706+H707+H708))*100</f>
        <v>77.842221095284742</v>
      </c>
      <c r="I726" s="142">
        <f t="shared" si="1813"/>
        <v>78.079691686196</v>
      </c>
      <c r="J726" s="253">
        <f t="shared" si="1813"/>
        <v>77.926250812560255</v>
      </c>
      <c r="K726" s="142" t="e">
        <f t="shared" si="1813"/>
        <v>#DIV/0!</v>
      </c>
      <c r="L726" s="254">
        <f t="shared" si="1813"/>
        <v>77.926250812560255</v>
      </c>
      <c r="M726" s="142">
        <f t="shared" ref="M726:O726" si="1814">+(M717/(M704+M705+M706+M707+M708))*100</f>
        <v>80.528376437642805</v>
      </c>
      <c r="N726" s="254">
        <f t="shared" si="1813"/>
        <v>78.724222407830041</v>
      </c>
      <c r="O726" s="142">
        <f t="shared" si="1814"/>
        <v>77.194632497415896</v>
      </c>
      <c r="P726" s="253">
        <f t="shared" si="1813"/>
        <v>79.075549543456205</v>
      </c>
      <c r="Q726" s="2140">
        <f t="shared" si="1813"/>
        <v>78.43129795269094</v>
      </c>
      <c r="R726" s="142">
        <f t="shared" si="1813"/>
        <v>78.461285064378174</v>
      </c>
      <c r="S726" s="254">
        <f t="shared" si="1813"/>
        <v>78.436488489206866</v>
      </c>
      <c r="T726" s="142">
        <f t="shared" si="1813"/>
        <v>77.787367968097186</v>
      </c>
      <c r="U726" s="254">
        <f t="shared" si="1813"/>
        <v>78.329894018714853</v>
      </c>
      <c r="V726" s="142">
        <f t="shared" ref="V726" si="1815">+(V717/(V704+V705+V706+V707+V708))*100</f>
        <v>78.348416047865811</v>
      </c>
      <c r="W726" s="253">
        <f t="shared" si="1813"/>
        <v>78.197154186618263</v>
      </c>
      <c r="X726" s="254">
        <f t="shared" si="1813"/>
        <v>78.33288078498073</v>
      </c>
      <c r="Y726" s="142">
        <f t="shared" si="1813"/>
        <v>79.2765938006807</v>
      </c>
      <c r="Z726" s="254">
        <f t="shared" si="1813"/>
        <v>78.456582493830609</v>
      </c>
      <c r="AA726" s="142">
        <f t="shared" ref="AA726" si="1816">+(AA717/(AA704+AA705+AA706+AA707+AA708))*100</f>
        <v>78.605889471561113</v>
      </c>
      <c r="AB726" s="254">
        <f t="shared" ref="AB726:AC726" si="1817">+(AB717/(AB704+AB705+AB706+AB707+AB708))*100</f>
        <v>78.473746846264106</v>
      </c>
      <c r="AC726" s="142">
        <f t="shared" si="1817"/>
        <v>77.580191961287724</v>
      </c>
      <c r="AD726" s="828">
        <f t="shared" ref="AD726:AF726" si="1818">+(AD717/(AD704+AD705+AD707+AD708))*100</f>
        <v>78.689163134518253</v>
      </c>
      <c r="AE726" s="852">
        <f>+(AE717/(AE704+AE705+AE707+AE708))*100</f>
        <v>78.808577745357326</v>
      </c>
      <c r="AF726" s="2546">
        <f t="shared" si="1818"/>
        <v>79.010739545906134</v>
      </c>
    </row>
    <row r="727" spans="1:32" ht="35" customHeight="1" x14ac:dyDescent="0.25">
      <c r="C727" s="338"/>
      <c r="D727" s="8425"/>
      <c r="E727" s="67" t="s">
        <v>975</v>
      </c>
      <c r="F727" s="142">
        <f>+(F710/(F717+F710+F709+F718))*100</f>
        <v>15.052754793844361</v>
      </c>
      <c r="G727" s="142">
        <f>+(G710/(G717+G710+G709+G718))*100</f>
        <v>14.592713055876565</v>
      </c>
      <c r="H727" s="246">
        <f>+(H710/(H717+H710+H709+H718))*100</f>
        <v>14.821545684489029</v>
      </c>
      <c r="I727" s="142">
        <f>+(I710/(I717+I710+I709+I718))*100</f>
        <v>14.536268706475298</v>
      </c>
      <c r="J727" s="245">
        <f t="shared" ref="J727:AF727" si="1819">+J710/(J717+J710+J709+J718)*100</f>
        <v>14.720618933613236</v>
      </c>
      <c r="K727" s="142" t="e">
        <f>+(K710/(K717+K710+K709+K718))*100</f>
        <v>#DIV/0!</v>
      </c>
      <c r="L727" s="246">
        <f t="shared" si="1819"/>
        <v>14.720618933613236</v>
      </c>
      <c r="M727" s="142">
        <f>+(M710/(M717+M710+M709+M718))*100</f>
        <v>14.583333333333334</v>
      </c>
      <c r="N727" s="246">
        <f t="shared" ref="N727" si="1820">+N710/(N717+N710+N709+N718)*100</f>
        <v>14.677601434358193</v>
      </c>
      <c r="O727" s="142">
        <f>+(O710/(O717+O710+O709+O718))*100</f>
        <v>14.896520471844354</v>
      </c>
      <c r="P727" s="245">
        <f t="shared" si="1819"/>
        <v>14.716853336677843</v>
      </c>
      <c r="Q727" s="240">
        <f t="shared" si="1819"/>
        <v>14.71895063051174</v>
      </c>
      <c r="R727" s="142">
        <f>+(R710/(R717+R710+R709+R718))*100</f>
        <v>14.23382787304516</v>
      </c>
      <c r="S727" s="246">
        <f t="shared" si="1819"/>
        <v>14.635346335057974</v>
      </c>
      <c r="T727" s="142">
        <f>+(T710/(T717+T710+T709+T718))*100</f>
        <v>14.170623383644696</v>
      </c>
      <c r="U727" s="246">
        <f t="shared" si="1819"/>
        <v>14.559904757267079</v>
      </c>
      <c r="V727" s="142">
        <f>+(V710/(V717+V710+V709+V718))*100</f>
        <v>14.583333333333334</v>
      </c>
      <c r="W727" s="245">
        <f t="shared" si="1819"/>
        <v>14.347982044513042</v>
      </c>
      <c r="X727" s="355">
        <f t="shared" si="1819"/>
        <v>14.563684346322706</v>
      </c>
      <c r="Y727" s="142">
        <f>+(Y710/(Y717+Y710+Y709+Y718))*100</f>
        <v>15.056234037225108</v>
      </c>
      <c r="Z727" s="246">
        <f t="shared" si="1819"/>
        <v>14.629250390772613</v>
      </c>
      <c r="AA727" s="142">
        <f>+(AA710/(AA717+AA710+AA709+AA718))*100</f>
        <v>14.583333333333334</v>
      </c>
      <c r="AB727" s="246">
        <f t="shared" ref="AB727" si="1821">+AB710/(AB717+AB710+AB709+AB718)*100</f>
        <v>14.623965385498394</v>
      </c>
      <c r="AC727" s="142">
        <f>+(AC710/(AC717+AC710+AC709+AC718))*100</f>
        <v>13.603948376028463</v>
      </c>
      <c r="AD727" s="828">
        <f t="shared" si="1819"/>
        <v>14.439440523053532</v>
      </c>
      <c r="AE727" s="852">
        <f t="shared" si="1819"/>
        <v>14.394999199476338</v>
      </c>
      <c r="AF727" s="829">
        <f t="shared" si="1819"/>
        <v>14.525553405994195</v>
      </c>
    </row>
    <row r="728" spans="1:32" ht="35" customHeight="1" x14ac:dyDescent="0.25">
      <c r="C728" s="338"/>
      <c r="D728" s="8426"/>
      <c r="E728" s="145" t="s">
        <v>1127</v>
      </c>
      <c r="F728" s="217">
        <f>+((F701+F710)/F717)*100</f>
        <v>36.458567973853434</v>
      </c>
      <c r="G728" s="217">
        <f>+((G701+G710)/G717)*100</f>
        <v>36.645050623378793</v>
      </c>
      <c r="H728" s="246">
        <f>+((H701+H710)/H717)*100</f>
        <v>36.55254275166611</v>
      </c>
      <c r="I728" s="217">
        <f>+((I701+I710)/I717)*100</f>
        <v>36.432269777117618</v>
      </c>
      <c r="J728" s="245">
        <f t="shared" ref="J728:Z728" si="1822">+((J701+J710)/J717)*100</f>
        <v>36.509899979587672</v>
      </c>
      <c r="K728" s="217" t="e">
        <f>+((K701+K710)/K717)*100</f>
        <v>#DIV/0!</v>
      </c>
      <c r="L728" s="246">
        <f t="shared" si="1822"/>
        <v>36.509899979587672</v>
      </c>
      <c r="M728" s="217">
        <f>+((M701+M710)/M717)*100</f>
        <v>30.04532936360253</v>
      </c>
      <c r="N728" s="246">
        <f t="shared" si="1822"/>
        <v>34.482033201802516</v>
      </c>
      <c r="O728" s="217">
        <f>+((O701+O710)/O717)*100</f>
        <v>34.839218146213575</v>
      </c>
      <c r="P728" s="245">
        <f t="shared" si="1822"/>
        <v>32.084785977973404</v>
      </c>
      <c r="Q728" s="240">
        <f t="shared" si="1822"/>
        <v>34.54935744298993</v>
      </c>
      <c r="R728" s="217">
        <f>+((R701+R710)/R717)*100</f>
        <v>31.961475540370333</v>
      </c>
      <c r="S728" s="246">
        <f t="shared" ref="S728" si="1823">+((S701+S710)/S717)*100</f>
        <v>34.101273541274466</v>
      </c>
      <c r="T728" s="217">
        <f>+((T701+T710)/T717)*100</f>
        <v>34.079941594007593</v>
      </c>
      <c r="U728" s="246">
        <f t="shared" si="1822"/>
        <v>34.097794806032617</v>
      </c>
      <c r="V728" s="217">
        <f>+((V701+V710)/V717)*100</f>
        <v>33.281161104156268</v>
      </c>
      <c r="W728" s="245">
        <f t="shared" si="1822"/>
        <v>33.1592827114806</v>
      </c>
      <c r="X728" s="246">
        <f t="shared" si="1822"/>
        <v>33.966082578258963</v>
      </c>
      <c r="Y728" s="217">
        <f>+((Y701+Y710)/Y717)*100</f>
        <v>34.554046072061425</v>
      </c>
      <c r="Z728" s="246">
        <f t="shared" si="1822"/>
        <v>34.043958233076403</v>
      </c>
      <c r="AA728" s="217">
        <f>+((AA701+AA710)/AA717)*100</f>
        <v>33.965232895030091</v>
      </c>
      <c r="AB728" s="246">
        <f t="shared" ref="AB728" si="1824">+((AB701+AB710)/AB717)*100</f>
        <v>34.034892716630821</v>
      </c>
      <c r="AC728" s="217">
        <f>+((AC701+AC710)/AC717)*100</f>
        <v>32.894095099405632</v>
      </c>
      <c r="AD728" s="828">
        <f t="shared" ref="AD728:AF728" si="1825">+((AD701+AD710)/AD717)*100</f>
        <v>33.827932354507936</v>
      </c>
      <c r="AE728" s="852">
        <f t="shared" si="1825"/>
        <v>33.502844987305991</v>
      </c>
      <c r="AF728" s="829">
        <f t="shared" si="1825"/>
        <v>33.92364099086813</v>
      </c>
    </row>
    <row r="729" spans="1:32" ht="35" customHeight="1" x14ac:dyDescent="0.25">
      <c r="C729" s="338"/>
      <c r="D729" s="8437">
        <v>36.049999999999997</v>
      </c>
      <c r="E729" s="242" t="s">
        <v>162</v>
      </c>
      <c r="F729" s="3398"/>
      <c r="G729" s="3398"/>
      <c r="H729" s="246"/>
      <c r="I729" s="3398"/>
      <c r="J729" s="3631"/>
      <c r="K729" s="3398"/>
      <c r="L729" s="3632"/>
      <c r="M729" s="3398"/>
      <c r="N729" s="2184"/>
      <c r="O729" s="3398"/>
      <c r="P729" s="2110"/>
      <c r="Q729" s="2184"/>
      <c r="R729" s="3398"/>
      <c r="S729" s="2184"/>
      <c r="T729" s="3398"/>
      <c r="U729" s="2184"/>
      <c r="V729" s="3398"/>
      <c r="W729" s="2354"/>
      <c r="X729" s="2457"/>
      <c r="Y729" s="3398"/>
      <c r="Z729" s="2184"/>
      <c r="AA729" s="3398"/>
      <c r="AB729" s="2457"/>
      <c r="AC729" s="3398"/>
      <c r="AD729" s="2457"/>
      <c r="AE729" s="1065"/>
      <c r="AF729" s="886"/>
    </row>
    <row r="730" spans="1:32" ht="35" customHeight="1" x14ac:dyDescent="0.25">
      <c r="C730" s="338"/>
      <c r="D730" s="8437"/>
      <c r="E730" s="67" t="s">
        <v>228</v>
      </c>
      <c r="F730" s="3162">
        <v>74.117382588774333</v>
      </c>
      <c r="G730" s="3162">
        <v>72.603645066273941</v>
      </c>
      <c r="H730" s="246">
        <v>73.346752577319577</v>
      </c>
      <c r="I730" s="3162">
        <f>+SINTER!K67</f>
        <v>95.281990605361656</v>
      </c>
      <c r="J730" s="253">
        <f>+SINTER!M67</f>
        <v>96.401227042641722</v>
      </c>
      <c r="K730" s="3162"/>
      <c r="L730" s="246">
        <v>89.923453608247414</v>
      </c>
      <c r="M730" s="4137">
        <v>102.02388622974962</v>
      </c>
      <c r="N730" s="246">
        <v>92.378613850291345</v>
      </c>
      <c r="O730" s="4137">
        <v>78.339089347079039</v>
      </c>
      <c r="P730" s="245">
        <v>95.108020742764865</v>
      </c>
      <c r="Q730" s="240">
        <v>90.081237113402054</v>
      </c>
      <c r="R730" s="3387">
        <v>83.925220913107509</v>
      </c>
      <c r="S730" s="355">
        <v>89.188136317504402</v>
      </c>
      <c r="T730" s="3387">
        <v>97.943785796105374</v>
      </c>
      <c r="U730" s="355">
        <v>90.262693298969069</v>
      </c>
      <c r="V730" s="3162">
        <v>111.37226620029455</v>
      </c>
      <c r="W730" s="5007">
        <v>97.744721152651834</v>
      </c>
      <c r="X730" s="5007">
        <v>92.646032174925168</v>
      </c>
      <c r="Y730" s="3387" t="e">
        <f>+SINTER!#REF!</f>
        <v>#REF!</v>
      </c>
      <c r="Z730" s="355" t="e">
        <f>+SINTER!#REF!</f>
        <v>#REF!</v>
      </c>
      <c r="AA730" s="3387" t="e">
        <f>+SINTER!#REF!</f>
        <v>#REF!</v>
      </c>
      <c r="AB730" s="355" t="e">
        <f>+SINTER!#REF!</f>
        <v>#REF!</v>
      </c>
      <c r="AC730" s="3387" t="e">
        <f>+SINTER!#REF!</f>
        <v>#REF!</v>
      </c>
      <c r="AD730" s="245" t="e">
        <f>SINTER!#REF!</f>
        <v>#REF!</v>
      </c>
      <c r="AE730" s="852" t="e">
        <f>SINTER!#REF!</f>
        <v>#REF!</v>
      </c>
      <c r="AF730" s="829" t="e">
        <f>SINTER!#REF!</f>
        <v>#REF!</v>
      </c>
    </row>
    <row r="731" spans="1:32" ht="35" customHeight="1" x14ac:dyDescent="0.25">
      <c r="C731" s="338"/>
      <c r="D731" s="8437"/>
      <c r="E731" s="67" t="s">
        <v>546</v>
      </c>
      <c r="F731" s="3387">
        <f t="shared" ref="F731:G731" si="1826">+F717/408/F723</f>
        <v>1.1626788820366858</v>
      </c>
      <c r="G731" s="3387">
        <f t="shared" si="1826"/>
        <v>1.1673707423348745</v>
      </c>
      <c r="H731" s="246">
        <f t="shared" ref="H731:U731" si="1827">+H717/408/H723</f>
        <v>1.1650385420744103</v>
      </c>
      <c r="I731" s="3387">
        <f t="shared" si="1827"/>
        <v>1.1440821312042089</v>
      </c>
      <c r="J731" s="245">
        <f t="shared" si="1827"/>
        <v>1.1575211704218962</v>
      </c>
      <c r="K731" s="3387" t="e">
        <f t="shared" si="1827"/>
        <v>#DIV/0!</v>
      </c>
      <c r="L731" s="246">
        <f t="shared" si="1827"/>
        <v>1.1575211704218962</v>
      </c>
      <c r="M731" s="3387">
        <f t="shared" ref="M731:O731" si="1828">+M717/408/M723</f>
        <v>1.2397937337585636</v>
      </c>
      <c r="N731" s="246">
        <f t="shared" ref="N731" si="1829">+N717/408/N723</f>
        <v>1.182128819996467</v>
      </c>
      <c r="O731" s="3387">
        <f t="shared" si="1828"/>
        <v>1.1658412193368441</v>
      </c>
      <c r="P731" s="245">
        <f t="shared" si="1827"/>
        <v>1.207215695526376</v>
      </c>
      <c r="Q731" s="240">
        <f t="shared" si="1827"/>
        <v>1.1790241265765795</v>
      </c>
      <c r="R731" s="3387">
        <f t="shared" si="1827"/>
        <v>1.1985597778934582</v>
      </c>
      <c r="S731" s="355">
        <f t="shared" si="1827"/>
        <v>1.1823609495070313</v>
      </c>
      <c r="T731" s="3387">
        <f t="shared" si="1827"/>
        <v>1.2402369241157387</v>
      </c>
      <c r="U731" s="355">
        <f t="shared" si="1827"/>
        <v>1.191427711872401</v>
      </c>
      <c r="V731" s="3387">
        <f t="shared" ref="V731" si="1830">+V717/408/V723</f>
        <v>1.2494152486787891</v>
      </c>
      <c r="W731" s="245">
        <f>+W717/408/W723</f>
        <v>1.2313119715738321</v>
      </c>
      <c r="X731" s="246">
        <f>+X717/408/X723</f>
        <v>1.200413528188796</v>
      </c>
      <c r="Y731" s="3387">
        <f t="shared" ref="Y731" si="1831">+Y717/408/Y723</f>
        <v>1.2386957170997648</v>
      </c>
      <c r="Z731" s="355">
        <f>+Z717/408/Z723</f>
        <v>1.205347489540457</v>
      </c>
      <c r="AA731" s="3387">
        <f t="shared" ref="AA731" si="1832">+AA717/408/AA723</f>
        <v>1.2589452108603647</v>
      </c>
      <c r="AB731" s="246">
        <f>+AB717/408/AB723</f>
        <v>1.2112858170246594</v>
      </c>
      <c r="AC731" s="3387">
        <f t="shared" ref="AC731" si="1833">+AC717/408/AC723</f>
        <v>1.209994797054891</v>
      </c>
      <c r="AD731" s="245">
        <f>+AD717/408/AD723</f>
        <v>1.2361140580965353</v>
      </c>
      <c r="AE731" s="852">
        <f t="shared" ref="AE731" si="1834">+AE717/408/AE723</f>
        <v>1.2337746865112096</v>
      </c>
      <c r="AF731" s="829">
        <f>+AF717/408/AF723</f>
        <v>1.2111597942451793</v>
      </c>
    </row>
    <row r="732" spans="1:32" ht="35" customHeight="1" x14ac:dyDescent="0.25">
      <c r="C732" s="338"/>
      <c r="D732" s="8437"/>
      <c r="E732" s="67" t="s">
        <v>320</v>
      </c>
      <c r="F732" s="3413">
        <f>+F1505</f>
        <v>7954979.9999999814</v>
      </c>
      <c r="G732" s="3413">
        <f>+G1505</f>
        <v>8018420.0000000149</v>
      </c>
      <c r="H732" s="243">
        <f>SUM(F732:G732)</f>
        <v>15973399.999999996</v>
      </c>
      <c r="I732" s="3413">
        <f>+I1505</f>
        <v>8878109.9999999907</v>
      </c>
      <c r="J732" s="443">
        <f>SUM(H732:I732)</f>
        <v>24851509.999999985</v>
      </c>
      <c r="K732" s="3413">
        <f>+K1505</f>
        <v>0</v>
      </c>
      <c r="L732" s="243">
        <f>SUM(J732:K732)</f>
        <v>24851509.999999985</v>
      </c>
      <c r="M732" s="3413">
        <f>+M1505</f>
        <v>11148349.999999978</v>
      </c>
      <c r="N732" s="243">
        <f>SUM(L732:M732)</f>
        <v>35999859.999999963</v>
      </c>
      <c r="O732" s="3413">
        <f>+O1505</f>
        <v>9015110.0000000168</v>
      </c>
      <c r="P732" s="443">
        <f>+K732+M732+O732</f>
        <v>20163459.999999993</v>
      </c>
      <c r="Q732" s="2151">
        <f>+N732+O732</f>
        <v>45014969.999999978</v>
      </c>
      <c r="R732" s="3413">
        <f>+R1505</f>
        <v>9605579.9999999702</v>
      </c>
      <c r="S732" s="2283">
        <f>SUM(Q732:R732)</f>
        <v>54620549.999999948</v>
      </c>
      <c r="T732" s="3413">
        <f>+T1505</f>
        <v>9801200.0000000373</v>
      </c>
      <c r="U732" s="2283">
        <f>SUM(S732:T732)</f>
        <v>64421749.999999985</v>
      </c>
      <c r="V732" s="3413">
        <f>+V1505</f>
        <v>11378819.99999998</v>
      </c>
      <c r="W732" s="361">
        <f>+R732+T732+V732</f>
        <v>30785599.999999985</v>
      </c>
      <c r="X732" s="360">
        <f>+U732+V732</f>
        <v>75800569.99999997</v>
      </c>
      <c r="Y732" s="3413">
        <f>+Y1505</f>
        <v>10974870.000000015</v>
      </c>
      <c r="Z732" s="2283">
        <f>SUM(X732:Y732)</f>
        <v>86775439.999999985</v>
      </c>
      <c r="AA732" s="3413">
        <f>+AA1505</f>
        <v>10556600.000000006</v>
      </c>
      <c r="AB732" s="360">
        <f>SUM(Z732:AA732)</f>
        <v>97332039.999999985</v>
      </c>
      <c r="AC732" s="3413">
        <f>+AC1505</f>
        <v>10235830.000000009</v>
      </c>
      <c r="AD732" s="1388">
        <f>+Y732+AA732+AC732</f>
        <v>31767300.00000003</v>
      </c>
      <c r="AE732" s="1394">
        <f>+W732+AD732</f>
        <v>62552900.000000015</v>
      </c>
      <c r="AF732" s="1390">
        <f>+AB732+AC732</f>
        <v>107567870</v>
      </c>
    </row>
    <row r="733" spans="1:32" ht="33" x14ac:dyDescent="0.25">
      <c r="C733" s="338"/>
      <c r="D733" s="8437"/>
      <c r="E733" s="67" t="s">
        <v>163</v>
      </c>
      <c r="F733" s="90">
        <f t="shared" ref="F733:G733" si="1835">F732/F717</f>
        <v>33.80940035445763</v>
      </c>
      <c r="G733" s="90">
        <f t="shared" si="1835"/>
        <v>33.547067191030102</v>
      </c>
      <c r="H733" s="231">
        <f t="shared" ref="H733:AF733" si="1836">H732/H717</f>
        <v>33.677201992793719</v>
      </c>
      <c r="I733" s="90">
        <f t="shared" si="1836"/>
        <v>34.075673310534583</v>
      </c>
      <c r="J733" s="237">
        <f t="shared" si="1836"/>
        <v>33.818479961896962</v>
      </c>
      <c r="K733" s="90" t="e">
        <f t="shared" si="1836"/>
        <v>#DIV/0!</v>
      </c>
      <c r="L733" s="231">
        <f t="shared" si="1836"/>
        <v>33.818479961896962</v>
      </c>
      <c r="M733" s="90">
        <f t="shared" ref="M733:O733" si="1837">M732/M717</f>
        <v>33.191961295124607</v>
      </c>
      <c r="N733" s="231">
        <f t="shared" ref="N733" si="1838">N732/N717</f>
        <v>33.621947745686299</v>
      </c>
      <c r="O733" s="90">
        <f t="shared" si="1837"/>
        <v>36.250246289572267</v>
      </c>
      <c r="P733" s="237">
        <f t="shared" si="1836"/>
        <v>34.493042701765056</v>
      </c>
      <c r="Q733" s="2152">
        <f t="shared" si="1836"/>
        <v>34.117344340223234</v>
      </c>
      <c r="R733" s="90">
        <f t="shared" si="1836"/>
        <v>34.766044619460466</v>
      </c>
      <c r="S733" s="2284">
        <f t="shared" si="1836"/>
        <v>34.229664825895433</v>
      </c>
      <c r="T733" s="90">
        <f t="shared" si="1836"/>
        <v>31.522511714968584</v>
      </c>
      <c r="U733" s="2284">
        <f t="shared" si="1836"/>
        <v>33.788192286410343</v>
      </c>
      <c r="V733" s="90">
        <f t="shared" ref="V733" si="1839">V732/V717</f>
        <v>31.034471472871967</v>
      </c>
      <c r="W733" s="237">
        <f t="shared" si="1836"/>
        <v>32.274418945977949</v>
      </c>
      <c r="X733" s="231">
        <f t="shared" si="1836"/>
        <v>33.344053497888069</v>
      </c>
      <c r="Y733" s="90">
        <f t="shared" si="1836"/>
        <v>31.621944016250602</v>
      </c>
      <c r="Z733" s="2284">
        <f t="shared" si="1836"/>
        <v>33.115960419043091</v>
      </c>
      <c r="AA733" s="90">
        <f t="shared" ref="AA733" si="1840">AA732/AA717</f>
        <v>30.956681876297626</v>
      </c>
      <c r="AB733" s="231">
        <f t="shared" si="1836"/>
        <v>32.867311437334763</v>
      </c>
      <c r="AC733" s="90">
        <f t="shared" ref="AC733" si="1841">AC732/AC717</f>
        <v>31.986768832694825</v>
      </c>
      <c r="AD733" s="1348">
        <f t="shared" si="1836"/>
        <v>31.512708825399628</v>
      </c>
      <c r="AE733" s="1383">
        <f t="shared" si="1836"/>
        <v>31.883040792599612</v>
      </c>
      <c r="AF733" s="866">
        <f t="shared" si="1836"/>
        <v>32.781440040958564</v>
      </c>
    </row>
    <row r="734" spans="1:32" ht="35" customHeight="1" x14ac:dyDescent="0.25">
      <c r="C734" s="338">
        <f>(140*24*30)/1000</f>
        <v>100.8</v>
      </c>
      <c r="D734" s="8437"/>
      <c r="E734" s="67" t="s">
        <v>240</v>
      </c>
      <c r="F734" s="3814">
        <f>+(767.76*1000/F690)/24</f>
        <v>1066.3333333333333</v>
      </c>
      <c r="G734" s="3814">
        <f>+(757.44*1000/G690)/24</f>
        <v>1018.0645161290322</v>
      </c>
      <c r="H734" s="296">
        <f>+((F734*F690)+(G734*G690))/H690</f>
        <v>1041.8032786885246</v>
      </c>
      <c r="I734" s="3814">
        <f>+(876.7*1000/I690)/24</f>
        <v>1217.6388888888889</v>
      </c>
      <c r="J734" s="313">
        <f>+((H734*H690)+(I734*I690))/J690</f>
        <v>1099.7710622710622</v>
      </c>
      <c r="K734" s="3814">
        <f>+(757.44*1000/K690)/24</f>
        <v>1018.0645161290322</v>
      </c>
      <c r="L734" s="254">
        <f>+((J734*J690)+(K734*K690))/L690</f>
        <v>1079.0095628415299</v>
      </c>
      <c r="M734" s="3814">
        <f>+(1426.08*1000/31)/24</f>
        <v>1916.7741935483871</v>
      </c>
      <c r="N734" s="143">
        <f>+((L734*L690)+(M734*M690))/N690</f>
        <v>1248.7527233115468</v>
      </c>
      <c r="O734" s="3814">
        <f>+(1057.92*1000/30)/24</f>
        <v>1469.3333333333333</v>
      </c>
      <c r="P734" s="144">
        <f>+((K734*K690)+(M734*M690)+(O734*O690))/P690</f>
        <v>1468.0434782608695</v>
      </c>
      <c r="Q734" s="2140">
        <f>+((J734*J690)+(P734*P690))/Q690</f>
        <v>1284.9134790528233</v>
      </c>
      <c r="R734" s="3814">
        <f>+(1143.6*1000/31)/24</f>
        <v>1537.0967741935483</v>
      </c>
      <c r="S734" s="2285">
        <f>+((Q734*Q690)+(R734*R690))/S690</f>
        <v>1321.4447040498439</v>
      </c>
      <c r="T734" s="3814">
        <f>+(1122.48*1000/30)/24</f>
        <v>1559</v>
      </c>
      <c r="U734" s="2285">
        <f>+((S734*S690)+(T734*T690))/U690</f>
        <v>1350.6523224043715</v>
      </c>
      <c r="V734" s="3814">
        <f>+(1243.68*1000/31)/24</f>
        <v>1671.6129032258066</v>
      </c>
      <c r="W734" s="144">
        <f>+((R734*R690)+(T734*T690)+(V734*V690))/W690</f>
        <v>1589.5652173913043</v>
      </c>
      <c r="X734" s="254">
        <f>+((U734*U690)+(V734*V690))/X690</f>
        <v>1386.8333333333333</v>
      </c>
      <c r="Y734" s="3814">
        <f>+(1139.04*1000/31)/24</f>
        <v>1530.9677419354839</v>
      </c>
      <c r="Z734" s="2285">
        <f>+((X734*X690)+(Y734*Y690))/Z690</f>
        <v>1401.435185185185</v>
      </c>
      <c r="AA734" s="3814">
        <f>+(1049.52*1000/AA690)/24</f>
        <v>1507.9310344827588</v>
      </c>
      <c r="AB734" s="254">
        <f>+((Z734*Z690)+(AA734*AA690))/AB690</f>
        <v>1410.6542288557214</v>
      </c>
      <c r="AC734" s="3814">
        <f>+(1033.68*1000/31)/24</f>
        <v>1389.3548387096778</v>
      </c>
      <c r="AD734" s="1079">
        <f>+((Y734*Y690)+(AA734*AA690)+(AC734*AC690))/AD690</f>
        <v>1475.3846153846155</v>
      </c>
      <c r="AE734" s="1233">
        <f>+((W734*W690)+(AD734*AD690))/AE690</f>
        <v>1532.7868852459017</v>
      </c>
      <c r="AF734" s="811">
        <f>+((AB734*AB690)+(AC734*AC690))/AF690</f>
        <v>1408.8501821493626</v>
      </c>
    </row>
    <row r="735" spans="1:32" ht="35" customHeight="1" x14ac:dyDescent="0.25">
      <c r="C735" s="338">
        <v>4344</v>
      </c>
      <c r="D735" s="8437"/>
      <c r="E735" s="67" t="s">
        <v>1112</v>
      </c>
      <c r="F735" s="3325">
        <v>1.4E-2</v>
      </c>
      <c r="G735" s="3325">
        <v>1.2999999999999999E-2</v>
      </c>
      <c r="H735" s="257">
        <f>+((F735*F717)+(G735*G717))/H717</f>
        <v>1.3496066909967975E-2</v>
      </c>
      <c r="I735" s="3325">
        <v>1.4E-2</v>
      </c>
      <c r="J735" s="416">
        <f>+((I735*I717)+(H735*H717))/J717</f>
        <v>1.3674736340749814E-2</v>
      </c>
      <c r="K735" s="3325"/>
      <c r="L735" s="257">
        <f>+((J735*J717)+(K735*K717))/L717</f>
        <v>1.3674736340749814E-2</v>
      </c>
      <c r="M735" s="3325">
        <v>1.7999999999999999E-2</v>
      </c>
      <c r="N735" s="1723">
        <f>+((L735*L717)+(M735*M717))/N717</f>
        <v>1.5031525368325201E-2</v>
      </c>
      <c r="O735" s="3325">
        <v>1.7999999999999999E-2</v>
      </c>
      <c r="P735" s="179">
        <f>+((K735*K717)+(M735*M717)+(O735*O717))/P717</f>
        <v>1.7999999999999999E-2</v>
      </c>
      <c r="Q735" s="2183">
        <f>+((J735*J717)+(P735*P717))/Q717</f>
        <v>1.5591040278426213E-2</v>
      </c>
      <c r="R735" s="3325">
        <v>1.7999999999999999E-2</v>
      </c>
      <c r="S735" s="2308">
        <f>+((Q735*Q717)+(R735*R717))/S717</f>
        <v>1.6008144347211394E-2</v>
      </c>
      <c r="T735" s="3325">
        <v>1.4999999999999999E-2</v>
      </c>
      <c r="U735" s="2308">
        <f>+((S735*S717)+(T735*T717))/U717</f>
        <v>1.5843739887288336E-2</v>
      </c>
      <c r="V735" s="3325">
        <v>1.4E-2</v>
      </c>
      <c r="W735" s="179">
        <f>+((R735*R717)+(T735*T717)+(V735*V717))/W717</f>
        <v>1.5484578611341169E-2</v>
      </c>
      <c r="X735" s="257">
        <f>+((U735*U717)+(V735*V717))/X717</f>
        <v>1.5546369000644879E-2</v>
      </c>
      <c r="Y735" s="3325">
        <v>1.4E-2</v>
      </c>
      <c r="Z735" s="2308">
        <f>+((X735*X717)+(Y735*Y717))/Z717</f>
        <v>1.5341552715647635E-2</v>
      </c>
      <c r="AA735" s="3325">
        <v>1.2999999999999999E-2</v>
      </c>
      <c r="AB735" s="257">
        <f>+((Z735*Z717)+(AA735*AA717))/AB717</f>
        <v>1.5071914182759763E-2</v>
      </c>
      <c r="AC735" s="3325">
        <v>1.4E-2</v>
      </c>
      <c r="AD735" s="1328">
        <f>+((Y735*Y717)+(AA735*AA717)+(AC735*AC717))/AD717</f>
        <v>1.3661720956393298E-2</v>
      </c>
      <c r="AE735" s="2536">
        <f>+((W735*W717)+(AD735*AD717))/AE717</f>
        <v>1.4547966843174822E-2</v>
      </c>
      <c r="AF735" s="1105">
        <f>+((AB735*AB717)+(AC735*AC717))/AF717</f>
        <v>1.496738003849008E-2</v>
      </c>
    </row>
    <row r="736" spans="1:32" ht="35" customHeight="1" x14ac:dyDescent="0.25">
      <c r="C736" s="338">
        <f>+(C734*C735)/F717</f>
        <v>1.8610100769691742</v>
      </c>
      <c r="D736" s="8437">
        <v>36.06</v>
      </c>
      <c r="E736" s="157" t="s">
        <v>164</v>
      </c>
      <c r="F736" s="3390"/>
      <c r="G736" s="3390"/>
      <c r="H736" s="3726"/>
      <c r="I736" s="3390"/>
      <c r="J736" s="3630"/>
      <c r="K736" s="3390"/>
      <c r="L736" s="3630"/>
      <c r="M736" s="3390"/>
      <c r="N736" s="3630"/>
      <c r="O736" s="3390"/>
      <c r="P736" s="3630"/>
      <c r="Q736" s="3630"/>
      <c r="R736" s="3390"/>
      <c r="S736" s="3630"/>
      <c r="T736" s="3390"/>
      <c r="U736" s="3630"/>
      <c r="V736" s="3390"/>
      <c r="W736" s="3685"/>
      <c r="X736" s="3685"/>
      <c r="Y736" s="3390"/>
      <c r="Z736" s="3630"/>
      <c r="AA736" s="3390"/>
      <c r="AB736" s="3685"/>
      <c r="AC736" s="3390"/>
      <c r="AD736" s="3685"/>
      <c r="AE736" s="3727"/>
      <c r="AF736" s="3634"/>
    </row>
    <row r="737" spans="1:289" ht="35" customHeight="1" x14ac:dyDescent="0.25">
      <c r="C737" s="338"/>
      <c r="D737" s="8437"/>
      <c r="E737" s="67" t="s">
        <v>165</v>
      </c>
      <c r="F737" s="1483">
        <f t="shared" ref="F737:G737" si="1842">+F692/F717*1000</f>
        <v>843.4733455452656</v>
      </c>
      <c r="G737" s="1483">
        <f t="shared" si="1842"/>
        <v>847.20943854070788</v>
      </c>
      <c r="H737" s="343">
        <f t="shared" ref="H737:I737" si="1843">+H692/H717*1000</f>
        <v>845.35608643310593</v>
      </c>
      <c r="I737" s="1483">
        <f t="shared" si="1843"/>
        <v>846.31593492003174</v>
      </c>
      <c r="J737" s="306">
        <f t="shared" ref="J737:K737" si="1844">+J692/J717*1000</f>
        <v>845.69640062597807</v>
      </c>
      <c r="K737" s="1483" t="e">
        <f t="shared" si="1844"/>
        <v>#DIV/0!</v>
      </c>
      <c r="L737" s="343">
        <f t="shared" ref="L737:M737" si="1845">+L692/L717*1000</f>
        <v>845.69640062597807</v>
      </c>
      <c r="M737" s="1483">
        <f t="shared" si="1845"/>
        <v>867.78712318570899</v>
      </c>
      <c r="N737" s="343">
        <f t="shared" ref="N737:O737" si="1846">+N692/N717*1000</f>
        <v>852.62602442270418</v>
      </c>
      <c r="O737" s="1483">
        <f t="shared" si="1846"/>
        <v>869.80630581725916</v>
      </c>
      <c r="P737" s="306">
        <f t="shared" ref="P737" si="1847">+P692/P717*1000</f>
        <v>868.64614089769168</v>
      </c>
      <c r="Q737" s="3028">
        <f t="shared" ref="Q737:T737" si="1848">+Q692/Q717*1000</f>
        <v>855.86426115796689</v>
      </c>
      <c r="R737" s="1483">
        <f t="shared" si="1848"/>
        <v>876.54727607024449</v>
      </c>
      <c r="S737" s="343">
        <f t="shared" si="1848"/>
        <v>859.44546245303025</v>
      </c>
      <c r="T737" s="1483">
        <f t="shared" si="1848"/>
        <v>855.68959916636379</v>
      </c>
      <c r="U737" s="343">
        <f t="shared" ref="U737:V737" si="1849">+U692/U717*1000</f>
        <v>858.8329701280004</v>
      </c>
      <c r="V737" s="1483">
        <f t="shared" si="1849"/>
        <v>862.47957867290688</v>
      </c>
      <c r="W737" s="306">
        <f t="shared" ref="W737" si="1850">+W692/W717*1000</f>
        <v>864.34105276400351</v>
      </c>
      <c r="X737" s="343">
        <f t="shared" ref="X737:Y737" si="1851">+X692/X717*1000</f>
        <v>859.42111991188085</v>
      </c>
      <c r="Y737" s="1483">
        <f t="shared" si="1851"/>
        <v>864.47495425928855</v>
      </c>
      <c r="Z737" s="343">
        <f t="shared" ref="Z737:AA737" si="1852">+Z692/Z717*1000</f>
        <v>860.09049932623532</v>
      </c>
      <c r="AA737" s="1483">
        <f t="shared" si="1852"/>
        <v>860.17207605597457</v>
      </c>
      <c r="AB737" s="343">
        <f t="shared" ref="AB737:AC737" si="1853">+AB692/AB717*1000</f>
        <v>860.09989319107444</v>
      </c>
      <c r="AC737" s="1483">
        <f t="shared" si="1853"/>
        <v>864.05709964312723</v>
      </c>
      <c r="AD737" s="744">
        <f>+AD692/AD717*1000</f>
        <v>862.8867380433478</v>
      </c>
      <c r="AE737" s="3028">
        <f t="shared" ref="AE737" si="1854">+AE692/AE717*1000</f>
        <v>863.59380391641173</v>
      </c>
      <c r="AF737" s="749">
        <f t="shared" ref="AF737" si="1855">+AF692/AF717*1000</f>
        <v>860.48580392611007</v>
      </c>
    </row>
    <row r="738" spans="1:289" s="394" customFormat="1" ht="35" customHeight="1" x14ac:dyDescent="0.25">
      <c r="A738" s="2"/>
      <c r="B738" s="2"/>
      <c r="C738" s="338"/>
      <c r="D738" s="8437"/>
      <c r="E738" s="67" t="s">
        <v>166</v>
      </c>
      <c r="F738" s="142">
        <f t="shared" ref="F738:G738" si="1856">+((F693+F705)/F717)*1000</f>
        <v>57.376247933392548</v>
      </c>
      <c r="G738" s="142">
        <f t="shared" si="1856"/>
        <v>52.296878922265918</v>
      </c>
      <c r="H738" s="254">
        <f t="shared" ref="H738:I738" si="1857">+((H693+H705)/H717)*1000</f>
        <v>54.81658581220259</v>
      </c>
      <c r="I738" s="142">
        <f t="shared" si="1857"/>
        <v>55.833822699690259</v>
      </c>
      <c r="J738" s="253">
        <f t="shared" ref="J738:K738" si="1858">+((J693+J705)/J717)*1000</f>
        <v>55.177247057222566</v>
      </c>
      <c r="K738" s="142" t="e">
        <f t="shared" si="1858"/>
        <v>#DIV/0!</v>
      </c>
      <c r="L738" s="254">
        <f t="shared" ref="L738:M738" si="1859">+((L693+L705)/L717)*1000</f>
        <v>55.177247057222566</v>
      </c>
      <c r="M738" s="142">
        <f t="shared" si="1859"/>
        <v>70.669147748418311</v>
      </c>
      <c r="N738" s="254">
        <f t="shared" ref="N738:O738" si="1860">+((N693+N705)/N717)*1000</f>
        <v>60.036890891685537</v>
      </c>
      <c r="O738" s="142">
        <f t="shared" si="1860"/>
        <v>81.08857980385298</v>
      </c>
      <c r="P738" s="253">
        <f t="shared" ref="P738" si="1861">+((P693+P705)/P717)*1000</f>
        <v>75.101870447477282</v>
      </c>
      <c r="Q738" s="2140">
        <f t="shared" ref="Q738:T738" si="1862">+((Q693+Q705)/Q717)*1000</f>
        <v>64.00483244101936</v>
      </c>
      <c r="R738" s="142">
        <f t="shared" si="1862"/>
        <v>75.539646460990539</v>
      </c>
      <c r="S738" s="254">
        <f t="shared" si="1862"/>
        <v>66.002050500467504</v>
      </c>
      <c r="T738" s="142">
        <f t="shared" si="1862"/>
        <v>75.133391439148099</v>
      </c>
      <c r="U738" s="254">
        <f t="shared" ref="U738:V738" si="1863">+((U693+U705)/U717)*1000</f>
        <v>67.491155884582</v>
      </c>
      <c r="V738" s="142">
        <f t="shared" si="1863"/>
        <v>76.527815279380121</v>
      </c>
      <c r="W738" s="253">
        <f t="shared" ref="W738" si="1864">+((W693+W705)/W717)*1000</f>
        <v>75.787056936479814</v>
      </c>
      <c r="X738" s="254">
        <f t="shared" ref="X738:Y738" si="1865">+((X693+X705)/X717)*1000</f>
        <v>68.948649663966606</v>
      </c>
      <c r="Y738" s="142">
        <f t="shared" si="1865"/>
        <v>65.036808666964404</v>
      </c>
      <c r="Z738" s="254">
        <f t="shared" ref="Z738:AA738" si="1866">+((Z693+Z705)/Z717)*1000</f>
        <v>68.430527055344868</v>
      </c>
      <c r="AA738" s="142">
        <f t="shared" si="1866"/>
        <v>79.164369582302101</v>
      </c>
      <c r="AB738" s="254">
        <f t="shared" ref="AB738:AC738" si="1867">+((AB693+AB705)/AB717)*1000</f>
        <v>69.666569076469173</v>
      </c>
      <c r="AC738" s="142">
        <f t="shared" si="1867"/>
        <v>76.562021487365698</v>
      </c>
      <c r="AD738" s="828">
        <f t="shared" ref="AD738:AE738" si="1868">+((AD693+AD705)/AD717)*1000</f>
        <v>73.474400319816212</v>
      </c>
      <c r="AE738" s="2140">
        <f t="shared" si="1868"/>
        <v>74.598779071219496</v>
      </c>
      <c r="AF738" s="829">
        <f t="shared" ref="AF738" si="1869">+((AF693+AF705)/AF717)*1000</f>
        <v>70.339020499091077</v>
      </c>
      <c r="AG738" s="4756"/>
      <c r="AH738" s="4756"/>
      <c r="AI738" s="4756"/>
      <c r="AJ738" s="4756"/>
      <c r="AK738" s="4756"/>
      <c r="AL738" s="4756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  <c r="JC738" s="2"/>
      <c r="JD738" s="2"/>
      <c r="JE738" s="2"/>
      <c r="JF738" s="2"/>
      <c r="JG738" s="2"/>
      <c r="JH738" s="2"/>
      <c r="JI738" s="2"/>
      <c r="JJ738" s="2"/>
      <c r="JK738" s="2"/>
      <c r="JL738" s="2"/>
      <c r="JM738" s="2"/>
      <c r="JN738" s="2"/>
      <c r="JO738" s="2"/>
      <c r="JP738" s="2"/>
      <c r="JQ738" s="2"/>
      <c r="JR738" s="2"/>
      <c r="JS738" s="2"/>
      <c r="JT738" s="2"/>
      <c r="JU738" s="2"/>
      <c r="JV738" s="2"/>
      <c r="JW738" s="2"/>
      <c r="JX738" s="2"/>
      <c r="JY738" s="2"/>
      <c r="JZ738" s="2"/>
      <c r="KA738" s="2"/>
      <c r="KB738" s="2"/>
      <c r="KC738" s="2"/>
    </row>
    <row r="739" spans="1:289" s="394" customFormat="1" ht="35" customHeight="1" x14ac:dyDescent="0.25">
      <c r="A739" s="2"/>
      <c r="B739" s="2"/>
      <c r="C739" s="338"/>
      <c r="D739" s="8437"/>
      <c r="E739" s="67" t="s">
        <v>167</v>
      </c>
      <c r="F739" s="142">
        <f t="shared" ref="F739:G739" si="1870">+F694/F717*1000</f>
        <v>90.671472104518273</v>
      </c>
      <c r="G739" s="142">
        <f t="shared" si="1870"/>
        <v>91.088611831645892</v>
      </c>
      <c r="H739" s="254">
        <f t="shared" ref="H739:I739" si="1871">+H694/H717*1000</f>
        <v>90.881682616184804</v>
      </c>
      <c r="I739" s="142">
        <f t="shared" si="1871"/>
        <v>88.277852622044122</v>
      </c>
      <c r="J739" s="253">
        <f t="shared" ref="J739:K739" si="1872">+J694/J717*1000</f>
        <v>89.958494930938286</v>
      </c>
      <c r="K739" s="142" t="e">
        <f t="shared" si="1872"/>
        <v>#DIV/0!</v>
      </c>
      <c r="L739" s="254">
        <f t="shared" ref="L739:M739" si="1873">+L694/L717*1000</f>
        <v>89.958494930938286</v>
      </c>
      <c r="M739" s="142">
        <f t="shared" si="1873"/>
        <v>81.96203944919985</v>
      </c>
      <c r="N739" s="254">
        <f t="shared" ref="N739:O739" si="1874">+N694/N717*1000</f>
        <v>87.45009222722922</v>
      </c>
      <c r="O739" s="142">
        <f t="shared" si="1874"/>
        <v>87.759508788014045</v>
      </c>
      <c r="P739" s="253">
        <f t="shared" ref="P739" si="1875">+P694/P717*1000</f>
        <v>84.428447771509127</v>
      </c>
      <c r="Q739" s="2140">
        <f t="shared" ref="Q739:T739" si="1876">+Q694/Q717*1000</f>
        <v>87.508412812941486</v>
      </c>
      <c r="R739" s="142">
        <f t="shared" si="1876"/>
        <v>79.209676718833691</v>
      </c>
      <c r="S739" s="254">
        <f t="shared" si="1876"/>
        <v>86.071511830485278</v>
      </c>
      <c r="T739" s="142">
        <f t="shared" si="1876"/>
        <v>90.924879473316892</v>
      </c>
      <c r="U739" s="254">
        <f t="shared" ref="U739:V739" si="1877">+U694/U717*1000</f>
        <v>86.862981115945104</v>
      </c>
      <c r="V739" s="142">
        <f t="shared" si="1877"/>
        <v>93.598544665090245</v>
      </c>
      <c r="W739" s="253">
        <f t="shared" ref="W739" si="1878">+W694/W717*1000</f>
        <v>88.559237631962432</v>
      </c>
      <c r="X739" s="254">
        <f t="shared" ref="X739:Y739" si="1879">+X694/X717*1000</f>
        <v>87.94933853461464</v>
      </c>
      <c r="Y739" s="142">
        <f t="shared" si="1879"/>
        <v>94.829498797055308</v>
      </c>
      <c r="Z739" s="254">
        <f t="shared" ref="Z739:AA739" si="1880">+Z694/Z717*1000</f>
        <v>88.860614474931026</v>
      </c>
      <c r="AA739" s="142">
        <f t="shared" si="1880"/>
        <v>102.16062777849459</v>
      </c>
      <c r="AB739" s="254">
        <f t="shared" ref="AB739:AC739" si="1881">+AB694/AB717*1000</f>
        <v>90.392160636841879</v>
      </c>
      <c r="AC739" s="142">
        <f t="shared" si="1881"/>
        <v>98.627508578071385</v>
      </c>
      <c r="AD739" s="828">
        <f>+AD694/AD717*1000</f>
        <v>98.515096535092979</v>
      </c>
      <c r="AE739" s="2140">
        <f t="shared" ref="AE739" si="1882">+AE694/AE717*1000</f>
        <v>93.674708160099982</v>
      </c>
      <c r="AF739" s="829">
        <f t="shared" ref="AF739" si="1883">+AF694/AF717*1000</f>
        <v>91.195280013043345</v>
      </c>
      <c r="AG739" s="4756"/>
      <c r="AH739" s="4756"/>
      <c r="AI739" s="4756"/>
      <c r="AJ739" s="4756"/>
      <c r="AK739" s="4756"/>
      <c r="AL739" s="4756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  <c r="JC739" s="2"/>
      <c r="JD739" s="2"/>
      <c r="JE739" s="2"/>
      <c r="JF739" s="2"/>
      <c r="JG739" s="2"/>
      <c r="JH739" s="2"/>
      <c r="JI739" s="2"/>
      <c r="JJ739" s="2"/>
      <c r="JK739" s="2"/>
      <c r="JL739" s="2"/>
      <c r="JM739" s="2"/>
      <c r="JN739" s="2"/>
      <c r="JO739" s="2"/>
      <c r="JP739" s="2"/>
      <c r="JQ739" s="2"/>
      <c r="JR739" s="2"/>
      <c r="JS739" s="2"/>
      <c r="JT739" s="2"/>
      <c r="JU739" s="2"/>
      <c r="JV739" s="2"/>
      <c r="JW739" s="2"/>
      <c r="JX739" s="2"/>
      <c r="JY739" s="2"/>
      <c r="JZ739" s="2"/>
      <c r="KA739" s="2"/>
      <c r="KB739" s="2"/>
      <c r="KC739" s="2"/>
    </row>
    <row r="740" spans="1:289" ht="35" customHeight="1" x14ac:dyDescent="0.25">
      <c r="C740" s="338"/>
      <c r="D740" s="8437"/>
      <c r="E740" s="67" t="s">
        <v>328</v>
      </c>
      <c r="F740" s="142">
        <f t="shared" ref="F740:G740" si="1884">+F701/F717*1000</f>
        <v>146.62818916311429</v>
      </c>
      <c r="G740" s="142">
        <f t="shared" si="1884"/>
        <v>156.29236047192705</v>
      </c>
      <c r="H740" s="254">
        <f t="shared" ref="H740:I740" si="1885">+H701/H717*1000</f>
        <v>151.49828487336313</v>
      </c>
      <c r="I740" s="142">
        <f t="shared" si="1885"/>
        <v>155.11570155944744</v>
      </c>
      <c r="J740" s="253">
        <f t="shared" ref="J740:K740" si="1886">+J701/J717*1000</f>
        <v>152.78083962713478</v>
      </c>
      <c r="K740" s="142" t="e">
        <f t="shared" si="1886"/>
        <v>#DIV/0!</v>
      </c>
      <c r="L740" s="254">
        <f t="shared" ref="L740:M740" si="1887">+L701/L717*1000</f>
        <v>152.78083962713478</v>
      </c>
      <c r="M740" s="142">
        <f t="shared" si="1887"/>
        <v>90.453293636025307</v>
      </c>
      <c r="N740" s="254">
        <f t="shared" ref="N740:O740" si="1888">+N701/N717*1000</f>
        <v>133.22935394242219</v>
      </c>
      <c r="O740" s="142">
        <f t="shared" si="1888"/>
        <v>133.09287428978129</v>
      </c>
      <c r="P740" s="253">
        <f t="shared" ref="P740" si="1889">+P701/P717*1000</f>
        <v>108.59338380952707</v>
      </c>
      <c r="Q740" s="2140">
        <f t="shared" ref="Q740:T740" si="1890">+Q701/Q717*1000</f>
        <v>133.20362948455983</v>
      </c>
      <c r="R740" s="142">
        <f t="shared" si="1890"/>
        <v>115.48289490828543</v>
      </c>
      <c r="S740" s="254">
        <f t="shared" si="1890"/>
        <v>130.13533804430386</v>
      </c>
      <c r="T740" s="142">
        <f t="shared" si="1890"/>
        <v>137.72364574321301</v>
      </c>
      <c r="U740" s="254">
        <f t="shared" ref="U740:V740" si="1891">+U701/U717*1000</f>
        <v>131.3728112617255</v>
      </c>
      <c r="V740" s="142">
        <f t="shared" si="1891"/>
        <v>122.81161104156268</v>
      </c>
      <c r="W740" s="253">
        <f t="shared" ref="W740" si="1892">+W701/W717*1000</f>
        <v>125.54960319540398</v>
      </c>
      <c r="X740" s="254">
        <f t="shared" ref="X740:Y740" si="1893">+X701/X717*1000</f>
        <v>129.99200276604</v>
      </c>
      <c r="Y740" s="142">
        <f t="shared" si="1893"/>
        <v>127.52366271447713</v>
      </c>
      <c r="Z740" s="254">
        <f t="shared" ref="Z740:AA740" si="1894">+Z701/Z717*1000</f>
        <v>129.66507158773769</v>
      </c>
      <c r="AA740" s="142">
        <f t="shared" si="1894"/>
        <v>129.65232895030087</v>
      </c>
      <c r="AB740" s="254">
        <f t="shared" ref="AB740:AC740" si="1895">+AB701/AB717*1000</f>
        <v>129.66360422548669</v>
      </c>
      <c r="AC740" s="142">
        <f t="shared" si="1895"/>
        <v>135.26477959512752</v>
      </c>
      <c r="AD740" s="815">
        <f t="shared" ref="AD740:AE740" si="1896">+AD701/AD717*1000</f>
        <v>130.70106608708247</v>
      </c>
      <c r="AE740" s="2140">
        <f t="shared" si="1896"/>
        <v>128.1965025594447</v>
      </c>
      <c r="AF740" s="829">
        <f t="shared" ref="AF740" si="1897">+AF701/AF717*1000</f>
        <v>130.20983645525567</v>
      </c>
    </row>
    <row r="741" spans="1:289" ht="35" customHeight="1" x14ac:dyDescent="0.25">
      <c r="C741" s="338"/>
      <c r="D741" s="8437"/>
      <c r="E741" s="67" t="s">
        <v>1233</v>
      </c>
      <c r="F741" s="80">
        <f t="shared" ref="F741:G741" si="1898">+F697/F717*1000</f>
        <v>20.336692323058028</v>
      </c>
      <c r="G741" s="80">
        <f t="shared" si="1898"/>
        <v>18.404317630323821</v>
      </c>
      <c r="H741" s="254">
        <f t="shared" ref="H741:L741" si="1899">+H697/H717*1000</f>
        <v>19.362904773048793</v>
      </c>
      <c r="I741" s="80">
        <f t="shared" si="1899"/>
        <v>16.074245512222642</v>
      </c>
      <c r="J741" s="253">
        <f t="shared" si="1899"/>
        <v>18.196910934204258</v>
      </c>
      <c r="K741" s="80" t="e">
        <f t="shared" si="1899"/>
        <v>#DIV/0!</v>
      </c>
      <c r="L741" s="254">
        <f t="shared" si="1899"/>
        <v>18.196910934204258</v>
      </c>
      <c r="M741" s="80">
        <f t="shared" ref="M741:O741" si="1900">+M697/M717*1000</f>
        <v>4.46594715295869</v>
      </c>
      <c r="N741" s="254">
        <f t="shared" ref="N741" si="1901">+N697/N717*1000</f>
        <v>13.889654206262113</v>
      </c>
      <c r="O741" s="80">
        <f t="shared" si="1900"/>
        <v>6.2245919635209965</v>
      </c>
      <c r="P741" s="253">
        <f t="shared" ref="P741" si="1902">+P697/P717*1000</f>
        <v>5.2141246668468568</v>
      </c>
      <c r="Q741" s="2140">
        <f t="shared" ref="Q741:T741" si="1903">+Q697/Q717*1000</f>
        <v>12.444899864788665</v>
      </c>
      <c r="R741" s="80">
        <f t="shared" si="1903"/>
        <v>5.3638903768476833</v>
      </c>
      <c r="S741" s="254">
        <f t="shared" si="1903"/>
        <v>11.218844550506734</v>
      </c>
      <c r="T741" s="80">
        <f t="shared" si="1903"/>
        <v>5.1780643044830459</v>
      </c>
      <c r="U741" s="254">
        <f t="shared" ref="U741:V741" si="1904">+U697/U717*1000</f>
        <v>10.233736399468173</v>
      </c>
      <c r="V741" s="80">
        <f t="shared" si="1904"/>
        <v>9.4585859577636491</v>
      </c>
      <c r="W741" s="253">
        <f t="shared" ref="W741" si="1905">+W697/W717*1000</f>
        <v>6.8772474236531185</v>
      </c>
      <c r="X741" s="254">
        <f t="shared" ref="X741:Y741" si="1906">+X697/X717*1000</f>
        <v>10.10871487353549</v>
      </c>
      <c r="Y741" s="80">
        <f t="shared" si="1906"/>
        <v>4.5927996196677858</v>
      </c>
      <c r="Z741" s="254">
        <f t="shared" ref="Z741:AA741" si="1907">+Z697/Z717*1000</f>
        <v>9.3781329295197473</v>
      </c>
      <c r="AA741" s="80">
        <f t="shared" si="1907"/>
        <v>6.1581410624846047</v>
      </c>
      <c r="AB741" s="254">
        <f t="shared" ref="AB741:AF741" si="1908">+AB697/AB717*1000</f>
        <v>9.0073388503874749</v>
      </c>
      <c r="AC741" s="80">
        <f t="shared" si="1908"/>
        <v>17.153017793638789</v>
      </c>
      <c r="AD741" s="253">
        <f t="shared" si="1908"/>
        <v>9.1094051160672915</v>
      </c>
      <c r="AE741" s="2140">
        <f t="shared" si="1908"/>
        <v>8.0241637269878066</v>
      </c>
      <c r="AF741" s="829">
        <f t="shared" si="1908"/>
        <v>9.8017136161323108</v>
      </c>
    </row>
    <row r="742" spans="1:289" ht="35" customHeight="1" x14ac:dyDescent="0.25">
      <c r="C742" s="338"/>
      <c r="D742" s="8437"/>
      <c r="E742" s="67" t="s">
        <v>152</v>
      </c>
      <c r="F742" s="142">
        <f t="shared" ref="F742:G742" si="1909">+F698/F717*1000</f>
        <v>6.1201331128952052</v>
      </c>
      <c r="G742" s="142">
        <f t="shared" si="1909"/>
        <v>12.969625972721948</v>
      </c>
      <c r="H742" s="254">
        <f t="shared" ref="H742:I742" si="1910">+H698/H717*1000</f>
        <v>9.5718192148999908</v>
      </c>
      <c r="I742" s="142">
        <f t="shared" si="1910"/>
        <v>9.4035103880003525</v>
      </c>
      <c r="J742" s="253">
        <f t="shared" ref="J742:K742" si="1911">+J698/J717*1000</f>
        <v>9.5121453357828134</v>
      </c>
      <c r="K742" s="142" t="e">
        <f t="shared" si="1911"/>
        <v>#DIV/0!</v>
      </c>
      <c r="L742" s="254">
        <f t="shared" ref="L742:M742" si="1912">+L698/L717*1000</f>
        <v>9.5121453357828134</v>
      </c>
      <c r="M742" s="142">
        <f t="shared" si="1912"/>
        <v>11.164867882396726</v>
      </c>
      <c r="N742" s="254">
        <f t="shared" ref="N742:O742" si="1913">+N698/N717*1000</f>
        <v>10.030586751967125</v>
      </c>
      <c r="O742" s="142">
        <f t="shared" si="1913"/>
        <v>12.348657571041976</v>
      </c>
      <c r="P742" s="253">
        <f t="shared" ref="P742" si="1914">+P698/P717*1000</f>
        <v>11.668485679974545</v>
      </c>
      <c r="Q742" s="2140">
        <f t="shared" ref="Q742:T742" si="1915">+Q698/Q717*1000</f>
        <v>10.467509868002207</v>
      </c>
      <c r="R742" s="142">
        <f t="shared" si="1915"/>
        <v>11.668814153142328</v>
      </c>
      <c r="S742" s="254">
        <f t="shared" si="1915"/>
        <v>10.675512061103912</v>
      </c>
      <c r="T742" s="142">
        <f t="shared" si="1915"/>
        <v>12.202221100129613</v>
      </c>
      <c r="U742" s="254">
        <f t="shared" ref="U742:V742" si="1916">+U698/U717*1000</f>
        <v>10.924482137378154</v>
      </c>
      <c r="V742" s="142">
        <f t="shared" si="1916"/>
        <v>8.5094544948738733</v>
      </c>
      <c r="W742" s="253">
        <f t="shared" ref="W742" si="1917">+W698/W717*1000</f>
        <v>10.628282680029773</v>
      </c>
      <c r="X742" s="254">
        <f t="shared" ref="X742:Y742" si="1918">+X698/X717*1000</f>
        <v>10.534970082954805</v>
      </c>
      <c r="Y742" s="142">
        <f t="shared" si="1918"/>
        <v>11.427254260729258</v>
      </c>
      <c r="Z742" s="254">
        <f t="shared" ref="Z742:AA742" si="1919">+Z698/Z717*1000</f>
        <v>10.653152955462836</v>
      </c>
      <c r="AA742" s="142">
        <f t="shared" si="1919"/>
        <v>5.8795584906103011</v>
      </c>
      <c r="AB742" s="254">
        <f t="shared" ref="AB742:AE742" si="1920">+AB698/AB717*1000</f>
        <v>10.103455739806298</v>
      </c>
      <c r="AC742" s="142">
        <f t="shared" si="1920"/>
        <v>2.4999843750976556</v>
      </c>
      <c r="AD742" s="253">
        <f t="shared" si="1920"/>
        <v>6.716735493944423</v>
      </c>
      <c r="AE742" s="2140">
        <f t="shared" si="1920"/>
        <v>8.6184707145802477</v>
      </c>
      <c r="AF742" s="811">
        <f t="shared" ref="AF742" si="1921">+AF698/AF717*1000</f>
        <v>9.36195759996221</v>
      </c>
    </row>
    <row r="743" spans="1:289" ht="35" customHeight="1" x14ac:dyDescent="0.25">
      <c r="C743" s="338"/>
      <c r="D743" s="8437"/>
      <c r="E743" s="67" t="s">
        <v>1388</v>
      </c>
      <c r="F743" s="142">
        <f t="shared" ref="F743:G743" si="1922">+F696/F717*1000</f>
        <v>0</v>
      </c>
      <c r="G743" s="142">
        <f t="shared" si="1922"/>
        <v>0</v>
      </c>
      <c r="H743" s="254">
        <f t="shared" ref="H743:K743" si="1923">+H696/H717*1000</f>
        <v>0</v>
      </c>
      <c r="I743" s="142">
        <f t="shared" si="1923"/>
        <v>0</v>
      </c>
      <c r="J743" s="253">
        <f t="shared" si="1923"/>
        <v>0</v>
      </c>
      <c r="K743" s="142" t="e">
        <f t="shared" si="1923"/>
        <v>#DIV/0!</v>
      </c>
      <c r="L743" s="254">
        <f t="shared" ref="L743:V743" si="1924">+L696/L717*1000</f>
        <v>0</v>
      </c>
      <c r="M743" s="142">
        <f t="shared" si="1924"/>
        <v>0</v>
      </c>
      <c r="N743" s="254">
        <f t="shared" si="1924"/>
        <v>0</v>
      </c>
      <c r="O743" s="142">
        <f t="shared" ref="O743" si="1925">+O696/O717*1000</f>
        <v>0</v>
      </c>
      <c r="P743" s="253">
        <f t="shared" si="1924"/>
        <v>0</v>
      </c>
      <c r="Q743" s="2140">
        <f t="shared" si="1924"/>
        <v>0</v>
      </c>
      <c r="R743" s="142">
        <f t="shared" ref="R743" si="1926">+R696/R717*1000</f>
        <v>0</v>
      </c>
      <c r="S743" s="254">
        <f t="shared" si="1924"/>
        <v>0</v>
      </c>
      <c r="T743" s="142">
        <f t="shared" si="1924"/>
        <v>0</v>
      </c>
      <c r="U743" s="254">
        <f t="shared" si="1924"/>
        <v>0</v>
      </c>
      <c r="V743" s="142">
        <f t="shared" si="1924"/>
        <v>0</v>
      </c>
      <c r="W743" s="253">
        <f t="shared" ref="W743:AF743" si="1927">+W696/W717*1000</f>
        <v>0</v>
      </c>
      <c r="X743" s="254">
        <f t="shared" si="1927"/>
        <v>0</v>
      </c>
      <c r="Y743" s="142">
        <f t="shared" si="1927"/>
        <v>0</v>
      </c>
      <c r="Z743" s="254">
        <f t="shared" si="1927"/>
        <v>0</v>
      </c>
      <c r="AA743" s="142">
        <f t="shared" ref="AA743" si="1928">+AA696/AA717*1000</f>
        <v>0</v>
      </c>
      <c r="AB743" s="254">
        <f t="shared" si="1927"/>
        <v>0</v>
      </c>
      <c r="AC743" s="142">
        <f t="shared" ref="AC743" si="1929">+AC696/AC717*1000</f>
        <v>0</v>
      </c>
      <c r="AD743" s="253">
        <f t="shared" si="1927"/>
        <v>0</v>
      </c>
      <c r="AE743" s="2140">
        <f t="shared" si="1927"/>
        <v>0</v>
      </c>
      <c r="AF743" s="811">
        <f t="shared" si="1927"/>
        <v>0</v>
      </c>
    </row>
    <row r="744" spans="1:289" ht="35" customHeight="1" x14ac:dyDescent="0.25">
      <c r="C744" s="338"/>
      <c r="D744" s="8437"/>
      <c r="E744" s="67" t="s">
        <v>156</v>
      </c>
      <c r="F744" s="142">
        <f t="shared" ref="F744:G744" si="1930">+F707/F717*1000</f>
        <v>12.945781570749164</v>
      </c>
      <c r="G744" s="142">
        <f t="shared" si="1930"/>
        <v>13.107689733076731</v>
      </c>
      <c r="H744" s="254">
        <f t="shared" ref="H744:I744" si="1931">+H707/H717*1000</f>
        <v>13.027372451292301</v>
      </c>
      <c r="I744" s="142">
        <f t="shared" si="1931"/>
        <v>13.345308415949889</v>
      </c>
      <c r="J744" s="253">
        <f t="shared" ref="J744:K744" si="1932">+J707/J717*1000</f>
        <v>13.140096618357488</v>
      </c>
      <c r="K744" s="142" t="e">
        <f t="shared" si="1932"/>
        <v>#DIV/0!</v>
      </c>
      <c r="L744" s="254">
        <f t="shared" ref="L744:M744" si="1933">+L707/L717*1000</f>
        <v>13.140096618357488</v>
      </c>
      <c r="M744" s="142">
        <f t="shared" si="1933"/>
        <v>13.668775586155565</v>
      </c>
      <c r="N744" s="254">
        <f t="shared" ref="N744:O744" si="1934">+N707/N717*1000</f>
        <v>13.305937565668122</v>
      </c>
      <c r="O744" s="142">
        <f t="shared" si="1934"/>
        <v>17.073396303042731</v>
      </c>
      <c r="P744" s="253">
        <f t="shared" ref="P744" si="1935">+P707/P717*1000</f>
        <v>15.117198058046483</v>
      </c>
      <c r="Q744" s="2140">
        <f t="shared" ref="Q744:T744" si="1936">+Q707/Q717*1000</f>
        <v>14.016049524941337</v>
      </c>
      <c r="R744" s="142">
        <f t="shared" si="1936"/>
        <v>18.393583599959463</v>
      </c>
      <c r="S744" s="254">
        <f t="shared" si="1936"/>
        <v>14.774006271824168</v>
      </c>
      <c r="T744" s="142">
        <f t="shared" si="1936"/>
        <v>17.020072235605145</v>
      </c>
      <c r="U744" s="254">
        <f t="shared" ref="U744:V744" si="1937">+U707/U717*1000</f>
        <v>15.140286420840905</v>
      </c>
      <c r="V744" s="142">
        <f t="shared" si="1937"/>
        <v>13.811499218602977</v>
      </c>
      <c r="W744" s="253">
        <f t="shared" ref="W744" si="1938">+W707/W717*1000</f>
        <v>16.184595385115372</v>
      </c>
      <c r="X744" s="254">
        <f t="shared" ref="X744:AF744" si="1939">+X707/X717*1000</f>
        <v>14.925970599387847</v>
      </c>
      <c r="Y744" s="142">
        <f t="shared" si="1939"/>
        <v>13.683315805396683</v>
      </c>
      <c r="Z744" s="254">
        <f t="shared" ref="Z744:AA744" si="1940">+Z707/Z717*1000</f>
        <v>14.761381204273778</v>
      </c>
      <c r="AA744" s="142">
        <f t="shared" si="1940"/>
        <v>13.078718637467302</v>
      </c>
      <c r="AB744" s="254">
        <f t="shared" ref="AB744:AC744" si="1941">+AB707/AB717*1000</f>
        <v>14.567616330723386</v>
      </c>
      <c r="AC744" s="142">
        <f t="shared" si="1941"/>
        <v>13.44054099661877</v>
      </c>
      <c r="AD744" s="828">
        <f t="shared" si="1939"/>
        <v>13.401727443980084</v>
      </c>
      <c r="AE744" s="2140">
        <f t="shared" si="1939"/>
        <v>14.754715846334436</v>
      </c>
      <c r="AF744" s="827">
        <f t="shared" si="1939"/>
        <v>14.457702815748933</v>
      </c>
    </row>
    <row r="745" spans="1:289" ht="35" customHeight="1" x14ac:dyDescent="0.25">
      <c r="C745" s="338"/>
      <c r="D745" s="8437"/>
      <c r="E745" s="67" t="s">
        <v>168</v>
      </c>
      <c r="F745" s="142">
        <f t="shared" ref="F745:G745" si="1942">+((F695+F708)/F717)*1000</f>
        <v>63.789637424613979</v>
      </c>
      <c r="G745" s="142">
        <f t="shared" si="1942"/>
        <v>63.174629738097231</v>
      </c>
      <c r="H745" s="254">
        <f t="shared" ref="H745:I745" si="1943">+((H695+H708)/H717)*1000</f>
        <v>63.479714700754158</v>
      </c>
      <c r="I745" s="142">
        <f t="shared" si="1943"/>
        <v>62.178313585961519</v>
      </c>
      <c r="J745" s="253">
        <f t="shared" ref="J745:K745" si="1944">+((J695+J708)/J717)*1000</f>
        <v>63.018303055045244</v>
      </c>
      <c r="K745" s="142" t="e">
        <f t="shared" si="1944"/>
        <v>#DIV/0!</v>
      </c>
      <c r="L745" s="254">
        <f t="shared" ref="L745:M745" si="1945">+((L695+L708)/L717)*1000</f>
        <v>63.018303055045244</v>
      </c>
      <c r="M745" s="142">
        <f t="shared" si="1945"/>
        <v>59.903237811685898</v>
      </c>
      <c r="N745" s="254">
        <f t="shared" ref="N745:O745" si="1946">+((N695+N708)/N717)*1000</f>
        <v>62.041140348829067</v>
      </c>
      <c r="O745" s="142">
        <f t="shared" si="1946"/>
        <v>55.514674837448879</v>
      </c>
      <c r="P745" s="253">
        <f t="shared" ref="P745" si="1947">+((P695+P708)/P717)*1000</f>
        <v>58.036218322653042</v>
      </c>
      <c r="Q745" s="2140">
        <f t="shared" ref="Q745:T745" si="1948">+((Q695+Q708)/Q717)*1000</f>
        <v>60.810995167558978</v>
      </c>
      <c r="R745" s="142">
        <f t="shared" si="1948"/>
        <v>56.414952296845364</v>
      </c>
      <c r="S745" s="254">
        <f t="shared" si="1948"/>
        <v>60.049833678843498</v>
      </c>
      <c r="T745" s="142">
        <f t="shared" si="1948"/>
        <v>60.416110533983861</v>
      </c>
      <c r="U745" s="254">
        <f t="shared" ref="U745:V745" si="1949">+((U695+U708)/U717)*1000</f>
        <v>60.109564756757322</v>
      </c>
      <c r="V745" s="142">
        <f t="shared" si="1949"/>
        <v>61.229888913435396</v>
      </c>
      <c r="W745" s="253">
        <f t="shared" ref="W745" si="1950">+((W695+W708)/W717)*1000</f>
        <v>59.569962363844134</v>
      </c>
      <c r="X745" s="254">
        <f t="shared" ref="X745:AF745" si="1951">+((X695+X708)/X717)*1000</f>
        <v>60.290258242913566</v>
      </c>
      <c r="Y745" s="142">
        <f t="shared" si="1951"/>
        <v>63.757509400256446</v>
      </c>
      <c r="Z745" s="254">
        <f t="shared" ref="Z745:AA745" si="1952">+((Z695+Z708)/Z717)*1000</f>
        <v>60.749495010401276</v>
      </c>
      <c r="AA745" s="142">
        <f t="shared" si="1952"/>
        <v>63.886314851090283</v>
      </c>
      <c r="AB745" s="254">
        <f t="shared" ref="AB745:AC745" si="1953">+((AB695+AB708)/AB717)*1000</f>
        <v>61.110711520337091</v>
      </c>
      <c r="AC745" s="142">
        <f t="shared" si="1953"/>
        <v>64.090224436097273</v>
      </c>
      <c r="AD745" s="828">
        <f t="shared" si="1951"/>
        <v>63.90669778856617</v>
      </c>
      <c r="AE745" s="2140">
        <f t="shared" si="1951"/>
        <v>61.798242461960022</v>
      </c>
      <c r="AF745" s="827">
        <f t="shared" si="1951"/>
        <v>61.401276602877154</v>
      </c>
    </row>
    <row r="746" spans="1:289" ht="35" customHeight="1" x14ac:dyDescent="0.25">
      <c r="C746" s="338"/>
      <c r="D746" s="8461"/>
      <c r="E746" s="67" t="s">
        <v>1213</v>
      </c>
      <c r="F746" s="142">
        <f t="shared" ref="F746:G746" si="1954">+F706/F717*1000</f>
        <v>17.705885103000991</v>
      </c>
      <c r="G746" s="142">
        <f t="shared" si="1954"/>
        <v>11.413270855995314</v>
      </c>
      <c r="H746" s="254">
        <f t="shared" ref="H746:L746" si="1955">+H706/H717*1000</f>
        <v>14.534828561127872</v>
      </c>
      <c r="I746" s="142">
        <f t="shared" si="1955"/>
        <v>13.049769518041307</v>
      </c>
      <c r="J746" s="253">
        <f t="shared" si="1955"/>
        <v>14.008301013812343</v>
      </c>
      <c r="K746" s="142" t="e">
        <f t="shared" si="1955"/>
        <v>#DIV/0!</v>
      </c>
      <c r="L746" s="254">
        <f t="shared" si="1955"/>
        <v>14.008301013812343</v>
      </c>
      <c r="M746" s="142">
        <f t="shared" ref="M746:O746" si="1956">+M706/M717*1000</f>
        <v>19.257164123557871</v>
      </c>
      <c r="N746" s="254">
        <f t="shared" ref="N746" si="1957">+N706/N717*1000</f>
        <v>15.654813327418339</v>
      </c>
      <c r="O746" s="142">
        <f t="shared" si="1956"/>
        <v>7.8209504968012515</v>
      </c>
      <c r="P746" s="253">
        <f t="shared" ref="P746" si="1958">+P706/P717*1000</f>
        <v>14.391873629325003</v>
      </c>
      <c r="Q746" s="2140">
        <f t="shared" ref="Q746:T746" si="1959">+Q706/Q717*1000</f>
        <v>14.178242495164529</v>
      </c>
      <c r="R746" s="142">
        <f t="shared" si="1959"/>
        <v>12.262389066639642</v>
      </c>
      <c r="S746" s="254">
        <f t="shared" si="1959"/>
        <v>13.846518285300318</v>
      </c>
      <c r="T746" s="142">
        <f t="shared" si="1959"/>
        <v>14.472850540480565</v>
      </c>
      <c r="U746" s="254">
        <f t="shared" ref="U746:V746" si="1960">+U706/U717*1000</f>
        <v>13.948658238205006</v>
      </c>
      <c r="V746" s="142">
        <f t="shared" si="1960"/>
        <v>9.5922280315613477</v>
      </c>
      <c r="W746" s="253">
        <f t="shared" ref="W746" si="1961">+W706/W717*1000</f>
        <v>11.956555924811559</v>
      </c>
      <c r="X746" s="254">
        <f t="shared" ref="X746:Y746" si="1962">+X706/X717*1000</f>
        <v>13.246023597558775</v>
      </c>
      <c r="Y746" s="142">
        <f t="shared" si="1962"/>
        <v>4.6533070174174869</v>
      </c>
      <c r="Z746" s="254">
        <f t="shared" ref="Z746:AA746" si="1963">+Z706/Z717*1000</f>
        <v>12.107919893174616</v>
      </c>
      <c r="AA746" s="142">
        <f t="shared" si="1963"/>
        <v>0</v>
      </c>
      <c r="AB746" s="254">
        <f t="shared" ref="AB746:AC746" si="1964">+AB706/AB717*1000</f>
        <v>10.713647735856766</v>
      </c>
      <c r="AC746" s="142">
        <f t="shared" si="1964"/>
        <v>4.340597871263304</v>
      </c>
      <c r="AD746" s="828">
        <f t="shared" ref="AD746:AF746" si="1965">+AD696/AD717*1000</f>
        <v>0</v>
      </c>
      <c r="AE746" s="2140">
        <f t="shared" ref="AE746" si="1966">+AE706/AE717*1000</f>
        <v>7.3442276022465416</v>
      </c>
      <c r="AF746" s="257">
        <f t="shared" si="1965"/>
        <v>0</v>
      </c>
    </row>
    <row r="747" spans="1:289" ht="35" customHeight="1" x14ac:dyDescent="0.25">
      <c r="C747" s="338"/>
      <c r="D747" s="8461"/>
      <c r="E747" s="311" t="s">
        <v>1340</v>
      </c>
      <c r="F747" s="80">
        <f t="shared" ref="F747:G747" si="1967">+F700/F717*1000</f>
        <v>0</v>
      </c>
      <c r="G747" s="80">
        <f t="shared" si="1967"/>
        <v>0.38490502886787714</v>
      </c>
      <c r="H747" s="296">
        <f t="shared" ref="H747:K747" si="1968">+H700/H717*1000</f>
        <v>0.19396638056625531</v>
      </c>
      <c r="I747" s="80">
        <f t="shared" si="1968"/>
        <v>0</v>
      </c>
      <c r="J747" s="253">
        <f t="shared" si="1968"/>
        <v>0.12519561815336464</v>
      </c>
      <c r="K747" s="80" t="e">
        <f t="shared" si="1968"/>
        <v>#DIV/0!</v>
      </c>
      <c r="L747" s="254">
        <f t="shared" ref="L747:M747" si="1969">+L700/L717*1000</f>
        <v>0.12519561815336464</v>
      </c>
      <c r="M747" s="80">
        <f t="shared" si="1969"/>
        <v>0</v>
      </c>
      <c r="N747" s="254">
        <f t="shared" ref="N747:O747" si="1970">+N700/N717*1000</f>
        <v>8.592308949543534E-2</v>
      </c>
      <c r="O747" s="80">
        <f t="shared" si="1970"/>
        <v>0</v>
      </c>
      <c r="P747" s="245">
        <f t="shared" ref="P747" si="1971">+P700/P717*1000</f>
        <v>0</v>
      </c>
      <c r="Q747" s="240">
        <f t="shared" ref="Q747:T747" si="1972">+Q700/Q717*1000</f>
        <v>6.9727818974455374E-2</v>
      </c>
      <c r="R747" s="80">
        <f t="shared" si="1972"/>
        <v>0</v>
      </c>
      <c r="S747" s="246">
        <f t="shared" si="1972"/>
        <v>5.7654658621752855E-2</v>
      </c>
      <c r="T747" s="80">
        <f t="shared" si="1972"/>
        <v>0</v>
      </c>
      <c r="U747" s="246">
        <f t="shared" ref="U747:V747" si="1973">+U700/U717*1000</f>
        <v>4.8252549648988924E-2</v>
      </c>
      <c r="V747" s="80">
        <f t="shared" si="1973"/>
        <v>0</v>
      </c>
      <c r="W747" s="245">
        <f t="shared" ref="W747" si="1974">+W700/W717*1000</f>
        <v>0</v>
      </c>
      <c r="X747" s="246">
        <f t="shared" ref="X747:Y747" si="1975">+X700/X717*1000</f>
        <v>4.0470050842700826E-2</v>
      </c>
      <c r="Y747" s="80">
        <f t="shared" si="1975"/>
        <v>0</v>
      </c>
      <c r="Z747" s="246">
        <f t="shared" ref="Z747:AA747" si="1976">+Z700/Z717*1000</f>
        <v>3.510980017562533E-2</v>
      </c>
      <c r="AA747" s="80">
        <f t="shared" si="1976"/>
        <v>0</v>
      </c>
      <c r="AB747" s="246">
        <f t="shared" ref="AB747:AF747" si="1977">+AB700/AB717*1000</f>
        <v>3.1066775670527392E-2</v>
      </c>
      <c r="AC747" s="80">
        <f t="shared" si="1977"/>
        <v>0.49999687501953116</v>
      </c>
      <c r="AD747" s="245">
        <f t="shared" si="1977"/>
        <v>0.15871771954380559</v>
      </c>
      <c r="AE747" s="240">
        <f t="shared" si="1977"/>
        <v>8.1551559189357109E-2</v>
      </c>
      <c r="AF747" s="257">
        <f t="shared" si="1977"/>
        <v>7.6797308437190015E-2</v>
      </c>
    </row>
    <row r="748" spans="1:289" ht="35" customHeight="1" thickBot="1" x14ac:dyDescent="0.3">
      <c r="C748" s="338"/>
      <c r="D748" s="8461"/>
      <c r="E748" s="162" t="s">
        <v>153</v>
      </c>
      <c r="F748" s="1483">
        <f t="shared" ref="F748:G748" si="1978">+F699/F717*1000</f>
        <v>21.2504621975528</v>
      </c>
      <c r="G748" s="1483">
        <f t="shared" si="1978"/>
        <v>22.592251694418877</v>
      </c>
      <c r="H748" s="266">
        <f t="shared" ref="H748:I748" si="1979">+H699/H717*1000</f>
        <v>21.926634324881039</v>
      </c>
      <c r="I748" s="1483">
        <f t="shared" si="1979"/>
        <v>21.148302954237529</v>
      </c>
      <c r="J748" s="550">
        <f t="shared" ref="J748:K748" si="1980">+J699/J717*1000</f>
        <v>21.650677008913384</v>
      </c>
      <c r="K748" s="1483" t="e">
        <f t="shared" si="1980"/>
        <v>#DIV/0!</v>
      </c>
      <c r="L748" s="266">
        <f t="shared" ref="L748:M748" si="1981">+L699/L717*1000</f>
        <v>21.650677008913384</v>
      </c>
      <c r="M748" s="1483">
        <f t="shared" si="1981"/>
        <v>22.466691477484183</v>
      </c>
      <c r="N748" s="266">
        <f t="shared" ref="N748:O748" si="1982">+N699/N717*1000</f>
        <v>21.90665203483621</v>
      </c>
      <c r="O748" s="1483">
        <f t="shared" si="1982"/>
        <v>24.697315142083951</v>
      </c>
      <c r="P748" s="550">
        <f t="shared" ref="P748" si="1983">+P699/P717*1000</f>
        <v>23.415662217782081</v>
      </c>
      <c r="Q748" s="3029">
        <f t="shared" ref="Q748:T748" si="1984">+Q699/Q717*1000</f>
        <v>22.432652021803587</v>
      </c>
      <c r="R748" s="1483">
        <f t="shared" si="1984"/>
        <v>23.63079640380467</v>
      </c>
      <c r="S748" s="266">
        <f t="shared" si="1984"/>
        <v>22.64010708726158</v>
      </c>
      <c r="T748" s="1483">
        <f t="shared" si="1984"/>
        <v>16.794939004975447</v>
      </c>
      <c r="U748" s="266">
        <f t="shared" ref="U748:V748" si="1985">+U699/U717*1000</f>
        <v>21.686898646043947</v>
      </c>
      <c r="V748" s="1483">
        <f t="shared" si="1985"/>
        <v>18.330783224374134</v>
      </c>
      <c r="W748" s="550">
        <f t="shared" ref="W748" si="1986">+W699/W717*1000</f>
        <v>19.365322318554941</v>
      </c>
      <c r="X748" s="266">
        <f t="shared" ref="X748:AF748" si="1987">+X699/X717*1000</f>
        <v>21.145601565311182</v>
      </c>
      <c r="Y748" s="1483">
        <f t="shared" si="1987"/>
        <v>11.427254260729258</v>
      </c>
      <c r="Z748" s="266">
        <f t="shared" ref="Z748:AA748" si="1988">+Z699/Z717*1000</f>
        <v>19.858408281943905</v>
      </c>
      <c r="AA748" s="1483">
        <f t="shared" si="1988"/>
        <v>12.017172416219957</v>
      </c>
      <c r="AB748" s="266">
        <f t="shared" ref="AB748:AE748" si="1989">+AB699/AB717*1000</f>
        <v>18.955460711841134</v>
      </c>
      <c r="AC748" s="1483">
        <f t="shared" si="1989"/>
        <v>12.453047168455198</v>
      </c>
      <c r="AD748" s="550">
        <f t="shared" si="1989"/>
        <v>11.95243626739571</v>
      </c>
      <c r="AE748" s="3029">
        <f t="shared" si="1989"/>
        <v>15.556469612614803</v>
      </c>
      <c r="AF748" s="273">
        <f t="shared" si="1987"/>
        <v>18.321338833077089</v>
      </c>
    </row>
    <row r="749" spans="1:289" ht="35" customHeight="1" thickBot="1" x14ac:dyDescent="0.3">
      <c r="C749" s="338"/>
      <c r="D749" s="8462"/>
      <c r="E749" s="180" t="s">
        <v>97</v>
      </c>
      <c r="F749" s="583">
        <f t="shared" ref="F749:G749" si="1990">SUM(F737:F748)</f>
        <v>1280.2978464781611</v>
      </c>
      <c r="G749" s="583">
        <f t="shared" si="1990"/>
        <v>1288.933980420049</v>
      </c>
      <c r="H749" s="250">
        <f t="shared" ref="H749:AD749" si="1991">SUM(H737:H748)</f>
        <v>1284.6498801414266</v>
      </c>
      <c r="I749" s="583">
        <f t="shared" ref="I749" si="1992">SUM(I737:I748)</f>
        <v>1280.7427621756269</v>
      </c>
      <c r="J749" s="249">
        <f t="shared" si="1991"/>
        <v>1283.2646118255425</v>
      </c>
      <c r="K749" s="583" t="e">
        <f t="shared" ref="K749" si="1993">SUM(K737:K748)</f>
        <v>#DIV/0!</v>
      </c>
      <c r="L749" s="250">
        <f t="shared" si="1991"/>
        <v>1283.2646118255425</v>
      </c>
      <c r="M749" s="583">
        <f t="shared" ref="M749" si="1994">SUM(M737:M748)</f>
        <v>1241.7982880535915</v>
      </c>
      <c r="N749" s="250">
        <f t="shared" si="1991"/>
        <v>1270.2570688085175</v>
      </c>
      <c r="O749" s="583">
        <f t="shared" si="1991"/>
        <v>1295.4268550128475</v>
      </c>
      <c r="P749" s="249">
        <f t="shared" si="1991"/>
        <v>1264.6134055008329</v>
      </c>
      <c r="Q749" s="236">
        <f t="shared" si="1991"/>
        <v>1275.0012126577212</v>
      </c>
      <c r="R749" s="583">
        <f t="shared" si="1991"/>
        <v>1274.5139200555932</v>
      </c>
      <c r="S749" s="250">
        <f t="shared" si="1991"/>
        <v>1274.9168394217488</v>
      </c>
      <c r="T749" s="583">
        <f t="shared" ref="T749" si="1995">SUM(T737:T748)</f>
        <v>1285.5557735416994</v>
      </c>
      <c r="U749" s="250">
        <f t="shared" si="1991"/>
        <v>1276.6517975385959</v>
      </c>
      <c r="V749" s="583">
        <f t="shared" ref="V749" si="1996">SUM(V737:V748)</f>
        <v>1276.3499894995509</v>
      </c>
      <c r="W749" s="76">
        <f t="shared" si="1991"/>
        <v>1278.8189166238585</v>
      </c>
      <c r="X749" s="250">
        <f t="shared" si="1991"/>
        <v>1276.6031198890066</v>
      </c>
      <c r="Y749" s="583">
        <f t="shared" si="1991"/>
        <v>1261.4063648019824</v>
      </c>
      <c r="Z749" s="250">
        <f t="shared" si="1991"/>
        <v>1274.5903125192006</v>
      </c>
      <c r="AA749" s="583">
        <f t="shared" ref="AA749" si="1997">SUM(AA737:AA748)</f>
        <v>1272.1693078249448</v>
      </c>
      <c r="AB749" s="250">
        <f t="shared" si="1991"/>
        <v>1274.3115247944952</v>
      </c>
      <c r="AC749" s="583">
        <f t="shared" ref="AC749" si="1998">SUM(AC737:AC748)</f>
        <v>1288.9888188198825</v>
      </c>
      <c r="AD749" s="1113">
        <f t="shared" si="1991"/>
        <v>1270.823020814837</v>
      </c>
      <c r="AE749" s="236">
        <f t="shared" ref="AE749" si="1999">SUM(AE737:AE748)</f>
        <v>1276.2416352310893</v>
      </c>
      <c r="AF749" s="1114">
        <f>SUM(AF737:AF745)</f>
        <v>1247.2525915282206</v>
      </c>
    </row>
    <row r="750" spans="1:289" ht="35" customHeight="1" thickBot="1" x14ac:dyDescent="0.5">
      <c r="C750" s="338"/>
      <c r="D750" s="198" t="s">
        <v>10</v>
      </c>
      <c r="E750" s="3156" t="s">
        <v>1</v>
      </c>
      <c r="F750" s="3716" t="s">
        <v>9</v>
      </c>
      <c r="G750" s="3716" t="s">
        <v>51</v>
      </c>
      <c r="H750" s="3680" t="s">
        <v>52</v>
      </c>
      <c r="I750" s="3716" t="s">
        <v>1073</v>
      </c>
      <c r="J750" s="3680" t="s">
        <v>60</v>
      </c>
      <c r="K750" s="3716" t="s">
        <v>2117</v>
      </c>
      <c r="L750" s="3680" t="s">
        <v>62</v>
      </c>
      <c r="M750" s="3716" t="s">
        <v>63</v>
      </c>
      <c r="N750" s="3711" t="s">
        <v>64</v>
      </c>
      <c r="O750" s="3716" t="s">
        <v>65</v>
      </c>
      <c r="P750" s="3712" t="s">
        <v>66</v>
      </c>
      <c r="Q750" s="3713" t="s">
        <v>82</v>
      </c>
      <c r="R750" s="3716" t="s">
        <v>100</v>
      </c>
      <c r="S750" s="3714" t="s">
        <v>101</v>
      </c>
      <c r="T750" s="3716" t="s">
        <v>104</v>
      </c>
      <c r="U750" s="3714" t="s">
        <v>105</v>
      </c>
      <c r="V750" s="3716" t="s">
        <v>106</v>
      </c>
      <c r="W750" s="3680" t="s">
        <v>107</v>
      </c>
      <c r="X750" s="3680" t="s">
        <v>108</v>
      </c>
      <c r="Y750" s="3716" t="s">
        <v>109</v>
      </c>
      <c r="Z750" s="3714" t="s">
        <v>110</v>
      </c>
      <c r="AA750" s="3716" t="s">
        <v>112</v>
      </c>
      <c r="AB750" s="3715" t="str">
        <f>+AB689</f>
        <v>11M</v>
      </c>
      <c r="AC750" s="3716" t="s">
        <v>114</v>
      </c>
      <c r="AD750" s="3717" t="s">
        <v>115</v>
      </c>
      <c r="AE750" s="3717" t="s">
        <v>116</v>
      </c>
      <c r="AF750" s="3717" t="s">
        <v>117</v>
      </c>
    </row>
    <row r="751" spans="1:289" ht="35" customHeight="1" x14ac:dyDescent="0.35">
      <c r="C751" s="338"/>
      <c r="D751" s="317">
        <v>37</v>
      </c>
      <c r="E751" s="318" t="s">
        <v>181</v>
      </c>
      <c r="F751" s="3709"/>
      <c r="G751" s="3709"/>
      <c r="H751" s="3709"/>
      <c r="I751" s="3709"/>
      <c r="J751" s="3709"/>
      <c r="K751" s="3709"/>
      <c r="L751" s="3709"/>
      <c r="M751" s="3709"/>
      <c r="N751" s="3709"/>
      <c r="O751" s="3709"/>
      <c r="P751" s="3709"/>
      <c r="Q751" s="3709"/>
      <c r="R751" s="3709"/>
      <c r="S751" s="3709"/>
      <c r="T751" s="3709"/>
      <c r="U751" s="3709"/>
      <c r="V751" s="3709"/>
      <c r="W751" s="3709"/>
      <c r="X751" s="3709"/>
      <c r="Y751" s="3709"/>
      <c r="Z751" s="3709"/>
      <c r="AA751" s="3709"/>
      <c r="AB751" s="3709"/>
      <c r="AC751" s="3709"/>
      <c r="AD751" s="3718"/>
      <c r="AE751" s="3718"/>
      <c r="AF751" s="3719"/>
    </row>
    <row r="752" spans="1:289" ht="35" customHeight="1" x14ac:dyDescent="0.25">
      <c r="A752" s="2">
        <f>198/10</f>
        <v>19.8</v>
      </c>
      <c r="C752" s="338"/>
      <c r="D752" s="8445">
        <v>37.01</v>
      </c>
      <c r="E752" s="171" t="s">
        <v>339</v>
      </c>
      <c r="F752" s="3149">
        <v>15116.61</v>
      </c>
      <c r="G752" s="3149">
        <v>18462.847000000002</v>
      </c>
      <c r="H752" s="296">
        <f>SUM(F752:G752)</f>
        <v>33579.457000000002</v>
      </c>
      <c r="I752" s="3149">
        <v>32660.146999999997</v>
      </c>
      <c r="J752" s="313">
        <f>SUM(H752:I752)</f>
        <v>66239.603999999992</v>
      </c>
      <c r="K752" s="3149"/>
      <c r="L752" s="363">
        <f>SUM(J752:K752)</f>
        <v>66239.603999999992</v>
      </c>
      <c r="M752" s="3149">
        <v>39100.410000000003</v>
      </c>
      <c r="N752" s="363">
        <f>SUM(L752:M752)</f>
        <v>105340.014</v>
      </c>
      <c r="O752" s="3149">
        <v>34674.269999999997</v>
      </c>
      <c r="P752" s="2186">
        <f>+K752+M752+O752</f>
        <v>73774.679999999993</v>
      </c>
      <c r="Q752" s="2133">
        <f>+J752+P752</f>
        <v>140014.28399999999</v>
      </c>
      <c r="R752" s="3149">
        <v>27602.670000000002</v>
      </c>
      <c r="S752" s="2280">
        <f>SUM(Q752:R752)</f>
        <v>167616.954</v>
      </c>
      <c r="T752" s="3149">
        <v>42710.76</v>
      </c>
      <c r="U752" s="2280">
        <f>SUM(S752:T752)</f>
        <v>210327.71400000001</v>
      </c>
      <c r="V752" s="3149">
        <v>36827.699999999997</v>
      </c>
      <c r="W752" s="74">
        <f>+R752+T752+V752</f>
        <v>107141.13</v>
      </c>
      <c r="X752" s="122">
        <f>+U752+V752</f>
        <v>247155.41399999999</v>
      </c>
      <c r="Y752" s="3149">
        <v>36942.719999999994</v>
      </c>
      <c r="Z752" s="2280">
        <f>SUM(X752:Y752)</f>
        <v>284098.13399999996</v>
      </c>
      <c r="AA752" s="3149">
        <v>39172.83</v>
      </c>
      <c r="AB752" s="122">
        <f>SUM(Z752:AA752)</f>
        <v>323270.96399999998</v>
      </c>
      <c r="AC752" s="5128">
        <v>34857.449999999997</v>
      </c>
      <c r="AD752" s="815">
        <f t="shared" ref="AD752" si="2000">+Y752+AA752+AC752</f>
        <v>110972.99999999999</v>
      </c>
      <c r="AE752" s="1405">
        <f t="shared" ref="AE752" si="2001">+W752+AD752</f>
        <v>218114.13</v>
      </c>
      <c r="AF752" s="712">
        <f>+AB752+AC752</f>
        <v>358128.41399999999</v>
      </c>
    </row>
    <row r="753" spans="3:38" ht="35" customHeight="1" x14ac:dyDescent="0.25">
      <c r="C753" s="338"/>
      <c r="D753" s="8445"/>
      <c r="E753" s="242" t="s">
        <v>184</v>
      </c>
      <c r="F753" s="3389"/>
      <c r="G753" s="3389"/>
      <c r="H753" s="3389"/>
      <c r="I753" s="3389"/>
      <c r="J753" s="3389"/>
      <c r="K753" s="3389"/>
      <c r="L753" s="3389"/>
      <c r="M753" s="3389"/>
      <c r="N753" s="120"/>
      <c r="O753" s="3389"/>
      <c r="P753" s="120"/>
      <c r="Q753" s="120"/>
      <c r="R753" s="3389"/>
      <c r="S753" s="120"/>
      <c r="T753" s="3389"/>
      <c r="U753" s="120"/>
      <c r="V753" s="3389"/>
      <c r="W753" s="120"/>
      <c r="X753" s="66"/>
      <c r="Y753" s="3389"/>
      <c r="Z753" s="120"/>
      <c r="AA753" s="3389"/>
      <c r="AB753" s="66"/>
      <c r="AC753" s="4681"/>
      <c r="AD753" s="66"/>
      <c r="AE753" s="66"/>
      <c r="AF753" s="66"/>
    </row>
    <row r="754" spans="3:38" ht="35" customHeight="1" x14ac:dyDescent="0.25">
      <c r="C754" s="338"/>
      <c r="D754" s="8445"/>
      <c r="E754" s="3924" t="s">
        <v>1647</v>
      </c>
      <c r="F754" s="3148"/>
      <c r="G754" s="3148"/>
      <c r="H754" s="296">
        <f t="shared" ref="H754:H817" si="2002">SUM(F754:G754)</f>
        <v>0</v>
      </c>
      <c r="I754" s="3148"/>
      <c r="J754" s="313">
        <f t="shared" ref="J754:J817" si="2003">SUM(H754:I754)</f>
        <v>0</v>
      </c>
      <c r="K754" s="3148"/>
      <c r="L754" s="363">
        <f>+J754+K754</f>
        <v>0</v>
      </c>
      <c r="M754" s="3148">
        <f>225.63-6.21</f>
        <v>219.42</v>
      </c>
      <c r="N754" s="363">
        <f>+L754+M754</f>
        <v>219.42</v>
      </c>
      <c r="O754" s="3155"/>
      <c r="P754" s="2186">
        <f>+K754+M754+O754</f>
        <v>219.42</v>
      </c>
      <c r="Q754" s="241">
        <f>+N754+O754</f>
        <v>219.42</v>
      </c>
      <c r="R754" s="3148"/>
      <c r="S754" s="363">
        <f>+Q754+R754</f>
        <v>219.42</v>
      </c>
      <c r="T754" s="3148"/>
      <c r="U754" s="363">
        <f t="shared" ref="U754:U788" si="2004">SUM(S754:T754)</f>
        <v>219.42</v>
      </c>
      <c r="V754" s="3148"/>
      <c r="W754" s="74">
        <f t="shared" ref="W754:W843" si="2005">+R754+T754+V754</f>
        <v>0</v>
      </c>
      <c r="X754" s="363">
        <f t="shared" ref="X754:X843" si="2006">+U754+V754</f>
        <v>219.42</v>
      </c>
      <c r="Y754" s="3148"/>
      <c r="Z754" s="363">
        <f t="shared" ref="Z754:Z843" si="2007">SUM(X754:Y754)</f>
        <v>219.42</v>
      </c>
      <c r="AA754" s="3148"/>
      <c r="AB754" s="78">
        <f t="shared" ref="AB754:AB843" si="2008">SUM(Z754:AA754)</f>
        <v>219.42</v>
      </c>
      <c r="AC754" s="5129"/>
      <c r="AD754" s="713">
        <f t="shared" ref="AD754" si="2009">+Y754+AA754+AC754</f>
        <v>0</v>
      </c>
      <c r="AE754" s="1290">
        <f>+W754+AD754</f>
        <v>0</v>
      </c>
      <c r="AF754" s="712">
        <f>+AB754+AC754</f>
        <v>219.42</v>
      </c>
    </row>
    <row r="755" spans="3:38" ht="35" customHeight="1" x14ac:dyDescent="0.25">
      <c r="C755" s="338"/>
      <c r="D755" s="8445"/>
      <c r="E755" s="3924" t="s">
        <v>1845</v>
      </c>
      <c r="F755" s="3148"/>
      <c r="G755" s="3148"/>
      <c r="H755" s="296">
        <f t="shared" si="2002"/>
        <v>0</v>
      </c>
      <c r="I755" s="3148"/>
      <c r="J755" s="313">
        <f t="shared" si="2003"/>
        <v>0</v>
      </c>
      <c r="K755" s="3148"/>
      <c r="L755" s="363">
        <f t="shared" ref="L755:L818" si="2010">+J755+K755</f>
        <v>0</v>
      </c>
      <c r="M755" s="3148"/>
      <c r="N755" s="363"/>
      <c r="O755" s="3155"/>
      <c r="P755" s="2186"/>
      <c r="Q755" s="241"/>
      <c r="R755" s="3148"/>
      <c r="S755" s="363"/>
      <c r="T755" s="3148"/>
      <c r="U755" s="363"/>
      <c r="V755" s="3148"/>
      <c r="W755" s="74"/>
      <c r="X755" s="363"/>
      <c r="Y755" s="3148"/>
      <c r="Z755" s="363"/>
      <c r="AA755" s="3148"/>
      <c r="AB755" s="78"/>
      <c r="AC755" s="5129">
        <v>202.85999999999999</v>
      </c>
      <c r="AD755" s="713">
        <f t="shared" ref="AD755" si="2011">+Y755+AA755+AC755</f>
        <v>202.85999999999999</v>
      </c>
      <c r="AE755" s="1290">
        <f>+W755+AD755</f>
        <v>202.85999999999999</v>
      </c>
      <c r="AF755" s="712">
        <f>+AB755+AC755</f>
        <v>202.85999999999999</v>
      </c>
      <c r="AG755" s="5122"/>
      <c r="AH755" s="5122"/>
      <c r="AI755" s="5122"/>
      <c r="AJ755" s="5122"/>
      <c r="AK755" s="5122"/>
      <c r="AL755" s="5122"/>
    </row>
    <row r="756" spans="3:38" ht="35" customHeight="1" x14ac:dyDescent="0.25">
      <c r="C756" s="338"/>
      <c r="D756" s="8445"/>
      <c r="E756" s="3924" t="s">
        <v>1844</v>
      </c>
      <c r="F756" s="3148"/>
      <c r="G756" s="3148"/>
      <c r="H756" s="296">
        <f t="shared" si="2002"/>
        <v>0</v>
      </c>
      <c r="I756" s="3148"/>
      <c r="J756" s="313">
        <f t="shared" si="2003"/>
        <v>0</v>
      </c>
      <c r="K756" s="3148"/>
      <c r="L756" s="363">
        <f t="shared" si="2010"/>
        <v>0</v>
      </c>
      <c r="M756" s="3148"/>
      <c r="N756" s="363"/>
      <c r="O756" s="3155"/>
      <c r="P756" s="2186"/>
      <c r="Q756" s="241"/>
      <c r="R756" s="3148"/>
      <c r="S756" s="363"/>
      <c r="T756" s="3148"/>
      <c r="U756" s="363"/>
      <c r="V756" s="3148"/>
      <c r="W756" s="74"/>
      <c r="X756" s="363"/>
      <c r="Y756" s="3148"/>
      <c r="Z756" s="363"/>
      <c r="AA756" s="3148"/>
      <c r="AB756" s="78"/>
      <c r="AC756" s="5129">
        <v>256.68</v>
      </c>
      <c r="AD756" s="713">
        <f t="shared" ref="AD756" si="2012">+Y756+AA756+AC756</f>
        <v>256.68</v>
      </c>
      <c r="AE756" s="1290">
        <f>+W756+AD756</f>
        <v>256.68</v>
      </c>
      <c r="AF756" s="712">
        <f>+AB756+AC756</f>
        <v>256.68</v>
      </c>
      <c r="AG756" s="5122"/>
      <c r="AH756" s="5122"/>
      <c r="AI756" s="5122"/>
      <c r="AJ756" s="5122"/>
      <c r="AK756" s="5122"/>
      <c r="AL756" s="5122"/>
    </row>
    <row r="757" spans="3:38" ht="35" customHeight="1" x14ac:dyDescent="0.25">
      <c r="C757" s="338"/>
      <c r="D757" s="8445"/>
      <c r="E757" s="3924" t="s">
        <v>1679</v>
      </c>
      <c r="F757" s="3148"/>
      <c r="G757" s="3148"/>
      <c r="H757" s="296">
        <f t="shared" si="2002"/>
        <v>0</v>
      </c>
      <c r="I757" s="3148"/>
      <c r="J757" s="313">
        <f t="shared" si="2003"/>
        <v>0</v>
      </c>
      <c r="K757" s="3148"/>
      <c r="L757" s="363">
        <f t="shared" si="2010"/>
        <v>0</v>
      </c>
      <c r="M757" s="3148">
        <v>693.44999999999993</v>
      </c>
      <c r="N757" s="363">
        <f>+L757+M757</f>
        <v>693.44999999999993</v>
      </c>
      <c r="O757" s="3155"/>
      <c r="P757" s="2186">
        <f t="shared" ref="P757:P773" si="2013">+K757+M757+O757</f>
        <v>693.44999999999993</v>
      </c>
      <c r="Q757" s="241">
        <f t="shared" ref="Q757:Q773" si="2014">+N757+O757</f>
        <v>693.44999999999993</v>
      </c>
      <c r="R757" s="3148"/>
      <c r="S757" s="363">
        <f t="shared" ref="S757:S825" si="2015">+Q757+R757</f>
        <v>693.44999999999993</v>
      </c>
      <c r="T757" s="3148"/>
      <c r="U757" s="363">
        <f t="shared" si="2004"/>
        <v>693.44999999999993</v>
      </c>
      <c r="V757" s="3148"/>
      <c r="W757" s="74">
        <f t="shared" ref="W757" si="2016">+R757+T757+V757</f>
        <v>0</v>
      </c>
      <c r="X757" s="363">
        <f t="shared" ref="X757" si="2017">+U757+V757</f>
        <v>693.44999999999993</v>
      </c>
      <c r="Y757" s="3148"/>
      <c r="Z757" s="363">
        <f t="shared" si="2007"/>
        <v>693.44999999999993</v>
      </c>
      <c r="AA757" s="3148">
        <f>451.26-8.28</f>
        <v>442.98</v>
      </c>
      <c r="AB757" s="78">
        <f t="shared" si="2008"/>
        <v>1136.4299999999998</v>
      </c>
      <c r="AC757" s="5129">
        <v>117.99</v>
      </c>
      <c r="AD757" s="713">
        <f t="shared" ref="AD757:AD821" si="2018">+Y757+AA757+AC757</f>
        <v>560.97</v>
      </c>
      <c r="AE757" s="1290">
        <f t="shared" ref="AE757:AE821" si="2019">+W757+AD757</f>
        <v>560.97</v>
      </c>
      <c r="AF757" s="712">
        <f t="shared" ref="AF757:AF821" si="2020">+AB757+AC757</f>
        <v>1254.4199999999998</v>
      </c>
      <c r="AI757" s="4756">
        <v>8.2799999999999994</v>
      </c>
    </row>
    <row r="758" spans="3:38" ht="35" customHeight="1" x14ac:dyDescent="0.25">
      <c r="C758" s="338"/>
      <c r="D758" s="8445"/>
      <c r="E758" s="3924" t="s">
        <v>1648</v>
      </c>
      <c r="F758" s="3148"/>
      <c r="G758" s="3148"/>
      <c r="H758" s="296">
        <f t="shared" si="2002"/>
        <v>0</v>
      </c>
      <c r="I758" s="3148"/>
      <c r="J758" s="313">
        <f t="shared" si="2003"/>
        <v>0</v>
      </c>
      <c r="K758" s="3148"/>
      <c r="L758" s="363">
        <f t="shared" si="2010"/>
        <v>0</v>
      </c>
      <c r="M758" s="3148">
        <v>0</v>
      </c>
      <c r="N758" s="363">
        <f t="shared" ref="N758:N843" si="2021">+L758+M758</f>
        <v>0</v>
      </c>
      <c r="O758" s="3155"/>
      <c r="P758" s="2186">
        <f t="shared" si="2013"/>
        <v>0</v>
      </c>
      <c r="Q758" s="241">
        <f t="shared" si="2014"/>
        <v>0</v>
      </c>
      <c r="R758" s="3148"/>
      <c r="S758" s="363">
        <f t="shared" si="2015"/>
        <v>0</v>
      </c>
      <c r="T758" s="3148"/>
      <c r="U758" s="363">
        <f t="shared" si="2004"/>
        <v>0</v>
      </c>
      <c r="V758" s="3148"/>
      <c r="W758" s="74">
        <f t="shared" si="2005"/>
        <v>0</v>
      </c>
      <c r="X758" s="363">
        <f t="shared" si="2006"/>
        <v>0</v>
      </c>
      <c r="Y758" s="3148"/>
      <c r="Z758" s="363">
        <f t="shared" si="2007"/>
        <v>0</v>
      </c>
      <c r="AA758" s="3148"/>
      <c r="AB758" s="78">
        <f t="shared" si="2008"/>
        <v>0</v>
      </c>
      <c r="AC758" s="5129"/>
      <c r="AD758" s="713">
        <f t="shared" si="2018"/>
        <v>0</v>
      </c>
      <c r="AE758" s="1290">
        <f t="shared" si="2019"/>
        <v>0</v>
      </c>
      <c r="AF758" s="712">
        <f t="shared" si="2020"/>
        <v>0</v>
      </c>
    </row>
    <row r="759" spans="3:38" ht="35" hidden="1" customHeight="1" x14ac:dyDescent="0.25">
      <c r="C759" s="338"/>
      <c r="D759" s="8445"/>
      <c r="E759" s="3924"/>
      <c r="F759" s="3148"/>
      <c r="G759" s="3148"/>
      <c r="H759" s="296">
        <f t="shared" si="2002"/>
        <v>0</v>
      </c>
      <c r="I759" s="3148"/>
      <c r="J759" s="313">
        <f t="shared" si="2003"/>
        <v>0</v>
      </c>
      <c r="K759" s="3148"/>
      <c r="L759" s="363">
        <f t="shared" si="2010"/>
        <v>0</v>
      </c>
      <c r="M759" s="3148">
        <v>0</v>
      </c>
      <c r="N759" s="363">
        <f t="shared" si="2021"/>
        <v>0</v>
      </c>
      <c r="O759" s="3155"/>
      <c r="P759" s="2186">
        <f t="shared" si="2013"/>
        <v>0</v>
      </c>
      <c r="Q759" s="241">
        <f t="shared" si="2014"/>
        <v>0</v>
      </c>
      <c r="R759" s="3148"/>
      <c r="S759" s="363">
        <f t="shared" si="2015"/>
        <v>0</v>
      </c>
      <c r="T759" s="3148"/>
      <c r="U759" s="363">
        <f t="shared" si="2004"/>
        <v>0</v>
      </c>
      <c r="V759" s="3148"/>
      <c r="W759" s="74">
        <f t="shared" si="2005"/>
        <v>0</v>
      </c>
      <c r="X759" s="363">
        <f t="shared" si="2006"/>
        <v>0</v>
      </c>
      <c r="Y759" s="3148"/>
      <c r="Z759" s="363">
        <f t="shared" si="2007"/>
        <v>0</v>
      </c>
      <c r="AA759" s="3148"/>
      <c r="AB759" s="78">
        <f t="shared" si="2008"/>
        <v>0</v>
      </c>
      <c r="AC759" s="5129"/>
      <c r="AD759" s="713">
        <f t="shared" si="2018"/>
        <v>0</v>
      </c>
      <c r="AE759" s="1290">
        <f t="shared" si="2019"/>
        <v>0</v>
      </c>
      <c r="AF759" s="712">
        <f t="shared" si="2020"/>
        <v>0</v>
      </c>
    </row>
    <row r="760" spans="3:38" ht="35" customHeight="1" x14ac:dyDescent="0.25">
      <c r="C760" s="338"/>
      <c r="D760" s="8445"/>
      <c r="E760" s="3924" t="s">
        <v>1678</v>
      </c>
      <c r="F760" s="3148"/>
      <c r="G760" s="3148"/>
      <c r="H760" s="296">
        <f t="shared" si="2002"/>
        <v>0</v>
      </c>
      <c r="I760" s="3148"/>
      <c r="J760" s="313">
        <f t="shared" si="2003"/>
        <v>0</v>
      </c>
      <c r="K760" s="3148"/>
      <c r="L760" s="363">
        <f t="shared" si="2010"/>
        <v>0</v>
      </c>
      <c r="M760" s="3148">
        <f>3361.68-53.82</f>
        <v>3307.8599999999997</v>
      </c>
      <c r="N760" s="363">
        <f t="shared" ref="N760" si="2022">+L760+M760</f>
        <v>3307.8599999999997</v>
      </c>
      <c r="O760" s="3155"/>
      <c r="P760" s="2186">
        <f t="shared" si="2013"/>
        <v>3307.8599999999997</v>
      </c>
      <c r="Q760" s="241">
        <f t="shared" si="2014"/>
        <v>3307.8599999999997</v>
      </c>
      <c r="R760" s="3148">
        <f>1177.83-43.47</f>
        <v>1134.3599999999999</v>
      </c>
      <c r="S760" s="363">
        <f t="shared" si="2015"/>
        <v>4442.2199999999993</v>
      </c>
      <c r="T760" s="3148"/>
      <c r="U760" s="363">
        <f t="shared" ref="U760" si="2023">SUM(S760:T760)</f>
        <v>4442.2199999999993</v>
      </c>
      <c r="V760" s="3148"/>
      <c r="W760" s="74">
        <f t="shared" ref="W760" si="2024">+R760+T760+V760</f>
        <v>1134.3599999999999</v>
      </c>
      <c r="X760" s="363">
        <f t="shared" ref="X760" si="2025">+U760+V760</f>
        <v>4442.2199999999993</v>
      </c>
      <c r="Y760" s="3148"/>
      <c r="Z760" s="363">
        <f t="shared" si="2007"/>
        <v>4442.2199999999993</v>
      </c>
      <c r="AA760" s="3148">
        <f>4758.93-31.05</f>
        <v>4727.88</v>
      </c>
      <c r="AB760" s="78">
        <f t="shared" si="2008"/>
        <v>9170.0999999999985</v>
      </c>
      <c r="AC760" s="5129"/>
      <c r="AD760" s="713">
        <f t="shared" si="2018"/>
        <v>4727.88</v>
      </c>
      <c r="AE760" s="1290">
        <f t="shared" si="2019"/>
        <v>5862.24</v>
      </c>
      <c r="AF760" s="712">
        <f t="shared" si="2020"/>
        <v>9170.0999999999985</v>
      </c>
      <c r="AI760" s="4756">
        <v>31.05</v>
      </c>
    </row>
    <row r="761" spans="3:38" ht="35" customHeight="1" x14ac:dyDescent="0.25">
      <c r="C761" s="338"/>
      <c r="D761" s="8445"/>
      <c r="E761" s="3924" t="s">
        <v>1789</v>
      </c>
      <c r="F761" s="3155"/>
      <c r="G761" s="3155"/>
      <c r="H761" s="296">
        <f t="shared" si="2002"/>
        <v>0</v>
      </c>
      <c r="I761" s="3155"/>
      <c r="J761" s="313">
        <f t="shared" si="2003"/>
        <v>0</v>
      </c>
      <c r="K761" s="3155"/>
      <c r="L761" s="363">
        <f t="shared" si="2010"/>
        <v>0</v>
      </c>
      <c r="M761" s="3155">
        <v>0</v>
      </c>
      <c r="N761" s="363">
        <f t="shared" si="2021"/>
        <v>0</v>
      </c>
      <c r="O761" s="3155"/>
      <c r="P761" s="2186">
        <f t="shared" si="2013"/>
        <v>0</v>
      </c>
      <c r="Q761" s="241">
        <f t="shared" si="2014"/>
        <v>0</v>
      </c>
      <c r="R761" s="3155"/>
      <c r="S761" s="363">
        <f t="shared" si="2015"/>
        <v>0</v>
      </c>
      <c r="T761" s="3155"/>
      <c r="U761" s="363">
        <f t="shared" si="2004"/>
        <v>0</v>
      </c>
      <c r="V761" s="3155"/>
      <c r="W761" s="74">
        <f t="shared" si="2005"/>
        <v>0</v>
      </c>
      <c r="X761" s="363">
        <f t="shared" si="2006"/>
        <v>0</v>
      </c>
      <c r="Y761" s="3155"/>
      <c r="Z761" s="363">
        <f t="shared" si="2007"/>
        <v>0</v>
      </c>
      <c r="AA761" s="3148">
        <v>469.89</v>
      </c>
      <c r="AB761" s="78">
        <f t="shared" si="2008"/>
        <v>469.89</v>
      </c>
      <c r="AC761" s="5129"/>
      <c r="AD761" s="713">
        <f t="shared" si="2018"/>
        <v>469.89</v>
      </c>
      <c r="AE761" s="1290">
        <f t="shared" si="2019"/>
        <v>469.89</v>
      </c>
      <c r="AF761" s="712">
        <f t="shared" si="2020"/>
        <v>469.89</v>
      </c>
    </row>
    <row r="762" spans="3:38" ht="35" hidden="1" customHeight="1" x14ac:dyDescent="0.25">
      <c r="C762" s="338"/>
      <c r="D762" s="8445"/>
      <c r="E762" s="3924"/>
      <c r="F762" s="3155"/>
      <c r="G762" s="3155"/>
      <c r="H762" s="296">
        <f t="shared" si="2002"/>
        <v>0</v>
      </c>
      <c r="I762" s="3155"/>
      <c r="J762" s="313">
        <f t="shared" si="2003"/>
        <v>0</v>
      </c>
      <c r="K762" s="3155"/>
      <c r="L762" s="363">
        <f t="shared" si="2010"/>
        <v>0</v>
      </c>
      <c r="M762" s="3155">
        <v>0</v>
      </c>
      <c r="N762" s="363">
        <f t="shared" si="2021"/>
        <v>0</v>
      </c>
      <c r="O762" s="3155"/>
      <c r="P762" s="2186">
        <f t="shared" si="2013"/>
        <v>0</v>
      </c>
      <c r="Q762" s="241">
        <f t="shared" si="2014"/>
        <v>0</v>
      </c>
      <c r="R762" s="3155"/>
      <c r="S762" s="363">
        <f t="shared" si="2015"/>
        <v>0</v>
      </c>
      <c r="T762" s="3155"/>
      <c r="U762" s="363">
        <f t="shared" si="2004"/>
        <v>0</v>
      </c>
      <c r="V762" s="3155"/>
      <c r="W762" s="74">
        <f t="shared" ref="W762:W763" si="2026">+R762+T762+V762</f>
        <v>0</v>
      </c>
      <c r="X762" s="363">
        <f t="shared" ref="X762:X763" si="2027">+U762+V762</f>
        <v>0</v>
      </c>
      <c r="Y762" s="3155"/>
      <c r="Z762" s="363">
        <f t="shared" si="2007"/>
        <v>0</v>
      </c>
      <c r="AA762" s="3155"/>
      <c r="AB762" s="78">
        <f t="shared" si="2008"/>
        <v>0</v>
      </c>
      <c r="AC762" s="5129"/>
      <c r="AD762" s="713">
        <f t="shared" si="2018"/>
        <v>0</v>
      </c>
      <c r="AE762" s="1290">
        <f t="shared" si="2019"/>
        <v>0</v>
      </c>
      <c r="AF762" s="712">
        <f t="shared" si="2020"/>
        <v>0</v>
      </c>
    </row>
    <row r="763" spans="3:38" ht="35" hidden="1" customHeight="1" x14ac:dyDescent="0.25">
      <c r="C763" s="338"/>
      <c r="D763" s="8445"/>
      <c r="E763" s="3924"/>
      <c r="F763" s="3155"/>
      <c r="G763" s="3155"/>
      <c r="H763" s="296">
        <f t="shared" si="2002"/>
        <v>0</v>
      </c>
      <c r="I763" s="3155"/>
      <c r="J763" s="313">
        <f t="shared" si="2003"/>
        <v>0</v>
      </c>
      <c r="K763" s="3155"/>
      <c r="L763" s="363">
        <f t="shared" si="2010"/>
        <v>0</v>
      </c>
      <c r="M763" s="3155">
        <v>0</v>
      </c>
      <c r="N763" s="363">
        <f t="shared" si="2021"/>
        <v>0</v>
      </c>
      <c r="O763" s="3155"/>
      <c r="P763" s="2186">
        <f t="shared" si="2013"/>
        <v>0</v>
      </c>
      <c r="Q763" s="241">
        <f t="shared" si="2014"/>
        <v>0</v>
      </c>
      <c r="R763" s="3155"/>
      <c r="S763" s="363">
        <f t="shared" si="2015"/>
        <v>0</v>
      </c>
      <c r="T763" s="3155"/>
      <c r="U763" s="363">
        <f t="shared" si="2004"/>
        <v>0</v>
      </c>
      <c r="V763" s="3155"/>
      <c r="W763" s="74">
        <f t="shared" si="2026"/>
        <v>0</v>
      </c>
      <c r="X763" s="363">
        <f t="shared" si="2027"/>
        <v>0</v>
      </c>
      <c r="Y763" s="3155"/>
      <c r="Z763" s="363">
        <f t="shared" si="2007"/>
        <v>0</v>
      </c>
      <c r="AA763" s="3155"/>
      <c r="AB763" s="78">
        <f t="shared" si="2008"/>
        <v>0</v>
      </c>
      <c r="AC763" s="5129"/>
      <c r="AD763" s="713">
        <f t="shared" si="2018"/>
        <v>0</v>
      </c>
      <c r="AE763" s="1290">
        <f t="shared" si="2019"/>
        <v>0</v>
      </c>
      <c r="AF763" s="712">
        <f t="shared" si="2020"/>
        <v>0</v>
      </c>
    </row>
    <row r="764" spans="3:38" ht="35" customHeight="1" x14ac:dyDescent="0.25">
      <c r="C764" s="338"/>
      <c r="D764" s="8445"/>
      <c r="E764" s="3924" t="s">
        <v>1489</v>
      </c>
      <c r="F764" s="3155"/>
      <c r="G764" s="3155"/>
      <c r="H764" s="296">
        <f t="shared" si="2002"/>
        <v>0</v>
      </c>
      <c r="I764" s="3155"/>
      <c r="J764" s="313">
        <f t="shared" si="2003"/>
        <v>0</v>
      </c>
      <c r="K764" s="3155"/>
      <c r="L764" s="363">
        <f t="shared" si="2010"/>
        <v>0</v>
      </c>
      <c r="M764" s="3155">
        <v>0</v>
      </c>
      <c r="N764" s="363">
        <f t="shared" si="2021"/>
        <v>0</v>
      </c>
      <c r="O764" s="3148">
        <f>3616.29-12.42</f>
        <v>3603.87</v>
      </c>
      <c r="P764" s="2186">
        <f t="shared" si="2013"/>
        <v>3603.87</v>
      </c>
      <c r="Q764" s="241">
        <f t="shared" si="2014"/>
        <v>3603.87</v>
      </c>
      <c r="R764" s="3155"/>
      <c r="S764" s="363">
        <f t="shared" si="2015"/>
        <v>3603.87</v>
      </c>
      <c r="T764" s="3155">
        <f>10753.65-84.87</f>
        <v>10668.779999999999</v>
      </c>
      <c r="U764" s="363">
        <f t="shared" si="2004"/>
        <v>14272.649999999998</v>
      </c>
      <c r="V764" s="3155">
        <f>244.26-4.14</f>
        <v>240.12</v>
      </c>
      <c r="W764" s="74">
        <f t="shared" si="2005"/>
        <v>10908.9</v>
      </c>
      <c r="X764" s="363">
        <f t="shared" si="2006"/>
        <v>14512.769999999999</v>
      </c>
      <c r="Y764" s="3155"/>
      <c r="Z764" s="363">
        <f t="shared" si="2007"/>
        <v>14512.769999999999</v>
      </c>
      <c r="AA764" s="3155"/>
      <c r="AB764" s="78">
        <f t="shared" si="2008"/>
        <v>14512.769999999999</v>
      </c>
      <c r="AC764" s="5129"/>
      <c r="AD764" s="713">
        <f t="shared" si="2018"/>
        <v>0</v>
      </c>
      <c r="AE764" s="1290">
        <f t="shared" si="2019"/>
        <v>10908.9</v>
      </c>
      <c r="AF764" s="712">
        <f t="shared" si="2020"/>
        <v>14512.769999999999</v>
      </c>
    </row>
    <row r="765" spans="3:38" ht="35" customHeight="1" x14ac:dyDescent="0.25">
      <c r="C765" s="338"/>
      <c r="D765" s="8445"/>
      <c r="E765" s="3924" t="s">
        <v>1741</v>
      </c>
      <c r="F765" s="3155"/>
      <c r="G765" s="3155"/>
      <c r="H765" s="296">
        <f t="shared" si="2002"/>
        <v>0</v>
      </c>
      <c r="I765" s="3155"/>
      <c r="J765" s="313">
        <f t="shared" si="2003"/>
        <v>0</v>
      </c>
      <c r="K765" s="3155"/>
      <c r="L765" s="363">
        <f t="shared" si="2010"/>
        <v>0</v>
      </c>
      <c r="M765" s="3155">
        <v>0</v>
      </c>
      <c r="N765" s="363">
        <f t="shared" si="2021"/>
        <v>0</v>
      </c>
      <c r="O765" s="3148"/>
      <c r="P765" s="2186">
        <f t="shared" si="2013"/>
        <v>0</v>
      </c>
      <c r="Q765" s="241">
        <f t="shared" si="2014"/>
        <v>0</v>
      </c>
      <c r="R765" s="3155"/>
      <c r="S765" s="363">
        <f t="shared" si="2015"/>
        <v>0</v>
      </c>
      <c r="T765" s="3155">
        <v>525.78</v>
      </c>
      <c r="U765" s="363">
        <f t="shared" si="2004"/>
        <v>525.78</v>
      </c>
      <c r="V765" s="3155"/>
      <c r="W765" s="74">
        <f t="shared" ref="W765:W766" si="2028">+R765+T765+V765</f>
        <v>525.78</v>
      </c>
      <c r="X765" s="363">
        <f t="shared" ref="X765:X766" si="2029">+U765+V765</f>
        <v>525.78</v>
      </c>
      <c r="Y765" s="3155"/>
      <c r="Z765" s="363">
        <f t="shared" si="2007"/>
        <v>525.78</v>
      </c>
      <c r="AA765" s="3155"/>
      <c r="AB765" s="78">
        <f t="shared" si="2008"/>
        <v>525.78</v>
      </c>
      <c r="AC765" s="5129"/>
      <c r="AD765" s="713">
        <f t="shared" si="2018"/>
        <v>0</v>
      </c>
      <c r="AE765" s="1290">
        <f t="shared" si="2019"/>
        <v>525.78</v>
      </c>
      <c r="AF765" s="712">
        <f t="shared" si="2020"/>
        <v>525.78</v>
      </c>
    </row>
    <row r="766" spans="3:38" ht="35" customHeight="1" x14ac:dyDescent="0.25">
      <c r="C766" s="338"/>
      <c r="D766" s="8445"/>
      <c r="E766" s="3924" t="s">
        <v>1490</v>
      </c>
      <c r="F766" s="3155"/>
      <c r="G766" s="3155"/>
      <c r="H766" s="296">
        <f t="shared" si="2002"/>
        <v>0</v>
      </c>
      <c r="I766" s="3155"/>
      <c r="J766" s="313">
        <f t="shared" si="2003"/>
        <v>0</v>
      </c>
      <c r="K766" s="3155"/>
      <c r="L766" s="363">
        <f t="shared" si="2010"/>
        <v>0</v>
      </c>
      <c r="M766" s="3155">
        <v>0</v>
      </c>
      <c r="N766" s="363">
        <f t="shared" si="2021"/>
        <v>0</v>
      </c>
      <c r="O766" s="3148"/>
      <c r="P766" s="2186">
        <f t="shared" si="2013"/>
        <v>0</v>
      </c>
      <c r="Q766" s="241">
        <f t="shared" si="2014"/>
        <v>0</v>
      </c>
      <c r="R766" s="3155"/>
      <c r="S766" s="363">
        <f t="shared" si="2015"/>
        <v>0</v>
      </c>
      <c r="T766" s="3155"/>
      <c r="U766" s="363">
        <f t="shared" si="2004"/>
        <v>0</v>
      </c>
      <c r="V766" s="3155"/>
      <c r="W766" s="74">
        <f t="shared" si="2028"/>
        <v>0</v>
      </c>
      <c r="X766" s="363">
        <f t="shared" si="2029"/>
        <v>0</v>
      </c>
      <c r="Y766" s="3155"/>
      <c r="Z766" s="363">
        <f t="shared" si="2007"/>
        <v>0</v>
      </c>
      <c r="AA766" s="3155"/>
      <c r="AB766" s="78">
        <f t="shared" si="2008"/>
        <v>0</v>
      </c>
      <c r="AC766" s="5129"/>
      <c r="AD766" s="713">
        <f t="shared" si="2018"/>
        <v>0</v>
      </c>
      <c r="AE766" s="1290">
        <f t="shared" si="2019"/>
        <v>0</v>
      </c>
      <c r="AF766" s="712">
        <f t="shared" si="2020"/>
        <v>0</v>
      </c>
    </row>
    <row r="767" spans="3:38" ht="35" hidden="1" customHeight="1" x14ac:dyDescent="0.25">
      <c r="C767" s="338"/>
      <c r="D767" s="8445"/>
      <c r="E767" s="3924"/>
      <c r="F767" s="3155"/>
      <c r="G767" s="3155"/>
      <c r="H767" s="296">
        <f t="shared" si="2002"/>
        <v>0</v>
      </c>
      <c r="I767" s="3155"/>
      <c r="J767" s="313">
        <f t="shared" si="2003"/>
        <v>0</v>
      </c>
      <c r="K767" s="3155"/>
      <c r="L767" s="363">
        <f t="shared" si="2010"/>
        <v>0</v>
      </c>
      <c r="M767" s="3155">
        <v>0</v>
      </c>
      <c r="N767" s="363">
        <f t="shared" si="2021"/>
        <v>0</v>
      </c>
      <c r="O767" s="3148"/>
      <c r="P767" s="2186">
        <f t="shared" si="2013"/>
        <v>0</v>
      </c>
      <c r="Q767" s="241">
        <f t="shared" si="2014"/>
        <v>0</v>
      </c>
      <c r="R767" s="3155"/>
      <c r="S767" s="363">
        <f t="shared" si="2015"/>
        <v>0</v>
      </c>
      <c r="T767" s="3155"/>
      <c r="U767" s="363">
        <f t="shared" si="2004"/>
        <v>0</v>
      </c>
      <c r="V767" s="3155"/>
      <c r="W767" s="74">
        <f t="shared" si="2005"/>
        <v>0</v>
      </c>
      <c r="X767" s="363">
        <f t="shared" si="2006"/>
        <v>0</v>
      </c>
      <c r="Y767" s="3155"/>
      <c r="Z767" s="363">
        <f t="shared" si="2007"/>
        <v>0</v>
      </c>
      <c r="AA767" s="3155"/>
      <c r="AB767" s="78">
        <f t="shared" si="2008"/>
        <v>0</v>
      </c>
      <c r="AC767" s="5129"/>
      <c r="AD767" s="713">
        <f t="shared" si="2018"/>
        <v>0</v>
      </c>
      <c r="AE767" s="1290">
        <f t="shared" si="2019"/>
        <v>0</v>
      </c>
      <c r="AF767" s="712">
        <f t="shared" si="2020"/>
        <v>0</v>
      </c>
    </row>
    <row r="768" spans="3:38" ht="35" hidden="1" customHeight="1" x14ac:dyDescent="0.25">
      <c r="C768" s="338"/>
      <c r="D768" s="8445"/>
      <c r="E768" s="3924"/>
      <c r="F768" s="3155"/>
      <c r="G768" s="3155"/>
      <c r="H768" s="296">
        <f t="shared" si="2002"/>
        <v>0</v>
      </c>
      <c r="I768" s="3155"/>
      <c r="J768" s="313">
        <f t="shared" si="2003"/>
        <v>0</v>
      </c>
      <c r="K768" s="3155"/>
      <c r="L768" s="363">
        <f t="shared" si="2010"/>
        <v>0</v>
      </c>
      <c r="M768" s="3155">
        <v>0</v>
      </c>
      <c r="N768" s="363">
        <f t="shared" si="2021"/>
        <v>0</v>
      </c>
      <c r="O768" s="3148"/>
      <c r="P768" s="2186">
        <f t="shared" si="2013"/>
        <v>0</v>
      </c>
      <c r="Q768" s="241">
        <f t="shared" si="2014"/>
        <v>0</v>
      </c>
      <c r="R768" s="3155"/>
      <c r="S768" s="363">
        <f t="shared" si="2015"/>
        <v>0</v>
      </c>
      <c r="T768" s="3155"/>
      <c r="U768" s="363">
        <f t="shared" si="2004"/>
        <v>0</v>
      </c>
      <c r="V768" s="3155"/>
      <c r="W768" s="74">
        <f t="shared" si="2005"/>
        <v>0</v>
      </c>
      <c r="X768" s="363">
        <f t="shared" si="2006"/>
        <v>0</v>
      </c>
      <c r="Y768" s="3155"/>
      <c r="Z768" s="363">
        <f t="shared" si="2007"/>
        <v>0</v>
      </c>
      <c r="AA768" s="3155"/>
      <c r="AB768" s="78">
        <f t="shared" si="2008"/>
        <v>0</v>
      </c>
      <c r="AC768" s="5129"/>
      <c r="AD768" s="713">
        <f t="shared" si="2018"/>
        <v>0</v>
      </c>
      <c r="AE768" s="1290">
        <f t="shared" si="2019"/>
        <v>0</v>
      </c>
      <c r="AF768" s="712">
        <f t="shared" si="2020"/>
        <v>0</v>
      </c>
    </row>
    <row r="769" spans="1:35" ht="35" hidden="1" customHeight="1" x14ac:dyDescent="0.25">
      <c r="A769" s="2">
        <v>11282.6</v>
      </c>
      <c r="C769" s="338"/>
      <c r="D769" s="8445"/>
      <c r="E769" s="3924"/>
      <c r="F769" s="3155"/>
      <c r="G769" s="3155"/>
      <c r="H769" s="296">
        <f t="shared" si="2002"/>
        <v>0</v>
      </c>
      <c r="I769" s="3155"/>
      <c r="J769" s="313">
        <f t="shared" si="2003"/>
        <v>0</v>
      </c>
      <c r="K769" s="3155"/>
      <c r="L769" s="363">
        <f t="shared" si="2010"/>
        <v>0</v>
      </c>
      <c r="M769" s="3155">
        <v>0</v>
      </c>
      <c r="N769" s="363">
        <f t="shared" si="2021"/>
        <v>0</v>
      </c>
      <c r="O769" s="3148"/>
      <c r="P769" s="2186">
        <f t="shared" si="2013"/>
        <v>0</v>
      </c>
      <c r="Q769" s="241">
        <f t="shared" si="2014"/>
        <v>0</v>
      </c>
      <c r="R769" s="3155"/>
      <c r="S769" s="363">
        <f t="shared" si="2015"/>
        <v>0</v>
      </c>
      <c r="T769" s="3155"/>
      <c r="U769" s="363">
        <f t="shared" si="2004"/>
        <v>0</v>
      </c>
      <c r="V769" s="3155"/>
      <c r="W769" s="74">
        <f t="shared" si="2005"/>
        <v>0</v>
      </c>
      <c r="X769" s="363">
        <f t="shared" si="2006"/>
        <v>0</v>
      </c>
      <c r="Y769" s="3155"/>
      <c r="Z769" s="363">
        <f t="shared" si="2007"/>
        <v>0</v>
      </c>
      <c r="AA769" s="3155"/>
      <c r="AB769" s="78">
        <f t="shared" si="2008"/>
        <v>0</v>
      </c>
      <c r="AC769" s="5129"/>
      <c r="AD769" s="713">
        <f t="shared" si="2018"/>
        <v>0</v>
      </c>
      <c r="AE769" s="1290">
        <f t="shared" si="2019"/>
        <v>0</v>
      </c>
      <c r="AF769" s="712">
        <f t="shared" si="2020"/>
        <v>0</v>
      </c>
    </row>
    <row r="770" spans="1:35" ht="35" hidden="1" customHeight="1" x14ac:dyDescent="0.25">
      <c r="A770" s="2">
        <v>1255</v>
      </c>
      <c r="C770" s="338"/>
      <c r="D770" s="8445"/>
      <c r="E770" s="3924"/>
      <c r="F770" s="3155"/>
      <c r="G770" s="3155"/>
      <c r="H770" s="296">
        <f t="shared" si="2002"/>
        <v>0</v>
      </c>
      <c r="I770" s="3155"/>
      <c r="J770" s="313">
        <f t="shared" si="2003"/>
        <v>0</v>
      </c>
      <c r="K770" s="3155"/>
      <c r="L770" s="363">
        <f t="shared" si="2010"/>
        <v>0</v>
      </c>
      <c r="M770" s="3155">
        <v>0</v>
      </c>
      <c r="N770" s="363">
        <f t="shared" si="2021"/>
        <v>0</v>
      </c>
      <c r="O770" s="3148"/>
      <c r="P770" s="2186">
        <f t="shared" si="2013"/>
        <v>0</v>
      </c>
      <c r="Q770" s="241">
        <f t="shared" si="2014"/>
        <v>0</v>
      </c>
      <c r="R770" s="3155"/>
      <c r="S770" s="363">
        <f t="shared" si="2015"/>
        <v>0</v>
      </c>
      <c r="T770" s="3155"/>
      <c r="U770" s="363">
        <f t="shared" si="2004"/>
        <v>0</v>
      </c>
      <c r="V770" s="3155"/>
      <c r="W770" s="74">
        <f t="shared" si="2005"/>
        <v>0</v>
      </c>
      <c r="X770" s="363">
        <f t="shared" si="2006"/>
        <v>0</v>
      </c>
      <c r="Y770" s="3155"/>
      <c r="Z770" s="363">
        <f t="shared" si="2007"/>
        <v>0</v>
      </c>
      <c r="AA770" s="3155"/>
      <c r="AB770" s="78">
        <f t="shared" si="2008"/>
        <v>0</v>
      </c>
      <c r="AC770" s="5129"/>
      <c r="AD770" s="713">
        <f t="shared" si="2018"/>
        <v>0</v>
      </c>
      <c r="AE770" s="1290">
        <f t="shared" si="2019"/>
        <v>0</v>
      </c>
      <c r="AF770" s="712">
        <f t="shared" si="2020"/>
        <v>0</v>
      </c>
    </row>
    <row r="771" spans="1:35" ht="35" hidden="1" customHeight="1" x14ac:dyDescent="0.25">
      <c r="C771" s="338"/>
      <c r="D771" s="8445"/>
      <c r="E771" s="3924"/>
      <c r="F771" s="3155"/>
      <c r="G771" s="3155"/>
      <c r="H771" s="296">
        <f t="shared" si="2002"/>
        <v>0</v>
      </c>
      <c r="I771" s="3155"/>
      <c r="J771" s="313">
        <f t="shared" si="2003"/>
        <v>0</v>
      </c>
      <c r="K771" s="3155"/>
      <c r="L771" s="363">
        <f t="shared" si="2010"/>
        <v>0</v>
      </c>
      <c r="M771" s="3155">
        <v>0</v>
      </c>
      <c r="N771" s="363">
        <f t="shared" si="2021"/>
        <v>0</v>
      </c>
      <c r="O771" s="3148"/>
      <c r="P771" s="2186">
        <f t="shared" si="2013"/>
        <v>0</v>
      </c>
      <c r="Q771" s="241">
        <f t="shared" si="2014"/>
        <v>0</v>
      </c>
      <c r="R771" s="3155"/>
      <c r="S771" s="363">
        <f t="shared" si="2015"/>
        <v>0</v>
      </c>
      <c r="T771" s="3155"/>
      <c r="U771" s="363">
        <f t="shared" si="2004"/>
        <v>0</v>
      </c>
      <c r="V771" s="3155"/>
      <c r="W771" s="74">
        <f t="shared" ref="W771:W772" si="2030">+R771+T771+V771</f>
        <v>0</v>
      </c>
      <c r="X771" s="363">
        <f t="shared" ref="X771:X772" si="2031">+U771+V771</f>
        <v>0</v>
      </c>
      <c r="Y771" s="3155"/>
      <c r="Z771" s="363">
        <f t="shared" si="2007"/>
        <v>0</v>
      </c>
      <c r="AA771" s="3155"/>
      <c r="AB771" s="78">
        <f t="shared" si="2008"/>
        <v>0</v>
      </c>
      <c r="AC771" s="5129"/>
      <c r="AD771" s="713">
        <f t="shared" si="2018"/>
        <v>0</v>
      </c>
      <c r="AE771" s="1290">
        <f t="shared" si="2019"/>
        <v>0</v>
      </c>
      <c r="AF771" s="712">
        <f t="shared" si="2020"/>
        <v>0</v>
      </c>
    </row>
    <row r="772" spans="1:35" ht="35" customHeight="1" x14ac:dyDescent="0.25">
      <c r="C772" s="338"/>
      <c r="D772" s="8445"/>
      <c r="E772" s="3924" t="s">
        <v>1487</v>
      </c>
      <c r="F772" s="3155"/>
      <c r="G772" s="3155"/>
      <c r="H772" s="296">
        <f t="shared" si="2002"/>
        <v>0</v>
      </c>
      <c r="I772" s="3155"/>
      <c r="J772" s="313">
        <f t="shared" si="2003"/>
        <v>0</v>
      </c>
      <c r="K772" s="3155"/>
      <c r="L772" s="363">
        <f t="shared" si="2010"/>
        <v>0</v>
      </c>
      <c r="M772" s="3155">
        <v>0</v>
      </c>
      <c r="N772" s="363">
        <f t="shared" si="2021"/>
        <v>0</v>
      </c>
      <c r="O772" s="3148">
        <v>4082.0399999999995</v>
      </c>
      <c r="P772" s="2186">
        <f t="shared" si="2013"/>
        <v>4082.0399999999995</v>
      </c>
      <c r="Q772" s="241">
        <f t="shared" si="2014"/>
        <v>4082.0399999999995</v>
      </c>
      <c r="R772" s="3155">
        <v>3415.4999999999995</v>
      </c>
      <c r="S772" s="363">
        <f t="shared" si="2015"/>
        <v>7497.5399999999991</v>
      </c>
      <c r="T772" s="3155"/>
      <c r="U772" s="363">
        <f t="shared" si="2004"/>
        <v>7497.5399999999991</v>
      </c>
      <c r="V772" s="3155">
        <v>5555.880000000001</v>
      </c>
      <c r="W772" s="74">
        <f t="shared" si="2030"/>
        <v>8971.380000000001</v>
      </c>
      <c r="X772" s="363">
        <f t="shared" si="2031"/>
        <v>13053.42</v>
      </c>
      <c r="Y772" s="3155">
        <f>8845.11-70.38</f>
        <v>8774.7300000000014</v>
      </c>
      <c r="Z772" s="363">
        <f t="shared" si="2007"/>
        <v>21828.15</v>
      </c>
      <c r="AA772" s="3155"/>
      <c r="AB772" s="78">
        <f t="shared" si="2008"/>
        <v>21828.15</v>
      </c>
      <c r="AC772" s="5129"/>
      <c r="AD772" s="713">
        <f t="shared" si="2018"/>
        <v>8774.7300000000014</v>
      </c>
      <c r="AE772" s="1290">
        <f t="shared" si="2019"/>
        <v>17746.11</v>
      </c>
      <c r="AF772" s="712">
        <f t="shared" si="2020"/>
        <v>21828.15</v>
      </c>
    </row>
    <row r="773" spans="1:35" ht="35" customHeight="1" x14ac:dyDescent="0.25">
      <c r="C773" s="338"/>
      <c r="D773" s="8445"/>
      <c r="E773" s="3924" t="s">
        <v>1488</v>
      </c>
      <c r="F773" s="3155"/>
      <c r="G773" s="3155"/>
      <c r="H773" s="296">
        <f t="shared" si="2002"/>
        <v>0</v>
      </c>
      <c r="I773" s="3155"/>
      <c r="J773" s="313">
        <f t="shared" si="2003"/>
        <v>0</v>
      </c>
      <c r="K773" s="3155"/>
      <c r="L773" s="363">
        <f t="shared" si="2010"/>
        <v>0</v>
      </c>
      <c r="M773" s="3155">
        <v>0</v>
      </c>
      <c r="N773" s="363">
        <f t="shared" si="2021"/>
        <v>0</v>
      </c>
      <c r="O773" s="3155"/>
      <c r="P773" s="2186">
        <f t="shared" si="2013"/>
        <v>0</v>
      </c>
      <c r="Q773" s="241">
        <f t="shared" si="2014"/>
        <v>0</v>
      </c>
      <c r="R773" s="3155">
        <v>161.45999999999998</v>
      </c>
      <c r="S773" s="363">
        <f t="shared" si="2015"/>
        <v>161.45999999999998</v>
      </c>
      <c r="T773" s="3155"/>
      <c r="U773" s="363">
        <f t="shared" si="2004"/>
        <v>161.45999999999998</v>
      </c>
      <c r="V773" s="3155"/>
      <c r="W773" s="74">
        <f t="shared" ref="W773" si="2032">+R773+T773+V773</f>
        <v>161.45999999999998</v>
      </c>
      <c r="X773" s="363">
        <f t="shared" ref="X773" si="2033">+U773+V773</f>
        <v>161.45999999999998</v>
      </c>
      <c r="Y773" s="3155"/>
      <c r="Z773" s="363">
        <f t="shared" si="2007"/>
        <v>161.45999999999998</v>
      </c>
      <c r="AA773" s="3155"/>
      <c r="AB773" s="78">
        <f t="shared" si="2008"/>
        <v>161.45999999999998</v>
      </c>
      <c r="AC773" s="5129"/>
      <c r="AD773" s="713">
        <f t="shared" si="2018"/>
        <v>0</v>
      </c>
      <c r="AE773" s="1290">
        <f t="shared" si="2019"/>
        <v>161.45999999999998</v>
      </c>
      <c r="AF773" s="712">
        <f t="shared" si="2020"/>
        <v>161.45999999999998</v>
      </c>
    </row>
    <row r="774" spans="1:35" ht="34.5" hidden="1" customHeight="1" x14ac:dyDescent="0.25">
      <c r="C774" s="338"/>
      <c r="D774" s="8445"/>
      <c r="E774" s="3924"/>
      <c r="F774" s="3155"/>
      <c r="G774" s="3155"/>
      <c r="H774" s="296">
        <f t="shared" si="2002"/>
        <v>0</v>
      </c>
      <c r="I774" s="3155"/>
      <c r="J774" s="313">
        <f t="shared" si="2003"/>
        <v>0</v>
      </c>
      <c r="K774" s="3155"/>
      <c r="L774" s="363">
        <f t="shared" si="2010"/>
        <v>0</v>
      </c>
      <c r="M774" s="3155">
        <v>0</v>
      </c>
      <c r="N774" s="363">
        <f t="shared" si="2021"/>
        <v>0</v>
      </c>
      <c r="O774" s="3155"/>
      <c r="P774" s="2186">
        <f t="shared" ref="P774:P843" si="2034">+K774+M774+O774</f>
        <v>0</v>
      </c>
      <c r="Q774" s="241">
        <f t="shared" ref="Q774:Q843" si="2035">+N774+O774</f>
        <v>0</v>
      </c>
      <c r="R774" s="3155"/>
      <c r="S774" s="363">
        <f t="shared" si="2015"/>
        <v>0</v>
      </c>
      <c r="T774" s="3155"/>
      <c r="U774" s="363">
        <f t="shared" si="2004"/>
        <v>0</v>
      </c>
      <c r="V774" s="3155"/>
      <c r="W774" s="74">
        <f t="shared" si="2005"/>
        <v>0</v>
      </c>
      <c r="X774" s="363">
        <f t="shared" si="2006"/>
        <v>0</v>
      </c>
      <c r="Y774" s="3155"/>
      <c r="Z774" s="363">
        <f t="shared" si="2007"/>
        <v>0</v>
      </c>
      <c r="AA774" s="3155"/>
      <c r="AB774" s="78">
        <f t="shared" si="2008"/>
        <v>0</v>
      </c>
      <c r="AC774" s="5129"/>
      <c r="AD774" s="713">
        <f t="shared" si="2018"/>
        <v>0</v>
      </c>
      <c r="AE774" s="1290">
        <f t="shared" si="2019"/>
        <v>0</v>
      </c>
      <c r="AF774" s="712">
        <f t="shared" si="2020"/>
        <v>0</v>
      </c>
    </row>
    <row r="775" spans="1:35" ht="35" hidden="1" customHeight="1" x14ac:dyDescent="0.25">
      <c r="A775" s="2">
        <f>SUM(A769:A770)</f>
        <v>12537.6</v>
      </c>
      <c r="C775" s="338"/>
      <c r="D775" s="8445"/>
      <c r="E775" s="3924"/>
      <c r="F775" s="3155"/>
      <c r="G775" s="3155"/>
      <c r="H775" s="296">
        <f t="shared" si="2002"/>
        <v>0</v>
      </c>
      <c r="I775" s="3155"/>
      <c r="J775" s="313">
        <f t="shared" si="2003"/>
        <v>0</v>
      </c>
      <c r="K775" s="3155"/>
      <c r="L775" s="363">
        <f t="shared" si="2010"/>
        <v>0</v>
      </c>
      <c r="M775" s="3155">
        <v>0</v>
      </c>
      <c r="N775" s="363">
        <f t="shared" si="2021"/>
        <v>0</v>
      </c>
      <c r="O775" s="3155"/>
      <c r="P775" s="2186">
        <f t="shared" si="2034"/>
        <v>0</v>
      </c>
      <c r="Q775" s="241">
        <f t="shared" si="2035"/>
        <v>0</v>
      </c>
      <c r="R775" s="3155"/>
      <c r="S775" s="363">
        <f t="shared" si="2015"/>
        <v>0</v>
      </c>
      <c r="T775" s="3155"/>
      <c r="U775" s="363">
        <f t="shared" si="2004"/>
        <v>0</v>
      </c>
      <c r="V775" s="3155"/>
      <c r="W775" s="74">
        <f t="shared" si="2005"/>
        <v>0</v>
      </c>
      <c r="X775" s="363">
        <f t="shared" si="2006"/>
        <v>0</v>
      </c>
      <c r="Y775" s="3155"/>
      <c r="Z775" s="363">
        <f t="shared" si="2007"/>
        <v>0</v>
      </c>
      <c r="AA775" s="3155"/>
      <c r="AB775" s="78">
        <f t="shared" si="2008"/>
        <v>0</v>
      </c>
      <c r="AC775" s="5129"/>
      <c r="AD775" s="713">
        <f t="shared" si="2018"/>
        <v>0</v>
      </c>
      <c r="AE775" s="1290">
        <f t="shared" si="2019"/>
        <v>0</v>
      </c>
      <c r="AF775" s="712">
        <f t="shared" si="2020"/>
        <v>0</v>
      </c>
    </row>
    <row r="776" spans="1:35" ht="35" hidden="1" customHeight="1" x14ac:dyDescent="0.25">
      <c r="C776" s="338"/>
      <c r="D776" s="8445"/>
      <c r="E776" s="3924"/>
      <c r="F776" s="3155"/>
      <c r="G776" s="3155"/>
      <c r="H776" s="296">
        <f t="shared" si="2002"/>
        <v>0</v>
      </c>
      <c r="I776" s="3155"/>
      <c r="J776" s="313">
        <f t="shared" si="2003"/>
        <v>0</v>
      </c>
      <c r="K776" s="3155"/>
      <c r="L776" s="363">
        <f t="shared" si="2010"/>
        <v>0</v>
      </c>
      <c r="M776" s="3155">
        <v>0</v>
      </c>
      <c r="N776" s="363">
        <f t="shared" si="2021"/>
        <v>0</v>
      </c>
      <c r="O776" s="3155"/>
      <c r="P776" s="2186">
        <f t="shared" si="2034"/>
        <v>0</v>
      </c>
      <c r="Q776" s="241">
        <f t="shared" si="2035"/>
        <v>0</v>
      </c>
      <c r="R776" s="3155"/>
      <c r="S776" s="363">
        <f t="shared" si="2015"/>
        <v>0</v>
      </c>
      <c r="T776" s="3155"/>
      <c r="U776" s="363">
        <f t="shared" si="2004"/>
        <v>0</v>
      </c>
      <c r="V776" s="3155"/>
      <c r="W776" s="74">
        <f t="shared" si="2005"/>
        <v>0</v>
      </c>
      <c r="X776" s="363">
        <f t="shared" si="2006"/>
        <v>0</v>
      </c>
      <c r="Y776" s="3155"/>
      <c r="Z776" s="363">
        <f t="shared" si="2007"/>
        <v>0</v>
      </c>
      <c r="AA776" s="3155"/>
      <c r="AB776" s="78">
        <f t="shared" si="2008"/>
        <v>0</v>
      </c>
      <c r="AC776" s="5129"/>
      <c r="AD776" s="713">
        <f t="shared" si="2018"/>
        <v>0</v>
      </c>
      <c r="AE776" s="1290">
        <f t="shared" si="2019"/>
        <v>0</v>
      </c>
      <c r="AF776" s="712">
        <f t="shared" si="2020"/>
        <v>0</v>
      </c>
    </row>
    <row r="777" spans="1:35" ht="35" hidden="1" customHeight="1" x14ac:dyDescent="0.25">
      <c r="C777" s="2111"/>
      <c r="D777" s="8445"/>
      <c r="E777" s="3924"/>
      <c r="F777" s="3155"/>
      <c r="G777" s="3155"/>
      <c r="H777" s="296">
        <f t="shared" si="2002"/>
        <v>0</v>
      </c>
      <c r="I777" s="3155"/>
      <c r="J777" s="313">
        <f t="shared" si="2003"/>
        <v>0</v>
      </c>
      <c r="K777" s="3155"/>
      <c r="L777" s="363">
        <f t="shared" si="2010"/>
        <v>0</v>
      </c>
      <c r="M777" s="3155">
        <v>0</v>
      </c>
      <c r="N777" s="363">
        <f t="shared" si="2021"/>
        <v>0</v>
      </c>
      <c r="O777" s="3155"/>
      <c r="P777" s="2186">
        <f t="shared" si="2034"/>
        <v>0</v>
      </c>
      <c r="Q777" s="241">
        <f t="shared" si="2035"/>
        <v>0</v>
      </c>
      <c r="R777" s="3155"/>
      <c r="S777" s="363">
        <f t="shared" si="2015"/>
        <v>0</v>
      </c>
      <c r="T777" s="3155"/>
      <c r="U777" s="363">
        <f t="shared" si="2004"/>
        <v>0</v>
      </c>
      <c r="V777" s="3155"/>
      <c r="W777" s="74">
        <f t="shared" si="2005"/>
        <v>0</v>
      </c>
      <c r="X777" s="363">
        <f t="shared" si="2006"/>
        <v>0</v>
      </c>
      <c r="Y777" s="3155"/>
      <c r="Z777" s="363">
        <f t="shared" si="2007"/>
        <v>0</v>
      </c>
      <c r="AA777" s="3155"/>
      <c r="AB777" s="78">
        <f t="shared" si="2008"/>
        <v>0</v>
      </c>
      <c r="AC777" s="5129"/>
      <c r="AD777" s="713">
        <f t="shared" si="2018"/>
        <v>0</v>
      </c>
      <c r="AE777" s="1290">
        <f t="shared" si="2019"/>
        <v>0</v>
      </c>
      <c r="AF777" s="712">
        <f t="shared" si="2020"/>
        <v>0</v>
      </c>
    </row>
    <row r="778" spans="1:35" ht="34.5" hidden="1" customHeight="1" x14ac:dyDescent="0.25">
      <c r="C778" s="2111"/>
      <c r="D778" s="8445"/>
      <c r="E778" s="3924"/>
      <c r="F778" s="3155"/>
      <c r="G778" s="3155"/>
      <c r="H778" s="296">
        <f t="shared" si="2002"/>
        <v>0</v>
      </c>
      <c r="I778" s="3155"/>
      <c r="J778" s="313">
        <f t="shared" si="2003"/>
        <v>0</v>
      </c>
      <c r="K778" s="3155"/>
      <c r="L778" s="363">
        <f t="shared" si="2010"/>
        <v>0</v>
      </c>
      <c r="M778" s="3155">
        <v>0</v>
      </c>
      <c r="N778" s="363">
        <f t="shared" si="2021"/>
        <v>0</v>
      </c>
      <c r="O778" s="3155"/>
      <c r="P778" s="2186">
        <f t="shared" si="2034"/>
        <v>0</v>
      </c>
      <c r="Q778" s="241">
        <f t="shared" si="2035"/>
        <v>0</v>
      </c>
      <c r="R778" s="3155"/>
      <c r="S778" s="363">
        <f t="shared" si="2015"/>
        <v>0</v>
      </c>
      <c r="T778" s="3155"/>
      <c r="U778" s="363">
        <f t="shared" si="2004"/>
        <v>0</v>
      </c>
      <c r="V778" s="3155"/>
      <c r="W778" s="74">
        <f t="shared" si="2005"/>
        <v>0</v>
      </c>
      <c r="X778" s="363">
        <f t="shared" si="2006"/>
        <v>0</v>
      </c>
      <c r="Y778" s="3155"/>
      <c r="Z778" s="363">
        <f t="shared" si="2007"/>
        <v>0</v>
      </c>
      <c r="AA778" s="3155"/>
      <c r="AB778" s="78">
        <f t="shared" si="2008"/>
        <v>0</v>
      </c>
      <c r="AC778" s="5129"/>
      <c r="AD778" s="713">
        <f t="shared" si="2018"/>
        <v>0</v>
      </c>
      <c r="AE778" s="1290">
        <f t="shared" si="2019"/>
        <v>0</v>
      </c>
      <c r="AF778" s="712">
        <f t="shared" si="2020"/>
        <v>0</v>
      </c>
    </row>
    <row r="779" spans="1:35" ht="34.5" hidden="1" customHeight="1" x14ac:dyDescent="0.25">
      <c r="C779" s="2111"/>
      <c r="D779" s="8445"/>
      <c r="E779" s="3924"/>
      <c r="F779" s="3155"/>
      <c r="G779" s="3155"/>
      <c r="H779" s="296">
        <f t="shared" si="2002"/>
        <v>0</v>
      </c>
      <c r="I779" s="3155"/>
      <c r="J779" s="313">
        <f t="shared" si="2003"/>
        <v>0</v>
      </c>
      <c r="K779" s="3155"/>
      <c r="L779" s="363">
        <f t="shared" si="2010"/>
        <v>0</v>
      </c>
      <c r="M779" s="3155">
        <v>0</v>
      </c>
      <c r="N779" s="363">
        <f t="shared" si="2021"/>
        <v>0</v>
      </c>
      <c r="O779" s="3155"/>
      <c r="P779" s="2186">
        <f t="shared" si="2034"/>
        <v>0</v>
      </c>
      <c r="Q779" s="241">
        <f t="shared" si="2035"/>
        <v>0</v>
      </c>
      <c r="R779" s="3155"/>
      <c r="S779" s="363">
        <f t="shared" si="2015"/>
        <v>0</v>
      </c>
      <c r="T779" s="3155"/>
      <c r="U779" s="363">
        <f t="shared" si="2004"/>
        <v>0</v>
      </c>
      <c r="V779" s="3155"/>
      <c r="W779" s="74">
        <f t="shared" si="2005"/>
        <v>0</v>
      </c>
      <c r="X779" s="363">
        <f t="shared" si="2006"/>
        <v>0</v>
      </c>
      <c r="Y779" s="3155"/>
      <c r="Z779" s="363">
        <f t="shared" si="2007"/>
        <v>0</v>
      </c>
      <c r="AA779" s="3155"/>
      <c r="AB779" s="78">
        <f t="shared" si="2008"/>
        <v>0</v>
      </c>
      <c r="AC779" s="5129"/>
      <c r="AD779" s="713">
        <f t="shared" si="2018"/>
        <v>0</v>
      </c>
      <c r="AE779" s="1290">
        <f t="shared" si="2019"/>
        <v>0</v>
      </c>
      <c r="AF779" s="712">
        <f t="shared" si="2020"/>
        <v>0</v>
      </c>
    </row>
    <row r="780" spans="1:35" ht="35" customHeight="1" x14ac:dyDescent="0.25">
      <c r="C780" s="2111"/>
      <c r="D780" s="8445"/>
      <c r="E780" s="3924" t="s">
        <v>1747</v>
      </c>
      <c r="F780" s="3155"/>
      <c r="G780" s="3155"/>
      <c r="H780" s="296">
        <f t="shared" si="2002"/>
        <v>0</v>
      </c>
      <c r="I780" s="3155"/>
      <c r="J780" s="313">
        <f t="shared" si="2003"/>
        <v>0</v>
      </c>
      <c r="K780" s="3155"/>
      <c r="L780" s="363">
        <f t="shared" si="2010"/>
        <v>0</v>
      </c>
      <c r="M780" s="3155">
        <v>0</v>
      </c>
      <c r="N780" s="363">
        <f t="shared" si="2021"/>
        <v>0</v>
      </c>
      <c r="O780" s="3155"/>
      <c r="P780" s="2186">
        <f t="shared" si="2034"/>
        <v>0</v>
      </c>
      <c r="Q780" s="241">
        <f t="shared" si="2035"/>
        <v>0</v>
      </c>
      <c r="R780" s="3155"/>
      <c r="S780" s="363">
        <f t="shared" si="2015"/>
        <v>0</v>
      </c>
      <c r="T780" s="3155"/>
      <c r="U780" s="363">
        <f t="shared" si="2004"/>
        <v>0</v>
      </c>
      <c r="V780" s="3155">
        <v>372.59999999999997</v>
      </c>
      <c r="W780" s="74">
        <f t="shared" si="2005"/>
        <v>372.59999999999997</v>
      </c>
      <c r="X780" s="363">
        <f t="shared" si="2006"/>
        <v>372.59999999999997</v>
      </c>
      <c r="Y780" s="3155">
        <f>529.92-28.98</f>
        <v>500.93999999999994</v>
      </c>
      <c r="Z780" s="363">
        <f t="shared" si="2007"/>
        <v>873.54</v>
      </c>
      <c r="AA780" s="3155"/>
      <c r="AB780" s="78">
        <f t="shared" si="2008"/>
        <v>873.54</v>
      </c>
      <c r="AC780" s="5129"/>
      <c r="AD780" s="713">
        <f t="shared" si="2018"/>
        <v>500.93999999999994</v>
      </c>
      <c r="AE780" s="1290">
        <f t="shared" si="2019"/>
        <v>873.54</v>
      </c>
      <c r="AF780" s="712">
        <f t="shared" si="2020"/>
        <v>873.54</v>
      </c>
    </row>
    <row r="781" spans="1:35" ht="35" customHeight="1" x14ac:dyDescent="0.25">
      <c r="C781" s="2111"/>
      <c r="D781" s="8445"/>
      <c r="E781" s="3924" t="s">
        <v>1544</v>
      </c>
      <c r="F781" s="3155"/>
      <c r="G781" s="3155"/>
      <c r="H781" s="296">
        <f t="shared" si="2002"/>
        <v>0</v>
      </c>
      <c r="I781" s="3155"/>
      <c r="J781" s="313">
        <f t="shared" si="2003"/>
        <v>0</v>
      </c>
      <c r="K781" s="3155"/>
      <c r="L781" s="363">
        <f t="shared" si="2010"/>
        <v>0</v>
      </c>
      <c r="M781" s="3155">
        <v>0</v>
      </c>
      <c r="N781" s="363">
        <f t="shared" si="2021"/>
        <v>0</v>
      </c>
      <c r="O781" s="3155"/>
      <c r="P781" s="2186">
        <f t="shared" si="2034"/>
        <v>0</v>
      </c>
      <c r="Q781" s="241">
        <f t="shared" si="2035"/>
        <v>0</v>
      </c>
      <c r="R781" s="3155"/>
      <c r="S781" s="363">
        <f t="shared" si="2015"/>
        <v>0</v>
      </c>
      <c r="T781" s="3155"/>
      <c r="U781" s="363">
        <f t="shared" si="2004"/>
        <v>0</v>
      </c>
      <c r="V781" s="3155"/>
      <c r="W781" s="74">
        <f t="shared" si="2005"/>
        <v>0</v>
      </c>
      <c r="X781" s="363">
        <f t="shared" si="2006"/>
        <v>0</v>
      </c>
      <c r="Y781" s="3155"/>
      <c r="Z781" s="363">
        <f t="shared" si="2007"/>
        <v>0</v>
      </c>
      <c r="AA781" s="3155"/>
      <c r="AB781" s="78">
        <f t="shared" si="2008"/>
        <v>0</v>
      </c>
      <c r="AC781" s="5129"/>
      <c r="AD781" s="713">
        <f t="shared" si="2018"/>
        <v>0</v>
      </c>
      <c r="AE781" s="1290">
        <f t="shared" si="2019"/>
        <v>0</v>
      </c>
      <c r="AF781" s="712">
        <f t="shared" si="2020"/>
        <v>0</v>
      </c>
    </row>
    <row r="782" spans="1:35" ht="35" customHeight="1" x14ac:dyDescent="0.25">
      <c r="C782" s="2111"/>
      <c r="D782" s="8445"/>
      <c r="E782" s="3924" t="s">
        <v>1545</v>
      </c>
      <c r="F782" s="3155"/>
      <c r="G782" s="3155"/>
      <c r="H782" s="296">
        <f t="shared" si="2002"/>
        <v>0</v>
      </c>
      <c r="I782" s="3155"/>
      <c r="J782" s="313">
        <f t="shared" si="2003"/>
        <v>0</v>
      </c>
      <c r="K782" s="3155"/>
      <c r="L782" s="363">
        <f t="shared" si="2010"/>
        <v>0</v>
      </c>
      <c r="M782" s="3155">
        <v>0</v>
      </c>
      <c r="N782" s="363">
        <f t="shared" si="2021"/>
        <v>0</v>
      </c>
      <c r="O782" s="3155"/>
      <c r="P782" s="2186">
        <f t="shared" si="2034"/>
        <v>0</v>
      </c>
      <c r="Q782" s="241">
        <f t="shared" si="2035"/>
        <v>0</v>
      </c>
      <c r="R782" s="3155"/>
      <c r="S782" s="363">
        <f t="shared" si="2015"/>
        <v>0</v>
      </c>
      <c r="T782" s="3155"/>
      <c r="U782" s="363">
        <f t="shared" si="2004"/>
        <v>0</v>
      </c>
      <c r="V782" s="3155"/>
      <c r="W782" s="74">
        <f t="shared" ref="W782:W788" si="2036">+R782+T782+V782</f>
        <v>0</v>
      </c>
      <c r="X782" s="363">
        <f t="shared" ref="X782:X788" si="2037">+U782+V782</f>
        <v>0</v>
      </c>
      <c r="Y782" s="3155"/>
      <c r="Z782" s="363">
        <f t="shared" si="2007"/>
        <v>0</v>
      </c>
      <c r="AA782" s="3155"/>
      <c r="AB782" s="78">
        <f t="shared" si="2008"/>
        <v>0</v>
      </c>
      <c r="AC782" s="5129"/>
      <c r="AD782" s="713">
        <f t="shared" si="2018"/>
        <v>0</v>
      </c>
      <c r="AE782" s="1290">
        <f t="shared" si="2019"/>
        <v>0</v>
      </c>
      <c r="AF782" s="712">
        <f t="shared" si="2020"/>
        <v>0</v>
      </c>
    </row>
    <row r="783" spans="1:35" ht="35" customHeight="1" x14ac:dyDescent="0.25">
      <c r="C783" s="2111"/>
      <c r="D783" s="8445"/>
      <c r="E783" s="3924" t="s">
        <v>1462</v>
      </c>
      <c r="F783" s="3155"/>
      <c r="G783" s="3155"/>
      <c r="H783" s="296">
        <f t="shared" si="2002"/>
        <v>0</v>
      </c>
      <c r="I783" s="3155"/>
      <c r="J783" s="313">
        <f t="shared" si="2003"/>
        <v>0</v>
      </c>
      <c r="K783" s="3155"/>
      <c r="L783" s="363">
        <f t="shared" si="2010"/>
        <v>0</v>
      </c>
      <c r="M783" s="3155">
        <v>0</v>
      </c>
      <c r="N783" s="363">
        <f t="shared" si="2021"/>
        <v>0</v>
      </c>
      <c r="O783" s="3155"/>
      <c r="P783" s="2186">
        <f t="shared" si="2034"/>
        <v>0</v>
      </c>
      <c r="Q783" s="241">
        <f t="shared" si="2035"/>
        <v>0</v>
      </c>
      <c r="R783" s="3155">
        <f>4636.8-22.77</f>
        <v>4614.03</v>
      </c>
      <c r="S783" s="363">
        <f t="shared" si="2015"/>
        <v>4614.03</v>
      </c>
      <c r="T783" s="3155">
        <f>5292.99-4.14</f>
        <v>5288.8499999999995</v>
      </c>
      <c r="U783" s="363">
        <f t="shared" si="2004"/>
        <v>9902.8799999999992</v>
      </c>
      <c r="V783" s="3155">
        <f>2951.82-28.98</f>
        <v>2922.84</v>
      </c>
      <c r="W783" s="74">
        <f t="shared" si="2036"/>
        <v>12825.72</v>
      </c>
      <c r="X783" s="363">
        <f t="shared" si="2037"/>
        <v>12825.72</v>
      </c>
      <c r="Y783" s="3155">
        <f>5214.33-12.42</f>
        <v>5201.91</v>
      </c>
      <c r="Z783" s="363">
        <f t="shared" si="2007"/>
        <v>18027.629999999997</v>
      </c>
      <c r="AA783" s="3155">
        <f>2270.79-41.4</f>
        <v>2229.39</v>
      </c>
      <c r="AB783" s="78">
        <f t="shared" si="2008"/>
        <v>20257.019999999997</v>
      </c>
      <c r="AC783" s="5129"/>
      <c r="AD783" s="713">
        <f t="shared" si="2018"/>
        <v>7431.2999999999993</v>
      </c>
      <c r="AE783" s="1290">
        <f t="shared" si="2019"/>
        <v>20257.019999999997</v>
      </c>
      <c r="AF783" s="712">
        <f t="shared" si="2020"/>
        <v>20257.019999999997</v>
      </c>
      <c r="AI783" s="4756">
        <v>41.4</v>
      </c>
    </row>
    <row r="784" spans="1:35" ht="35" customHeight="1" x14ac:dyDescent="0.25">
      <c r="C784" s="2111"/>
      <c r="D784" s="8445"/>
      <c r="E784" s="3924" t="s">
        <v>1786</v>
      </c>
      <c r="F784" s="3155"/>
      <c r="G784" s="3155"/>
      <c r="H784" s="296">
        <f t="shared" si="2002"/>
        <v>0</v>
      </c>
      <c r="I784" s="3155"/>
      <c r="J784" s="313">
        <f t="shared" si="2003"/>
        <v>0</v>
      </c>
      <c r="K784" s="3155"/>
      <c r="L784" s="363">
        <f t="shared" si="2010"/>
        <v>0</v>
      </c>
      <c r="M784" s="3155">
        <v>0</v>
      </c>
      <c r="N784" s="363">
        <f t="shared" si="2021"/>
        <v>0</v>
      </c>
      <c r="O784" s="3155"/>
      <c r="P784" s="2186">
        <f t="shared" si="2034"/>
        <v>0</v>
      </c>
      <c r="Q784" s="241">
        <f t="shared" si="2035"/>
        <v>0</v>
      </c>
      <c r="R784" s="3155"/>
      <c r="S784" s="363">
        <f t="shared" si="2015"/>
        <v>0</v>
      </c>
      <c r="T784" s="3155"/>
      <c r="U784" s="363">
        <f t="shared" si="2004"/>
        <v>0</v>
      </c>
      <c r="V784" s="3155"/>
      <c r="W784" s="74">
        <f t="shared" si="2036"/>
        <v>0</v>
      </c>
      <c r="X784" s="363">
        <f t="shared" si="2037"/>
        <v>0</v>
      </c>
      <c r="Y784" s="3155"/>
      <c r="Z784" s="363">
        <f t="shared" si="2007"/>
        <v>0</v>
      </c>
      <c r="AA784" s="3155">
        <v>774.18</v>
      </c>
      <c r="AB784" s="78">
        <f t="shared" si="2008"/>
        <v>774.18</v>
      </c>
      <c r="AC784" s="5129"/>
      <c r="AD784" s="713">
        <f t="shared" si="2018"/>
        <v>774.18</v>
      </c>
      <c r="AE784" s="1290">
        <f t="shared" si="2019"/>
        <v>774.18</v>
      </c>
      <c r="AF784" s="712">
        <f t="shared" si="2020"/>
        <v>774.18</v>
      </c>
    </row>
    <row r="785" spans="3:35" ht="35" customHeight="1" x14ac:dyDescent="0.25">
      <c r="C785" s="2111"/>
      <c r="D785" s="8445"/>
      <c r="E785" s="3924" t="s">
        <v>1787</v>
      </c>
      <c r="F785" s="3155"/>
      <c r="G785" s="3155"/>
      <c r="H785" s="296">
        <f t="shared" si="2002"/>
        <v>0</v>
      </c>
      <c r="I785" s="3155"/>
      <c r="J785" s="313">
        <f t="shared" si="2003"/>
        <v>0</v>
      </c>
      <c r="K785" s="3155"/>
      <c r="L785" s="363">
        <f t="shared" si="2010"/>
        <v>0</v>
      </c>
      <c r="M785" s="3155"/>
      <c r="N785" s="363"/>
      <c r="O785" s="3155"/>
      <c r="P785" s="2186"/>
      <c r="Q785" s="241"/>
      <c r="R785" s="3155"/>
      <c r="S785" s="363"/>
      <c r="T785" s="3155"/>
      <c r="U785" s="363"/>
      <c r="V785" s="3155"/>
      <c r="W785" s="74"/>
      <c r="X785" s="363"/>
      <c r="Y785" s="3155"/>
      <c r="Z785" s="363"/>
      <c r="AA785" s="3155">
        <f>269.1-6.21</f>
        <v>262.89000000000004</v>
      </c>
      <c r="AB785" s="78">
        <f t="shared" si="2008"/>
        <v>262.89000000000004</v>
      </c>
      <c r="AC785" s="5129"/>
      <c r="AD785" s="713">
        <f t="shared" si="2018"/>
        <v>262.89000000000004</v>
      </c>
      <c r="AE785" s="1290">
        <f t="shared" si="2019"/>
        <v>262.89000000000004</v>
      </c>
      <c r="AF785" s="712">
        <f t="shared" si="2020"/>
        <v>262.89000000000004</v>
      </c>
      <c r="AI785" s="4756">
        <v>6.21</v>
      </c>
    </row>
    <row r="786" spans="3:35" ht="35" customHeight="1" x14ac:dyDescent="0.25">
      <c r="C786" s="2111"/>
      <c r="D786" s="8445"/>
      <c r="E786" s="3924" t="s">
        <v>1788</v>
      </c>
      <c r="F786" s="3155"/>
      <c r="G786" s="3155"/>
      <c r="H786" s="296">
        <f t="shared" si="2002"/>
        <v>0</v>
      </c>
      <c r="I786" s="3155"/>
      <c r="J786" s="313">
        <f t="shared" si="2003"/>
        <v>0</v>
      </c>
      <c r="K786" s="3155"/>
      <c r="L786" s="363">
        <f t="shared" si="2010"/>
        <v>0</v>
      </c>
      <c r="M786" s="3155"/>
      <c r="N786" s="363"/>
      <c r="O786" s="3155"/>
      <c r="P786" s="2186"/>
      <c r="Q786" s="241"/>
      <c r="R786" s="3155"/>
      <c r="S786" s="363"/>
      <c r="T786" s="3155"/>
      <c r="U786" s="363"/>
      <c r="V786" s="3155"/>
      <c r="W786" s="74"/>
      <c r="X786" s="363"/>
      <c r="Y786" s="3155"/>
      <c r="Z786" s="363"/>
      <c r="AA786" s="3155">
        <v>372.59999999999997</v>
      </c>
      <c r="AB786" s="78">
        <f t="shared" si="2008"/>
        <v>372.59999999999997</v>
      </c>
      <c r="AC786" s="5129"/>
      <c r="AD786" s="713">
        <f t="shared" si="2018"/>
        <v>372.59999999999997</v>
      </c>
      <c r="AE786" s="1290">
        <f t="shared" si="2019"/>
        <v>372.59999999999997</v>
      </c>
      <c r="AF786" s="712">
        <f t="shared" si="2020"/>
        <v>372.59999999999997</v>
      </c>
    </row>
    <row r="787" spans="3:35" ht="35" customHeight="1" x14ac:dyDescent="0.25">
      <c r="C787" s="2111"/>
      <c r="D787" s="8445"/>
      <c r="E787" s="3924" t="s">
        <v>1461</v>
      </c>
      <c r="F787" s="3155"/>
      <c r="G787" s="3155"/>
      <c r="H787" s="296">
        <f t="shared" si="2002"/>
        <v>0</v>
      </c>
      <c r="I787" s="3155"/>
      <c r="J787" s="313">
        <f t="shared" si="2003"/>
        <v>0</v>
      </c>
      <c r="K787" s="3155"/>
      <c r="L787" s="363">
        <f t="shared" si="2010"/>
        <v>0</v>
      </c>
      <c r="M787" s="3155"/>
      <c r="N787" s="363"/>
      <c r="O787" s="3155"/>
      <c r="P787" s="2186"/>
      <c r="Q787" s="241"/>
      <c r="R787" s="3155"/>
      <c r="S787" s="363"/>
      <c r="T787" s="3155"/>
      <c r="U787" s="363"/>
      <c r="V787" s="3155"/>
      <c r="W787" s="74"/>
      <c r="X787" s="363"/>
      <c r="Y787" s="3155"/>
      <c r="Z787" s="363"/>
      <c r="AA787" s="3155"/>
      <c r="AB787" s="78">
        <f t="shared" si="2008"/>
        <v>0</v>
      </c>
      <c r="AC787" s="5129"/>
      <c r="AD787" s="713">
        <f t="shared" si="2018"/>
        <v>0</v>
      </c>
      <c r="AE787" s="1290">
        <f t="shared" si="2019"/>
        <v>0</v>
      </c>
      <c r="AF787" s="712">
        <f t="shared" si="2020"/>
        <v>0</v>
      </c>
    </row>
    <row r="788" spans="3:35" ht="35" customHeight="1" x14ac:dyDescent="0.25">
      <c r="C788" s="2111"/>
      <c r="D788" s="8445"/>
      <c r="E788" s="3924" t="s">
        <v>1720</v>
      </c>
      <c r="F788" s="3155"/>
      <c r="G788" s="3155"/>
      <c r="H788" s="296">
        <f t="shared" si="2002"/>
        <v>0</v>
      </c>
      <c r="I788" s="3155"/>
      <c r="J788" s="313">
        <f t="shared" si="2003"/>
        <v>0</v>
      </c>
      <c r="K788" s="3155"/>
      <c r="L788" s="363">
        <f t="shared" si="2010"/>
        <v>0</v>
      </c>
      <c r="M788" s="3155">
        <v>0</v>
      </c>
      <c r="N788" s="363">
        <f t="shared" si="2021"/>
        <v>0</v>
      </c>
      <c r="O788" s="3155"/>
      <c r="P788" s="2186">
        <f t="shared" si="2034"/>
        <v>0</v>
      </c>
      <c r="Q788" s="241">
        <f t="shared" si="2035"/>
        <v>0</v>
      </c>
      <c r="R788" s="3155">
        <f>987.39-2.07</f>
        <v>985.31999999999994</v>
      </c>
      <c r="S788" s="363">
        <f t="shared" si="2015"/>
        <v>985.31999999999994</v>
      </c>
      <c r="T788" s="3155"/>
      <c r="U788" s="363">
        <f t="shared" si="2004"/>
        <v>985.31999999999994</v>
      </c>
      <c r="V788" s="3155">
        <f>1446.93-10.35</f>
        <v>1436.5800000000002</v>
      </c>
      <c r="W788" s="74">
        <f t="shared" si="2036"/>
        <v>2421.9</v>
      </c>
      <c r="X788" s="363">
        <f t="shared" si="2037"/>
        <v>2421.9</v>
      </c>
      <c r="Y788" s="3155"/>
      <c r="Z788" s="363">
        <f t="shared" si="2007"/>
        <v>2421.9</v>
      </c>
      <c r="AA788" s="3155">
        <f>738.99-2.07</f>
        <v>736.92</v>
      </c>
      <c r="AB788" s="78">
        <f t="shared" si="2008"/>
        <v>3158.82</v>
      </c>
      <c r="AC788" s="5129"/>
      <c r="AD788" s="713">
        <f t="shared" si="2018"/>
        <v>736.92</v>
      </c>
      <c r="AE788" s="1290">
        <f t="shared" si="2019"/>
        <v>3158.82</v>
      </c>
      <c r="AF788" s="712">
        <f t="shared" si="2020"/>
        <v>3158.82</v>
      </c>
      <c r="AI788" s="4756">
        <v>2.0699999999999998</v>
      </c>
    </row>
    <row r="789" spans="3:35" ht="35" customHeight="1" x14ac:dyDescent="0.25">
      <c r="C789" s="2111"/>
      <c r="D789" s="8445"/>
      <c r="E789" s="3924" t="s">
        <v>1746</v>
      </c>
      <c r="F789" s="3155"/>
      <c r="G789" s="3155"/>
      <c r="H789" s="296">
        <f t="shared" si="2002"/>
        <v>0</v>
      </c>
      <c r="I789" s="3155"/>
      <c r="J789" s="313">
        <f t="shared" si="2003"/>
        <v>0</v>
      </c>
      <c r="K789" s="3155"/>
      <c r="L789" s="363">
        <f t="shared" si="2010"/>
        <v>0</v>
      </c>
      <c r="M789" s="3155">
        <v>0</v>
      </c>
      <c r="N789" s="363">
        <f t="shared" ref="N789:N791" si="2038">+L789+M789</f>
        <v>0</v>
      </c>
      <c r="O789" s="3155"/>
      <c r="P789" s="2186">
        <f t="shared" ref="P789:P791" si="2039">+K789+M789+O789</f>
        <v>0</v>
      </c>
      <c r="Q789" s="241">
        <f t="shared" ref="Q789:Q791" si="2040">+N789+O789</f>
        <v>0</v>
      </c>
      <c r="R789" s="3155"/>
      <c r="S789" s="363">
        <f t="shared" si="2015"/>
        <v>0</v>
      </c>
      <c r="T789" s="3155"/>
      <c r="U789" s="363">
        <f t="shared" ref="U789:U791" si="2041">SUM(S789:T789)</f>
        <v>0</v>
      </c>
      <c r="V789" s="3155">
        <f>2502.63-10.35</f>
        <v>2492.2800000000002</v>
      </c>
      <c r="W789" s="74">
        <f t="shared" ref="W789:W791" si="2042">+R789+T789+V789</f>
        <v>2492.2800000000002</v>
      </c>
      <c r="X789" s="363">
        <f t="shared" ref="X789:X791" si="2043">+U789+V789</f>
        <v>2492.2800000000002</v>
      </c>
      <c r="Y789" s="3155"/>
      <c r="Z789" s="363">
        <f t="shared" si="2007"/>
        <v>2492.2800000000002</v>
      </c>
      <c r="AA789" s="3155">
        <v>1734.6599999999999</v>
      </c>
      <c r="AB789" s="78">
        <f t="shared" si="2008"/>
        <v>4226.9400000000005</v>
      </c>
      <c r="AC789" s="5129"/>
      <c r="AD789" s="713">
        <f t="shared" si="2018"/>
        <v>1734.6599999999999</v>
      </c>
      <c r="AE789" s="1290">
        <f t="shared" si="2019"/>
        <v>4226.9400000000005</v>
      </c>
      <c r="AF789" s="712">
        <f t="shared" si="2020"/>
        <v>4226.9400000000005</v>
      </c>
    </row>
    <row r="790" spans="3:35" ht="35" hidden="1" customHeight="1" x14ac:dyDescent="0.25">
      <c r="C790" s="2111"/>
      <c r="D790" s="8445"/>
      <c r="E790" s="3924"/>
      <c r="F790" s="3155"/>
      <c r="G790" s="3155"/>
      <c r="H790" s="296">
        <f t="shared" si="2002"/>
        <v>0</v>
      </c>
      <c r="I790" s="3155"/>
      <c r="J790" s="313">
        <f t="shared" si="2003"/>
        <v>0</v>
      </c>
      <c r="K790" s="3155"/>
      <c r="L790" s="363">
        <f t="shared" si="2010"/>
        <v>0</v>
      </c>
      <c r="M790" s="3155">
        <v>0</v>
      </c>
      <c r="N790" s="363">
        <f t="shared" si="2038"/>
        <v>0</v>
      </c>
      <c r="O790" s="3155"/>
      <c r="P790" s="2186">
        <f t="shared" si="2039"/>
        <v>0</v>
      </c>
      <c r="Q790" s="241">
        <f t="shared" si="2040"/>
        <v>0</v>
      </c>
      <c r="R790" s="3155"/>
      <c r="S790" s="363">
        <f t="shared" si="2015"/>
        <v>0</v>
      </c>
      <c r="T790" s="3155"/>
      <c r="U790" s="363">
        <f t="shared" si="2041"/>
        <v>0</v>
      </c>
      <c r="V790" s="3155"/>
      <c r="W790" s="74">
        <f t="shared" si="2042"/>
        <v>0</v>
      </c>
      <c r="X790" s="363">
        <f t="shared" si="2043"/>
        <v>0</v>
      </c>
      <c r="Y790" s="3155"/>
      <c r="Z790" s="363">
        <f t="shared" si="2007"/>
        <v>0</v>
      </c>
      <c r="AA790" s="3155"/>
      <c r="AB790" s="78">
        <f t="shared" si="2008"/>
        <v>0</v>
      </c>
      <c r="AC790" s="5129"/>
      <c r="AD790" s="713">
        <f t="shared" si="2018"/>
        <v>0</v>
      </c>
      <c r="AE790" s="1290">
        <f t="shared" si="2019"/>
        <v>0</v>
      </c>
      <c r="AF790" s="712">
        <f t="shared" si="2020"/>
        <v>0</v>
      </c>
    </row>
    <row r="791" spans="3:35" ht="35" hidden="1" customHeight="1" x14ac:dyDescent="0.25">
      <c r="C791" s="2111"/>
      <c r="D791" s="8445"/>
      <c r="E791" s="3924"/>
      <c r="F791" s="3155"/>
      <c r="G791" s="3155"/>
      <c r="H791" s="296">
        <f t="shared" si="2002"/>
        <v>0</v>
      </c>
      <c r="I791" s="3155"/>
      <c r="J791" s="313">
        <f t="shared" si="2003"/>
        <v>0</v>
      </c>
      <c r="K791" s="3155"/>
      <c r="L791" s="363">
        <f t="shared" si="2010"/>
        <v>0</v>
      </c>
      <c r="M791" s="3155">
        <v>0</v>
      </c>
      <c r="N791" s="363">
        <f t="shared" si="2038"/>
        <v>0</v>
      </c>
      <c r="O791" s="3155"/>
      <c r="P791" s="2186">
        <f t="shared" si="2039"/>
        <v>0</v>
      </c>
      <c r="Q791" s="241">
        <f t="shared" si="2040"/>
        <v>0</v>
      </c>
      <c r="R791" s="3155"/>
      <c r="S791" s="363">
        <f t="shared" si="2015"/>
        <v>0</v>
      </c>
      <c r="T791" s="3155"/>
      <c r="U791" s="363">
        <f t="shared" si="2041"/>
        <v>0</v>
      </c>
      <c r="V791" s="3155"/>
      <c r="W791" s="74">
        <f t="shared" si="2042"/>
        <v>0</v>
      </c>
      <c r="X791" s="363">
        <f t="shared" si="2043"/>
        <v>0</v>
      </c>
      <c r="Y791" s="3155"/>
      <c r="Z791" s="363">
        <f t="shared" si="2007"/>
        <v>0</v>
      </c>
      <c r="AA791" s="3155"/>
      <c r="AB791" s="78">
        <f t="shared" si="2008"/>
        <v>0</v>
      </c>
      <c r="AC791" s="5129"/>
      <c r="AD791" s="713">
        <f t="shared" si="2018"/>
        <v>0</v>
      </c>
      <c r="AE791" s="1290">
        <f t="shared" si="2019"/>
        <v>0</v>
      </c>
      <c r="AF791" s="712">
        <f t="shared" si="2020"/>
        <v>0</v>
      </c>
    </row>
    <row r="792" spans="3:35" ht="35" hidden="1" customHeight="1" x14ac:dyDescent="0.25">
      <c r="C792" s="2111"/>
      <c r="D792" s="8445"/>
      <c r="E792" s="3924"/>
      <c r="F792" s="3155"/>
      <c r="G792" s="3155"/>
      <c r="H792" s="296">
        <f t="shared" si="2002"/>
        <v>0</v>
      </c>
      <c r="I792" s="3155"/>
      <c r="J792" s="313">
        <f t="shared" si="2003"/>
        <v>0</v>
      </c>
      <c r="K792" s="3155"/>
      <c r="L792" s="363">
        <f t="shared" si="2010"/>
        <v>0</v>
      </c>
      <c r="M792" s="3155">
        <v>0</v>
      </c>
      <c r="N792" s="363">
        <f t="shared" si="2021"/>
        <v>0</v>
      </c>
      <c r="O792" s="3155"/>
      <c r="P792" s="2186">
        <f t="shared" si="2034"/>
        <v>0</v>
      </c>
      <c r="Q792" s="241">
        <f t="shared" si="2035"/>
        <v>0</v>
      </c>
      <c r="R792" s="3155"/>
      <c r="S792" s="363">
        <f t="shared" si="2015"/>
        <v>0</v>
      </c>
      <c r="T792" s="3155"/>
      <c r="U792" s="363">
        <f t="shared" ref="U792:U843" si="2044">SUM(S792:T792)</f>
        <v>0</v>
      </c>
      <c r="V792" s="3155"/>
      <c r="W792" s="74">
        <f t="shared" si="2005"/>
        <v>0</v>
      </c>
      <c r="X792" s="363">
        <f t="shared" si="2006"/>
        <v>0</v>
      </c>
      <c r="Y792" s="3155"/>
      <c r="Z792" s="363">
        <f t="shared" si="2007"/>
        <v>0</v>
      </c>
      <c r="AA792" s="3155"/>
      <c r="AB792" s="78">
        <f t="shared" si="2008"/>
        <v>0</v>
      </c>
      <c r="AC792" s="5129"/>
      <c r="AD792" s="713">
        <f t="shared" si="2018"/>
        <v>0</v>
      </c>
      <c r="AE792" s="1290">
        <f t="shared" si="2019"/>
        <v>0</v>
      </c>
      <c r="AF792" s="712">
        <f t="shared" si="2020"/>
        <v>0</v>
      </c>
    </row>
    <row r="793" spans="3:35" ht="35" hidden="1" customHeight="1" x14ac:dyDescent="0.25">
      <c r="C793" s="2111"/>
      <c r="D793" s="8445"/>
      <c r="E793" s="3924"/>
      <c r="F793" s="3155"/>
      <c r="G793" s="3155"/>
      <c r="H793" s="296">
        <f t="shared" si="2002"/>
        <v>0</v>
      </c>
      <c r="I793" s="3155"/>
      <c r="J793" s="313">
        <f t="shared" si="2003"/>
        <v>0</v>
      </c>
      <c r="K793" s="3155"/>
      <c r="L793" s="363">
        <f t="shared" si="2010"/>
        <v>0</v>
      </c>
      <c r="M793" s="3155">
        <v>0</v>
      </c>
      <c r="N793" s="363">
        <f t="shared" si="2021"/>
        <v>0</v>
      </c>
      <c r="O793" s="3155"/>
      <c r="P793" s="2186">
        <f t="shared" si="2034"/>
        <v>0</v>
      </c>
      <c r="Q793" s="241">
        <f t="shared" si="2035"/>
        <v>0</v>
      </c>
      <c r="R793" s="3155"/>
      <c r="S793" s="363">
        <f t="shared" si="2015"/>
        <v>0</v>
      </c>
      <c r="T793" s="3155"/>
      <c r="U793" s="363">
        <f t="shared" si="2044"/>
        <v>0</v>
      </c>
      <c r="V793" s="3155"/>
      <c r="W793" s="74">
        <f t="shared" ref="W793:W796" si="2045">+R793+T793+V793</f>
        <v>0</v>
      </c>
      <c r="X793" s="363">
        <f t="shared" ref="X793:X796" si="2046">+U793+V793</f>
        <v>0</v>
      </c>
      <c r="Y793" s="3155"/>
      <c r="Z793" s="363">
        <f t="shared" si="2007"/>
        <v>0</v>
      </c>
      <c r="AA793" s="3155"/>
      <c r="AB793" s="78">
        <f t="shared" si="2008"/>
        <v>0</v>
      </c>
      <c r="AC793" s="5129"/>
      <c r="AD793" s="713">
        <f t="shared" si="2018"/>
        <v>0</v>
      </c>
      <c r="AE793" s="1290">
        <f t="shared" si="2019"/>
        <v>0</v>
      </c>
      <c r="AF793" s="712">
        <f t="shared" si="2020"/>
        <v>0</v>
      </c>
    </row>
    <row r="794" spans="3:35" ht="35" hidden="1" customHeight="1" x14ac:dyDescent="0.25">
      <c r="C794" s="2111"/>
      <c r="D794" s="8445"/>
      <c r="E794" s="3924"/>
      <c r="F794" s="3155"/>
      <c r="G794" s="3155"/>
      <c r="H794" s="296">
        <f t="shared" si="2002"/>
        <v>0</v>
      </c>
      <c r="I794" s="3155"/>
      <c r="J794" s="313">
        <f t="shared" si="2003"/>
        <v>0</v>
      </c>
      <c r="K794" s="3155"/>
      <c r="L794" s="363">
        <f t="shared" si="2010"/>
        <v>0</v>
      </c>
      <c r="M794" s="3155">
        <v>0</v>
      </c>
      <c r="N794" s="363">
        <f t="shared" ref="N794:N796" si="2047">+L794+M794</f>
        <v>0</v>
      </c>
      <c r="O794" s="3155"/>
      <c r="P794" s="2186">
        <f t="shared" si="2034"/>
        <v>0</v>
      </c>
      <c r="Q794" s="241">
        <f t="shared" si="2035"/>
        <v>0</v>
      </c>
      <c r="R794" s="3155"/>
      <c r="S794" s="363">
        <f t="shared" si="2015"/>
        <v>0</v>
      </c>
      <c r="T794" s="3155"/>
      <c r="U794" s="363">
        <f t="shared" ref="U794:U796" si="2048">SUM(S794:T794)</f>
        <v>0</v>
      </c>
      <c r="V794" s="3155"/>
      <c r="W794" s="74">
        <f t="shared" si="2045"/>
        <v>0</v>
      </c>
      <c r="X794" s="363">
        <f t="shared" si="2046"/>
        <v>0</v>
      </c>
      <c r="Y794" s="3155"/>
      <c r="Z794" s="363">
        <f t="shared" si="2007"/>
        <v>0</v>
      </c>
      <c r="AA794" s="3155"/>
      <c r="AB794" s="78">
        <f t="shared" si="2008"/>
        <v>0</v>
      </c>
      <c r="AC794" s="5129"/>
      <c r="AD794" s="713">
        <f t="shared" si="2018"/>
        <v>0</v>
      </c>
      <c r="AE794" s="1290">
        <f t="shared" si="2019"/>
        <v>0</v>
      </c>
      <c r="AF794" s="712">
        <f t="shared" si="2020"/>
        <v>0</v>
      </c>
    </row>
    <row r="795" spans="3:35" ht="35" customHeight="1" x14ac:dyDescent="0.25">
      <c r="C795" s="2111"/>
      <c r="D795" s="8445"/>
      <c r="E795" s="3924" t="s">
        <v>1744</v>
      </c>
      <c r="F795" s="3155"/>
      <c r="G795" s="3155"/>
      <c r="H795" s="296">
        <f t="shared" si="2002"/>
        <v>0</v>
      </c>
      <c r="I795" s="3155"/>
      <c r="J795" s="313">
        <f t="shared" si="2003"/>
        <v>0</v>
      </c>
      <c r="K795" s="3155"/>
      <c r="L795" s="363">
        <f t="shared" si="2010"/>
        <v>0</v>
      </c>
      <c r="M795" s="3155">
        <v>0</v>
      </c>
      <c r="N795" s="363">
        <f t="shared" si="2047"/>
        <v>0</v>
      </c>
      <c r="O795" s="3155"/>
      <c r="P795" s="2186">
        <f t="shared" si="2034"/>
        <v>0</v>
      </c>
      <c r="Q795" s="241">
        <f t="shared" si="2035"/>
        <v>0</v>
      </c>
      <c r="R795" s="3155"/>
      <c r="S795" s="363">
        <f t="shared" si="2015"/>
        <v>0</v>
      </c>
      <c r="T795" s="3155"/>
      <c r="U795" s="363">
        <f t="shared" si="2048"/>
        <v>0</v>
      </c>
      <c r="V795" s="3155">
        <f>1575.27-10.35</f>
        <v>1564.92</v>
      </c>
      <c r="W795" s="74">
        <f t="shared" si="2045"/>
        <v>1564.92</v>
      </c>
      <c r="X795" s="363">
        <f t="shared" si="2046"/>
        <v>1564.92</v>
      </c>
      <c r="Y795" s="3155"/>
      <c r="Z795" s="363">
        <f t="shared" si="2007"/>
        <v>1564.92</v>
      </c>
      <c r="AA795" s="3155"/>
      <c r="AB795" s="78">
        <f t="shared" si="2008"/>
        <v>1564.92</v>
      </c>
      <c r="AC795" s="5129"/>
      <c r="AD795" s="713">
        <f t="shared" si="2018"/>
        <v>0</v>
      </c>
      <c r="AE795" s="1290">
        <f t="shared" si="2019"/>
        <v>1564.92</v>
      </c>
      <c r="AF795" s="712">
        <f t="shared" si="2020"/>
        <v>1564.92</v>
      </c>
    </row>
    <row r="796" spans="3:35" ht="35" customHeight="1" x14ac:dyDescent="0.25">
      <c r="C796" s="2111"/>
      <c r="D796" s="8445"/>
      <c r="E796" s="3924" t="s">
        <v>1676</v>
      </c>
      <c r="F796" s="3155"/>
      <c r="G796" s="3155"/>
      <c r="H796" s="296">
        <f t="shared" si="2002"/>
        <v>0</v>
      </c>
      <c r="I796" s="3155"/>
      <c r="J796" s="313">
        <f t="shared" si="2003"/>
        <v>0</v>
      </c>
      <c r="K796" s="3155"/>
      <c r="L796" s="363">
        <f t="shared" si="2010"/>
        <v>0</v>
      </c>
      <c r="M796" s="3155">
        <v>229.76999999999998</v>
      </c>
      <c r="N796" s="363">
        <f t="shared" si="2047"/>
        <v>229.76999999999998</v>
      </c>
      <c r="O796" s="3155"/>
      <c r="P796" s="2186">
        <f t="shared" si="2034"/>
        <v>229.76999999999998</v>
      </c>
      <c r="Q796" s="241">
        <f t="shared" si="2035"/>
        <v>229.76999999999998</v>
      </c>
      <c r="R796" s="3155"/>
      <c r="S796" s="363">
        <f t="shared" si="2015"/>
        <v>229.76999999999998</v>
      </c>
      <c r="T796" s="3155"/>
      <c r="U796" s="363">
        <f t="shared" si="2048"/>
        <v>229.76999999999998</v>
      </c>
      <c r="V796" s="3155"/>
      <c r="W796" s="74">
        <f t="shared" si="2045"/>
        <v>0</v>
      </c>
      <c r="X796" s="363">
        <f t="shared" si="2046"/>
        <v>229.76999999999998</v>
      </c>
      <c r="Y796" s="3155"/>
      <c r="Z796" s="363">
        <f t="shared" si="2007"/>
        <v>229.76999999999998</v>
      </c>
      <c r="AA796" s="3155"/>
      <c r="AB796" s="78">
        <f t="shared" si="2008"/>
        <v>229.76999999999998</v>
      </c>
      <c r="AC796" s="5129"/>
      <c r="AD796" s="713">
        <f t="shared" si="2018"/>
        <v>0</v>
      </c>
      <c r="AE796" s="1290">
        <f t="shared" si="2019"/>
        <v>0</v>
      </c>
      <c r="AF796" s="712">
        <f t="shared" si="2020"/>
        <v>229.76999999999998</v>
      </c>
    </row>
    <row r="797" spans="3:35" ht="35" customHeight="1" x14ac:dyDescent="0.25">
      <c r="C797" s="338"/>
      <c r="D797" s="8445"/>
      <c r="E797" s="3924" t="s">
        <v>1677</v>
      </c>
      <c r="F797" s="3155"/>
      <c r="G797" s="3155"/>
      <c r="H797" s="296">
        <f t="shared" si="2002"/>
        <v>0</v>
      </c>
      <c r="I797" s="3155"/>
      <c r="J797" s="313">
        <f t="shared" si="2003"/>
        <v>0</v>
      </c>
      <c r="K797" s="3155"/>
      <c r="L797" s="363">
        <f t="shared" si="2010"/>
        <v>0</v>
      </c>
      <c r="M797" s="3155">
        <f>231.84-6.21</f>
        <v>225.63</v>
      </c>
      <c r="N797" s="363">
        <f t="shared" si="2021"/>
        <v>225.63</v>
      </c>
      <c r="O797" s="3155"/>
      <c r="P797" s="2186">
        <f t="shared" si="2034"/>
        <v>225.63</v>
      </c>
      <c r="Q797" s="241">
        <f t="shared" si="2035"/>
        <v>225.63</v>
      </c>
      <c r="R797" s="3155"/>
      <c r="S797" s="363">
        <f t="shared" si="2015"/>
        <v>225.63</v>
      </c>
      <c r="T797" s="3155"/>
      <c r="U797" s="363">
        <f t="shared" si="2044"/>
        <v>225.63</v>
      </c>
      <c r="V797" s="3155">
        <v>0</v>
      </c>
      <c r="W797" s="74">
        <f t="shared" si="2005"/>
        <v>0</v>
      </c>
      <c r="X797" s="363">
        <f t="shared" si="2006"/>
        <v>225.63</v>
      </c>
      <c r="Y797" s="3155"/>
      <c r="Z797" s="363">
        <f t="shared" si="2007"/>
        <v>225.63</v>
      </c>
      <c r="AA797" s="3155"/>
      <c r="AB797" s="78">
        <f t="shared" si="2008"/>
        <v>225.63</v>
      </c>
      <c r="AC797" s="5129"/>
      <c r="AD797" s="713">
        <f t="shared" si="2018"/>
        <v>0</v>
      </c>
      <c r="AE797" s="1290">
        <f t="shared" si="2019"/>
        <v>0</v>
      </c>
      <c r="AF797" s="712">
        <f t="shared" si="2020"/>
        <v>225.63</v>
      </c>
    </row>
    <row r="798" spans="3:35" ht="34.5" customHeight="1" x14ac:dyDescent="0.25">
      <c r="C798" s="338"/>
      <c r="D798" s="8445"/>
      <c r="E798" s="3924" t="s">
        <v>1743</v>
      </c>
      <c r="F798" s="3155"/>
      <c r="G798" s="3155"/>
      <c r="H798" s="296">
        <f t="shared" si="2002"/>
        <v>0</v>
      </c>
      <c r="I798" s="3155"/>
      <c r="J798" s="313">
        <f t="shared" si="2003"/>
        <v>0</v>
      </c>
      <c r="K798" s="3155"/>
      <c r="L798" s="363">
        <f t="shared" si="2010"/>
        <v>0</v>
      </c>
      <c r="M798" s="3155">
        <v>0</v>
      </c>
      <c r="N798" s="363">
        <f t="shared" si="2021"/>
        <v>0</v>
      </c>
      <c r="O798" s="3155"/>
      <c r="P798" s="2186">
        <f t="shared" si="2034"/>
        <v>0</v>
      </c>
      <c r="Q798" s="241">
        <f t="shared" si="2035"/>
        <v>0</v>
      </c>
      <c r="R798" s="3155"/>
      <c r="S798" s="363">
        <f t="shared" si="2015"/>
        <v>0</v>
      </c>
      <c r="T798" s="3155"/>
      <c r="U798" s="363">
        <f t="shared" si="2044"/>
        <v>0</v>
      </c>
      <c r="V798" s="3155">
        <f>776.25-22.77</f>
        <v>753.48</v>
      </c>
      <c r="W798" s="74">
        <f t="shared" si="2005"/>
        <v>753.48</v>
      </c>
      <c r="X798" s="363">
        <f t="shared" si="2006"/>
        <v>753.48</v>
      </c>
      <c r="Y798" s="3155"/>
      <c r="Z798" s="363">
        <f t="shared" si="2007"/>
        <v>753.48</v>
      </c>
      <c r="AA798" s="3155"/>
      <c r="AB798" s="78">
        <f t="shared" si="2008"/>
        <v>753.48</v>
      </c>
      <c r="AC798" s="5129"/>
      <c r="AD798" s="713">
        <f t="shared" si="2018"/>
        <v>0</v>
      </c>
      <c r="AE798" s="1290">
        <f t="shared" si="2019"/>
        <v>753.48</v>
      </c>
      <c r="AF798" s="712">
        <f t="shared" si="2020"/>
        <v>753.48</v>
      </c>
    </row>
    <row r="799" spans="3:35" ht="34.5" customHeight="1" x14ac:dyDescent="0.25">
      <c r="C799" s="338"/>
      <c r="D799" s="8445"/>
      <c r="E799" s="3924" t="s">
        <v>1745</v>
      </c>
      <c r="F799" s="3155"/>
      <c r="G799" s="3155"/>
      <c r="H799" s="296">
        <f t="shared" si="2002"/>
        <v>0</v>
      </c>
      <c r="I799" s="3155"/>
      <c r="J799" s="313">
        <f t="shared" si="2003"/>
        <v>0</v>
      </c>
      <c r="K799" s="3155"/>
      <c r="L799" s="363">
        <f t="shared" si="2010"/>
        <v>0</v>
      </c>
      <c r="M799" s="3155">
        <v>0</v>
      </c>
      <c r="N799" s="363">
        <f t="shared" si="2021"/>
        <v>0</v>
      </c>
      <c r="O799" s="3155"/>
      <c r="P799" s="2186">
        <f t="shared" si="2034"/>
        <v>0</v>
      </c>
      <c r="Q799" s="241">
        <f t="shared" si="2035"/>
        <v>0</v>
      </c>
      <c r="R799" s="3155"/>
      <c r="S799" s="363">
        <f t="shared" si="2015"/>
        <v>0</v>
      </c>
      <c r="T799" s="3155"/>
      <c r="U799" s="363">
        <f t="shared" si="2044"/>
        <v>0</v>
      </c>
      <c r="V799" s="3155">
        <v>105.57</v>
      </c>
      <c r="W799" s="74">
        <f t="shared" si="2005"/>
        <v>105.57</v>
      </c>
      <c r="X799" s="363">
        <f t="shared" si="2006"/>
        <v>105.57</v>
      </c>
      <c r="Y799" s="3155"/>
      <c r="Z799" s="363">
        <f t="shared" si="2007"/>
        <v>105.57</v>
      </c>
      <c r="AA799" s="3155"/>
      <c r="AB799" s="78">
        <f t="shared" si="2008"/>
        <v>105.57</v>
      </c>
      <c r="AC799" s="5129"/>
      <c r="AD799" s="713">
        <f t="shared" si="2018"/>
        <v>0</v>
      </c>
      <c r="AE799" s="1290">
        <f t="shared" si="2019"/>
        <v>105.57</v>
      </c>
      <c r="AF799" s="712">
        <f t="shared" si="2020"/>
        <v>105.57</v>
      </c>
    </row>
    <row r="800" spans="3:35" ht="35" hidden="1" customHeight="1" x14ac:dyDescent="0.25">
      <c r="C800" s="338"/>
      <c r="D800" s="8445"/>
      <c r="E800" s="3924"/>
      <c r="F800" s="3155"/>
      <c r="G800" s="3155"/>
      <c r="H800" s="296">
        <f t="shared" si="2002"/>
        <v>0</v>
      </c>
      <c r="I800" s="3155"/>
      <c r="J800" s="313">
        <f t="shared" si="2003"/>
        <v>0</v>
      </c>
      <c r="K800" s="3155"/>
      <c r="L800" s="363">
        <f t="shared" si="2010"/>
        <v>0</v>
      </c>
      <c r="M800" s="3155">
        <v>0</v>
      </c>
      <c r="N800" s="363">
        <f t="shared" si="2021"/>
        <v>0</v>
      </c>
      <c r="O800" s="3155"/>
      <c r="P800" s="2186">
        <f t="shared" si="2034"/>
        <v>0</v>
      </c>
      <c r="Q800" s="241">
        <f t="shared" si="2035"/>
        <v>0</v>
      </c>
      <c r="R800" s="3155"/>
      <c r="S800" s="363">
        <f t="shared" si="2015"/>
        <v>0</v>
      </c>
      <c r="T800" s="3155"/>
      <c r="U800" s="363">
        <f t="shared" si="2044"/>
        <v>0</v>
      </c>
      <c r="V800" s="3155"/>
      <c r="W800" s="74">
        <f t="shared" si="2005"/>
        <v>0</v>
      </c>
      <c r="X800" s="363">
        <f t="shared" si="2006"/>
        <v>0</v>
      </c>
      <c r="Y800" s="3155"/>
      <c r="Z800" s="363">
        <f t="shared" si="2007"/>
        <v>0</v>
      </c>
      <c r="AA800" s="3155"/>
      <c r="AB800" s="78">
        <f t="shared" si="2008"/>
        <v>0</v>
      </c>
      <c r="AC800" s="5129"/>
      <c r="AD800" s="713">
        <f t="shared" si="2018"/>
        <v>0</v>
      </c>
      <c r="AE800" s="1290">
        <f t="shared" si="2019"/>
        <v>0</v>
      </c>
      <c r="AF800" s="712">
        <f t="shared" si="2020"/>
        <v>0</v>
      </c>
    </row>
    <row r="801" spans="3:38" ht="35" hidden="1" customHeight="1" x14ac:dyDescent="0.25">
      <c r="C801" s="338"/>
      <c r="D801" s="8445"/>
      <c r="E801" s="3924"/>
      <c r="F801" s="3155"/>
      <c r="G801" s="3155"/>
      <c r="H801" s="296">
        <f t="shared" si="2002"/>
        <v>0</v>
      </c>
      <c r="I801" s="3155"/>
      <c r="J801" s="313">
        <f t="shared" si="2003"/>
        <v>0</v>
      </c>
      <c r="K801" s="3155"/>
      <c r="L801" s="363">
        <f t="shared" si="2010"/>
        <v>0</v>
      </c>
      <c r="M801" s="3155">
        <v>0</v>
      </c>
      <c r="N801" s="363">
        <f t="shared" si="2021"/>
        <v>0</v>
      </c>
      <c r="O801" s="3155"/>
      <c r="P801" s="2186">
        <f t="shared" si="2034"/>
        <v>0</v>
      </c>
      <c r="Q801" s="241">
        <f t="shared" si="2035"/>
        <v>0</v>
      </c>
      <c r="R801" s="3155"/>
      <c r="S801" s="363">
        <f t="shared" si="2015"/>
        <v>0</v>
      </c>
      <c r="T801" s="3155"/>
      <c r="U801" s="363">
        <f t="shared" si="2044"/>
        <v>0</v>
      </c>
      <c r="V801" s="3155"/>
      <c r="W801" s="74">
        <f t="shared" si="2005"/>
        <v>0</v>
      </c>
      <c r="X801" s="363">
        <f t="shared" si="2006"/>
        <v>0</v>
      </c>
      <c r="Y801" s="3155"/>
      <c r="Z801" s="363">
        <f t="shared" si="2007"/>
        <v>0</v>
      </c>
      <c r="AA801" s="3155"/>
      <c r="AB801" s="78">
        <f t="shared" si="2008"/>
        <v>0</v>
      </c>
      <c r="AC801" s="5129"/>
      <c r="AD801" s="713">
        <f t="shared" si="2018"/>
        <v>0</v>
      </c>
      <c r="AE801" s="1290">
        <f t="shared" si="2019"/>
        <v>0</v>
      </c>
      <c r="AF801" s="712">
        <f t="shared" si="2020"/>
        <v>0</v>
      </c>
    </row>
    <row r="802" spans="3:38" ht="35" hidden="1" customHeight="1" x14ac:dyDescent="0.25">
      <c r="C802" s="338"/>
      <c r="D802" s="8445"/>
      <c r="E802" s="3924"/>
      <c r="F802" s="3155"/>
      <c r="G802" s="3155"/>
      <c r="H802" s="296">
        <f t="shared" si="2002"/>
        <v>0</v>
      </c>
      <c r="I802" s="3155"/>
      <c r="J802" s="313">
        <f t="shared" si="2003"/>
        <v>0</v>
      </c>
      <c r="K802" s="3155"/>
      <c r="L802" s="363">
        <f t="shared" si="2010"/>
        <v>0</v>
      </c>
      <c r="M802" s="3155">
        <v>0</v>
      </c>
      <c r="N802" s="363">
        <f t="shared" ref="N802:N803" si="2049">+L802+M802</f>
        <v>0</v>
      </c>
      <c r="O802" s="3155"/>
      <c r="P802" s="2186">
        <f t="shared" ref="P802:P803" si="2050">+K802+M802+O802</f>
        <v>0</v>
      </c>
      <c r="Q802" s="241">
        <f t="shared" ref="Q802:Q803" si="2051">+N802+O802</f>
        <v>0</v>
      </c>
      <c r="R802" s="3155"/>
      <c r="S802" s="363">
        <f t="shared" si="2015"/>
        <v>0</v>
      </c>
      <c r="T802" s="3155"/>
      <c r="U802" s="363">
        <f t="shared" ref="U802:U803" si="2052">SUM(S802:T802)</f>
        <v>0</v>
      </c>
      <c r="V802" s="3155"/>
      <c r="W802" s="74">
        <f t="shared" ref="W802:W803" si="2053">+R802+T802+V802</f>
        <v>0</v>
      </c>
      <c r="X802" s="363">
        <f t="shared" ref="X802:X803" si="2054">+U802+V802</f>
        <v>0</v>
      </c>
      <c r="Y802" s="3155"/>
      <c r="Z802" s="363">
        <f t="shared" si="2007"/>
        <v>0</v>
      </c>
      <c r="AA802" s="3155"/>
      <c r="AB802" s="78">
        <f t="shared" si="2008"/>
        <v>0</v>
      </c>
      <c r="AC802" s="5129"/>
      <c r="AD802" s="713">
        <f t="shared" si="2018"/>
        <v>0</v>
      </c>
      <c r="AE802" s="1290">
        <f t="shared" si="2019"/>
        <v>0</v>
      </c>
      <c r="AF802" s="712">
        <f t="shared" si="2020"/>
        <v>0</v>
      </c>
    </row>
    <row r="803" spans="3:38" ht="35" hidden="1" customHeight="1" x14ac:dyDescent="0.25">
      <c r="C803" s="338"/>
      <c r="D803" s="8445"/>
      <c r="E803" s="3924"/>
      <c r="F803" s="3155"/>
      <c r="G803" s="3155"/>
      <c r="H803" s="296">
        <f t="shared" si="2002"/>
        <v>0</v>
      </c>
      <c r="I803" s="3155"/>
      <c r="J803" s="313">
        <f t="shared" si="2003"/>
        <v>0</v>
      </c>
      <c r="K803" s="3155"/>
      <c r="L803" s="363">
        <f t="shared" si="2010"/>
        <v>0</v>
      </c>
      <c r="M803" s="3155">
        <v>0</v>
      </c>
      <c r="N803" s="363">
        <f t="shared" si="2049"/>
        <v>0</v>
      </c>
      <c r="O803" s="3155"/>
      <c r="P803" s="2186">
        <f t="shared" si="2050"/>
        <v>0</v>
      </c>
      <c r="Q803" s="241">
        <f t="shared" si="2051"/>
        <v>0</v>
      </c>
      <c r="R803" s="3155"/>
      <c r="S803" s="363">
        <f t="shared" si="2015"/>
        <v>0</v>
      </c>
      <c r="T803" s="3155"/>
      <c r="U803" s="363">
        <f t="shared" si="2052"/>
        <v>0</v>
      </c>
      <c r="V803" s="3155"/>
      <c r="W803" s="74">
        <f t="shared" si="2053"/>
        <v>0</v>
      </c>
      <c r="X803" s="363">
        <f t="shared" si="2054"/>
        <v>0</v>
      </c>
      <c r="Y803" s="3155"/>
      <c r="Z803" s="363">
        <f t="shared" si="2007"/>
        <v>0</v>
      </c>
      <c r="AA803" s="3155"/>
      <c r="AB803" s="78">
        <f t="shared" si="2008"/>
        <v>0</v>
      </c>
      <c r="AC803" s="5129"/>
      <c r="AD803" s="713">
        <f t="shared" si="2018"/>
        <v>0</v>
      </c>
      <c r="AE803" s="1290">
        <f t="shared" si="2019"/>
        <v>0</v>
      </c>
      <c r="AF803" s="712">
        <f t="shared" si="2020"/>
        <v>0</v>
      </c>
    </row>
    <row r="804" spans="3:38" ht="35" customHeight="1" x14ac:dyDescent="0.25">
      <c r="C804" s="338"/>
      <c r="D804" s="8445"/>
      <c r="E804" s="3924" t="s">
        <v>1703</v>
      </c>
      <c r="F804" s="3155"/>
      <c r="G804" s="3155"/>
      <c r="H804" s="296">
        <f t="shared" si="2002"/>
        <v>0</v>
      </c>
      <c r="I804" s="3155"/>
      <c r="J804" s="313">
        <f t="shared" si="2003"/>
        <v>0</v>
      </c>
      <c r="K804" s="3155"/>
      <c r="L804" s="363">
        <f t="shared" si="2010"/>
        <v>0</v>
      </c>
      <c r="M804" s="3155">
        <v>0</v>
      </c>
      <c r="N804" s="363">
        <f t="shared" ref="N804:N806" si="2055">+L804+M804</f>
        <v>0</v>
      </c>
      <c r="O804" s="3148">
        <v>142.82999999999998</v>
      </c>
      <c r="P804" s="2186">
        <f t="shared" ref="P804:P805" si="2056">+K804+M804+O804</f>
        <v>142.82999999999998</v>
      </c>
      <c r="Q804" s="241">
        <f t="shared" ref="Q804:Q805" si="2057">+N804+O804</f>
        <v>142.82999999999998</v>
      </c>
      <c r="R804" s="3155"/>
      <c r="S804" s="363">
        <f t="shared" si="2015"/>
        <v>142.82999999999998</v>
      </c>
      <c r="T804" s="3155">
        <v>542.33999999999992</v>
      </c>
      <c r="U804" s="363">
        <f t="shared" ref="U804:U808" si="2058">SUM(S804:T804)</f>
        <v>685.16999999999985</v>
      </c>
      <c r="V804" s="3155"/>
      <c r="W804" s="74">
        <f t="shared" ref="W804:W805" si="2059">+R804+T804+V804</f>
        <v>542.33999999999992</v>
      </c>
      <c r="X804" s="363">
        <f t="shared" ref="X804:X805" si="2060">+U804+V804</f>
        <v>685.16999999999985</v>
      </c>
      <c r="Y804" s="3155"/>
      <c r="Z804" s="363">
        <f t="shared" si="2007"/>
        <v>685.16999999999985</v>
      </c>
      <c r="AA804" s="3155"/>
      <c r="AB804" s="78">
        <f t="shared" si="2008"/>
        <v>685.16999999999985</v>
      </c>
      <c r="AC804" s="5129"/>
      <c r="AD804" s="713">
        <f t="shared" si="2018"/>
        <v>0</v>
      </c>
      <c r="AE804" s="1290">
        <f t="shared" si="2019"/>
        <v>542.33999999999992</v>
      </c>
      <c r="AF804" s="712">
        <f t="shared" si="2020"/>
        <v>685.16999999999985</v>
      </c>
    </row>
    <row r="805" spans="3:38" ht="35" customHeight="1" x14ac:dyDescent="0.25">
      <c r="C805" s="338"/>
      <c r="D805" s="8445"/>
      <c r="E805" s="3924" t="s">
        <v>1549</v>
      </c>
      <c r="F805" s="3155"/>
      <c r="G805" s="3155"/>
      <c r="H805" s="296">
        <f t="shared" si="2002"/>
        <v>0</v>
      </c>
      <c r="I805" s="3155"/>
      <c r="J805" s="313">
        <f t="shared" si="2003"/>
        <v>0</v>
      </c>
      <c r="K805" s="3155"/>
      <c r="L805" s="363">
        <f t="shared" si="2010"/>
        <v>0</v>
      </c>
      <c r="M805" s="3155">
        <f>6015.42-186.66</f>
        <v>5828.76</v>
      </c>
      <c r="N805" s="363">
        <f t="shared" si="2055"/>
        <v>5828.76</v>
      </c>
      <c r="O805" s="3148"/>
      <c r="P805" s="2186">
        <f t="shared" si="2056"/>
        <v>5828.76</v>
      </c>
      <c r="Q805" s="241">
        <f t="shared" si="2057"/>
        <v>5828.76</v>
      </c>
      <c r="R805" s="3155">
        <f>7058.7-115.92</f>
        <v>6942.78</v>
      </c>
      <c r="S805" s="363">
        <f t="shared" si="2015"/>
        <v>12771.54</v>
      </c>
      <c r="T805" s="3155">
        <f>4821.03-57.96</f>
        <v>4763.07</v>
      </c>
      <c r="U805" s="363">
        <f t="shared" si="2058"/>
        <v>17534.61</v>
      </c>
      <c r="V805" s="3155"/>
      <c r="W805" s="74">
        <f t="shared" si="2059"/>
        <v>11705.849999999999</v>
      </c>
      <c r="X805" s="363">
        <f t="shared" si="2060"/>
        <v>17534.61</v>
      </c>
      <c r="Y805" s="3155"/>
      <c r="Z805" s="363">
        <f t="shared" si="2007"/>
        <v>17534.61</v>
      </c>
      <c r="AA805" s="3155"/>
      <c r="AB805" s="78">
        <f t="shared" si="2008"/>
        <v>17534.61</v>
      </c>
      <c r="AC805" s="5129"/>
      <c r="AD805" s="713">
        <f t="shared" si="2018"/>
        <v>0</v>
      </c>
      <c r="AE805" s="1290">
        <f t="shared" si="2019"/>
        <v>11705.849999999999</v>
      </c>
      <c r="AF805" s="712">
        <f t="shared" si="2020"/>
        <v>17534.61</v>
      </c>
    </row>
    <row r="806" spans="3:38" ht="35" customHeight="1" x14ac:dyDescent="0.25">
      <c r="C806" s="338"/>
      <c r="D806" s="8445"/>
      <c r="E806" s="3924" t="s">
        <v>1711</v>
      </c>
      <c r="F806" s="3155"/>
      <c r="G806" s="3155"/>
      <c r="H806" s="296">
        <f t="shared" si="2002"/>
        <v>0</v>
      </c>
      <c r="I806" s="3155"/>
      <c r="J806" s="313">
        <f t="shared" si="2003"/>
        <v>0</v>
      </c>
      <c r="K806" s="3155"/>
      <c r="L806" s="363">
        <f t="shared" si="2010"/>
        <v>0</v>
      </c>
      <c r="M806" s="3155"/>
      <c r="N806" s="363">
        <f t="shared" si="2055"/>
        <v>0</v>
      </c>
      <c r="O806" s="3148">
        <f>4775.49-22.77</f>
        <v>4752.7199999999993</v>
      </c>
      <c r="P806" s="2186">
        <f t="shared" ref="P806" si="2061">+K806+M806+O806</f>
        <v>4752.7199999999993</v>
      </c>
      <c r="Q806" s="241">
        <f t="shared" ref="Q806" si="2062">+N806+O806</f>
        <v>4752.7199999999993</v>
      </c>
      <c r="R806" s="3155"/>
      <c r="S806" s="363">
        <f t="shared" si="2015"/>
        <v>4752.7199999999993</v>
      </c>
      <c r="T806" s="3155"/>
      <c r="U806" s="363">
        <f t="shared" si="2058"/>
        <v>4752.7199999999993</v>
      </c>
      <c r="V806" s="3155">
        <f>4140-68.31</f>
        <v>4071.69</v>
      </c>
      <c r="W806" s="74">
        <f t="shared" ref="W806" si="2063">+R806+T806+V806</f>
        <v>4071.69</v>
      </c>
      <c r="X806" s="363">
        <f t="shared" ref="X806" si="2064">+U806+V806</f>
        <v>8824.41</v>
      </c>
      <c r="Y806" s="3155">
        <f>7615.53-86.94</f>
        <v>7528.59</v>
      </c>
      <c r="Z806" s="363">
        <f t="shared" si="2007"/>
        <v>16353</v>
      </c>
      <c r="AA806" s="3155">
        <f>10198.89-20.7-118</f>
        <v>10060.189999999999</v>
      </c>
      <c r="AB806" s="78">
        <f t="shared" si="2008"/>
        <v>26413.19</v>
      </c>
      <c r="AC806" s="5129">
        <f>4295.25-64.17</f>
        <v>4231.08</v>
      </c>
      <c r="AD806" s="713">
        <f t="shared" si="2018"/>
        <v>21819.86</v>
      </c>
      <c r="AE806" s="1290">
        <f t="shared" si="2019"/>
        <v>25891.55</v>
      </c>
      <c r="AF806" s="712">
        <f t="shared" si="2020"/>
        <v>30644.269999999997</v>
      </c>
      <c r="AI806" s="4756">
        <f>20.7+118</f>
        <v>138.69999999999999</v>
      </c>
    </row>
    <row r="807" spans="3:38" ht="34.5" customHeight="1" x14ac:dyDescent="0.25">
      <c r="C807" s="338"/>
      <c r="D807" s="8445"/>
      <c r="E807" s="3924" t="s">
        <v>1646</v>
      </c>
      <c r="F807" s="3155"/>
      <c r="G807" s="3155"/>
      <c r="H807" s="296">
        <f t="shared" si="2002"/>
        <v>0</v>
      </c>
      <c r="I807" s="3155"/>
      <c r="J807" s="313">
        <f t="shared" si="2003"/>
        <v>0</v>
      </c>
      <c r="K807" s="3155"/>
      <c r="L807" s="363">
        <f t="shared" si="2010"/>
        <v>0</v>
      </c>
      <c r="M807" s="3155">
        <v>0</v>
      </c>
      <c r="N807" s="363">
        <f t="shared" si="2021"/>
        <v>0</v>
      </c>
      <c r="O807" s="3148"/>
      <c r="P807" s="2186">
        <f t="shared" si="2034"/>
        <v>0</v>
      </c>
      <c r="Q807" s="241">
        <f t="shared" si="2035"/>
        <v>0</v>
      </c>
      <c r="R807" s="3155"/>
      <c r="S807" s="363">
        <f t="shared" si="2015"/>
        <v>0</v>
      </c>
      <c r="T807" s="3155">
        <f>2523.33-12.42</f>
        <v>2510.91</v>
      </c>
      <c r="U807" s="363">
        <f t="shared" si="2058"/>
        <v>2510.91</v>
      </c>
      <c r="V807" s="3155"/>
      <c r="W807" s="74">
        <f t="shared" si="2005"/>
        <v>2510.91</v>
      </c>
      <c r="X807" s="363">
        <f t="shared" si="2006"/>
        <v>2510.91</v>
      </c>
      <c r="Y807" s="3155">
        <v>1736.73</v>
      </c>
      <c r="Z807" s="363">
        <f t="shared" si="2007"/>
        <v>4247.6399999999994</v>
      </c>
      <c r="AA807" s="3155">
        <f>1376.55-16.56</f>
        <v>1359.99</v>
      </c>
      <c r="AB807" s="78">
        <f t="shared" si="2008"/>
        <v>5607.6299999999992</v>
      </c>
      <c r="AC807" s="5129"/>
      <c r="AD807" s="713">
        <f t="shared" si="2018"/>
        <v>3096.7200000000003</v>
      </c>
      <c r="AE807" s="1290">
        <f t="shared" si="2019"/>
        <v>5607.63</v>
      </c>
      <c r="AF807" s="712">
        <f t="shared" si="2020"/>
        <v>5607.6299999999992</v>
      </c>
      <c r="AI807" s="4756">
        <v>16.559999999999999</v>
      </c>
    </row>
    <row r="808" spans="3:38" ht="34.5" customHeight="1" x14ac:dyDescent="0.25">
      <c r="C808" s="338"/>
      <c r="D808" s="8445"/>
      <c r="E808" s="3924" t="s">
        <v>1710</v>
      </c>
      <c r="F808" s="3155"/>
      <c r="G808" s="3155"/>
      <c r="H808" s="296">
        <f t="shared" si="2002"/>
        <v>0</v>
      </c>
      <c r="I808" s="3155"/>
      <c r="J808" s="313">
        <f t="shared" si="2003"/>
        <v>0</v>
      </c>
      <c r="K808" s="3155"/>
      <c r="L808" s="363">
        <f t="shared" si="2010"/>
        <v>0</v>
      </c>
      <c r="M808" s="3155"/>
      <c r="N808" s="363">
        <f t="shared" si="2021"/>
        <v>0</v>
      </c>
      <c r="O808" s="3148">
        <f>3587.31-93.15</f>
        <v>3494.16</v>
      </c>
      <c r="P808" s="2186">
        <f t="shared" ref="P808" si="2065">+K808+M808+O808</f>
        <v>3494.16</v>
      </c>
      <c r="Q808" s="241">
        <f t="shared" ref="Q808" si="2066">+N808+O808</f>
        <v>3494.16</v>
      </c>
      <c r="R808" s="3155"/>
      <c r="S808" s="363">
        <f t="shared" si="2015"/>
        <v>3494.16</v>
      </c>
      <c r="T808" s="3155"/>
      <c r="U808" s="363">
        <f t="shared" si="2058"/>
        <v>3494.16</v>
      </c>
      <c r="V808" s="3155"/>
      <c r="W808" s="74">
        <f t="shared" ref="W808" si="2067">+R808+T808+V808</f>
        <v>0</v>
      </c>
      <c r="X808" s="363">
        <f t="shared" ref="X808" si="2068">+U808+V808</f>
        <v>3494.16</v>
      </c>
      <c r="Y808" s="3155"/>
      <c r="Z808" s="363">
        <f t="shared" si="2007"/>
        <v>3494.16</v>
      </c>
      <c r="AA808" s="3155"/>
      <c r="AB808" s="78">
        <f t="shared" si="2008"/>
        <v>3494.16</v>
      </c>
      <c r="AC808" s="5129">
        <f>7431.3-86.76</f>
        <v>7344.54</v>
      </c>
      <c r="AD808" s="713">
        <f t="shared" si="2018"/>
        <v>7344.54</v>
      </c>
      <c r="AE808" s="1290">
        <f t="shared" si="2019"/>
        <v>7344.54</v>
      </c>
      <c r="AF808" s="712">
        <f t="shared" si="2020"/>
        <v>10838.7</v>
      </c>
    </row>
    <row r="809" spans="3:38" ht="34.5" customHeight="1" x14ac:dyDescent="0.25">
      <c r="C809" s="338"/>
      <c r="D809" s="8445"/>
      <c r="E809" s="3924" t="s">
        <v>1704</v>
      </c>
      <c r="F809" s="3155"/>
      <c r="G809" s="3155"/>
      <c r="H809" s="296">
        <f t="shared" si="2002"/>
        <v>0</v>
      </c>
      <c r="I809" s="3155"/>
      <c r="J809" s="313">
        <f t="shared" si="2003"/>
        <v>0</v>
      </c>
      <c r="K809" s="3155"/>
      <c r="L809" s="363">
        <f t="shared" si="2010"/>
        <v>0</v>
      </c>
      <c r="M809" s="3155">
        <v>0</v>
      </c>
      <c r="N809" s="363">
        <f t="shared" ref="N809:N810" si="2069">+L809+M809</f>
        <v>0</v>
      </c>
      <c r="O809" s="3148">
        <f>660.33-2.07</f>
        <v>658.26</v>
      </c>
      <c r="P809" s="2186">
        <f t="shared" ref="P809:P810" si="2070">+K809+M809+O809</f>
        <v>658.26</v>
      </c>
      <c r="Q809" s="241">
        <f t="shared" ref="Q809:Q810" si="2071">+N809+O809</f>
        <v>658.26</v>
      </c>
      <c r="R809" s="3155"/>
      <c r="S809" s="363">
        <f t="shared" si="2015"/>
        <v>658.26</v>
      </c>
      <c r="T809" s="3155"/>
      <c r="U809" s="363">
        <f t="shared" si="2044"/>
        <v>658.26</v>
      </c>
      <c r="V809" s="3155"/>
      <c r="W809" s="74">
        <f t="shared" ref="W809:W810" si="2072">+R809+T809+V809</f>
        <v>0</v>
      </c>
      <c r="X809" s="363">
        <f t="shared" ref="X809:X810" si="2073">+U809+V809</f>
        <v>658.26</v>
      </c>
      <c r="Y809" s="3155">
        <f>811.44-14.49</f>
        <v>796.95</v>
      </c>
      <c r="Z809" s="363">
        <f t="shared" si="2007"/>
        <v>1455.21</v>
      </c>
      <c r="AA809" s="3155"/>
      <c r="AB809" s="78">
        <f t="shared" si="2008"/>
        <v>1455.21</v>
      </c>
      <c r="AC809" s="5129"/>
      <c r="AD809" s="713">
        <f t="shared" si="2018"/>
        <v>796.95</v>
      </c>
      <c r="AE809" s="1290">
        <f t="shared" si="2019"/>
        <v>796.95</v>
      </c>
      <c r="AF809" s="712">
        <f t="shared" si="2020"/>
        <v>1455.21</v>
      </c>
    </row>
    <row r="810" spans="3:38" ht="34.5" hidden="1" customHeight="1" x14ac:dyDescent="0.25">
      <c r="C810" s="338"/>
      <c r="D810" s="8445"/>
      <c r="E810" s="3924"/>
      <c r="F810" s="3155"/>
      <c r="G810" s="3155"/>
      <c r="H810" s="296">
        <f t="shared" si="2002"/>
        <v>0</v>
      </c>
      <c r="I810" s="3155"/>
      <c r="J810" s="313">
        <f t="shared" si="2003"/>
        <v>0</v>
      </c>
      <c r="K810" s="3155"/>
      <c r="L810" s="363">
        <f t="shared" si="2010"/>
        <v>0</v>
      </c>
      <c r="M810" s="3155">
        <v>0</v>
      </c>
      <c r="N810" s="363">
        <f t="shared" si="2069"/>
        <v>0</v>
      </c>
      <c r="O810" s="3155"/>
      <c r="P810" s="2186">
        <f t="shared" si="2070"/>
        <v>0</v>
      </c>
      <c r="Q810" s="241">
        <f t="shared" si="2071"/>
        <v>0</v>
      </c>
      <c r="R810" s="3155"/>
      <c r="S810" s="363">
        <f t="shared" si="2015"/>
        <v>0</v>
      </c>
      <c r="T810" s="3155"/>
      <c r="U810" s="363">
        <f t="shared" si="2044"/>
        <v>0</v>
      </c>
      <c r="V810" s="3155"/>
      <c r="W810" s="74">
        <f t="shared" si="2072"/>
        <v>0</v>
      </c>
      <c r="X810" s="363">
        <f t="shared" si="2073"/>
        <v>0</v>
      </c>
      <c r="Y810" s="3155"/>
      <c r="Z810" s="363">
        <f t="shared" si="2007"/>
        <v>0</v>
      </c>
      <c r="AA810" s="3155"/>
      <c r="AB810" s="78">
        <f t="shared" si="2008"/>
        <v>0</v>
      </c>
      <c r="AC810" s="5129"/>
      <c r="AD810" s="713">
        <f t="shared" si="2018"/>
        <v>0</v>
      </c>
      <c r="AE810" s="1290">
        <f t="shared" si="2019"/>
        <v>0</v>
      </c>
      <c r="AF810" s="712">
        <f t="shared" si="2020"/>
        <v>0</v>
      </c>
    </row>
    <row r="811" spans="3:38" ht="35" customHeight="1" x14ac:dyDescent="0.25">
      <c r="C811" s="338"/>
      <c r="D811" s="8445"/>
      <c r="E811" s="3951" t="s">
        <v>1483</v>
      </c>
      <c r="F811" s="3155"/>
      <c r="G811" s="3155"/>
      <c r="H811" s="296">
        <f t="shared" si="2002"/>
        <v>0</v>
      </c>
      <c r="I811" s="3155"/>
      <c r="J811" s="313">
        <f t="shared" si="2003"/>
        <v>0</v>
      </c>
      <c r="K811" s="3155"/>
      <c r="L811" s="363">
        <f t="shared" si="2010"/>
        <v>0</v>
      </c>
      <c r="M811" s="3155">
        <v>0</v>
      </c>
      <c r="N811" s="363">
        <f t="shared" si="2021"/>
        <v>0</v>
      </c>
      <c r="O811" s="3155">
        <f>3243.69-76.59</f>
        <v>3167.1</v>
      </c>
      <c r="P811" s="2186">
        <f t="shared" si="2034"/>
        <v>3167.1</v>
      </c>
      <c r="Q811" s="241">
        <f t="shared" si="2035"/>
        <v>3167.1</v>
      </c>
      <c r="R811" s="3155"/>
      <c r="S811" s="363">
        <f t="shared" si="2015"/>
        <v>3167.1</v>
      </c>
      <c r="T811" s="3155"/>
      <c r="U811" s="363">
        <f t="shared" si="2044"/>
        <v>3167.1</v>
      </c>
      <c r="V811" s="3155">
        <f>6280.38-169.74-2.07</f>
        <v>6108.5700000000006</v>
      </c>
      <c r="W811" s="74">
        <f t="shared" si="2005"/>
        <v>6108.5700000000006</v>
      </c>
      <c r="X811" s="363">
        <f t="shared" si="2006"/>
        <v>9275.67</v>
      </c>
      <c r="Y811" s="3155">
        <f>4806.54-14.49</f>
        <v>4792.05</v>
      </c>
      <c r="Z811" s="363">
        <f t="shared" si="2007"/>
        <v>14067.720000000001</v>
      </c>
      <c r="AA811" s="3155"/>
      <c r="AB811" s="78">
        <f t="shared" si="2008"/>
        <v>14067.720000000001</v>
      </c>
      <c r="AC811" s="5129">
        <f>5249.52-26.91</f>
        <v>5222.6100000000006</v>
      </c>
      <c r="AD811" s="713">
        <f t="shared" si="2018"/>
        <v>10014.66</v>
      </c>
      <c r="AE811" s="1290">
        <f t="shared" si="2019"/>
        <v>16123.23</v>
      </c>
      <c r="AF811" s="712">
        <f t="shared" si="2020"/>
        <v>19290.330000000002</v>
      </c>
    </row>
    <row r="812" spans="3:38" s="5160" customFormat="1" ht="35" customHeight="1" x14ac:dyDescent="0.25">
      <c r="C812" s="5158"/>
      <c r="D812" s="8445"/>
      <c r="E812" s="3951" t="s">
        <v>1712</v>
      </c>
      <c r="F812" s="3155"/>
      <c r="G812" s="3155"/>
      <c r="H812" s="296">
        <f t="shared" si="2002"/>
        <v>0</v>
      </c>
      <c r="I812" s="3155"/>
      <c r="J812" s="313">
        <f t="shared" si="2003"/>
        <v>0</v>
      </c>
      <c r="K812" s="3155"/>
      <c r="L812" s="363">
        <f t="shared" si="2010"/>
        <v>0</v>
      </c>
      <c r="M812" s="3155"/>
      <c r="N812" s="363"/>
      <c r="O812" s="3155">
        <v>531.9899999999999</v>
      </c>
      <c r="P812" s="2186">
        <f t="shared" ref="P812" si="2074">+K812+M812+O812</f>
        <v>531.9899999999999</v>
      </c>
      <c r="Q812" s="241">
        <f t="shared" ref="Q812" si="2075">+N812+O812</f>
        <v>531.9899999999999</v>
      </c>
      <c r="R812" s="3155"/>
      <c r="S812" s="363">
        <f t="shared" si="2015"/>
        <v>531.9899999999999</v>
      </c>
      <c r="T812" s="3155"/>
      <c r="U812" s="363">
        <f t="shared" si="2044"/>
        <v>531.9899999999999</v>
      </c>
      <c r="V812" s="3155">
        <v>621</v>
      </c>
      <c r="W812" s="74">
        <f>+R812+T812+V812</f>
        <v>621</v>
      </c>
      <c r="X812" s="363">
        <f>+U812+V812</f>
        <v>1152.9899999999998</v>
      </c>
      <c r="Y812" s="3155">
        <v>471.96</v>
      </c>
      <c r="Z812" s="363">
        <f t="shared" si="2007"/>
        <v>1624.9499999999998</v>
      </c>
      <c r="AA812" s="3155"/>
      <c r="AB812" s="78">
        <f t="shared" si="2008"/>
        <v>1624.9499999999998</v>
      </c>
      <c r="AC812" s="5129"/>
      <c r="AD812" s="713">
        <f t="shared" si="2018"/>
        <v>471.96</v>
      </c>
      <c r="AE812" s="1290">
        <f t="shared" si="2019"/>
        <v>1092.96</v>
      </c>
      <c r="AF812" s="712">
        <f t="shared" si="2020"/>
        <v>1624.9499999999998</v>
      </c>
      <c r="AG812" s="5159"/>
      <c r="AH812" s="5159"/>
      <c r="AI812" s="5159"/>
      <c r="AJ812" s="5159"/>
      <c r="AK812" s="5159"/>
      <c r="AL812" s="5159"/>
    </row>
    <row r="813" spans="3:38" ht="35" customHeight="1" x14ac:dyDescent="0.25">
      <c r="C813" s="338"/>
      <c r="D813" s="8445"/>
      <c r="E813" s="3951" t="s">
        <v>1466</v>
      </c>
      <c r="F813" s="3155"/>
      <c r="G813" s="3155"/>
      <c r="H813" s="296">
        <f t="shared" si="2002"/>
        <v>0</v>
      </c>
      <c r="I813" s="3155"/>
      <c r="J813" s="313">
        <f t="shared" si="2003"/>
        <v>0</v>
      </c>
      <c r="K813" s="3155"/>
      <c r="L813" s="363">
        <f t="shared" si="2010"/>
        <v>0</v>
      </c>
      <c r="M813" s="3155">
        <v>0</v>
      </c>
      <c r="N813" s="363">
        <f t="shared" si="2021"/>
        <v>0</v>
      </c>
      <c r="O813" s="3155"/>
      <c r="P813" s="2186">
        <f t="shared" si="2034"/>
        <v>0</v>
      </c>
      <c r="Q813" s="241">
        <f t="shared" si="2035"/>
        <v>0</v>
      </c>
      <c r="R813" s="3155"/>
      <c r="S813" s="363">
        <f t="shared" si="2015"/>
        <v>0</v>
      </c>
      <c r="T813" s="3155"/>
      <c r="U813" s="363">
        <f t="shared" si="2044"/>
        <v>0</v>
      </c>
      <c r="V813" s="3155"/>
      <c r="W813" s="74">
        <f t="shared" ref="W813:W818" si="2076">+R813+T813+V813</f>
        <v>0</v>
      </c>
      <c r="X813" s="363">
        <f t="shared" ref="X813:X818" si="2077">+U813+V813</f>
        <v>0</v>
      </c>
      <c r="Y813" s="3155"/>
      <c r="Z813" s="363">
        <f t="shared" si="2007"/>
        <v>0</v>
      </c>
      <c r="AA813" s="3155"/>
      <c r="AB813" s="78">
        <f t="shared" si="2008"/>
        <v>0</v>
      </c>
      <c r="AC813" s="5129">
        <v>422.28</v>
      </c>
      <c r="AD813" s="713">
        <f t="shared" si="2018"/>
        <v>422.28</v>
      </c>
      <c r="AE813" s="1290">
        <f t="shared" si="2019"/>
        <v>422.28</v>
      </c>
      <c r="AF813" s="712">
        <f t="shared" si="2020"/>
        <v>422.28</v>
      </c>
    </row>
    <row r="814" spans="3:38" ht="35" customHeight="1" x14ac:dyDescent="0.25">
      <c r="C814" s="338"/>
      <c r="D814" s="8445"/>
      <c r="E814" s="3951" t="s">
        <v>1484</v>
      </c>
      <c r="F814" s="3155"/>
      <c r="G814" s="3155"/>
      <c r="H814" s="296">
        <f t="shared" si="2002"/>
        <v>0</v>
      </c>
      <c r="I814" s="3155"/>
      <c r="J814" s="313">
        <f t="shared" si="2003"/>
        <v>0</v>
      </c>
      <c r="K814" s="3155"/>
      <c r="L814" s="363">
        <f t="shared" si="2010"/>
        <v>0</v>
      </c>
      <c r="M814" s="3155">
        <v>0</v>
      </c>
      <c r="N814" s="363">
        <f t="shared" si="2021"/>
        <v>0</v>
      </c>
      <c r="O814" s="3155"/>
      <c r="P814" s="2186">
        <f t="shared" ref="P814:P818" si="2078">+K814+M814+O814</f>
        <v>0</v>
      </c>
      <c r="Q814" s="241">
        <f t="shared" ref="Q814:Q818" si="2079">+N814+O814</f>
        <v>0</v>
      </c>
      <c r="R814" s="3155"/>
      <c r="S814" s="363">
        <f t="shared" si="2015"/>
        <v>0</v>
      </c>
      <c r="T814" s="3155"/>
      <c r="U814" s="363">
        <f t="shared" si="2044"/>
        <v>0</v>
      </c>
      <c r="V814" s="3155"/>
      <c r="W814" s="74">
        <f t="shared" si="2076"/>
        <v>0</v>
      </c>
      <c r="X814" s="363">
        <f t="shared" si="2077"/>
        <v>0</v>
      </c>
      <c r="Y814" s="3155">
        <v>523.71</v>
      </c>
      <c r="Z814" s="363">
        <f t="shared" si="2007"/>
        <v>523.71</v>
      </c>
      <c r="AA814" s="3155">
        <f>815.58-64.16</f>
        <v>751.42000000000007</v>
      </c>
      <c r="AB814" s="78">
        <f t="shared" si="2008"/>
        <v>1275.1300000000001</v>
      </c>
      <c r="AC814" s="5129">
        <f>1577.34-95.22</f>
        <v>1482.12</v>
      </c>
      <c r="AD814" s="713">
        <f t="shared" si="2018"/>
        <v>2757.25</v>
      </c>
      <c r="AE814" s="1290">
        <f t="shared" si="2019"/>
        <v>2757.25</v>
      </c>
      <c r="AF814" s="712">
        <f t="shared" si="2020"/>
        <v>2757.25</v>
      </c>
      <c r="AI814" s="4756">
        <v>64.16</v>
      </c>
    </row>
    <row r="815" spans="3:38" ht="35" customHeight="1" x14ac:dyDescent="0.25">
      <c r="C815" s="338"/>
      <c r="D815" s="8445"/>
      <c r="E815" s="3951" t="s">
        <v>1785</v>
      </c>
      <c r="F815" s="3155"/>
      <c r="G815" s="3155"/>
      <c r="H815" s="296">
        <f t="shared" si="2002"/>
        <v>0</v>
      </c>
      <c r="I815" s="3155"/>
      <c r="J815" s="313">
        <f t="shared" si="2003"/>
        <v>0</v>
      </c>
      <c r="K815" s="3155"/>
      <c r="L815" s="363">
        <f t="shared" si="2010"/>
        <v>0</v>
      </c>
      <c r="M815" s="3155"/>
      <c r="N815" s="363"/>
      <c r="O815" s="3155"/>
      <c r="P815" s="2186"/>
      <c r="Q815" s="241"/>
      <c r="R815" s="3155"/>
      <c r="S815" s="363"/>
      <c r="T815" s="3155"/>
      <c r="U815" s="363"/>
      <c r="V815" s="3155"/>
      <c r="W815" s="74"/>
      <c r="X815" s="363"/>
      <c r="Y815" s="3155"/>
      <c r="Z815" s="363"/>
      <c r="AA815" s="3155">
        <v>62.099999999999994</v>
      </c>
      <c r="AB815" s="78">
        <f t="shared" si="2008"/>
        <v>62.099999999999994</v>
      </c>
      <c r="AC815" s="5129"/>
      <c r="AD815" s="713">
        <f t="shared" si="2018"/>
        <v>62.099999999999994</v>
      </c>
      <c r="AE815" s="1290">
        <f t="shared" si="2019"/>
        <v>62.099999999999994</v>
      </c>
      <c r="AF815" s="712">
        <f t="shared" si="2020"/>
        <v>62.099999999999994</v>
      </c>
    </row>
    <row r="816" spans="3:38" ht="35" customHeight="1" x14ac:dyDescent="0.25">
      <c r="C816" s="338"/>
      <c r="D816" s="8445"/>
      <c r="E816" s="3951" t="s">
        <v>1846</v>
      </c>
      <c r="F816" s="3155"/>
      <c r="G816" s="3155"/>
      <c r="H816" s="296">
        <f t="shared" si="2002"/>
        <v>0</v>
      </c>
      <c r="I816" s="3155"/>
      <c r="J816" s="313">
        <f t="shared" si="2003"/>
        <v>0</v>
      </c>
      <c r="K816" s="3155"/>
      <c r="L816" s="363">
        <f t="shared" si="2010"/>
        <v>0</v>
      </c>
      <c r="M816" s="3155"/>
      <c r="N816" s="363"/>
      <c r="O816" s="3155"/>
      <c r="P816" s="2186"/>
      <c r="Q816" s="241"/>
      <c r="R816" s="3155"/>
      <c r="S816" s="363"/>
      <c r="T816" s="3155"/>
      <c r="U816" s="363"/>
      <c r="V816" s="3155"/>
      <c r="W816" s="74"/>
      <c r="X816" s="363"/>
      <c r="Y816" s="3155"/>
      <c r="Z816" s="363"/>
      <c r="AA816" s="3155"/>
      <c r="AB816" s="78"/>
      <c r="AC816" s="5129">
        <v>10.35</v>
      </c>
      <c r="AD816" s="713">
        <f t="shared" ref="AD816" si="2080">+Y816+AA816+AC816</f>
        <v>10.35</v>
      </c>
      <c r="AE816" s="1290">
        <f t="shared" ref="AE816" si="2081">+W816+AD816</f>
        <v>10.35</v>
      </c>
      <c r="AF816" s="712">
        <f t="shared" ref="AF816" si="2082">+AB816+AC816</f>
        <v>10.35</v>
      </c>
      <c r="AG816" s="5122"/>
      <c r="AH816" s="5122"/>
      <c r="AI816" s="5122"/>
      <c r="AJ816" s="5122"/>
      <c r="AK816" s="5122"/>
      <c r="AL816" s="5122"/>
    </row>
    <row r="817" spans="3:38" ht="35" customHeight="1" x14ac:dyDescent="0.25">
      <c r="C817" s="338"/>
      <c r="D817" s="8445"/>
      <c r="E817" s="3951" t="s">
        <v>1485</v>
      </c>
      <c r="F817" s="3155"/>
      <c r="G817" s="3155"/>
      <c r="H817" s="296">
        <f t="shared" si="2002"/>
        <v>0</v>
      </c>
      <c r="I817" s="3155"/>
      <c r="J817" s="313">
        <f t="shared" si="2003"/>
        <v>0</v>
      </c>
      <c r="K817" s="3155"/>
      <c r="L817" s="363">
        <f t="shared" si="2010"/>
        <v>0</v>
      </c>
      <c r="M817" s="3155">
        <v>0</v>
      </c>
      <c r="N817" s="363">
        <f t="shared" si="2021"/>
        <v>0</v>
      </c>
      <c r="O817" s="3155"/>
      <c r="P817" s="2186">
        <f t="shared" si="2078"/>
        <v>0</v>
      </c>
      <c r="Q817" s="241">
        <f t="shared" si="2079"/>
        <v>0</v>
      </c>
      <c r="R817" s="3155"/>
      <c r="S817" s="363">
        <f t="shared" si="2015"/>
        <v>0</v>
      </c>
      <c r="T817" s="3155"/>
      <c r="U817" s="363">
        <f t="shared" si="2044"/>
        <v>0</v>
      </c>
      <c r="V817" s="3155"/>
      <c r="W817" s="74">
        <f t="shared" si="2076"/>
        <v>0</v>
      </c>
      <c r="X817" s="363">
        <f t="shared" si="2077"/>
        <v>0</v>
      </c>
      <c r="Y817" s="3155">
        <f>494.73-31.05</f>
        <v>463.68</v>
      </c>
      <c r="Z817" s="363">
        <f t="shared" si="2007"/>
        <v>463.68</v>
      </c>
      <c r="AA817" s="3155">
        <f>983.25-41.4</f>
        <v>941.85</v>
      </c>
      <c r="AB817" s="78">
        <f t="shared" si="2008"/>
        <v>1405.53</v>
      </c>
      <c r="AC817" s="5129">
        <f>1436.58-18.63</f>
        <v>1417.9499999999998</v>
      </c>
      <c r="AD817" s="713">
        <f t="shared" si="2018"/>
        <v>2823.4799999999996</v>
      </c>
      <c r="AE817" s="1290">
        <f t="shared" si="2019"/>
        <v>2823.4799999999996</v>
      </c>
      <c r="AF817" s="712">
        <f t="shared" si="2020"/>
        <v>2823.4799999999996</v>
      </c>
      <c r="AI817" s="4756">
        <v>41.4</v>
      </c>
    </row>
    <row r="818" spans="3:38" ht="35" customHeight="1" x14ac:dyDescent="0.25">
      <c r="C818" s="338"/>
      <c r="D818" s="8445"/>
      <c r="E818" s="3951" t="s">
        <v>1486</v>
      </c>
      <c r="F818" s="3155"/>
      <c r="G818" s="3155"/>
      <c r="H818" s="296">
        <f t="shared" ref="H818:H843" si="2083">SUM(F818:G818)</f>
        <v>0</v>
      </c>
      <c r="I818" s="3155"/>
      <c r="J818" s="313">
        <f t="shared" ref="J818:J843" si="2084">SUM(H818:I818)</f>
        <v>0</v>
      </c>
      <c r="K818" s="3155"/>
      <c r="L818" s="363">
        <f t="shared" si="2010"/>
        <v>0</v>
      </c>
      <c r="M818" s="3155">
        <v>0</v>
      </c>
      <c r="N818" s="363">
        <f t="shared" si="2021"/>
        <v>0</v>
      </c>
      <c r="O818" s="3155"/>
      <c r="P818" s="2186">
        <f t="shared" si="2078"/>
        <v>0</v>
      </c>
      <c r="Q818" s="241">
        <f t="shared" si="2079"/>
        <v>0</v>
      </c>
      <c r="R818" s="3155"/>
      <c r="S818" s="363">
        <f t="shared" si="2015"/>
        <v>0</v>
      </c>
      <c r="T818" s="3155"/>
      <c r="U818" s="363">
        <f t="shared" si="2044"/>
        <v>0</v>
      </c>
      <c r="V818" s="3155"/>
      <c r="W818" s="74">
        <f t="shared" si="2076"/>
        <v>0</v>
      </c>
      <c r="X818" s="363">
        <f t="shared" si="2077"/>
        <v>0</v>
      </c>
      <c r="Y818" s="3155"/>
      <c r="Z818" s="363">
        <f t="shared" si="2007"/>
        <v>0</v>
      </c>
      <c r="AA818" s="3155"/>
      <c r="AB818" s="78">
        <f t="shared" si="2008"/>
        <v>0</v>
      </c>
      <c r="AC818" s="5129"/>
      <c r="AD818" s="713">
        <f t="shared" si="2018"/>
        <v>0</v>
      </c>
      <c r="AE818" s="1290">
        <f t="shared" si="2019"/>
        <v>0</v>
      </c>
      <c r="AF818" s="712">
        <f t="shared" si="2020"/>
        <v>0</v>
      </c>
    </row>
    <row r="819" spans="3:38" ht="35" customHeight="1" x14ac:dyDescent="0.25">
      <c r="C819" s="338"/>
      <c r="D819" s="8445"/>
      <c r="E819" s="3951" t="s">
        <v>1644</v>
      </c>
      <c r="F819" s="3155"/>
      <c r="G819" s="3155"/>
      <c r="H819" s="296">
        <f t="shared" si="2083"/>
        <v>0</v>
      </c>
      <c r="I819" s="3155"/>
      <c r="J819" s="313">
        <f t="shared" si="2084"/>
        <v>0</v>
      </c>
      <c r="K819" s="3155"/>
      <c r="L819" s="363">
        <f t="shared" ref="L819:L843" si="2085">+J819+K819</f>
        <v>0</v>
      </c>
      <c r="M819" s="3155">
        <v>0</v>
      </c>
      <c r="N819" s="363">
        <f t="shared" si="2021"/>
        <v>0</v>
      </c>
      <c r="O819" s="3155">
        <v>0</v>
      </c>
      <c r="P819" s="2186">
        <f t="shared" ref="P819" si="2086">+K819+M819+O819</f>
        <v>0</v>
      </c>
      <c r="Q819" s="241">
        <f t="shared" ref="Q819" si="2087">+N819+O819</f>
        <v>0</v>
      </c>
      <c r="R819" s="3155">
        <f>2885.58-93.15</f>
        <v>2792.43</v>
      </c>
      <c r="S819" s="363">
        <f t="shared" si="2015"/>
        <v>2792.43</v>
      </c>
      <c r="T819" s="3155">
        <v>3094.6499999999996</v>
      </c>
      <c r="U819" s="363">
        <f t="shared" si="2044"/>
        <v>5887.08</v>
      </c>
      <c r="V819" s="3155"/>
      <c r="W819" s="74">
        <f t="shared" ref="W819" si="2088">+R819+T819+V819</f>
        <v>5887.08</v>
      </c>
      <c r="X819" s="363">
        <f t="shared" ref="X819" si="2089">+U819+V819</f>
        <v>5887.08</v>
      </c>
      <c r="Y819" s="3155"/>
      <c r="Z819" s="363">
        <f t="shared" si="2007"/>
        <v>5887.08</v>
      </c>
      <c r="AA819" s="3155">
        <v>86.94</v>
      </c>
      <c r="AB819" s="78">
        <f t="shared" si="2008"/>
        <v>5974.0199999999995</v>
      </c>
      <c r="AC819" s="5129"/>
      <c r="AD819" s="713">
        <f t="shared" si="2018"/>
        <v>86.94</v>
      </c>
      <c r="AE819" s="1290">
        <f t="shared" si="2019"/>
        <v>5974.0199999999995</v>
      </c>
      <c r="AF819" s="712">
        <f t="shared" si="2020"/>
        <v>5974.0199999999995</v>
      </c>
    </row>
    <row r="820" spans="3:38" ht="35" customHeight="1" x14ac:dyDescent="0.25">
      <c r="C820" s="338"/>
      <c r="D820" s="8445"/>
      <c r="E820" s="3951" t="s">
        <v>1713</v>
      </c>
      <c r="F820" s="3155"/>
      <c r="G820" s="3155"/>
      <c r="H820" s="296">
        <f t="shared" si="2083"/>
        <v>0</v>
      </c>
      <c r="I820" s="3155"/>
      <c r="J820" s="313">
        <f t="shared" si="2084"/>
        <v>0</v>
      </c>
      <c r="K820" s="3155"/>
      <c r="L820" s="363">
        <f t="shared" si="2085"/>
        <v>0</v>
      </c>
      <c r="M820" s="3155"/>
      <c r="N820" s="363"/>
      <c r="O820" s="3155">
        <f>2866.95-31.05</f>
        <v>2835.8999999999996</v>
      </c>
      <c r="P820" s="2186">
        <f t="shared" ref="P820" si="2090">+K820+M820+O820</f>
        <v>2835.8999999999996</v>
      </c>
      <c r="Q820" s="241">
        <f t="shared" ref="Q820" si="2091">+N820+O820</f>
        <v>2835.8999999999996</v>
      </c>
      <c r="R820" s="3155"/>
      <c r="S820" s="363">
        <f t="shared" si="2015"/>
        <v>2835.8999999999996</v>
      </c>
      <c r="T820" s="3155"/>
      <c r="U820" s="363">
        <f t="shared" si="2044"/>
        <v>2835.8999999999996</v>
      </c>
      <c r="V820" s="3155">
        <f>2558.52-14.49</f>
        <v>2544.0300000000002</v>
      </c>
      <c r="W820" s="74">
        <f t="shared" ref="W820" si="2092">+R820+T820+V820</f>
        <v>2544.0300000000002</v>
      </c>
      <c r="X820" s="363">
        <f t="shared" ref="X820" si="2093">+U820+V820</f>
        <v>5379.93</v>
      </c>
      <c r="Y820" s="3155">
        <f>4508.46-6.21</f>
        <v>4502.25</v>
      </c>
      <c r="Z820" s="363">
        <f t="shared" si="2007"/>
        <v>9882.18</v>
      </c>
      <c r="AA820" s="3155"/>
      <c r="AB820" s="78">
        <f t="shared" si="2008"/>
        <v>9882.18</v>
      </c>
      <c r="AC820" s="5129">
        <f>2324.61-20.7-43.47</f>
        <v>2260.4400000000005</v>
      </c>
      <c r="AD820" s="713">
        <f t="shared" si="2018"/>
        <v>6762.6900000000005</v>
      </c>
      <c r="AE820" s="1290">
        <f t="shared" si="2019"/>
        <v>9306.7200000000012</v>
      </c>
      <c r="AF820" s="712">
        <f t="shared" si="2020"/>
        <v>12142.62</v>
      </c>
    </row>
    <row r="821" spans="3:38" ht="35" customHeight="1" x14ac:dyDescent="0.25">
      <c r="C821" s="2111">
        <f>+G844-G55</f>
        <v>-0.27999999999883585</v>
      </c>
      <c r="D821" s="8445"/>
      <c r="E821" s="3951" t="s">
        <v>1645</v>
      </c>
      <c r="F821" s="3155"/>
      <c r="G821" s="3155"/>
      <c r="H821" s="296">
        <f t="shared" si="2083"/>
        <v>0</v>
      </c>
      <c r="I821" s="3155"/>
      <c r="J821" s="313">
        <f t="shared" si="2084"/>
        <v>0</v>
      </c>
      <c r="K821" s="3155"/>
      <c r="L821" s="363">
        <f t="shared" si="2085"/>
        <v>0</v>
      </c>
      <c r="M821" s="3155">
        <f>3355.47-143.71</f>
        <v>3211.7599999999998</v>
      </c>
      <c r="N821" s="363">
        <f t="shared" si="2021"/>
        <v>3211.7599999999998</v>
      </c>
      <c r="O821" s="3155"/>
      <c r="P821" s="2186">
        <f t="shared" si="2034"/>
        <v>3211.7599999999998</v>
      </c>
      <c r="Q821" s="241">
        <f t="shared" si="2035"/>
        <v>3211.7599999999998</v>
      </c>
      <c r="R821" s="3155">
        <f>1436.58-28.98</f>
        <v>1407.6</v>
      </c>
      <c r="S821" s="363">
        <f t="shared" si="2015"/>
        <v>4619.3599999999997</v>
      </c>
      <c r="T821" s="3155">
        <f>5566.23-6.21</f>
        <v>5560.0199999999995</v>
      </c>
      <c r="U821" s="363">
        <f t="shared" si="2044"/>
        <v>10179.379999999999</v>
      </c>
      <c r="V821" s="3155"/>
      <c r="W821" s="74">
        <f t="shared" si="2005"/>
        <v>6967.619999999999</v>
      </c>
      <c r="X821" s="363">
        <f t="shared" si="2006"/>
        <v>10179.379999999999</v>
      </c>
      <c r="Y821" s="3155"/>
      <c r="Z821" s="363">
        <f t="shared" si="2007"/>
        <v>10179.379999999999</v>
      </c>
      <c r="AA821" s="3155"/>
      <c r="AB821" s="78">
        <f t="shared" si="2008"/>
        <v>10179.379999999999</v>
      </c>
      <c r="AC821" s="5129"/>
      <c r="AD821" s="713">
        <f t="shared" si="2018"/>
        <v>0</v>
      </c>
      <c r="AE821" s="1290">
        <f t="shared" si="2019"/>
        <v>6967.619999999999</v>
      </c>
      <c r="AF821" s="712">
        <f t="shared" si="2020"/>
        <v>10179.379999999999</v>
      </c>
    </row>
    <row r="822" spans="3:38" s="5160" customFormat="1" ht="35" customHeight="1" x14ac:dyDescent="0.25">
      <c r="C822" s="5161"/>
      <c r="D822" s="8445"/>
      <c r="E822" s="3951" t="s">
        <v>1712</v>
      </c>
      <c r="F822" s="3155"/>
      <c r="G822" s="3155"/>
      <c r="H822" s="296">
        <f t="shared" si="2083"/>
        <v>0</v>
      </c>
      <c r="I822" s="3155"/>
      <c r="J822" s="313">
        <f t="shared" si="2084"/>
        <v>0</v>
      </c>
      <c r="K822" s="3155"/>
      <c r="L822" s="363">
        <f t="shared" si="2085"/>
        <v>0</v>
      </c>
      <c r="M822" s="3155">
        <v>0</v>
      </c>
      <c r="N822" s="363">
        <f t="shared" si="2021"/>
        <v>0</v>
      </c>
      <c r="O822" s="3155"/>
      <c r="P822" s="2186">
        <f t="shared" si="2034"/>
        <v>0</v>
      </c>
      <c r="Q822" s="241">
        <f t="shared" si="2035"/>
        <v>0</v>
      </c>
      <c r="R822" s="3155"/>
      <c r="S822" s="363">
        <f t="shared" si="2015"/>
        <v>0</v>
      </c>
      <c r="T822" s="3155"/>
      <c r="U822" s="363">
        <f t="shared" si="2044"/>
        <v>0</v>
      </c>
      <c r="V822" s="3155"/>
      <c r="W822" s="74">
        <f>+R822+T822+V822</f>
        <v>0</v>
      </c>
      <c r="X822" s="363">
        <f>+U822+V822</f>
        <v>0</v>
      </c>
      <c r="Y822" s="3155">
        <v>0</v>
      </c>
      <c r="Z822" s="363">
        <f t="shared" si="2007"/>
        <v>0</v>
      </c>
      <c r="AA822" s="3155"/>
      <c r="AB822" s="78">
        <f t="shared" si="2008"/>
        <v>0</v>
      </c>
      <c r="AC822" s="5129"/>
      <c r="AD822" s="713">
        <f t="shared" ref="AD822:AD843" si="2094">+Y822+AA822+AC822</f>
        <v>0</v>
      </c>
      <c r="AE822" s="1290">
        <f t="shared" ref="AE822:AE843" si="2095">+W822+AD822</f>
        <v>0</v>
      </c>
      <c r="AF822" s="712">
        <f t="shared" ref="AF822:AF843" si="2096">+AB822+AC822</f>
        <v>0</v>
      </c>
      <c r="AG822" s="5159"/>
      <c r="AH822" s="5159"/>
      <c r="AI822" s="5159"/>
      <c r="AJ822" s="5159"/>
      <c r="AK822" s="5159"/>
      <c r="AL822" s="5159"/>
    </row>
    <row r="823" spans="3:38" ht="35" customHeight="1" x14ac:dyDescent="0.25">
      <c r="C823" s="2111"/>
      <c r="D823" s="8445"/>
      <c r="E823" s="3924" t="s">
        <v>1680</v>
      </c>
      <c r="F823" s="3155"/>
      <c r="G823" s="3155"/>
      <c r="H823" s="296">
        <f t="shared" si="2083"/>
        <v>0</v>
      </c>
      <c r="I823" s="3155"/>
      <c r="J823" s="313">
        <f t="shared" si="2084"/>
        <v>0</v>
      </c>
      <c r="K823" s="3155"/>
      <c r="L823" s="363">
        <f t="shared" si="2085"/>
        <v>0</v>
      </c>
      <c r="M823" s="3155">
        <v>372.59999999999997</v>
      </c>
      <c r="N823" s="363">
        <f t="shared" si="2021"/>
        <v>372.59999999999997</v>
      </c>
      <c r="O823" s="3155"/>
      <c r="P823" s="2186">
        <f t="shared" si="2034"/>
        <v>372.59999999999997</v>
      </c>
      <c r="Q823" s="241">
        <f t="shared" si="2035"/>
        <v>372.59999999999997</v>
      </c>
      <c r="R823" s="3155"/>
      <c r="S823" s="363">
        <f t="shared" si="2015"/>
        <v>372.59999999999997</v>
      </c>
      <c r="T823" s="3155">
        <v>888.02999999999986</v>
      </c>
      <c r="U823" s="363">
        <f t="shared" si="2044"/>
        <v>1260.6299999999999</v>
      </c>
      <c r="V823" s="3155"/>
      <c r="W823" s="74">
        <f t="shared" si="2005"/>
        <v>888.02999999999986</v>
      </c>
      <c r="X823" s="363">
        <f t="shared" si="2006"/>
        <v>1260.6299999999999</v>
      </c>
      <c r="Y823" s="3155"/>
      <c r="Z823" s="363">
        <f t="shared" si="2007"/>
        <v>1260.6299999999999</v>
      </c>
      <c r="AA823" s="3155"/>
      <c r="AB823" s="78">
        <f t="shared" si="2008"/>
        <v>1260.6299999999999</v>
      </c>
      <c r="AC823" s="5129"/>
      <c r="AD823" s="713">
        <f t="shared" si="2094"/>
        <v>0</v>
      </c>
      <c r="AE823" s="1290">
        <f t="shared" si="2095"/>
        <v>888.02999999999986</v>
      </c>
      <c r="AF823" s="712">
        <f t="shared" si="2096"/>
        <v>1260.6299999999999</v>
      </c>
    </row>
    <row r="824" spans="3:38" ht="35" customHeight="1" x14ac:dyDescent="0.25">
      <c r="C824" s="338"/>
      <c r="D824" s="8445"/>
      <c r="E824" s="3924" t="s">
        <v>1547</v>
      </c>
      <c r="F824" s="3809"/>
      <c r="G824" s="3809"/>
      <c r="H824" s="296">
        <f t="shared" si="2083"/>
        <v>0</v>
      </c>
      <c r="I824" s="3809"/>
      <c r="J824" s="313">
        <f t="shared" si="2084"/>
        <v>0</v>
      </c>
      <c r="K824" s="3809"/>
      <c r="L824" s="363">
        <f t="shared" si="2085"/>
        <v>0</v>
      </c>
      <c r="M824" s="3809">
        <f>6537.06-2.07</f>
        <v>6534.9900000000007</v>
      </c>
      <c r="N824" s="363">
        <f t="shared" si="2021"/>
        <v>6534.9900000000007</v>
      </c>
      <c r="O824" s="3809">
        <f>3705.3-4.14</f>
        <v>3701.1600000000003</v>
      </c>
      <c r="P824" s="2186">
        <f t="shared" si="2034"/>
        <v>10236.150000000001</v>
      </c>
      <c r="Q824" s="241">
        <f t="shared" si="2035"/>
        <v>10236.150000000001</v>
      </c>
      <c r="R824" s="3809"/>
      <c r="S824" s="363">
        <f t="shared" si="2015"/>
        <v>10236.150000000001</v>
      </c>
      <c r="T824" s="3809">
        <v>1413.81</v>
      </c>
      <c r="U824" s="363">
        <f t="shared" si="2044"/>
        <v>11649.960000000001</v>
      </c>
      <c r="V824" s="3809">
        <f>1624.95-14.49-10.35</f>
        <v>1600.1100000000001</v>
      </c>
      <c r="W824" s="74">
        <f t="shared" si="2005"/>
        <v>3013.92</v>
      </c>
      <c r="X824" s="363">
        <f t="shared" si="2006"/>
        <v>13250.070000000002</v>
      </c>
      <c r="Y824" s="3809"/>
      <c r="Z824" s="363">
        <f t="shared" si="2007"/>
        <v>13250.070000000002</v>
      </c>
      <c r="AA824" s="3809"/>
      <c r="AB824" s="78">
        <f t="shared" si="2008"/>
        <v>13250.070000000002</v>
      </c>
      <c r="AC824" s="5129">
        <f>3605.94-10.35</f>
        <v>3595.59</v>
      </c>
      <c r="AD824" s="713">
        <f t="shared" si="2094"/>
        <v>3595.59</v>
      </c>
      <c r="AE824" s="1290">
        <f t="shared" si="2095"/>
        <v>6609.51</v>
      </c>
      <c r="AF824" s="712">
        <f t="shared" si="2096"/>
        <v>16845.660000000003</v>
      </c>
    </row>
    <row r="825" spans="3:38" ht="35" customHeight="1" x14ac:dyDescent="0.25">
      <c r="C825" s="338"/>
      <c r="D825" s="8445"/>
      <c r="E825" s="3924" t="s">
        <v>1543</v>
      </c>
      <c r="F825" s="3155"/>
      <c r="G825" s="3155"/>
      <c r="H825" s="296">
        <f t="shared" si="2083"/>
        <v>0</v>
      </c>
      <c r="I825" s="3155"/>
      <c r="J825" s="313">
        <f t="shared" si="2084"/>
        <v>0</v>
      </c>
      <c r="K825" s="3155"/>
      <c r="L825" s="363">
        <f t="shared" si="2085"/>
        <v>0</v>
      </c>
      <c r="M825" s="3155">
        <f>7298.82-22.77</f>
        <v>7276.0499999999993</v>
      </c>
      <c r="N825" s="363">
        <f t="shared" si="2021"/>
        <v>7276.0499999999993</v>
      </c>
      <c r="O825" s="3155"/>
      <c r="P825" s="2186">
        <f t="shared" si="2034"/>
        <v>7276.0499999999993</v>
      </c>
      <c r="Q825" s="241">
        <f t="shared" si="2035"/>
        <v>7276.0499999999993</v>
      </c>
      <c r="R825" s="3155">
        <f>4607.82-37.26</f>
        <v>4570.5599999999995</v>
      </c>
      <c r="S825" s="363">
        <f t="shared" si="2015"/>
        <v>11846.609999999999</v>
      </c>
      <c r="T825" s="3155">
        <v>5187.42</v>
      </c>
      <c r="U825" s="363">
        <f t="shared" si="2044"/>
        <v>17034.03</v>
      </c>
      <c r="V825" s="3155">
        <v>4655.4299999999994</v>
      </c>
      <c r="W825" s="74">
        <f t="shared" si="2005"/>
        <v>14413.41</v>
      </c>
      <c r="X825" s="363">
        <f t="shared" si="2006"/>
        <v>21689.46</v>
      </c>
      <c r="Y825" s="3155"/>
      <c r="Z825" s="363">
        <f t="shared" si="2007"/>
        <v>21689.46</v>
      </c>
      <c r="AA825" s="3155">
        <f>7727.31-24.84</f>
        <v>7702.47</v>
      </c>
      <c r="AB825" s="78">
        <f t="shared" si="2008"/>
        <v>29391.93</v>
      </c>
      <c r="AC825" s="5129">
        <f>6597.09-51.75</f>
        <v>6545.34</v>
      </c>
      <c r="AD825" s="713">
        <f t="shared" si="2094"/>
        <v>14247.810000000001</v>
      </c>
      <c r="AE825" s="1290">
        <f t="shared" si="2095"/>
        <v>28661.22</v>
      </c>
      <c r="AF825" s="712">
        <f t="shared" si="2096"/>
        <v>35937.270000000004</v>
      </c>
      <c r="AI825" s="4756">
        <v>24.84</v>
      </c>
    </row>
    <row r="826" spans="3:38" ht="34.5" customHeight="1" x14ac:dyDescent="0.25">
      <c r="C826" s="338"/>
      <c r="D826" s="8445"/>
      <c r="E826" s="3924" t="s">
        <v>1737</v>
      </c>
      <c r="F826" s="3155"/>
      <c r="G826" s="3155"/>
      <c r="H826" s="296">
        <f t="shared" si="2083"/>
        <v>0</v>
      </c>
      <c r="I826" s="3155"/>
      <c r="J826" s="313">
        <f t="shared" si="2084"/>
        <v>0</v>
      </c>
      <c r="K826" s="3155"/>
      <c r="L826" s="363">
        <f t="shared" si="2085"/>
        <v>0</v>
      </c>
      <c r="M826" s="3155">
        <v>0</v>
      </c>
      <c r="N826" s="363">
        <f t="shared" si="2021"/>
        <v>0</v>
      </c>
      <c r="O826" s="3155"/>
      <c r="P826" s="2186">
        <f t="shared" ref="P826" si="2097">+K826+M826+O826</f>
        <v>0</v>
      </c>
      <c r="Q826" s="241">
        <f t="shared" ref="Q826" si="2098">+N826+O826</f>
        <v>0</v>
      </c>
      <c r="R826" s="3155"/>
      <c r="S826" s="363">
        <f t="shared" ref="S826:S843" si="2099">+Q826+R826</f>
        <v>0</v>
      </c>
      <c r="T826" s="3155">
        <v>552.68999999999994</v>
      </c>
      <c r="U826" s="363">
        <f t="shared" si="2044"/>
        <v>552.68999999999994</v>
      </c>
      <c r="V826" s="3155"/>
      <c r="W826" s="74">
        <f t="shared" si="2005"/>
        <v>552.68999999999994</v>
      </c>
      <c r="X826" s="363">
        <f t="shared" si="2006"/>
        <v>552.68999999999994</v>
      </c>
      <c r="Y826" s="3155"/>
      <c r="Z826" s="363">
        <f t="shared" si="2007"/>
        <v>552.68999999999994</v>
      </c>
      <c r="AA826" s="3155"/>
      <c r="AB826" s="78">
        <f t="shared" si="2008"/>
        <v>552.68999999999994</v>
      </c>
      <c r="AC826" s="5129"/>
      <c r="AD826" s="713">
        <f t="shared" si="2094"/>
        <v>0</v>
      </c>
      <c r="AE826" s="1290">
        <f t="shared" si="2095"/>
        <v>552.68999999999994</v>
      </c>
      <c r="AF826" s="712">
        <f t="shared" si="2096"/>
        <v>552.68999999999994</v>
      </c>
    </row>
    <row r="827" spans="3:38" ht="35" customHeight="1" x14ac:dyDescent="0.25">
      <c r="C827" s="338"/>
      <c r="D827" s="8445"/>
      <c r="E827" s="3924" t="s">
        <v>264</v>
      </c>
      <c r="F827" s="3155"/>
      <c r="G827" s="3155"/>
      <c r="H827" s="296">
        <f t="shared" si="2083"/>
        <v>0</v>
      </c>
      <c r="I827" s="3155"/>
      <c r="J827" s="313">
        <f t="shared" si="2084"/>
        <v>0</v>
      </c>
      <c r="K827" s="3155"/>
      <c r="L827" s="363">
        <f t="shared" si="2085"/>
        <v>0</v>
      </c>
      <c r="M827" s="3155">
        <v>2.0699999999999998</v>
      </c>
      <c r="N827" s="363">
        <f t="shared" si="2021"/>
        <v>2.0699999999999998</v>
      </c>
      <c r="O827" s="3155">
        <v>4.1399999999999997</v>
      </c>
      <c r="P827" s="2186">
        <f t="shared" si="2034"/>
        <v>6.2099999999999991</v>
      </c>
      <c r="Q827" s="241">
        <f t="shared" si="2035"/>
        <v>6.2099999999999991</v>
      </c>
      <c r="R827" s="3155"/>
      <c r="S827" s="363">
        <f t="shared" si="2099"/>
        <v>6.2099999999999991</v>
      </c>
      <c r="T827" s="3155"/>
      <c r="U827" s="363">
        <f t="shared" si="2044"/>
        <v>6.2099999999999991</v>
      </c>
      <c r="V827" s="3155">
        <v>14.49</v>
      </c>
      <c r="W827" s="74">
        <f t="shared" si="2005"/>
        <v>14.49</v>
      </c>
      <c r="X827" s="363">
        <f t="shared" si="2006"/>
        <v>20.7</v>
      </c>
      <c r="Y827" s="3155"/>
      <c r="Z827" s="363">
        <f t="shared" si="2007"/>
        <v>20.7</v>
      </c>
      <c r="AA827" s="3155"/>
      <c r="AB827" s="78">
        <f t="shared" si="2008"/>
        <v>20.7</v>
      </c>
      <c r="AC827" s="5129"/>
      <c r="AD827" s="713">
        <f t="shared" si="2094"/>
        <v>0</v>
      </c>
      <c r="AE827" s="1290">
        <f t="shared" si="2095"/>
        <v>14.49</v>
      </c>
      <c r="AF827" s="712">
        <f t="shared" si="2096"/>
        <v>20.7</v>
      </c>
    </row>
    <row r="828" spans="3:38" ht="35" customHeight="1" x14ac:dyDescent="0.25">
      <c r="C828" s="338"/>
      <c r="D828" s="8445"/>
      <c r="E828" s="3924" t="s">
        <v>1546</v>
      </c>
      <c r="F828" s="3155"/>
      <c r="G828" s="3155"/>
      <c r="H828" s="296">
        <f t="shared" si="2083"/>
        <v>0</v>
      </c>
      <c r="I828" s="3155"/>
      <c r="J828" s="313">
        <f t="shared" si="2084"/>
        <v>0</v>
      </c>
      <c r="K828" s="3155"/>
      <c r="L828" s="363">
        <f t="shared" si="2085"/>
        <v>0</v>
      </c>
      <c r="M828" s="3155">
        <f>6067.17-39.33</f>
        <v>6027.84</v>
      </c>
      <c r="N828" s="363">
        <f t="shared" si="2021"/>
        <v>6027.84</v>
      </c>
      <c r="O828" s="3155"/>
      <c r="P828" s="2186">
        <f t="shared" si="2034"/>
        <v>6027.84</v>
      </c>
      <c r="Q828" s="241">
        <f t="shared" si="2035"/>
        <v>6027.84</v>
      </c>
      <c r="R828" s="3155"/>
      <c r="S828" s="363">
        <f t="shared" si="2099"/>
        <v>6027.84</v>
      </c>
      <c r="T828" s="3155"/>
      <c r="U828" s="363">
        <f t="shared" si="2044"/>
        <v>6027.84</v>
      </c>
      <c r="V828" s="3155"/>
      <c r="W828" s="74">
        <f t="shared" si="2005"/>
        <v>0</v>
      </c>
      <c r="X828" s="363">
        <f t="shared" si="2006"/>
        <v>6027.84</v>
      </c>
      <c r="Y828" s="3155"/>
      <c r="Z828" s="363">
        <f t="shared" si="2007"/>
        <v>6027.84</v>
      </c>
      <c r="AA828" s="3155"/>
      <c r="AB828" s="78">
        <f t="shared" si="2008"/>
        <v>6027.84</v>
      </c>
      <c r="AC828" s="5129"/>
      <c r="AD828" s="713">
        <f t="shared" si="2094"/>
        <v>0</v>
      </c>
      <c r="AE828" s="1290">
        <f t="shared" si="2095"/>
        <v>0</v>
      </c>
      <c r="AF828" s="712">
        <f t="shared" si="2096"/>
        <v>6027.84</v>
      </c>
    </row>
    <row r="829" spans="3:38" ht="35" customHeight="1" x14ac:dyDescent="0.25">
      <c r="C829" s="338"/>
      <c r="D829" s="8445"/>
      <c r="E829" s="3924" t="s">
        <v>1548</v>
      </c>
      <c r="F829" s="3155"/>
      <c r="G829" s="3155"/>
      <c r="H829" s="296">
        <f t="shared" si="2083"/>
        <v>0</v>
      </c>
      <c r="I829" s="3155"/>
      <c r="J829" s="313">
        <f t="shared" si="2084"/>
        <v>0</v>
      </c>
      <c r="K829" s="3155"/>
      <c r="L829" s="363">
        <f t="shared" si="2085"/>
        <v>0</v>
      </c>
      <c r="M829" s="3155">
        <f>3233.34-16.56</f>
        <v>3216.78</v>
      </c>
      <c r="N829" s="363">
        <f t="shared" si="2021"/>
        <v>3216.78</v>
      </c>
      <c r="O829" s="3148">
        <f>6087.87-43.47</f>
        <v>6044.4</v>
      </c>
      <c r="P829" s="2186">
        <f t="shared" ref="P829" si="2100">+K829+M829+O829</f>
        <v>9261.18</v>
      </c>
      <c r="Q829" s="241">
        <f t="shared" ref="Q829" si="2101">+N829+O829</f>
        <v>9261.18</v>
      </c>
      <c r="R829" s="3155">
        <v>111.77999999999999</v>
      </c>
      <c r="S829" s="363">
        <f t="shared" si="2099"/>
        <v>9372.9600000000009</v>
      </c>
      <c r="T829" s="3155"/>
      <c r="U829" s="363">
        <f t="shared" si="2044"/>
        <v>9372.9600000000009</v>
      </c>
      <c r="V829" s="3155"/>
      <c r="W829" s="74">
        <f t="shared" ref="W829" si="2102">+R829+T829+V829</f>
        <v>111.77999999999999</v>
      </c>
      <c r="X829" s="363">
        <f t="shared" ref="X829" si="2103">+U829+V829</f>
        <v>9372.9600000000009</v>
      </c>
      <c r="Y829" s="3155"/>
      <c r="Z829" s="363">
        <f t="shared" si="2007"/>
        <v>9372.9600000000009</v>
      </c>
      <c r="AA829" s="3155">
        <f>4589.19-16.56</f>
        <v>4572.6299999999992</v>
      </c>
      <c r="AB829" s="78">
        <f t="shared" si="2008"/>
        <v>13945.59</v>
      </c>
      <c r="AC829" s="5129"/>
      <c r="AD829" s="713">
        <f t="shared" si="2094"/>
        <v>4572.6299999999992</v>
      </c>
      <c r="AE829" s="1290">
        <f t="shared" si="2095"/>
        <v>4684.4099999999989</v>
      </c>
      <c r="AF829" s="712">
        <f t="shared" si="2096"/>
        <v>13945.59</v>
      </c>
      <c r="AI829" s="4756">
        <v>16.559999999999999</v>
      </c>
    </row>
    <row r="830" spans="3:38" ht="35" hidden="1" customHeight="1" x14ac:dyDescent="0.25">
      <c r="C830" s="338"/>
      <c r="D830" s="8445"/>
      <c r="E830" s="3924"/>
      <c r="F830" s="3155"/>
      <c r="G830" s="3155"/>
      <c r="H830" s="296">
        <f t="shared" si="2083"/>
        <v>0</v>
      </c>
      <c r="I830" s="3155"/>
      <c r="J830" s="313">
        <f t="shared" si="2084"/>
        <v>0</v>
      </c>
      <c r="K830" s="3155"/>
      <c r="L830" s="363">
        <f t="shared" si="2085"/>
        <v>0</v>
      </c>
      <c r="M830" s="3155">
        <v>0</v>
      </c>
      <c r="N830" s="363">
        <f t="shared" si="2021"/>
        <v>0</v>
      </c>
      <c r="O830" s="3155"/>
      <c r="P830" s="2186">
        <f t="shared" si="2034"/>
        <v>0</v>
      </c>
      <c r="Q830" s="241">
        <f t="shared" si="2035"/>
        <v>0</v>
      </c>
      <c r="R830" s="3155"/>
      <c r="S830" s="363">
        <f t="shared" si="2099"/>
        <v>0</v>
      </c>
      <c r="T830" s="3155"/>
      <c r="U830" s="363">
        <f t="shared" si="2044"/>
        <v>0</v>
      </c>
      <c r="V830" s="3155"/>
      <c r="W830" s="74">
        <f t="shared" si="2005"/>
        <v>0</v>
      </c>
      <c r="X830" s="363">
        <f t="shared" si="2006"/>
        <v>0</v>
      </c>
      <c r="Y830" s="3155"/>
      <c r="Z830" s="363">
        <f t="shared" si="2007"/>
        <v>0</v>
      </c>
      <c r="AA830" s="3155"/>
      <c r="AB830" s="78">
        <f t="shared" si="2008"/>
        <v>0</v>
      </c>
      <c r="AC830" s="5129"/>
      <c r="AD830" s="713">
        <f t="shared" si="2094"/>
        <v>0</v>
      </c>
      <c r="AE830" s="1290">
        <f t="shared" si="2095"/>
        <v>0</v>
      </c>
      <c r="AF830" s="712">
        <f t="shared" si="2096"/>
        <v>0</v>
      </c>
    </row>
    <row r="831" spans="3:38" ht="35" hidden="1" customHeight="1" x14ac:dyDescent="0.25">
      <c r="C831" s="338"/>
      <c r="D831" s="8445"/>
      <c r="E831" s="3952"/>
      <c r="F831" s="3155"/>
      <c r="G831" s="3155"/>
      <c r="H831" s="296">
        <f t="shared" si="2083"/>
        <v>0</v>
      </c>
      <c r="I831" s="3155"/>
      <c r="J831" s="313">
        <f t="shared" si="2084"/>
        <v>0</v>
      </c>
      <c r="K831" s="3155"/>
      <c r="L831" s="363">
        <f t="shared" si="2085"/>
        <v>0</v>
      </c>
      <c r="M831" s="3155">
        <v>0</v>
      </c>
      <c r="N831" s="363">
        <f t="shared" si="2021"/>
        <v>0</v>
      </c>
      <c r="O831" s="3155"/>
      <c r="P831" s="2186">
        <f t="shared" si="2034"/>
        <v>0</v>
      </c>
      <c r="Q831" s="241">
        <f t="shared" si="2035"/>
        <v>0</v>
      </c>
      <c r="R831" s="3155"/>
      <c r="S831" s="363">
        <f t="shared" si="2099"/>
        <v>0</v>
      </c>
      <c r="T831" s="3155"/>
      <c r="U831" s="363">
        <f t="shared" si="2044"/>
        <v>0</v>
      </c>
      <c r="V831" s="3155"/>
      <c r="W831" s="74">
        <f t="shared" si="2005"/>
        <v>0</v>
      </c>
      <c r="X831" s="363">
        <f t="shared" si="2006"/>
        <v>0</v>
      </c>
      <c r="Y831" s="3155"/>
      <c r="Z831" s="363">
        <f t="shared" si="2007"/>
        <v>0</v>
      </c>
      <c r="AA831" s="3155"/>
      <c r="AB831" s="78">
        <f t="shared" si="2008"/>
        <v>0</v>
      </c>
      <c r="AC831" s="5129"/>
      <c r="AD831" s="713">
        <f t="shared" si="2094"/>
        <v>0</v>
      </c>
      <c r="AE831" s="1290">
        <f t="shared" si="2095"/>
        <v>0</v>
      </c>
      <c r="AF831" s="712">
        <f t="shared" si="2096"/>
        <v>0</v>
      </c>
    </row>
    <row r="832" spans="3:38" ht="35" customHeight="1" x14ac:dyDescent="0.25">
      <c r="C832" s="338"/>
      <c r="D832" s="8445"/>
      <c r="E832" s="3924" t="s">
        <v>265</v>
      </c>
      <c r="F832" s="3155"/>
      <c r="G832" s="3155"/>
      <c r="H832" s="296">
        <f t="shared" si="2083"/>
        <v>0</v>
      </c>
      <c r="I832" s="3155"/>
      <c r="J832" s="313">
        <f t="shared" si="2084"/>
        <v>0</v>
      </c>
      <c r="K832" s="3155"/>
      <c r="L832" s="363">
        <f t="shared" si="2085"/>
        <v>0</v>
      </c>
      <c r="M832" s="3155">
        <v>39.33</v>
      </c>
      <c r="N832" s="363">
        <f t="shared" si="2021"/>
        <v>39.33</v>
      </c>
      <c r="O832" s="3155"/>
      <c r="P832" s="2186">
        <f t="shared" si="2034"/>
        <v>39.33</v>
      </c>
      <c r="Q832" s="241">
        <f t="shared" si="2035"/>
        <v>39.33</v>
      </c>
      <c r="R832" s="3155"/>
      <c r="S832" s="363">
        <f t="shared" si="2099"/>
        <v>39.33</v>
      </c>
      <c r="T832" s="3155"/>
      <c r="U832" s="363">
        <f t="shared" si="2044"/>
        <v>39.33</v>
      </c>
      <c r="V832" s="3155"/>
      <c r="W832" s="74">
        <f t="shared" si="2005"/>
        <v>0</v>
      </c>
      <c r="X832" s="363">
        <f t="shared" si="2006"/>
        <v>39.33</v>
      </c>
      <c r="Y832" s="3155"/>
      <c r="Z832" s="363">
        <f t="shared" si="2007"/>
        <v>39.33</v>
      </c>
      <c r="AA832" s="3155"/>
      <c r="AB832" s="78">
        <f t="shared" si="2008"/>
        <v>39.33</v>
      </c>
      <c r="AC832" s="5129"/>
      <c r="AD832" s="713">
        <f t="shared" si="2094"/>
        <v>0</v>
      </c>
      <c r="AE832" s="1290">
        <f t="shared" si="2095"/>
        <v>0</v>
      </c>
      <c r="AF832" s="712">
        <f t="shared" si="2096"/>
        <v>39.33</v>
      </c>
    </row>
    <row r="833" spans="3:35" ht="35" customHeight="1" x14ac:dyDescent="0.25">
      <c r="C833" s="338"/>
      <c r="D833" s="8445"/>
      <c r="E833" s="3924" t="s">
        <v>1157</v>
      </c>
      <c r="F833" s="3155"/>
      <c r="G833" s="3155"/>
      <c r="H833" s="296">
        <f t="shared" si="2083"/>
        <v>0</v>
      </c>
      <c r="I833" s="3155"/>
      <c r="J833" s="313">
        <f t="shared" si="2084"/>
        <v>0</v>
      </c>
      <c r="K833" s="3155"/>
      <c r="L833" s="363">
        <f t="shared" si="2085"/>
        <v>0</v>
      </c>
      <c r="M833" s="3155">
        <v>16.559999999999999</v>
      </c>
      <c r="N833" s="363">
        <f t="shared" si="2021"/>
        <v>16.559999999999999</v>
      </c>
      <c r="O833" s="3155">
        <v>43.47</v>
      </c>
      <c r="P833" s="2186">
        <f t="shared" si="2034"/>
        <v>60.03</v>
      </c>
      <c r="Q833" s="241">
        <f t="shared" si="2035"/>
        <v>60.03</v>
      </c>
      <c r="R833" s="3155"/>
      <c r="S833" s="363">
        <f t="shared" si="2099"/>
        <v>60.03</v>
      </c>
      <c r="T833" s="3155"/>
      <c r="U833" s="363">
        <f t="shared" si="2044"/>
        <v>60.03</v>
      </c>
      <c r="V833" s="3155"/>
      <c r="W833" s="74">
        <f t="shared" si="2005"/>
        <v>0</v>
      </c>
      <c r="X833" s="363">
        <f t="shared" si="2006"/>
        <v>60.03</v>
      </c>
      <c r="Y833" s="3155"/>
      <c r="Z833" s="363">
        <f t="shared" si="2007"/>
        <v>60.03</v>
      </c>
      <c r="AA833" s="3155">
        <v>16.559999999999999</v>
      </c>
      <c r="AB833" s="78">
        <f t="shared" si="2008"/>
        <v>76.59</v>
      </c>
      <c r="AC833" s="5129"/>
      <c r="AD833" s="713">
        <f t="shared" si="2094"/>
        <v>16.559999999999999</v>
      </c>
      <c r="AE833" s="1290">
        <f t="shared" si="2095"/>
        <v>16.559999999999999</v>
      </c>
      <c r="AF833" s="712">
        <f t="shared" si="2096"/>
        <v>76.59</v>
      </c>
      <c r="AI833" s="4756">
        <v>391.23</v>
      </c>
    </row>
    <row r="834" spans="3:35" ht="35" customHeight="1" x14ac:dyDescent="0.25">
      <c r="C834" s="338"/>
      <c r="D834" s="8445"/>
      <c r="E834" s="3924" t="s">
        <v>1201</v>
      </c>
      <c r="F834" s="3155"/>
      <c r="G834" s="3155"/>
      <c r="H834" s="296">
        <f t="shared" si="2083"/>
        <v>0</v>
      </c>
      <c r="I834" s="3155"/>
      <c r="J834" s="313">
        <f t="shared" si="2084"/>
        <v>0</v>
      </c>
      <c r="K834" s="3155"/>
      <c r="L834" s="363">
        <f t="shared" si="2085"/>
        <v>0</v>
      </c>
      <c r="M834" s="3155">
        <v>22.77</v>
      </c>
      <c r="N834" s="363">
        <f t="shared" si="2021"/>
        <v>22.77</v>
      </c>
      <c r="O834" s="3155"/>
      <c r="P834" s="2186">
        <f t="shared" si="2034"/>
        <v>22.77</v>
      </c>
      <c r="Q834" s="241">
        <f t="shared" si="2035"/>
        <v>22.77</v>
      </c>
      <c r="R834" s="3155">
        <v>37.26</v>
      </c>
      <c r="S834" s="363">
        <f t="shared" si="2099"/>
        <v>60.03</v>
      </c>
      <c r="T834" s="3155"/>
      <c r="U834" s="363">
        <f t="shared" si="2044"/>
        <v>60.03</v>
      </c>
      <c r="V834" s="3155">
        <v>10.35</v>
      </c>
      <c r="W834" s="74">
        <f t="shared" si="2005"/>
        <v>47.61</v>
      </c>
      <c r="X834" s="363">
        <f t="shared" si="2006"/>
        <v>70.38</v>
      </c>
      <c r="Y834" s="3155"/>
      <c r="Z834" s="363">
        <f t="shared" si="2007"/>
        <v>70.38</v>
      </c>
      <c r="AA834" s="3155">
        <v>24.84</v>
      </c>
      <c r="AB834" s="78">
        <f t="shared" si="2008"/>
        <v>95.22</v>
      </c>
      <c r="AC834" s="5129">
        <v>62.1</v>
      </c>
      <c r="AD834" s="713">
        <f t="shared" si="2094"/>
        <v>86.94</v>
      </c>
      <c r="AE834" s="1290">
        <f t="shared" si="2095"/>
        <v>134.55000000000001</v>
      </c>
      <c r="AF834" s="712">
        <f t="shared" si="2096"/>
        <v>157.32</v>
      </c>
    </row>
    <row r="835" spans="3:35" ht="35" customHeight="1" x14ac:dyDescent="0.25">
      <c r="C835" s="338"/>
      <c r="D835" s="8445"/>
      <c r="E835" s="3924" t="s">
        <v>1392</v>
      </c>
      <c r="F835" s="3155"/>
      <c r="G835" s="3155"/>
      <c r="H835" s="296">
        <f t="shared" si="2083"/>
        <v>0</v>
      </c>
      <c r="I835" s="3155"/>
      <c r="J835" s="313">
        <f t="shared" si="2084"/>
        <v>0</v>
      </c>
      <c r="K835" s="3155"/>
      <c r="L835" s="363">
        <f t="shared" si="2085"/>
        <v>0</v>
      </c>
      <c r="M835" s="3155">
        <v>53.82</v>
      </c>
      <c r="N835" s="363">
        <f t="shared" si="2021"/>
        <v>53.82</v>
      </c>
      <c r="O835" s="3155"/>
      <c r="P835" s="2186">
        <f t="shared" ref="P835" si="2104">+K835+M835+O835</f>
        <v>53.82</v>
      </c>
      <c r="Q835" s="241">
        <f t="shared" ref="Q835" si="2105">+N835+O835</f>
        <v>53.82</v>
      </c>
      <c r="R835" s="3155">
        <v>43.47</v>
      </c>
      <c r="S835" s="363">
        <f t="shared" si="2099"/>
        <v>97.289999999999992</v>
      </c>
      <c r="T835" s="3155"/>
      <c r="U835" s="363">
        <f t="shared" si="2044"/>
        <v>97.289999999999992</v>
      </c>
      <c r="V835" s="3155"/>
      <c r="W835" s="74">
        <f t="shared" ref="W835" si="2106">+R835+T835+V835</f>
        <v>43.47</v>
      </c>
      <c r="X835" s="363">
        <f t="shared" ref="X835" si="2107">+U835+V835</f>
        <v>97.289999999999992</v>
      </c>
      <c r="Y835" s="3155"/>
      <c r="Z835" s="363">
        <f t="shared" si="2007"/>
        <v>97.289999999999992</v>
      </c>
      <c r="AA835" s="3155">
        <v>31.05</v>
      </c>
      <c r="AB835" s="78">
        <f t="shared" si="2008"/>
        <v>128.34</v>
      </c>
      <c r="AC835" s="5129"/>
      <c r="AD835" s="713">
        <f t="shared" si="2094"/>
        <v>31.05</v>
      </c>
      <c r="AE835" s="1290">
        <f t="shared" si="2095"/>
        <v>74.52</v>
      </c>
      <c r="AF835" s="712">
        <f t="shared" si="2096"/>
        <v>128.34</v>
      </c>
    </row>
    <row r="836" spans="3:35" ht="35" customHeight="1" x14ac:dyDescent="0.25">
      <c r="C836" s="338"/>
      <c r="D836" s="8445"/>
      <c r="E836" s="3924" t="s">
        <v>1128</v>
      </c>
      <c r="F836" s="3155"/>
      <c r="G836" s="3155"/>
      <c r="H836" s="296">
        <f t="shared" si="2083"/>
        <v>0</v>
      </c>
      <c r="I836" s="3155"/>
      <c r="J836" s="313">
        <f t="shared" si="2084"/>
        <v>0</v>
      </c>
      <c r="K836" s="3155"/>
      <c r="L836" s="363">
        <f t="shared" si="2085"/>
        <v>0</v>
      </c>
      <c r="M836" s="3155">
        <v>0</v>
      </c>
      <c r="N836" s="363">
        <f t="shared" si="2021"/>
        <v>0</v>
      </c>
      <c r="O836" s="3155">
        <v>12.42</v>
      </c>
      <c r="P836" s="2186">
        <f t="shared" si="2034"/>
        <v>12.42</v>
      </c>
      <c r="Q836" s="241">
        <f t="shared" si="2035"/>
        <v>12.42</v>
      </c>
      <c r="R836" s="3155"/>
      <c r="S836" s="363">
        <f t="shared" si="2099"/>
        <v>12.42</v>
      </c>
      <c r="T836" s="3155">
        <v>84.87</v>
      </c>
      <c r="U836" s="363">
        <f t="shared" si="2044"/>
        <v>97.29</v>
      </c>
      <c r="V836" s="3155">
        <v>4.1399999999999997</v>
      </c>
      <c r="W836" s="74">
        <f t="shared" si="2005"/>
        <v>89.01</v>
      </c>
      <c r="X836" s="363">
        <f t="shared" si="2006"/>
        <v>101.43</v>
      </c>
      <c r="Y836" s="3155"/>
      <c r="Z836" s="363">
        <f t="shared" si="2007"/>
        <v>101.43</v>
      </c>
      <c r="AA836" s="3155"/>
      <c r="AB836" s="78">
        <f t="shared" si="2008"/>
        <v>101.43</v>
      </c>
      <c r="AC836" s="5129"/>
      <c r="AD836" s="713">
        <f t="shared" si="2094"/>
        <v>0</v>
      </c>
      <c r="AE836" s="1290">
        <f t="shared" si="2095"/>
        <v>89.01</v>
      </c>
      <c r="AF836" s="712">
        <f t="shared" si="2096"/>
        <v>101.43</v>
      </c>
    </row>
    <row r="837" spans="3:35" ht="35" customHeight="1" x14ac:dyDescent="0.25">
      <c r="C837" s="338"/>
      <c r="D837" s="8445"/>
      <c r="E837" s="3924" t="s">
        <v>1136</v>
      </c>
      <c r="F837" s="3155"/>
      <c r="G837" s="3155"/>
      <c r="H837" s="296">
        <f t="shared" si="2083"/>
        <v>0</v>
      </c>
      <c r="I837" s="3155"/>
      <c r="J837" s="313">
        <f t="shared" si="2084"/>
        <v>0</v>
      </c>
      <c r="K837" s="3155"/>
      <c r="L837" s="363">
        <f t="shared" si="2085"/>
        <v>0</v>
      </c>
      <c r="M837" s="3155">
        <v>0</v>
      </c>
      <c r="N837" s="363">
        <f t="shared" si="2021"/>
        <v>0</v>
      </c>
      <c r="O837" s="3155"/>
      <c r="P837" s="2186">
        <f t="shared" si="2034"/>
        <v>0</v>
      </c>
      <c r="Q837" s="241">
        <f t="shared" si="2035"/>
        <v>0</v>
      </c>
      <c r="R837" s="3155"/>
      <c r="S837" s="363">
        <f t="shared" si="2099"/>
        <v>0</v>
      </c>
      <c r="T837" s="3155"/>
      <c r="U837" s="363">
        <f t="shared" si="2044"/>
        <v>0</v>
      </c>
      <c r="V837" s="3155"/>
      <c r="W837" s="74">
        <f t="shared" si="2005"/>
        <v>0</v>
      </c>
      <c r="X837" s="363">
        <f t="shared" si="2006"/>
        <v>0</v>
      </c>
      <c r="Y837" s="3155">
        <v>70.38</v>
      </c>
      <c r="Z837" s="363">
        <f t="shared" si="2007"/>
        <v>70.38</v>
      </c>
      <c r="AA837" s="3155"/>
      <c r="AB837" s="78">
        <f t="shared" si="2008"/>
        <v>70.38</v>
      </c>
      <c r="AC837" s="5129"/>
      <c r="AD837" s="713">
        <f t="shared" si="2094"/>
        <v>70.38</v>
      </c>
      <c r="AE837" s="1290">
        <f t="shared" si="2095"/>
        <v>70.38</v>
      </c>
      <c r="AF837" s="712">
        <f t="shared" si="2096"/>
        <v>70.38</v>
      </c>
    </row>
    <row r="838" spans="3:35" ht="35" customHeight="1" x14ac:dyDescent="0.25">
      <c r="C838" s="338"/>
      <c r="D838" s="8445"/>
      <c r="E838" s="3924" t="s">
        <v>1685</v>
      </c>
      <c r="F838" s="3155"/>
      <c r="G838" s="3155"/>
      <c r="H838" s="296">
        <f t="shared" si="2083"/>
        <v>0</v>
      </c>
      <c r="I838" s="3155"/>
      <c r="J838" s="313">
        <f t="shared" si="2084"/>
        <v>0</v>
      </c>
      <c r="K838" s="3155"/>
      <c r="L838" s="363">
        <f t="shared" si="2085"/>
        <v>0</v>
      </c>
      <c r="M838" s="3155">
        <v>6.2099999999999991</v>
      </c>
      <c r="N838" s="363">
        <f t="shared" si="2021"/>
        <v>6.2099999999999991</v>
      </c>
      <c r="O838" s="3155"/>
      <c r="P838" s="2186">
        <f t="shared" ref="P838:P839" si="2108">+K838+M838+O838</f>
        <v>6.2099999999999991</v>
      </c>
      <c r="Q838" s="241">
        <f t="shared" ref="Q838:Q839" si="2109">+N838+O838</f>
        <v>6.2099999999999991</v>
      </c>
      <c r="R838" s="3155"/>
      <c r="S838" s="363">
        <f t="shared" si="2099"/>
        <v>6.2099999999999991</v>
      </c>
      <c r="T838" s="3155"/>
      <c r="U838" s="363">
        <f t="shared" si="2044"/>
        <v>6.2099999999999991</v>
      </c>
      <c r="V838" s="3155">
        <v>33.119999999999997</v>
      </c>
      <c r="W838" s="74">
        <f t="shared" ref="W838" si="2110">+R838+T838+V838</f>
        <v>33.119999999999997</v>
      </c>
      <c r="X838" s="363">
        <f t="shared" ref="X838" si="2111">+U838+V838</f>
        <v>39.33</v>
      </c>
      <c r="Y838" s="3155"/>
      <c r="Z838" s="363">
        <f t="shared" si="2007"/>
        <v>39.33</v>
      </c>
      <c r="AA838" s="3155"/>
      <c r="AB838" s="78">
        <f t="shared" si="2008"/>
        <v>39.33</v>
      </c>
      <c r="AC838" s="5129"/>
      <c r="AD838" s="713">
        <f t="shared" si="2094"/>
        <v>0</v>
      </c>
      <c r="AE838" s="1290">
        <f t="shared" si="2095"/>
        <v>33.119999999999997</v>
      </c>
      <c r="AF838" s="712">
        <f t="shared" si="2096"/>
        <v>39.33</v>
      </c>
    </row>
    <row r="839" spans="3:35" ht="35" customHeight="1" x14ac:dyDescent="0.25">
      <c r="C839" s="338"/>
      <c r="D839" s="8445"/>
      <c r="E839" s="3924" t="s">
        <v>1108</v>
      </c>
      <c r="F839" s="3155"/>
      <c r="G839" s="3155"/>
      <c r="H839" s="296">
        <f t="shared" si="2083"/>
        <v>0</v>
      </c>
      <c r="I839" s="3155"/>
      <c r="J839" s="313">
        <f t="shared" si="2084"/>
        <v>0</v>
      </c>
      <c r="K839" s="3155"/>
      <c r="L839" s="363">
        <f t="shared" si="2085"/>
        <v>0</v>
      </c>
      <c r="M839" s="3155">
        <v>0</v>
      </c>
      <c r="N839" s="363">
        <f t="shared" si="2021"/>
        <v>0</v>
      </c>
      <c r="O839" s="3155"/>
      <c r="P839" s="2186">
        <f t="shared" si="2108"/>
        <v>0</v>
      </c>
      <c r="Q839" s="241">
        <f t="shared" si="2109"/>
        <v>0</v>
      </c>
      <c r="R839" s="3155">
        <f>2.07+22.77</f>
        <v>24.84</v>
      </c>
      <c r="S839" s="363">
        <f t="shared" si="2099"/>
        <v>24.84</v>
      </c>
      <c r="T839" s="3155">
        <v>4.1399999999999997</v>
      </c>
      <c r="U839" s="363">
        <f t="shared" si="2044"/>
        <v>28.98</v>
      </c>
      <c r="V839" s="3155">
        <v>49.68</v>
      </c>
      <c r="W839" s="74">
        <f t="shared" si="2005"/>
        <v>78.66</v>
      </c>
      <c r="X839" s="363">
        <f t="shared" si="2006"/>
        <v>78.66</v>
      </c>
      <c r="Y839" s="3155">
        <v>41.4</v>
      </c>
      <c r="Z839" s="363">
        <f t="shared" si="2007"/>
        <v>120.06</v>
      </c>
      <c r="AA839" s="3155">
        <v>49.68</v>
      </c>
      <c r="AB839" s="78">
        <f t="shared" si="2008"/>
        <v>169.74</v>
      </c>
      <c r="AC839" s="5129"/>
      <c r="AD839" s="713">
        <f t="shared" si="2094"/>
        <v>91.08</v>
      </c>
      <c r="AE839" s="1290">
        <f t="shared" si="2095"/>
        <v>169.74</v>
      </c>
      <c r="AF839" s="712">
        <f t="shared" si="2096"/>
        <v>169.74</v>
      </c>
    </row>
    <row r="840" spans="3:35" ht="35" customHeight="1" x14ac:dyDescent="0.25">
      <c r="C840" s="338"/>
      <c r="D840" s="8445"/>
      <c r="E840" s="3924" t="s">
        <v>1338</v>
      </c>
      <c r="F840" s="3155"/>
      <c r="G840" s="3155"/>
      <c r="H840" s="296">
        <f t="shared" si="2083"/>
        <v>0</v>
      </c>
      <c r="I840" s="3155"/>
      <c r="J840" s="313">
        <f t="shared" si="2084"/>
        <v>0</v>
      </c>
      <c r="K840" s="3155"/>
      <c r="L840" s="363">
        <f t="shared" si="2085"/>
        <v>0</v>
      </c>
      <c r="M840" s="3155">
        <v>6.21</v>
      </c>
      <c r="N840" s="363">
        <f t="shared" si="2021"/>
        <v>6.21</v>
      </c>
      <c r="O840" s="3155"/>
      <c r="P840" s="2186">
        <f t="shared" si="2034"/>
        <v>6.21</v>
      </c>
      <c r="Q840" s="241">
        <f t="shared" si="2035"/>
        <v>6.21</v>
      </c>
      <c r="R840" s="3155"/>
      <c r="S840" s="363">
        <f t="shared" si="2099"/>
        <v>6.21</v>
      </c>
      <c r="T840" s="3155"/>
      <c r="U840" s="363">
        <f t="shared" si="2044"/>
        <v>6.21</v>
      </c>
      <c r="V840" s="3155"/>
      <c r="W840" s="74">
        <f t="shared" si="2005"/>
        <v>0</v>
      </c>
      <c r="X840" s="363">
        <f t="shared" si="2006"/>
        <v>6.21</v>
      </c>
      <c r="Y840" s="3155"/>
      <c r="Z840" s="363">
        <f t="shared" si="2007"/>
        <v>6.21</v>
      </c>
      <c r="AA840" s="3155">
        <v>8.2799999999999994</v>
      </c>
      <c r="AB840" s="78">
        <f t="shared" si="2008"/>
        <v>14.489999999999998</v>
      </c>
      <c r="AC840" s="5129"/>
      <c r="AD840" s="713">
        <f t="shared" si="2094"/>
        <v>8.2799999999999994</v>
      </c>
      <c r="AE840" s="1290">
        <f t="shared" si="2095"/>
        <v>8.2799999999999994</v>
      </c>
      <c r="AF840" s="712">
        <f t="shared" si="2096"/>
        <v>14.489999999999998</v>
      </c>
    </row>
    <row r="841" spans="3:35" ht="35" customHeight="1" x14ac:dyDescent="0.25">
      <c r="C841" s="338"/>
      <c r="D841" s="8445"/>
      <c r="E841" s="3953" t="s">
        <v>1658</v>
      </c>
      <c r="F841" s="3155"/>
      <c r="G841" s="3155"/>
      <c r="H841" s="296">
        <f t="shared" si="2083"/>
        <v>0</v>
      </c>
      <c r="I841" s="3155"/>
      <c r="J841" s="313">
        <f t="shared" si="2084"/>
        <v>0</v>
      </c>
      <c r="K841" s="3155"/>
      <c r="L841" s="363">
        <f t="shared" si="2085"/>
        <v>0</v>
      </c>
      <c r="M841" s="3155">
        <v>0</v>
      </c>
      <c r="N841" s="363">
        <f t="shared" si="2021"/>
        <v>0</v>
      </c>
      <c r="O841" s="3155"/>
      <c r="P841" s="2186">
        <f t="shared" si="2034"/>
        <v>0</v>
      </c>
      <c r="Q841" s="241">
        <f t="shared" si="2035"/>
        <v>0</v>
      </c>
      <c r="R841" s="3155"/>
      <c r="S841" s="363">
        <f t="shared" si="2099"/>
        <v>0</v>
      </c>
      <c r="T841" s="3155"/>
      <c r="U841" s="363">
        <f t="shared" si="2044"/>
        <v>0</v>
      </c>
      <c r="V841" s="3155"/>
      <c r="W841" s="74">
        <f t="shared" ref="W841" si="2112">+R841+T841+V841</f>
        <v>0</v>
      </c>
      <c r="X841" s="363">
        <f t="shared" ref="X841" si="2113">+U841+V841</f>
        <v>0</v>
      </c>
      <c r="Y841" s="3155"/>
      <c r="Z841" s="363">
        <f t="shared" si="2007"/>
        <v>0</v>
      </c>
      <c r="AA841" s="3155"/>
      <c r="AB841" s="78">
        <f t="shared" si="2008"/>
        <v>0</v>
      </c>
      <c r="AC841" s="5129"/>
      <c r="AD841" s="713">
        <f t="shared" si="2094"/>
        <v>0</v>
      </c>
      <c r="AE841" s="1290">
        <f t="shared" si="2095"/>
        <v>0</v>
      </c>
      <c r="AF841" s="712">
        <f t="shared" si="2096"/>
        <v>0</v>
      </c>
    </row>
    <row r="842" spans="3:35" ht="35" customHeight="1" x14ac:dyDescent="0.25">
      <c r="C842" s="338"/>
      <c r="D842" s="8445"/>
      <c r="E842" s="3953" t="s">
        <v>1107</v>
      </c>
      <c r="F842" s="3155"/>
      <c r="G842" s="3155"/>
      <c r="H842" s="296">
        <f t="shared" si="2083"/>
        <v>0</v>
      </c>
      <c r="I842" s="3155"/>
      <c r="J842" s="313">
        <f t="shared" si="2084"/>
        <v>0</v>
      </c>
      <c r="K842" s="3155"/>
      <c r="L842" s="363">
        <f t="shared" si="2085"/>
        <v>0</v>
      </c>
      <c r="M842" s="3155">
        <v>186.66</v>
      </c>
      <c r="N842" s="363">
        <f t="shared" si="2021"/>
        <v>186.66</v>
      </c>
      <c r="O842" s="3155">
        <v>117.99</v>
      </c>
      <c r="P842" s="2186">
        <f t="shared" si="2034"/>
        <v>304.64999999999998</v>
      </c>
      <c r="Q842" s="241">
        <f t="shared" si="2035"/>
        <v>304.64999999999998</v>
      </c>
      <c r="R842" s="3155">
        <v>115.92</v>
      </c>
      <c r="S842" s="363">
        <f t="shared" si="2099"/>
        <v>420.57</v>
      </c>
      <c r="T842" s="3155">
        <v>70.38</v>
      </c>
      <c r="U842" s="363">
        <f t="shared" si="2044"/>
        <v>490.95</v>
      </c>
      <c r="V842" s="3155">
        <v>68.31</v>
      </c>
      <c r="W842" s="74">
        <f t="shared" si="2005"/>
        <v>254.61</v>
      </c>
      <c r="X842" s="363">
        <f t="shared" si="2006"/>
        <v>559.26</v>
      </c>
      <c r="Y842" s="3155">
        <v>101.43</v>
      </c>
      <c r="Z842" s="363">
        <f t="shared" si="2007"/>
        <v>660.69</v>
      </c>
      <c r="AA842" s="3155">
        <v>155.26</v>
      </c>
      <c r="AB842" s="78">
        <f t="shared" si="2008"/>
        <v>815.95</v>
      </c>
      <c r="AC842" s="5129">
        <v>150.93</v>
      </c>
      <c r="AD842" s="713">
        <f t="shared" si="2094"/>
        <v>407.62</v>
      </c>
      <c r="AE842" s="1290">
        <f t="shared" si="2095"/>
        <v>662.23</v>
      </c>
      <c r="AF842" s="712">
        <f t="shared" si="2096"/>
        <v>966.88000000000011</v>
      </c>
    </row>
    <row r="843" spans="3:35" ht="35" customHeight="1" thickBot="1" x14ac:dyDescent="0.3">
      <c r="C843" s="338"/>
      <c r="D843" s="8445"/>
      <c r="E843" s="3954" t="s">
        <v>1106</v>
      </c>
      <c r="F843" s="3155"/>
      <c r="G843" s="3155"/>
      <c r="H843" s="296">
        <f t="shared" si="2083"/>
        <v>0</v>
      </c>
      <c r="I843" s="3155"/>
      <c r="J843" s="313">
        <f t="shared" si="2084"/>
        <v>0</v>
      </c>
      <c r="K843" s="3155"/>
      <c r="L843" s="363">
        <f t="shared" si="2085"/>
        <v>0</v>
      </c>
      <c r="M843" s="3155">
        <v>143.71</v>
      </c>
      <c r="N843" s="363">
        <f t="shared" si="2021"/>
        <v>143.71</v>
      </c>
      <c r="O843" s="3155">
        <f>31.05+76.59</f>
        <v>107.64</v>
      </c>
      <c r="P843" s="2186">
        <f t="shared" si="2034"/>
        <v>251.35000000000002</v>
      </c>
      <c r="Q843" s="241">
        <f t="shared" si="2035"/>
        <v>251.35000000000002</v>
      </c>
      <c r="R843" s="3155">
        <f>93.15+28.98</f>
        <v>122.13000000000001</v>
      </c>
      <c r="S843" s="363">
        <f t="shared" si="2099"/>
        <v>373.48</v>
      </c>
      <c r="T843" s="3155">
        <v>6.21</v>
      </c>
      <c r="U843" s="363">
        <f t="shared" si="2044"/>
        <v>379.69</v>
      </c>
      <c r="V843" s="3155">
        <v>186.3</v>
      </c>
      <c r="W843" s="74">
        <f t="shared" si="2005"/>
        <v>314.64</v>
      </c>
      <c r="X843" s="363">
        <f t="shared" si="2006"/>
        <v>565.99</v>
      </c>
      <c r="Y843" s="3155">
        <v>51.75</v>
      </c>
      <c r="Z843" s="363">
        <f t="shared" si="2007"/>
        <v>617.74</v>
      </c>
      <c r="AA843" s="3155">
        <v>105.56</v>
      </c>
      <c r="AB843" s="78">
        <f t="shared" si="2008"/>
        <v>723.3</v>
      </c>
      <c r="AC843" s="5129">
        <v>204.93</v>
      </c>
      <c r="AD843" s="713">
        <f t="shared" si="2094"/>
        <v>362.24</v>
      </c>
      <c r="AE843" s="1290">
        <f t="shared" si="2095"/>
        <v>676.88</v>
      </c>
      <c r="AF843" s="712">
        <f t="shared" si="2096"/>
        <v>928.23</v>
      </c>
    </row>
    <row r="844" spans="3:35" ht="35" customHeight="1" thickBot="1" x14ac:dyDescent="0.3">
      <c r="C844" s="338"/>
      <c r="D844" s="8446"/>
      <c r="E844" s="3955" t="s">
        <v>128</v>
      </c>
      <c r="F844" s="264">
        <v>14366.399999999998</v>
      </c>
      <c r="G844" s="264">
        <v>17667.72</v>
      </c>
      <c r="H844" s="250">
        <f>SUM(F844:G844)</f>
        <v>32034.12</v>
      </c>
      <c r="I844" s="264">
        <v>31338.144000000004</v>
      </c>
      <c r="J844" s="313">
        <f>SUM(H844:I844)</f>
        <v>63372.264000000003</v>
      </c>
      <c r="K844" s="264"/>
      <c r="L844" s="250">
        <f>SUM(J844:K844)</f>
        <v>63372.264000000003</v>
      </c>
      <c r="M844" s="264">
        <f t="shared" ref="M844:O844" si="2114">SUM(M754:M843)</f>
        <v>37622.249999999993</v>
      </c>
      <c r="N844" s="250">
        <f t="shared" ref="N844:AF844" si="2115">SUM(N754:N843)</f>
        <v>37622.249999999993</v>
      </c>
      <c r="O844" s="264">
        <f t="shared" si="2114"/>
        <v>33300.089999999989</v>
      </c>
      <c r="P844" s="249">
        <f>+K844+M844+O844</f>
        <v>70922.339999999982</v>
      </c>
      <c r="Q844" s="236">
        <f>+N844+O844</f>
        <v>70922.339999999982</v>
      </c>
      <c r="R844" s="264">
        <f t="shared" ref="R844" si="2116">SUM(R754:R843)</f>
        <v>26479.439999999991</v>
      </c>
      <c r="S844" s="250">
        <f t="shared" si="2115"/>
        <v>97401.780000000013</v>
      </c>
      <c r="T844" s="264">
        <f t="shared" ref="T844" si="2117">SUM(T754:T843)</f>
        <v>41161.94999999999</v>
      </c>
      <c r="U844" s="250">
        <f t="shared" si="2115"/>
        <v>138563.73000000001</v>
      </c>
      <c r="V844" s="264">
        <f t="shared" ref="V844" si="2118">SUM(V754:V843)</f>
        <v>35411.49</v>
      </c>
      <c r="W844" s="249">
        <f t="shared" si="2115"/>
        <v>103052.88</v>
      </c>
      <c r="X844" s="250">
        <f t="shared" si="2115"/>
        <v>173975.21999999997</v>
      </c>
      <c r="Y844" s="264">
        <f t="shared" ref="Y844" si="2119">SUM(Y754:Y843)</f>
        <v>35558.46</v>
      </c>
      <c r="Z844" s="250">
        <f t="shared" si="2115"/>
        <v>209533.67999999996</v>
      </c>
      <c r="AA844" s="264">
        <f t="shared" ref="AA844" si="2120">SUM(AA754:AA843)</f>
        <v>37680.21</v>
      </c>
      <c r="AB844" s="250">
        <f t="shared" si="2115"/>
        <v>247213.88999999998</v>
      </c>
      <c r="AC844" s="5130">
        <f t="shared" ref="AC844" si="2121">SUM(AC754:AC843)</f>
        <v>33527.79</v>
      </c>
      <c r="AD844" s="704">
        <f t="shared" si="2115"/>
        <v>106766.46000000002</v>
      </c>
      <c r="AE844" s="775">
        <f t="shared" si="2115"/>
        <v>209819.33999999997</v>
      </c>
      <c r="AF844" s="575">
        <f t="shared" si="2115"/>
        <v>280741.68000000017</v>
      </c>
    </row>
    <row r="845" spans="3:35" ht="35" customHeight="1" thickBot="1" x14ac:dyDescent="0.3">
      <c r="C845" s="338"/>
      <c r="D845" s="186">
        <v>37.020000000000003</v>
      </c>
      <c r="E845" s="3956" t="s">
        <v>178</v>
      </c>
      <c r="F845" s="227">
        <f t="shared" ref="F845:G845" si="2122">+F844/F752*100</f>
        <v>95.037180955253845</v>
      </c>
      <c r="G845" s="227">
        <f t="shared" si="2122"/>
        <v>95.693367333867855</v>
      </c>
      <c r="H845" s="260">
        <f t="shared" ref="H845:AF845" si="2123">+H844/H752*100</f>
        <v>95.397969061858262</v>
      </c>
      <c r="I845" s="227">
        <f t="shared" si="2123"/>
        <v>95.952244183101826</v>
      </c>
      <c r="J845" s="227">
        <f t="shared" si="2123"/>
        <v>95.671260353549229</v>
      </c>
      <c r="K845" s="227" t="e">
        <f t="shared" si="2123"/>
        <v>#DIV/0!</v>
      </c>
      <c r="L845" s="260">
        <f t="shared" si="2123"/>
        <v>95.671260353549229</v>
      </c>
      <c r="M845" s="227">
        <f t="shared" ref="M845:O845" si="2124">+M844/M752*100</f>
        <v>96.219579283183961</v>
      </c>
      <c r="N845" s="181">
        <f t="shared" si="2123"/>
        <v>35.715060755545366</v>
      </c>
      <c r="O845" s="227">
        <f t="shared" si="2124"/>
        <v>96.036888447831757</v>
      </c>
      <c r="P845" s="2187">
        <f t="shared" si="2123"/>
        <v>96.133714168600918</v>
      </c>
      <c r="Q845" s="2155">
        <f t="shared" si="2123"/>
        <v>50.653646166558254</v>
      </c>
      <c r="R845" s="227">
        <f t="shared" si="2123"/>
        <v>95.930719745589784</v>
      </c>
      <c r="S845" s="2290">
        <f t="shared" si="2123"/>
        <v>58.109742287764057</v>
      </c>
      <c r="T845" s="227">
        <f t="shared" si="2123"/>
        <v>96.373724092008644</v>
      </c>
      <c r="U845" s="2290">
        <f t="shared" si="2123"/>
        <v>65.879920132636443</v>
      </c>
      <c r="V845" s="227">
        <f t="shared" ref="V845" si="2125">+V844/V752*100</f>
        <v>96.15449783722579</v>
      </c>
      <c r="W845" s="182">
        <f t="shared" si="2123"/>
        <v>96.184238489924454</v>
      </c>
      <c r="X845" s="181">
        <f t="shared" si="2123"/>
        <v>70.391021254343229</v>
      </c>
      <c r="Y845" s="227">
        <f t="shared" si="2123"/>
        <v>96.252955927446621</v>
      </c>
      <c r="Z845" s="2290">
        <f t="shared" si="2123"/>
        <v>73.753979672390244</v>
      </c>
      <c r="AA845" s="227">
        <f t="shared" ref="AA845" si="2126">+AA844/AA752*100</f>
        <v>96.189654921536174</v>
      </c>
      <c r="AB845" s="181">
        <f t="shared" si="2123"/>
        <v>76.472655304730679</v>
      </c>
      <c r="AC845" s="227">
        <f t="shared" ref="AC845" si="2127">+AC844/AC752*100</f>
        <v>96.185435251287757</v>
      </c>
      <c r="AD845" s="1113">
        <f t="shared" si="2123"/>
        <v>96.20940228704282</v>
      </c>
      <c r="AE845" s="1406">
        <f t="shared" si="2123"/>
        <v>96.197041429640507</v>
      </c>
      <c r="AF845" s="1112">
        <f t="shared" si="2123"/>
        <v>78.391344843137801</v>
      </c>
    </row>
    <row r="846" spans="3:35" ht="35" hidden="1" customHeight="1" x14ac:dyDescent="0.35">
      <c r="C846" s="338"/>
      <c r="D846" s="8427">
        <v>37.03</v>
      </c>
      <c r="E846" s="3628" t="s">
        <v>179</v>
      </c>
      <c r="F846" s="308"/>
      <c r="G846" s="308"/>
      <c r="H846" s="3558"/>
      <c r="I846" s="308"/>
      <c r="J846" s="313">
        <f t="shared" ref="J846:J881" si="2128">SUM(H846:I846)</f>
        <v>0</v>
      </c>
      <c r="K846" s="308"/>
      <c r="L846" s="3560"/>
      <c r="M846" s="308"/>
      <c r="N846" s="2107"/>
      <c r="O846" s="308"/>
      <c r="P846" s="167"/>
      <c r="Q846" s="3030"/>
      <c r="R846" s="308"/>
      <c r="S846" s="2289"/>
      <c r="T846" s="308"/>
      <c r="U846" s="2289"/>
      <c r="V846" s="308"/>
      <c r="W846" s="169"/>
      <c r="X846" s="2367"/>
      <c r="Y846" s="308"/>
      <c r="Z846" s="2289"/>
      <c r="AA846" s="308"/>
      <c r="AB846" s="543"/>
      <c r="AC846" s="308"/>
      <c r="AD846" s="1313"/>
      <c r="AE846" s="1313"/>
      <c r="AF846" s="2489"/>
    </row>
    <row r="847" spans="3:35" ht="35" hidden="1" customHeight="1" x14ac:dyDescent="0.25">
      <c r="C847" s="338"/>
      <c r="D847" s="8425"/>
      <c r="E847" s="3957" t="s">
        <v>277</v>
      </c>
      <c r="F847" s="312">
        <v>0</v>
      </c>
      <c r="G847" s="312">
        <v>0</v>
      </c>
      <c r="H847" s="363">
        <f>+F847+G847</f>
        <v>0</v>
      </c>
      <c r="I847" s="312">
        <v>0</v>
      </c>
      <c r="J847" s="313">
        <f t="shared" si="2128"/>
        <v>0</v>
      </c>
      <c r="K847" s="312">
        <v>0</v>
      </c>
      <c r="L847" s="475">
        <f>+J847+K847</f>
        <v>0</v>
      </c>
      <c r="M847" s="312">
        <v>0</v>
      </c>
      <c r="N847" s="84">
        <f>+L847+M847</f>
        <v>0</v>
      </c>
      <c r="O847" s="312">
        <v>0</v>
      </c>
      <c r="P847" s="2188">
        <f>+K847+M847+O847</f>
        <v>0</v>
      </c>
      <c r="Q847" s="2133">
        <f>+N847+O847</f>
        <v>0</v>
      </c>
      <c r="R847" s="312">
        <v>0</v>
      </c>
      <c r="S847" s="2275">
        <f>+Q847+R847</f>
        <v>0</v>
      </c>
      <c r="T847" s="312">
        <v>0</v>
      </c>
      <c r="U847" s="2275">
        <f>+S847+T847</f>
        <v>0</v>
      </c>
      <c r="V847" s="312">
        <v>0</v>
      </c>
      <c r="W847" s="98">
        <f>+R847+T847+V847</f>
        <v>0</v>
      </c>
      <c r="X847" s="96">
        <f>+U847+V847</f>
        <v>0</v>
      </c>
      <c r="Y847" s="312">
        <v>0</v>
      </c>
      <c r="Z847" s="2275">
        <f>+X847+Y847</f>
        <v>0</v>
      </c>
      <c r="AA847" s="312">
        <v>0</v>
      </c>
      <c r="AB847" s="86">
        <f>+Z847+AA847</f>
        <v>0</v>
      </c>
      <c r="AC847" s="312">
        <v>0</v>
      </c>
      <c r="AD847" s="721">
        <f>+Y847+AA847+AC847</f>
        <v>0</v>
      </c>
      <c r="AE847" s="1290">
        <f>+W847+AD847</f>
        <v>0</v>
      </c>
      <c r="AF847" s="690">
        <f>+Q847+AE847</f>
        <v>0</v>
      </c>
    </row>
    <row r="848" spans="3:35" ht="35" hidden="1" customHeight="1" thickBot="1" x14ac:dyDescent="0.3">
      <c r="C848" s="338"/>
      <c r="D848" s="8425"/>
      <c r="E848" s="3958" t="s">
        <v>278</v>
      </c>
      <c r="F848" s="310">
        <v>0</v>
      </c>
      <c r="G848" s="310">
        <v>0</v>
      </c>
      <c r="H848" s="579">
        <f>+F848+G848</f>
        <v>0</v>
      </c>
      <c r="I848" s="310">
        <v>0</v>
      </c>
      <c r="J848" s="313">
        <f t="shared" si="2128"/>
        <v>0</v>
      </c>
      <c r="K848" s="310">
        <v>0</v>
      </c>
      <c r="L848" s="3588">
        <f>+J848+K848</f>
        <v>0</v>
      </c>
      <c r="M848" s="310">
        <v>0</v>
      </c>
      <c r="N848" s="84">
        <f>+L848+M848</f>
        <v>0</v>
      </c>
      <c r="O848" s="310">
        <v>0</v>
      </c>
      <c r="P848" s="2189">
        <f>+K848+M848+O848</f>
        <v>0</v>
      </c>
      <c r="Q848" s="2153">
        <f>+N848+O848</f>
        <v>0</v>
      </c>
      <c r="R848" s="310">
        <v>0</v>
      </c>
      <c r="S848" s="2275">
        <f>+Q848+R848</f>
        <v>0</v>
      </c>
      <c r="T848" s="310">
        <v>0</v>
      </c>
      <c r="U848" s="2275">
        <f>+S848+T848</f>
        <v>0</v>
      </c>
      <c r="V848" s="310">
        <v>0</v>
      </c>
      <c r="W848" s="134">
        <f>+V848+T848+R848</f>
        <v>0</v>
      </c>
      <c r="X848" s="97">
        <f>+V848+U848</f>
        <v>0</v>
      </c>
      <c r="Y848" s="310">
        <v>0</v>
      </c>
      <c r="Z848" s="2275">
        <f>+X848+Y848</f>
        <v>0</v>
      </c>
      <c r="AA848" s="310">
        <v>0</v>
      </c>
      <c r="AB848" s="86">
        <f>+Z848+AA848</f>
        <v>0</v>
      </c>
      <c r="AC848" s="310">
        <v>0</v>
      </c>
      <c r="AD848" s="721">
        <f>+Y848+AA848+AC848</f>
        <v>0</v>
      </c>
      <c r="AE848" s="1290">
        <f>+W848+AD848</f>
        <v>0</v>
      </c>
      <c r="AF848" s="690">
        <f>+Q848+AE848</f>
        <v>0</v>
      </c>
    </row>
    <row r="849" spans="1:38" ht="35" hidden="1" customHeight="1" thickBot="1" x14ac:dyDescent="0.3">
      <c r="C849" s="338"/>
      <c r="D849" s="8438"/>
      <c r="E849" s="3959" t="s">
        <v>15</v>
      </c>
      <c r="F849" s="309">
        <f>SUM(F847:F848)</f>
        <v>0</v>
      </c>
      <c r="G849" s="309">
        <f>SUM(G847:G848)</f>
        <v>0</v>
      </c>
      <c r="H849" s="417">
        <f>SUM(F849:G849)</f>
        <v>0</v>
      </c>
      <c r="I849" s="309">
        <f>SUM(I847:I848)</f>
        <v>0</v>
      </c>
      <c r="J849" s="313">
        <f t="shared" si="2128"/>
        <v>0</v>
      </c>
      <c r="K849" s="309">
        <f>SUM(K847:K848)</f>
        <v>0</v>
      </c>
      <c r="L849" s="482">
        <f t="shared" ref="L849:N849" si="2129">SUM(L847:L848)</f>
        <v>0</v>
      </c>
      <c r="M849" s="309">
        <f>SUM(M847:M848)</f>
        <v>0</v>
      </c>
      <c r="N849" s="99">
        <f t="shared" si="2129"/>
        <v>0</v>
      </c>
      <c r="O849" s="309">
        <f>SUM(O847:O848)</f>
        <v>0</v>
      </c>
      <c r="P849" s="2189">
        <f t="shared" ref="P849:X849" si="2130">SUM(P847:P848)</f>
        <v>0</v>
      </c>
      <c r="Q849" s="2153">
        <f t="shared" si="2130"/>
        <v>0</v>
      </c>
      <c r="R849" s="309">
        <f>SUM(R847:R848)</f>
        <v>0</v>
      </c>
      <c r="S849" s="2291">
        <f t="shared" si="2130"/>
        <v>0</v>
      </c>
      <c r="T849" s="309">
        <f>SUM(T847:T848)</f>
        <v>0</v>
      </c>
      <c r="U849" s="2291">
        <f t="shared" si="2130"/>
        <v>0</v>
      </c>
      <c r="V849" s="309">
        <f>SUM(V847:V848)</f>
        <v>0</v>
      </c>
      <c r="W849" s="100">
        <f t="shared" si="2130"/>
        <v>0</v>
      </c>
      <c r="X849" s="99">
        <f t="shared" si="2130"/>
        <v>0</v>
      </c>
      <c r="Y849" s="309">
        <f>SUM(Y847:Y848)</f>
        <v>0</v>
      </c>
      <c r="Z849" s="2291">
        <f t="shared" ref="Z849:AF849" si="2131">SUM(Z847:Z848)</f>
        <v>0</v>
      </c>
      <c r="AA849" s="309">
        <f>SUM(AA847:AA848)</f>
        <v>0</v>
      </c>
      <c r="AB849" s="99">
        <f t="shared" si="2131"/>
        <v>0</v>
      </c>
      <c r="AC849" s="309">
        <f>SUM(AC847:AC848)</f>
        <v>0</v>
      </c>
      <c r="AD849" s="573">
        <f t="shared" si="2131"/>
        <v>0</v>
      </c>
      <c r="AE849" s="1294">
        <f t="shared" si="2131"/>
        <v>0</v>
      </c>
      <c r="AF849" s="599">
        <f t="shared" si="2131"/>
        <v>0</v>
      </c>
    </row>
    <row r="850" spans="1:38" s="3170" customFormat="1" ht="35" customHeight="1" x14ac:dyDescent="0.25">
      <c r="C850" s="4215"/>
      <c r="D850" s="8425">
        <v>37.04</v>
      </c>
      <c r="E850" s="3421" t="s">
        <v>322</v>
      </c>
      <c r="F850" s="3637"/>
      <c r="G850" s="3637"/>
      <c r="H850" s="3628"/>
      <c r="I850" s="3637"/>
      <c r="J850" s="5684"/>
      <c r="K850" s="3637"/>
      <c r="L850" s="3628"/>
      <c r="M850" s="3637"/>
      <c r="N850" s="3628"/>
      <c r="O850" s="3637"/>
      <c r="P850" s="3628"/>
      <c r="Q850" s="3628"/>
      <c r="R850" s="3637"/>
      <c r="S850" s="3628"/>
      <c r="T850" s="3637"/>
      <c r="U850" s="3628"/>
      <c r="V850" s="3637"/>
      <c r="W850" s="3628"/>
      <c r="X850" s="3628"/>
      <c r="Y850" s="3637"/>
      <c r="Z850" s="3628"/>
      <c r="AA850" s="3637"/>
      <c r="AB850" s="3628"/>
      <c r="AC850" s="3637"/>
      <c r="AD850" s="3628"/>
      <c r="AE850" s="3628"/>
      <c r="AF850" s="3627"/>
      <c r="AG850" s="3380"/>
      <c r="AH850" s="3380"/>
      <c r="AI850" s="3380"/>
      <c r="AJ850" s="3380"/>
      <c r="AK850" s="3380"/>
      <c r="AL850" s="3380"/>
    </row>
    <row r="851" spans="1:38" ht="35" customHeight="1" x14ac:dyDescent="0.25">
      <c r="C851" s="338"/>
      <c r="D851" s="8425"/>
      <c r="E851" s="4318" t="s">
        <v>1635</v>
      </c>
      <c r="F851" s="3262"/>
      <c r="G851" s="3262"/>
      <c r="H851" s="472">
        <f>SUM(F851:G851)</f>
        <v>0</v>
      </c>
      <c r="I851" s="3262"/>
      <c r="J851" s="313">
        <f t="shared" si="2128"/>
        <v>0</v>
      </c>
      <c r="K851" s="3262"/>
      <c r="L851" s="475">
        <f>SUM(J851:K851)</f>
        <v>0</v>
      </c>
      <c r="M851" s="3262">
        <v>61.08</v>
      </c>
      <c r="N851" s="86">
        <f>SUM(L851:M851)</f>
        <v>61.08</v>
      </c>
      <c r="O851" s="3262">
        <v>59.379999999999995</v>
      </c>
      <c r="P851" s="304">
        <f t="shared" ref="P851" si="2132">+K851+M851+O851</f>
        <v>120.46</v>
      </c>
      <c r="Q851" s="2143">
        <f t="shared" ref="Q851" si="2133">+N851+O851</f>
        <v>120.46</v>
      </c>
      <c r="R851" s="3262"/>
      <c r="S851" s="86">
        <f>SUM(Q851:R851)</f>
        <v>120.46</v>
      </c>
      <c r="T851" s="3262"/>
      <c r="U851" s="86">
        <f t="shared" ref="U851:U901" si="2134">SUM(S851:T851)</f>
        <v>120.46</v>
      </c>
      <c r="V851" s="3262"/>
      <c r="W851" s="74">
        <f t="shared" ref="W851" si="2135">+R851+T851+V851</f>
        <v>0</v>
      </c>
      <c r="X851" s="78">
        <f t="shared" ref="X851" si="2136">+U851+V851</f>
        <v>120.46</v>
      </c>
      <c r="Y851" s="3262">
        <v>31.99</v>
      </c>
      <c r="Z851" s="86">
        <f t="shared" ref="Z851:Z901" si="2137">SUM(X851:Y851)</f>
        <v>152.44999999999999</v>
      </c>
      <c r="AA851" s="3262"/>
      <c r="AB851" s="1243">
        <f t="shared" ref="AB851:AB901" si="2138">SUM(Z851:AA851)</f>
        <v>152.44999999999999</v>
      </c>
      <c r="AC851" s="3262"/>
      <c r="AD851" s="713">
        <f t="shared" ref="AD851" si="2139">+Y851+AA851+AC851</f>
        <v>31.99</v>
      </c>
      <c r="AE851" s="1290">
        <f t="shared" ref="AE851" si="2140">+W851+AD851</f>
        <v>31.99</v>
      </c>
      <c r="AF851" s="712">
        <f t="shared" ref="AF851" si="2141">+AB851+AC851</f>
        <v>152.44999999999999</v>
      </c>
    </row>
    <row r="852" spans="1:38" ht="35" customHeight="1" x14ac:dyDescent="0.25">
      <c r="C852" s="338"/>
      <c r="D852" s="8425"/>
      <c r="E852" s="5144" t="s">
        <v>1852</v>
      </c>
      <c r="F852" s="3262"/>
      <c r="G852" s="3262"/>
      <c r="H852" s="472">
        <f t="shared" ref="H852:H900" si="2142">SUM(F852:G852)</f>
        <v>0</v>
      </c>
      <c r="I852" s="3262"/>
      <c r="J852" s="313">
        <f t="shared" si="2128"/>
        <v>0</v>
      </c>
      <c r="K852" s="3262"/>
      <c r="L852" s="475">
        <f t="shared" ref="L852:L900" si="2143">SUM(J852:K852)</f>
        <v>0</v>
      </c>
      <c r="M852" s="3262"/>
      <c r="N852" s="86"/>
      <c r="O852" s="3262"/>
      <c r="P852" s="304"/>
      <c r="Q852" s="2143"/>
      <c r="R852" s="3262"/>
      <c r="S852" s="86"/>
      <c r="T852" s="3262"/>
      <c r="U852" s="86"/>
      <c r="V852" s="3262"/>
      <c r="W852" s="74"/>
      <c r="X852" s="78"/>
      <c r="Y852" s="3262"/>
      <c r="Z852" s="86"/>
      <c r="AA852" s="3262"/>
      <c r="AB852" s="1243"/>
      <c r="AC852" s="3262">
        <v>185.1</v>
      </c>
      <c r="AD852" s="713">
        <f t="shared" ref="AD852" si="2144">+Y852+AA852+AC852</f>
        <v>185.1</v>
      </c>
      <c r="AE852" s="1290">
        <f t="shared" ref="AE852" si="2145">+W852+AD852</f>
        <v>185.1</v>
      </c>
      <c r="AF852" s="712">
        <f t="shared" ref="AF852" si="2146">+AB852+AC852</f>
        <v>185.1</v>
      </c>
      <c r="AG852" s="5126"/>
      <c r="AH852" s="5126"/>
      <c r="AI852" s="5126"/>
      <c r="AJ852" s="5126"/>
      <c r="AK852" s="5126"/>
      <c r="AL852" s="5126"/>
    </row>
    <row r="853" spans="1:38" ht="35" customHeight="1" x14ac:dyDescent="0.25">
      <c r="C853" s="338"/>
      <c r="D853" s="8425"/>
      <c r="E853" s="5144" t="s">
        <v>1851</v>
      </c>
      <c r="F853" s="3262"/>
      <c r="G853" s="3262"/>
      <c r="H853" s="472">
        <f t="shared" si="2142"/>
        <v>0</v>
      </c>
      <c r="I853" s="3262"/>
      <c r="J853" s="313">
        <f t="shared" si="2128"/>
        <v>0</v>
      </c>
      <c r="K853" s="3262"/>
      <c r="L853" s="475">
        <f t="shared" si="2143"/>
        <v>0</v>
      </c>
      <c r="M853" s="3262"/>
      <c r="N853" s="86"/>
      <c r="O853" s="3262"/>
      <c r="P853" s="304"/>
      <c r="Q853" s="2143"/>
      <c r="R853" s="3262"/>
      <c r="S853" s="86"/>
      <c r="T853" s="3262"/>
      <c r="U853" s="86"/>
      <c r="V853" s="3262"/>
      <c r="W853" s="74"/>
      <c r="X853" s="78"/>
      <c r="Y853" s="3262"/>
      <c r="Z853" s="86"/>
      <c r="AA853" s="3262"/>
      <c r="AB853" s="1243"/>
      <c r="AC853" s="3262">
        <v>187.26</v>
      </c>
      <c r="AD853" s="713">
        <f t="shared" ref="AD853" si="2147">+Y853+AA853+AC853</f>
        <v>187.26</v>
      </c>
      <c r="AE853" s="1290">
        <f t="shared" ref="AE853" si="2148">+W853+AD853</f>
        <v>187.26</v>
      </c>
      <c r="AF853" s="712">
        <f t="shared" ref="AF853" si="2149">+AB853+AC853</f>
        <v>187.26</v>
      </c>
      <c r="AG853" s="5126"/>
      <c r="AH853" s="5126"/>
      <c r="AI853" s="5126"/>
      <c r="AJ853" s="5126"/>
      <c r="AK853" s="5126"/>
      <c r="AL853" s="5126"/>
    </row>
    <row r="854" spans="1:38" ht="35" customHeight="1" x14ac:dyDescent="0.25">
      <c r="C854" s="338"/>
      <c r="D854" s="8425"/>
      <c r="E854" s="4318" t="s">
        <v>1682</v>
      </c>
      <c r="F854" s="3262"/>
      <c r="G854" s="3262"/>
      <c r="H854" s="472">
        <f t="shared" si="2142"/>
        <v>0</v>
      </c>
      <c r="I854" s="3262"/>
      <c r="J854" s="313">
        <f t="shared" si="2128"/>
        <v>0</v>
      </c>
      <c r="K854" s="3262"/>
      <c r="L854" s="475">
        <f t="shared" si="2143"/>
        <v>0</v>
      </c>
      <c r="M854" s="3262">
        <v>687.97</v>
      </c>
      <c r="N854" s="86">
        <f t="shared" ref="N854:N901" si="2150">SUM(L854:M854)</f>
        <v>687.97</v>
      </c>
      <c r="O854" s="3262">
        <v>0</v>
      </c>
      <c r="P854" s="304">
        <f t="shared" ref="P854:P901" si="2151">+K854+M854+O854</f>
        <v>687.97</v>
      </c>
      <c r="Q854" s="2143">
        <f t="shared" ref="Q854:Q901" si="2152">+N854+O854</f>
        <v>687.97</v>
      </c>
      <c r="R854" s="3262"/>
      <c r="S854" s="86">
        <f t="shared" ref="S854:S901" si="2153">SUM(Q854:R854)</f>
        <v>687.97</v>
      </c>
      <c r="T854" s="3262"/>
      <c r="U854" s="86">
        <f t="shared" si="2134"/>
        <v>687.97</v>
      </c>
      <c r="V854" s="3262"/>
      <c r="W854" s="74">
        <f t="shared" ref="W854:W901" si="2154">+R854+T854+V854</f>
        <v>0</v>
      </c>
      <c r="X854" s="78">
        <f t="shared" ref="X854:X901" si="2155">+U854+V854</f>
        <v>687.97</v>
      </c>
      <c r="Y854" s="3262"/>
      <c r="Z854" s="86">
        <f t="shared" si="2137"/>
        <v>687.97</v>
      </c>
      <c r="AA854" s="3262"/>
      <c r="AB854" s="1243">
        <f t="shared" si="2138"/>
        <v>687.97</v>
      </c>
      <c r="AC854" s="3262">
        <v>468.29999999999995</v>
      </c>
      <c r="AD854" s="713">
        <f t="shared" ref="AD854:AD901" si="2156">+Y854+AA854+AC854</f>
        <v>468.29999999999995</v>
      </c>
      <c r="AE854" s="1290">
        <f t="shared" ref="AE854:AE901" si="2157">+W854+AD854</f>
        <v>468.29999999999995</v>
      </c>
      <c r="AF854" s="712">
        <f t="shared" ref="AF854:AF901" si="2158">+AB854+AC854</f>
        <v>1156.27</v>
      </c>
    </row>
    <row r="855" spans="1:38" ht="35" customHeight="1" x14ac:dyDescent="0.25">
      <c r="C855" s="338"/>
      <c r="D855" s="8425"/>
      <c r="E855" s="4318" t="s">
        <v>1636</v>
      </c>
      <c r="F855" s="3262"/>
      <c r="G855" s="3262"/>
      <c r="H855" s="472">
        <f t="shared" si="2142"/>
        <v>0</v>
      </c>
      <c r="I855" s="3262"/>
      <c r="J855" s="313">
        <f t="shared" si="2128"/>
        <v>0</v>
      </c>
      <c r="K855" s="3262"/>
      <c r="L855" s="475">
        <f t="shared" si="2143"/>
        <v>0</v>
      </c>
      <c r="M855" s="3262">
        <v>0</v>
      </c>
      <c r="N855" s="86">
        <f t="shared" si="2150"/>
        <v>0</v>
      </c>
      <c r="O855" s="3262">
        <v>0</v>
      </c>
      <c r="P855" s="304">
        <f t="shared" si="2151"/>
        <v>0</v>
      </c>
      <c r="Q855" s="2143">
        <f t="shared" si="2152"/>
        <v>0</v>
      </c>
      <c r="R855" s="3262"/>
      <c r="S855" s="86">
        <f t="shared" si="2153"/>
        <v>0</v>
      </c>
      <c r="T855" s="3262"/>
      <c r="U855" s="86">
        <f t="shared" si="2134"/>
        <v>0</v>
      </c>
      <c r="V855" s="3262"/>
      <c r="W855" s="74">
        <f t="shared" si="2154"/>
        <v>0</v>
      </c>
      <c r="X855" s="78">
        <f t="shared" si="2155"/>
        <v>0</v>
      </c>
      <c r="Y855" s="3262"/>
      <c r="Z855" s="86">
        <f t="shared" si="2137"/>
        <v>0</v>
      </c>
      <c r="AA855" s="3262"/>
      <c r="AB855" s="1243">
        <f t="shared" si="2138"/>
        <v>0</v>
      </c>
      <c r="AC855" s="3262"/>
      <c r="AD855" s="713">
        <f t="shared" si="2156"/>
        <v>0</v>
      </c>
      <c r="AE855" s="1290">
        <f t="shared" si="2157"/>
        <v>0</v>
      </c>
      <c r="AF855" s="712">
        <f t="shared" si="2158"/>
        <v>0</v>
      </c>
    </row>
    <row r="856" spans="1:38" ht="35" customHeight="1" x14ac:dyDescent="0.25">
      <c r="C856" s="338"/>
      <c r="D856" s="8425"/>
      <c r="E856" s="4318" t="s">
        <v>1503</v>
      </c>
      <c r="F856" s="3262"/>
      <c r="G856" s="3262"/>
      <c r="H856" s="472">
        <f t="shared" si="2142"/>
        <v>0</v>
      </c>
      <c r="I856" s="3262"/>
      <c r="J856" s="313">
        <f t="shared" si="2128"/>
        <v>0</v>
      </c>
      <c r="K856" s="3262"/>
      <c r="L856" s="475">
        <f t="shared" si="2143"/>
        <v>0</v>
      </c>
      <c r="M856" s="3262">
        <v>2094.0300000000002</v>
      </c>
      <c r="N856" s="86">
        <f t="shared" si="2150"/>
        <v>2094.0300000000002</v>
      </c>
      <c r="O856" s="3262">
        <v>649.91999999999996</v>
      </c>
      <c r="P856" s="304">
        <f t="shared" si="2151"/>
        <v>2743.9500000000003</v>
      </c>
      <c r="Q856" s="2143">
        <f t="shared" si="2152"/>
        <v>2743.9500000000003</v>
      </c>
      <c r="R856" s="3262">
        <v>370.96000000000004</v>
      </c>
      <c r="S856" s="86">
        <f t="shared" si="2153"/>
        <v>3114.9100000000003</v>
      </c>
      <c r="T856" s="3262">
        <v>1204.31</v>
      </c>
      <c r="U856" s="86">
        <f t="shared" si="2134"/>
        <v>4319.22</v>
      </c>
      <c r="V856" s="3262">
        <v>25.9</v>
      </c>
      <c r="W856" s="74">
        <f t="shared" si="2154"/>
        <v>1601.17</v>
      </c>
      <c r="X856" s="78">
        <f t="shared" si="2155"/>
        <v>4345.12</v>
      </c>
      <c r="Y856" s="3262"/>
      <c r="Z856" s="86">
        <f t="shared" si="2137"/>
        <v>4345.12</v>
      </c>
      <c r="AA856" s="3262">
        <v>2779.9800000000005</v>
      </c>
      <c r="AB856" s="1243">
        <f t="shared" si="2138"/>
        <v>7125.1</v>
      </c>
      <c r="AC856" s="3262">
        <v>898.11099999999988</v>
      </c>
      <c r="AD856" s="713">
        <f t="shared" si="2156"/>
        <v>3678.0910000000003</v>
      </c>
      <c r="AE856" s="1290">
        <f t="shared" si="2157"/>
        <v>5279.2610000000004</v>
      </c>
      <c r="AF856" s="712">
        <f t="shared" si="2158"/>
        <v>8023.2110000000002</v>
      </c>
    </row>
    <row r="857" spans="1:38" ht="35" customHeight="1" x14ac:dyDescent="0.25">
      <c r="C857" s="338"/>
      <c r="D857" s="8425"/>
      <c r="E857" s="5144" t="s">
        <v>1853</v>
      </c>
      <c r="F857" s="3262"/>
      <c r="G857" s="3262"/>
      <c r="H857" s="472">
        <f t="shared" si="2142"/>
        <v>0</v>
      </c>
      <c r="I857" s="3262"/>
      <c r="J857" s="313">
        <f t="shared" si="2128"/>
        <v>0</v>
      </c>
      <c r="K857" s="3262"/>
      <c r="L857" s="475">
        <f t="shared" si="2143"/>
        <v>0</v>
      </c>
      <c r="M857" s="3262"/>
      <c r="N857" s="86"/>
      <c r="O857" s="3262"/>
      <c r="P857" s="304"/>
      <c r="Q857" s="2143"/>
      <c r="R857" s="3262"/>
      <c r="S857" s="86"/>
      <c r="T857" s="3262"/>
      <c r="U857" s="86"/>
      <c r="V857" s="3262"/>
      <c r="W857" s="74"/>
      <c r="X857" s="78"/>
      <c r="Y857" s="3262"/>
      <c r="Z857" s="86"/>
      <c r="AA857" s="3262"/>
      <c r="AB857" s="1243"/>
      <c r="AC857" s="3262">
        <v>309.89999999999998</v>
      </c>
      <c r="AD857" s="713">
        <f t="shared" ref="AD857" si="2159">+Y857+AA857+AC857</f>
        <v>309.89999999999998</v>
      </c>
      <c r="AE857" s="1290">
        <f t="shared" ref="AE857" si="2160">+W857+AD857</f>
        <v>309.89999999999998</v>
      </c>
      <c r="AF857" s="712">
        <f t="shared" ref="AF857" si="2161">+AB857+AC857</f>
        <v>309.89999999999998</v>
      </c>
      <c r="AG857" s="5126"/>
      <c r="AH857" s="5126"/>
      <c r="AI857" s="5126"/>
      <c r="AJ857" s="5126"/>
      <c r="AK857" s="5126"/>
      <c r="AL857" s="5126"/>
    </row>
    <row r="858" spans="1:38" ht="35" customHeight="1" x14ac:dyDescent="0.25">
      <c r="C858" s="338"/>
      <c r="D858" s="8425"/>
      <c r="E858" s="4607" t="s">
        <v>1728</v>
      </c>
      <c r="F858" s="3262"/>
      <c r="G858" s="3262"/>
      <c r="H858" s="472">
        <f t="shared" si="2142"/>
        <v>0</v>
      </c>
      <c r="I858" s="3262"/>
      <c r="J858" s="313">
        <f t="shared" si="2128"/>
        <v>0</v>
      </c>
      <c r="K858" s="3262"/>
      <c r="L858" s="475">
        <f t="shared" si="2143"/>
        <v>0</v>
      </c>
      <c r="M858" s="3262"/>
      <c r="N858" s="86">
        <f t="shared" si="2150"/>
        <v>0</v>
      </c>
      <c r="O858" s="3262"/>
      <c r="P858" s="304">
        <f t="shared" si="2151"/>
        <v>0</v>
      </c>
      <c r="Q858" s="2143">
        <f t="shared" si="2152"/>
        <v>0</v>
      </c>
      <c r="R858" s="3262">
        <v>28.68</v>
      </c>
      <c r="S858" s="86">
        <f t="shared" si="2153"/>
        <v>28.68</v>
      </c>
      <c r="T858" s="3262"/>
      <c r="U858" s="86">
        <f t="shared" si="2134"/>
        <v>28.68</v>
      </c>
      <c r="V858" s="3262"/>
      <c r="W858" s="74">
        <f t="shared" si="2154"/>
        <v>28.68</v>
      </c>
      <c r="X858" s="78">
        <f t="shared" si="2155"/>
        <v>28.68</v>
      </c>
      <c r="Y858" s="3262"/>
      <c r="Z858" s="86">
        <f t="shared" si="2137"/>
        <v>28.68</v>
      </c>
      <c r="AA858" s="3262"/>
      <c r="AB858" s="1243">
        <f t="shared" si="2138"/>
        <v>28.68</v>
      </c>
      <c r="AC858" s="3262">
        <v>30.58</v>
      </c>
      <c r="AD858" s="713">
        <f t="shared" si="2156"/>
        <v>30.58</v>
      </c>
      <c r="AE858" s="1290">
        <f t="shared" si="2157"/>
        <v>59.26</v>
      </c>
      <c r="AF858" s="712">
        <f t="shared" si="2158"/>
        <v>59.26</v>
      </c>
    </row>
    <row r="859" spans="1:38" ht="35" customHeight="1" x14ac:dyDescent="0.25">
      <c r="A859" s="14">
        <f>+R893+R897</f>
        <v>4772.2200000000012</v>
      </c>
      <c r="C859" s="338"/>
      <c r="D859" s="8425"/>
      <c r="E859" s="3960" t="s">
        <v>1501</v>
      </c>
      <c r="F859" s="3262"/>
      <c r="G859" s="3262"/>
      <c r="H859" s="472">
        <f t="shared" si="2142"/>
        <v>0</v>
      </c>
      <c r="I859" s="3262"/>
      <c r="J859" s="313">
        <f t="shared" si="2128"/>
        <v>0</v>
      </c>
      <c r="K859" s="3262"/>
      <c r="L859" s="475">
        <f t="shared" si="2143"/>
        <v>0</v>
      </c>
      <c r="M859" s="3262">
        <v>33.200000000000003</v>
      </c>
      <c r="N859" s="86">
        <f t="shared" si="2150"/>
        <v>33.200000000000003</v>
      </c>
      <c r="O859" s="3262">
        <v>2896.9500000000007</v>
      </c>
      <c r="P859" s="304">
        <f t="shared" si="2151"/>
        <v>2930.1500000000005</v>
      </c>
      <c r="Q859" s="2143">
        <f t="shared" si="2152"/>
        <v>2930.1500000000005</v>
      </c>
      <c r="R859" s="3262">
        <v>693.64</v>
      </c>
      <c r="S859" s="86">
        <f t="shared" si="2153"/>
        <v>3623.7900000000004</v>
      </c>
      <c r="T859" s="3262">
        <v>4244.53</v>
      </c>
      <c r="U859" s="86">
        <f t="shared" si="2134"/>
        <v>7868.32</v>
      </c>
      <c r="V859" s="3262">
        <v>3504.9090000000001</v>
      </c>
      <c r="W859" s="74">
        <f t="shared" si="2154"/>
        <v>8443.0789999999997</v>
      </c>
      <c r="X859" s="78">
        <f t="shared" si="2155"/>
        <v>11373.228999999999</v>
      </c>
      <c r="Y859" s="3262">
        <v>184.6</v>
      </c>
      <c r="Z859" s="86">
        <f t="shared" si="2137"/>
        <v>11557.829</v>
      </c>
      <c r="AA859" s="3262">
        <v>62.370000000000005</v>
      </c>
      <c r="AB859" s="1243">
        <f t="shared" si="2138"/>
        <v>11620.199000000001</v>
      </c>
      <c r="AC859" s="3262"/>
      <c r="AD859" s="713">
        <f t="shared" si="2156"/>
        <v>246.97</v>
      </c>
      <c r="AE859" s="1290">
        <f t="shared" si="2157"/>
        <v>8690.0489999999991</v>
      </c>
      <c r="AF859" s="712">
        <f t="shared" si="2158"/>
        <v>11620.199000000001</v>
      </c>
    </row>
    <row r="860" spans="1:38" ht="35" customHeight="1" x14ac:dyDescent="0.25">
      <c r="A860" s="14"/>
      <c r="C860" s="338"/>
      <c r="D860" s="8425"/>
      <c r="E860" s="3960" t="s">
        <v>1502</v>
      </c>
      <c r="F860" s="3262"/>
      <c r="G860" s="3262"/>
      <c r="H860" s="472">
        <f t="shared" si="2142"/>
        <v>0</v>
      </c>
      <c r="I860" s="3262"/>
      <c r="J860" s="313">
        <f t="shared" si="2128"/>
        <v>0</v>
      </c>
      <c r="K860" s="3262"/>
      <c r="L860" s="475">
        <f t="shared" si="2143"/>
        <v>0</v>
      </c>
      <c r="M860" s="3262">
        <v>0</v>
      </c>
      <c r="N860" s="86">
        <f t="shared" si="2150"/>
        <v>0</v>
      </c>
      <c r="O860" s="3262">
        <v>0</v>
      </c>
      <c r="P860" s="304">
        <f t="shared" si="2151"/>
        <v>0</v>
      </c>
      <c r="Q860" s="2143">
        <f t="shared" si="2152"/>
        <v>0</v>
      </c>
      <c r="R860" s="3262"/>
      <c r="S860" s="86">
        <f t="shared" si="2153"/>
        <v>0</v>
      </c>
      <c r="T860" s="3262">
        <v>44.69</v>
      </c>
      <c r="U860" s="86">
        <f t="shared" si="2134"/>
        <v>44.69</v>
      </c>
      <c r="V860" s="3262"/>
      <c r="W860" s="74">
        <f t="shared" si="2154"/>
        <v>44.69</v>
      </c>
      <c r="X860" s="78">
        <f t="shared" si="2155"/>
        <v>44.69</v>
      </c>
      <c r="Y860" s="3262">
        <v>2772.16</v>
      </c>
      <c r="Z860" s="86">
        <f t="shared" si="2137"/>
        <v>2816.85</v>
      </c>
      <c r="AA860" s="3262"/>
      <c r="AB860" s="1243">
        <f t="shared" si="2138"/>
        <v>2816.85</v>
      </c>
      <c r="AC860" s="3262"/>
      <c r="AD860" s="713">
        <f t="shared" si="2156"/>
        <v>2772.16</v>
      </c>
      <c r="AE860" s="1290">
        <f t="shared" si="2157"/>
        <v>2816.85</v>
      </c>
      <c r="AF860" s="712">
        <f t="shared" si="2158"/>
        <v>2816.85</v>
      </c>
    </row>
    <row r="861" spans="1:38" ht="35" customHeight="1" x14ac:dyDescent="0.25">
      <c r="C861" s="338"/>
      <c r="D861" s="8425"/>
      <c r="E861" s="4607" t="s">
        <v>1759</v>
      </c>
      <c r="F861" s="3262"/>
      <c r="G861" s="3262"/>
      <c r="H861" s="472">
        <f t="shared" si="2142"/>
        <v>0</v>
      </c>
      <c r="I861" s="3262"/>
      <c r="J861" s="313">
        <f t="shared" si="2128"/>
        <v>0</v>
      </c>
      <c r="K861" s="3262"/>
      <c r="L861" s="475">
        <f t="shared" si="2143"/>
        <v>0</v>
      </c>
      <c r="M861" s="3262">
        <v>0</v>
      </c>
      <c r="N861" s="86">
        <f t="shared" si="2150"/>
        <v>0</v>
      </c>
      <c r="O861" s="3262">
        <v>0</v>
      </c>
      <c r="P861" s="304">
        <f t="shared" si="2151"/>
        <v>0</v>
      </c>
      <c r="Q861" s="2143">
        <f t="shared" si="2152"/>
        <v>0</v>
      </c>
      <c r="R861" s="3262"/>
      <c r="S861" s="86">
        <f t="shared" si="2153"/>
        <v>0</v>
      </c>
      <c r="T861" s="3262"/>
      <c r="U861" s="86">
        <f t="shared" si="2134"/>
        <v>0</v>
      </c>
      <c r="V861" s="3262">
        <v>489.99000000000007</v>
      </c>
      <c r="W861" s="74">
        <f t="shared" si="2154"/>
        <v>489.99000000000007</v>
      </c>
      <c r="X861" s="78">
        <f t="shared" si="2155"/>
        <v>489.99000000000007</v>
      </c>
      <c r="Y861" s="3262">
        <v>55.32</v>
      </c>
      <c r="Z861" s="86">
        <f t="shared" si="2137"/>
        <v>545.31000000000006</v>
      </c>
      <c r="AA861" s="3262"/>
      <c r="AB861" s="1243">
        <f t="shared" si="2138"/>
        <v>545.31000000000006</v>
      </c>
      <c r="AC861" s="3262"/>
      <c r="AD861" s="713">
        <f t="shared" si="2156"/>
        <v>55.32</v>
      </c>
      <c r="AE861" s="1290">
        <f t="shared" si="2157"/>
        <v>545.31000000000006</v>
      </c>
      <c r="AF861" s="712">
        <f t="shared" si="2158"/>
        <v>545.31000000000006</v>
      </c>
    </row>
    <row r="862" spans="1:38" ht="34.5" customHeight="1" x14ac:dyDescent="0.25">
      <c r="C862" s="338"/>
      <c r="D862" s="8425"/>
      <c r="E862" s="4607" t="s">
        <v>1499</v>
      </c>
      <c r="F862" s="3262"/>
      <c r="G862" s="3262"/>
      <c r="H862" s="472">
        <f t="shared" si="2142"/>
        <v>0</v>
      </c>
      <c r="I862" s="3262"/>
      <c r="J862" s="313">
        <f t="shared" si="2128"/>
        <v>0</v>
      </c>
      <c r="K862" s="3262"/>
      <c r="L862" s="475">
        <f t="shared" si="2143"/>
        <v>0</v>
      </c>
      <c r="M862" s="3262">
        <v>33.11</v>
      </c>
      <c r="N862" s="86">
        <f t="shared" si="2150"/>
        <v>33.11</v>
      </c>
      <c r="O862" s="3262">
        <v>2150.4300000000003</v>
      </c>
      <c r="P862" s="304">
        <f t="shared" si="2151"/>
        <v>2183.5400000000004</v>
      </c>
      <c r="Q862" s="2143">
        <f t="shared" si="2152"/>
        <v>2183.5400000000004</v>
      </c>
      <c r="R862" s="3262">
        <f>156.55+3307.05</f>
        <v>3463.6000000000004</v>
      </c>
      <c r="S862" s="86">
        <f t="shared" si="2153"/>
        <v>5647.1400000000012</v>
      </c>
      <c r="T862" s="3262">
        <v>1917.14</v>
      </c>
      <c r="U862" s="86">
        <f t="shared" si="2134"/>
        <v>7564.2800000000016</v>
      </c>
      <c r="V862" s="3262">
        <v>5498.5499999999975</v>
      </c>
      <c r="W862" s="74">
        <f t="shared" si="2154"/>
        <v>10879.289999999997</v>
      </c>
      <c r="X862" s="78">
        <f t="shared" si="2155"/>
        <v>13062.829999999998</v>
      </c>
      <c r="Y862" s="3262">
        <f>8829.12000000001-61.84</f>
        <v>8767.2800000000097</v>
      </c>
      <c r="Z862" s="86">
        <f t="shared" si="2137"/>
        <v>21830.110000000008</v>
      </c>
      <c r="AA862" s="3262"/>
      <c r="AB862" s="1243">
        <f t="shared" si="2138"/>
        <v>21830.110000000008</v>
      </c>
      <c r="AC862" s="3262"/>
      <c r="AD862" s="713">
        <f t="shared" si="2156"/>
        <v>8767.2800000000097</v>
      </c>
      <c r="AE862" s="1290">
        <f t="shared" si="2157"/>
        <v>19646.570000000007</v>
      </c>
      <c r="AF862" s="712">
        <f t="shared" si="2158"/>
        <v>21830.110000000008</v>
      </c>
    </row>
    <row r="863" spans="1:38" ht="35" customHeight="1" x14ac:dyDescent="0.25">
      <c r="C863" s="338"/>
      <c r="D863" s="8425"/>
      <c r="E863" s="4607" t="s">
        <v>1500</v>
      </c>
      <c r="F863" s="3262"/>
      <c r="G863" s="3262"/>
      <c r="H863" s="472">
        <f t="shared" si="2142"/>
        <v>0</v>
      </c>
      <c r="I863" s="3262"/>
      <c r="J863" s="313">
        <f t="shared" si="2128"/>
        <v>0</v>
      </c>
      <c r="K863" s="3262"/>
      <c r="L863" s="475">
        <f t="shared" si="2143"/>
        <v>0</v>
      </c>
      <c r="M863" s="3262">
        <v>0</v>
      </c>
      <c r="N863" s="86">
        <f t="shared" si="2150"/>
        <v>0</v>
      </c>
      <c r="O863" s="3262">
        <v>0</v>
      </c>
      <c r="P863" s="304">
        <f t="shared" si="2151"/>
        <v>0</v>
      </c>
      <c r="Q863" s="2143">
        <f t="shared" si="2152"/>
        <v>0</v>
      </c>
      <c r="R863" s="3262"/>
      <c r="S863" s="86">
        <f t="shared" si="2153"/>
        <v>0</v>
      </c>
      <c r="T863" s="3262"/>
      <c r="U863" s="86">
        <f t="shared" si="2134"/>
        <v>0</v>
      </c>
      <c r="V863" s="3262"/>
      <c r="W863" s="74">
        <f t="shared" si="2154"/>
        <v>0</v>
      </c>
      <c r="X863" s="78">
        <f t="shared" si="2155"/>
        <v>0</v>
      </c>
      <c r="Y863" s="3262"/>
      <c r="Z863" s="86">
        <f t="shared" si="2137"/>
        <v>0</v>
      </c>
      <c r="AA863" s="3262"/>
      <c r="AB863" s="1243">
        <f t="shared" si="2138"/>
        <v>0</v>
      </c>
      <c r="AC863" s="3262"/>
      <c r="AD863" s="713">
        <f t="shared" si="2156"/>
        <v>0</v>
      </c>
      <c r="AE863" s="1290">
        <f t="shared" si="2157"/>
        <v>0</v>
      </c>
      <c r="AF863" s="712">
        <f t="shared" si="2158"/>
        <v>0</v>
      </c>
    </row>
    <row r="864" spans="1:38" ht="34.5" customHeight="1" x14ac:dyDescent="0.25">
      <c r="C864" s="338"/>
      <c r="D864" s="8425"/>
      <c r="E864" s="4607" t="s">
        <v>1762</v>
      </c>
      <c r="F864" s="3262"/>
      <c r="G864" s="3262"/>
      <c r="H864" s="472">
        <f t="shared" si="2142"/>
        <v>0</v>
      </c>
      <c r="I864" s="3262"/>
      <c r="J864" s="313">
        <f t="shared" si="2128"/>
        <v>0</v>
      </c>
      <c r="K864" s="3262"/>
      <c r="L864" s="475">
        <f t="shared" si="2143"/>
        <v>0</v>
      </c>
      <c r="M864" s="3262">
        <v>0</v>
      </c>
      <c r="N864" s="86">
        <f t="shared" si="2150"/>
        <v>0</v>
      </c>
      <c r="O864" s="3262">
        <v>0</v>
      </c>
      <c r="P864" s="304">
        <f t="shared" si="2151"/>
        <v>0</v>
      </c>
      <c r="Q864" s="2143">
        <f t="shared" si="2152"/>
        <v>0</v>
      </c>
      <c r="R864" s="3262"/>
      <c r="S864" s="86">
        <f t="shared" si="2153"/>
        <v>0</v>
      </c>
      <c r="T864" s="3262"/>
      <c r="U864" s="86">
        <f t="shared" si="2134"/>
        <v>0</v>
      </c>
      <c r="V864" s="3262">
        <v>30.93</v>
      </c>
      <c r="W864" s="74">
        <f t="shared" si="2154"/>
        <v>30.93</v>
      </c>
      <c r="X864" s="78">
        <f t="shared" si="2155"/>
        <v>30.93</v>
      </c>
      <c r="Y864" s="3262"/>
      <c r="Z864" s="86">
        <f t="shared" si="2137"/>
        <v>30.93</v>
      </c>
      <c r="AA864" s="3262"/>
      <c r="AB864" s="1243">
        <f t="shared" si="2138"/>
        <v>30.93</v>
      </c>
      <c r="AC864" s="3262"/>
      <c r="AD864" s="713">
        <f t="shared" si="2156"/>
        <v>0</v>
      </c>
      <c r="AE864" s="1290">
        <f t="shared" si="2157"/>
        <v>30.93</v>
      </c>
      <c r="AF864" s="712">
        <f t="shared" si="2158"/>
        <v>30.93</v>
      </c>
    </row>
    <row r="865" spans="3:32" ht="35" customHeight="1" x14ac:dyDescent="0.25">
      <c r="C865" s="338"/>
      <c r="D865" s="8425"/>
      <c r="E865" s="4607" t="s">
        <v>1577</v>
      </c>
      <c r="F865" s="3262"/>
      <c r="G865" s="3262"/>
      <c r="H865" s="472">
        <f t="shared" si="2142"/>
        <v>0</v>
      </c>
      <c r="I865" s="3262"/>
      <c r="J865" s="313">
        <f t="shared" si="2128"/>
        <v>0</v>
      </c>
      <c r="K865" s="3262"/>
      <c r="L865" s="475">
        <f t="shared" si="2143"/>
        <v>0</v>
      </c>
      <c r="M865" s="3262">
        <f>184.02+609.64</f>
        <v>793.66</v>
      </c>
      <c r="N865" s="86">
        <f t="shared" si="2150"/>
        <v>793.66</v>
      </c>
      <c r="O865" s="3262">
        <v>449.00000000000006</v>
      </c>
      <c r="P865" s="304">
        <f t="shared" si="2151"/>
        <v>1242.6600000000001</v>
      </c>
      <c r="Q865" s="2143">
        <f t="shared" si="2152"/>
        <v>1242.6600000000001</v>
      </c>
      <c r="R865" s="3262">
        <v>77.91</v>
      </c>
      <c r="S865" s="86">
        <f t="shared" si="2153"/>
        <v>1320.5700000000002</v>
      </c>
      <c r="T865" s="3262">
        <v>121.07000000000001</v>
      </c>
      <c r="U865" s="86">
        <f t="shared" si="2134"/>
        <v>1441.64</v>
      </c>
      <c r="V865" s="3262">
        <v>1377.2099999999998</v>
      </c>
      <c r="W865" s="74">
        <f t="shared" si="2154"/>
        <v>1576.1899999999998</v>
      </c>
      <c r="X865" s="78">
        <f t="shared" si="2155"/>
        <v>2818.85</v>
      </c>
      <c r="Y865" s="3262">
        <v>1262.0980000000002</v>
      </c>
      <c r="Z865" s="86">
        <f t="shared" si="2137"/>
        <v>4080.9480000000003</v>
      </c>
      <c r="AA865" s="3262"/>
      <c r="AB865" s="1243">
        <f t="shared" si="2138"/>
        <v>4080.9480000000003</v>
      </c>
      <c r="AC865" s="3262"/>
      <c r="AD865" s="713">
        <f t="shared" si="2156"/>
        <v>1262.0980000000002</v>
      </c>
      <c r="AE865" s="1290">
        <f t="shared" si="2157"/>
        <v>2838.288</v>
      </c>
      <c r="AF865" s="712">
        <f t="shared" si="2158"/>
        <v>4080.9480000000003</v>
      </c>
    </row>
    <row r="866" spans="3:32" ht="34.5" customHeight="1" x14ac:dyDescent="0.25">
      <c r="C866" s="338"/>
      <c r="D866" s="8425"/>
      <c r="E866" s="4607" t="s">
        <v>1509</v>
      </c>
      <c r="F866" s="3262"/>
      <c r="G866" s="3262"/>
      <c r="H866" s="472">
        <f t="shared" si="2142"/>
        <v>0</v>
      </c>
      <c r="I866" s="3262"/>
      <c r="J866" s="313">
        <f t="shared" si="2128"/>
        <v>0</v>
      </c>
      <c r="K866" s="3262"/>
      <c r="L866" s="475">
        <f t="shared" si="2143"/>
        <v>0</v>
      </c>
      <c r="M866" s="3262">
        <v>0</v>
      </c>
      <c r="N866" s="86">
        <f t="shared" si="2150"/>
        <v>0</v>
      </c>
      <c r="O866" s="3262">
        <v>0</v>
      </c>
      <c r="P866" s="304">
        <f t="shared" si="2151"/>
        <v>0</v>
      </c>
      <c r="Q866" s="2143">
        <f t="shared" si="2152"/>
        <v>0</v>
      </c>
      <c r="R866" s="3262">
        <v>1806.7799999999995</v>
      </c>
      <c r="S866" s="86">
        <f t="shared" si="2153"/>
        <v>1806.7799999999995</v>
      </c>
      <c r="T866" s="3262">
        <v>5260.1600000000008</v>
      </c>
      <c r="U866" s="86">
        <f t="shared" si="2134"/>
        <v>7066.9400000000005</v>
      </c>
      <c r="V866" s="3262">
        <v>2866.7389999999996</v>
      </c>
      <c r="W866" s="74">
        <f t="shared" si="2154"/>
        <v>9933.6790000000001</v>
      </c>
      <c r="X866" s="78">
        <f t="shared" si="2155"/>
        <v>9933.6790000000001</v>
      </c>
      <c r="Y866" s="3262">
        <v>4469.2219999999988</v>
      </c>
      <c r="Z866" s="86">
        <f t="shared" si="2137"/>
        <v>14402.900999999998</v>
      </c>
      <c r="AA866" s="3262">
        <v>1407.98</v>
      </c>
      <c r="AB866" s="1243">
        <f t="shared" si="2138"/>
        <v>15810.880999999998</v>
      </c>
      <c r="AC866" s="3262">
        <v>250.67000000000002</v>
      </c>
      <c r="AD866" s="713">
        <f t="shared" si="2156"/>
        <v>6127.8719999999994</v>
      </c>
      <c r="AE866" s="1290">
        <f t="shared" si="2157"/>
        <v>16061.550999999999</v>
      </c>
      <c r="AF866" s="712">
        <f t="shared" si="2158"/>
        <v>16061.550999999998</v>
      </c>
    </row>
    <row r="867" spans="3:32" ht="34.5" customHeight="1" x14ac:dyDescent="0.25">
      <c r="C867" s="338"/>
      <c r="D867" s="8425"/>
      <c r="E867" s="4607" t="s">
        <v>1809</v>
      </c>
      <c r="F867" s="3262"/>
      <c r="G867" s="3262"/>
      <c r="H867" s="472">
        <f t="shared" si="2142"/>
        <v>0</v>
      </c>
      <c r="I867" s="3262"/>
      <c r="J867" s="313">
        <f t="shared" si="2128"/>
        <v>0</v>
      </c>
      <c r="K867" s="3262"/>
      <c r="L867" s="475">
        <f t="shared" si="2143"/>
        <v>0</v>
      </c>
      <c r="M867" s="3262"/>
      <c r="N867" s="86"/>
      <c r="O867" s="3262"/>
      <c r="P867" s="304"/>
      <c r="Q867" s="2143"/>
      <c r="R867" s="3262"/>
      <c r="S867" s="86"/>
      <c r="T867" s="3262"/>
      <c r="U867" s="86"/>
      <c r="V867" s="3262"/>
      <c r="W867" s="74"/>
      <c r="X867" s="78"/>
      <c r="Y867" s="3262"/>
      <c r="Z867" s="86"/>
      <c r="AA867" s="3262">
        <v>62.08</v>
      </c>
      <c r="AB867" s="1243">
        <f t="shared" si="2138"/>
        <v>62.08</v>
      </c>
      <c r="AC867" s="3262">
        <v>309.16000000000003</v>
      </c>
      <c r="AD867" s="713">
        <f t="shared" si="2156"/>
        <v>371.24</v>
      </c>
      <c r="AE867" s="1290">
        <f t="shared" si="2157"/>
        <v>371.24</v>
      </c>
      <c r="AF867" s="712">
        <f t="shared" si="2158"/>
        <v>371.24</v>
      </c>
    </row>
    <row r="868" spans="3:32" ht="34.5" customHeight="1" x14ac:dyDescent="0.25">
      <c r="C868" s="338"/>
      <c r="D868" s="8425"/>
      <c r="E868" s="4607" t="s">
        <v>1807</v>
      </c>
      <c r="F868" s="3262"/>
      <c r="G868" s="3262"/>
      <c r="H868" s="472">
        <f t="shared" si="2142"/>
        <v>0</v>
      </c>
      <c r="I868" s="3262"/>
      <c r="J868" s="313">
        <f t="shared" si="2128"/>
        <v>0</v>
      </c>
      <c r="K868" s="3262"/>
      <c r="L868" s="475">
        <f t="shared" si="2143"/>
        <v>0</v>
      </c>
      <c r="M868" s="3262"/>
      <c r="N868" s="86"/>
      <c r="O868" s="3262"/>
      <c r="P868" s="304"/>
      <c r="Q868" s="2143"/>
      <c r="R868" s="3262"/>
      <c r="S868" s="86"/>
      <c r="T868" s="3262"/>
      <c r="U868" s="86"/>
      <c r="V868" s="3262"/>
      <c r="W868" s="74"/>
      <c r="X868" s="78"/>
      <c r="Y868" s="3262"/>
      <c r="Z868" s="86"/>
      <c r="AA868" s="3262">
        <v>124.28</v>
      </c>
      <c r="AB868" s="1243">
        <f t="shared" si="2138"/>
        <v>124.28</v>
      </c>
      <c r="AC868" s="3262">
        <v>124.86</v>
      </c>
      <c r="AD868" s="713">
        <f t="shared" si="2156"/>
        <v>249.14</v>
      </c>
      <c r="AE868" s="1290">
        <f t="shared" si="2157"/>
        <v>249.14</v>
      </c>
      <c r="AF868" s="712">
        <f t="shared" si="2158"/>
        <v>249.14</v>
      </c>
    </row>
    <row r="869" spans="3:32" ht="34.5" customHeight="1" x14ac:dyDescent="0.25">
      <c r="C869" s="338"/>
      <c r="D869" s="8425"/>
      <c r="E869" s="4607" t="s">
        <v>1808</v>
      </c>
      <c r="F869" s="3262"/>
      <c r="G869" s="3262"/>
      <c r="H869" s="472">
        <f t="shared" si="2142"/>
        <v>0</v>
      </c>
      <c r="I869" s="3262"/>
      <c r="J869" s="313">
        <f t="shared" si="2128"/>
        <v>0</v>
      </c>
      <c r="K869" s="3262"/>
      <c r="L869" s="475">
        <f t="shared" si="2143"/>
        <v>0</v>
      </c>
      <c r="M869" s="3262"/>
      <c r="N869" s="86"/>
      <c r="O869" s="3262"/>
      <c r="P869" s="304"/>
      <c r="Q869" s="2143"/>
      <c r="R869" s="3262"/>
      <c r="S869" s="86"/>
      <c r="T869" s="3262"/>
      <c r="U869" s="86"/>
      <c r="V869" s="3262"/>
      <c r="W869" s="74"/>
      <c r="X869" s="78"/>
      <c r="Y869" s="3262"/>
      <c r="Z869" s="86"/>
      <c r="AA869" s="3262">
        <v>96.09</v>
      </c>
      <c r="AB869" s="1243">
        <f t="shared" si="2138"/>
        <v>96.09</v>
      </c>
      <c r="AC869" s="3262">
        <v>216.57999999999998</v>
      </c>
      <c r="AD869" s="713">
        <f t="shared" si="2156"/>
        <v>312.66999999999996</v>
      </c>
      <c r="AE869" s="1290">
        <f t="shared" si="2157"/>
        <v>312.66999999999996</v>
      </c>
      <c r="AF869" s="712">
        <f t="shared" si="2158"/>
        <v>312.66999999999996</v>
      </c>
    </row>
    <row r="870" spans="3:32" ht="35" customHeight="1" x14ac:dyDescent="0.25">
      <c r="C870" s="338"/>
      <c r="D870" s="8425"/>
      <c r="E870" s="4607" t="s">
        <v>1510</v>
      </c>
      <c r="F870" s="3262"/>
      <c r="G870" s="3262"/>
      <c r="H870" s="472">
        <f t="shared" si="2142"/>
        <v>0</v>
      </c>
      <c r="I870" s="3262"/>
      <c r="J870" s="313">
        <f t="shared" si="2128"/>
        <v>0</v>
      </c>
      <c r="K870" s="3262"/>
      <c r="L870" s="475">
        <f t="shared" si="2143"/>
        <v>0</v>
      </c>
      <c r="M870" s="3262">
        <v>0</v>
      </c>
      <c r="N870" s="86">
        <f t="shared" si="2150"/>
        <v>0</v>
      </c>
      <c r="O870" s="3262">
        <v>735.97</v>
      </c>
      <c r="P870" s="304">
        <f t="shared" si="2151"/>
        <v>735.97</v>
      </c>
      <c r="Q870" s="2143">
        <f t="shared" si="2152"/>
        <v>735.97</v>
      </c>
      <c r="R870" s="3262">
        <v>97.9</v>
      </c>
      <c r="S870" s="86">
        <f t="shared" si="2153"/>
        <v>833.87</v>
      </c>
      <c r="T870" s="3262">
        <v>814.74000000000024</v>
      </c>
      <c r="U870" s="86">
        <f t="shared" si="2134"/>
        <v>1648.6100000000001</v>
      </c>
      <c r="V870" s="3262">
        <v>1280.52</v>
      </c>
      <c r="W870" s="74">
        <f t="shared" si="2154"/>
        <v>2193.1600000000003</v>
      </c>
      <c r="X870" s="78">
        <f t="shared" si="2155"/>
        <v>2929.13</v>
      </c>
      <c r="Y870" s="3262"/>
      <c r="Z870" s="86">
        <f t="shared" si="2137"/>
        <v>2929.13</v>
      </c>
      <c r="AA870" s="3262">
        <v>632.69000000000005</v>
      </c>
      <c r="AB870" s="1243">
        <f t="shared" si="2138"/>
        <v>3561.82</v>
      </c>
      <c r="AC870" s="3262">
        <v>1229.1799999999998</v>
      </c>
      <c r="AD870" s="713">
        <f t="shared" si="2156"/>
        <v>1861.87</v>
      </c>
      <c r="AE870" s="1290">
        <f t="shared" si="2157"/>
        <v>4055.03</v>
      </c>
      <c r="AF870" s="712">
        <f t="shared" si="2158"/>
        <v>4791</v>
      </c>
    </row>
    <row r="871" spans="3:32" ht="35" customHeight="1" x14ac:dyDescent="0.25">
      <c r="C871" s="338"/>
      <c r="D871" s="8425"/>
      <c r="E871" s="4607" t="s">
        <v>1810</v>
      </c>
      <c r="F871" s="3262"/>
      <c r="G871" s="3262"/>
      <c r="H871" s="472">
        <f t="shared" si="2142"/>
        <v>0</v>
      </c>
      <c r="I871" s="3262"/>
      <c r="J871" s="313">
        <f t="shared" si="2128"/>
        <v>0</v>
      </c>
      <c r="K871" s="3262"/>
      <c r="L871" s="475">
        <f t="shared" si="2143"/>
        <v>0</v>
      </c>
      <c r="M871" s="3262">
        <v>33.01</v>
      </c>
      <c r="N871" s="86">
        <f t="shared" si="2150"/>
        <v>33.01</v>
      </c>
      <c r="O871" s="3262">
        <v>0</v>
      </c>
      <c r="P871" s="304">
        <f t="shared" si="2151"/>
        <v>33.01</v>
      </c>
      <c r="Q871" s="2143">
        <f t="shared" si="2152"/>
        <v>33.01</v>
      </c>
      <c r="R871" s="3262"/>
      <c r="S871" s="86">
        <f t="shared" si="2153"/>
        <v>33.01</v>
      </c>
      <c r="T871" s="3262"/>
      <c r="U871" s="86">
        <f t="shared" si="2134"/>
        <v>33.01</v>
      </c>
      <c r="V871" s="3262">
        <v>308.15999999999997</v>
      </c>
      <c r="W871" s="74">
        <f t="shared" si="2154"/>
        <v>308.15999999999997</v>
      </c>
      <c r="X871" s="78">
        <f t="shared" si="2155"/>
        <v>341.16999999999996</v>
      </c>
      <c r="Y871" s="3262">
        <v>428.74</v>
      </c>
      <c r="Z871" s="86">
        <f t="shared" si="2137"/>
        <v>769.91</v>
      </c>
      <c r="AA871" s="3262">
        <v>62.1</v>
      </c>
      <c r="AB871" s="1243">
        <f t="shared" si="2138"/>
        <v>832.01</v>
      </c>
      <c r="AC871" s="3262"/>
      <c r="AD871" s="713">
        <f t="shared" si="2156"/>
        <v>490.84000000000003</v>
      </c>
      <c r="AE871" s="1290">
        <f t="shared" si="2157"/>
        <v>799</v>
      </c>
      <c r="AF871" s="712">
        <f t="shared" si="2158"/>
        <v>832.01</v>
      </c>
    </row>
    <row r="872" spans="3:32" ht="35" customHeight="1" x14ac:dyDescent="0.25">
      <c r="C872" s="338"/>
      <c r="D872" s="8425"/>
      <c r="E872" s="4607" t="s">
        <v>1556</v>
      </c>
      <c r="F872" s="3262"/>
      <c r="G872" s="3262"/>
      <c r="H872" s="472">
        <f t="shared" si="2142"/>
        <v>0</v>
      </c>
      <c r="I872" s="3262"/>
      <c r="J872" s="313">
        <f t="shared" si="2128"/>
        <v>0</v>
      </c>
      <c r="K872" s="3262"/>
      <c r="L872" s="475">
        <f t="shared" si="2143"/>
        <v>0</v>
      </c>
      <c r="M872" s="3262">
        <v>0</v>
      </c>
      <c r="N872" s="86">
        <f t="shared" si="2150"/>
        <v>0</v>
      </c>
      <c r="O872" s="3262">
        <v>0</v>
      </c>
      <c r="P872" s="304">
        <f t="shared" si="2151"/>
        <v>0</v>
      </c>
      <c r="Q872" s="2143">
        <f t="shared" si="2152"/>
        <v>0</v>
      </c>
      <c r="R872" s="3262">
        <v>2773.2000000000007</v>
      </c>
      <c r="S872" s="86">
        <f t="shared" si="2153"/>
        <v>2773.2000000000007</v>
      </c>
      <c r="T872" s="3262"/>
      <c r="U872" s="86">
        <f t="shared" si="2134"/>
        <v>2773.2000000000007</v>
      </c>
      <c r="V872" s="3262"/>
      <c r="W872" s="74">
        <f t="shared" si="2154"/>
        <v>2773.2000000000007</v>
      </c>
      <c r="X872" s="78">
        <f t="shared" si="2155"/>
        <v>2773.2000000000007</v>
      </c>
      <c r="Y872" s="3262"/>
      <c r="Z872" s="86">
        <f t="shared" si="2137"/>
        <v>2773.2000000000007</v>
      </c>
      <c r="AA872" s="3262">
        <v>851.57999999999993</v>
      </c>
      <c r="AB872" s="1243">
        <f t="shared" si="2138"/>
        <v>3624.7800000000007</v>
      </c>
      <c r="AC872" s="3262"/>
      <c r="AD872" s="713">
        <f t="shared" si="2156"/>
        <v>851.57999999999993</v>
      </c>
      <c r="AE872" s="1290">
        <f t="shared" si="2157"/>
        <v>3624.7800000000007</v>
      </c>
      <c r="AF872" s="712">
        <f t="shared" si="2158"/>
        <v>3624.7800000000007</v>
      </c>
    </row>
    <row r="873" spans="3:32" ht="35" customHeight="1" x14ac:dyDescent="0.25">
      <c r="C873" s="338"/>
      <c r="D873" s="8425"/>
      <c r="E873" s="4607" t="s">
        <v>1761</v>
      </c>
      <c r="F873" s="3262"/>
      <c r="G873" s="3262"/>
      <c r="H873" s="472">
        <f t="shared" si="2142"/>
        <v>0</v>
      </c>
      <c r="I873" s="3262"/>
      <c r="J873" s="313">
        <f t="shared" si="2128"/>
        <v>0</v>
      </c>
      <c r="K873" s="3262"/>
      <c r="L873" s="475">
        <f t="shared" si="2143"/>
        <v>0</v>
      </c>
      <c r="M873" s="3262">
        <v>0</v>
      </c>
      <c r="N873" s="86">
        <f t="shared" si="2150"/>
        <v>0</v>
      </c>
      <c r="O873" s="3262">
        <v>0</v>
      </c>
      <c r="P873" s="304">
        <f t="shared" si="2151"/>
        <v>0</v>
      </c>
      <c r="Q873" s="2143">
        <f t="shared" si="2152"/>
        <v>0</v>
      </c>
      <c r="R873" s="3262"/>
      <c r="S873" s="86">
        <f t="shared" si="2153"/>
        <v>0</v>
      </c>
      <c r="T873" s="3262"/>
      <c r="U873" s="86">
        <f t="shared" si="2134"/>
        <v>0</v>
      </c>
      <c r="V873" s="3262">
        <v>90.17</v>
      </c>
      <c r="W873" s="74">
        <f t="shared" si="2154"/>
        <v>90.17</v>
      </c>
      <c r="X873" s="78">
        <f t="shared" si="2155"/>
        <v>90.17</v>
      </c>
      <c r="Y873" s="3262"/>
      <c r="Z873" s="86">
        <f t="shared" si="2137"/>
        <v>90.17</v>
      </c>
      <c r="AA873" s="3262"/>
      <c r="AB873" s="1243">
        <f t="shared" si="2138"/>
        <v>90.17</v>
      </c>
      <c r="AC873" s="3262"/>
      <c r="AD873" s="713">
        <f t="shared" si="2156"/>
        <v>0</v>
      </c>
      <c r="AE873" s="1290">
        <f t="shared" si="2157"/>
        <v>90.17</v>
      </c>
      <c r="AF873" s="712">
        <f t="shared" si="2158"/>
        <v>90.17</v>
      </c>
    </row>
    <row r="874" spans="3:32" ht="35" customHeight="1" x14ac:dyDescent="0.25">
      <c r="C874" s="338"/>
      <c r="D874" s="8425"/>
      <c r="E874" s="4607" t="s">
        <v>1508</v>
      </c>
      <c r="F874" s="3262"/>
      <c r="G874" s="3262"/>
      <c r="H874" s="472">
        <f t="shared" si="2142"/>
        <v>0</v>
      </c>
      <c r="I874" s="3262"/>
      <c r="J874" s="313">
        <f t="shared" si="2128"/>
        <v>0</v>
      </c>
      <c r="K874" s="3262"/>
      <c r="L874" s="475">
        <f t="shared" si="2143"/>
        <v>0</v>
      </c>
      <c r="M874" s="3262">
        <v>0</v>
      </c>
      <c r="N874" s="86">
        <f t="shared" si="2150"/>
        <v>0</v>
      </c>
      <c r="O874" s="3262">
        <v>0</v>
      </c>
      <c r="P874" s="304">
        <f t="shared" si="2151"/>
        <v>0</v>
      </c>
      <c r="Q874" s="2143">
        <f t="shared" si="2152"/>
        <v>0</v>
      </c>
      <c r="R874" s="3262"/>
      <c r="S874" s="86">
        <f t="shared" si="2153"/>
        <v>0</v>
      </c>
      <c r="T874" s="3262"/>
      <c r="U874" s="86">
        <f t="shared" si="2134"/>
        <v>0</v>
      </c>
      <c r="V874" s="3262">
        <f>59.28+1327.06</f>
        <v>1386.34</v>
      </c>
      <c r="W874" s="74">
        <f t="shared" si="2154"/>
        <v>1386.34</v>
      </c>
      <c r="X874" s="78">
        <f t="shared" si="2155"/>
        <v>1386.34</v>
      </c>
      <c r="Y874" s="3262"/>
      <c r="Z874" s="86">
        <f t="shared" si="2137"/>
        <v>1386.34</v>
      </c>
      <c r="AA874" s="3262"/>
      <c r="AB874" s="1243">
        <f t="shared" si="2138"/>
        <v>1386.34</v>
      </c>
      <c r="AC874" s="3262"/>
      <c r="AD874" s="713">
        <f t="shared" si="2156"/>
        <v>0</v>
      </c>
      <c r="AE874" s="1290">
        <f t="shared" si="2157"/>
        <v>1386.34</v>
      </c>
      <c r="AF874" s="712">
        <f t="shared" si="2158"/>
        <v>1386.34</v>
      </c>
    </row>
    <row r="875" spans="3:32" ht="35" customHeight="1" x14ac:dyDescent="0.25">
      <c r="C875" s="338"/>
      <c r="D875" s="8425"/>
      <c r="E875" s="4607" t="s">
        <v>1683</v>
      </c>
      <c r="F875" s="3262"/>
      <c r="G875" s="3262"/>
      <c r="H875" s="472">
        <f t="shared" si="2142"/>
        <v>0</v>
      </c>
      <c r="I875" s="3262"/>
      <c r="J875" s="313">
        <f t="shared" si="2128"/>
        <v>0</v>
      </c>
      <c r="K875" s="3262"/>
      <c r="L875" s="475">
        <f t="shared" si="2143"/>
        <v>0</v>
      </c>
      <c r="M875" s="3262">
        <v>183.04</v>
      </c>
      <c r="N875" s="86">
        <f t="shared" si="2150"/>
        <v>183.04</v>
      </c>
      <c r="O875" s="3262">
        <v>0</v>
      </c>
      <c r="P875" s="304">
        <f t="shared" si="2151"/>
        <v>183.04</v>
      </c>
      <c r="Q875" s="2143">
        <f t="shared" si="2152"/>
        <v>183.04</v>
      </c>
      <c r="R875" s="3262"/>
      <c r="S875" s="86">
        <f t="shared" si="2153"/>
        <v>183.04</v>
      </c>
      <c r="T875" s="3262"/>
      <c r="U875" s="86">
        <f t="shared" si="2134"/>
        <v>183.04</v>
      </c>
      <c r="V875" s="3262">
        <v>686.7</v>
      </c>
      <c r="W875" s="74">
        <f t="shared" si="2154"/>
        <v>686.7</v>
      </c>
      <c r="X875" s="78">
        <f t="shared" si="2155"/>
        <v>869.74</v>
      </c>
      <c r="Y875" s="3262"/>
      <c r="Z875" s="86">
        <f t="shared" si="2137"/>
        <v>869.74</v>
      </c>
      <c r="AA875" s="3262"/>
      <c r="AB875" s="1243">
        <f t="shared" si="2138"/>
        <v>869.74</v>
      </c>
      <c r="AC875" s="3262"/>
      <c r="AD875" s="713">
        <f t="shared" si="2156"/>
        <v>0</v>
      </c>
      <c r="AE875" s="1290">
        <f t="shared" si="2157"/>
        <v>686.7</v>
      </c>
      <c r="AF875" s="712">
        <f t="shared" si="2158"/>
        <v>869.74</v>
      </c>
    </row>
    <row r="876" spans="3:32" ht="35" customHeight="1" x14ac:dyDescent="0.25">
      <c r="C876" s="338"/>
      <c r="D876" s="8425"/>
      <c r="E876" s="4607" t="s">
        <v>1702</v>
      </c>
      <c r="F876" s="3262"/>
      <c r="G876" s="3262"/>
      <c r="H876" s="472">
        <f t="shared" si="2142"/>
        <v>0</v>
      </c>
      <c r="I876" s="3262"/>
      <c r="J876" s="313">
        <f t="shared" si="2128"/>
        <v>0</v>
      </c>
      <c r="K876" s="3262"/>
      <c r="L876" s="475">
        <f t="shared" si="2143"/>
        <v>0</v>
      </c>
      <c r="M876" s="3262">
        <v>0</v>
      </c>
      <c r="N876" s="86">
        <f t="shared" si="2150"/>
        <v>0</v>
      </c>
      <c r="O876" s="3262">
        <v>246.04</v>
      </c>
      <c r="P876" s="304">
        <f t="shared" si="2151"/>
        <v>246.04</v>
      </c>
      <c r="Q876" s="2143">
        <f t="shared" si="2152"/>
        <v>246.04</v>
      </c>
      <c r="R876" s="3262">
        <v>185.02</v>
      </c>
      <c r="S876" s="86">
        <f t="shared" si="2153"/>
        <v>431.06</v>
      </c>
      <c r="T876" s="3262">
        <v>40.950000000000003</v>
      </c>
      <c r="U876" s="86">
        <f t="shared" si="2134"/>
        <v>472.01</v>
      </c>
      <c r="V876" s="3262">
        <v>156.93</v>
      </c>
      <c r="W876" s="74">
        <f t="shared" si="2154"/>
        <v>382.90000000000003</v>
      </c>
      <c r="X876" s="78">
        <f t="shared" si="2155"/>
        <v>628.94000000000005</v>
      </c>
      <c r="Y876" s="3262">
        <v>757.2299999999999</v>
      </c>
      <c r="Z876" s="86">
        <f t="shared" si="2137"/>
        <v>1386.17</v>
      </c>
      <c r="AA876" s="3262"/>
      <c r="AB876" s="1243">
        <f t="shared" si="2138"/>
        <v>1386.17</v>
      </c>
      <c r="AC876" s="3262"/>
      <c r="AD876" s="713">
        <f t="shared" si="2156"/>
        <v>757.2299999999999</v>
      </c>
      <c r="AE876" s="1290">
        <f t="shared" si="2157"/>
        <v>1140.1299999999999</v>
      </c>
      <c r="AF876" s="712">
        <f t="shared" si="2158"/>
        <v>1386.17</v>
      </c>
    </row>
    <row r="877" spans="3:32" ht="35" customHeight="1" x14ac:dyDescent="0.25">
      <c r="C877" s="338"/>
      <c r="D877" s="8425"/>
      <c r="E877" s="4607" t="s">
        <v>1701</v>
      </c>
      <c r="F877" s="3262"/>
      <c r="G877" s="3262"/>
      <c r="H877" s="472">
        <f t="shared" si="2142"/>
        <v>0</v>
      </c>
      <c r="I877" s="3262"/>
      <c r="J877" s="313">
        <f t="shared" si="2128"/>
        <v>0</v>
      </c>
      <c r="K877" s="3262"/>
      <c r="L877" s="475">
        <f t="shared" si="2143"/>
        <v>0</v>
      </c>
      <c r="M877" s="3262">
        <v>0</v>
      </c>
      <c r="N877" s="86">
        <f t="shared" si="2150"/>
        <v>0</v>
      </c>
      <c r="O877" s="3262">
        <v>61.68</v>
      </c>
      <c r="P877" s="304">
        <f t="shared" si="2151"/>
        <v>61.68</v>
      </c>
      <c r="Q877" s="2143">
        <f t="shared" si="2152"/>
        <v>61.68</v>
      </c>
      <c r="R877" s="3262"/>
      <c r="S877" s="86">
        <f t="shared" si="2153"/>
        <v>61.68</v>
      </c>
      <c r="T877" s="3262">
        <v>217.81</v>
      </c>
      <c r="U877" s="86">
        <f t="shared" si="2134"/>
        <v>279.49</v>
      </c>
      <c r="V877" s="3262">
        <v>366</v>
      </c>
      <c r="W877" s="74">
        <f t="shared" si="2154"/>
        <v>583.80999999999995</v>
      </c>
      <c r="X877" s="78">
        <f t="shared" si="2155"/>
        <v>645.49</v>
      </c>
      <c r="Y877" s="3262"/>
      <c r="Z877" s="86">
        <f t="shared" si="2137"/>
        <v>645.49</v>
      </c>
      <c r="AA877" s="3262"/>
      <c r="AB877" s="1243">
        <f t="shared" si="2138"/>
        <v>645.49</v>
      </c>
      <c r="AC877" s="3262"/>
      <c r="AD877" s="713">
        <f t="shared" si="2156"/>
        <v>0</v>
      </c>
      <c r="AE877" s="1290">
        <f t="shared" si="2157"/>
        <v>583.80999999999995</v>
      </c>
      <c r="AF877" s="712">
        <f t="shared" si="2158"/>
        <v>645.49</v>
      </c>
    </row>
    <row r="878" spans="3:32" ht="35" customHeight="1" x14ac:dyDescent="0.25">
      <c r="C878" s="338"/>
      <c r="D878" s="8425"/>
      <c r="E878" s="4607" t="s">
        <v>1634</v>
      </c>
      <c r="F878" s="3262"/>
      <c r="G878" s="3262"/>
      <c r="H878" s="472">
        <f t="shared" si="2142"/>
        <v>0</v>
      </c>
      <c r="I878" s="3262"/>
      <c r="J878" s="313">
        <f t="shared" si="2128"/>
        <v>0</v>
      </c>
      <c r="K878" s="3262"/>
      <c r="L878" s="475">
        <f t="shared" si="2143"/>
        <v>0</v>
      </c>
      <c r="M878" s="3262">
        <v>0</v>
      </c>
      <c r="N878" s="86">
        <f t="shared" si="2150"/>
        <v>0</v>
      </c>
      <c r="O878" s="3262">
        <v>3462.0399999999995</v>
      </c>
      <c r="P878" s="304">
        <f t="shared" si="2151"/>
        <v>3462.0399999999995</v>
      </c>
      <c r="Q878" s="2143">
        <f t="shared" si="2152"/>
        <v>3462.0399999999995</v>
      </c>
      <c r="R878" s="3262"/>
      <c r="S878" s="86">
        <f t="shared" si="2153"/>
        <v>3462.0399999999995</v>
      </c>
      <c r="T878" s="3262">
        <v>2167.6</v>
      </c>
      <c r="U878" s="86">
        <f t="shared" si="2134"/>
        <v>5629.6399999999994</v>
      </c>
      <c r="V878" s="3262"/>
      <c r="W878" s="74">
        <f t="shared" si="2154"/>
        <v>2167.6</v>
      </c>
      <c r="X878" s="78">
        <f t="shared" si="2155"/>
        <v>5629.6399999999994</v>
      </c>
      <c r="Y878" s="3262">
        <v>1611.74</v>
      </c>
      <c r="Z878" s="86">
        <f t="shared" si="2137"/>
        <v>7241.3799999999992</v>
      </c>
      <c r="AA878" s="3262">
        <v>498.78000000000009</v>
      </c>
      <c r="AB878" s="1243">
        <f t="shared" si="2138"/>
        <v>7740.1599999999989</v>
      </c>
      <c r="AC878" s="3262">
        <v>5539.18</v>
      </c>
      <c r="AD878" s="713">
        <f t="shared" si="2156"/>
        <v>7649.7000000000007</v>
      </c>
      <c r="AE878" s="1290">
        <f t="shared" si="2157"/>
        <v>9817.3000000000011</v>
      </c>
      <c r="AF878" s="712">
        <f t="shared" si="2158"/>
        <v>13279.34</v>
      </c>
    </row>
    <row r="879" spans="3:32" ht="35" customHeight="1" x14ac:dyDescent="0.25">
      <c r="C879" s="338"/>
      <c r="D879" s="8425"/>
      <c r="E879" s="4607" t="s">
        <v>1576</v>
      </c>
      <c r="F879" s="3262"/>
      <c r="G879" s="3262"/>
      <c r="H879" s="472">
        <f t="shared" si="2142"/>
        <v>0</v>
      </c>
      <c r="I879" s="3262"/>
      <c r="J879" s="313">
        <f t="shared" si="2128"/>
        <v>0</v>
      </c>
      <c r="K879" s="3262"/>
      <c r="L879" s="475">
        <f t="shared" si="2143"/>
        <v>0</v>
      </c>
      <c r="M879" s="3262">
        <v>0</v>
      </c>
      <c r="N879" s="86">
        <f t="shared" si="2150"/>
        <v>0</v>
      </c>
      <c r="O879" s="3262">
        <v>0</v>
      </c>
      <c r="P879" s="304">
        <f t="shared" si="2151"/>
        <v>0</v>
      </c>
      <c r="Q879" s="2143">
        <f t="shared" si="2152"/>
        <v>0</v>
      </c>
      <c r="R879" s="3262"/>
      <c r="S879" s="86">
        <f t="shared" si="2153"/>
        <v>0</v>
      </c>
      <c r="T879" s="3262"/>
      <c r="U879" s="86">
        <f t="shared" si="2134"/>
        <v>0</v>
      </c>
      <c r="V879" s="3262"/>
      <c r="W879" s="74">
        <f t="shared" si="2154"/>
        <v>0</v>
      </c>
      <c r="X879" s="78">
        <f t="shared" si="2155"/>
        <v>0</v>
      </c>
      <c r="Y879" s="3262">
        <v>1195.8100000000002</v>
      </c>
      <c r="Z879" s="86">
        <f t="shared" si="2137"/>
        <v>1195.8100000000002</v>
      </c>
      <c r="AA879" s="3262">
        <v>137.20999999999998</v>
      </c>
      <c r="AB879" s="1243">
        <f t="shared" si="2138"/>
        <v>1333.0200000000002</v>
      </c>
      <c r="AC879" s="3262">
        <v>15.76</v>
      </c>
      <c r="AD879" s="713">
        <f t="shared" si="2156"/>
        <v>1348.7800000000002</v>
      </c>
      <c r="AE879" s="1290">
        <f t="shared" si="2157"/>
        <v>1348.7800000000002</v>
      </c>
      <c r="AF879" s="712">
        <f t="shared" si="2158"/>
        <v>1348.7800000000002</v>
      </c>
    </row>
    <row r="880" spans="3:32" ht="35" customHeight="1" x14ac:dyDescent="0.25">
      <c r="C880" s="338"/>
      <c r="D880" s="8425"/>
      <c r="E880" s="4607" t="s">
        <v>1507</v>
      </c>
      <c r="F880" s="3262"/>
      <c r="G880" s="3262"/>
      <c r="H880" s="472">
        <f t="shared" si="2142"/>
        <v>0</v>
      </c>
      <c r="I880" s="3262"/>
      <c r="J880" s="313">
        <f t="shared" si="2128"/>
        <v>0</v>
      </c>
      <c r="K880" s="3262"/>
      <c r="L880" s="475">
        <f t="shared" si="2143"/>
        <v>0</v>
      </c>
      <c r="M880" s="3262">
        <v>4317.32</v>
      </c>
      <c r="N880" s="86">
        <f t="shared" si="2150"/>
        <v>4317.32</v>
      </c>
      <c r="O880" s="3262">
        <v>5274.8600000000006</v>
      </c>
      <c r="P880" s="304">
        <f t="shared" si="2151"/>
        <v>9592.18</v>
      </c>
      <c r="Q880" s="2143">
        <f t="shared" si="2152"/>
        <v>9592.18</v>
      </c>
      <c r="R880" s="3262">
        <v>4726.7800000000007</v>
      </c>
      <c r="S880" s="86">
        <f t="shared" si="2153"/>
        <v>14318.960000000001</v>
      </c>
      <c r="T880" s="3262">
        <v>7613.2600000000011</v>
      </c>
      <c r="U880" s="86">
        <f t="shared" si="2134"/>
        <v>21932.22</v>
      </c>
      <c r="V880" s="3262">
        <v>2708.2510000000002</v>
      </c>
      <c r="W880" s="74">
        <f t="shared" si="2154"/>
        <v>15048.291000000001</v>
      </c>
      <c r="X880" s="78">
        <f t="shared" si="2155"/>
        <v>24640.471000000001</v>
      </c>
      <c r="Y880" s="3262">
        <v>7640.957999999996</v>
      </c>
      <c r="Z880" s="86">
        <f t="shared" si="2137"/>
        <v>32281.428999999996</v>
      </c>
      <c r="AA880" s="3262">
        <v>9775.7530000000061</v>
      </c>
      <c r="AB880" s="1243">
        <f t="shared" si="2138"/>
        <v>42057.182000000001</v>
      </c>
      <c r="AC880" s="3262">
        <v>4115.5599999999995</v>
      </c>
      <c r="AD880" s="713">
        <f t="shared" si="2156"/>
        <v>21532.271000000001</v>
      </c>
      <c r="AE880" s="1290">
        <f t="shared" si="2157"/>
        <v>36580.562000000005</v>
      </c>
      <c r="AF880" s="712">
        <f t="shared" si="2158"/>
        <v>46172.741999999998</v>
      </c>
    </row>
    <row r="881" spans="3:34" ht="35" customHeight="1" x14ac:dyDescent="0.25">
      <c r="C881" s="338"/>
      <c r="D881" s="8425"/>
      <c r="E881" s="4607" t="s">
        <v>1760</v>
      </c>
      <c r="F881" s="3262"/>
      <c r="G881" s="3262"/>
      <c r="H881" s="472">
        <f t="shared" si="2142"/>
        <v>0</v>
      </c>
      <c r="I881" s="3262"/>
      <c r="J881" s="313">
        <f t="shared" si="2128"/>
        <v>0</v>
      </c>
      <c r="K881" s="3262"/>
      <c r="L881" s="475">
        <f t="shared" si="2143"/>
        <v>0</v>
      </c>
      <c r="M881" s="3262">
        <v>0</v>
      </c>
      <c r="N881" s="86">
        <f t="shared" si="2150"/>
        <v>0</v>
      </c>
      <c r="O881" s="3262">
        <v>0</v>
      </c>
      <c r="P881" s="304">
        <f t="shared" si="2151"/>
        <v>0</v>
      </c>
      <c r="Q881" s="2143">
        <f t="shared" si="2152"/>
        <v>0</v>
      </c>
      <c r="R881" s="3262"/>
      <c r="S881" s="86">
        <f t="shared" si="2153"/>
        <v>0</v>
      </c>
      <c r="T881" s="3262"/>
      <c r="U881" s="86">
        <f t="shared" si="2134"/>
        <v>0</v>
      </c>
      <c r="V881" s="3262">
        <v>496.06</v>
      </c>
      <c r="W881" s="74">
        <f t="shared" si="2154"/>
        <v>496.06</v>
      </c>
      <c r="X881" s="78">
        <f t="shared" si="2155"/>
        <v>496.06</v>
      </c>
      <c r="Y881" s="3262"/>
      <c r="Z881" s="86">
        <f t="shared" si="2137"/>
        <v>496.06</v>
      </c>
      <c r="AA881" s="3262">
        <v>950.70999999999992</v>
      </c>
      <c r="AB881" s="1243">
        <f t="shared" si="2138"/>
        <v>1446.77</v>
      </c>
      <c r="AC881" s="3262"/>
      <c r="AD881" s="713">
        <f t="shared" si="2156"/>
        <v>950.70999999999992</v>
      </c>
      <c r="AE881" s="1290">
        <f t="shared" si="2157"/>
        <v>1446.77</v>
      </c>
      <c r="AF881" s="712">
        <f t="shared" si="2158"/>
        <v>1446.77</v>
      </c>
    </row>
    <row r="882" spans="3:34" ht="35" customHeight="1" x14ac:dyDescent="0.25">
      <c r="C882" s="338"/>
      <c r="D882" s="8425"/>
      <c r="E882" s="4607" t="s">
        <v>1749</v>
      </c>
      <c r="F882" s="3262"/>
      <c r="G882" s="3262"/>
      <c r="H882" s="472">
        <f t="shared" si="2142"/>
        <v>0</v>
      </c>
      <c r="I882" s="3262"/>
      <c r="J882" s="313">
        <f t="shared" ref="J882:J901" si="2162">SUM(H882:I882)</f>
        <v>0</v>
      </c>
      <c r="K882" s="3262"/>
      <c r="L882" s="475">
        <f t="shared" si="2143"/>
        <v>0</v>
      </c>
      <c r="M882" s="3262">
        <v>0</v>
      </c>
      <c r="N882" s="86">
        <f t="shared" si="2150"/>
        <v>0</v>
      </c>
      <c r="O882" s="3262">
        <v>0</v>
      </c>
      <c r="P882" s="304">
        <f t="shared" si="2151"/>
        <v>0</v>
      </c>
      <c r="Q882" s="2143">
        <f t="shared" si="2152"/>
        <v>0</v>
      </c>
      <c r="R882" s="3262"/>
      <c r="S882" s="86">
        <f t="shared" si="2153"/>
        <v>0</v>
      </c>
      <c r="T882" s="3262"/>
      <c r="U882" s="86">
        <f t="shared" si="2134"/>
        <v>0</v>
      </c>
      <c r="V882" s="3262">
        <v>554.56000000000006</v>
      </c>
      <c r="W882" s="74">
        <f t="shared" si="2154"/>
        <v>554.56000000000006</v>
      </c>
      <c r="X882" s="78">
        <f t="shared" si="2155"/>
        <v>554.56000000000006</v>
      </c>
      <c r="Y882" s="3262"/>
      <c r="Z882" s="86">
        <f t="shared" si="2137"/>
        <v>554.56000000000006</v>
      </c>
      <c r="AA882" s="3262"/>
      <c r="AB882" s="1243">
        <f t="shared" si="2138"/>
        <v>554.56000000000006</v>
      </c>
      <c r="AC882" s="3262"/>
      <c r="AD882" s="713">
        <f t="shared" si="2156"/>
        <v>0</v>
      </c>
      <c r="AE882" s="1290">
        <f t="shared" si="2157"/>
        <v>554.56000000000006</v>
      </c>
      <c r="AF882" s="712">
        <f t="shared" si="2158"/>
        <v>554.56000000000006</v>
      </c>
    </row>
    <row r="883" spans="3:34" ht="35" customHeight="1" x14ac:dyDescent="0.25">
      <c r="C883" s="338"/>
      <c r="D883" s="8425"/>
      <c r="E883" s="4607" t="s">
        <v>1486</v>
      </c>
      <c r="F883" s="3262"/>
      <c r="G883" s="3262"/>
      <c r="H883" s="472">
        <f t="shared" si="2142"/>
        <v>0</v>
      </c>
      <c r="I883" s="3262"/>
      <c r="J883" s="313">
        <f t="shared" si="2162"/>
        <v>0</v>
      </c>
      <c r="K883" s="3262"/>
      <c r="L883" s="475">
        <f t="shared" si="2143"/>
        <v>0</v>
      </c>
      <c r="M883" s="3262">
        <v>0</v>
      </c>
      <c r="N883" s="86">
        <f t="shared" si="2150"/>
        <v>0</v>
      </c>
      <c r="O883" s="3262">
        <v>0</v>
      </c>
      <c r="P883" s="304">
        <f t="shared" si="2151"/>
        <v>0</v>
      </c>
      <c r="Q883" s="2143">
        <f t="shared" si="2152"/>
        <v>0</v>
      </c>
      <c r="R883" s="3262"/>
      <c r="S883" s="86">
        <f t="shared" si="2153"/>
        <v>0</v>
      </c>
      <c r="T883" s="3262"/>
      <c r="U883" s="86">
        <f t="shared" si="2134"/>
        <v>0</v>
      </c>
      <c r="V883" s="3262"/>
      <c r="W883" s="74">
        <f t="shared" si="2154"/>
        <v>0</v>
      </c>
      <c r="X883" s="78">
        <f t="shared" si="2155"/>
        <v>0</v>
      </c>
      <c r="Y883" s="3262"/>
      <c r="Z883" s="86">
        <f t="shared" si="2137"/>
        <v>0</v>
      </c>
      <c r="AA883" s="3262"/>
      <c r="AB883" s="1243">
        <f t="shared" si="2138"/>
        <v>0</v>
      </c>
      <c r="AC883" s="3262"/>
      <c r="AD883" s="713">
        <f t="shared" si="2156"/>
        <v>0</v>
      </c>
      <c r="AE883" s="1290">
        <f t="shared" si="2157"/>
        <v>0</v>
      </c>
      <c r="AF883" s="712">
        <f t="shared" si="2158"/>
        <v>0</v>
      </c>
    </row>
    <row r="884" spans="3:34" ht="35" customHeight="1" x14ac:dyDescent="0.25">
      <c r="C884" s="338"/>
      <c r="D884" s="8425"/>
      <c r="E884" s="4607" t="s">
        <v>1485</v>
      </c>
      <c r="F884" s="3262"/>
      <c r="G884" s="3262"/>
      <c r="H884" s="472">
        <f t="shared" si="2142"/>
        <v>0</v>
      </c>
      <c r="I884" s="3262"/>
      <c r="J884" s="313">
        <f t="shared" si="2162"/>
        <v>0</v>
      </c>
      <c r="K884" s="3262"/>
      <c r="L884" s="475">
        <f t="shared" si="2143"/>
        <v>0</v>
      </c>
      <c r="M884" s="3262">
        <v>0</v>
      </c>
      <c r="N884" s="86">
        <f t="shared" si="2150"/>
        <v>0</v>
      </c>
      <c r="O884" s="3262">
        <v>0</v>
      </c>
      <c r="P884" s="304">
        <f t="shared" si="2151"/>
        <v>0</v>
      </c>
      <c r="Q884" s="2143">
        <f t="shared" si="2152"/>
        <v>0</v>
      </c>
      <c r="R884" s="3262"/>
      <c r="S884" s="86">
        <f t="shared" si="2153"/>
        <v>0</v>
      </c>
      <c r="T884" s="3262"/>
      <c r="U884" s="86">
        <f t="shared" si="2134"/>
        <v>0</v>
      </c>
      <c r="V884" s="3262"/>
      <c r="W884" s="74">
        <f t="shared" si="2154"/>
        <v>0</v>
      </c>
      <c r="X884" s="78">
        <f t="shared" si="2155"/>
        <v>0</v>
      </c>
      <c r="Y884" s="3262">
        <v>369.8</v>
      </c>
      <c r="Z884" s="86">
        <f t="shared" si="2137"/>
        <v>369.8</v>
      </c>
      <c r="AA884" s="3262">
        <v>709.23</v>
      </c>
      <c r="AB884" s="1243">
        <f t="shared" si="2138"/>
        <v>1079.03</v>
      </c>
      <c r="AC884" s="3262">
        <v>1456.0229999999999</v>
      </c>
      <c r="AD884" s="713">
        <f t="shared" si="2156"/>
        <v>2535.0529999999999</v>
      </c>
      <c r="AE884" s="1290">
        <f t="shared" si="2157"/>
        <v>2535.0529999999999</v>
      </c>
      <c r="AF884" s="712">
        <f t="shared" si="2158"/>
        <v>2535.0529999999999</v>
      </c>
      <c r="AH884" s="4756">
        <v>260.47000000000003</v>
      </c>
    </row>
    <row r="885" spans="3:34" ht="35" customHeight="1" x14ac:dyDescent="0.25">
      <c r="C885" s="338"/>
      <c r="D885" s="8425"/>
      <c r="E885" s="4607" t="s">
        <v>1484</v>
      </c>
      <c r="F885" s="3262"/>
      <c r="G885" s="3262"/>
      <c r="H885" s="472">
        <f t="shared" si="2142"/>
        <v>0</v>
      </c>
      <c r="I885" s="3262"/>
      <c r="J885" s="313">
        <f t="shared" si="2162"/>
        <v>0</v>
      </c>
      <c r="K885" s="3262"/>
      <c r="L885" s="475">
        <f t="shared" si="2143"/>
        <v>0</v>
      </c>
      <c r="M885" s="3262">
        <v>0</v>
      </c>
      <c r="N885" s="86">
        <f t="shared" si="2150"/>
        <v>0</v>
      </c>
      <c r="O885" s="3262">
        <v>0</v>
      </c>
      <c r="P885" s="304">
        <f t="shared" si="2151"/>
        <v>0</v>
      </c>
      <c r="Q885" s="2143">
        <f t="shared" si="2152"/>
        <v>0</v>
      </c>
      <c r="R885" s="3262">
        <v>60.56</v>
      </c>
      <c r="S885" s="86">
        <f t="shared" si="2153"/>
        <v>60.56</v>
      </c>
      <c r="T885" s="3262"/>
      <c r="U885" s="86">
        <f t="shared" si="2134"/>
        <v>60.56</v>
      </c>
      <c r="V885" s="3262"/>
      <c r="W885" s="74">
        <f t="shared" si="2154"/>
        <v>60.56</v>
      </c>
      <c r="X885" s="78">
        <f t="shared" si="2155"/>
        <v>60.56</v>
      </c>
      <c r="Y885" s="3262">
        <v>313.93</v>
      </c>
      <c r="Z885" s="86">
        <f t="shared" si="2137"/>
        <v>374.49</v>
      </c>
      <c r="AA885" s="3262">
        <f>842.212+32.69</f>
        <v>874.90200000000004</v>
      </c>
      <c r="AB885" s="1243">
        <f t="shared" si="2138"/>
        <v>1249.3920000000001</v>
      </c>
      <c r="AC885" s="3262">
        <v>568.41799999999989</v>
      </c>
      <c r="AD885" s="713">
        <f t="shared" si="2156"/>
        <v>1757.25</v>
      </c>
      <c r="AE885" s="1290">
        <f t="shared" si="2157"/>
        <v>1817.81</v>
      </c>
      <c r="AF885" s="712">
        <f t="shared" si="2158"/>
        <v>1817.81</v>
      </c>
    </row>
    <row r="886" spans="3:34" ht="35" customHeight="1" x14ac:dyDescent="0.25">
      <c r="C886" s="338"/>
      <c r="D886" s="8425"/>
      <c r="E886" s="4607" t="s">
        <v>1785</v>
      </c>
      <c r="F886" s="3262"/>
      <c r="G886" s="3262"/>
      <c r="H886" s="472">
        <f t="shared" si="2142"/>
        <v>0</v>
      </c>
      <c r="I886" s="3262"/>
      <c r="J886" s="313">
        <f t="shared" si="2162"/>
        <v>0</v>
      </c>
      <c r="K886" s="3262"/>
      <c r="L886" s="475">
        <f t="shared" si="2143"/>
        <v>0</v>
      </c>
      <c r="M886" s="3262"/>
      <c r="N886" s="86"/>
      <c r="O886" s="3262"/>
      <c r="P886" s="304"/>
      <c r="Q886" s="2143"/>
      <c r="R886" s="3262"/>
      <c r="S886" s="86"/>
      <c r="T886" s="3262"/>
      <c r="U886" s="86"/>
      <c r="V886" s="3262"/>
      <c r="W886" s="74"/>
      <c r="X886" s="78"/>
      <c r="Y886" s="3262"/>
      <c r="Z886" s="86"/>
      <c r="AA886" s="3262">
        <v>57.74</v>
      </c>
      <c r="AB886" s="1243">
        <f t="shared" si="2138"/>
        <v>57.74</v>
      </c>
      <c r="AC886" s="3262"/>
      <c r="AD886" s="713">
        <f t="shared" si="2156"/>
        <v>57.74</v>
      </c>
      <c r="AE886" s="1290">
        <f t="shared" si="2157"/>
        <v>57.74</v>
      </c>
      <c r="AF886" s="712">
        <f t="shared" si="2158"/>
        <v>57.74</v>
      </c>
    </row>
    <row r="887" spans="3:34" ht="35" customHeight="1" x14ac:dyDescent="0.25">
      <c r="C887" s="338"/>
      <c r="D887" s="8425"/>
      <c r="E887" s="4607" t="s">
        <v>1504</v>
      </c>
      <c r="F887" s="3262"/>
      <c r="G887" s="3262"/>
      <c r="H887" s="472">
        <f t="shared" si="2142"/>
        <v>0</v>
      </c>
      <c r="I887" s="3262"/>
      <c r="J887" s="313">
        <f t="shared" si="2162"/>
        <v>0</v>
      </c>
      <c r="K887" s="3262"/>
      <c r="L887" s="475">
        <f t="shared" si="2143"/>
        <v>0</v>
      </c>
      <c r="M887" s="3262">
        <v>0</v>
      </c>
      <c r="N887" s="86">
        <f t="shared" si="2150"/>
        <v>0</v>
      </c>
      <c r="O887" s="3262">
        <v>0</v>
      </c>
      <c r="P887" s="304">
        <f t="shared" si="2151"/>
        <v>0</v>
      </c>
      <c r="Q887" s="2143">
        <f t="shared" si="2152"/>
        <v>0</v>
      </c>
      <c r="R887" s="3262"/>
      <c r="S887" s="86">
        <f t="shared" si="2153"/>
        <v>0</v>
      </c>
      <c r="T887" s="3262"/>
      <c r="U887" s="86">
        <f t="shared" si="2134"/>
        <v>0</v>
      </c>
      <c r="V887" s="3262"/>
      <c r="W887" s="74">
        <f t="shared" si="2154"/>
        <v>0</v>
      </c>
      <c r="X887" s="78">
        <f t="shared" si="2155"/>
        <v>0</v>
      </c>
      <c r="Y887" s="3262">
        <v>25.8</v>
      </c>
      <c r="Z887" s="86">
        <f t="shared" si="2137"/>
        <v>25.8</v>
      </c>
      <c r="AA887" s="3262">
        <v>53.67</v>
      </c>
      <c r="AB887" s="1243">
        <f t="shared" si="2138"/>
        <v>79.47</v>
      </c>
      <c r="AC887" s="3262"/>
      <c r="AD887" s="713">
        <f t="shared" si="2156"/>
        <v>79.47</v>
      </c>
      <c r="AE887" s="1290">
        <f t="shared" si="2157"/>
        <v>79.47</v>
      </c>
      <c r="AF887" s="712">
        <f t="shared" si="2158"/>
        <v>79.47</v>
      </c>
      <c r="AH887" s="4756">
        <f>+AH889-V889</f>
        <v>0</v>
      </c>
    </row>
    <row r="888" spans="3:34" ht="35" customHeight="1" x14ac:dyDescent="0.25">
      <c r="C888" s="338"/>
      <c r="D888" s="8425"/>
      <c r="E888" s="4607" t="s">
        <v>1506</v>
      </c>
      <c r="F888" s="3262"/>
      <c r="G888" s="3262"/>
      <c r="H888" s="472">
        <f t="shared" si="2142"/>
        <v>0</v>
      </c>
      <c r="I888" s="3262"/>
      <c r="J888" s="313">
        <f t="shared" si="2162"/>
        <v>0</v>
      </c>
      <c r="K888" s="3262"/>
      <c r="L888" s="475">
        <f t="shared" si="2143"/>
        <v>0</v>
      </c>
      <c r="M888" s="3262">
        <v>2967.1599999999994</v>
      </c>
      <c r="N888" s="86">
        <f t="shared" si="2150"/>
        <v>2967.1599999999994</v>
      </c>
      <c r="O888" s="3262">
        <v>1804.4299999999996</v>
      </c>
      <c r="P888" s="304">
        <f t="shared" si="2151"/>
        <v>4771.5899999999992</v>
      </c>
      <c r="Q888" s="2143">
        <f t="shared" si="2152"/>
        <v>4771.5899999999992</v>
      </c>
      <c r="R888" s="3262">
        <v>2136.8700000000008</v>
      </c>
      <c r="S888" s="86">
        <f t="shared" si="2153"/>
        <v>6908.46</v>
      </c>
      <c r="T888" s="3262">
        <v>4724.96</v>
      </c>
      <c r="U888" s="86">
        <f t="shared" si="2134"/>
        <v>11633.42</v>
      </c>
      <c r="V888" s="3262">
        <v>5802.3410000000003</v>
      </c>
      <c r="W888" s="74">
        <f t="shared" si="2154"/>
        <v>12664.171000000002</v>
      </c>
      <c r="X888" s="78">
        <f t="shared" si="2155"/>
        <v>17435.760999999999</v>
      </c>
      <c r="Y888" s="3262">
        <v>4710.1400000000003</v>
      </c>
      <c r="Z888" s="86">
        <f t="shared" si="2137"/>
        <v>22145.900999999998</v>
      </c>
      <c r="AA888" s="3262"/>
      <c r="AB888" s="1243">
        <f t="shared" si="2138"/>
        <v>22145.900999999998</v>
      </c>
      <c r="AC888" s="3262">
        <f>2694.351+80</f>
        <v>2774.3510000000001</v>
      </c>
      <c r="AD888" s="713">
        <f t="shared" si="2156"/>
        <v>7484.491</v>
      </c>
      <c r="AE888" s="1290">
        <f t="shared" si="2157"/>
        <v>20148.662000000004</v>
      </c>
      <c r="AF888" s="712">
        <f t="shared" si="2158"/>
        <v>24920.251999999997</v>
      </c>
    </row>
    <row r="889" spans="3:34" ht="35" customHeight="1" x14ac:dyDescent="0.25">
      <c r="C889" s="338"/>
      <c r="D889" s="8425"/>
      <c r="E889" s="4607" t="s">
        <v>1505</v>
      </c>
      <c r="F889" s="3262"/>
      <c r="G889" s="3262"/>
      <c r="H889" s="472">
        <f t="shared" si="2142"/>
        <v>0</v>
      </c>
      <c r="I889" s="3262"/>
      <c r="J889" s="313">
        <f t="shared" si="2162"/>
        <v>0</v>
      </c>
      <c r="K889" s="3262"/>
      <c r="L889" s="475">
        <f t="shared" si="2143"/>
        <v>0</v>
      </c>
      <c r="M889" s="3262">
        <v>184.04</v>
      </c>
      <c r="N889" s="86">
        <f t="shared" si="2150"/>
        <v>184.04</v>
      </c>
      <c r="O889" s="3262">
        <v>193.06</v>
      </c>
      <c r="P889" s="304">
        <f t="shared" si="2151"/>
        <v>377.1</v>
      </c>
      <c r="Q889" s="2143">
        <f t="shared" si="2152"/>
        <v>377.1</v>
      </c>
      <c r="R889" s="3262">
        <v>485.15000000000003</v>
      </c>
      <c r="S889" s="86">
        <f t="shared" si="2153"/>
        <v>862.25</v>
      </c>
      <c r="T889" s="3262">
        <v>299.62</v>
      </c>
      <c r="U889" s="86">
        <f t="shared" si="2134"/>
        <v>1161.8699999999999</v>
      </c>
      <c r="V889" s="3262">
        <f>62.94+260.47</f>
        <v>323.41000000000003</v>
      </c>
      <c r="W889" s="74">
        <f t="shared" si="2154"/>
        <v>1108.18</v>
      </c>
      <c r="X889" s="78">
        <f t="shared" si="2155"/>
        <v>1485.28</v>
      </c>
      <c r="Y889" s="3262">
        <v>175.83999999999997</v>
      </c>
      <c r="Z889" s="86">
        <f t="shared" si="2137"/>
        <v>1661.12</v>
      </c>
      <c r="AA889" s="3262">
        <v>90.19</v>
      </c>
      <c r="AB889" s="1243">
        <f t="shared" si="2138"/>
        <v>1751.31</v>
      </c>
      <c r="AC889" s="3262">
        <v>2249.2599999999998</v>
      </c>
      <c r="AD889" s="713">
        <f t="shared" si="2156"/>
        <v>2515.29</v>
      </c>
      <c r="AE889" s="1290">
        <f t="shared" si="2157"/>
        <v>3623.4700000000003</v>
      </c>
      <c r="AF889" s="712">
        <f t="shared" si="2158"/>
        <v>4000.5699999999997</v>
      </c>
      <c r="AH889" s="4756">
        <v>323.40999999999997</v>
      </c>
    </row>
    <row r="890" spans="3:34" ht="35" customHeight="1" x14ac:dyDescent="0.25">
      <c r="C890" s="338"/>
      <c r="D890" s="8425"/>
      <c r="E890" s="4607" t="s">
        <v>1699</v>
      </c>
      <c r="F890" s="3262"/>
      <c r="G890" s="3262"/>
      <c r="H890" s="472">
        <f t="shared" si="2142"/>
        <v>0</v>
      </c>
      <c r="I890" s="3262"/>
      <c r="J890" s="313">
        <f t="shared" si="2162"/>
        <v>0</v>
      </c>
      <c r="K890" s="3262"/>
      <c r="L890" s="475">
        <f t="shared" si="2143"/>
        <v>0</v>
      </c>
      <c r="M890" s="3262">
        <v>0</v>
      </c>
      <c r="N890" s="86">
        <f t="shared" si="2150"/>
        <v>0</v>
      </c>
      <c r="O890" s="3262">
        <v>484.48000000000008</v>
      </c>
      <c r="P890" s="304">
        <f t="shared" si="2151"/>
        <v>484.48000000000008</v>
      </c>
      <c r="Q890" s="2143">
        <f t="shared" si="2152"/>
        <v>484.48000000000008</v>
      </c>
      <c r="R890" s="3262"/>
      <c r="S890" s="86">
        <f t="shared" si="2153"/>
        <v>484.48000000000008</v>
      </c>
      <c r="T890" s="3262"/>
      <c r="U890" s="86">
        <f t="shared" si="2134"/>
        <v>484.48000000000008</v>
      </c>
      <c r="V890" s="3262"/>
      <c r="W890" s="74">
        <f t="shared" si="2154"/>
        <v>0</v>
      </c>
      <c r="X890" s="78">
        <f t="shared" si="2155"/>
        <v>484.48000000000008</v>
      </c>
      <c r="Y890" s="3262">
        <v>435.18</v>
      </c>
      <c r="Z890" s="86">
        <f t="shared" si="2137"/>
        <v>919.66000000000008</v>
      </c>
      <c r="AA890" s="3262"/>
      <c r="AB890" s="1243">
        <f t="shared" si="2138"/>
        <v>919.66000000000008</v>
      </c>
      <c r="AC890" s="3262"/>
      <c r="AD890" s="713">
        <f t="shared" si="2156"/>
        <v>435.18</v>
      </c>
      <c r="AE890" s="1290">
        <f t="shared" si="2157"/>
        <v>435.18</v>
      </c>
      <c r="AF890" s="712">
        <f t="shared" si="2158"/>
        <v>919.66000000000008</v>
      </c>
    </row>
    <row r="891" spans="3:34" ht="35" customHeight="1" x14ac:dyDescent="0.25">
      <c r="C891" s="338"/>
      <c r="D891" s="8425"/>
      <c r="E891" s="4607" t="s">
        <v>1700</v>
      </c>
      <c r="F891" s="3262"/>
      <c r="G891" s="3262"/>
      <c r="H891" s="472">
        <f t="shared" si="2142"/>
        <v>0</v>
      </c>
      <c r="I891" s="3262"/>
      <c r="J891" s="313">
        <f t="shared" si="2162"/>
        <v>0</v>
      </c>
      <c r="K891" s="3262"/>
      <c r="L891" s="475">
        <f t="shared" si="2143"/>
        <v>0</v>
      </c>
      <c r="M891" s="3262">
        <v>0</v>
      </c>
      <c r="N891" s="86">
        <f t="shared" si="2150"/>
        <v>0</v>
      </c>
      <c r="O891" s="3262">
        <v>2720.9900000000007</v>
      </c>
      <c r="P891" s="304">
        <f t="shared" si="2151"/>
        <v>2720.9900000000007</v>
      </c>
      <c r="Q891" s="2143">
        <f t="shared" si="2152"/>
        <v>2720.9900000000007</v>
      </c>
      <c r="R891" s="3262">
        <v>2723.4000000000005</v>
      </c>
      <c r="S891" s="86">
        <f t="shared" si="2153"/>
        <v>5444.3900000000012</v>
      </c>
      <c r="T891" s="3262">
        <v>3091.5699999999997</v>
      </c>
      <c r="U891" s="86">
        <f t="shared" si="2134"/>
        <v>8535.9600000000009</v>
      </c>
      <c r="V891" s="3262">
        <v>2466.4100000000003</v>
      </c>
      <c r="W891" s="74">
        <f t="shared" si="2154"/>
        <v>8281.380000000001</v>
      </c>
      <c r="X891" s="78">
        <f t="shared" si="2155"/>
        <v>11002.37</v>
      </c>
      <c r="Y891" s="3262">
        <v>4147.3500000000004</v>
      </c>
      <c r="Z891" s="86">
        <f t="shared" si="2137"/>
        <v>15149.720000000001</v>
      </c>
      <c r="AA891" s="3262">
        <v>406.89</v>
      </c>
      <c r="AB891" s="1243">
        <f t="shared" si="2138"/>
        <v>15556.61</v>
      </c>
      <c r="AC891" s="3262">
        <v>2074.52</v>
      </c>
      <c r="AD891" s="713">
        <f t="shared" si="2156"/>
        <v>6628.76</v>
      </c>
      <c r="AE891" s="1290">
        <f t="shared" si="2157"/>
        <v>14910.140000000001</v>
      </c>
      <c r="AF891" s="712">
        <f t="shared" si="2158"/>
        <v>17631.13</v>
      </c>
    </row>
    <row r="892" spans="3:34" ht="35" customHeight="1" x14ac:dyDescent="0.25">
      <c r="C892" s="338"/>
      <c r="D892" s="8425"/>
      <c r="E892" s="4607" t="s">
        <v>1680</v>
      </c>
      <c r="F892" s="3262"/>
      <c r="G892" s="3262"/>
      <c r="H892" s="472">
        <f t="shared" si="2142"/>
        <v>0</v>
      </c>
      <c r="I892" s="3262"/>
      <c r="J892" s="313">
        <f t="shared" si="2162"/>
        <v>0</v>
      </c>
      <c r="K892" s="3262"/>
      <c r="L892" s="475">
        <f t="shared" si="2143"/>
        <v>0</v>
      </c>
      <c r="M892" s="3262">
        <v>335.54</v>
      </c>
      <c r="N892" s="86">
        <f t="shared" si="2150"/>
        <v>335.54</v>
      </c>
      <c r="O892" s="3262">
        <v>0</v>
      </c>
      <c r="P892" s="304">
        <f t="shared" si="2151"/>
        <v>335.54</v>
      </c>
      <c r="Q892" s="2143">
        <f t="shared" si="2152"/>
        <v>335.54</v>
      </c>
      <c r="R892" s="3262"/>
      <c r="S892" s="86">
        <f t="shared" si="2153"/>
        <v>335.54</v>
      </c>
      <c r="T892" s="3262">
        <v>848.4</v>
      </c>
      <c r="U892" s="86">
        <f t="shared" si="2134"/>
        <v>1183.94</v>
      </c>
      <c r="V892" s="3262"/>
      <c r="W892" s="74">
        <f t="shared" si="2154"/>
        <v>848.4</v>
      </c>
      <c r="X892" s="78">
        <f t="shared" si="2155"/>
        <v>1183.94</v>
      </c>
      <c r="Y892" s="3262"/>
      <c r="Z892" s="86">
        <f t="shared" si="2137"/>
        <v>1183.94</v>
      </c>
      <c r="AA892" s="3262"/>
      <c r="AB892" s="1243">
        <f t="shared" si="2138"/>
        <v>1183.94</v>
      </c>
      <c r="AC892" s="3262"/>
      <c r="AD892" s="713">
        <f t="shared" si="2156"/>
        <v>0</v>
      </c>
      <c r="AE892" s="1290">
        <f t="shared" si="2157"/>
        <v>848.4</v>
      </c>
      <c r="AF892" s="712">
        <f t="shared" si="2158"/>
        <v>1183.94</v>
      </c>
    </row>
    <row r="893" spans="3:34" ht="35" customHeight="1" x14ac:dyDescent="0.25">
      <c r="C893" s="338"/>
      <c r="D893" s="8425"/>
      <c r="E893" s="4607" t="s">
        <v>1547</v>
      </c>
      <c r="F893" s="3262"/>
      <c r="G893" s="3262"/>
      <c r="H893" s="472">
        <f t="shared" si="2142"/>
        <v>0</v>
      </c>
      <c r="I893" s="3262"/>
      <c r="J893" s="313">
        <f t="shared" si="2162"/>
        <v>0</v>
      </c>
      <c r="K893" s="3262"/>
      <c r="L893" s="475">
        <f t="shared" si="2143"/>
        <v>0</v>
      </c>
      <c r="M893" s="3262">
        <v>2570.62</v>
      </c>
      <c r="N893" s="86">
        <f t="shared" si="2150"/>
        <v>2570.62</v>
      </c>
      <c r="O893" s="3262">
        <v>8454.5999999999985</v>
      </c>
      <c r="P893" s="304">
        <f t="shared" si="2151"/>
        <v>11025.219999999998</v>
      </c>
      <c r="Q893" s="2143">
        <f t="shared" si="2152"/>
        <v>11025.219999999998</v>
      </c>
      <c r="R893" s="3262"/>
      <c r="S893" s="86">
        <f t="shared" si="2153"/>
        <v>11025.219999999998</v>
      </c>
      <c r="T893" s="3262">
        <v>1505.21</v>
      </c>
      <c r="U893" s="86">
        <f t="shared" si="2134"/>
        <v>12530.429999999997</v>
      </c>
      <c r="V893" s="3262">
        <f>617.56+905.079</f>
        <v>1522.6389999999999</v>
      </c>
      <c r="W893" s="74">
        <f t="shared" si="2154"/>
        <v>3027.8490000000002</v>
      </c>
      <c r="X893" s="78">
        <f t="shared" si="2155"/>
        <v>14053.068999999996</v>
      </c>
      <c r="Y893" s="3262"/>
      <c r="Z893" s="86">
        <f t="shared" si="2137"/>
        <v>14053.068999999996</v>
      </c>
      <c r="AA893" s="3262"/>
      <c r="AB893" s="1243">
        <f t="shared" si="2138"/>
        <v>14053.068999999996</v>
      </c>
      <c r="AC893" s="3262">
        <v>1572.04</v>
      </c>
      <c r="AD893" s="713">
        <f t="shared" si="2156"/>
        <v>1572.04</v>
      </c>
      <c r="AE893" s="1290">
        <f t="shared" si="2157"/>
        <v>4599.8890000000001</v>
      </c>
      <c r="AF893" s="712">
        <f t="shared" si="2158"/>
        <v>15625.108999999997</v>
      </c>
    </row>
    <row r="894" spans="3:34" ht="34.5" customHeight="1" x14ac:dyDescent="0.25">
      <c r="C894" s="338"/>
      <c r="D894" s="8425"/>
      <c r="E894" s="4607" t="s">
        <v>1555</v>
      </c>
      <c r="F894" s="3262"/>
      <c r="G894" s="3262"/>
      <c r="H894" s="472">
        <f t="shared" si="2142"/>
        <v>0</v>
      </c>
      <c r="I894" s="3262"/>
      <c r="J894" s="313">
        <f t="shared" si="2162"/>
        <v>0</v>
      </c>
      <c r="K894" s="3262"/>
      <c r="L894" s="475">
        <f t="shared" si="2143"/>
        <v>0</v>
      </c>
      <c r="M894" s="3262">
        <v>4883.0999999999995</v>
      </c>
      <c r="N894" s="86">
        <f t="shared" si="2150"/>
        <v>4883.0999999999995</v>
      </c>
      <c r="O894" s="3262">
        <v>2317.4199999999996</v>
      </c>
      <c r="P894" s="304">
        <f t="shared" si="2151"/>
        <v>7200.5199999999986</v>
      </c>
      <c r="Q894" s="2143">
        <f t="shared" si="2152"/>
        <v>7200.5199999999986</v>
      </c>
      <c r="R894" s="3262">
        <v>4540.42</v>
      </c>
      <c r="S894" s="86">
        <f t="shared" si="2153"/>
        <v>11740.939999999999</v>
      </c>
      <c r="T894" s="3262">
        <v>5128.6100000000024</v>
      </c>
      <c r="U894" s="86">
        <f t="shared" si="2134"/>
        <v>16869.550000000003</v>
      </c>
      <c r="V894" s="3262">
        <f>167.9+4326.022</f>
        <v>4493.9219999999996</v>
      </c>
      <c r="W894" s="74">
        <f t="shared" si="2154"/>
        <v>14162.952000000001</v>
      </c>
      <c r="X894" s="78">
        <f t="shared" si="2155"/>
        <v>21363.472000000002</v>
      </c>
      <c r="Y894" s="3262">
        <v>120.41</v>
      </c>
      <c r="Z894" s="86">
        <f t="shared" si="2137"/>
        <v>21483.882000000001</v>
      </c>
      <c r="AA894" s="3262">
        <v>7556.9460000000008</v>
      </c>
      <c r="AB894" s="1243">
        <f t="shared" si="2138"/>
        <v>29040.828000000001</v>
      </c>
      <c r="AC894" s="3262">
        <v>6408.7679999999973</v>
      </c>
      <c r="AD894" s="713">
        <f t="shared" si="2156"/>
        <v>14086.123999999998</v>
      </c>
      <c r="AE894" s="1290">
        <f t="shared" si="2157"/>
        <v>28249.076000000001</v>
      </c>
      <c r="AF894" s="712">
        <f t="shared" si="2158"/>
        <v>35449.595999999998</v>
      </c>
    </row>
    <row r="895" spans="3:34" ht="34.5" customHeight="1" x14ac:dyDescent="0.25">
      <c r="C895" s="338"/>
      <c r="D895" s="8425"/>
      <c r="E895" s="4607" t="s">
        <v>1737</v>
      </c>
      <c r="F895" s="3262"/>
      <c r="G895" s="3262"/>
      <c r="H895" s="472">
        <f t="shared" si="2142"/>
        <v>0</v>
      </c>
      <c r="I895" s="3262"/>
      <c r="J895" s="313">
        <f t="shared" si="2162"/>
        <v>0</v>
      </c>
      <c r="K895" s="3262"/>
      <c r="L895" s="475">
        <f t="shared" si="2143"/>
        <v>0</v>
      </c>
      <c r="M895" s="3262">
        <v>0</v>
      </c>
      <c r="N895" s="86">
        <f t="shared" si="2150"/>
        <v>0</v>
      </c>
      <c r="O895" s="3262">
        <v>0</v>
      </c>
      <c r="P895" s="304">
        <f t="shared" si="2151"/>
        <v>0</v>
      </c>
      <c r="Q895" s="2143">
        <f t="shared" si="2152"/>
        <v>0</v>
      </c>
      <c r="R895" s="3262"/>
      <c r="S895" s="86">
        <f t="shared" si="2153"/>
        <v>0</v>
      </c>
      <c r="T895" s="3262">
        <v>346.54</v>
      </c>
      <c r="U895" s="86">
        <f t="shared" si="2134"/>
        <v>346.54</v>
      </c>
      <c r="V895" s="3262"/>
      <c r="W895" s="74">
        <f t="shared" si="2154"/>
        <v>346.54</v>
      </c>
      <c r="X895" s="78">
        <f t="shared" si="2155"/>
        <v>346.54</v>
      </c>
      <c r="Y895" s="3262">
        <v>172.92000000000002</v>
      </c>
      <c r="Z895" s="86">
        <f t="shared" si="2137"/>
        <v>519.46</v>
      </c>
      <c r="AA895" s="3262"/>
      <c r="AB895" s="1243">
        <f t="shared" si="2138"/>
        <v>519.46</v>
      </c>
      <c r="AC895" s="3262"/>
      <c r="AD895" s="713">
        <f t="shared" si="2156"/>
        <v>172.92000000000002</v>
      </c>
      <c r="AE895" s="1290">
        <f t="shared" si="2157"/>
        <v>519.46</v>
      </c>
      <c r="AF895" s="712">
        <f t="shared" si="2158"/>
        <v>519.46</v>
      </c>
    </row>
    <row r="896" spans="3:34" ht="35" customHeight="1" x14ac:dyDescent="0.25">
      <c r="C896" s="338"/>
      <c r="D896" s="8425"/>
      <c r="E896" s="4607" t="s">
        <v>1546</v>
      </c>
      <c r="F896" s="3262"/>
      <c r="G896" s="3262"/>
      <c r="H896" s="472">
        <f t="shared" si="2142"/>
        <v>0</v>
      </c>
      <c r="I896" s="3262"/>
      <c r="J896" s="313">
        <f t="shared" si="2162"/>
        <v>0</v>
      </c>
      <c r="K896" s="3262"/>
      <c r="L896" s="475">
        <f t="shared" si="2143"/>
        <v>0</v>
      </c>
      <c r="M896" s="3262">
        <v>8488.7100000000046</v>
      </c>
      <c r="N896" s="86">
        <f t="shared" si="2150"/>
        <v>8488.7100000000046</v>
      </c>
      <c r="O896" s="3262">
        <v>0</v>
      </c>
      <c r="P896" s="304">
        <f t="shared" si="2151"/>
        <v>8488.7100000000046</v>
      </c>
      <c r="Q896" s="2143">
        <f t="shared" si="2152"/>
        <v>8488.7100000000046</v>
      </c>
      <c r="R896" s="3262"/>
      <c r="S896" s="86">
        <f t="shared" si="2153"/>
        <v>8488.7100000000046</v>
      </c>
      <c r="T896" s="3262"/>
      <c r="U896" s="86">
        <f t="shared" si="2134"/>
        <v>8488.7100000000046</v>
      </c>
      <c r="V896" s="3262"/>
      <c r="W896" s="74">
        <f t="shared" si="2154"/>
        <v>0</v>
      </c>
      <c r="X896" s="78">
        <f t="shared" si="2155"/>
        <v>8488.7100000000046</v>
      </c>
      <c r="Y896" s="3262"/>
      <c r="Z896" s="86">
        <f t="shared" si="2137"/>
        <v>8488.7100000000046</v>
      </c>
      <c r="AA896" s="3262"/>
      <c r="AB896" s="1243">
        <f t="shared" si="2138"/>
        <v>8488.7100000000046</v>
      </c>
      <c r="AC896" s="3262"/>
      <c r="AD896" s="713">
        <f t="shared" si="2156"/>
        <v>0</v>
      </c>
      <c r="AE896" s="1290">
        <f t="shared" si="2157"/>
        <v>0</v>
      </c>
      <c r="AF896" s="712">
        <f t="shared" si="2158"/>
        <v>8488.7100000000046</v>
      </c>
    </row>
    <row r="897" spans="3:77" ht="34.5" customHeight="1" x14ac:dyDescent="0.25">
      <c r="C897" s="338"/>
      <c r="D897" s="8425"/>
      <c r="E897" s="4607" t="s">
        <v>1554</v>
      </c>
      <c r="F897" s="3262"/>
      <c r="G897" s="3262"/>
      <c r="H897" s="472">
        <f t="shared" si="2142"/>
        <v>0</v>
      </c>
      <c r="I897" s="3262"/>
      <c r="J897" s="313">
        <f t="shared" si="2162"/>
        <v>0</v>
      </c>
      <c r="K897" s="3262"/>
      <c r="L897" s="475">
        <f t="shared" si="2143"/>
        <v>0</v>
      </c>
      <c r="M897" s="3262">
        <v>3339.1199999999994</v>
      </c>
      <c r="N897" s="86">
        <f t="shared" si="2150"/>
        <v>3339.1199999999994</v>
      </c>
      <c r="O897" s="3262">
        <v>1376.0799999999997</v>
      </c>
      <c r="P897" s="304">
        <f t="shared" si="2151"/>
        <v>4715.1999999999989</v>
      </c>
      <c r="Q897" s="2143">
        <f t="shared" si="2152"/>
        <v>4715.1999999999989</v>
      </c>
      <c r="R897" s="3262">
        <v>4772.2200000000012</v>
      </c>
      <c r="S897" s="86">
        <f t="shared" si="2153"/>
        <v>9487.42</v>
      </c>
      <c r="T897" s="3262"/>
      <c r="U897" s="86">
        <f t="shared" si="2134"/>
        <v>9487.42</v>
      </c>
      <c r="V897" s="3262"/>
      <c r="W897" s="74">
        <f t="shared" si="2154"/>
        <v>4772.2200000000012</v>
      </c>
      <c r="X897" s="78">
        <f t="shared" si="2155"/>
        <v>9487.42</v>
      </c>
      <c r="Y897" s="3262"/>
      <c r="Z897" s="86">
        <f t="shared" si="2137"/>
        <v>9487.42</v>
      </c>
      <c r="AA897" s="3262">
        <v>4454.2830000000004</v>
      </c>
      <c r="AB897" s="1243">
        <f t="shared" si="2138"/>
        <v>13941.703000000001</v>
      </c>
      <c r="AC897" s="3262"/>
      <c r="AD897" s="713">
        <f t="shared" si="2156"/>
        <v>4454.2830000000004</v>
      </c>
      <c r="AE897" s="1290">
        <f t="shared" si="2157"/>
        <v>9226.5030000000006</v>
      </c>
      <c r="AF897" s="712">
        <f t="shared" si="2158"/>
        <v>13941.703000000001</v>
      </c>
    </row>
    <row r="898" spans="3:77" ht="34.5" customHeight="1" x14ac:dyDescent="0.25">
      <c r="C898" s="338"/>
      <c r="D898" s="8425"/>
      <c r="E898" s="4607"/>
      <c r="F898" s="3262"/>
      <c r="G898" s="3262"/>
      <c r="H898" s="472">
        <f t="shared" si="2142"/>
        <v>0</v>
      </c>
      <c r="I898" s="3262"/>
      <c r="J898" s="313">
        <f t="shared" si="2162"/>
        <v>0</v>
      </c>
      <c r="K898" s="3262"/>
      <c r="L898" s="475">
        <f t="shared" si="2143"/>
        <v>0</v>
      </c>
      <c r="M898" s="3262">
        <v>0</v>
      </c>
      <c r="N898" s="86">
        <f t="shared" si="2150"/>
        <v>0</v>
      </c>
      <c r="O898" s="3262">
        <v>0</v>
      </c>
      <c r="P898" s="304">
        <f t="shared" si="2151"/>
        <v>0</v>
      </c>
      <c r="Q898" s="2143">
        <f t="shared" si="2152"/>
        <v>0</v>
      </c>
      <c r="R898" s="3262"/>
      <c r="S898" s="86">
        <f t="shared" si="2153"/>
        <v>0</v>
      </c>
      <c r="T898" s="3262"/>
      <c r="U898" s="86">
        <f t="shared" si="2134"/>
        <v>0</v>
      </c>
      <c r="V898" s="3262"/>
      <c r="W898" s="74">
        <f t="shared" si="2154"/>
        <v>0</v>
      </c>
      <c r="X898" s="78">
        <f t="shared" si="2155"/>
        <v>0</v>
      </c>
      <c r="Y898" s="3262"/>
      <c r="Z898" s="86">
        <f t="shared" si="2137"/>
        <v>0</v>
      </c>
      <c r="AA898" s="3262"/>
      <c r="AB898" s="1243">
        <f t="shared" si="2138"/>
        <v>0</v>
      </c>
      <c r="AC898" s="3262"/>
      <c r="AD898" s="713">
        <f t="shared" si="2156"/>
        <v>0</v>
      </c>
      <c r="AE898" s="1290">
        <f t="shared" si="2157"/>
        <v>0</v>
      </c>
      <c r="AF898" s="712">
        <f t="shared" si="2158"/>
        <v>0</v>
      </c>
      <c r="AI898" s="4756">
        <f>36404-V902</f>
        <v>-32.64100000000326</v>
      </c>
    </row>
    <row r="899" spans="3:77" ht="35" customHeight="1" x14ac:dyDescent="0.25">
      <c r="C899" s="338"/>
      <c r="D899" s="8425"/>
      <c r="E899" s="4607"/>
      <c r="F899" s="3262"/>
      <c r="G899" s="3262"/>
      <c r="H899" s="472">
        <f t="shared" si="2142"/>
        <v>0</v>
      </c>
      <c r="I899" s="3262"/>
      <c r="J899" s="313">
        <f t="shared" si="2162"/>
        <v>0</v>
      </c>
      <c r="K899" s="3262"/>
      <c r="L899" s="475">
        <f t="shared" si="2143"/>
        <v>0</v>
      </c>
      <c r="M899" s="3262">
        <v>0</v>
      </c>
      <c r="N899" s="86">
        <f t="shared" si="2150"/>
        <v>0</v>
      </c>
      <c r="O899" s="3262">
        <v>0</v>
      </c>
      <c r="P899" s="304">
        <f t="shared" si="2151"/>
        <v>0</v>
      </c>
      <c r="Q899" s="2143">
        <f t="shared" si="2152"/>
        <v>0</v>
      </c>
      <c r="R899" s="3262"/>
      <c r="S899" s="86">
        <f t="shared" si="2153"/>
        <v>0</v>
      </c>
      <c r="T899" s="3262"/>
      <c r="U899" s="86">
        <f t="shared" si="2134"/>
        <v>0</v>
      </c>
      <c r="V899" s="3262"/>
      <c r="W899" s="74">
        <f t="shared" si="2154"/>
        <v>0</v>
      </c>
      <c r="X899" s="78">
        <f t="shared" si="2155"/>
        <v>0</v>
      </c>
      <c r="Y899" s="3262"/>
      <c r="Z899" s="86">
        <f t="shared" si="2137"/>
        <v>0</v>
      </c>
      <c r="AA899" s="3262"/>
      <c r="AB899" s="1243">
        <f t="shared" si="2138"/>
        <v>0</v>
      </c>
      <c r="AC899" s="3262"/>
      <c r="AD899" s="713">
        <f t="shared" si="2156"/>
        <v>0</v>
      </c>
      <c r="AE899" s="1290">
        <f t="shared" si="2157"/>
        <v>0</v>
      </c>
      <c r="AF899" s="712">
        <f t="shared" si="2158"/>
        <v>0</v>
      </c>
    </row>
    <row r="900" spans="3:77" ht="35" customHeight="1" x14ac:dyDescent="0.25">
      <c r="C900" s="338"/>
      <c r="D900" s="8425"/>
      <c r="E900" s="4607"/>
      <c r="F900" s="3262"/>
      <c r="G900" s="3262"/>
      <c r="H900" s="472">
        <f t="shared" si="2142"/>
        <v>0</v>
      </c>
      <c r="I900" s="3262"/>
      <c r="J900" s="313">
        <f t="shared" si="2162"/>
        <v>0</v>
      </c>
      <c r="K900" s="3262"/>
      <c r="L900" s="475">
        <f t="shared" si="2143"/>
        <v>0</v>
      </c>
      <c r="M900" s="3262">
        <v>0</v>
      </c>
      <c r="N900" s="86">
        <f t="shared" si="2150"/>
        <v>0</v>
      </c>
      <c r="O900" s="3262">
        <v>0</v>
      </c>
      <c r="P900" s="304">
        <f t="shared" si="2151"/>
        <v>0</v>
      </c>
      <c r="Q900" s="2143">
        <f t="shared" si="2152"/>
        <v>0</v>
      </c>
      <c r="R900" s="3262"/>
      <c r="S900" s="86">
        <f t="shared" si="2153"/>
        <v>0</v>
      </c>
      <c r="T900" s="3262"/>
      <c r="U900" s="86">
        <f t="shared" si="2134"/>
        <v>0</v>
      </c>
      <c r="V900" s="3262"/>
      <c r="W900" s="74">
        <f t="shared" si="2154"/>
        <v>0</v>
      </c>
      <c r="X900" s="78">
        <f t="shared" si="2155"/>
        <v>0</v>
      </c>
      <c r="Y900" s="3262"/>
      <c r="Z900" s="86">
        <f t="shared" si="2137"/>
        <v>0</v>
      </c>
      <c r="AA900" s="3262"/>
      <c r="AB900" s="1243">
        <f t="shared" si="2138"/>
        <v>0</v>
      </c>
      <c r="AC900" s="3262"/>
      <c r="AD900" s="713">
        <f t="shared" si="2156"/>
        <v>0</v>
      </c>
      <c r="AE900" s="1290">
        <f t="shared" si="2157"/>
        <v>0</v>
      </c>
      <c r="AF900" s="712">
        <f t="shared" si="2158"/>
        <v>0</v>
      </c>
    </row>
    <row r="901" spans="3:77" ht="35" customHeight="1" thickBot="1" x14ac:dyDescent="0.35">
      <c r="C901" s="338"/>
      <c r="D901" s="8425"/>
      <c r="E901" s="3954" t="s">
        <v>1227</v>
      </c>
      <c r="F901" s="3638">
        <f>+F63</f>
        <v>0</v>
      </c>
      <c r="G901" s="3638">
        <f>+G63</f>
        <v>0</v>
      </c>
      <c r="H901" s="472">
        <f t="shared" ref="H901" si="2163">SUM(F901:G901)</f>
        <v>0</v>
      </c>
      <c r="I901" s="3638">
        <f>+I63</f>
        <v>0</v>
      </c>
      <c r="J901" s="313">
        <f t="shared" si="2162"/>
        <v>0</v>
      </c>
      <c r="K901" s="3638">
        <f>+K63</f>
        <v>0</v>
      </c>
      <c r="L901" s="475">
        <f t="shared" ref="L901" si="2164">SUM(J901:K901)</f>
        <v>0</v>
      </c>
      <c r="M901" s="3638">
        <f>+M63</f>
        <v>48.019999999999996</v>
      </c>
      <c r="N901" s="86">
        <f t="shared" si="2150"/>
        <v>48.019999999999996</v>
      </c>
      <c r="O901" s="3638">
        <f>+O63</f>
        <v>0</v>
      </c>
      <c r="P901" s="304">
        <f t="shared" si="2151"/>
        <v>48.019999999999996</v>
      </c>
      <c r="Q901" s="2143">
        <f t="shared" si="2152"/>
        <v>48.019999999999996</v>
      </c>
      <c r="R901" s="3638">
        <f>+R63</f>
        <v>0</v>
      </c>
      <c r="S901" s="86">
        <f t="shared" si="2153"/>
        <v>48.019999999999996</v>
      </c>
      <c r="T901" s="3638">
        <f>+T63</f>
        <v>0</v>
      </c>
      <c r="U901" s="86">
        <f t="shared" si="2134"/>
        <v>48.019999999999996</v>
      </c>
      <c r="V901" s="3638">
        <f>+V63</f>
        <v>0</v>
      </c>
      <c r="W901" s="74">
        <f t="shared" si="2154"/>
        <v>0</v>
      </c>
      <c r="X901" s="78">
        <f t="shared" si="2155"/>
        <v>48.019999999999996</v>
      </c>
      <c r="Y901" s="3638">
        <f>+Y63</f>
        <v>0</v>
      </c>
      <c r="Z901" s="86">
        <f t="shared" si="2137"/>
        <v>48.019999999999996</v>
      </c>
      <c r="AA901" s="3638">
        <f>+AA63</f>
        <v>0</v>
      </c>
      <c r="AB901" s="1243">
        <f t="shared" si="2138"/>
        <v>48.019999999999996</v>
      </c>
      <c r="AC901" s="3638">
        <f>+AC63</f>
        <v>0</v>
      </c>
      <c r="AD901" s="713">
        <f t="shared" si="2156"/>
        <v>0</v>
      </c>
      <c r="AE901" s="1290">
        <f t="shared" si="2157"/>
        <v>0</v>
      </c>
      <c r="AF901" s="712">
        <f t="shared" si="2158"/>
        <v>48.019999999999996</v>
      </c>
      <c r="BY901" s="4598"/>
    </row>
    <row r="902" spans="3:77" ht="34.5" customHeight="1" thickBot="1" x14ac:dyDescent="0.3">
      <c r="C902" s="338"/>
      <c r="D902" s="8425"/>
      <c r="E902" s="3955" t="s">
        <v>128</v>
      </c>
      <c r="F902" s="161">
        <f t="shared" ref="F902:G902" si="2165">SUM(F851:F901)</f>
        <v>0</v>
      </c>
      <c r="G902" s="161">
        <f t="shared" si="2165"/>
        <v>0</v>
      </c>
      <c r="H902" s="250">
        <f t="shared" ref="H902:AF902" si="2166">SUM(H851:H901)</f>
        <v>0</v>
      </c>
      <c r="I902" s="161">
        <f t="shared" ref="I902" si="2167">SUM(I851:I901)</f>
        <v>0</v>
      </c>
      <c r="J902" s="249">
        <f t="shared" si="2166"/>
        <v>0</v>
      </c>
      <c r="K902" s="161">
        <f t="shared" si="2166"/>
        <v>0</v>
      </c>
      <c r="L902" s="250">
        <f t="shared" si="2166"/>
        <v>0</v>
      </c>
      <c r="M902" s="161">
        <f t="shared" si="2166"/>
        <v>31052.730000000003</v>
      </c>
      <c r="N902" s="250">
        <f t="shared" si="2166"/>
        <v>31052.730000000003</v>
      </c>
      <c r="O902" s="161">
        <f t="shared" si="2166"/>
        <v>33337.33</v>
      </c>
      <c r="P902" s="249">
        <f t="shared" si="2166"/>
        <v>64390.06</v>
      </c>
      <c r="Q902" s="236">
        <f t="shared" si="2166"/>
        <v>64390.06</v>
      </c>
      <c r="R902" s="161">
        <f t="shared" si="2166"/>
        <v>28943.090000000004</v>
      </c>
      <c r="S902" s="250">
        <f t="shared" si="2166"/>
        <v>93333.150000000009</v>
      </c>
      <c r="T902" s="161">
        <f t="shared" si="2166"/>
        <v>39591.170000000006</v>
      </c>
      <c r="U902" s="250">
        <f t="shared" si="2166"/>
        <v>132924.32</v>
      </c>
      <c r="V902" s="161">
        <f t="shared" si="2166"/>
        <v>36436.641000000003</v>
      </c>
      <c r="W902" s="249">
        <f t="shared" si="2166"/>
        <v>104970.90099999998</v>
      </c>
      <c r="X902" s="250">
        <f t="shared" si="2166"/>
        <v>169360.96099999998</v>
      </c>
      <c r="Y902" s="161">
        <f t="shared" si="2166"/>
        <v>39648.518000000004</v>
      </c>
      <c r="Z902" s="250">
        <f t="shared" si="2166"/>
        <v>209009.47899999999</v>
      </c>
      <c r="AA902" s="161">
        <f t="shared" si="2166"/>
        <v>31645.453999999998</v>
      </c>
      <c r="AB902" s="250">
        <f t="shared" si="2166"/>
        <v>240654.93300000002</v>
      </c>
      <c r="AC902" s="161">
        <f t="shared" si="2166"/>
        <v>30983.580999999995</v>
      </c>
      <c r="AD902" s="704">
        <f t="shared" si="2166"/>
        <v>102277.55299999997</v>
      </c>
      <c r="AE902" s="775">
        <f t="shared" si="2166"/>
        <v>207248.454</v>
      </c>
      <c r="AF902" s="575">
        <f t="shared" si="2166"/>
        <v>271638.51399999997</v>
      </c>
    </row>
    <row r="903" spans="3:77" ht="35" customHeight="1" thickBot="1" x14ac:dyDescent="0.3">
      <c r="C903" s="338"/>
      <c r="D903" s="8438"/>
      <c r="E903" s="4995"/>
      <c r="F903" s="3722"/>
      <c r="G903" s="3722"/>
      <c r="H903" s="3721"/>
      <c r="I903" s="3722"/>
      <c r="J903" s="3721"/>
      <c r="K903" s="3722"/>
      <c r="L903" s="3722"/>
      <c r="M903" s="3722"/>
      <c r="N903" s="2192"/>
      <c r="O903" s="3722"/>
      <c r="P903" s="2192"/>
      <c r="Q903" s="2192"/>
      <c r="R903" s="3722"/>
      <c r="S903" s="2192"/>
      <c r="T903" s="3722"/>
      <c r="U903" s="2192"/>
      <c r="V903" s="3722"/>
      <c r="W903" s="2192"/>
      <c r="X903" s="2192"/>
      <c r="Y903" s="3722"/>
      <c r="Z903" s="2192"/>
      <c r="AA903" s="3722"/>
      <c r="AB903" s="2192"/>
      <c r="AC903" s="3722"/>
      <c r="AD903" s="1407"/>
      <c r="AE903" s="1407"/>
      <c r="AF903" s="2507"/>
    </row>
    <row r="904" spans="3:77" ht="35" customHeight="1" x14ac:dyDescent="0.25">
      <c r="C904" s="338"/>
      <c r="D904" s="8450">
        <v>37.049999999999997</v>
      </c>
      <c r="E904" s="4996" t="s">
        <v>185</v>
      </c>
      <c r="F904" s="3725">
        <f>+F6</f>
        <v>30</v>
      </c>
      <c r="G904" s="3725">
        <f>+G6</f>
        <v>31</v>
      </c>
      <c r="H904" s="3723">
        <f>SUM(F904:G904)</f>
        <v>61</v>
      </c>
      <c r="I904" s="3725">
        <f>+I6</f>
        <v>30</v>
      </c>
      <c r="J904" s="3724">
        <f>SUM(H904:I904)</f>
        <v>91</v>
      </c>
      <c r="K904" s="3725">
        <f>+K6</f>
        <v>31</v>
      </c>
      <c r="L904" s="3725">
        <f>SUM(J904:K904)</f>
        <v>122</v>
      </c>
      <c r="M904" s="3725">
        <v>31</v>
      </c>
      <c r="N904" s="2355">
        <f>SUM(L904:M904)</f>
        <v>153</v>
      </c>
      <c r="O904" s="3725">
        <v>30</v>
      </c>
      <c r="P904" s="2355">
        <f>+K904+M904+O904</f>
        <v>92</v>
      </c>
      <c r="Q904" s="2508">
        <f>+N904+O904</f>
        <v>183</v>
      </c>
      <c r="R904" s="3725">
        <v>31</v>
      </c>
      <c r="S904" s="2356">
        <f>+Q904+R904</f>
        <v>214</v>
      </c>
      <c r="T904" s="3725">
        <v>30</v>
      </c>
      <c r="U904" s="2356">
        <f>SUM(S904:T904)</f>
        <v>244</v>
      </c>
      <c r="V904" s="3725">
        <v>31</v>
      </c>
      <c r="W904" s="2356">
        <f>+R904+T904+V904</f>
        <v>92</v>
      </c>
      <c r="X904" s="2356">
        <f>+U904+V904</f>
        <v>275</v>
      </c>
      <c r="Y904" s="3725">
        <v>31</v>
      </c>
      <c r="Z904" s="2356">
        <f>SUM(X904:Y904)</f>
        <v>306</v>
      </c>
      <c r="AA904" s="3725">
        <v>29</v>
      </c>
      <c r="AB904" s="2356">
        <f>SUM(Z904:AA904)</f>
        <v>335</v>
      </c>
      <c r="AC904" s="3725">
        <v>31</v>
      </c>
      <c r="AD904" s="2356">
        <f>+Y904+AA904+AC904</f>
        <v>91</v>
      </c>
      <c r="AE904" s="2356">
        <f>+W904+AD904</f>
        <v>183</v>
      </c>
      <c r="AF904" s="2508">
        <f>+AB904+AC904</f>
        <v>366</v>
      </c>
    </row>
    <row r="905" spans="3:77" ht="35" customHeight="1" x14ac:dyDescent="0.25">
      <c r="C905" s="338"/>
      <c r="D905" s="8445"/>
      <c r="E905" s="4997" t="s">
        <v>295</v>
      </c>
      <c r="F905" s="80">
        <f>+F904*24</f>
        <v>720</v>
      </c>
      <c r="G905" s="80">
        <f>+G904*24</f>
        <v>744</v>
      </c>
      <c r="H905" s="363">
        <f>SUM(F905:G905)</f>
        <v>1464</v>
      </c>
      <c r="I905" s="80">
        <f>+I904*24</f>
        <v>720</v>
      </c>
      <c r="J905" s="304">
        <f>SUM(H905:I905)</f>
        <v>2184</v>
      </c>
      <c r="K905" s="80">
        <f>+K904*24</f>
        <v>744</v>
      </c>
      <c r="L905" s="363">
        <f>SUM(J905:K905)</f>
        <v>2928</v>
      </c>
      <c r="M905" s="80">
        <f>+M904*24</f>
        <v>744</v>
      </c>
      <c r="N905" s="78">
        <f>SUM(L905:M905)</f>
        <v>3672</v>
      </c>
      <c r="O905" s="80">
        <f>+O904*24</f>
        <v>720</v>
      </c>
      <c r="P905" s="558">
        <f>+K905+M905+O905</f>
        <v>2208</v>
      </c>
      <c r="Q905" s="2144">
        <f>+J905+P905</f>
        <v>4392</v>
      </c>
      <c r="R905" s="80">
        <f>+R904*24</f>
        <v>744</v>
      </c>
      <c r="S905" s="363">
        <f>SUM(Q905:R905)</f>
        <v>5136</v>
      </c>
      <c r="T905" s="80">
        <f>+T904*24</f>
        <v>720</v>
      </c>
      <c r="U905" s="363">
        <f>SUM(S905:T905)</f>
        <v>5856</v>
      </c>
      <c r="V905" s="80">
        <f>+V904*24</f>
        <v>744</v>
      </c>
      <c r="W905" s="79">
        <f>+R905+T905+V905</f>
        <v>2208</v>
      </c>
      <c r="X905" s="1207">
        <f>+U905+V905</f>
        <v>6600</v>
      </c>
      <c r="Y905" s="80">
        <f>+Y904*24</f>
        <v>744</v>
      </c>
      <c r="Z905" s="363">
        <f>SUM(X905:Y905)</f>
        <v>7344</v>
      </c>
      <c r="AA905" s="80">
        <f>+AA904*24</f>
        <v>696</v>
      </c>
      <c r="AB905" s="363">
        <f>SUM(Z905:AA905)</f>
        <v>8040</v>
      </c>
      <c r="AC905" s="80">
        <f>+AC904*24</f>
        <v>744</v>
      </c>
      <c r="AD905" s="1291">
        <f>+Y905+AA905+AC905</f>
        <v>2184</v>
      </c>
      <c r="AE905" s="1292">
        <f>+W905+AD905</f>
        <v>4392</v>
      </c>
      <c r="AF905" s="712">
        <f>+AB905+AC905</f>
        <v>8784</v>
      </c>
    </row>
    <row r="906" spans="3:77" ht="35" customHeight="1" x14ac:dyDescent="0.25">
      <c r="C906" s="338"/>
      <c r="D906" s="8445"/>
      <c r="E906" s="4998" t="s">
        <v>1102</v>
      </c>
      <c r="F906" s="153">
        <f t="shared" ref="F906:G906" si="2168">+F907/F905*100</f>
        <v>41.006944444444443</v>
      </c>
      <c r="G906" s="153">
        <f t="shared" si="2168"/>
        <v>41.397849462365592</v>
      </c>
      <c r="H906" s="246">
        <f t="shared" ref="H906:I906" si="2169">+H907/H905*100</f>
        <v>41.205601092896174</v>
      </c>
      <c r="I906" s="153">
        <f t="shared" si="2169"/>
        <v>73.138888888888886</v>
      </c>
      <c r="J906" s="245">
        <f t="shared" ref="J906:K906" si="2170">+J907/J905*100</f>
        <v>51.733058608058599</v>
      </c>
      <c r="K906" s="153">
        <f t="shared" si="2170"/>
        <v>0</v>
      </c>
      <c r="L906" s="246">
        <f t="shared" ref="L906:M906" si="2171">+L907/L905*100</f>
        <v>38.587773224043715</v>
      </c>
      <c r="M906" s="153">
        <f t="shared" si="2171"/>
        <v>82.620967741935488</v>
      </c>
      <c r="N906" s="246">
        <f t="shared" ref="N906:O906" si="2172">+N907/N905*100</f>
        <v>47.509531590413943</v>
      </c>
      <c r="O906" s="153">
        <f t="shared" si="2172"/>
        <v>80.968055555555566</v>
      </c>
      <c r="P906" s="245">
        <f t="shared" ref="P906:AF906" si="2173">+P907/P905*100</f>
        <v>54.24230072463768</v>
      </c>
      <c r="Q906" s="240">
        <f t="shared" si="2173"/>
        <v>52.994535519125684</v>
      </c>
      <c r="R906" s="153">
        <f t="shared" si="2173"/>
        <v>60.504032258064512</v>
      </c>
      <c r="S906" s="246">
        <f t="shared" si="2173"/>
        <v>54.082359813084111</v>
      </c>
      <c r="T906" s="153">
        <f t="shared" si="2173"/>
        <v>90</v>
      </c>
      <c r="U906" s="246">
        <f t="shared" si="2173"/>
        <v>58.498463114754095</v>
      </c>
      <c r="V906" s="153">
        <f t="shared" ref="V906" si="2174">+V907/V905*100</f>
        <v>75.615591397849471</v>
      </c>
      <c r="W906" s="245">
        <f t="shared" si="2173"/>
        <v>75.21422101449275</v>
      </c>
      <c r="X906" s="246">
        <f t="shared" si="2173"/>
        <v>60.428030303030297</v>
      </c>
      <c r="Y906" s="5073">
        <f t="shared" si="2173"/>
        <v>80.16935483870968</v>
      </c>
      <c r="Z906" s="246">
        <f t="shared" si="2173"/>
        <v>62.427968409586057</v>
      </c>
      <c r="AA906" s="5073">
        <f t="shared" ref="AA906" si="2175">+AA907/AA905*100</f>
        <v>87.478448275862078</v>
      </c>
      <c r="AB906" s="246">
        <f t="shared" si="2173"/>
        <v>64.596517412935327</v>
      </c>
      <c r="AC906" s="5073">
        <f t="shared" ref="AC906" si="2176">+AC907/AC905*100</f>
        <v>87.274193548387103</v>
      </c>
      <c r="AD906" s="1232">
        <f t="shared" si="2173"/>
        <v>84.918956043956058</v>
      </c>
      <c r="AE906" s="852">
        <f t="shared" si="2173"/>
        <v>80.040072859744996</v>
      </c>
      <c r="AF906" s="829">
        <f t="shared" si="2173"/>
        <v>66.517304189435336</v>
      </c>
    </row>
    <row r="907" spans="3:77" ht="35" customHeight="1" x14ac:dyDescent="0.25">
      <c r="C907" s="338"/>
      <c r="D907" s="8445"/>
      <c r="E907" s="3957" t="s">
        <v>334</v>
      </c>
      <c r="F907" s="3158">
        <v>295.25</v>
      </c>
      <c r="G907" s="3158">
        <v>308</v>
      </c>
      <c r="H907" s="363">
        <f>SUM(F907:G907)</f>
        <v>603.25</v>
      </c>
      <c r="I907" s="3158">
        <v>526.6</v>
      </c>
      <c r="J907" s="304">
        <f>SUM(H907:I907)</f>
        <v>1129.8499999999999</v>
      </c>
      <c r="K907" s="3158"/>
      <c r="L907" s="363">
        <f>SUM(J907:K907)</f>
        <v>1129.8499999999999</v>
      </c>
      <c r="M907" s="3158">
        <v>614.70000000000005</v>
      </c>
      <c r="N907" s="78">
        <f>SUM(L907:M907)</f>
        <v>1744.55</v>
      </c>
      <c r="O907" s="3158">
        <v>582.97</v>
      </c>
      <c r="P907" s="558">
        <f>+K907+M907+O907</f>
        <v>1197.67</v>
      </c>
      <c r="Q907" s="2144">
        <f>+J907+P907</f>
        <v>2327.52</v>
      </c>
      <c r="R907" s="3158">
        <v>450.15</v>
      </c>
      <c r="S907" s="363">
        <f>SUM(Q907:R907)</f>
        <v>2777.67</v>
      </c>
      <c r="T907" s="3158">
        <v>648</v>
      </c>
      <c r="U907" s="363">
        <f>SUM(S907:T907)</f>
        <v>3425.67</v>
      </c>
      <c r="V907" s="3158">
        <v>562.58000000000004</v>
      </c>
      <c r="W907" s="79">
        <f>+R907+T907+V907</f>
        <v>1660.73</v>
      </c>
      <c r="X907" s="1207">
        <f>+U907+V907</f>
        <v>3988.25</v>
      </c>
      <c r="Y907" s="3158">
        <v>596.46</v>
      </c>
      <c r="Z907" s="363">
        <f>SUM(X907:Y907)</f>
        <v>4584.71</v>
      </c>
      <c r="AA907" s="3158">
        <v>608.85</v>
      </c>
      <c r="AB907" s="363">
        <f>SUM(Z907:AA907)</f>
        <v>5193.5600000000004</v>
      </c>
      <c r="AC907" s="3158">
        <v>649.32000000000005</v>
      </c>
      <c r="AD907" s="1291">
        <f>+Y907+AA907+AC907</f>
        <v>1854.63</v>
      </c>
      <c r="AE907" s="1292">
        <f>+W907+AD907</f>
        <v>3515.36</v>
      </c>
      <c r="AF907" s="712">
        <f>+AB907+AC907</f>
        <v>5842.88</v>
      </c>
    </row>
    <row r="908" spans="3:77" ht="35" customHeight="1" x14ac:dyDescent="0.25">
      <c r="C908" s="338"/>
      <c r="D908" s="8445"/>
      <c r="E908" s="3957" t="s">
        <v>1103</v>
      </c>
      <c r="F908" s="287">
        <f>+F909/F907*100</f>
        <v>77.804120801580581</v>
      </c>
      <c r="G908" s="287">
        <f>+G909/G907*100</f>
        <v>82.765151515151516</v>
      </c>
      <c r="H908" s="246">
        <f t="shared" ref="H908:AF908" si="2177">+H909/H907*100</f>
        <v>80.3370631302666</v>
      </c>
      <c r="I908" s="287">
        <f>+I909/I907*100</f>
        <v>76.224838587162921</v>
      </c>
      <c r="J908" s="245">
        <f t="shared" si="2177"/>
        <v>78.420439291351357</v>
      </c>
      <c r="K908" s="287" t="e">
        <f>+K909/K907*100</f>
        <v>#DIV/0!</v>
      </c>
      <c r="L908" s="246">
        <f t="shared" si="2177"/>
        <v>78.420439291351357</v>
      </c>
      <c r="M908" s="287">
        <f>+M909/M907*100</f>
        <v>82.06767528875875</v>
      </c>
      <c r="N908" s="246">
        <f t="shared" ref="N908" si="2178">+N909/N907*100</f>
        <v>79.705559217754342</v>
      </c>
      <c r="O908" s="287">
        <f>+O909/O907*100</f>
        <v>81.616549736693131</v>
      </c>
      <c r="P908" s="245">
        <f t="shared" si="2177"/>
        <v>81.848088371588162</v>
      </c>
      <c r="Q908" s="240">
        <f t="shared" si="2177"/>
        <v>80.184201782727243</v>
      </c>
      <c r="R908" s="287">
        <f>+R909/R907*100</f>
        <v>80.035543707653005</v>
      </c>
      <c r="S908" s="246">
        <f t="shared" si="2177"/>
        <v>80.160110212276223</v>
      </c>
      <c r="T908" s="287">
        <f>+T909/T907*100</f>
        <v>81.825617283950621</v>
      </c>
      <c r="U908" s="246">
        <f t="shared" si="2177"/>
        <v>80.4751576577234</v>
      </c>
      <c r="V908" s="287">
        <f>+V909/V907*100</f>
        <v>83.12595541967363</v>
      </c>
      <c r="W908" s="245">
        <f t="shared" si="2177"/>
        <v>81.78090357854677</v>
      </c>
      <c r="X908" s="246">
        <f t="shared" si="2177"/>
        <v>80.84907749848513</v>
      </c>
      <c r="Y908" s="287">
        <f>+Y909/Y907*100</f>
        <v>78.362337792978565</v>
      </c>
      <c r="Z908" s="246">
        <f t="shared" si="2177"/>
        <v>80.525558504972679</v>
      </c>
      <c r="AA908" s="287">
        <f>+AA909/AA907*100</f>
        <v>79.745421696641202</v>
      </c>
      <c r="AB908" s="246">
        <f t="shared" si="2177"/>
        <v>80.434101720849156</v>
      </c>
      <c r="AC908" s="287">
        <f>+AC909/AC907*100</f>
        <v>80.417975728454365</v>
      </c>
      <c r="AD908" s="2519">
        <f t="shared" si="2177"/>
        <v>79.536079972824751</v>
      </c>
      <c r="AE908" s="852">
        <f t="shared" si="2177"/>
        <v>80.596581857903587</v>
      </c>
      <c r="AF908" s="829">
        <f t="shared" si="2177"/>
        <v>80.432309637256509</v>
      </c>
    </row>
    <row r="909" spans="3:77" ht="35" customHeight="1" x14ac:dyDescent="0.25">
      <c r="C909" s="338"/>
      <c r="D909" s="8445"/>
      <c r="E909" s="4999" t="s">
        <v>48</v>
      </c>
      <c r="F909" s="3158">
        <v>229.71666666666667</v>
      </c>
      <c r="G909" s="3158">
        <v>254.91666666666666</v>
      </c>
      <c r="H909" s="1989">
        <f>SUM(F909:G909)</f>
        <v>484.63333333333333</v>
      </c>
      <c r="I909" s="3158">
        <v>401.4</v>
      </c>
      <c r="J909" s="398">
        <f>+H909+I909</f>
        <v>886.0333333333333</v>
      </c>
      <c r="K909" s="3158"/>
      <c r="L909" s="1989">
        <f>+J909+K909</f>
        <v>886.0333333333333</v>
      </c>
      <c r="M909" s="3158">
        <v>504.47</v>
      </c>
      <c r="N909" s="211">
        <f>+L909+M909</f>
        <v>1390.5033333333333</v>
      </c>
      <c r="O909" s="3158">
        <v>475.8</v>
      </c>
      <c r="P909" s="3031">
        <f>+K909+M909+O909</f>
        <v>980.27</v>
      </c>
      <c r="Q909" s="2156">
        <f>+N909+O909</f>
        <v>1866.3033333333333</v>
      </c>
      <c r="R909" s="3158">
        <v>360.28</v>
      </c>
      <c r="S909" s="296">
        <f>SUM(Q909:R909)</f>
        <v>2226.583333333333</v>
      </c>
      <c r="T909" s="3158">
        <v>530.23</v>
      </c>
      <c r="U909" s="296">
        <f>SUM(S909:T909)</f>
        <v>2756.813333333333</v>
      </c>
      <c r="V909" s="3158">
        <v>467.65</v>
      </c>
      <c r="W909" s="79">
        <f>+R909+T909+V909</f>
        <v>1358.1599999999999</v>
      </c>
      <c r="X909" s="122">
        <f>+U909+V909</f>
        <v>3224.4633333333331</v>
      </c>
      <c r="Y909" s="3158">
        <v>467.4</v>
      </c>
      <c r="Z909" s="296">
        <f>SUM(X909:Y909)</f>
        <v>3691.8633333333332</v>
      </c>
      <c r="AA909" s="3158">
        <v>485.53</v>
      </c>
      <c r="AB909" s="143">
        <f>SUM(Z909:AA909)</f>
        <v>4177.3933333333334</v>
      </c>
      <c r="AC909" s="3158">
        <v>522.16999999999996</v>
      </c>
      <c r="AD909" s="1408">
        <f t="shared" ref="AD909" si="2179">+Y909+AA909+AC909</f>
        <v>1475.1</v>
      </c>
      <c r="AE909" s="1403">
        <f t="shared" ref="AE909" si="2180">+W909+AD909</f>
        <v>2833.2599999999998</v>
      </c>
      <c r="AF909" s="712">
        <f>+AB909+AC909</f>
        <v>4699.5633333333335</v>
      </c>
    </row>
    <row r="910" spans="3:77" ht="35" customHeight="1" x14ac:dyDescent="0.25">
      <c r="C910" s="338"/>
      <c r="D910" s="8445"/>
      <c r="E910" s="3957" t="s">
        <v>1094</v>
      </c>
      <c r="F910" s="3331">
        <v>0.69299999999999995</v>
      </c>
      <c r="G910" s="3331">
        <v>0.60499999999999998</v>
      </c>
      <c r="H910" s="257">
        <f>+((F910*F752)+(G910*G752))/H752</f>
        <v>0.6446153422016323</v>
      </c>
      <c r="I910" s="3331">
        <v>0.377</v>
      </c>
      <c r="J910" s="416">
        <f>+((H910*H752)+(I910*I752))/J752</f>
        <v>0.51266472824928122</v>
      </c>
      <c r="K910" s="3331"/>
      <c r="L910" s="257">
        <f>+((J910*J752)+(K910*K752))/L752</f>
        <v>0.51266472824928122</v>
      </c>
      <c r="M910" s="3331">
        <v>0.35399999999999998</v>
      </c>
      <c r="N910" s="257">
        <f>+((L910*L752)+(M910*M752))/N752</f>
        <v>0.45377109712554248</v>
      </c>
      <c r="O910" s="3331">
        <v>0.38200000000000001</v>
      </c>
      <c r="P910" s="416">
        <f>+((K910*K752)+(M910*M752)+(O910*O752))/P752</f>
        <v>0.36716006467259499</v>
      </c>
      <c r="Q910" s="2183">
        <f>+((N910*N752)+(O910*O752))/Q752</f>
        <v>0.43599712200792318</v>
      </c>
      <c r="R910" s="3331">
        <v>0.39400000000000002</v>
      </c>
      <c r="S910" s="257">
        <f>+((Q910*Q752)+(R910*R752))/S752</f>
        <v>0.42908115872335928</v>
      </c>
      <c r="T910" s="3331">
        <v>0.33900000000000002</v>
      </c>
      <c r="U910" s="257">
        <f>+((S910*S752)+(T910*T752))/U752</f>
        <v>0.41078858720444233</v>
      </c>
      <c r="V910" s="3331">
        <v>0.40300000000000002</v>
      </c>
      <c r="W910" s="416">
        <f>+((R910*R752)+(T910*T752)+(V910*V752))/W752</f>
        <v>0.37516836643406692</v>
      </c>
      <c r="X910" s="257">
        <f>+((U910*U752)+(V910*V752))/X752</f>
        <v>0.40962803907665973</v>
      </c>
      <c r="Y910" s="3331">
        <v>0.373</v>
      </c>
      <c r="Z910" s="257">
        <f>+((X910*X752)+(Y910*Y752))/Z752</f>
        <v>0.40486510954697086</v>
      </c>
      <c r="AA910" s="3331">
        <v>0.435</v>
      </c>
      <c r="AB910" s="257">
        <f>+((Z910*Z752)+(AA910*AA752))/AB752</f>
        <v>0.40851674879776706</v>
      </c>
      <c r="AC910" s="3331">
        <v>0.47199999999999998</v>
      </c>
      <c r="AD910" s="2534">
        <f>+((Y910*Y752)+(AA910*AA752)+(AC910*AC752))/AD752</f>
        <v>0.42598228406909788</v>
      </c>
      <c r="AE910" s="1332">
        <f>+((W910*W752)+(AD910*AD752))/AE752</f>
        <v>0.40102167947578637</v>
      </c>
      <c r="AF910" s="2535">
        <f>+((AB910*AB752)+(AC910*AC752))/AF752</f>
        <v>0.41469571748082518</v>
      </c>
    </row>
    <row r="911" spans="3:77" ht="35" customHeight="1" x14ac:dyDescent="0.25">
      <c r="C911" s="338"/>
      <c r="D911" s="8445"/>
      <c r="E911" s="3957" t="s">
        <v>359</v>
      </c>
      <c r="F911" s="3414">
        <f>+F1509</f>
        <v>3675250.0000000093</v>
      </c>
      <c r="G911" s="3414">
        <f>+G1509</f>
        <v>4377139.9999999879</v>
      </c>
      <c r="H911" s="363">
        <f>SUM(F911:G911)</f>
        <v>8052389.9999999972</v>
      </c>
      <c r="I911" s="3414">
        <f>+I1509</f>
        <v>5537635.0000000075</v>
      </c>
      <c r="J911" s="304">
        <f>SUM(H911:I911)</f>
        <v>13590025.000000004</v>
      </c>
      <c r="K911" s="3414">
        <f>+K1509</f>
        <v>0</v>
      </c>
      <c r="L911" s="363">
        <f>SUM(J911:K911)</f>
        <v>13590025.000000004</v>
      </c>
      <c r="M911" s="3414">
        <f>+M1509</f>
        <v>5625851.666666666</v>
      </c>
      <c r="N911" s="78">
        <f>SUM(L911:M911)</f>
        <v>19215876.666666672</v>
      </c>
      <c r="O911" s="3414">
        <f>+O1509</f>
        <v>5303189.9999999972</v>
      </c>
      <c r="P911" s="558">
        <f>+K911+M911+O911</f>
        <v>10929041.666666664</v>
      </c>
      <c r="Q911" s="2144">
        <f>+J911+P911</f>
        <v>24519066.666666668</v>
      </c>
      <c r="R911" s="3414">
        <f>+R1509</f>
        <v>4971030.0000000075</v>
      </c>
      <c r="S911" s="363">
        <f>SUM(Q911:R911)</f>
        <v>29490096.666666675</v>
      </c>
      <c r="T911" s="3414">
        <f>+T1509</f>
        <v>6358054.9999999925</v>
      </c>
      <c r="U911" s="363">
        <f>SUM(S911:T911)</f>
        <v>35848151.666666672</v>
      </c>
      <c r="V911" s="3414">
        <f>+V1509</f>
        <v>6050460</v>
      </c>
      <c r="W911" s="79">
        <f>+R911+T911+V911</f>
        <v>17379545</v>
      </c>
      <c r="X911" s="1207">
        <f>+U911+V911</f>
        <v>41898611.666666672</v>
      </c>
      <c r="Y911" s="3414">
        <f>+Y1509</f>
        <v>6110406.6666666707</v>
      </c>
      <c r="Z911" s="363">
        <f>SUM(X911:Y911)</f>
        <v>48009018.333333343</v>
      </c>
      <c r="AA911" s="3414">
        <f>+AA1509</f>
        <v>5705619.9999999981</v>
      </c>
      <c r="AB911" s="363">
        <f>SUM(Z911:AA911)</f>
        <v>53714638.333333343</v>
      </c>
      <c r="AC911" s="3414">
        <f>+AC1509</f>
        <v>5950459.9999999972</v>
      </c>
      <c r="AD911" s="1291">
        <f>+Y911+AA911+AC911</f>
        <v>17766486.666666664</v>
      </c>
      <c r="AE911" s="1292">
        <f>+W911+AD911</f>
        <v>35146031.666666664</v>
      </c>
      <c r="AF911" s="712">
        <f>+AB911+AC911</f>
        <v>59665098.333333343</v>
      </c>
    </row>
    <row r="912" spans="3:77" ht="33" x14ac:dyDescent="0.25">
      <c r="C912" s="338"/>
      <c r="D912" s="8445"/>
      <c r="E912" s="3957" t="s">
        <v>360</v>
      </c>
      <c r="F912" s="217">
        <f t="shared" ref="F912:G912" si="2181">+F911/F752</f>
        <v>243.12660047457791</v>
      </c>
      <c r="G912" s="217">
        <f t="shared" si="2181"/>
        <v>237.07827942245243</v>
      </c>
      <c r="H912" s="254">
        <f t="shared" ref="H912:AF912" si="2182">+H911/H752</f>
        <v>239.80107837955796</v>
      </c>
      <c r="I912" s="217">
        <f t="shared" si="2182"/>
        <v>169.5532784956543</v>
      </c>
      <c r="J912" s="422">
        <f t="shared" si="2182"/>
        <v>205.16464742150339</v>
      </c>
      <c r="K912" s="217" t="e">
        <f t="shared" si="2182"/>
        <v>#DIV/0!</v>
      </c>
      <c r="L912" s="254">
        <f t="shared" si="2182"/>
        <v>205.16464742150339</v>
      </c>
      <c r="M912" s="217">
        <f t="shared" si="2182"/>
        <v>143.88216560048002</v>
      </c>
      <c r="N912" s="143">
        <f t="shared" si="2182"/>
        <v>182.4176391951749</v>
      </c>
      <c r="O912" s="217">
        <f t="shared" si="2182"/>
        <v>152.94309007803184</v>
      </c>
      <c r="P912" s="422">
        <f t="shared" si="2182"/>
        <v>148.14082103326868</v>
      </c>
      <c r="Q912" s="2140">
        <f t="shared" si="2182"/>
        <v>175.11832340382264</v>
      </c>
      <c r="R912" s="217">
        <f t="shared" si="2182"/>
        <v>180.09236063033057</v>
      </c>
      <c r="S912" s="254">
        <f t="shared" si="2182"/>
        <v>175.93743331397536</v>
      </c>
      <c r="T912" s="217">
        <f t="shared" si="2182"/>
        <v>148.86307338010357</v>
      </c>
      <c r="U912" s="254">
        <f t="shared" si="2182"/>
        <v>170.43950597336246</v>
      </c>
      <c r="V912" s="217">
        <f t="shared" si="2182"/>
        <v>164.29100921317379</v>
      </c>
      <c r="W912" s="422">
        <f t="shared" si="2182"/>
        <v>162.21170151929516</v>
      </c>
      <c r="X912" s="143">
        <f t="shared" si="2182"/>
        <v>169.523341563</v>
      </c>
      <c r="Y912" s="217">
        <f t="shared" si="2182"/>
        <v>165.40218659228859</v>
      </c>
      <c r="Z912" s="254">
        <f t="shared" si="2182"/>
        <v>168.98744689865984</v>
      </c>
      <c r="AA912" s="217">
        <f t="shared" si="2182"/>
        <v>145.65248413249688</v>
      </c>
      <c r="AB912" s="143">
        <f t="shared" si="2182"/>
        <v>166.1597987913735</v>
      </c>
      <c r="AC912" s="217">
        <f t="shared" si="2182"/>
        <v>170.70841383979601</v>
      </c>
      <c r="AD912" s="2520">
        <f t="shared" si="2182"/>
        <v>160.0973810446385</v>
      </c>
      <c r="AE912" s="1080">
        <f t="shared" si="2182"/>
        <v>161.13596889237147</v>
      </c>
      <c r="AF912" s="811">
        <f t="shared" si="2182"/>
        <v>166.6025258005173</v>
      </c>
    </row>
    <row r="913" spans="3:35" ht="35" customHeight="1" x14ac:dyDescent="0.25">
      <c r="C913" s="338"/>
      <c r="D913" s="8445"/>
      <c r="E913" s="4999" t="s">
        <v>241</v>
      </c>
      <c r="F913" s="3815">
        <f>+(19.94/F904)/24</f>
        <v>2.7694444444444449E-2</v>
      </c>
      <c r="G913" s="3815">
        <f>+(397.93/G904)/24</f>
        <v>0.53485215053763435</v>
      </c>
      <c r="H913" s="2309">
        <f>+((F913*24*30)+(G913*24*31))/(61*24)</f>
        <v>0.28543032786885247</v>
      </c>
      <c r="I913" s="3815">
        <f>+(1291.6/I904)/24</f>
        <v>1.7938888888888886</v>
      </c>
      <c r="J913" s="1935">
        <f>+((H913*24*61)+(I913*24*30))/(91*24)</f>
        <v>0.78272435897435888</v>
      </c>
      <c r="K913" s="3815">
        <f>+(397.93/K904)/24</f>
        <v>0.53485215053763435</v>
      </c>
      <c r="L913" s="1990">
        <f>+((J913*24*91)+(K913*24*31))/(122*24)</f>
        <v>0.71974043715847003</v>
      </c>
      <c r="M913" s="3157">
        <v>0</v>
      </c>
      <c r="N913" s="222">
        <f>+((L913*24*122)+(M913*24*31))/(153*24)</f>
        <v>0.57391067538126361</v>
      </c>
      <c r="O913" s="3157">
        <v>0</v>
      </c>
      <c r="P913" s="315">
        <f>+((K913*24*31)+(M913*24*31)+(O913*24*30))/(92*24)</f>
        <v>0.18022192028985506</v>
      </c>
      <c r="Q913" s="2157">
        <f>+((N913*24*153)+(O913*24*30))/(183*24)</f>
        <v>0.47982695810564663</v>
      </c>
      <c r="R913" s="3157">
        <v>0</v>
      </c>
      <c r="S913" s="1990">
        <f>+((Q913*24*183)+(R913*24*31))/(214*24)</f>
        <v>0.41031931464174459</v>
      </c>
      <c r="T913" s="3157">
        <v>0</v>
      </c>
      <c r="U913" s="1990">
        <f>+((S913*24*214)+(T913*24*30))/(244*24)</f>
        <v>0.35987021857923507</v>
      </c>
      <c r="V913" s="3157">
        <v>0</v>
      </c>
      <c r="W913" s="398">
        <f>+((R913*24*31)+(T913*24*30)+(V913*24*31))/(92*24)</f>
        <v>0</v>
      </c>
      <c r="X913" s="210">
        <f>+((U913*24*244)+(V913*24*31))/(275*24)</f>
        <v>0.31930303030303037</v>
      </c>
      <c r="Y913" s="3157">
        <v>0</v>
      </c>
      <c r="Z913" s="1990">
        <f>+((X913*24*275)+(Y913*24*31))/(306*24)</f>
        <v>0.28695533769063181</v>
      </c>
      <c r="AA913" s="3157">
        <v>0</v>
      </c>
      <c r="AB913" s="210">
        <f>+((Z913*24*306)+(AA913*24*28))/(334*24)</f>
        <v>0.26289920159680641</v>
      </c>
      <c r="AC913" s="3157">
        <v>0</v>
      </c>
      <c r="AD913" s="1413">
        <f>+((Y913*24*31)+(AA913*24*28)+(AC913*24*31))/(90*24)</f>
        <v>0</v>
      </c>
      <c r="AE913" s="850">
        <f>+((W913*24*92)+(AD913*24*90))/(182*24)</f>
        <v>0</v>
      </c>
      <c r="AF913" s="661">
        <f>+((AB913*24*334)+(AC913*24*31))/(365*24)</f>
        <v>0.24057077625570783</v>
      </c>
    </row>
    <row r="914" spans="3:35" ht="35" customHeight="1" x14ac:dyDescent="0.25">
      <c r="C914" s="338"/>
      <c r="D914" s="8445"/>
      <c r="E914" s="3957" t="s">
        <v>315</v>
      </c>
      <c r="F914" s="3815">
        <f>+(3563.75/F904)/24</f>
        <v>4.9496527777777777</v>
      </c>
      <c r="G914" s="3815">
        <f>+(3682.6/G904)/24</f>
        <v>4.9497311827956993</v>
      </c>
      <c r="H914" s="1990">
        <f t="shared" ref="H914:H915" si="2183">+((F914*24*30)+(G914*24*31))/(61*24)</f>
        <v>4.9496926229508196</v>
      </c>
      <c r="I914" s="3815">
        <f>+(3465/I904)/24</f>
        <v>4.8125</v>
      </c>
      <c r="J914" s="315">
        <f t="shared" ref="J914:J915" si="2184">+((H914*24*61)+(I914*24*30))/(91*24)</f>
        <v>4.9044642857142851</v>
      </c>
      <c r="K914" s="3815">
        <f>+(3682.6/K904)/24</f>
        <v>4.9497311827956993</v>
      </c>
      <c r="L914" s="1990">
        <f t="shared" ref="L914:L915" si="2185">+((J914*24*91)+(K914*24*31))/(122*24)</f>
        <v>4.9159665300546447</v>
      </c>
      <c r="M914" s="3815">
        <f>+(4450.59/31)/24</f>
        <v>5.9819758064516124</v>
      </c>
      <c r="N914" s="222">
        <f>+((L914*24*122)+(M914*24*31))/(153*24)</f>
        <v>5.1319553376906324</v>
      </c>
      <c r="O914" s="3815">
        <f>+(4048.8/30)/24</f>
        <v>5.623333333333334</v>
      </c>
      <c r="P914" s="315">
        <f>+((K914*24*31)+(M914*24*31)+(O914*24*30))/(92*24)</f>
        <v>5.5172056159420295</v>
      </c>
      <c r="Q914" s="2157">
        <f>+((N914*24*153)+(O914*24*30))/(183*24)</f>
        <v>5.212509107468124</v>
      </c>
      <c r="R914" s="3815">
        <f>+(3573.83/31)/24</f>
        <v>4.8035349462365593</v>
      </c>
      <c r="S914" s="1990">
        <f t="shared" ref="S914:S915" si="2186">+((Q914*24*183)+(R914*24*31))/(214*24)</f>
        <v>5.1532651869158874</v>
      </c>
      <c r="T914" s="3815">
        <f>+(4589.28/30)/24</f>
        <v>6.3739999999999997</v>
      </c>
      <c r="U914" s="1990">
        <f t="shared" ref="U914:U915" si="2187">+((S914*24*214)+(T914*24*30))/(244*24)</f>
        <v>5.3033555327868838</v>
      </c>
      <c r="V914" s="3815">
        <f>+(4805.3/31)/24</f>
        <v>6.4587365591397861</v>
      </c>
      <c r="W914" s="315">
        <f t="shared" ref="W914:W915" si="2188">+((R914*24*31)+(T914*24*30)+(V914*24*31))/(92*24)</f>
        <v>5.8733740942028989</v>
      </c>
      <c r="X914" s="222">
        <f>+((U914*24*244)+(V914*24*31))/(275*24)</f>
        <v>5.433598484848484</v>
      </c>
      <c r="Y914" s="3815">
        <f>+(4816.37/31)/24</f>
        <v>6.4736155913978495</v>
      </c>
      <c r="Z914" s="1990">
        <f>+((X914*24*275)+(Y914*24*31))/(306*24)</f>
        <v>5.5389596949891065</v>
      </c>
      <c r="AA914" s="3815">
        <f>+(5893.41/AA904)/24</f>
        <v>8.4675431034482767</v>
      </c>
      <c r="AB914" s="222">
        <f>+((Z914*24*306)+(AA914*24*28))/(334*24)</f>
        <v>5.7844696813270007</v>
      </c>
      <c r="AC914" s="3815">
        <f>+(5635/31)/24</f>
        <v>7.573924731182796</v>
      </c>
      <c r="AD914" s="1232">
        <f t="shared" ref="AD914:AD915" si="2189">+((Y914*24*31)+(AA914*24*28)+(AC914*24*31))/(90*24)</f>
        <v>7.4729439655172412</v>
      </c>
      <c r="AE914" s="852">
        <f>+((W914*24*92)+(AD914*24*90))/(182*24)</f>
        <v>6.6643701844132881</v>
      </c>
      <c r="AF914" s="827">
        <f t="shared" ref="AF914:AF915" si="2190">+((AB914*24*334)+(AC914*24*31))/(365*24)</f>
        <v>5.9364507951503693</v>
      </c>
    </row>
    <row r="915" spans="3:35" ht="35" customHeight="1" x14ac:dyDescent="0.25">
      <c r="C915" s="338"/>
      <c r="D915" s="8445"/>
      <c r="E915" s="3957" t="s">
        <v>316</v>
      </c>
      <c r="F915" s="3815">
        <f>+(901.559/F904)/24</f>
        <v>1.2521652777777776</v>
      </c>
      <c r="G915" s="3815">
        <f>+(774.11/G904)/24</f>
        <v>1.0404704301075269</v>
      </c>
      <c r="H915" s="1990">
        <f t="shared" si="2183"/>
        <v>1.1445826502732239</v>
      </c>
      <c r="I915" s="3815">
        <f>+(463.987/I904)/24</f>
        <v>0.64442638888888892</v>
      </c>
      <c r="J915" s="315">
        <f t="shared" si="2184"/>
        <v>0.9796959706959707</v>
      </c>
      <c r="K915" s="3815">
        <f>+(774.11/K904)/24</f>
        <v>1.0404704301075269</v>
      </c>
      <c r="L915" s="1990">
        <f t="shared" si="2185"/>
        <v>0.99513866120218586</v>
      </c>
      <c r="M915" s="3815">
        <f>+(1204.927/31)/24</f>
        <v>1.6195255376344084</v>
      </c>
      <c r="N915" s="222">
        <f>+((L915*24*122)+(M915*24*31))/(153*24)</f>
        <v>1.1216484204793029</v>
      </c>
      <c r="O915" s="3815">
        <f>+(1209.973/30)/24</f>
        <v>1.6805180555555557</v>
      </c>
      <c r="P915" s="315">
        <f>+((K915*24*31)+(M915*24*31)+(O915*24*30))/(92*24)</f>
        <v>1.4442980072463767</v>
      </c>
      <c r="Q915" s="2157">
        <f>+((N915*24*153)+(O915*24*30))/(183*24)</f>
        <v>1.2132663934426229</v>
      </c>
      <c r="R915" s="3815">
        <f>+(960.443/31)/24</f>
        <v>1.2909180107526881</v>
      </c>
      <c r="S915" s="1990">
        <f t="shared" si="2186"/>
        <v>1.2245149922118379</v>
      </c>
      <c r="T915" s="3815">
        <f>+(1292.361/30)/24</f>
        <v>1.7949458333333335</v>
      </c>
      <c r="U915" s="1990">
        <f t="shared" si="2187"/>
        <v>1.294649931693989</v>
      </c>
      <c r="V915" s="3815">
        <f>+(1303.267/31)/24</f>
        <v>1.7517029569892475</v>
      </c>
      <c r="W915" s="315">
        <f t="shared" si="2188"/>
        <v>1.610539402173913</v>
      </c>
      <c r="X915" s="222">
        <f>+((U915*24*244)+(V915*24*31))/(275*24)</f>
        <v>1.3461722727272727</v>
      </c>
      <c r="Y915" s="3815">
        <f>+(1172.134/31)/24</f>
        <v>1.5754489247311829</v>
      </c>
      <c r="Z915" s="1990">
        <f>+((X915*24*275)+(Y915*24*31))/(306*24)</f>
        <v>1.3693996459694988</v>
      </c>
      <c r="AA915" s="3815">
        <f>+(1451.796/AA904)/24</f>
        <v>2.0859137931034484</v>
      </c>
      <c r="AB915" s="222">
        <f>+((Z915*24*306)+(AA915*24*28))/(334*24)</f>
        <v>1.429466700220249</v>
      </c>
      <c r="AC915" s="3815">
        <f>+(1415.425/31)/24</f>
        <v>1.9024529569892472</v>
      </c>
      <c r="AD915" s="1232">
        <f t="shared" si="2189"/>
        <v>1.8468949393358878</v>
      </c>
      <c r="AE915" s="852">
        <f>+((W915*24*92)+(AD915*24*90))/(182*24)</f>
        <v>1.7274185139573068</v>
      </c>
      <c r="AF915" s="827">
        <f t="shared" si="2190"/>
        <v>1.4696381357266568</v>
      </c>
    </row>
    <row r="916" spans="3:35" ht="35" customHeight="1" thickBot="1" x14ac:dyDescent="0.3">
      <c r="C916" s="338"/>
      <c r="D916" s="8446"/>
      <c r="E916" s="5000" t="s">
        <v>47</v>
      </c>
      <c r="F916" s="556">
        <f t="shared" ref="F916:G916" si="2191">+F844/F909</f>
        <v>62.539650293840225</v>
      </c>
      <c r="G916" s="556">
        <f t="shared" si="2191"/>
        <v>69.307826086956524</v>
      </c>
      <c r="H916" s="555">
        <f t="shared" ref="H916:AF916" si="2192">+H844/H909</f>
        <v>66.099704243758168</v>
      </c>
      <c r="I916" s="556">
        <f t="shared" si="2192"/>
        <v>78.072107623318402</v>
      </c>
      <c r="J916" s="2191">
        <f t="shared" si="2192"/>
        <v>71.523566457243902</v>
      </c>
      <c r="K916" s="556" t="e">
        <f t="shared" si="2192"/>
        <v>#DIV/0!</v>
      </c>
      <c r="L916" s="555">
        <f t="shared" si="2192"/>
        <v>71.523566457243902</v>
      </c>
      <c r="M916" s="556">
        <f t="shared" si="2192"/>
        <v>74.57777469423354</v>
      </c>
      <c r="N916" s="555">
        <f t="shared" si="2192"/>
        <v>27.056569443678661</v>
      </c>
      <c r="O916" s="556">
        <f t="shared" si="2192"/>
        <v>69.987578814627966</v>
      </c>
      <c r="P916" s="2191">
        <f t="shared" si="2192"/>
        <v>72.349801585277504</v>
      </c>
      <c r="Q916" s="2158">
        <f t="shared" si="2192"/>
        <v>38.001507436268838</v>
      </c>
      <c r="R916" s="556">
        <f t="shared" si="2192"/>
        <v>73.496835794382136</v>
      </c>
      <c r="S916" s="555">
        <f t="shared" si="2192"/>
        <v>43.74495153261725</v>
      </c>
      <c r="T916" s="556">
        <f t="shared" si="2192"/>
        <v>77.630367953529571</v>
      </c>
      <c r="U916" s="555">
        <f t="shared" si="2192"/>
        <v>50.262282296951561</v>
      </c>
      <c r="V916" s="556">
        <f t="shared" si="2192"/>
        <v>75.722206778573721</v>
      </c>
      <c r="W916" s="787">
        <f t="shared" si="2192"/>
        <v>75.87683336278495</v>
      </c>
      <c r="X916" s="555">
        <f t="shared" si="2192"/>
        <v>53.954783173220548</v>
      </c>
      <c r="Y916" s="556">
        <f t="shared" si="2192"/>
        <v>76.077150192554555</v>
      </c>
      <c r="Z916" s="555">
        <f t="shared" si="2192"/>
        <v>56.755535371027634</v>
      </c>
      <c r="AA916" s="556">
        <f t="shared" si="2192"/>
        <v>77.606347702510661</v>
      </c>
      <c r="AB916" s="555">
        <f t="shared" si="2192"/>
        <v>59.178983225584048</v>
      </c>
      <c r="AC916" s="556">
        <f t="shared" si="2192"/>
        <v>64.2085719210219</v>
      </c>
      <c r="AD916" s="2521">
        <f t="shared" si="2192"/>
        <v>72.379133618059811</v>
      </c>
      <c r="AE916" s="1330">
        <f t="shared" si="2192"/>
        <v>74.055801444272674</v>
      </c>
      <c r="AF916" s="1153">
        <f t="shared" si="2192"/>
        <v>59.737822450170938</v>
      </c>
    </row>
    <row r="917" spans="3:35" ht="35" customHeight="1" x14ac:dyDescent="0.25">
      <c r="C917" s="338"/>
      <c r="D917" s="436">
        <v>38</v>
      </c>
      <c r="E917" s="3673" t="s">
        <v>341</v>
      </c>
      <c r="F917" s="1192">
        <f>+F6</f>
        <v>30</v>
      </c>
      <c r="G917" s="1192">
        <f>+G6</f>
        <v>31</v>
      </c>
      <c r="H917" s="3639">
        <f>SUM(F917:G917)</f>
        <v>61</v>
      </c>
      <c r="I917" s="1192">
        <f>+I6</f>
        <v>30</v>
      </c>
      <c r="J917" s="3640">
        <f>SUM(H917:I917)</f>
        <v>91</v>
      </c>
      <c r="K917" s="1192">
        <f>+K6</f>
        <v>31</v>
      </c>
      <c r="L917" s="3640">
        <f>+J917+K917</f>
        <v>122</v>
      </c>
      <c r="M917" s="1192">
        <v>31</v>
      </c>
      <c r="N917" s="2341">
        <f>+L917+M917</f>
        <v>153</v>
      </c>
      <c r="O917" s="1192">
        <v>30</v>
      </c>
      <c r="P917" s="1192">
        <f>+K917+M917+O917</f>
        <v>92</v>
      </c>
      <c r="Q917" s="2341">
        <f>+J917+P917</f>
        <v>183</v>
      </c>
      <c r="R917" s="1192">
        <v>31</v>
      </c>
      <c r="S917" s="439">
        <f>+Q917+R917</f>
        <v>214</v>
      </c>
      <c r="T917" s="1192">
        <v>30</v>
      </c>
      <c r="U917" s="439">
        <f>+S917+T917</f>
        <v>244</v>
      </c>
      <c r="V917" s="1192">
        <v>31</v>
      </c>
      <c r="W917" s="439">
        <f>+R917+T917+V261</f>
        <v>92</v>
      </c>
      <c r="X917" s="439">
        <f>+U917+V917</f>
        <v>275</v>
      </c>
      <c r="Y917" s="1192">
        <v>31</v>
      </c>
      <c r="Z917" s="439">
        <f>+X917+Y917</f>
        <v>306</v>
      </c>
      <c r="AA917" s="1192">
        <v>29</v>
      </c>
      <c r="AB917" s="439">
        <f>+Z917+AA917</f>
        <v>335</v>
      </c>
      <c r="AC917" s="1192">
        <v>31</v>
      </c>
      <c r="AD917" s="439">
        <f>+Y917+AA917+AC917</f>
        <v>91</v>
      </c>
      <c r="AE917" s="439">
        <f>+W917+AD917</f>
        <v>183</v>
      </c>
      <c r="AF917" s="1687">
        <f>+AB917+AC917</f>
        <v>366</v>
      </c>
    </row>
    <row r="918" spans="3:35" ht="35" customHeight="1" x14ac:dyDescent="0.25">
      <c r="C918" s="338"/>
      <c r="D918" s="2437"/>
      <c r="E918" s="3629" t="s">
        <v>342</v>
      </c>
      <c r="F918" s="4228">
        <v>8737.2599999999984</v>
      </c>
      <c r="G918" s="4228">
        <v>45789.471000000005</v>
      </c>
      <c r="H918" s="296">
        <f>SUM(F918:G918)</f>
        <v>54526.731</v>
      </c>
      <c r="I918" s="4228">
        <v>33906.119000000006</v>
      </c>
      <c r="J918" s="313">
        <f>SUM(H918:I918)</f>
        <v>88432.85</v>
      </c>
      <c r="K918" s="4228"/>
      <c r="L918" s="296">
        <f>SUM(J918:K918)</f>
        <v>88432.85</v>
      </c>
      <c r="M918" s="4228">
        <v>64051.229999999989</v>
      </c>
      <c r="N918" s="122">
        <f>SUM(L918:M918)</f>
        <v>152484.07999999999</v>
      </c>
      <c r="O918" s="4228">
        <v>30629.399999999998</v>
      </c>
      <c r="P918" s="74">
        <f>+K918+M918+O918</f>
        <v>94680.62999999999</v>
      </c>
      <c r="Q918" s="2133">
        <f>+J918+P918</f>
        <v>183113.47999999998</v>
      </c>
      <c r="R918" s="4228">
        <v>64191.80999999999</v>
      </c>
      <c r="S918" s="363">
        <f>SUM(Q918:R918)</f>
        <v>247305.28999999998</v>
      </c>
      <c r="T918" s="4228">
        <v>52504.5</v>
      </c>
      <c r="U918" s="363">
        <f>SUM(S918:T918)</f>
        <v>299809.78999999998</v>
      </c>
      <c r="V918" s="4228">
        <v>59827.439999999995</v>
      </c>
      <c r="W918" s="74">
        <f>+R918+T918+V918</f>
        <v>176523.75</v>
      </c>
      <c r="X918" s="122">
        <f>+U918+V918</f>
        <v>359637.23</v>
      </c>
      <c r="Y918" s="4228">
        <v>51912.359999999993</v>
      </c>
      <c r="Z918" s="363">
        <f>SUM(X918:Y918)</f>
        <v>411549.58999999997</v>
      </c>
      <c r="AA918" s="4228">
        <v>64268.490000000005</v>
      </c>
      <c r="AB918" s="122">
        <f>SUM(Z918:AA918)</f>
        <v>475818.07999999996</v>
      </c>
      <c r="AC918" s="5131">
        <v>54992.34</v>
      </c>
      <c r="AD918" s="1384">
        <f t="shared" ref="AD918" si="2193">+Y918+AA918+AC918</f>
        <v>171173.19</v>
      </c>
      <c r="AE918" s="1385">
        <f t="shared" ref="AE918" si="2194">+W918+AD918</f>
        <v>347696.94</v>
      </c>
      <c r="AF918" s="712">
        <f t="shared" ref="AF918:AF920" si="2195">+AB918+AC918</f>
        <v>530810.41999999993</v>
      </c>
    </row>
    <row r="919" spans="3:35" ht="35" customHeight="1" x14ac:dyDescent="0.35">
      <c r="C919" s="338"/>
      <c r="D919" s="2437"/>
      <c r="E919" s="3389" t="s">
        <v>343</v>
      </c>
      <c r="F919" s="3389"/>
      <c r="G919" s="3389"/>
      <c r="H919" s="3389"/>
      <c r="I919" s="3389"/>
      <c r="J919" s="3641"/>
      <c r="K919" s="3389"/>
      <c r="L919" s="3389"/>
      <c r="M919" s="3389"/>
      <c r="N919" s="120"/>
      <c r="O919" s="3389"/>
      <c r="P919" s="120"/>
      <c r="Q919" s="120"/>
      <c r="R919" s="3389"/>
      <c r="S919" s="120"/>
      <c r="T919" s="3389"/>
      <c r="U919" s="120"/>
      <c r="V919" s="3389"/>
      <c r="W919" s="66"/>
      <c r="X919" s="66"/>
      <c r="Y919" s="3389"/>
      <c r="Z919" s="120"/>
      <c r="AA919" s="3389"/>
      <c r="AB919" s="2204"/>
      <c r="AC919" s="4681"/>
      <c r="AD919" s="2204"/>
      <c r="AE919" s="1404"/>
      <c r="AF919" s="2509"/>
      <c r="AI919" s="4756">
        <f>+K938+K941+K947+K953</f>
        <v>0</v>
      </c>
    </row>
    <row r="920" spans="3:35" ht="35" customHeight="1" x14ac:dyDescent="0.25">
      <c r="C920" s="338"/>
      <c r="D920" s="2437"/>
      <c r="E920" s="3924" t="s">
        <v>1216</v>
      </c>
      <c r="F920" s="3155"/>
      <c r="G920" s="3155"/>
      <c r="H920" s="363">
        <f t="shared" ref="H920:H963" si="2196">SUM(F920:G920)</f>
        <v>0</v>
      </c>
      <c r="I920" s="3155"/>
      <c r="J920" s="304">
        <f>SUM(H920:I920)</f>
        <v>0</v>
      </c>
      <c r="K920" s="3155"/>
      <c r="L920" s="363">
        <f>SUM(J920:K920)</f>
        <v>0</v>
      </c>
      <c r="M920" s="3155">
        <f>6464.28-142.8</f>
        <v>6321.48</v>
      </c>
      <c r="N920" s="363">
        <f>SUM(L920:M920)</f>
        <v>6321.48</v>
      </c>
      <c r="O920" s="3155">
        <v>0</v>
      </c>
      <c r="P920" s="87">
        <f>+K920+M920+O920</f>
        <v>6321.48</v>
      </c>
      <c r="Q920" s="2144">
        <f t="shared" ref="Q920:Q963" si="2197">+N920+O920</f>
        <v>6321.48</v>
      </c>
      <c r="R920" s="3155">
        <f>14168.68-275.49</f>
        <v>13893.19</v>
      </c>
      <c r="S920" s="3115">
        <f>SUM(Q920:R920)</f>
        <v>20214.669999999998</v>
      </c>
      <c r="T920" s="3155"/>
      <c r="U920" s="3115">
        <f t="shared" ref="U920:U963" si="2198">SUM(S920:T920)</f>
        <v>20214.669999999998</v>
      </c>
      <c r="V920" s="3148">
        <f>9208.2-9.54</f>
        <v>9198.66</v>
      </c>
      <c r="W920" s="74">
        <f>+R920+T920+V920</f>
        <v>23091.85</v>
      </c>
      <c r="X920" s="78">
        <f>+U920+V920</f>
        <v>29413.329999999998</v>
      </c>
      <c r="Y920" s="3148">
        <f>15802.26-36.1</f>
        <v>15766.16</v>
      </c>
      <c r="Z920" s="3115">
        <f>SUM(X920:Y920)</f>
        <v>45179.49</v>
      </c>
      <c r="AA920" s="3148">
        <f>20750.38-13</f>
        <v>20737.38</v>
      </c>
      <c r="AB920" s="78">
        <f>SUM(Z920:AA920)</f>
        <v>65916.87</v>
      </c>
      <c r="AC920" s="5129">
        <f>8837.4-24.3</f>
        <v>8813.1</v>
      </c>
      <c r="AD920" s="1291">
        <f t="shared" ref="AD920" si="2199">+Y920+AA920+AC920</f>
        <v>45316.639999999999</v>
      </c>
      <c r="AE920" s="1385">
        <f t="shared" ref="AE920" si="2200">+W920+AD920</f>
        <v>68408.489999999991</v>
      </c>
      <c r="AF920" s="712">
        <f t="shared" si="2195"/>
        <v>74729.97</v>
      </c>
    </row>
    <row r="921" spans="3:35" ht="35" customHeight="1" x14ac:dyDescent="0.25">
      <c r="C921" s="338"/>
      <c r="D921" s="2437"/>
      <c r="E921" s="3924" t="s">
        <v>1570</v>
      </c>
      <c r="F921" s="3155"/>
      <c r="G921" s="3155"/>
      <c r="H921" s="363">
        <f t="shared" si="2196"/>
        <v>0</v>
      </c>
      <c r="I921" s="3155"/>
      <c r="J921" s="304">
        <f t="shared" ref="J921:J963" si="2201">SUM(H921:I921)</f>
        <v>0</v>
      </c>
      <c r="K921" s="3155"/>
      <c r="L921" s="363">
        <f t="shared" ref="L921:L963" si="2202">SUM(J921:K921)</f>
        <v>0</v>
      </c>
      <c r="M921" s="3155">
        <v>0</v>
      </c>
      <c r="N921" s="363">
        <f>SUM(L921:M921)</f>
        <v>0</v>
      </c>
      <c r="O921" s="3155">
        <v>0</v>
      </c>
      <c r="P921" s="87">
        <f>+K921+M921+O921</f>
        <v>0</v>
      </c>
      <c r="Q921" s="2144">
        <f t="shared" ref="Q921" si="2203">+N921+O921</f>
        <v>0</v>
      </c>
      <c r="R921" s="3155"/>
      <c r="S921" s="3115">
        <f>SUM(Q921:R921)</f>
        <v>0</v>
      </c>
      <c r="T921" s="3155"/>
      <c r="U921" s="3115">
        <f t="shared" si="2198"/>
        <v>0</v>
      </c>
      <c r="V921" s="3155"/>
      <c r="W921" s="74">
        <f>+R921+T921+V921</f>
        <v>0</v>
      </c>
      <c r="X921" s="78">
        <f>+U921+V921</f>
        <v>0</v>
      </c>
      <c r="Y921" s="3155"/>
      <c r="Z921" s="3115">
        <f t="shared" ref="Z921:Z963" si="2204">SUM(X921:Y921)</f>
        <v>0</v>
      </c>
      <c r="AA921" s="3155"/>
      <c r="AB921" s="78">
        <f>SUM(Z921:AA921)</f>
        <v>0</v>
      </c>
      <c r="AC921" s="5129"/>
      <c r="AD921" s="1291">
        <f t="shared" ref="AD921:AD926" si="2205">+Y921+AA921+AC921</f>
        <v>0</v>
      </c>
      <c r="AE921" s="1385">
        <f t="shared" ref="AE921:AE926" si="2206">+W921+AD921</f>
        <v>0</v>
      </c>
      <c r="AF921" s="712">
        <f t="shared" ref="AF921:AF926" si="2207">+AB921+AC921</f>
        <v>0</v>
      </c>
    </row>
    <row r="922" spans="3:35" ht="35" customHeight="1" x14ac:dyDescent="0.25">
      <c r="C922" s="338"/>
      <c r="D922" s="2437"/>
      <c r="E922" s="184" t="s">
        <v>1427</v>
      </c>
      <c r="F922" s="3155"/>
      <c r="G922" s="3155"/>
      <c r="H922" s="363">
        <f t="shared" si="2196"/>
        <v>0</v>
      </c>
      <c r="I922" s="3155"/>
      <c r="J922" s="304">
        <f t="shared" si="2201"/>
        <v>0</v>
      </c>
      <c r="K922" s="3155"/>
      <c r="L922" s="363">
        <f t="shared" si="2202"/>
        <v>0</v>
      </c>
      <c r="M922" s="3155">
        <v>0</v>
      </c>
      <c r="N922" s="363">
        <f t="shared" ref="N922:N963" si="2208">SUM(L922:M922)</f>
        <v>0</v>
      </c>
      <c r="O922" s="3155">
        <v>0</v>
      </c>
      <c r="P922" s="87">
        <f t="shared" ref="P922:P963" si="2209">+K922+M922+O922</f>
        <v>0</v>
      </c>
      <c r="Q922" s="2144">
        <f t="shared" si="2197"/>
        <v>0</v>
      </c>
      <c r="R922" s="3155"/>
      <c r="S922" s="3115">
        <f t="shared" ref="S922:S963" si="2210">SUM(Q922:R922)</f>
        <v>0</v>
      </c>
      <c r="T922" s="3155"/>
      <c r="U922" s="3115">
        <f t="shared" si="2198"/>
        <v>0</v>
      </c>
      <c r="V922" s="3155"/>
      <c r="W922" s="74">
        <f t="shared" ref="W922:W963" si="2211">+R922+T922+V922</f>
        <v>0</v>
      </c>
      <c r="X922" s="78">
        <f t="shared" ref="X922:X963" si="2212">+U922+V922</f>
        <v>0</v>
      </c>
      <c r="Y922" s="3155"/>
      <c r="Z922" s="3115">
        <f t="shared" si="2204"/>
        <v>0</v>
      </c>
      <c r="AA922" s="3155"/>
      <c r="AB922" s="78">
        <f t="shared" ref="AB922:AB963" si="2213">SUM(Z922:AA922)</f>
        <v>0</v>
      </c>
      <c r="AC922" s="5129">
        <v>2572.94</v>
      </c>
      <c r="AD922" s="1291">
        <f t="shared" si="2205"/>
        <v>2572.94</v>
      </c>
      <c r="AE922" s="1385">
        <f t="shared" si="2206"/>
        <v>2572.94</v>
      </c>
      <c r="AF922" s="712">
        <f t="shared" si="2207"/>
        <v>2572.94</v>
      </c>
    </row>
    <row r="923" spans="3:35" ht="35" customHeight="1" x14ac:dyDescent="0.25">
      <c r="C923" s="338"/>
      <c r="D923" s="2437"/>
      <c r="E923" s="184" t="s">
        <v>1686</v>
      </c>
      <c r="F923" s="3155"/>
      <c r="G923" s="3155"/>
      <c r="H923" s="363">
        <f t="shared" si="2196"/>
        <v>0</v>
      </c>
      <c r="I923" s="3155"/>
      <c r="J923" s="304">
        <f t="shared" si="2201"/>
        <v>0</v>
      </c>
      <c r="K923" s="3155"/>
      <c r="L923" s="363">
        <f t="shared" si="2202"/>
        <v>0</v>
      </c>
      <c r="M923" s="3155">
        <v>131.6</v>
      </c>
      <c r="N923" s="363">
        <f t="shared" si="2208"/>
        <v>131.6</v>
      </c>
      <c r="O923" s="3155">
        <v>0</v>
      </c>
      <c r="P923" s="87">
        <f t="shared" si="2209"/>
        <v>131.6</v>
      </c>
      <c r="Q923" s="2144">
        <f t="shared" si="2197"/>
        <v>131.6</v>
      </c>
      <c r="R923" s="3155">
        <v>73.8</v>
      </c>
      <c r="S923" s="3115">
        <f t="shared" si="2210"/>
        <v>205.39999999999998</v>
      </c>
      <c r="T923" s="3155"/>
      <c r="U923" s="3115">
        <f t="shared" si="2198"/>
        <v>205.39999999999998</v>
      </c>
      <c r="V923" s="3155"/>
      <c r="W923" s="74">
        <f t="shared" si="2211"/>
        <v>73.8</v>
      </c>
      <c r="X923" s="78">
        <f t="shared" si="2212"/>
        <v>205.39999999999998</v>
      </c>
      <c r="Y923" s="3155"/>
      <c r="Z923" s="3115">
        <f t="shared" si="2204"/>
        <v>205.39999999999998</v>
      </c>
      <c r="AA923" s="3155"/>
      <c r="AB923" s="78">
        <f t="shared" si="2213"/>
        <v>205.39999999999998</v>
      </c>
      <c r="AC923" s="5129"/>
      <c r="AD923" s="1291">
        <f t="shared" si="2205"/>
        <v>0</v>
      </c>
      <c r="AE923" s="1385">
        <f t="shared" si="2206"/>
        <v>73.8</v>
      </c>
      <c r="AF923" s="712">
        <f t="shared" si="2207"/>
        <v>205.39999999999998</v>
      </c>
    </row>
    <row r="924" spans="3:35" ht="35" customHeight="1" x14ac:dyDescent="0.25">
      <c r="C924" s="338"/>
      <c r="D924" s="2437"/>
      <c r="E924" s="184" t="s">
        <v>1722</v>
      </c>
      <c r="F924" s="3155"/>
      <c r="G924" s="3155"/>
      <c r="H924" s="363">
        <f t="shared" si="2196"/>
        <v>0</v>
      </c>
      <c r="I924" s="3155"/>
      <c r="J924" s="304">
        <f t="shared" si="2201"/>
        <v>0</v>
      </c>
      <c r="K924" s="3155"/>
      <c r="L924" s="363">
        <f t="shared" si="2202"/>
        <v>0</v>
      </c>
      <c r="M924" s="3155">
        <v>0</v>
      </c>
      <c r="N924" s="363">
        <f t="shared" si="2208"/>
        <v>0</v>
      </c>
      <c r="O924" s="3155">
        <v>0</v>
      </c>
      <c r="P924" s="87">
        <f t="shared" si="2209"/>
        <v>0</v>
      </c>
      <c r="Q924" s="2144">
        <f t="shared" si="2197"/>
        <v>0</v>
      </c>
      <c r="R924" s="3155">
        <f>2999.36-42</f>
        <v>2957.36</v>
      </c>
      <c r="S924" s="3115">
        <f t="shared" si="2210"/>
        <v>2957.36</v>
      </c>
      <c r="T924" s="3155"/>
      <c r="U924" s="3115">
        <f t="shared" si="2198"/>
        <v>2957.36</v>
      </c>
      <c r="V924" s="3155"/>
      <c r="W924" s="74">
        <f t="shared" ref="W924:W925" si="2214">+R924+T924+V924</f>
        <v>2957.36</v>
      </c>
      <c r="X924" s="78">
        <f t="shared" ref="X924:X925" si="2215">+U924+V924</f>
        <v>2957.36</v>
      </c>
      <c r="Y924" s="3155"/>
      <c r="Z924" s="3115">
        <f t="shared" si="2204"/>
        <v>2957.36</v>
      </c>
      <c r="AA924" s="3148">
        <v>2195.96</v>
      </c>
      <c r="AB924" s="78">
        <f t="shared" si="2213"/>
        <v>5153.32</v>
      </c>
      <c r="AC924" s="5129"/>
      <c r="AD924" s="1291">
        <f t="shared" ref="AD924:AD925" si="2216">+Y924+AA924+AC924</f>
        <v>2195.96</v>
      </c>
      <c r="AE924" s="1385">
        <f t="shared" ref="AE924:AE925" si="2217">+W924+AD924</f>
        <v>5153.32</v>
      </c>
      <c r="AF924" s="712">
        <f t="shared" ref="AF924:AF925" si="2218">+AB924+AC924</f>
        <v>5153.32</v>
      </c>
    </row>
    <row r="925" spans="3:35" ht="35" customHeight="1" x14ac:dyDescent="0.25">
      <c r="C925" s="338"/>
      <c r="D925" s="2437"/>
      <c r="E925" s="184"/>
      <c r="F925" s="3155"/>
      <c r="G925" s="3155"/>
      <c r="H925" s="363">
        <f t="shared" si="2196"/>
        <v>0</v>
      </c>
      <c r="I925" s="3155"/>
      <c r="J925" s="304">
        <f t="shared" si="2201"/>
        <v>0</v>
      </c>
      <c r="K925" s="3155"/>
      <c r="L925" s="363">
        <f t="shared" si="2202"/>
        <v>0</v>
      </c>
      <c r="M925" s="3155">
        <v>0</v>
      </c>
      <c r="N925" s="363">
        <f t="shared" si="2208"/>
        <v>0</v>
      </c>
      <c r="O925" s="3155">
        <v>0</v>
      </c>
      <c r="P925" s="87">
        <f t="shared" si="2209"/>
        <v>0</v>
      </c>
      <c r="Q925" s="2144">
        <f t="shared" si="2197"/>
        <v>0</v>
      </c>
      <c r="R925" s="3155"/>
      <c r="S925" s="3115">
        <f t="shared" si="2210"/>
        <v>0</v>
      </c>
      <c r="T925" s="3155"/>
      <c r="U925" s="3115">
        <f t="shared" si="2198"/>
        <v>0</v>
      </c>
      <c r="V925" s="3155"/>
      <c r="W925" s="74">
        <f t="shared" si="2214"/>
        <v>0</v>
      </c>
      <c r="X925" s="78">
        <f t="shared" si="2215"/>
        <v>0</v>
      </c>
      <c r="Y925" s="3155"/>
      <c r="Z925" s="3115">
        <f t="shared" si="2204"/>
        <v>0</v>
      </c>
      <c r="AA925" s="3155"/>
      <c r="AB925" s="78">
        <f t="shared" si="2213"/>
        <v>0</v>
      </c>
      <c r="AC925" s="5129"/>
      <c r="AD925" s="1291">
        <f t="shared" si="2216"/>
        <v>0</v>
      </c>
      <c r="AE925" s="1385">
        <f t="shared" si="2217"/>
        <v>0</v>
      </c>
      <c r="AF925" s="712">
        <f t="shared" si="2218"/>
        <v>0</v>
      </c>
    </row>
    <row r="926" spans="3:35" ht="35" customHeight="1" x14ac:dyDescent="0.25">
      <c r="C926" s="338"/>
      <c r="D926" s="2437"/>
      <c r="E926" s="184" t="s">
        <v>1493</v>
      </c>
      <c r="F926" s="3155"/>
      <c r="G926" s="3155"/>
      <c r="H926" s="363">
        <f t="shared" si="2196"/>
        <v>0</v>
      </c>
      <c r="I926" s="3155"/>
      <c r="J926" s="304">
        <f t="shared" si="2201"/>
        <v>0</v>
      </c>
      <c r="K926" s="3155"/>
      <c r="L926" s="363">
        <f t="shared" si="2202"/>
        <v>0</v>
      </c>
      <c r="M926" s="3155">
        <f>3298.06-60.2</f>
        <v>3237.86</v>
      </c>
      <c r="N926" s="363">
        <f t="shared" si="2208"/>
        <v>3237.86</v>
      </c>
      <c r="O926" s="3155">
        <v>0</v>
      </c>
      <c r="P926" s="87">
        <f t="shared" si="2209"/>
        <v>3237.86</v>
      </c>
      <c r="Q926" s="2144">
        <f t="shared" si="2197"/>
        <v>3237.86</v>
      </c>
      <c r="R926" s="3155"/>
      <c r="S926" s="3115">
        <f t="shared" si="2210"/>
        <v>3237.86</v>
      </c>
      <c r="T926" s="3155"/>
      <c r="U926" s="3115">
        <f t="shared" si="2198"/>
        <v>3237.86</v>
      </c>
      <c r="V926" s="3155"/>
      <c r="W926" s="74">
        <f t="shared" si="2211"/>
        <v>0</v>
      </c>
      <c r="X926" s="78">
        <f t="shared" si="2212"/>
        <v>3237.86</v>
      </c>
      <c r="Y926" s="3155"/>
      <c r="Z926" s="3115">
        <f t="shared" si="2204"/>
        <v>3237.86</v>
      </c>
      <c r="AA926" s="3155"/>
      <c r="AB926" s="78">
        <f t="shared" si="2213"/>
        <v>3237.86</v>
      </c>
      <c r="AC926" s="5129"/>
      <c r="AD926" s="1291">
        <f t="shared" si="2205"/>
        <v>0</v>
      </c>
      <c r="AE926" s="1385">
        <f t="shared" si="2206"/>
        <v>0</v>
      </c>
      <c r="AF926" s="712">
        <f t="shared" si="2207"/>
        <v>3237.86</v>
      </c>
    </row>
    <row r="927" spans="3:35" ht="35" customHeight="1" x14ac:dyDescent="0.25">
      <c r="C927" s="338"/>
      <c r="D927" s="4214"/>
      <c r="E927" s="184" t="s">
        <v>1494</v>
      </c>
      <c r="F927" s="3155"/>
      <c r="G927" s="3155"/>
      <c r="H927" s="363">
        <f t="shared" si="2196"/>
        <v>0</v>
      </c>
      <c r="I927" s="3155"/>
      <c r="J927" s="304">
        <f t="shared" si="2201"/>
        <v>0</v>
      </c>
      <c r="K927" s="3155"/>
      <c r="L927" s="363">
        <f t="shared" si="2202"/>
        <v>0</v>
      </c>
      <c r="M927" s="3155">
        <v>0</v>
      </c>
      <c r="N927" s="363">
        <f t="shared" si="2208"/>
        <v>0</v>
      </c>
      <c r="O927" s="3155">
        <v>0</v>
      </c>
      <c r="P927" s="87">
        <f t="shared" ref="P927:P928" si="2219">+K927+M927+O927</f>
        <v>0</v>
      </c>
      <c r="Q927" s="2144">
        <f t="shared" ref="Q927:Q928" si="2220">+N927+O927</f>
        <v>0</v>
      </c>
      <c r="R927" s="3155"/>
      <c r="S927" s="3115">
        <f t="shared" si="2210"/>
        <v>0</v>
      </c>
      <c r="T927" s="3155"/>
      <c r="U927" s="3115">
        <f t="shared" si="2198"/>
        <v>0</v>
      </c>
      <c r="V927" s="3155"/>
      <c r="W927" s="74">
        <f t="shared" ref="W927:W928" si="2221">+R927+T927+V927</f>
        <v>0</v>
      </c>
      <c r="X927" s="78">
        <f t="shared" ref="X927:X928" si="2222">+U927+V927</f>
        <v>0</v>
      </c>
      <c r="Y927" s="3155"/>
      <c r="Z927" s="3115">
        <f t="shared" si="2204"/>
        <v>0</v>
      </c>
      <c r="AA927" s="3155"/>
      <c r="AB927" s="78">
        <f t="shared" si="2213"/>
        <v>0</v>
      </c>
      <c r="AC927" s="5129"/>
      <c r="AD927" s="1291">
        <f t="shared" ref="AD927:AD963" si="2223">+Y927+AA927+AC927</f>
        <v>0</v>
      </c>
      <c r="AE927" s="1385">
        <f t="shared" ref="AE927:AE963" si="2224">+W927+AD927</f>
        <v>0</v>
      </c>
      <c r="AF927" s="712">
        <f t="shared" ref="AF927:AF963" si="2225">+AB927+AC927</f>
        <v>0</v>
      </c>
    </row>
    <row r="928" spans="3:35" ht="35" customHeight="1" x14ac:dyDescent="0.25">
      <c r="C928" s="338"/>
      <c r="D928" s="4214"/>
      <c r="E928" s="184" t="s">
        <v>1495</v>
      </c>
      <c r="F928" s="3155"/>
      <c r="G928" s="3155"/>
      <c r="H928" s="363">
        <f t="shared" si="2196"/>
        <v>0</v>
      </c>
      <c r="I928" s="3155"/>
      <c r="J928" s="304">
        <f t="shared" si="2201"/>
        <v>0</v>
      </c>
      <c r="K928" s="3155"/>
      <c r="L928" s="363">
        <f t="shared" si="2202"/>
        <v>0</v>
      </c>
      <c r="M928" s="3155">
        <v>0</v>
      </c>
      <c r="N928" s="363">
        <f t="shared" si="2208"/>
        <v>0</v>
      </c>
      <c r="O928" s="3155">
        <v>0</v>
      </c>
      <c r="P928" s="87">
        <f t="shared" si="2219"/>
        <v>0</v>
      </c>
      <c r="Q928" s="2144">
        <f t="shared" si="2220"/>
        <v>0</v>
      </c>
      <c r="R928" s="3155"/>
      <c r="S928" s="3115">
        <f t="shared" si="2210"/>
        <v>0</v>
      </c>
      <c r="T928" s="3155"/>
      <c r="U928" s="3115">
        <f t="shared" si="2198"/>
        <v>0</v>
      </c>
      <c r="V928" s="3155"/>
      <c r="W928" s="74">
        <f t="shared" si="2221"/>
        <v>0</v>
      </c>
      <c r="X928" s="78">
        <f t="shared" si="2222"/>
        <v>0</v>
      </c>
      <c r="Y928" s="3155"/>
      <c r="Z928" s="3115">
        <f t="shared" si="2204"/>
        <v>0</v>
      </c>
      <c r="AA928" s="3155"/>
      <c r="AB928" s="78">
        <f t="shared" si="2213"/>
        <v>0</v>
      </c>
      <c r="AC928" s="5129"/>
      <c r="AD928" s="1291">
        <f t="shared" si="2223"/>
        <v>0</v>
      </c>
      <c r="AE928" s="1385">
        <f t="shared" si="2224"/>
        <v>0</v>
      </c>
      <c r="AF928" s="712">
        <f t="shared" si="2225"/>
        <v>0</v>
      </c>
    </row>
    <row r="929" spans="3:32" ht="35" customHeight="1" x14ac:dyDescent="0.25">
      <c r="C929" s="338"/>
      <c r="D929" s="2437"/>
      <c r="E929" s="184" t="s">
        <v>1687</v>
      </c>
      <c r="F929" s="3155"/>
      <c r="G929" s="3155"/>
      <c r="H929" s="363">
        <f t="shared" si="2196"/>
        <v>0</v>
      </c>
      <c r="I929" s="3155"/>
      <c r="J929" s="304">
        <f t="shared" si="2201"/>
        <v>0</v>
      </c>
      <c r="K929" s="3155"/>
      <c r="L929" s="363">
        <f t="shared" si="2202"/>
        <v>0</v>
      </c>
      <c r="M929" s="3155">
        <v>54.8</v>
      </c>
      <c r="N929" s="363">
        <f t="shared" ref="N929" si="2226">SUM(L929:M929)</f>
        <v>54.8</v>
      </c>
      <c r="O929" s="3155">
        <v>0</v>
      </c>
      <c r="P929" s="87">
        <f t="shared" ref="P929" si="2227">+K929+M929+O929</f>
        <v>54.8</v>
      </c>
      <c r="Q929" s="2144">
        <f t="shared" ref="Q929" si="2228">+N929+O929</f>
        <v>54.8</v>
      </c>
      <c r="R929" s="3155"/>
      <c r="S929" s="3115">
        <f t="shared" ref="S929" si="2229">SUM(Q929:R929)</f>
        <v>54.8</v>
      </c>
      <c r="T929" s="3155"/>
      <c r="U929" s="3115">
        <f t="shared" si="2198"/>
        <v>54.8</v>
      </c>
      <c r="V929" s="3155"/>
      <c r="W929" s="74">
        <f t="shared" ref="W929" si="2230">+R929+T929+V929</f>
        <v>0</v>
      </c>
      <c r="X929" s="78">
        <f t="shared" ref="X929" si="2231">+U929+V929</f>
        <v>54.8</v>
      </c>
      <c r="Y929" s="3155"/>
      <c r="Z929" s="3115">
        <f t="shared" si="2204"/>
        <v>54.8</v>
      </c>
      <c r="AA929" s="3155"/>
      <c r="AB929" s="78">
        <f t="shared" si="2213"/>
        <v>54.8</v>
      </c>
      <c r="AC929" s="5129"/>
      <c r="AD929" s="1291">
        <f t="shared" si="2223"/>
        <v>0</v>
      </c>
      <c r="AE929" s="1385">
        <f t="shared" si="2224"/>
        <v>0</v>
      </c>
      <c r="AF929" s="712">
        <f t="shared" si="2225"/>
        <v>54.8</v>
      </c>
    </row>
    <row r="930" spans="3:32" ht="35" customHeight="1" x14ac:dyDescent="0.25">
      <c r="C930" s="338"/>
      <c r="D930" s="2437"/>
      <c r="E930" s="184"/>
      <c r="F930" s="3155"/>
      <c r="G930" s="3155"/>
      <c r="H930" s="363">
        <f t="shared" si="2196"/>
        <v>0</v>
      </c>
      <c r="I930" s="3155"/>
      <c r="J930" s="304">
        <f t="shared" si="2201"/>
        <v>0</v>
      </c>
      <c r="K930" s="3155"/>
      <c r="L930" s="363">
        <f t="shared" si="2202"/>
        <v>0</v>
      </c>
      <c r="M930" s="3155">
        <v>0</v>
      </c>
      <c r="N930" s="363">
        <f t="shared" si="2208"/>
        <v>0</v>
      </c>
      <c r="O930" s="3155">
        <v>0</v>
      </c>
      <c r="P930" s="87">
        <f t="shared" si="2209"/>
        <v>0</v>
      </c>
      <c r="Q930" s="2144">
        <f t="shared" si="2197"/>
        <v>0</v>
      </c>
      <c r="R930" s="3155"/>
      <c r="S930" s="3115">
        <f t="shared" si="2210"/>
        <v>0</v>
      </c>
      <c r="T930" s="3155"/>
      <c r="U930" s="3115">
        <f t="shared" si="2198"/>
        <v>0</v>
      </c>
      <c r="V930" s="3155"/>
      <c r="W930" s="74">
        <f t="shared" si="2211"/>
        <v>0</v>
      </c>
      <c r="X930" s="78">
        <f t="shared" si="2212"/>
        <v>0</v>
      </c>
      <c r="Y930" s="3155"/>
      <c r="Z930" s="3115">
        <f t="shared" si="2204"/>
        <v>0</v>
      </c>
      <c r="AA930" s="3155"/>
      <c r="AB930" s="78">
        <f t="shared" si="2213"/>
        <v>0</v>
      </c>
      <c r="AC930" s="5129"/>
      <c r="AD930" s="1291">
        <f t="shared" si="2223"/>
        <v>0</v>
      </c>
      <c r="AE930" s="1385">
        <f t="shared" si="2224"/>
        <v>0</v>
      </c>
      <c r="AF930" s="712">
        <f t="shared" si="2225"/>
        <v>0</v>
      </c>
    </row>
    <row r="931" spans="3:32" ht="35" customHeight="1" x14ac:dyDescent="0.25">
      <c r="C931" s="338"/>
      <c r="D931" s="2437"/>
      <c r="E931" s="184"/>
      <c r="F931" s="3155"/>
      <c r="G931" s="3155"/>
      <c r="H931" s="363">
        <f t="shared" si="2196"/>
        <v>0</v>
      </c>
      <c r="I931" s="3155"/>
      <c r="J931" s="304">
        <f t="shared" si="2201"/>
        <v>0</v>
      </c>
      <c r="K931" s="3155"/>
      <c r="L931" s="363">
        <f t="shared" si="2202"/>
        <v>0</v>
      </c>
      <c r="M931" s="3155">
        <v>0</v>
      </c>
      <c r="N931" s="363">
        <f t="shared" si="2208"/>
        <v>0</v>
      </c>
      <c r="O931" s="3155">
        <v>0</v>
      </c>
      <c r="P931" s="87">
        <f t="shared" si="2209"/>
        <v>0</v>
      </c>
      <c r="Q931" s="2144">
        <f t="shared" si="2197"/>
        <v>0</v>
      </c>
      <c r="R931" s="3155"/>
      <c r="S931" s="3115">
        <f t="shared" si="2210"/>
        <v>0</v>
      </c>
      <c r="T931" s="3155"/>
      <c r="U931" s="3115">
        <f t="shared" si="2198"/>
        <v>0</v>
      </c>
      <c r="V931" s="3155"/>
      <c r="W931" s="74">
        <f t="shared" si="2211"/>
        <v>0</v>
      </c>
      <c r="X931" s="78">
        <f t="shared" si="2212"/>
        <v>0</v>
      </c>
      <c r="Y931" s="3155"/>
      <c r="Z931" s="3115">
        <f t="shared" si="2204"/>
        <v>0</v>
      </c>
      <c r="AA931" s="3155"/>
      <c r="AB931" s="78">
        <f t="shared" si="2213"/>
        <v>0</v>
      </c>
      <c r="AC931" s="5129"/>
      <c r="AD931" s="1291">
        <f t="shared" si="2223"/>
        <v>0</v>
      </c>
      <c r="AE931" s="1385">
        <f t="shared" si="2224"/>
        <v>0</v>
      </c>
      <c r="AF931" s="712">
        <f t="shared" si="2225"/>
        <v>0</v>
      </c>
    </row>
    <row r="932" spans="3:32" ht="35" customHeight="1" x14ac:dyDescent="0.25">
      <c r="C932" s="338"/>
      <c r="D932" s="2437"/>
      <c r="E932" s="184" t="s">
        <v>1551</v>
      </c>
      <c r="F932" s="3148"/>
      <c r="G932" s="3148"/>
      <c r="H932" s="363">
        <f t="shared" si="2196"/>
        <v>0</v>
      </c>
      <c r="I932" s="3148"/>
      <c r="J932" s="304">
        <f t="shared" si="2201"/>
        <v>0</v>
      </c>
      <c r="K932" s="3148"/>
      <c r="L932" s="363">
        <f t="shared" si="2202"/>
        <v>0</v>
      </c>
      <c r="M932" s="3155">
        <v>0</v>
      </c>
      <c r="N932" s="363">
        <f t="shared" si="2208"/>
        <v>0</v>
      </c>
      <c r="O932" s="3148">
        <f>4630.88-64.3</f>
        <v>4566.58</v>
      </c>
      <c r="P932" s="87">
        <f t="shared" si="2209"/>
        <v>4566.58</v>
      </c>
      <c r="Q932" s="2144">
        <f t="shared" si="2197"/>
        <v>4566.58</v>
      </c>
      <c r="R932" s="3148">
        <f>1567.66-49.3</f>
        <v>1518.3600000000001</v>
      </c>
      <c r="S932" s="3115">
        <f t="shared" si="2210"/>
        <v>6084.9400000000005</v>
      </c>
      <c r="T932" s="3148">
        <f>5197.38-13.5</f>
        <v>5183.88</v>
      </c>
      <c r="U932" s="3115">
        <f t="shared" si="2198"/>
        <v>11268.82</v>
      </c>
      <c r="V932" s="3148">
        <v>5636.16</v>
      </c>
      <c r="W932" s="74">
        <f t="shared" si="2211"/>
        <v>12338.4</v>
      </c>
      <c r="X932" s="78">
        <f t="shared" si="2212"/>
        <v>16904.98</v>
      </c>
      <c r="Y932" s="3148">
        <v>2743.92</v>
      </c>
      <c r="Z932" s="3115">
        <f t="shared" si="2204"/>
        <v>19648.900000000001</v>
      </c>
      <c r="AA932" s="3148">
        <f>5007.86-27.3</f>
        <v>4980.5599999999995</v>
      </c>
      <c r="AB932" s="78">
        <f t="shared" si="2213"/>
        <v>24629.46</v>
      </c>
      <c r="AC932" s="5129"/>
      <c r="AD932" s="1291">
        <f t="shared" si="2223"/>
        <v>7724.48</v>
      </c>
      <c r="AE932" s="1385">
        <f t="shared" si="2224"/>
        <v>20062.879999999997</v>
      </c>
      <c r="AF932" s="712">
        <f t="shared" si="2225"/>
        <v>24629.46</v>
      </c>
    </row>
    <row r="933" spans="3:32" ht="35" customHeight="1" x14ac:dyDescent="0.25">
      <c r="C933" s="338"/>
      <c r="D933" s="2437"/>
      <c r="E933" s="184" t="s">
        <v>1415</v>
      </c>
      <c r="F933" s="3155"/>
      <c r="G933" s="3155"/>
      <c r="H933" s="363">
        <f t="shared" si="2196"/>
        <v>0</v>
      </c>
      <c r="I933" s="3155"/>
      <c r="J933" s="304">
        <f t="shared" si="2201"/>
        <v>0</v>
      </c>
      <c r="K933" s="3155"/>
      <c r="L933" s="363">
        <f t="shared" si="2202"/>
        <v>0</v>
      </c>
      <c r="M933" s="3155">
        <v>0</v>
      </c>
      <c r="N933" s="363">
        <f t="shared" si="2208"/>
        <v>0</v>
      </c>
      <c r="O933" s="3155">
        <v>0</v>
      </c>
      <c r="P933" s="87">
        <f t="shared" ref="P933" si="2232">+K933+M933+O933</f>
        <v>0</v>
      </c>
      <c r="Q933" s="2144">
        <f t="shared" ref="Q933" si="2233">+N933+O933</f>
        <v>0</v>
      </c>
      <c r="R933" s="3155"/>
      <c r="S933" s="3115">
        <f t="shared" si="2210"/>
        <v>0</v>
      </c>
      <c r="T933" s="3155"/>
      <c r="U933" s="3115">
        <f t="shared" si="2198"/>
        <v>0</v>
      </c>
      <c r="V933" s="3155"/>
      <c r="W933" s="74">
        <f t="shared" ref="W933" si="2234">+R933+T933+V933</f>
        <v>0</v>
      </c>
      <c r="X933" s="78">
        <f t="shared" ref="X933" si="2235">+U933+V933</f>
        <v>0</v>
      </c>
      <c r="Y933" s="3155"/>
      <c r="Z933" s="3115">
        <f t="shared" si="2204"/>
        <v>0</v>
      </c>
      <c r="AA933" s="3155"/>
      <c r="AB933" s="78">
        <f t="shared" si="2213"/>
        <v>0</v>
      </c>
      <c r="AC933" s="5129"/>
      <c r="AD933" s="1291">
        <f t="shared" si="2223"/>
        <v>0</v>
      </c>
      <c r="AE933" s="1385">
        <f t="shared" si="2224"/>
        <v>0</v>
      </c>
      <c r="AF933" s="712">
        <f t="shared" si="2225"/>
        <v>0</v>
      </c>
    </row>
    <row r="934" spans="3:32" ht="35" customHeight="1" x14ac:dyDescent="0.25">
      <c r="C934" s="338"/>
      <c r="D934" s="2437"/>
      <c r="E934" s="184" t="s">
        <v>1721</v>
      </c>
      <c r="F934" s="3148"/>
      <c r="G934" s="3148"/>
      <c r="H934" s="363">
        <f t="shared" si="2196"/>
        <v>0</v>
      </c>
      <c r="I934" s="3148"/>
      <c r="J934" s="304">
        <f t="shared" si="2201"/>
        <v>0</v>
      </c>
      <c r="K934" s="3148"/>
      <c r="L934" s="363">
        <f t="shared" si="2202"/>
        <v>0</v>
      </c>
      <c r="M934" s="3155">
        <v>0</v>
      </c>
      <c r="N934" s="363">
        <f t="shared" si="2208"/>
        <v>0</v>
      </c>
      <c r="O934" s="3155">
        <v>0</v>
      </c>
      <c r="P934" s="87">
        <f t="shared" si="2209"/>
        <v>0</v>
      </c>
      <c r="Q934" s="2144">
        <f t="shared" si="2197"/>
        <v>0</v>
      </c>
      <c r="R934" s="3148">
        <v>539.72</v>
      </c>
      <c r="S934" s="3115">
        <f t="shared" si="2210"/>
        <v>539.72</v>
      </c>
      <c r="T934" s="3148"/>
      <c r="U934" s="3115">
        <f t="shared" si="2198"/>
        <v>539.72</v>
      </c>
      <c r="V934" s="3148"/>
      <c r="W934" s="74">
        <f t="shared" si="2211"/>
        <v>539.72</v>
      </c>
      <c r="X934" s="78">
        <f t="shared" si="2212"/>
        <v>539.72</v>
      </c>
      <c r="Y934" s="3148"/>
      <c r="Z934" s="3115">
        <f t="shared" si="2204"/>
        <v>539.72</v>
      </c>
      <c r="AA934" s="3148"/>
      <c r="AB934" s="78">
        <f t="shared" si="2213"/>
        <v>539.72</v>
      </c>
      <c r="AC934" s="5129"/>
      <c r="AD934" s="1291">
        <f t="shared" si="2223"/>
        <v>0</v>
      </c>
      <c r="AE934" s="1385">
        <f t="shared" si="2224"/>
        <v>539.72</v>
      </c>
      <c r="AF934" s="712">
        <f t="shared" si="2225"/>
        <v>539.72</v>
      </c>
    </row>
    <row r="935" spans="3:32" ht="35" customHeight="1" x14ac:dyDescent="0.25">
      <c r="C935" s="338"/>
      <c r="D935" s="2437"/>
      <c r="E935" s="184"/>
      <c r="F935" s="3155"/>
      <c r="G935" s="3155"/>
      <c r="H935" s="363">
        <f t="shared" si="2196"/>
        <v>0</v>
      </c>
      <c r="I935" s="3155"/>
      <c r="J935" s="304">
        <f t="shared" si="2201"/>
        <v>0</v>
      </c>
      <c r="K935" s="3155"/>
      <c r="L935" s="363">
        <f t="shared" si="2202"/>
        <v>0</v>
      </c>
      <c r="M935" s="3155">
        <v>0</v>
      </c>
      <c r="N935" s="363">
        <f t="shared" si="2208"/>
        <v>0</v>
      </c>
      <c r="O935" s="3155">
        <v>0</v>
      </c>
      <c r="P935" s="87">
        <f t="shared" si="2209"/>
        <v>0</v>
      </c>
      <c r="Q935" s="2144">
        <f t="shared" si="2197"/>
        <v>0</v>
      </c>
      <c r="R935" s="3155"/>
      <c r="S935" s="3115">
        <f t="shared" si="2210"/>
        <v>0</v>
      </c>
      <c r="T935" s="3155"/>
      <c r="U935" s="3115">
        <f t="shared" si="2198"/>
        <v>0</v>
      </c>
      <c r="V935" s="3155"/>
      <c r="W935" s="74">
        <f t="shared" si="2211"/>
        <v>0</v>
      </c>
      <c r="X935" s="78">
        <f t="shared" si="2212"/>
        <v>0</v>
      </c>
      <c r="Y935" s="3155"/>
      <c r="Z935" s="3115">
        <f t="shared" si="2204"/>
        <v>0</v>
      </c>
      <c r="AA935" s="3155"/>
      <c r="AB935" s="78">
        <f t="shared" si="2213"/>
        <v>0</v>
      </c>
      <c r="AC935" s="5129"/>
      <c r="AD935" s="1291">
        <f t="shared" si="2223"/>
        <v>0</v>
      </c>
      <c r="AE935" s="1385">
        <f t="shared" si="2224"/>
        <v>0</v>
      </c>
      <c r="AF935" s="712">
        <f t="shared" si="2225"/>
        <v>0</v>
      </c>
    </row>
    <row r="936" spans="3:32" ht="35" customHeight="1" x14ac:dyDescent="0.25">
      <c r="C936" s="338"/>
      <c r="D936" s="2437"/>
      <c r="E936" s="184"/>
      <c r="F936" s="3155"/>
      <c r="G936" s="3155"/>
      <c r="H936" s="363">
        <f t="shared" si="2196"/>
        <v>0</v>
      </c>
      <c r="I936" s="3155"/>
      <c r="J936" s="304">
        <f t="shared" si="2201"/>
        <v>0</v>
      </c>
      <c r="K936" s="3155"/>
      <c r="L936" s="363">
        <f t="shared" si="2202"/>
        <v>0</v>
      </c>
      <c r="M936" s="3155">
        <v>0</v>
      </c>
      <c r="N936" s="363">
        <f t="shared" si="2208"/>
        <v>0</v>
      </c>
      <c r="O936" s="3155">
        <v>0</v>
      </c>
      <c r="P936" s="87">
        <f t="shared" si="2209"/>
        <v>0</v>
      </c>
      <c r="Q936" s="2144">
        <f t="shared" si="2197"/>
        <v>0</v>
      </c>
      <c r="R936" s="3155"/>
      <c r="S936" s="3115">
        <f t="shared" si="2210"/>
        <v>0</v>
      </c>
      <c r="T936" s="3155"/>
      <c r="U936" s="3115">
        <f t="shared" si="2198"/>
        <v>0</v>
      </c>
      <c r="V936" s="3155"/>
      <c r="W936" s="74">
        <f t="shared" si="2211"/>
        <v>0</v>
      </c>
      <c r="X936" s="78">
        <f t="shared" si="2212"/>
        <v>0</v>
      </c>
      <c r="Y936" s="3155"/>
      <c r="Z936" s="3115">
        <f t="shared" si="2204"/>
        <v>0</v>
      </c>
      <c r="AA936" s="3155"/>
      <c r="AB936" s="78">
        <f t="shared" si="2213"/>
        <v>0</v>
      </c>
      <c r="AC936" s="5129"/>
      <c r="AD936" s="1291">
        <f t="shared" si="2223"/>
        <v>0</v>
      </c>
      <c r="AE936" s="1385">
        <f t="shared" si="2224"/>
        <v>0</v>
      </c>
      <c r="AF936" s="712">
        <f t="shared" si="2225"/>
        <v>0</v>
      </c>
    </row>
    <row r="937" spans="3:32" ht="35" customHeight="1" x14ac:dyDescent="0.25">
      <c r="C937" s="338"/>
      <c r="D937" s="2437"/>
      <c r="E937" s="184" t="s">
        <v>1550</v>
      </c>
      <c r="F937" s="3262"/>
      <c r="G937" s="3262"/>
      <c r="H937" s="363">
        <f t="shared" si="2196"/>
        <v>0</v>
      </c>
      <c r="I937" s="3262"/>
      <c r="J937" s="304">
        <f t="shared" si="2201"/>
        <v>0</v>
      </c>
      <c r="K937" s="3262"/>
      <c r="L937" s="363">
        <f t="shared" si="2202"/>
        <v>0</v>
      </c>
      <c r="M937" s="3262">
        <f>2595.6-151.2</f>
        <v>2444.4</v>
      </c>
      <c r="N937" s="363">
        <f t="shared" si="2208"/>
        <v>2444.4</v>
      </c>
      <c r="O937" s="3155">
        <v>0</v>
      </c>
      <c r="P937" s="87">
        <f t="shared" si="2209"/>
        <v>2444.4</v>
      </c>
      <c r="Q937" s="2144">
        <f t="shared" si="2197"/>
        <v>2444.4</v>
      </c>
      <c r="R937" s="3262">
        <f>9756.16-100.8</f>
        <v>9655.36</v>
      </c>
      <c r="S937" s="3115">
        <f t="shared" si="2210"/>
        <v>12099.76</v>
      </c>
      <c r="T937" s="3262">
        <f>2101.2-10.8-14.5</f>
        <v>2075.8999999999996</v>
      </c>
      <c r="U937" s="3115">
        <f t="shared" si="2198"/>
        <v>14175.66</v>
      </c>
      <c r="V937" s="3262">
        <f>6021.38-8.72</f>
        <v>6012.66</v>
      </c>
      <c r="W937" s="74">
        <f t="shared" si="2211"/>
        <v>17743.919999999998</v>
      </c>
      <c r="X937" s="78">
        <f t="shared" si="2212"/>
        <v>20188.32</v>
      </c>
      <c r="Y937" s="3262">
        <v>3518.48</v>
      </c>
      <c r="Z937" s="3115">
        <f t="shared" si="2204"/>
        <v>23706.799999999999</v>
      </c>
      <c r="AA937" s="3262">
        <f>12005.68-55.75</f>
        <v>11949.93</v>
      </c>
      <c r="AB937" s="78">
        <f t="shared" si="2213"/>
        <v>35656.729999999996</v>
      </c>
      <c r="AC937" s="3162"/>
      <c r="AD937" s="1291">
        <f t="shared" si="2223"/>
        <v>15468.41</v>
      </c>
      <c r="AE937" s="1385">
        <f t="shared" si="2224"/>
        <v>33212.33</v>
      </c>
      <c r="AF937" s="712">
        <f t="shared" si="2225"/>
        <v>35656.729999999996</v>
      </c>
    </row>
    <row r="938" spans="3:32" ht="35" customHeight="1" x14ac:dyDescent="0.25">
      <c r="C938" s="338"/>
      <c r="D938" s="2437"/>
      <c r="E938" s="184" t="s">
        <v>344</v>
      </c>
      <c r="F938" s="3155"/>
      <c r="G938" s="3155"/>
      <c r="H938" s="363">
        <f t="shared" si="2196"/>
        <v>0</v>
      </c>
      <c r="I938" s="3155"/>
      <c r="J938" s="304">
        <f t="shared" si="2201"/>
        <v>0</v>
      </c>
      <c r="K938" s="3155"/>
      <c r="L938" s="363">
        <f t="shared" si="2202"/>
        <v>0</v>
      </c>
      <c r="M938" s="3155">
        <v>151.19999999999999</v>
      </c>
      <c r="N938" s="363">
        <f t="shared" si="2208"/>
        <v>151.19999999999999</v>
      </c>
      <c r="O938" s="3155">
        <v>0</v>
      </c>
      <c r="P938" s="87">
        <f t="shared" si="2209"/>
        <v>151.19999999999999</v>
      </c>
      <c r="Q938" s="2144">
        <f t="shared" si="2197"/>
        <v>151.19999999999999</v>
      </c>
      <c r="R938" s="3155">
        <v>84</v>
      </c>
      <c r="S938" s="3115">
        <f t="shared" si="2210"/>
        <v>235.2</v>
      </c>
      <c r="T938" s="3155">
        <v>14.5</v>
      </c>
      <c r="U938" s="3115">
        <f t="shared" si="2198"/>
        <v>249.7</v>
      </c>
      <c r="V938" s="3155"/>
      <c r="W938" s="74">
        <f t="shared" si="2211"/>
        <v>98.5</v>
      </c>
      <c r="X938" s="78">
        <f t="shared" si="2212"/>
        <v>249.7</v>
      </c>
      <c r="Y938" s="3155"/>
      <c r="Z938" s="3115">
        <f t="shared" si="2204"/>
        <v>249.7</v>
      </c>
      <c r="AA938" s="3155"/>
      <c r="AB938" s="78">
        <f t="shared" si="2213"/>
        <v>249.7</v>
      </c>
      <c r="AC938" s="5129"/>
      <c r="AD938" s="1291">
        <f t="shared" si="2223"/>
        <v>0</v>
      </c>
      <c r="AE938" s="1385">
        <f t="shared" si="2224"/>
        <v>98.5</v>
      </c>
      <c r="AF938" s="712">
        <f t="shared" si="2225"/>
        <v>249.7</v>
      </c>
    </row>
    <row r="939" spans="3:32" ht="35" customHeight="1" x14ac:dyDescent="0.25">
      <c r="C939" s="338"/>
      <c r="D939" s="2437"/>
      <c r="E939" s="184"/>
      <c r="F939" s="3155"/>
      <c r="G939" s="3155"/>
      <c r="H939" s="363">
        <f t="shared" si="2196"/>
        <v>0</v>
      </c>
      <c r="I939" s="3155"/>
      <c r="J939" s="304">
        <f t="shared" si="2201"/>
        <v>0</v>
      </c>
      <c r="K939" s="3155"/>
      <c r="L939" s="363">
        <f t="shared" si="2202"/>
        <v>0</v>
      </c>
      <c r="M939" s="3155">
        <v>0</v>
      </c>
      <c r="N939" s="363">
        <f t="shared" si="2208"/>
        <v>0</v>
      </c>
      <c r="O939" s="3155">
        <v>0</v>
      </c>
      <c r="P939" s="87">
        <f t="shared" si="2209"/>
        <v>0</v>
      </c>
      <c r="Q939" s="2144">
        <f t="shared" si="2197"/>
        <v>0</v>
      </c>
      <c r="R939" s="3155"/>
      <c r="S939" s="3115">
        <f t="shared" si="2210"/>
        <v>0</v>
      </c>
      <c r="T939" s="3155"/>
      <c r="U939" s="3115">
        <f t="shared" si="2198"/>
        <v>0</v>
      </c>
      <c r="V939" s="3155"/>
      <c r="W939" s="74">
        <f t="shared" si="2211"/>
        <v>0</v>
      </c>
      <c r="X939" s="78">
        <f t="shared" si="2212"/>
        <v>0</v>
      </c>
      <c r="Y939" s="3155"/>
      <c r="Z939" s="3115">
        <f t="shared" si="2204"/>
        <v>0</v>
      </c>
      <c r="AA939" s="3155"/>
      <c r="AB939" s="78">
        <f t="shared" si="2213"/>
        <v>0</v>
      </c>
      <c r="AC939" s="5129"/>
      <c r="AD939" s="1291">
        <f t="shared" si="2223"/>
        <v>0</v>
      </c>
      <c r="AE939" s="1385">
        <f t="shared" si="2224"/>
        <v>0</v>
      </c>
      <c r="AF939" s="712">
        <f t="shared" si="2225"/>
        <v>0</v>
      </c>
    </row>
    <row r="940" spans="3:32" ht="34.5" customHeight="1" x14ac:dyDescent="0.25">
      <c r="C940" s="338"/>
      <c r="D940" s="2437"/>
      <c r="E940" s="184" t="s">
        <v>588</v>
      </c>
      <c r="F940" s="3155"/>
      <c r="G940" s="3155"/>
      <c r="H940" s="363">
        <f t="shared" si="2196"/>
        <v>0</v>
      </c>
      <c r="I940" s="3155"/>
      <c r="J940" s="304">
        <f t="shared" si="2201"/>
        <v>0</v>
      </c>
      <c r="K940" s="3155"/>
      <c r="L940" s="363">
        <f t="shared" si="2202"/>
        <v>0</v>
      </c>
      <c r="M940" s="3155">
        <v>0</v>
      </c>
      <c r="N940" s="363">
        <f t="shared" si="2208"/>
        <v>0</v>
      </c>
      <c r="O940" s="3155">
        <v>0</v>
      </c>
      <c r="P940" s="87">
        <f t="shared" si="2209"/>
        <v>0</v>
      </c>
      <c r="Q940" s="2144">
        <f t="shared" si="2197"/>
        <v>0</v>
      </c>
      <c r="R940" s="3155"/>
      <c r="S940" s="3115">
        <f t="shared" si="2210"/>
        <v>0</v>
      </c>
      <c r="T940" s="3155">
        <f>1143.3-75.6</f>
        <v>1067.7</v>
      </c>
      <c r="U940" s="3115">
        <f t="shared" si="2198"/>
        <v>1067.7</v>
      </c>
      <c r="V940" s="3155"/>
      <c r="W940" s="74">
        <f t="shared" si="2211"/>
        <v>1067.7</v>
      </c>
      <c r="X940" s="78">
        <f t="shared" si="2212"/>
        <v>1067.7</v>
      </c>
      <c r="Y940" s="3155"/>
      <c r="Z940" s="3115">
        <f t="shared" si="2204"/>
        <v>1067.7</v>
      </c>
      <c r="AA940" s="3155"/>
      <c r="AB940" s="78">
        <f t="shared" si="2213"/>
        <v>1067.7</v>
      </c>
      <c r="AC940" s="5129"/>
      <c r="AD940" s="1291">
        <f t="shared" si="2223"/>
        <v>0</v>
      </c>
      <c r="AE940" s="1385">
        <f t="shared" si="2224"/>
        <v>1067.7</v>
      </c>
      <c r="AF940" s="712">
        <f t="shared" si="2225"/>
        <v>1067.7</v>
      </c>
    </row>
    <row r="941" spans="3:32" ht="34.5" customHeight="1" x14ac:dyDescent="0.25">
      <c r="C941" s="338"/>
      <c r="D941" s="2437"/>
      <c r="E941" s="185" t="s">
        <v>1553</v>
      </c>
      <c r="F941" s="3155"/>
      <c r="G941" s="3155"/>
      <c r="H941" s="363">
        <f t="shared" si="2196"/>
        <v>0</v>
      </c>
      <c r="I941" s="3155"/>
      <c r="J941" s="304">
        <f t="shared" si="2201"/>
        <v>0</v>
      </c>
      <c r="K941" s="3155"/>
      <c r="L941" s="363">
        <f t="shared" si="2202"/>
        <v>0</v>
      </c>
      <c r="M941" s="3155">
        <v>0</v>
      </c>
      <c r="N941" s="363">
        <f t="shared" si="2208"/>
        <v>0</v>
      </c>
      <c r="O941" s="3155">
        <v>0</v>
      </c>
      <c r="P941" s="87">
        <f t="shared" ref="P941" si="2236">+K941+M941+O941</f>
        <v>0</v>
      </c>
      <c r="Q941" s="2144">
        <f t="shared" ref="Q941" si="2237">+N941+O941</f>
        <v>0</v>
      </c>
      <c r="R941" s="3155"/>
      <c r="S941" s="3115">
        <f t="shared" si="2210"/>
        <v>0</v>
      </c>
      <c r="T941" s="3155"/>
      <c r="U941" s="3115">
        <f t="shared" si="2198"/>
        <v>0</v>
      </c>
      <c r="V941" s="3155"/>
      <c r="W941" s="74">
        <f t="shared" ref="W941" si="2238">+R941+T941+V941</f>
        <v>0</v>
      </c>
      <c r="X941" s="78">
        <f t="shared" ref="X941" si="2239">+U941+V941</f>
        <v>0</v>
      </c>
      <c r="Y941" s="3155"/>
      <c r="Z941" s="3115">
        <f t="shared" si="2204"/>
        <v>0</v>
      </c>
      <c r="AA941" s="3155"/>
      <c r="AB941" s="78">
        <f t="shared" si="2213"/>
        <v>0</v>
      </c>
      <c r="AC941" s="5129"/>
      <c r="AD941" s="1291">
        <f t="shared" si="2223"/>
        <v>0</v>
      </c>
      <c r="AE941" s="1385">
        <f t="shared" si="2224"/>
        <v>0</v>
      </c>
      <c r="AF941" s="712">
        <f t="shared" si="2225"/>
        <v>0</v>
      </c>
    </row>
    <row r="942" spans="3:32" ht="35" customHeight="1" x14ac:dyDescent="0.25">
      <c r="C942" s="338"/>
      <c r="D942" s="2437"/>
      <c r="E942" s="184" t="s">
        <v>1420</v>
      </c>
      <c r="F942" s="3155"/>
      <c r="G942" s="3155"/>
      <c r="H942" s="363">
        <f t="shared" si="2196"/>
        <v>0</v>
      </c>
      <c r="I942" s="3155"/>
      <c r="J942" s="304">
        <f t="shared" si="2201"/>
        <v>0</v>
      </c>
      <c r="K942" s="3155"/>
      <c r="L942" s="363">
        <f t="shared" si="2202"/>
        <v>0</v>
      </c>
      <c r="M942" s="3155">
        <v>0</v>
      </c>
      <c r="N942" s="363">
        <f t="shared" si="2208"/>
        <v>0</v>
      </c>
      <c r="O942" s="3148">
        <v>813.7</v>
      </c>
      <c r="P942" s="87">
        <f t="shared" si="2209"/>
        <v>813.7</v>
      </c>
      <c r="Q942" s="2144">
        <f t="shared" si="2197"/>
        <v>813.7</v>
      </c>
      <c r="R942" s="3155"/>
      <c r="S942" s="3115">
        <f t="shared" si="2210"/>
        <v>813.7</v>
      </c>
      <c r="T942" s="3155">
        <v>1367.8400000000001</v>
      </c>
      <c r="U942" s="3115">
        <f t="shared" si="2198"/>
        <v>2181.54</v>
      </c>
      <c r="V942" s="3155"/>
      <c r="W942" s="74">
        <f t="shared" si="2211"/>
        <v>1367.8400000000001</v>
      </c>
      <c r="X942" s="78">
        <f t="shared" si="2212"/>
        <v>2181.54</v>
      </c>
      <c r="Y942" s="3155"/>
      <c r="Z942" s="3115">
        <f t="shared" si="2204"/>
        <v>2181.54</v>
      </c>
      <c r="AA942" s="3155"/>
      <c r="AB942" s="78">
        <f t="shared" si="2213"/>
        <v>2181.54</v>
      </c>
      <c r="AC942" s="5129"/>
      <c r="AD942" s="1291">
        <f t="shared" si="2223"/>
        <v>0</v>
      </c>
      <c r="AE942" s="1385">
        <f t="shared" si="2224"/>
        <v>1367.8400000000001</v>
      </c>
      <c r="AF942" s="712">
        <f t="shared" si="2225"/>
        <v>2181.54</v>
      </c>
    </row>
    <row r="943" spans="3:32" ht="34.5" customHeight="1" x14ac:dyDescent="0.25">
      <c r="C943" s="338"/>
      <c r="D943" s="2437"/>
      <c r="E943" s="184" t="s">
        <v>1491</v>
      </c>
      <c r="F943" s="3262"/>
      <c r="G943" s="3262"/>
      <c r="H943" s="363">
        <f t="shared" si="2196"/>
        <v>0</v>
      </c>
      <c r="I943" s="3262"/>
      <c r="J943" s="304">
        <f t="shared" si="2201"/>
        <v>0</v>
      </c>
      <c r="K943" s="3262"/>
      <c r="L943" s="363">
        <f t="shared" si="2202"/>
        <v>0</v>
      </c>
      <c r="M943" s="3262">
        <f>17650.08-301.545</f>
        <v>17348.535000000003</v>
      </c>
      <c r="N943" s="363">
        <f t="shared" si="2208"/>
        <v>17348.535000000003</v>
      </c>
      <c r="O943" s="3262">
        <f>15248.12-181.42</f>
        <v>15066.7</v>
      </c>
      <c r="P943" s="87">
        <f t="shared" si="2209"/>
        <v>32415.235000000004</v>
      </c>
      <c r="Q943" s="2144">
        <f t="shared" si="2197"/>
        <v>32415.235000000004</v>
      </c>
      <c r="R943" s="3262">
        <f>6466.34-48.6</f>
        <v>6417.74</v>
      </c>
      <c r="S943" s="3115">
        <f t="shared" si="2210"/>
        <v>38832.975000000006</v>
      </c>
      <c r="T943" s="3262">
        <f>21195.34-212.7</f>
        <v>20982.639999999999</v>
      </c>
      <c r="U943" s="3115">
        <f t="shared" si="2198"/>
        <v>59815.615000000005</v>
      </c>
      <c r="V943" s="3262">
        <f>13587.76-13-41.16</f>
        <v>13533.6</v>
      </c>
      <c r="W943" s="74">
        <f t="shared" si="2211"/>
        <v>40933.979999999996</v>
      </c>
      <c r="X943" s="78">
        <f t="shared" si="2212"/>
        <v>73349.215000000011</v>
      </c>
      <c r="Y943" s="3262">
        <v>6933.96</v>
      </c>
      <c r="Z943" s="3115">
        <f t="shared" si="2204"/>
        <v>80283.175000000017</v>
      </c>
      <c r="AA943" s="3262">
        <v>496.46000000000004</v>
      </c>
      <c r="AB943" s="78">
        <f t="shared" si="2213"/>
        <v>80779.635000000024</v>
      </c>
      <c r="AC943" s="3162">
        <f>11093.1-141.65-5.2</f>
        <v>10946.25</v>
      </c>
      <c r="AD943" s="1291">
        <f t="shared" si="2223"/>
        <v>18376.669999999998</v>
      </c>
      <c r="AE943" s="1385">
        <f t="shared" si="2224"/>
        <v>59310.649999999994</v>
      </c>
      <c r="AF943" s="712">
        <f t="shared" si="2225"/>
        <v>91725.885000000024</v>
      </c>
    </row>
    <row r="944" spans="3:32" ht="34.5" customHeight="1" x14ac:dyDescent="0.25">
      <c r="C944" s="338"/>
      <c r="D944" s="4214"/>
      <c r="E944" s="184" t="s">
        <v>1492</v>
      </c>
      <c r="F944" s="3262"/>
      <c r="G944" s="3262"/>
      <c r="H944" s="363">
        <f t="shared" si="2196"/>
        <v>0</v>
      </c>
      <c r="I944" s="3262"/>
      <c r="J944" s="304">
        <f t="shared" si="2201"/>
        <v>0</v>
      </c>
      <c r="K944" s="3262"/>
      <c r="L944" s="363">
        <f t="shared" si="2202"/>
        <v>0</v>
      </c>
      <c r="M944" s="3262">
        <f>7537.54-79.52</f>
        <v>7458.0199999999995</v>
      </c>
      <c r="N944" s="363">
        <f t="shared" si="2208"/>
        <v>7458.0199999999995</v>
      </c>
      <c r="O944" s="3262">
        <f>1174.2-219.7</f>
        <v>954.5</v>
      </c>
      <c r="P944" s="87">
        <f t="shared" ref="P944" si="2240">+K944+M944+O944</f>
        <v>8412.52</v>
      </c>
      <c r="Q944" s="2144">
        <f t="shared" ref="Q944" si="2241">+N944+O944</f>
        <v>8412.52</v>
      </c>
      <c r="R944" s="3262"/>
      <c r="S944" s="3115">
        <f t="shared" si="2210"/>
        <v>8412.52</v>
      </c>
      <c r="T944" s="3262">
        <f>5986.36-339.5</f>
        <v>5646.86</v>
      </c>
      <c r="U944" s="3115">
        <f t="shared" si="2198"/>
        <v>14059.380000000001</v>
      </c>
      <c r="V944" s="3262">
        <f>7982.5-157.4</f>
        <v>7825.1</v>
      </c>
      <c r="W944" s="74">
        <f t="shared" ref="W944" si="2242">+R944+T944+V944</f>
        <v>13471.96</v>
      </c>
      <c r="X944" s="78">
        <f t="shared" ref="X944" si="2243">+U944+V944</f>
        <v>21884.480000000003</v>
      </c>
      <c r="Y944" s="3262"/>
      <c r="Z944" s="3115">
        <f t="shared" si="2204"/>
        <v>21884.480000000003</v>
      </c>
      <c r="AA944" s="3262">
        <f>9646.98-57.9</f>
        <v>9589.08</v>
      </c>
      <c r="AB944" s="78">
        <f t="shared" si="2213"/>
        <v>31473.560000000005</v>
      </c>
      <c r="AC944" s="3162">
        <f>8017.52-64.1</f>
        <v>7953.42</v>
      </c>
      <c r="AD944" s="1291">
        <f t="shared" si="2223"/>
        <v>17542.5</v>
      </c>
      <c r="AE944" s="1385">
        <f t="shared" si="2224"/>
        <v>31014.46</v>
      </c>
      <c r="AF944" s="712">
        <f t="shared" si="2225"/>
        <v>39426.980000000003</v>
      </c>
    </row>
    <row r="945" spans="3:38" ht="35" customHeight="1" x14ac:dyDescent="0.25">
      <c r="C945" s="338"/>
      <c r="D945" s="2437"/>
      <c r="E945" s="184" t="s">
        <v>1742</v>
      </c>
      <c r="F945" s="3155"/>
      <c r="G945" s="3155"/>
      <c r="H945" s="363">
        <f t="shared" si="2196"/>
        <v>0</v>
      </c>
      <c r="I945" s="3155"/>
      <c r="J945" s="304">
        <f t="shared" si="2201"/>
        <v>0</v>
      </c>
      <c r="K945" s="3155"/>
      <c r="L945" s="363">
        <f t="shared" si="2202"/>
        <v>0</v>
      </c>
      <c r="M945" s="3155">
        <v>0</v>
      </c>
      <c r="N945" s="363">
        <f t="shared" si="2208"/>
        <v>0</v>
      </c>
      <c r="O945" s="3155">
        <v>0</v>
      </c>
      <c r="P945" s="87">
        <f t="shared" si="2209"/>
        <v>0</v>
      </c>
      <c r="Q945" s="2144">
        <f t="shared" si="2197"/>
        <v>0</v>
      </c>
      <c r="R945" s="3155"/>
      <c r="S945" s="3115">
        <f t="shared" si="2210"/>
        <v>0</v>
      </c>
      <c r="T945" s="3155">
        <v>2214.5</v>
      </c>
      <c r="U945" s="3115">
        <f t="shared" si="2198"/>
        <v>2214.5</v>
      </c>
      <c r="V945" s="3155"/>
      <c r="W945" s="74">
        <f t="shared" si="2211"/>
        <v>2214.5</v>
      </c>
      <c r="X945" s="78">
        <f t="shared" si="2212"/>
        <v>2214.5</v>
      </c>
      <c r="Y945" s="3155"/>
      <c r="Z945" s="3115">
        <f t="shared" si="2204"/>
        <v>2214.5</v>
      </c>
      <c r="AA945" s="3155"/>
      <c r="AB945" s="78">
        <f t="shared" si="2213"/>
        <v>2214.5</v>
      </c>
      <c r="AC945" s="5129">
        <f>6276.82-23.5</f>
        <v>6253.32</v>
      </c>
      <c r="AD945" s="1291">
        <f t="shared" si="2223"/>
        <v>6253.32</v>
      </c>
      <c r="AE945" s="1385">
        <f t="shared" si="2224"/>
        <v>8467.82</v>
      </c>
      <c r="AF945" s="712">
        <f t="shared" si="2225"/>
        <v>8467.82</v>
      </c>
    </row>
    <row r="946" spans="3:38" ht="35" customHeight="1" x14ac:dyDescent="0.25">
      <c r="C946" s="338"/>
      <c r="D946" s="2437"/>
      <c r="E946" s="184"/>
      <c r="F946" s="3155"/>
      <c r="G946" s="3155"/>
      <c r="H946" s="363">
        <f t="shared" si="2196"/>
        <v>0</v>
      </c>
      <c r="I946" s="3155"/>
      <c r="J946" s="304">
        <f t="shared" si="2201"/>
        <v>0</v>
      </c>
      <c r="K946" s="3155"/>
      <c r="L946" s="363">
        <f t="shared" si="2202"/>
        <v>0</v>
      </c>
      <c r="M946" s="3155">
        <v>0</v>
      </c>
      <c r="N946" s="363">
        <f t="shared" si="2208"/>
        <v>0</v>
      </c>
      <c r="O946" s="3155">
        <v>0</v>
      </c>
      <c r="P946" s="87">
        <f t="shared" si="2209"/>
        <v>0</v>
      </c>
      <c r="Q946" s="2144">
        <f t="shared" si="2197"/>
        <v>0</v>
      </c>
      <c r="R946" s="3155"/>
      <c r="S946" s="3115">
        <f t="shared" si="2210"/>
        <v>0</v>
      </c>
      <c r="T946" s="3155"/>
      <c r="U946" s="3115">
        <f t="shared" si="2198"/>
        <v>0</v>
      </c>
      <c r="V946" s="3155"/>
      <c r="W946" s="74">
        <f t="shared" si="2211"/>
        <v>0</v>
      </c>
      <c r="X946" s="78">
        <f t="shared" si="2212"/>
        <v>0</v>
      </c>
      <c r="Y946" s="3155"/>
      <c r="Z946" s="3115">
        <f t="shared" si="2204"/>
        <v>0</v>
      </c>
      <c r="AA946" s="3155"/>
      <c r="AB946" s="78">
        <f t="shared" si="2213"/>
        <v>0</v>
      </c>
      <c r="AC946" s="5129"/>
      <c r="AD946" s="1291">
        <f t="shared" si="2223"/>
        <v>0</v>
      </c>
      <c r="AE946" s="1385">
        <f t="shared" si="2224"/>
        <v>0</v>
      </c>
      <c r="AF946" s="712">
        <f t="shared" si="2225"/>
        <v>0</v>
      </c>
    </row>
    <row r="947" spans="3:38" ht="35" customHeight="1" x14ac:dyDescent="0.25">
      <c r="C947" s="338"/>
      <c r="D947" s="2437"/>
      <c r="E947" s="2324" t="s">
        <v>1141</v>
      </c>
      <c r="F947" s="3155"/>
      <c r="G947" s="3155"/>
      <c r="H947" s="363">
        <f t="shared" si="2196"/>
        <v>0</v>
      </c>
      <c r="I947" s="3155"/>
      <c r="J947" s="304">
        <f t="shared" si="2201"/>
        <v>0</v>
      </c>
      <c r="K947" s="3155"/>
      <c r="L947" s="363">
        <f t="shared" si="2202"/>
        <v>0</v>
      </c>
      <c r="M947" s="3155">
        <v>238.035</v>
      </c>
      <c r="N947" s="363">
        <f t="shared" si="2208"/>
        <v>238.035</v>
      </c>
      <c r="O947" s="3155">
        <v>78.3</v>
      </c>
      <c r="P947" s="87">
        <f t="shared" si="2209"/>
        <v>316.33499999999998</v>
      </c>
      <c r="Q947" s="2144">
        <f t="shared" si="2197"/>
        <v>316.33499999999998</v>
      </c>
      <c r="R947" s="3155"/>
      <c r="S947" s="3115">
        <f t="shared" si="2210"/>
        <v>316.33499999999998</v>
      </c>
      <c r="T947" s="3155">
        <v>63.1</v>
      </c>
      <c r="U947" s="3115">
        <f t="shared" si="2198"/>
        <v>379.435</v>
      </c>
      <c r="V947" s="3155">
        <v>13</v>
      </c>
      <c r="W947" s="74">
        <f t="shared" si="2211"/>
        <v>76.099999999999994</v>
      </c>
      <c r="X947" s="78">
        <f t="shared" si="2212"/>
        <v>392.435</v>
      </c>
      <c r="Y947" s="3155"/>
      <c r="Z947" s="3115">
        <f t="shared" si="2204"/>
        <v>392.435</v>
      </c>
      <c r="AA947" s="3155"/>
      <c r="AB947" s="78">
        <f t="shared" si="2213"/>
        <v>392.435</v>
      </c>
      <c r="AC947" s="5129"/>
      <c r="AD947" s="1291">
        <f t="shared" si="2223"/>
        <v>0</v>
      </c>
      <c r="AE947" s="1385">
        <f t="shared" si="2224"/>
        <v>76.099999999999994</v>
      </c>
      <c r="AF947" s="712">
        <f t="shared" si="2225"/>
        <v>392.435</v>
      </c>
      <c r="AI947" s="4756">
        <v>200.55</v>
      </c>
    </row>
    <row r="948" spans="3:38" ht="35" customHeight="1" x14ac:dyDescent="0.25">
      <c r="C948" s="338"/>
      <c r="D948" s="2437"/>
      <c r="E948" s="549"/>
      <c r="F948" s="3155"/>
      <c r="G948" s="3155"/>
      <c r="H948" s="363">
        <f t="shared" si="2196"/>
        <v>0</v>
      </c>
      <c r="I948" s="3155"/>
      <c r="J948" s="304">
        <f t="shared" si="2201"/>
        <v>0</v>
      </c>
      <c r="K948" s="3155"/>
      <c r="L948" s="363">
        <f t="shared" si="2202"/>
        <v>0</v>
      </c>
      <c r="M948" s="3155">
        <v>0</v>
      </c>
      <c r="N948" s="363">
        <f t="shared" si="2208"/>
        <v>0</v>
      </c>
      <c r="O948" s="3155">
        <v>0</v>
      </c>
      <c r="P948" s="87">
        <f t="shared" si="2209"/>
        <v>0</v>
      </c>
      <c r="Q948" s="2144">
        <f t="shared" si="2197"/>
        <v>0</v>
      </c>
      <c r="R948" s="3155"/>
      <c r="S948" s="3115">
        <f t="shared" si="2210"/>
        <v>0</v>
      </c>
      <c r="T948" s="3155"/>
      <c r="U948" s="3115">
        <f t="shared" si="2198"/>
        <v>0</v>
      </c>
      <c r="V948" s="3155"/>
      <c r="W948" s="74">
        <f t="shared" si="2211"/>
        <v>0</v>
      </c>
      <c r="X948" s="78">
        <f t="shared" si="2212"/>
        <v>0</v>
      </c>
      <c r="Y948" s="3155"/>
      <c r="Z948" s="3115">
        <f t="shared" si="2204"/>
        <v>0</v>
      </c>
      <c r="AA948" s="3155"/>
      <c r="AB948" s="78">
        <f t="shared" si="2213"/>
        <v>0</v>
      </c>
      <c r="AC948" s="5129"/>
      <c r="AD948" s="1291">
        <f t="shared" si="2223"/>
        <v>0</v>
      </c>
      <c r="AE948" s="1385">
        <f t="shared" si="2224"/>
        <v>0</v>
      </c>
      <c r="AF948" s="712">
        <f t="shared" si="2225"/>
        <v>0</v>
      </c>
    </row>
    <row r="949" spans="3:38" ht="35" customHeight="1" x14ac:dyDescent="0.25">
      <c r="C949" s="338"/>
      <c r="D949" s="2437"/>
      <c r="E949" s="549" t="s">
        <v>1194</v>
      </c>
      <c r="F949" s="3262"/>
      <c r="G949" s="3262"/>
      <c r="H949" s="363">
        <f t="shared" si="2196"/>
        <v>0</v>
      </c>
      <c r="I949" s="3262"/>
      <c r="J949" s="304">
        <f t="shared" si="2201"/>
        <v>0</v>
      </c>
      <c r="K949" s="3262"/>
      <c r="L949" s="363">
        <f t="shared" si="2202"/>
        <v>0</v>
      </c>
      <c r="M949" s="3262">
        <f>18078.56-445.3</f>
        <v>17633.260000000002</v>
      </c>
      <c r="N949" s="363">
        <f t="shared" si="2208"/>
        <v>17633.260000000002</v>
      </c>
      <c r="O949" s="3262">
        <f>3201.24-60.7</f>
        <v>3140.54</v>
      </c>
      <c r="P949" s="87">
        <f t="shared" si="2209"/>
        <v>20773.800000000003</v>
      </c>
      <c r="Q949" s="2144">
        <f t="shared" si="2197"/>
        <v>20773.800000000003</v>
      </c>
      <c r="R949" s="3262">
        <f>10079.58-329.68</f>
        <v>9749.9</v>
      </c>
      <c r="S949" s="3115">
        <f t="shared" si="2210"/>
        <v>30523.700000000004</v>
      </c>
      <c r="T949" s="3262">
        <f>5646.46-21.5</f>
        <v>5624.96</v>
      </c>
      <c r="U949" s="3115">
        <f t="shared" si="2198"/>
        <v>36148.660000000003</v>
      </c>
      <c r="V949" s="3262"/>
      <c r="W949" s="74">
        <f t="shared" si="2211"/>
        <v>15374.86</v>
      </c>
      <c r="X949" s="78">
        <f t="shared" si="2212"/>
        <v>36148.660000000003</v>
      </c>
      <c r="Y949" s="3262">
        <f>7492.22-166</f>
        <v>7326.22</v>
      </c>
      <c r="Z949" s="3115">
        <f t="shared" si="2204"/>
        <v>43474.880000000005</v>
      </c>
      <c r="AA949" s="3262">
        <v>2086.7800000000002</v>
      </c>
      <c r="AB949" s="78">
        <f t="shared" si="2213"/>
        <v>45561.66</v>
      </c>
      <c r="AC949" s="3162">
        <f>5273.6-16</f>
        <v>5257.6</v>
      </c>
      <c r="AD949" s="1291">
        <f t="shared" si="2223"/>
        <v>14670.6</v>
      </c>
      <c r="AE949" s="1385">
        <f t="shared" si="2224"/>
        <v>30045.46</v>
      </c>
      <c r="AF949" s="712">
        <f t="shared" si="2225"/>
        <v>50819.26</v>
      </c>
    </row>
    <row r="950" spans="3:38" ht="35" customHeight="1" x14ac:dyDescent="0.25">
      <c r="C950" s="338"/>
      <c r="D950" s="5121"/>
      <c r="E950" s="184" t="s">
        <v>1416</v>
      </c>
      <c r="F950" s="3262"/>
      <c r="G950" s="3262"/>
      <c r="H950" s="363">
        <f t="shared" si="2196"/>
        <v>0</v>
      </c>
      <c r="I950" s="3262"/>
      <c r="J950" s="304">
        <f t="shared" si="2201"/>
        <v>0</v>
      </c>
      <c r="K950" s="3262"/>
      <c r="L950" s="363">
        <f t="shared" si="2202"/>
        <v>0</v>
      </c>
      <c r="M950" s="3262"/>
      <c r="N950" s="363"/>
      <c r="O950" s="3153"/>
      <c r="P950" s="87"/>
      <c r="Q950" s="2144"/>
      <c r="R950" s="3262"/>
      <c r="S950" s="3115"/>
      <c r="T950" s="3262"/>
      <c r="U950" s="3115"/>
      <c r="V950" s="3262"/>
      <c r="W950" s="74"/>
      <c r="X950" s="78"/>
      <c r="Y950" s="3262"/>
      <c r="Z950" s="3115"/>
      <c r="AA950" s="3262"/>
      <c r="AB950" s="78"/>
      <c r="AC950" s="3162">
        <v>1697.44</v>
      </c>
      <c r="AD950" s="1291">
        <f t="shared" ref="AD950" si="2244">+Y950+AA950+AC950</f>
        <v>1697.44</v>
      </c>
      <c r="AE950" s="1385">
        <f t="shared" ref="AE950" si="2245">+W950+AD950</f>
        <v>1697.44</v>
      </c>
      <c r="AF950" s="712">
        <f t="shared" ref="AF950" si="2246">+AB950+AC950</f>
        <v>1697.44</v>
      </c>
      <c r="AG950" s="5122"/>
      <c r="AH950" s="5122"/>
      <c r="AI950" s="5122"/>
      <c r="AJ950" s="5122"/>
      <c r="AK950" s="5122"/>
      <c r="AL950" s="5122"/>
    </row>
    <row r="951" spans="3:38" ht="35" customHeight="1" x14ac:dyDescent="0.25">
      <c r="C951" s="338"/>
      <c r="D951" s="2437"/>
      <c r="E951" s="549" t="s">
        <v>1552</v>
      </c>
      <c r="F951" s="3262"/>
      <c r="G951" s="3262"/>
      <c r="H951" s="363">
        <f t="shared" si="2196"/>
        <v>0</v>
      </c>
      <c r="I951" s="3262"/>
      <c r="J951" s="304">
        <f t="shared" si="2201"/>
        <v>0</v>
      </c>
      <c r="K951" s="3262"/>
      <c r="L951" s="363">
        <f t="shared" si="2202"/>
        <v>0</v>
      </c>
      <c r="M951" s="3262">
        <f>6006.96-38.5</f>
        <v>5968.46</v>
      </c>
      <c r="N951" s="363">
        <f t="shared" si="2208"/>
        <v>5968.46</v>
      </c>
      <c r="O951" s="3155">
        <v>0</v>
      </c>
      <c r="P951" s="87">
        <f t="shared" si="2209"/>
        <v>5968.46</v>
      </c>
      <c r="Q951" s="2144">
        <f t="shared" si="2197"/>
        <v>5968.46</v>
      </c>
      <c r="R951" s="3262">
        <f>6808.3-139.4</f>
        <v>6668.9000000000005</v>
      </c>
      <c r="S951" s="3115">
        <f t="shared" si="2210"/>
        <v>12637.36</v>
      </c>
      <c r="T951" s="3262">
        <f>2282.48-125.4</f>
        <v>2157.08</v>
      </c>
      <c r="U951" s="3115">
        <f t="shared" si="2198"/>
        <v>14794.44</v>
      </c>
      <c r="V951" s="3262">
        <v>4187.9800000000005</v>
      </c>
      <c r="W951" s="74">
        <f t="shared" si="2211"/>
        <v>13013.96</v>
      </c>
      <c r="X951" s="78">
        <f t="shared" si="2212"/>
        <v>18982.420000000002</v>
      </c>
      <c r="Y951" s="3262">
        <f>4871.9-24.3</f>
        <v>4847.5999999999995</v>
      </c>
      <c r="Z951" s="3115">
        <f t="shared" si="2204"/>
        <v>23830.02</v>
      </c>
      <c r="AA951" s="3262">
        <f>3590.58-24.3</f>
        <v>3566.2799999999997</v>
      </c>
      <c r="AB951" s="78">
        <f t="shared" si="2213"/>
        <v>27396.3</v>
      </c>
      <c r="AC951" s="3162">
        <f>9051.64-31.25</f>
        <v>9020.39</v>
      </c>
      <c r="AD951" s="1291">
        <f t="shared" si="2223"/>
        <v>17434.269999999997</v>
      </c>
      <c r="AE951" s="1385">
        <f t="shared" si="2224"/>
        <v>30448.229999999996</v>
      </c>
      <c r="AF951" s="712">
        <f t="shared" si="2225"/>
        <v>36416.69</v>
      </c>
    </row>
    <row r="952" spans="3:38" ht="35" customHeight="1" x14ac:dyDescent="0.25">
      <c r="C952" s="338"/>
      <c r="D952" s="2437"/>
      <c r="E952" s="549" t="s">
        <v>1649</v>
      </c>
      <c r="F952" s="3148"/>
      <c r="G952" s="3148"/>
      <c r="H952" s="363">
        <f t="shared" si="2196"/>
        <v>0</v>
      </c>
      <c r="I952" s="3148"/>
      <c r="J952" s="304">
        <f t="shared" si="2201"/>
        <v>0</v>
      </c>
      <c r="K952" s="3148"/>
      <c r="L952" s="363">
        <f t="shared" si="2202"/>
        <v>0</v>
      </c>
      <c r="M952" s="3155">
        <v>0</v>
      </c>
      <c r="N952" s="363">
        <f t="shared" si="2208"/>
        <v>0</v>
      </c>
      <c r="O952" s="3155">
        <v>0</v>
      </c>
      <c r="P952" s="87">
        <f t="shared" si="2209"/>
        <v>0</v>
      </c>
      <c r="Q952" s="2144">
        <f t="shared" si="2197"/>
        <v>0</v>
      </c>
      <c r="R952" s="3148">
        <v>1670.66</v>
      </c>
      <c r="S952" s="3115">
        <f t="shared" si="2210"/>
        <v>1670.66</v>
      </c>
      <c r="T952" s="3148"/>
      <c r="U952" s="3115">
        <f t="shared" si="2198"/>
        <v>1670.66</v>
      </c>
      <c r="V952" s="3148"/>
      <c r="W952" s="74">
        <f t="shared" si="2211"/>
        <v>1670.66</v>
      </c>
      <c r="X952" s="78">
        <f t="shared" si="2212"/>
        <v>1670.66</v>
      </c>
      <c r="Y952" s="3148"/>
      <c r="Z952" s="3115">
        <f t="shared" si="2204"/>
        <v>1670.66</v>
      </c>
      <c r="AA952" s="3148"/>
      <c r="AB952" s="78">
        <f t="shared" si="2213"/>
        <v>1670.66</v>
      </c>
      <c r="AC952" s="5129"/>
      <c r="AD952" s="1291">
        <f t="shared" si="2223"/>
        <v>0</v>
      </c>
      <c r="AE952" s="1385">
        <f t="shared" si="2224"/>
        <v>1670.66</v>
      </c>
      <c r="AF952" s="712">
        <f t="shared" si="2225"/>
        <v>1670.66</v>
      </c>
    </row>
    <row r="953" spans="3:38" ht="35" customHeight="1" x14ac:dyDescent="0.25">
      <c r="C953" s="338"/>
      <c r="D953" s="2437"/>
      <c r="E953" s="184" t="s">
        <v>439</v>
      </c>
      <c r="F953" s="3148"/>
      <c r="G953" s="3148"/>
      <c r="H953" s="363">
        <f t="shared" si="2196"/>
        <v>0</v>
      </c>
      <c r="I953" s="3148"/>
      <c r="J953" s="304">
        <f t="shared" si="2201"/>
        <v>0</v>
      </c>
      <c r="K953" s="3148"/>
      <c r="L953" s="363">
        <f t="shared" si="2202"/>
        <v>0</v>
      </c>
      <c r="M953" s="3155">
        <v>137.69999999999999</v>
      </c>
      <c r="N953" s="363">
        <f t="shared" si="2208"/>
        <v>137.69999999999999</v>
      </c>
      <c r="O953" s="3155">
        <v>0</v>
      </c>
      <c r="P953" s="87">
        <f t="shared" ref="P953" si="2247">+K953+M953+O953</f>
        <v>137.69999999999999</v>
      </c>
      <c r="Q953" s="2144">
        <f t="shared" ref="Q953" si="2248">+N953+O953</f>
        <v>137.69999999999999</v>
      </c>
      <c r="R953" s="3148">
        <v>168.1</v>
      </c>
      <c r="S953" s="3115">
        <f t="shared" si="2210"/>
        <v>305.79999999999995</v>
      </c>
      <c r="T953" s="3148">
        <v>14</v>
      </c>
      <c r="U953" s="3115">
        <f t="shared" si="2198"/>
        <v>319.79999999999995</v>
      </c>
      <c r="V953" s="3148"/>
      <c r="W953" s="74">
        <f t="shared" ref="W953" si="2249">+R953+T953+V953</f>
        <v>182.1</v>
      </c>
      <c r="X953" s="78">
        <f t="shared" ref="X953" si="2250">+U953+V953</f>
        <v>319.79999999999995</v>
      </c>
      <c r="Y953" s="3148"/>
      <c r="Z953" s="3115">
        <f t="shared" si="2204"/>
        <v>319.79999999999995</v>
      </c>
      <c r="AA953" s="3148"/>
      <c r="AB953" s="78">
        <f t="shared" si="2213"/>
        <v>319.79999999999995</v>
      </c>
      <c r="AC953" s="5129"/>
      <c r="AD953" s="1291">
        <f t="shared" si="2223"/>
        <v>0</v>
      </c>
      <c r="AE953" s="1385">
        <f t="shared" si="2224"/>
        <v>182.1</v>
      </c>
      <c r="AF953" s="712">
        <f t="shared" si="2225"/>
        <v>319.79999999999995</v>
      </c>
    </row>
    <row r="954" spans="3:38" ht="35" customHeight="1" x14ac:dyDescent="0.25">
      <c r="C954" s="338"/>
      <c r="D954" s="2437"/>
      <c r="E954" s="549" t="s">
        <v>1377</v>
      </c>
      <c r="F954" s="3148"/>
      <c r="G954" s="3148"/>
      <c r="H954" s="363">
        <f t="shared" si="2196"/>
        <v>0</v>
      </c>
      <c r="I954" s="3148"/>
      <c r="J954" s="304">
        <f t="shared" si="2201"/>
        <v>0</v>
      </c>
      <c r="K954" s="3148"/>
      <c r="L954" s="363">
        <f t="shared" si="2202"/>
        <v>0</v>
      </c>
      <c r="M954" s="3155">
        <v>0</v>
      </c>
      <c r="N954" s="363">
        <f t="shared" si="2208"/>
        <v>0</v>
      </c>
      <c r="O954" s="3148">
        <f>4179.74-158.18</f>
        <v>4021.56</v>
      </c>
      <c r="P954" s="87">
        <f t="shared" si="2209"/>
        <v>4021.56</v>
      </c>
      <c r="Q954" s="2144">
        <f t="shared" si="2197"/>
        <v>4021.56</v>
      </c>
      <c r="R954" s="3148">
        <f>1691.26-19.55</f>
        <v>1671.71</v>
      </c>
      <c r="S954" s="3115">
        <f t="shared" si="2210"/>
        <v>5693.27</v>
      </c>
      <c r="T954" s="3148">
        <f>3271.28-58.2-9.61</f>
        <v>3203.4700000000003</v>
      </c>
      <c r="U954" s="3115">
        <f t="shared" si="2198"/>
        <v>8896.7400000000016</v>
      </c>
      <c r="V954" s="3148">
        <f>3862.5-49.15-27.5</f>
        <v>3785.85</v>
      </c>
      <c r="W954" s="74">
        <f t="shared" si="2211"/>
        <v>8661.0300000000007</v>
      </c>
      <c r="X954" s="78">
        <f t="shared" si="2212"/>
        <v>12682.590000000002</v>
      </c>
      <c r="Y954" s="3148">
        <f>6435.44-99.8</f>
        <v>6335.6399999999994</v>
      </c>
      <c r="Z954" s="3115">
        <f t="shared" si="2204"/>
        <v>19018.230000000003</v>
      </c>
      <c r="AA954" s="3148"/>
      <c r="AB954" s="78">
        <f t="shared" si="2213"/>
        <v>19018.230000000003</v>
      </c>
      <c r="AC954" s="5129"/>
      <c r="AD954" s="1291">
        <f t="shared" si="2223"/>
        <v>6335.6399999999994</v>
      </c>
      <c r="AE954" s="1385">
        <f t="shared" si="2224"/>
        <v>14996.67</v>
      </c>
      <c r="AF954" s="712">
        <f t="shared" si="2225"/>
        <v>19018.230000000003</v>
      </c>
    </row>
    <row r="955" spans="3:38" ht="35" customHeight="1" x14ac:dyDescent="0.25">
      <c r="C955" s="338"/>
      <c r="D955" s="2437"/>
      <c r="E955" s="549" t="s">
        <v>440</v>
      </c>
      <c r="F955" s="3148"/>
      <c r="G955" s="3148"/>
      <c r="H955" s="363">
        <f t="shared" si="2196"/>
        <v>0</v>
      </c>
      <c r="I955" s="3148"/>
      <c r="J955" s="304">
        <f t="shared" si="2201"/>
        <v>0</v>
      </c>
      <c r="K955" s="3148"/>
      <c r="L955" s="363">
        <f t="shared" si="2202"/>
        <v>0</v>
      </c>
      <c r="M955" s="3155">
        <v>0</v>
      </c>
      <c r="N955" s="363">
        <f t="shared" si="2208"/>
        <v>0</v>
      </c>
      <c r="O955" s="3148">
        <v>51.2</v>
      </c>
      <c r="P955" s="87">
        <f t="shared" si="2209"/>
        <v>51.2</v>
      </c>
      <c r="Q955" s="2144">
        <f t="shared" si="2197"/>
        <v>51.2</v>
      </c>
      <c r="R955" s="3148">
        <v>12.5</v>
      </c>
      <c r="S955" s="3115">
        <f t="shared" si="2210"/>
        <v>63.7</v>
      </c>
      <c r="T955" s="3148">
        <v>58.2</v>
      </c>
      <c r="U955" s="3115">
        <f t="shared" si="2198"/>
        <v>121.9</v>
      </c>
      <c r="V955" s="3148">
        <v>49.15</v>
      </c>
      <c r="W955" s="74">
        <f t="shared" si="2211"/>
        <v>119.85</v>
      </c>
      <c r="X955" s="78">
        <f t="shared" si="2212"/>
        <v>171.05</v>
      </c>
      <c r="Y955" s="3148"/>
      <c r="Z955" s="3115">
        <f t="shared" si="2204"/>
        <v>171.05</v>
      </c>
      <c r="AA955" s="3148"/>
      <c r="AB955" s="78">
        <f t="shared" si="2213"/>
        <v>171.05</v>
      </c>
      <c r="AC955" s="5129"/>
      <c r="AD955" s="1291">
        <f t="shared" si="2223"/>
        <v>0</v>
      </c>
      <c r="AE955" s="1385">
        <f t="shared" si="2224"/>
        <v>119.85</v>
      </c>
      <c r="AF955" s="712">
        <f t="shared" si="2225"/>
        <v>171.05</v>
      </c>
    </row>
    <row r="956" spans="3:38" ht="35" customHeight="1" x14ac:dyDescent="0.25">
      <c r="C956" s="338"/>
      <c r="D956" s="2437"/>
      <c r="E956" s="549" t="s">
        <v>1569</v>
      </c>
      <c r="F956" s="3148"/>
      <c r="G956" s="3148"/>
      <c r="H956" s="363">
        <f t="shared" si="2196"/>
        <v>0</v>
      </c>
      <c r="I956" s="3148"/>
      <c r="J956" s="304">
        <f t="shared" si="2201"/>
        <v>0</v>
      </c>
      <c r="K956" s="3148"/>
      <c r="L956" s="363">
        <f t="shared" si="2202"/>
        <v>0</v>
      </c>
      <c r="M956" s="3155">
        <v>0</v>
      </c>
      <c r="N956" s="363">
        <f t="shared" si="2208"/>
        <v>0</v>
      </c>
      <c r="O956" s="3155">
        <v>0</v>
      </c>
      <c r="P956" s="87">
        <f t="shared" si="2209"/>
        <v>0</v>
      </c>
      <c r="Q956" s="2144">
        <f t="shared" si="2197"/>
        <v>0</v>
      </c>
      <c r="R956" s="3148">
        <f>5953.4-335.7</f>
        <v>5617.7</v>
      </c>
      <c r="S956" s="3115">
        <f t="shared" si="2210"/>
        <v>5617.7</v>
      </c>
      <c r="T956" s="3148"/>
      <c r="U956" s="3115">
        <f t="shared" si="2198"/>
        <v>5617.7</v>
      </c>
      <c r="V956" s="3148">
        <f>6999.88-165.68</f>
        <v>6834.2</v>
      </c>
      <c r="W956" s="74">
        <f t="shared" si="2211"/>
        <v>12451.9</v>
      </c>
      <c r="X956" s="78">
        <f t="shared" si="2212"/>
        <v>12451.9</v>
      </c>
      <c r="Y956" s="3148">
        <v>2086.7800000000002</v>
      </c>
      <c r="Z956" s="3115">
        <f t="shared" si="2204"/>
        <v>14538.68</v>
      </c>
      <c r="AA956" s="3148">
        <f>6070.82-26.8</f>
        <v>6044.0199999999995</v>
      </c>
      <c r="AB956" s="78">
        <f t="shared" si="2213"/>
        <v>20582.7</v>
      </c>
      <c r="AC956" s="5129"/>
      <c r="AD956" s="1291">
        <f t="shared" si="2223"/>
        <v>8130.7999999999993</v>
      </c>
      <c r="AE956" s="1385">
        <f t="shared" si="2224"/>
        <v>20582.699999999997</v>
      </c>
      <c r="AF956" s="712">
        <f t="shared" si="2225"/>
        <v>20582.7</v>
      </c>
    </row>
    <row r="957" spans="3:38" ht="35" customHeight="1" x14ac:dyDescent="0.25">
      <c r="C957" s="338"/>
      <c r="D957" s="2437"/>
      <c r="E957" s="3984" t="s">
        <v>1688</v>
      </c>
      <c r="F957" s="3155"/>
      <c r="G957" s="3155"/>
      <c r="H957" s="363">
        <f t="shared" si="2196"/>
        <v>0</v>
      </c>
      <c r="I957" s="3155"/>
      <c r="J957" s="304">
        <f t="shared" si="2201"/>
        <v>0</v>
      </c>
      <c r="K957" s="3155"/>
      <c r="L957" s="363">
        <f t="shared" si="2202"/>
        <v>0</v>
      </c>
      <c r="M957" s="3155">
        <v>5.4</v>
      </c>
      <c r="N957" s="363">
        <f t="shared" si="2208"/>
        <v>5.4</v>
      </c>
      <c r="O957" s="3155">
        <v>0</v>
      </c>
      <c r="P957" s="87">
        <f t="shared" si="2209"/>
        <v>5.4</v>
      </c>
      <c r="Q957" s="2144">
        <f t="shared" si="2197"/>
        <v>5.4</v>
      </c>
      <c r="R957" s="3155"/>
      <c r="S957" s="3115">
        <f t="shared" si="2210"/>
        <v>5.4</v>
      </c>
      <c r="T957" s="3155"/>
      <c r="U957" s="3115">
        <f t="shared" si="2198"/>
        <v>5.4</v>
      </c>
      <c r="V957" s="3155"/>
      <c r="W957" s="74">
        <f t="shared" si="2211"/>
        <v>0</v>
      </c>
      <c r="X957" s="78">
        <f t="shared" si="2212"/>
        <v>5.4</v>
      </c>
      <c r="Y957" s="3155"/>
      <c r="Z957" s="3115">
        <f t="shared" si="2204"/>
        <v>5.4</v>
      </c>
      <c r="AA957" s="3155"/>
      <c r="AB957" s="78">
        <f t="shared" si="2213"/>
        <v>5.4</v>
      </c>
      <c r="AC957" s="5129"/>
      <c r="AD957" s="1291">
        <f t="shared" si="2223"/>
        <v>0</v>
      </c>
      <c r="AE957" s="1385">
        <f t="shared" si="2224"/>
        <v>0</v>
      </c>
      <c r="AF957" s="712">
        <f t="shared" si="2225"/>
        <v>5.4</v>
      </c>
    </row>
    <row r="958" spans="3:38" ht="35" customHeight="1" x14ac:dyDescent="0.25">
      <c r="C958" s="338"/>
      <c r="D958" s="2437"/>
      <c r="E958" s="3984" t="s">
        <v>1258</v>
      </c>
      <c r="F958" s="3155"/>
      <c r="G958" s="3155"/>
      <c r="H958" s="363">
        <f t="shared" si="2196"/>
        <v>0</v>
      </c>
      <c r="I958" s="3155"/>
      <c r="J958" s="304">
        <f t="shared" si="2201"/>
        <v>0</v>
      </c>
      <c r="K958" s="3155"/>
      <c r="L958" s="363">
        <f t="shared" si="2202"/>
        <v>0</v>
      </c>
      <c r="M958" s="3155">
        <v>11.2</v>
      </c>
      <c r="N958" s="363">
        <f t="shared" si="2208"/>
        <v>11.2</v>
      </c>
      <c r="O958" s="3155">
        <v>0</v>
      </c>
      <c r="P958" s="87">
        <f t="shared" si="2209"/>
        <v>11.2</v>
      </c>
      <c r="Q958" s="2144">
        <f t="shared" si="2197"/>
        <v>11.2</v>
      </c>
      <c r="R958" s="3155">
        <v>243.69</v>
      </c>
      <c r="S958" s="3115">
        <f t="shared" si="2210"/>
        <v>254.89</v>
      </c>
      <c r="T958" s="3155"/>
      <c r="U958" s="3115">
        <f t="shared" si="2198"/>
        <v>254.89</v>
      </c>
      <c r="V958" s="3148">
        <v>9.5399999999999991</v>
      </c>
      <c r="W958" s="74">
        <f t="shared" si="2211"/>
        <v>253.23</v>
      </c>
      <c r="X958" s="78">
        <f t="shared" si="2212"/>
        <v>264.43</v>
      </c>
      <c r="Y958" s="3155">
        <v>36.1</v>
      </c>
      <c r="Z958" s="3115">
        <f t="shared" si="2204"/>
        <v>300.53000000000003</v>
      </c>
      <c r="AA958" s="3155">
        <v>13</v>
      </c>
      <c r="AB958" s="78">
        <f t="shared" si="2213"/>
        <v>313.53000000000003</v>
      </c>
      <c r="AC958" s="5129">
        <v>24.3</v>
      </c>
      <c r="AD958" s="1291">
        <f t="shared" si="2223"/>
        <v>73.400000000000006</v>
      </c>
      <c r="AE958" s="1385">
        <f t="shared" si="2224"/>
        <v>326.63</v>
      </c>
      <c r="AF958" s="712">
        <f t="shared" si="2225"/>
        <v>337.83000000000004</v>
      </c>
    </row>
    <row r="959" spans="3:38" ht="35" customHeight="1" x14ac:dyDescent="0.25">
      <c r="C959" s="338"/>
      <c r="D959" s="4992"/>
      <c r="E959" s="3984" t="s">
        <v>1338</v>
      </c>
      <c r="F959" s="3155"/>
      <c r="G959" s="3155"/>
      <c r="H959" s="363">
        <f t="shared" si="2196"/>
        <v>0</v>
      </c>
      <c r="I959" s="3155"/>
      <c r="J959" s="304">
        <f t="shared" si="2201"/>
        <v>0</v>
      </c>
      <c r="K959" s="3155"/>
      <c r="L959" s="363">
        <f t="shared" si="2202"/>
        <v>0</v>
      </c>
      <c r="M959" s="3155"/>
      <c r="N959" s="363"/>
      <c r="O959" s="3155"/>
      <c r="P959" s="87"/>
      <c r="Q959" s="2144"/>
      <c r="R959" s="3155"/>
      <c r="S959" s="3115"/>
      <c r="T959" s="3155">
        <v>75.599999999999994</v>
      </c>
      <c r="U959" s="3115">
        <f t="shared" si="2198"/>
        <v>75.599999999999994</v>
      </c>
      <c r="V959" s="3155"/>
      <c r="W959" s="74">
        <f t="shared" ref="W959" si="2251">+R959+T959+V959</f>
        <v>75.599999999999994</v>
      </c>
      <c r="X959" s="78">
        <f t="shared" ref="X959" si="2252">+U959+V959</f>
        <v>75.599999999999994</v>
      </c>
      <c r="Y959" s="3155"/>
      <c r="Z959" s="3115">
        <f t="shared" si="2204"/>
        <v>75.599999999999994</v>
      </c>
      <c r="AA959" s="3155"/>
      <c r="AB959" s="78">
        <f t="shared" si="2213"/>
        <v>75.599999999999994</v>
      </c>
      <c r="AC959" s="5129"/>
      <c r="AD959" s="1291">
        <f t="shared" si="2223"/>
        <v>0</v>
      </c>
      <c r="AE959" s="1385">
        <f t="shared" si="2224"/>
        <v>75.599999999999994</v>
      </c>
      <c r="AF959" s="712">
        <f t="shared" si="2225"/>
        <v>75.599999999999994</v>
      </c>
    </row>
    <row r="960" spans="3:38" ht="35" customHeight="1" x14ac:dyDescent="0.25">
      <c r="C960" s="338"/>
      <c r="D960" s="2437"/>
      <c r="E960" s="3984" t="s">
        <v>1658</v>
      </c>
      <c r="F960" s="3155"/>
      <c r="G960" s="3155"/>
      <c r="H960" s="363">
        <f t="shared" si="2196"/>
        <v>0</v>
      </c>
      <c r="I960" s="3155"/>
      <c r="J960" s="304">
        <f t="shared" si="2201"/>
        <v>0</v>
      </c>
      <c r="K960" s="3155"/>
      <c r="L960" s="363">
        <f t="shared" si="2202"/>
        <v>0</v>
      </c>
      <c r="M960" s="3155">
        <v>0</v>
      </c>
      <c r="N960" s="363">
        <f t="shared" si="2208"/>
        <v>0</v>
      </c>
      <c r="O960" s="3148">
        <v>64.3</v>
      </c>
      <c r="P960" s="87">
        <f t="shared" si="2209"/>
        <v>64.3</v>
      </c>
      <c r="Q960" s="2144">
        <f t="shared" si="2197"/>
        <v>64.3</v>
      </c>
      <c r="R960" s="3155">
        <v>66.099999999999994</v>
      </c>
      <c r="S960" s="3115">
        <f t="shared" si="2210"/>
        <v>130.39999999999998</v>
      </c>
      <c r="T960" s="3155">
        <f>10.8+13.5</f>
        <v>24.3</v>
      </c>
      <c r="U960" s="3115">
        <f t="shared" si="2198"/>
        <v>154.69999999999999</v>
      </c>
      <c r="V960" s="3148">
        <v>8.7200000000000006</v>
      </c>
      <c r="W960" s="74">
        <f t="shared" si="2211"/>
        <v>99.11999999999999</v>
      </c>
      <c r="X960" s="78">
        <f t="shared" si="2212"/>
        <v>163.41999999999999</v>
      </c>
      <c r="Y960" s="3155"/>
      <c r="Z960" s="3115">
        <f t="shared" si="2204"/>
        <v>163.41999999999999</v>
      </c>
      <c r="AA960" s="5074">
        <v>83.05</v>
      </c>
      <c r="AB960" s="78">
        <f t="shared" si="2213"/>
        <v>246.46999999999997</v>
      </c>
      <c r="AC960" s="5129"/>
      <c r="AD960" s="1291">
        <f t="shared" si="2223"/>
        <v>83.05</v>
      </c>
      <c r="AE960" s="1385">
        <f t="shared" si="2224"/>
        <v>182.17</v>
      </c>
      <c r="AF960" s="712">
        <f t="shared" si="2225"/>
        <v>246.46999999999997</v>
      </c>
    </row>
    <row r="961" spans="3:77" ht="35" customHeight="1" x14ac:dyDescent="0.25">
      <c r="C961" s="338"/>
      <c r="D961" s="2437"/>
      <c r="E961" s="3984" t="s">
        <v>1575</v>
      </c>
      <c r="F961" s="3155"/>
      <c r="G961" s="3155"/>
      <c r="H961" s="363">
        <f t="shared" si="2196"/>
        <v>0</v>
      </c>
      <c r="I961" s="3155"/>
      <c r="J961" s="304">
        <f t="shared" si="2201"/>
        <v>0</v>
      </c>
      <c r="K961" s="3155"/>
      <c r="L961" s="363">
        <f t="shared" si="2202"/>
        <v>0</v>
      </c>
      <c r="M961" s="3155">
        <v>0</v>
      </c>
      <c r="N961" s="363">
        <f t="shared" si="2208"/>
        <v>0</v>
      </c>
      <c r="O961" s="3148">
        <v>106.98</v>
      </c>
      <c r="P961" s="87">
        <f t="shared" si="2209"/>
        <v>106.98</v>
      </c>
      <c r="Q961" s="2144">
        <f t="shared" si="2197"/>
        <v>106.98</v>
      </c>
      <c r="R961" s="3155">
        <f>7.05+335.7</f>
        <v>342.75</v>
      </c>
      <c r="S961" s="3115">
        <f t="shared" si="2210"/>
        <v>449.73</v>
      </c>
      <c r="T961" s="3155">
        <v>9.61</v>
      </c>
      <c r="U961" s="3115">
        <f t="shared" si="2198"/>
        <v>459.34000000000003</v>
      </c>
      <c r="V961" s="3148">
        <f>27.5+165.68</f>
        <v>193.18</v>
      </c>
      <c r="W961" s="74">
        <f t="shared" si="2211"/>
        <v>545.54</v>
      </c>
      <c r="X961" s="78">
        <f t="shared" si="2212"/>
        <v>652.52</v>
      </c>
      <c r="Y961" s="3155">
        <v>99.8</v>
      </c>
      <c r="Z961" s="3115">
        <f t="shared" si="2204"/>
        <v>752.31999999999994</v>
      </c>
      <c r="AA961" s="3155">
        <v>26.8</v>
      </c>
      <c r="AB961" s="78">
        <f t="shared" si="2213"/>
        <v>779.11999999999989</v>
      </c>
      <c r="AC961" s="5129"/>
      <c r="AD961" s="1291">
        <f t="shared" si="2223"/>
        <v>126.6</v>
      </c>
      <c r="AE961" s="1385">
        <f t="shared" si="2224"/>
        <v>672.14</v>
      </c>
      <c r="AF961" s="712">
        <f t="shared" si="2225"/>
        <v>779.11999999999989</v>
      </c>
    </row>
    <row r="962" spans="3:77" ht="35" customHeight="1" x14ac:dyDescent="0.25">
      <c r="C962" s="338"/>
      <c r="D962" s="2437"/>
      <c r="E962" s="3984" t="s">
        <v>1140</v>
      </c>
      <c r="F962" s="3155"/>
      <c r="G962" s="3155"/>
      <c r="H962" s="363">
        <f t="shared" si="2196"/>
        <v>0</v>
      </c>
      <c r="I962" s="3155"/>
      <c r="J962" s="304">
        <f t="shared" si="2201"/>
        <v>0</v>
      </c>
      <c r="K962" s="3155"/>
      <c r="L962" s="363">
        <f t="shared" si="2202"/>
        <v>0</v>
      </c>
      <c r="M962" s="3155">
        <f>63.51+79.52</f>
        <v>143.03</v>
      </c>
      <c r="N962" s="363">
        <f t="shared" si="2208"/>
        <v>143.03</v>
      </c>
      <c r="O962" s="3148">
        <f>103.12+219.7</f>
        <v>322.82</v>
      </c>
      <c r="P962" s="87">
        <f t="shared" si="2209"/>
        <v>465.85</v>
      </c>
      <c r="Q962" s="2144">
        <f t="shared" si="2197"/>
        <v>465.85</v>
      </c>
      <c r="R962" s="3155">
        <v>48.6</v>
      </c>
      <c r="S962" s="3115">
        <f t="shared" si="2210"/>
        <v>514.45000000000005</v>
      </c>
      <c r="T962" s="3155">
        <f>149.6+339.5</f>
        <v>489.1</v>
      </c>
      <c r="U962" s="3115">
        <f t="shared" si="2198"/>
        <v>1003.5500000000001</v>
      </c>
      <c r="V962" s="3148">
        <f>41.16+157.4</f>
        <v>198.56</v>
      </c>
      <c r="W962" s="74">
        <f t="shared" si="2211"/>
        <v>736.26</v>
      </c>
      <c r="X962" s="78">
        <f t="shared" si="2212"/>
        <v>1202.1100000000001</v>
      </c>
      <c r="Y962" s="3155"/>
      <c r="Z962" s="3115">
        <f t="shared" si="2204"/>
        <v>1202.1100000000001</v>
      </c>
      <c r="AA962" s="3155">
        <v>57.9</v>
      </c>
      <c r="AB962" s="78">
        <f t="shared" si="2213"/>
        <v>1260.0100000000002</v>
      </c>
      <c r="AC962" s="5129">
        <v>234.45</v>
      </c>
      <c r="AD962" s="1291">
        <f t="shared" si="2223"/>
        <v>292.34999999999997</v>
      </c>
      <c r="AE962" s="1385">
        <f t="shared" si="2224"/>
        <v>1028.6099999999999</v>
      </c>
      <c r="AF962" s="712">
        <f t="shared" si="2225"/>
        <v>1494.4600000000003</v>
      </c>
    </row>
    <row r="963" spans="3:77" ht="35" customHeight="1" thickBot="1" x14ac:dyDescent="0.4">
      <c r="C963" s="338"/>
      <c r="D963" s="2437"/>
      <c r="E963" s="3985" t="s">
        <v>1142</v>
      </c>
      <c r="F963" s="3148"/>
      <c r="G963" s="3148"/>
      <c r="H963" s="363">
        <f t="shared" si="2196"/>
        <v>0</v>
      </c>
      <c r="I963" s="3148"/>
      <c r="J963" s="304">
        <f t="shared" si="2201"/>
        <v>0</v>
      </c>
      <c r="K963" s="3148"/>
      <c r="L963" s="363">
        <f t="shared" si="2202"/>
        <v>0</v>
      </c>
      <c r="M963" s="3148">
        <f>307.6+38.5</f>
        <v>346.1</v>
      </c>
      <c r="N963" s="363">
        <f t="shared" si="2208"/>
        <v>346.1</v>
      </c>
      <c r="O963" s="3148">
        <v>60.7</v>
      </c>
      <c r="P963" s="87">
        <f t="shared" si="2209"/>
        <v>406.8</v>
      </c>
      <c r="Q963" s="2144">
        <f t="shared" si="2197"/>
        <v>406.8</v>
      </c>
      <c r="R963" s="3148">
        <v>300.98</v>
      </c>
      <c r="S963" s="3115">
        <f t="shared" si="2210"/>
        <v>707.78</v>
      </c>
      <c r="T963" s="3148">
        <f>7.5+125.4</f>
        <v>132.9</v>
      </c>
      <c r="U963" s="3115">
        <f t="shared" si="2198"/>
        <v>840.68</v>
      </c>
      <c r="V963" s="3148"/>
      <c r="W963" s="74">
        <f t="shared" si="2211"/>
        <v>433.88</v>
      </c>
      <c r="X963" s="78">
        <f t="shared" si="2212"/>
        <v>840.68</v>
      </c>
      <c r="Y963" s="3148">
        <v>190.3</v>
      </c>
      <c r="Z963" s="3115">
        <f t="shared" si="2204"/>
        <v>1030.98</v>
      </c>
      <c r="AA963" s="3148">
        <v>24.3</v>
      </c>
      <c r="AB963" s="78">
        <f t="shared" si="2213"/>
        <v>1055.28</v>
      </c>
      <c r="AC963" s="5129">
        <v>47.25</v>
      </c>
      <c r="AD963" s="1291">
        <f t="shared" si="2223"/>
        <v>261.85000000000002</v>
      </c>
      <c r="AE963" s="1385">
        <f t="shared" si="2224"/>
        <v>695.73</v>
      </c>
      <c r="AF963" s="712">
        <f t="shared" si="2225"/>
        <v>1102.53</v>
      </c>
      <c r="BY963" s="4604"/>
    </row>
    <row r="964" spans="3:77" ht="35" customHeight="1" thickBot="1" x14ac:dyDescent="0.3">
      <c r="C964" s="338"/>
      <c r="D964" s="437"/>
      <c r="E964" s="429" t="s">
        <v>15</v>
      </c>
      <c r="F964" s="4227">
        <v>8073.1400000000012</v>
      </c>
      <c r="G964" s="4227">
        <v>43711.875</v>
      </c>
      <c r="H964" s="250">
        <f>SUM(F964:G964)</f>
        <v>51785.014999999999</v>
      </c>
      <c r="I964" s="4227">
        <v>32149.444999999996</v>
      </c>
      <c r="J964" s="249">
        <f>SUM(H964:I964)</f>
        <v>83934.459999999992</v>
      </c>
      <c r="K964" s="4227"/>
      <c r="L964" s="482">
        <f>+J964+K964</f>
        <v>83934.459999999992</v>
      </c>
      <c r="M964" s="4227">
        <f>SUM(M920:M963)</f>
        <v>61631.08</v>
      </c>
      <c r="N964" s="99">
        <f>+L964+M964</f>
        <v>145565.53999999998</v>
      </c>
      <c r="O964" s="4227">
        <f>SUM(O920:O963)</f>
        <v>29247.88</v>
      </c>
      <c r="P964" s="100">
        <f>SUM(P920:P963)</f>
        <v>90878.96</v>
      </c>
      <c r="Q964" s="2146">
        <f t="shared" ref="Q964:AF964" si="2253">SUM(Q920:Q963)</f>
        <v>90878.96</v>
      </c>
      <c r="R964" s="4227">
        <f>SUM(R920:R963)</f>
        <v>61701.120000000003</v>
      </c>
      <c r="S964" s="2291">
        <f t="shared" si="2253"/>
        <v>152580.08000000007</v>
      </c>
      <c r="T964" s="4227">
        <f>SUM(T920:T963)</f>
        <v>50406.14</v>
      </c>
      <c r="U964" s="2291">
        <f t="shared" si="2253"/>
        <v>202986.22</v>
      </c>
      <c r="V964" s="4227">
        <f>SUM(V920:V963)</f>
        <v>57486.36</v>
      </c>
      <c r="W964" s="100">
        <f t="shared" si="2253"/>
        <v>169593.62000000002</v>
      </c>
      <c r="X964" s="99">
        <f t="shared" si="2253"/>
        <v>260472.57999999996</v>
      </c>
      <c r="Y964" s="4227">
        <f>SUM(Y920:Y963)</f>
        <v>49884.959999999999</v>
      </c>
      <c r="Z964" s="2291">
        <f t="shared" si="2253"/>
        <v>310357.53999999992</v>
      </c>
      <c r="AA964" s="4227">
        <f>SUM(AA920:AA963)</f>
        <v>61851.500000000007</v>
      </c>
      <c r="AB964" s="99">
        <f t="shared" si="2253"/>
        <v>372209.04</v>
      </c>
      <c r="AC964" s="5132">
        <f>SUM(AC920:AC963)</f>
        <v>52820.46</v>
      </c>
      <c r="AD964" s="3281">
        <f t="shared" si="2253"/>
        <v>164556.91999999998</v>
      </c>
      <c r="AE964" s="774">
        <f t="shared" si="2253"/>
        <v>334150.5399999998</v>
      </c>
      <c r="AF964" s="599">
        <f t="shared" si="2253"/>
        <v>425029.50000000006</v>
      </c>
    </row>
    <row r="965" spans="3:77" ht="35" customHeight="1" thickBot="1" x14ac:dyDescent="0.3">
      <c r="C965" s="338"/>
      <c r="D965" s="438">
        <v>38.01</v>
      </c>
      <c r="E965" s="180" t="s">
        <v>345</v>
      </c>
      <c r="F965" s="1166">
        <f t="shared" ref="F965:G965" si="2254">+F964/F918*100</f>
        <v>92.398990072402583</v>
      </c>
      <c r="G965" s="1166">
        <f t="shared" si="2254"/>
        <v>95.462721113331924</v>
      </c>
      <c r="H965" s="260">
        <f t="shared" ref="H965:AF965" si="2255">+H964/H918*100</f>
        <v>94.971794659760548</v>
      </c>
      <c r="I965" s="1166">
        <f t="shared" si="2255"/>
        <v>94.819005973523502</v>
      </c>
      <c r="J965" s="259">
        <f t="shared" si="2255"/>
        <v>94.913213811383429</v>
      </c>
      <c r="K965" s="1166" t="e">
        <f t="shared" si="2255"/>
        <v>#DIV/0!</v>
      </c>
      <c r="L965" s="260">
        <f t="shared" si="2255"/>
        <v>94.913213811383429</v>
      </c>
      <c r="M965" s="1166">
        <f t="shared" si="2255"/>
        <v>96.221540164021846</v>
      </c>
      <c r="N965" s="260">
        <f t="shared" si="2255"/>
        <v>95.462778802875675</v>
      </c>
      <c r="O965" s="1166">
        <f t="shared" si="2255"/>
        <v>95.489562315944823</v>
      </c>
      <c r="P965" s="182">
        <f t="shared" si="2255"/>
        <v>95.984743658761047</v>
      </c>
      <c r="Q965" s="2155">
        <f t="shared" si="2255"/>
        <v>49.629857943828064</v>
      </c>
      <c r="R965" s="1166">
        <f t="shared" ref="R965:T965" si="2256">+R964/R918*100</f>
        <v>96.119925579291206</v>
      </c>
      <c r="S965" s="2290">
        <f t="shared" si="2255"/>
        <v>61.697054680876448</v>
      </c>
      <c r="T965" s="1166">
        <f t="shared" si="2256"/>
        <v>96.003466369549272</v>
      </c>
      <c r="U965" s="2290">
        <f t="shared" si="2255"/>
        <v>67.705000560522066</v>
      </c>
      <c r="V965" s="1166">
        <f t="shared" si="2255"/>
        <v>96.086946056859531</v>
      </c>
      <c r="W965" s="182">
        <f t="shared" si="2255"/>
        <v>96.074109007994693</v>
      </c>
      <c r="X965" s="260">
        <f t="shared" si="2255"/>
        <v>72.426478204161455</v>
      </c>
      <c r="Y965" s="1166">
        <f t="shared" ref="Y965" si="2257">+Y964/Y918*100</f>
        <v>96.094571697376125</v>
      </c>
      <c r="Z965" s="2290">
        <f t="shared" si="2255"/>
        <v>75.411942458744747</v>
      </c>
      <c r="AA965" s="1166">
        <f t="shared" si="2255"/>
        <v>96.239230142173867</v>
      </c>
      <c r="AB965" s="260">
        <f t="shared" si="2255"/>
        <v>78.225072910218131</v>
      </c>
      <c r="AC965" s="1166">
        <f t="shared" si="2255"/>
        <v>96.050577225846368</v>
      </c>
      <c r="AD965" s="946">
        <f t="shared" si="2255"/>
        <v>96.134751008612966</v>
      </c>
      <c r="AE965" s="1115">
        <f t="shared" si="2255"/>
        <v>96.10396341135467</v>
      </c>
      <c r="AF965" s="1114">
        <f t="shared" si="2255"/>
        <v>80.071807934742523</v>
      </c>
    </row>
    <row r="966" spans="3:77" ht="35" customHeight="1" x14ac:dyDescent="0.25">
      <c r="C966" s="338"/>
      <c r="D966" s="2441">
        <v>38.020000000000003</v>
      </c>
      <c r="E966" s="141" t="s">
        <v>322</v>
      </c>
      <c r="F966" s="3421"/>
      <c r="G966" s="3421"/>
      <c r="H966" s="3628"/>
      <c r="I966" s="3421"/>
      <c r="J966" s="3628"/>
      <c r="K966" s="3421"/>
      <c r="L966" s="3628"/>
      <c r="M966" s="3421"/>
      <c r="N966" s="140"/>
      <c r="O966" s="3421"/>
      <c r="P966" s="140"/>
      <c r="Q966" s="140"/>
      <c r="R966" s="3421"/>
      <c r="S966" s="140"/>
      <c r="T966" s="3421"/>
      <c r="U966" s="140"/>
      <c r="V966" s="3421"/>
      <c r="W966" s="140"/>
      <c r="X966" s="140"/>
      <c r="Y966" s="3421"/>
      <c r="Z966" s="140"/>
      <c r="AA966" s="3421"/>
      <c r="AB966" s="140"/>
      <c r="AC966" s="3421"/>
      <c r="AD966" s="277"/>
      <c r="AE966" s="140"/>
      <c r="AF966" s="1163"/>
    </row>
    <row r="967" spans="3:77" ht="35" customHeight="1" x14ac:dyDescent="0.25">
      <c r="C967" s="338"/>
      <c r="D967" s="2437"/>
      <c r="E967" s="311"/>
      <c r="F967" s="3262"/>
      <c r="G967" s="3262"/>
      <c r="H967" s="296">
        <f t="shared" ref="H967:H1003" si="2258">SUM(F967:G967)</f>
        <v>0</v>
      </c>
      <c r="I967" s="3262"/>
      <c r="J967" s="304">
        <f t="shared" ref="J967:J1003" si="2259">+H967+I967</f>
        <v>0</v>
      </c>
      <c r="K967" s="3262"/>
      <c r="L967" s="475">
        <f t="shared" ref="L967:N989" si="2260">+J967+K967</f>
        <v>0</v>
      </c>
      <c r="M967" s="3262">
        <v>0</v>
      </c>
      <c r="N967" s="475">
        <f t="shared" si="2260"/>
        <v>0</v>
      </c>
      <c r="O967" s="3262">
        <v>0</v>
      </c>
      <c r="P967" s="304">
        <f t="shared" ref="P967:P1004" si="2261">+K967+M967+O967</f>
        <v>0</v>
      </c>
      <c r="Q967" s="2185">
        <f t="shared" ref="Q967:Q1004" si="2262">+N967+O967</f>
        <v>0</v>
      </c>
      <c r="R967" s="3262"/>
      <c r="S967" s="475">
        <f t="shared" ref="S967:S1003" si="2263">+Q967+R967</f>
        <v>0</v>
      </c>
      <c r="T967" s="3262"/>
      <c r="U967" s="475">
        <f t="shared" ref="U967:U1004" si="2264">SUM(S967:T967)</f>
        <v>0</v>
      </c>
      <c r="V967" s="3262"/>
      <c r="W967" s="74">
        <f>+R967+T967+V967</f>
        <v>0</v>
      </c>
      <c r="X967" s="78">
        <f>+U967+V967</f>
        <v>0</v>
      </c>
      <c r="Y967" s="3262"/>
      <c r="Z967" s="3115">
        <f t="shared" ref="Z967:Z1004" si="2265">SUM(X967:Y967)</f>
        <v>0</v>
      </c>
      <c r="AA967" s="3262"/>
      <c r="AB967" s="1243">
        <f t="shared" ref="AB967:AB1004" si="2266">SUM(Z967:AA967)</f>
        <v>0</v>
      </c>
      <c r="AC967" s="3262"/>
      <c r="AD967" s="713">
        <f t="shared" ref="AD967" si="2267">+Y967+AA967+AC967</f>
        <v>0</v>
      </c>
      <c r="AE967" s="1409">
        <f t="shared" ref="AE967" si="2268">+W967+AD967</f>
        <v>0</v>
      </c>
      <c r="AF967" s="712">
        <f t="shared" ref="AF967" si="2269">+AB967+AC967</f>
        <v>0</v>
      </c>
    </row>
    <row r="968" spans="3:77" ht="35" customHeight="1" x14ac:dyDescent="0.25">
      <c r="C968" s="338"/>
      <c r="D968" s="2437"/>
      <c r="E968" s="1484" t="s">
        <v>1558</v>
      </c>
      <c r="F968" s="3262"/>
      <c r="G968" s="3262"/>
      <c r="H968" s="296">
        <f t="shared" si="2258"/>
        <v>0</v>
      </c>
      <c r="I968" s="3262"/>
      <c r="J968" s="304">
        <f t="shared" si="2259"/>
        <v>0</v>
      </c>
      <c r="K968" s="3262"/>
      <c r="L968" s="475">
        <f t="shared" si="2260"/>
        <v>0</v>
      </c>
      <c r="M968" s="3262">
        <v>17230.190000000006</v>
      </c>
      <c r="N968" s="475">
        <f t="shared" si="2260"/>
        <v>17230.190000000006</v>
      </c>
      <c r="O968" s="3262">
        <v>15028.539999999988</v>
      </c>
      <c r="P968" s="304">
        <f t="shared" si="2261"/>
        <v>32258.729999999996</v>
      </c>
      <c r="Q968" s="2185">
        <f t="shared" si="2262"/>
        <v>32258.729999999996</v>
      </c>
      <c r="R968" s="3262">
        <v>4856.96</v>
      </c>
      <c r="S968" s="475">
        <f t="shared" si="2263"/>
        <v>37115.689999999995</v>
      </c>
      <c r="T968" s="3262">
        <v>22126.859999999993</v>
      </c>
      <c r="U968" s="475">
        <f t="shared" si="2264"/>
        <v>59242.549999999988</v>
      </c>
      <c r="V968" s="3262">
        <v>13298.225</v>
      </c>
      <c r="W968" s="74">
        <f t="shared" ref="W968:W1004" si="2270">+R968+T968+V968</f>
        <v>40282.044999999991</v>
      </c>
      <c r="X968" s="78">
        <f t="shared" ref="X968:X1004" si="2271">+U968+V968</f>
        <v>72540.774999999994</v>
      </c>
      <c r="Y968" s="3262">
        <v>4087.7200000000012</v>
      </c>
      <c r="Z968" s="3115">
        <f t="shared" si="2265"/>
        <v>76628.494999999995</v>
      </c>
      <c r="AA968" s="3262">
        <v>3599.9</v>
      </c>
      <c r="AB968" s="1243">
        <f t="shared" si="2266"/>
        <v>80228.39499999999</v>
      </c>
      <c r="AC968" s="3262">
        <v>7865.0009999999966</v>
      </c>
      <c r="AD968" s="713">
        <f t="shared" ref="AD968:AD1004" si="2272">+Y968+AA968+AC968</f>
        <v>15552.620999999997</v>
      </c>
      <c r="AE968" s="1409">
        <f t="shared" ref="AE968:AE1004" si="2273">+W968+AD968</f>
        <v>55834.66599999999</v>
      </c>
      <c r="AF968" s="712">
        <f t="shared" ref="AF968:AF1004" si="2274">+AB968+AC968</f>
        <v>88093.395999999979</v>
      </c>
    </row>
    <row r="969" spans="3:77" ht="34.5" customHeight="1" x14ac:dyDescent="0.25">
      <c r="C969" s="338"/>
      <c r="D969" s="2437"/>
      <c r="E969" s="1484" t="s">
        <v>1559</v>
      </c>
      <c r="F969" s="3262"/>
      <c r="G969" s="3262"/>
      <c r="H969" s="296">
        <f t="shared" si="2258"/>
        <v>0</v>
      </c>
      <c r="I969" s="3262"/>
      <c r="J969" s="304">
        <f t="shared" si="2259"/>
        <v>0</v>
      </c>
      <c r="K969" s="3262"/>
      <c r="L969" s="475">
        <f t="shared" si="2260"/>
        <v>0</v>
      </c>
      <c r="M969" s="3262">
        <v>7240.3999999999978</v>
      </c>
      <c r="N969" s="475">
        <f t="shared" si="2260"/>
        <v>7240.3999999999978</v>
      </c>
      <c r="O969" s="3262">
        <v>973.61000000000013</v>
      </c>
      <c r="P969" s="304">
        <f t="shared" si="2261"/>
        <v>8214.0099999999984</v>
      </c>
      <c r="Q969" s="2185">
        <f t="shared" si="2262"/>
        <v>8214.0099999999984</v>
      </c>
      <c r="R969" s="3262"/>
      <c r="S969" s="475">
        <f t="shared" si="2263"/>
        <v>8214.0099999999984</v>
      </c>
      <c r="T969" s="3262">
        <v>5532.94</v>
      </c>
      <c r="U969" s="475">
        <f t="shared" si="2264"/>
        <v>13746.949999999997</v>
      </c>
      <c r="V969" s="3262">
        <v>7456.46</v>
      </c>
      <c r="W969" s="74">
        <f t="shared" si="2270"/>
        <v>12989.4</v>
      </c>
      <c r="X969" s="78">
        <f t="shared" si="2271"/>
        <v>21203.409999999996</v>
      </c>
      <c r="Y969" s="3262">
        <v>275.17</v>
      </c>
      <c r="Z969" s="3115">
        <f t="shared" si="2265"/>
        <v>21478.579999999994</v>
      </c>
      <c r="AA969" s="3262">
        <v>9483.1229999999996</v>
      </c>
      <c r="AB969" s="1243">
        <f t="shared" si="2266"/>
        <v>30961.702999999994</v>
      </c>
      <c r="AC969" s="3262">
        <v>6800.1190000000006</v>
      </c>
      <c r="AD969" s="713">
        <f t="shared" si="2272"/>
        <v>16558.412</v>
      </c>
      <c r="AE969" s="1409">
        <f t="shared" si="2273"/>
        <v>29547.811999999998</v>
      </c>
      <c r="AF969" s="712">
        <f t="shared" si="2274"/>
        <v>37761.821999999993</v>
      </c>
    </row>
    <row r="970" spans="3:77" ht="35" customHeight="1" x14ac:dyDescent="0.25">
      <c r="C970" s="338"/>
      <c r="D970" s="2437"/>
      <c r="E970" s="1484" t="s">
        <v>1383</v>
      </c>
      <c r="F970" s="3262"/>
      <c r="G970" s="3262"/>
      <c r="H970" s="296">
        <f t="shared" si="2258"/>
        <v>0</v>
      </c>
      <c r="I970" s="3262"/>
      <c r="J970" s="304">
        <f t="shared" si="2259"/>
        <v>0</v>
      </c>
      <c r="K970" s="3262"/>
      <c r="L970" s="475">
        <f t="shared" si="2260"/>
        <v>0</v>
      </c>
      <c r="M970" s="3262">
        <v>0</v>
      </c>
      <c r="N970" s="475">
        <f t="shared" si="2260"/>
        <v>0</v>
      </c>
      <c r="O970" s="3262">
        <v>0</v>
      </c>
      <c r="P970" s="304">
        <f t="shared" si="2261"/>
        <v>0</v>
      </c>
      <c r="Q970" s="2185">
        <f t="shared" si="2262"/>
        <v>0</v>
      </c>
      <c r="R970" s="3262"/>
      <c r="S970" s="475">
        <f t="shared" si="2263"/>
        <v>0</v>
      </c>
      <c r="T970" s="3262"/>
      <c r="U970" s="475">
        <f t="shared" si="2264"/>
        <v>0</v>
      </c>
      <c r="V970" s="3262"/>
      <c r="W970" s="74">
        <f t="shared" si="2270"/>
        <v>0</v>
      </c>
      <c r="X970" s="78">
        <f t="shared" si="2271"/>
        <v>0</v>
      </c>
      <c r="Y970" s="3262"/>
      <c r="Z970" s="3115">
        <f t="shared" si="2265"/>
        <v>0</v>
      </c>
      <c r="AA970" s="3262"/>
      <c r="AB970" s="1243">
        <f t="shared" si="2266"/>
        <v>0</v>
      </c>
      <c r="AC970" s="3262"/>
      <c r="AD970" s="713">
        <f t="shared" si="2272"/>
        <v>0</v>
      </c>
      <c r="AE970" s="1409">
        <f t="shared" si="2273"/>
        <v>0</v>
      </c>
      <c r="AF970" s="712">
        <f t="shared" si="2274"/>
        <v>0</v>
      </c>
    </row>
    <row r="971" spans="3:77" ht="35" customHeight="1" x14ac:dyDescent="0.25">
      <c r="C971" s="338"/>
      <c r="D971" s="2437"/>
      <c r="E971" s="1484" t="s">
        <v>1141</v>
      </c>
      <c r="F971" s="3262"/>
      <c r="G971" s="3262"/>
      <c r="H971" s="296">
        <f t="shared" si="2258"/>
        <v>0</v>
      </c>
      <c r="I971" s="3262"/>
      <c r="J971" s="304">
        <f t="shared" si="2259"/>
        <v>0</v>
      </c>
      <c r="K971" s="3262"/>
      <c r="L971" s="475">
        <f t="shared" si="2260"/>
        <v>0</v>
      </c>
      <c r="M971" s="3262">
        <v>0</v>
      </c>
      <c r="N971" s="475">
        <f t="shared" si="2260"/>
        <v>0</v>
      </c>
      <c r="O971" s="3262">
        <v>0</v>
      </c>
      <c r="P971" s="304">
        <f t="shared" si="2261"/>
        <v>0</v>
      </c>
      <c r="Q971" s="2185">
        <f t="shared" si="2262"/>
        <v>0</v>
      </c>
      <c r="R971" s="3262"/>
      <c r="S971" s="475">
        <f t="shared" si="2263"/>
        <v>0</v>
      </c>
      <c r="T971" s="3262"/>
      <c r="U971" s="475">
        <f t="shared" si="2264"/>
        <v>0</v>
      </c>
      <c r="V971" s="3262"/>
      <c r="W971" s="74">
        <f t="shared" si="2270"/>
        <v>0</v>
      </c>
      <c r="X971" s="78">
        <f t="shared" si="2271"/>
        <v>0</v>
      </c>
      <c r="Y971" s="3262"/>
      <c r="Z971" s="3115">
        <f t="shared" si="2265"/>
        <v>0</v>
      </c>
      <c r="AA971" s="3262"/>
      <c r="AB971" s="1243">
        <f t="shared" si="2266"/>
        <v>0</v>
      </c>
      <c r="AC971" s="3262"/>
      <c r="AD971" s="713">
        <f t="shared" si="2272"/>
        <v>0</v>
      </c>
      <c r="AE971" s="1409">
        <f t="shared" si="2273"/>
        <v>0</v>
      </c>
      <c r="AF971" s="712">
        <f t="shared" si="2274"/>
        <v>0</v>
      </c>
    </row>
    <row r="972" spans="3:77" ht="35" customHeight="1" x14ac:dyDescent="0.25">
      <c r="C972" s="338"/>
      <c r="D972" s="4965"/>
      <c r="E972" s="426" t="s">
        <v>1738</v>
      </c>
      <c r="F972" s="3262"/>
      <c r="G972" s="3262"/>
      <c r="H972" s="296">
        <f t="shared" si="2258"/>
        <v>0</v>
      </c>
      <c r="I972" s="3262"/>
      <c r="J972" s="304">
        <f t="shared" si="2259"/>
        <v>0</v>
      </c>
      <c r="K972" s="3262"/>
      <c r="L972" s="475">
        <f t="shared" si="2260"/>
        <v>0</v>
      </c>
      <c r="M972" s="3262"/>
      <c r="N972" s="475"/>
      <c r="O972" s="3262"/>
      <c r="P972" s="304"/>
      <c r="Q972" s="2185"/>
      <c r="R972" s="3262"/>
      <c r="S972" s="475">
        <f t="shared" si="2263"/>
        <v>0</v>
      </c>
      <c r="T972" s="3262">
        <v>2078.9000000000005</v>
      </c>
      <c r="U972" s="475">
        <f t="shared" si="2264"/>
        <v>2078.9000000000005</v>
      </c>
      <c r="V972" s="3262"/>
      <c r="W972" s="74">
        <f t="shared" ref="W972" si="2275">+R972+T972+V972</f>
        <v>2078.9000000000005</v>
      </c>
      <c r="X972" s="78">
        <f t="shared" ref="X972" si="2276">+U972+V972</f>
        <v>2078.9000000000005</v>
      </c>
      <c r="Y972" s="3262">
        <v>124.8</v>
      </c>
      <c r="Z972" s="3115">
        <f t="shared" si="2265"/>
        <v>2203.7000000000007</v>
      </c>
      <c r="AA972" s="3262"/>
      <c r="AB972" s="1243">
        <f t="shared" si="2266"/>
        <v>2203.7000000000007</v>
      </c>
      <c r="AC972" s="3262">
        <v>5726.3390000000009</v>
      </c>
      <c r="AD972" s="713">
        <f t="shared" si="2272"/>
        <v>5851.139000000001</v>
      </c>
      <c r="AE972" s="1409">
        <f t="shared" si="2273"/>
        <v>7930.0390000000016</v>
      </c>
      <c r="AF972" s="712">
        <f t="shared" si="2274"/>
        <v>7930.0390000000016</v>
      </c>
    </row>
    <row r="973" spans="3:77" ht="35" customHeight="1" x14ac:dyDescent="0.25">
      <c r="C973" s="338"/>
      <c r="D973" s="2437"/>
      <c r="E973" s="426" t="s">
        <v>1420</v>
      </c>
      <c r="F973" s="3262"/>
      <c r="G973" s="3262"/>
      <c r="H973" s="296">
        <f t="shared" si="2258"/>
        <v>0</v>
      </c>
      <c r="I973" s="3262"/>
      <c r="J973" s="304">
        <f t="shared" si="2259"/>
        <v>0</v>
      </c>
      <c r="K973" s="3262"/>
      <c r="L973" s="475">
        <f t="shared" si="2260"/>
        <v>0</v>
      </c>
      <c r="M973" s="3262">
        <v>0</v>
      </c>
      <c r="N973" s="475">
        <f t="shared" si="2260"/>
        <v>0</v>
      </c>
      <c r="O973" s="3262">
        <v>738.34999999999991</v>
      </c>
      <c r="P973" s="304">
        <f t="shared" si="2261"/>
        <v>738.34999999999991</v>
      </c>
      <c r="Q973" s="2185">
        <f t="shared" si="2262"/>
        <v>738.34999999999991</v>
      </c>
      <c r="R973" s="3262"/>
      <c r="S973" s="475">
        <f t="shared" si="2263"/>
        <v>738.34999999999991</v>
      </c>
      <c r="T973" s="3262">
        <v>1168.08</v>
      </c>
      <c r="U973" s="475">
        <f t="shared" si="2264"/>
        <v>1906.4299999999998</v>
      </c>
      <c r="V973" s="3262">
        <v>248.66</v>
      </c>
      <c r="W973" s="74">
        <f t="shared" si="2270"/>
        <v>1416.74</v>
      </c>
      <c r="X973" s="78">
        <f t="shared" si="2271"/>
        <v>2155.0899999999997</v>
      </c>
      <c r="Y973" s="3262"/>
      <c r="Z973" s="3115">
        <f t="shared" si="2265"/>
        <v>2155.0899999999997</v>
      </c>
      <c r="AA973" s="3262"/>
      <c r="AB973" s="1243">
        <f t="shared" si="2266"/>
        <v>2155.0899999999997</v>
      </c>
      <c r="AC973" s="3262"/>
      <c r="AD973" s="713">
        <f t="shared" si="2272"/>
        <v>0</v>
      </c>
      <c r="AE973" s="1409">
        <f t="shared" si="2273"/>
        <v>1416.74</v>
      </c>
      <c r="AF973" s="712">
        <f t="shared" si="2274"/>
        <v>2155.0899999999997</v>
      </c>
    </row>
    <row r="974" spans="3:77" ht="35" customHeight="1" x14ac:dyDescent="0.25">
      <c r="C974" s="338"/>
      <c r="D974" s="2437"/>
      <c r="E974" s="184" t="s">
        <v>627</v>
      </c>
      <c r="F974" s="3262"/>
      <c r="G974" s="3262"/>
      <c r="H974" s="296">
        <f t="shared" si="2258"/>
        <v>0</v>
      </c>
      <c r="I974" s="3262"/>
      <c r="J974" s="304">
        <f t="shared" si="2259"/>
        <v>0</v>
      </c>
      <c r="K974" s="3262"/>
      <c r="L974" s="475">
        <f t="shared" si="2260"/>
        <v>0</v>
      </c>
      <c r="M974" s="3262">
        <v>14239.080000000002</v>
      </c>
      <c r="N974" s="475">
        <f t="shared" si="2260"/>
        <v>14239.080000000002</v>
      </c>
      <c r="O974" s="3262">
        <v>76.900000000000006</v>
      </c>
      <c r="P974" s="304">
        <f t="shared" si="2261"/>
        <v>14315.980000000001</v>
      </c>
      <c r="Q974" s="2185">
        <f t="shared" si="2262"/>
        <v>14315.980000000001</v>
      </c>
      <c r="R974" s="3262">
        <v>4955.6100000000006</v>
      </c>
      <c r="S974" s="475">
        <f t="shared" si="2263"/>
        <v>19271.590000000004</v>
      </c>
      <c r="T974" s="3262">
        <v>6606.6099999999988</v>
      </c>
      <c r="U974" s="475">
        <f t="shared" si="2264"/>
        <v>25878.200000000004</v>
      </c>
      <c r="V974" s="3262">
        <v>4655.66</v>
      </c>
      <c r="W974" s="74">
        <f t="shared" si="2270"/>
        <v>16217.88</v>
      </c>
      <c r="X974" s="78">
        <f t="shared" si="2271"/>
        <v>30533.860000000004</v>
      </c>
      <c r="Y974" s="3262">
        <v>5066.6589999999997</v>
      </c>
      <c r="Z974" s="3115">
        <f t="shared" si="2265"/>
        <v>35600.519</v>
      </c>
      <c r="AA974" s="3262">
        <v>11752.739999999994</v>
      </c>
      <c r="AB974" s="1243">
        <f t="shared" si="2266"/>
        <v>47353.258999999991</v>
      </c>
      <c r="AC974" s="3262">
        <v>62.83</v>
      </c>
      <c r="AD974" s="713">
        <f t="shared" si="2272"/>
        <v>16882.228999999996</v>
      </c>
      <c r="AE974" s="1409">
        <f t="shared" si="2273"/>
        <v>33100.108999999997</v>
      </c>
      <c r="AF974" s="712">
        <f t="shared" si="2274"/>
        <v>47416.088999999993</v>
      </c>
    </row>
    <row r="975" spans="3:77" ht="35" customHeight="1" x14ac:dyDescent="0.25">
      <c r="C975" s="338"/>
      <c r="D975" s="2437"/>
      <c r="E975" s="184" t="s">
        <v>1560</v>
      </c>
      <c r="F975" s="3262"/>
      <c r="G975" s="3262"/>
      <c r="H975" s="296">
        <f t="shared" si="2258"/>
        <v>0</v>
      </c>
      <c r="I975" s="3262"/>
      <c r="J975" s="304">
        <f t="shared" si="2259"/>
        <v>0</v>
      </c>
      <c r="K975" s="3262"/>
      <c r="L975" s="475">
        <f t="shared" si="2260"/>
        <v>0</v>
      </c>
      <c r="M975" s="3262">
        <v>604.08000000000004</v>
      </c>
      <c r="N975" s="475">
        <f t="shared" si="2260"/>
        <v>604.08000000000004</v>
      </c>
      <c r="O975" s="3262">
        <v>2784.9799999999996</v>
      </c>
      <c r="P975" s="304">
        <f t="shared" ref="P975" si="2277">+K975+M975+O975</f>
        <v>3389.0599999999995</v>
      </c>
      <c r="Q975" s="2185">
        <f t="shared" ref="Q975" si="2278">+N975+O975</f>
        <v>3389.0599999999995</v>
      </c>
      <c r="R975" s="3262">
        <v>2770.0499999999997</v>
      </c>
      <c r="S975" s="475">
        <f t="shared" si="2263"/>
        <v>6159.1099999999988</v>
      </c>
      <c r="T975" s="3262">
        <v>4141.2300000000005</v>
      </c>
      <c r="U975" s="475">
        <f t="shared" si="2264"/>
        <v>10300.34</v>
      </c>
      <c r="V975" s="3262">
        <f>1342.99+766.57</f>
        <v>2109.56</v>
      </c>
      <c r="W975" s="74">
        <f t="shared" ref="W975" si="2279">+R975+T975+V975</f>
        <v>9020.84</v>
      </c>
      <c r="X975" s="78">
        <f t="shared" ref="X975" si="2280">+U975+V975</f>
        <v>12409.9</v>
      </c>
      <c r="Y975" s="3262">
        <v>7523.88</v>
      </c>
      <c r="Z975" s="3115">
        <f t="shared" si="2265"/>
        <v>19933.78</v>
      </c>
      <c r="AA975" s="3262">
        <v>4656.7489999999998</v>
      </c>
      <c r="AB975" s="1243">
        <f t="shared" si="2266"/>
        <v>24590.528999999999</v>
      </c>
      <c r="AC975" s="3262">
        <v>572.67999999999995</v>
      </c>
      <c r="AD975" s="713">
        <f t="shared" si="2272"/>
        <v>12753.309000000001</v>
      </c>
      <c r="AE975" s="1409">
        <f t="shared" si="2273"/>
        <v>21774.149000000001</v>
      </c>
      <c r="AF975" s="712">
        <f t="shared" si="2274"/>
        <v>25163.208999999999</v>
      </c>
    </row>
    <row r="976" spans="3:77" ht="35" customHeight="1" x14ac:dyDescent="0.25">
      <c r="C976" s="338"/>
      <c r="D976" s="2437"/>
      <c r="E976" s="426" t="s">
        <v>1638</v>
      </c>
      <c r="F976" s="3262"/>
      <c r="G976" s="3262"/>
      <c r="H976" s="296">
        <f t="shared" si="2258"/>
        <v>0</v>
      </c>
      <c r="I976" s="3262"/>
      <c r="J976" s="304">
        <f t="shared" si="2259"/>
        <v>0</v>
      </c>
      <c r="K976" s="3262"/>
      <c r="L976" s="475">
        <f t="shared" si="2260"/>
        <v>0</v>
      </c>
      <c r="M976" s="3262">
        <v>0</v>
      </c>
      <c r="N976" s="475">
        <f t="shared" si="2260"/>
        <v>0</v>
      </c>
      <c r="O976" s="3262">
        <v>0</v>
      </c>
      <c r="P976" s="304">
        <f t="shared" si="2261"/>
        <v>0</v>
      </c>
      <c r="Q976" s="2185">
        <f t="shared" si="2262"/>
        <v>0</v>
      </c>
      <c r="R976" s="3262"/>
      <c r="S976" s="475">
        <f t="shared" si="2263"/>
        <v>0</v>
      </c>
      <c r="T976" s="3262"/>
      <c r="U976" s="475">
        <f t="shared" si="2264"/>
        <v>0</v>
      </c>
      <c r="V976" s="3262"/>
      <c r="W976" s="74">
        <f t="shared" si="2270"/>
        <v>0</v>
      </c>
      <c r="X976" s="78">
        <f t="shared" si="2271"/>
        <v>0</v>
      </c>
      <c r="Y976" s="3262"/>
      <c r="Z976" s="3115">
        <f t="shared" si="2265"/>
        <v>0</v>
      </c>
      <c r="AA976" s="3262"/>
      <c r="AB976" s="1243">
        <f t="shared" si="2266"/>
        <v>0</v>
      </c>
      <c r="AC976" s="3262"/>
      <c r="AD976" s="713">
        <f t="shared" si="2272"/>
        <v>0</v>
      </c>
      <c r="AE976" s="1409">
        <f t="shared" si="2273"/>
        <v>0</v>
      </c>
      <c r="AF976" s="712">
        <f t="shared" si="2274"/>
        <v>0</v>
      </c>
    </row>
    <row r="977" spans="3:32" ht="35" customHeight="1" x14ac:dyDescent="0.25">
      <c r="C977" s="338"/>
      <c r="D977" s="2437"/>
      <c r="E977" s="426" t="s">
        <v>1187</v>
      </c>
      <c r="F977" s="3262"/>
      <c r="G977" s="3262"/>
      <c r="H977" s="296">
        <f t="shared" si="2258"/>
        <v>0</v>
      </c>
      <c r="I977" s="3262"/>
      <c r="J977" s="304">
        <f t="shared" si="2259"/>
        <v>0</v>
      </c>
      <c r="K977" s="3262"/>
      <c r="L977" s="475">
        <f t="shared" si="2260"/>
        <v>0</v>
      </c>
      <c r="M977" s="3262">
        <v>0</v>
      </c>
      <c r="N977" s="475">
        <f t="shared" si="2260"/>
        <v>0</v>
      </c>
      <c r="O977" s="3262">
        <v>0</v>
      </c>
      <c r="P977" s="304">
        <f t="shared" si="2261"/>
        <v>0</v>
      </c>
      <c r="Q977" s="2185">
        <f t="shared" si="2262"/>
        <v>0</v>
      </c>
      <c r="R977" s="3262"/>
      <c r="S977" s="475">
        <f t="shared" si="2263"/>
        <v>0</v>
      </c>
      <c r="T977" s="3262">
        <v>533.12</v>
      </c>
      <c r="U977" s="475">
        <f t="shared" si="2264"/>
        <v>533.12</v>
      </c>
      <c r="V977" s="3262"/>
      <c r="W977" s="3987">
        <f t="shared" si="2270"/>
        <v>533.12</v>
      </c>
      <c r="X977" s="3986">
        <f t="shared" si="2271"/>
        <v>533.12</v>
      </c>
      <c r="Y977" s="3262"/>
      <c r="Z977" s="3115">
        <f t="shared" si="2265"/>
        <v>533.12</v>
      </c>
      <c r="AA977" s="3262"/>
      <c r="AB977" s="1243">
        <f t="shared" si="2266"/>
        <v>533.12</v>
      </c>
      <c r="AC977" s="3262"/>
      <c r="AD977" s="713">
        <f t="shared" si="2272"/>
        <v>0</v>
      </c>
      <c r="AE977" s="1409">
        <f t="shared" si="2273"/>
        <v>533.12</v>
      </c>
      <c r="AF977" s="712">
        <f t="shared" si="2274"/>
        <v>533.12</v>
      </c>
    </row>
    <row r="978" spans="3:32" ht="35" customHeight="1" x14ac:dyDescent="0.25">
      <c r="C978" s="338"/>
      <c r="D978" s="2437"/>
      <c r="E978" s="426" t="s">
        <v>584</v>
      </c>
      <c r="F978" s="3262"/>
      <c r="G978" s="3262"/>
      <c r="H978" s="296">
        <f t="shared" si="2258"/>
        <v>0</v>
      </c>
      <c r="I978" s="3262"/>
      <c r="J978" s="304">
        <f t="shared" si="2259"/>
        <v>0</v>
      </c>
      <c r="K978" s="3262"/>
      <c r="L978" s="475">
        <f t="shared" si="2260"/>
        <v>0</v>
      </c>
      <c r="M978" s="3262">
        <v>0</v>
      </c>
      <c r="N978" s="475">
        <f t="shared" si="2260"/>
        <v>0</v>
      </c>
      <c r="O978" s="3262">
        <v>0</v>
      </c>
      <c r="P978" s="304">
        <f t="shared" si="2261"/>
        <v>0</v>
      </c>
      <c r="Q978" s="2185">
        <f t="shared" si="2262"/>
        <v>0</v>
      </c>
      <c r="R978" s="3262"/>
      <c r="S978" s="475">
        <f t="shared" si="2263"/>
        <v>0</v>
      </c>
      <c r="T978" s="3262"/>
      <c r="U978" s="475">
        <f t="shared" si="2264"/>
        <v>0</v>
      </c>
      <c r="V978" s="3262"/>
      <c r="W978" s="74">
        <f t="shared" si="2270"/>
        <v>0</v>
      </c>
      <c r="X978" s="78">
        <f t="shared" si="2271"/>
        <v>0</v>
      </c>
      <c r="Y978" s="3262"/>
      <c r="Z978" s="3115">
        <f t="shared" si="2265"/>
        <v>0</v>
      </c>
      <c r="AA978" s="3262"/>
      <c r="AB978" s="1243">
        <f t="shared" si="2266"/>
        <v>0</v>
      </c>
      <c r="AC978" s="3262"/>
      <c r="AD978" s="713">
        <f t="shared" si="2272"/>
        <v>0</v>
      </c>
      <c r="AE978" s="1409">
        <f t="shared" si="2273"/>
        <v>0</v>
      </c>
      <c r="AF978" s="712">
        <f t="shared" si="2274"/>
        <v>0</v>
      </c>
    </row>
    <row r="979" spans="3:32" ht="35" customHeight="1" x14ac:dyDescent="0.25">
      <c r="C979" s="338"/>
      <c r="D979" s="2437"/>
      <c r="E979" s="426" t="s">
        <v>1321</v>
      </c>
      <c r="F979" s="3262"/>
      <c r="G979" s="3262"/>
      <c r="H979" s="296">
        <f t="shared" si="2258"/>
        <v>0</v>
      </c>
      <c r="I979" s="3262"/>
      <c r="J979" s="304">
        <f t="shared" si="2259"/>
        <v>0</v>
      </c>
      <c r="K979" s="3262"/>
      <c r="L979" s="475">
        <f t="shared" si="2260"/>
        <v>0</v>
      </c>
      <c r="M979" s="3262">
        <v>0</v>
      </c>
      <c r="N979" s="475">
        <f t="shared" si="2260"/>
        <v>0</v>
      </c>
      <c r="O979" s="3262">
        <v>0</v>
      </c>
      <c r="P979" s="304">
        <f t="shared" si="2261"/>
        <v>0</v>
      </c>
      <c r="Q979" s="2185">
        <f t="shared" si="2262"/>
        <v>0</v>
      </c>
      <c r="R979" s="3262"/>
      <c r="S979" s="475">
        <f t="shared" si="2263"/>
        <v>0</v>
      </c>
      <c r="T979" s="3262"/>
      <c r="U979" s="475">
        <f t="shared" si="2264"/>
        <v>0</v>
      </c>
      <c r="V979" s="3262"/>
      <c r="W979" s="74">
        <f t="shared" si="2270"/>
        <v>0</v>
      </c>
      <c r="X979" s="78">
        <f t="shared" si="2271"/>
        <v>0</v>
      </c>
      <c r="Y979" s="3262"/>
      <c r="Z979" s="3115">
        <f t="shared" si="2265"/>
        <v>0</v>
      </c>
      <c r="AA979" s="3262"/>
      <c r="AB979" s="1243">
        <f t="shared" si="2266"/>
        <v>0</v>
      </c>
      <c r="AC979" s="3262"/>
      <c r="AD979" s="713">
        <f t="shared" si="2272"/>
        <v>0</v>
      </c>
      <c r="AE979" s="1409">
        <f t="shared" si="2273"/>
        <v>0</v>
      </c>
      <c r="AF979" s="712">
        <f t="shared" si="2274"/>
        <v>0</v>
      </c>
    </row>
    <row r="980" spans="3:32" ht="35" customHeight="1" x14ac:dyDescent="0.25">
      <c r="C980" s="338"/>
      <c r="D980" s="2437"/>
      <c r="E980" s="426" t="s">
        <v>344</v>
      </c>
      <c r="F980" s="3262"/>
      <c r="G980" s="3262"/>
      <c r="H980" s="296">
        <f t="shared" si="2258"/>
        <v>0</v>
      </c>
      <c r="I980" s="3262"/>
      <c r="J980" s="304">
        <f t="shared" si="2259"/>
        <v>0</v>
      </c>
      <c r="K980" s="3262"/>
      <c r="L980" s="475">
        <f t="shared" si="2260"/>
        <v>0</v>
      </c>
      <c r="M980" s="3262">
        <v>0</v>
      </c>
      <c r="N980" s="475">
        <f t="shared" si="2260"/>
        <v>0</v>
      </c>
      <c r="O980" s="3262">
        <v>0</v>
      </c>
      <c r="P980" s="304">
        <f t="shared" si="2261"/>
        <v>0</v>
      </c>
      <c r="Q980" s="2185">
        <f t="shared" si="2262"/>
        <v>0</v>
      </c>
      <c r="R980" s="3262"/>
      <c r="S980" s="475">
        <f t="shared" si="2263"/>
        <v>0</v>
      </c>
      <c r="T980" s="3262"/>
      <c r="U980" s="475">
        <f t="shared" si="2264"/>
        <v>0</v>
      </c>
      <c r="V980" s="3262"/>
      <c r="W980" s="74">
        <f t="shared" si="2270"/>
        <v>0</v>
      </c>
      <c r="X980" s="78">
        <f t="shared" si="2271"/>
        <v>0</v>
      </c>
      <c r="Y980" s="3262"/>
      <c r="Z980" s="3115">
        <f t="shared" si="2265"/>
        <v>0</v>
      </c>
      <c r="AA980" s="3262"/>
      <c r="AB980" s="1243">
        <f t="shared" si="2266"/>
        <v>0</v>
      </c>
      <c r="AC980" s="3262"/>
      <c r="AD980" s="713">
        <f t="shared" si="2272"/>
        <v>0</v>
      </c>
      <c r="AE980" s="1409">
        <f t="shared" si="2273"/>
        <v>0</v>
      </c>
      <c r="AF980" s="712">
        <f t="shared" si="2274"/>
        <v>0</v>
      </c>
    </row>
    <row r="981" spans="3:32" ht="35" customHeight="1" x14ac:dyDescent="0.25">
      <c r="C981" s="338"/>
      <c r="D981" s="2437"/>
      <c r="E981" s="426" t="s">
        <v>589</v>
      </c>
      <c r="F981" s="3262"/>
      <c r="G981" s="3262"/>
      <c r="H981" s="296">
        <f t="shared" si="2258"/>
        <v>0</v>
      </c>
      <c r="I981" s="3262"/>
      <c r="J981" s="304">
        <f t="shared" si="2259"/>
        <v>0</v>
      </c>
      <c r="K981" s="3262"/>
      <c r="L981" s="475">
        <f t="shared" si="2260"/>
        <v>0</v>
      </c>
      <c r="M981" s="3262">
        <v>0</v>
      </c>
      <c r="N981" s="475">
        <f t="shared" si="2260"/>
        <v>0</v>
      </c>
      <c r="O981" s="3262">
        <v>0</v>
      </c>
      <c r="P981" s="304">
        <f t="shared" si="2261"/>
        <v>0</v>
      </c>
      <c r="Q981" s="2185">
        <f t="shared" si="2262"/>
        <v>0</v>
      </c>
      <c r="R981" s="3262"/>
      <c r="S981" s="475">
        <f t="shared" si="2263"/>
        <v>0</v>
      </c>
      <c r="T981" s="3262">
        <v>609.31999999999994</v>
      </c>
      <c r="U981" s="475">
        <f t="shared" si="2264"/>
        <v>609.31999999999994</v>
      </c>
      <c r="V981" s="3262"/>
      <c r="W981" s="74">
        <f t="shared" si="2270"/>
        <v>609.31999999999994</v>
      </c>
      <c r="X981" s="78">
        <f t="shared" si="2271"/>
        <v>609.31999999999994</v>
      </c>
      <c r="Y981" s="3262">
        <v>344.60999999999996</v>
      </c>
      <c r="Z981" s="3115">
        <f t="shared" si="2265"/>
        <v>953.92999999999984</v>
      </c>
      <c r="AA981" s="3262"/>
      <c r="AB981" s="1243">
        <f t="shared" si="2266"/>
        <v>953.92999999999984</v>
      </c>
      <c r="AC981" s="3262"/>
      <c r="AD981" s="713">
        <f t="shared" si="2272"/>
        <v>344.60999999999996</v>
      </c>
      <c r="AE981" s="1409">
        <f t="shared" si="2273"/>
        <v>953.92999999999984</v>
      </c>
      <c r="AF981" s="712">
        <f t="shared" si="2274"/>
        <v>953.92999999999984</v>
      </c>
    </row>
    <row r="982" spans="3:32" ht="35" customHeight="1" x14ac:dyDescent="0.25">
      <c r="C982" s="338"/>
      <c r="D982" s="2437"/>
      <c r="E982" s="184" t="s">
        <v>628</v>
      </c>
      <c r="F982" s="3262"/>
      <c r="G982" s="3262"/>
      <c r="H982" s="296">
        <f t="shared" si="2258"/>
        <v>0</v>
      </c>
      <c r="I982" s="3262"/>
      <c r="J982" s="304">
        <f t="shared" si="2259"/>
        <v>0</v>
      </c>
      <c r="K982" s="3262"/>
      <c r="L982" s="475">
        <f t="shared" si="2260"/>
        <v>0</v>
      </c>
      <c r="M982" s="3262">
        <v>6206.4599999999982</v>
      </c>
      <c r="N982" s="475">
        <f t="shared" si="2260"/>
        <v>6206.4599999999982</v>
      </c>
      <c r="O982" s="3262">
        <v>0</v>
      </c>
      <c r="P982" s="304">
        <f t="shared" si="2261"/>
        <v>6206.4599999999982</v>
      </c>
      <c r="Q982" s="3807">
        <f t="shared" si="2262"/>
        <v>6206.4599999999982</v>
      </c>
      <c r="R982" s="3262">
        <v>13766.170000000002</v>
      </c>
      <c r="S982" s="3808">
        <f t="shared" si="2263"/>
        <v>19972.63</v>
      </c>
      <c r="T982" s="3262"/>
      <c r="U982" s="3808">
        <f t="shared" si="2264"/>
        <v>19972.63</v>
      </c>
      <c r="V982" s="3262">
        <v>9167.43</v>
      </c>
      <c r="W982" s="74">
        <f t="shared" si="2270"/>
        <v>22933.600000000002</v>
      </c>
      <c r="X982" s="78">
        <f t="shared" si="2271"/>
        <v>29140.06</v>
      </c>
      <c r="Y982" s="3262">
        <v>15302.698999999993</v>
      </c>
      <c r="Z982" s="3115">
        <f t="shared" si="2265"/>
        <v>44442.758999999991</v>
      </c>
      <c r="AA982" s="3262">
        <v>15251.510999999997</v>
      </c>
      <c r="AB982" s="1243">
        <f t="shared" si="2266"/>
        <v>59694.26999999999</v>
      </c>
      <c r="AC982" s="3262">
        <v>14719.260000000007</v>
      </c>
      <c r="AD982" s="713">
        <f t="shared" si="2272"/>
        <v>45273.47</v>
      </c>
      <c r="AE982" s="1409">
        <f t="shared" si="2273"/>
        <v>68207.070000000007</v>
      </c>
      <c r="AF982" s="712">
        <f t="shared" si="2274"/>
        <v>74413.53</v>
      </c>
    </row>
    <row r="983" spans="3:32" ht="35" customHeight="1" x14ac:dyDescent="0.25">
      <c r="C983" s="338"/>
      <c r="D983" s="2437"/>
      <c r="E983" s="184" t="s">
        <v>626</v>
      </c>
      <c r="F983" s="3262"/>
      <c r="G983" s="3262"/>
      <c r="H983" s="296">
        <f t="shared" si="2258"/>
        <v>0</v>
      </c>
      <c r="I983" s="3262"/>
      <c r="J983" s="304">
        <f t="shared" si="2259"/>
        <v>0</v>
      </c>
      <c r="K983" s="3262"/>
      <c r="L983" s="475">
        <f t="shared" si="2260"/>
        <v>0</v>
      </c>
      <c r="M983" s="3262">
        <v>0</v>
      </c>
      <c r="N983" s="475">
        <f t="shared" si="2260"/>
        <v>0</v>
      </c>
      <c r="O983" s="3262">
        <v>0</v>
      </c>
      <c r="P983" s="304">
        <f t="shared" si="2261"/>
        <v>0</v>
      </c>
      <c r="Q983" s="2185">
        <f t="shared" si="2262"/>
        <v>0</v>
      </c>
      <c r="R983" s="3262">
        <v>2780.81</v>
      </c>
      <c r="S983" s="475">
        <f t="shared" si="2263"/>
        <v>2780.81</v>
      </c>
      <c r="T983" s="3262"/>
      <c r="U983" s="475">
        <f t="shared" si="2264"/>
        <v>2780.81</v>
      </c>
      <c r="V983" s="3262"/>
      <c r="W983" s="74">
        <f t="shared" si="2270"/>
        <v>2780.81</v>
      </c>
      <c r="X983" s="78">
        <f t="shared" si="2271"/>
        <v>2780.81</v>
      </c>
      <c r="Y983" s="3262"/>
      <c r="Z983" s="3115">
        <f t="shared" si="2265"/>
        <v>2780.81</v>
      </c>
      <c r="AA983" s="3262">
        <v>1604.82</v>
      </c>
      <c r="AB983" s="1243">
        <f t="shared" si="2266"/>
        <v>4385.63</v>
      </c>
      <c r="AC983" s="3262">
        <v>536.55999999999995</v>
      </c>
      <c r="AD983" s="713">
        <f t="shared" si="2272"/>
        <v>2141.38</v>
      </c>
      <c r="AE983" s="1409">
        <f t="shared" si="2273"/>
        <v>4922.1900000000005</v>
      </c>
      <c r="AF983" s="712">
        <f t="shared" si="2274"/>
        <v>4922.1900000000005</v>
      </c>
    </row>
    <row r="984" spans="3:32" ht="35" customHeight="1" x14ac:dyDescent="0.25">
      <c r="C984" s="338"/>
      <c r="D984" s="2437"/>
      <c r="E984" s="426"/>
      <c r="F984" s="3262"/>
      <c r="G984" s="3262"/>
      <c r="H984" s="296">
        <f t="shared" si="2258"/>
        <v>0</v>
      </c>
      <c r="I984" s="3262"/>
      <c r="J984" s="304">
        <f t="shared" si="2259"/>
        <v>0</v>
      </c>
      <c r="K984" s="3262"/>
      <c r="L984" s="475">
        <f t="shared" si="2260"/>
        <v>0</v>
      </c>
      <c r="M984" s="3262">
        <v>0</v>
      </c>
      <c r="N984" s="475">
        <f t="shared" si="2260"/>
        <v>0</v>
      </c>
      <c r="O984" s="3262">
        <v>0</v>
      </c>
      <c r="P984" s="304">
        <f t="shared" ref="P984" si="2281">+K984+M984+O984</f>
        <v>0</v>
      </c>
      <c r="Q984" s="2185">
        <f t="shared" ref="Q984" si="2282">+N984+O984</f>
        <v>0</v>
      </c>
      <c r="R984" s="3262"/>
      <c r="S984" s="475">
        <f t="shared" si="2263"/>
        <v>0</v>
      </c>
      <c r="T984" s="3262"/>
      <c r="U984" s="475">
        <f t="shared" si="2264"/>
        <v>0</v>
      </c>
      <c r="V984" s="3262"/>
      <c r="W984" s="74">
        <f t="shared" ref="W984" si="2283">+R984+T984+V984</f>
        <v>0</v>
      </c>
      <c r="X984" s="78">
        <f t="shared" ref="X984" si="2284">+U984+V984</f>
        <v>0</v>
      </c>
      <c r="Y984" s="3262"/>
      <c r="Z984" s="3115">
        <f t="shared" si="2265"/>
        <v>0</v>
      </c>
      <c r="AA984" s="3262"/>
      <c r="AB984" s="1243">
        <f t="shared" si="2266"/>
        <v>0</v>
      </c>
      <c r="AC984" s="3262"/>
      <c r="AD984" s="713">
        <f t="shared" si="2272"/>
        <v>0</v>
      </c>
      <c r="AE984" s="1409">
        <f t="shared" si="2273"/>
        <v>0</v>
      </c>
      <c r="AF984" s="712">
        <f t="shared" si="2274"/>
        <v>0</v>
      </c>
    </row>
    <row r="985" spans="3:32" ht="35" customHeight="1" x14ac:dyDescent="0.25">
      <c r="C985" s="338"/>
      <c r="D985" s="2437"/>
      <c r="E985" s="426" t="s">
        <v>1400</v>
      </c>
      <c r="F985" s="3262"/>
      <c r="G985" s="3262"/>
      <c r="H985" s="296">
        <f t="shared" si="2258"/>
        <v>0</v>
      </c>
      <c r="I985" s="3262"/>
      <c r="J985" s="304">
        <f t="shared" si="2259"/>
        <v>0</v>
      </c>
      <c r="K985" s="3262"/>
      <c r="L985" s="475">
        <f t="shared" si="2260"/>
        <v>0</v>
      </c>
      <c r="M985" s="3262">
        <v>0</v>
      </c>
      <c r="N985" s="475">
        <f t="shared" si="2260"/>
        <v>0</v>
      </c>
      <c r="O985" s="3262">
        <v>301.44</v>
      </c>
      <c r="P985" s="304">
        <f t="shared" ref="P985:P986" si="2285">+K985+M985+O985</f>
        <v>301.44</v>
      </c>
      <c r="Q985" s="2185">
        <f t="shared" ref="Q985:Q986" si="2286">+N985+O985</f>
        <v>301.44</v>
      </c>
      <c r="R985" s="3262"/>
      <c r="S985" s="475">
        <f t="shared" si="2263"/>
        <v>301.44</v>
      </c>
      <c r="T985" s="3262"/>
      <c r="U985" s="475">
        <f t="shared" si="2264"/>
        <v>301.44</v>
      </c>
      <c r="V985" s="3262"/>
      <c r="W985" s="74">
        <f t="shared" ref="W985:W986" si="2287">+R985+T985+V985</f>
        <v>0</v>
      </c>
      <c r="X985" s="78">
        <f t="shared" ref="X985:X986" si="2288">+U985+V985</f>
        <v>301.44</v>
      </c>
      <c r="Y985" s="3262"/>
      <c r="Z985" s="3115">
        <f t="shared" si="2265"/>
        <v>301.44</v>
      </c>
      <c r="AA985" s="3262"/>
      <c r="AB985" s="1243">
        <f t="shared" si="2266"/>
        <v>301.44</v>
      </c>
      <c r="AC985" s="3262"/>
      <c r="AD985" s="713">
        <f t="shared" si="2272"/>
        <v>0</v>
      </c>
      <c r="AE985" s="1409">
        <f t="shared" si="2273"/>
        <v>0</v>
      </c>
      <c r="AF985" s="712">
        <f t="shared" si="2274"/>
        <v>301.44</v>
      </c>
    </row>
    <row r="986" spans="3:32" ht="35" customHeight="1" x14ac:dyDescent="0.25">
      <c r="C986" s="338"/>
      <c r="D986" s="2437"/>
      <c r="E986" s="184" t="s">
        <v>1517</v>
      </c>
      <c r="F986" s="3262"/>
      <c r="G986" s="3262"/>
      <c r="H986" s="296">
        <f t="shared" si="2258"/>
        <v>0</v>
      </c>
      <c r="I986" s="3262"/>
      <c r="J986" s="304">
        <f t="shared" si="2259"/>
        <v>0</v>
      </c>
      <c r="K986" s="3262"/>
      <c r="L986" s="475">
        <f t="shared" si="2260"/>
        <v>0</v>
      </c>
      <c r="M986" s="3262">
        <v>0</v>
      </c>
      <c r="N986" s="475">
        <f t="shared" si="2260"/>
        <v>0</v>
      </c>
      <c r="O986" s="3262">
        <v>0</v>
      </c>
      <c r="P986" s="304">
        <f t="shared" si="2285"/>
        <v>0</v>
      </c>
      <c r="Q986" s="2185">
        <f t="shared" si="2286"/>
        <v>0</v>
      </c>
      <c r="R986" s="3262"/>
      <c r="S986" s="475">
        <f t="shared" si="2263"/>
        <v>0</v>
      </c>
      <c r="T986" s="3262"/>
      <c r="U986" s="475">
        <f t="shared" si="2264"/>
        <v>0</v>
      </c>
      <c r="V986" s="3262"/>
      <c r="W986" s="74">
        <f t="shared" si="2287"/>
        <v>0</v>
      </c>
      <c r="X986" s="78">
        <f t="shared" si="2288"/>
        <v>0</v>
      </c>
      <c r="Y986" s="3262">
        <v>181.9</v>
      </c>
      <c r="Z986" s="3115">
        <f t="shared" si="2265"/>
        <v>181.9</v>
      </c>
      <c r="AA986" s="3262"/>
      <c r="AB986" s="1243">
        <f t="shared" si="2266"/>
        <v>181.9</v>
      </c>
      <c r="AC986" s="3262">
        <v>2329.6400000000003</v>
      </c>
      <c r="AD986" s="713">
        <f t="shared" si="2272"/>
        <v>2511.5400000000004</v>
      </c>
      <c r="AE986" s="1409">
        <f t="shared" si="2273"/>
        <v>2511.5400000000004</v>
      </c>
      <c r="AF986" s="712">
        <f t="shared" si="2274"/>
        <v>2511.5400000000004</v>
      </c>
    </row>
    <row r="987" spans="3:32" ht="35" customHeight="1" x14ac:dyDescent="0.25">
      <c r="C987" s="338"/>
      <c r="D987" s="2437"/>
      <c r="E987" s="426" t="s">
        <v>1511</v>
      </c>
      <c r="F987" s="3262"/>
      <c r="G987" s="3262"/>
      <c r="H987" s="296">
        <f t="shared" si="2258"/>
        <v>0</v>
      </c>
      <c r="I987" s="3262"/>
      <c r="J987" s="304">
        <f t="shared" si="2259"/>
        <v>0</v>
      </c>
      <c r="K987" s="3262"/>
      <c r="L987" s="475">
        <f t="shared" si="2260"/>
        <v>0</v>
      </c>
      <c r="M987" s="3262">
        <v>0</v>
      </c>
      <c r="N987" s="475">
        <f t="shared" si="2260"/>
        <v>0</v>
      </c>
      <c r="O987" s="3262">
        <v>0</v>
      </c>
      <c r="P987" s="304">
        <f t="shared" si="2261"/>
        <v>0</v>
      </c>
      <c r="Q987" s="2185">
        <f t="shared" si="2262"/>
        <v>0</v>
      </c>
      <c r="R987" s="3262"/>
      <c r="S987" s="475">
        <f t="shared" si="2263"/>
        <v>0</v>
      </c>
      <c r="T987" s="3262"/>
      <c r="U987" s="475">
        <f t="shared" si="2264"/>
        <v>0</v>
      </c>
      <c r="V987" s="3262"/>
      <c r="W987" s="74">
        <f t="shared" si="2270"/>
        <v>0</v>
      </c>
      <c r="X987" s="78">
        <f t="shared" si="2271"/>
        <v>0</v>
      </c>
      <c r="Y987" s="3262"/>
      <c r="Z987" s="3115">
        <f t="shared" si="2265"/>
        <v>0</v>
      </c>
      <c r="AA987" s="3262"/>
      <c r="AB987" s="1243">
        <f t="shared" si="2266"/>
        <v>0</v>
      </c>
      <c r="AC987" s="3262"/>
      <c r="AD987" s="713">
        <f t="shared" si="2272"/>
        <v>0</v>
      </c>
      <c r="AE987" s="1409">
        <f t="shared" si="2273"/>
        <v>0</v>
      </c>
      <c r="AF987" s="712">
        <f t="shared" si="2274"/>
        <v>0</v>
      </c>
    </row>
    <row r="988" spans="3:32" ht="35" customHeight="1" x14ac:dyDescent="0.25">
      <c r="C988" s="338"/>
      <c r="D988" s="2437"/>
      <c r="E988" s="184" t="s">
        <v>1447</v>
      </c>
      <c r="F988" s="3262"/>
      <c r="G988" s="3262"/>
      <c r="H988" s="296">
        <f t="shared" si="2258"/>
        <v>0</v>
      </c>
      <c r="I988" s="3262"/>
      <c r="J988" s="304">
        <f t="shared" si="2259"/>
        <v>0</v>
      </c>
      <c r="K988" s="3262"/>
      <c r="L988" s="475">
        <f t="shared" si="2260"/>
        <v>0</v>
      </c>
      <c r="M988" s="3262">
        <v>3138.16</v>
      </c>
      <c r="N988" s="475">
        <f t="shared" ref="N988" si="2289">+L988+M988</f>
        <v>3138.16</v>
      </c>
      <c r="O988" s="3262">
        <v>0</v>
      </c>
      <c r="P988" s="304">
        <f t="shared" ref="P988" si="2290">+K988+M988+O988</f>
        <v>3138.16</v>
      </c>
      <c r="Q988" s="2185">
        <f t="shared" ref="Q988" si="2291">+N988+O988</f>
        <v>3138.16</v>
      </c>
      <c r="R988" s="3262"/>
      <c r="S988" s="475">
        <f t="shared" ref="S988" si="2292">+Q988+R988</f>
        <v>3138.16</v>
      </c>
      <c r="T988" s="3262"/>
      <c r="U988" s="475">
        <f t="shared" ref="U988" si="2293">SUM(S988:T988)</f>
        <v>3138.16</v>
      </c>
      <c r="V988" s="3262"/>
      <c r="W988" s="74">
        <f t="shared" ref="W988" si="2294">+R988+T988+V988</f>
        <v>0</v>
      </c>
      <c r="X988" s="78">
        <f t="shared" ref="X988" si="2295">+U988+V988</f>
        <v>3138.16</v>
      </c>
      <c r="Y988" s="3262"/>
      <c r="Z988" s="3115">
        <f t="shared" si="2265"/>
        <v>3138.16</v>
      </c>
      <c r="AA988" s="3262"/>
      <c r="AB988" s="1243">
        <f t="shared" si="2266"/>
        <v>3138.16</v>
      </c>
      <c r="AC988" s="3262"/>
      <c r="AD988" s="713">
        <f t="shared" si="2272"/>
        <v>0</v>
      </c>
      <c r="AE988" s="1409">
        <f t="shared" si="2273"/>
        <v>0</v>
      </c>
      <c r="AF988" s="712">
        <f t="shared" si="2274"/>
        <v>3138.16</v>
      </c>
    </row>
    <row r="989" spans="3:32" ht="35" customHeight="1" x14ac:dyDescent="0.25">
      <c r="C989" s="338"/>
      <c r="D989" s="2437"/>
      <c r="E989" s="426" t="s">
        <v>1561</v>
      </c>
      <c r="F989" s="3262"/>
      <c r="G989" s="3262"/>
      <c r="H989" s="296">
        <f t="shared" si="2258"/>
        <v>0</v>
      </c>
      <c r="I989" s="3262"/>
      <c r="J989" s="304">
        <f t="shared" si="2259"/>
        <v>0</v>
      </c>
      <c r="K989" s="3262"/>
      <c r="L989" s="475">
        <f t="shared" si="2260"/>
        <v>0</v>
      </c>
      <c r="M989" s="3262">
        <v>0</v>
      </c>
      <c r="N989" s="475">
        <f t="shared" si="2260"/>
        <v>0</v>
      </c>
      <c r="O989" s="3262">
        <v>0</v>
      </c>
      <c r="P989" s="304">
        <f t="shared" si="2261"/>
        <v>0</v>
      </c>
      <c r="Q989" s="2185">
        <f t="shared" si="2262"/>
        <v>0</v>
      </c>
      <c r="R989" s="3262"/>
      <c r="S989" s="475">
        <f t="shared" si="2263"/>
        <v>0</v>
      </c>
      <c r="T989" s="3262"/>
      <c r="U989" s="475">
        <f t="shared" si="2264"/>
        <v>0</v>
      </c>
      <c r="V989" s="3262"/>
      <c r="W989" s="74">
        <f t="shared" si="2270"/>
        <v>0</v>
      </c>
      <c r="X989" s="78">
        <f t="shared" si="2271"/>
        <v>0</v>
      </c>
      <c r="Y989" s="3262"/>
      <c r="Z989" s="3115">
        <f t="shared" si="2265"/>
        <v>0</v>
      </c>
      <c r="AA989" s="3262"/>
      <c r="AB989" s="1243">
        <f t="shared" si="2266"/>
        <v>0</v>
      </c>
      <c r="AC989" s="3262"/>
      <c r="AD989" s="713">
        <f t="shared" si="2272"/>
        <v>0</v>
      </c>
      <c r="AE989" s="1409">
        <f t="shared" si="2273"/>
        <v>0</v>
      </c>
      <c r="AF989" s="712">
        <f t="shared" si="2274"/>
        <v>0</v>
      </c>
    </row>
    <row r="990" spans="3:32" ht="35" customHeight="1" x14ac:dyDescent="0.25">
      <c r="C990" s="338"/>
      <c r="D990" s="2437"/>
      <c r="E990" s="426" t="s">
        <v>589</v>
      </c>
      <c r="F990" s="3262"/>
      <c r="G990" s="3262"/>
      <c r="H990" s="296">
        <f t="shared" si="2258"/>
        <v>0</v>
      </c>
      <c r="I990" s="3262"/>
      <c r="J990" s="304">
        <f t="shared" si="2259"/>
        <v>0</v>
      </c>
      <c r="K990" s="3262"/>
      <c r="L990" s="475">
        <f t="shared" ref="L990:L1003" si="2296">+J990+K990</f>
        <v>0</v>
      </c>
      <c r="M990" s="3262">
        <v>0</v>
      </c>
      <c r="N990" s="475">
        <f t="shared" ref="N990:N1004" si="2297">+L990+M990</f>
        <v>0</v>
      </c>
      <c r="O990" s="3262">
        <v>0</v>
      </c>
      <c r="P990" s="304">
        <f t="shared" si="2261"/>
        <v>0</v>
      </c>
      <c r="Q990" s="2185">
        <f t="shared" si="2262"/>
        <v>0</v>
      </c>
      <c r="R990" s="3262"/>
      <c r="S990" s="475">
        <f t="shared" si="2263"/>
        <v>0</v>
      </c>
      <c r="T990" s="3262"/>
      <c r="U990" s="475">
        <f t="shared" si="2264"/>
        <v>0</v>
      </c>
      <c r="V990" s="3262"/>
      <c r="W990" s="74">
        <f t="shared" si="2270"/>
        <v>0</v>
      </c>
      <c r="X990" s="78">
        <f t="shared" si="2271"/>
        <v>0</v>
      </c>
      <c r="Y990" s="3262"/>
      <c r="Z990" s="3115">
        <f t="shared" si="2265"/>
        <v>0</v>
      </c>
      <c r="AA990" s="3262"/>
      <c r="AB990" s="1243">
        <f t="shared" si="2266"/>
        <v>0</v>
      </c>
      <c r="AC990" s="3262"/>
      <c r="AD990" s="713">
        <f t="shared" si="2272"/>
        <v>0</v>
      </c>
      <c r="AE990" s="1409">
        <f t="shared" si="2273"/>
        <v>0</v>
      </c>
      <c r="AF990" s="712">
        <f t="shared" si="2274"/>
        <v>0</v>
      </c>
    </row>
    <row r="991" spans="3:32" ht="35" customHeight="1" x14ac:dyDescent="0.25">
      <c r="C991" s="338"/>
      <c r="D991" s="2437"/>
      <c r="E991" s="184" t="s">
        <v>1557</v>
      </c>
      <c r="F991" s="3262"/>
      <c r="G991" s="3262"/>
      <c r="H991" s="296">
        <f t="shared" si="2258"/>
        <v>0</v>
      </c>
      <c r="I991" s="3262"/>
      <c r="J991" s="304">
        <f t="shared" si="2259"/>
        <v>0</v>
      </c>
      <c r="K991" s="3262"/>
      <c r="L991" s="475">
        <f t="shared" si="2296"/>
        <v>0</v>
      </c>
      <c r="M991" s="3262">
        <v>10759.670000000002</v>
      </c>
      <c r="N991" s="475">
        <f t="shared" si="2297"/>
        <v>10759.670000000002</v>
      </c>
      <c r="O991" s="3262">
        <v>8786.2599999999984</v>
      </c>
      <c r="P991" s="304">
        <f t="shared" si="2261"/>
        <v>19545.93</v>
      </c>
      <c r="Q991" s="2185">
        <f t="shared" si="2262"/>
        <v>19545.93</v>
      </c>
      <c r="R991" s="3262">
        <v>9818.01</v>
      </c>
      <c r="S991" s="475">
        <f t="shared" si="2263"/>
        <v>29363.940000000002</v>
      </c>
      <c r="T991" s="3262">
        <v>4065.2099999999996</v>
      </c>
      <c r="U991" s="475">
        <f t="shared" si="2264"/>
        <v>33429.15</v>
      </c>
      <c r="V991" s="3262">
        <f>1430.95+65.47</f>
        <v>1496.42</v>
      </c>
      <c r="W991" s="74">
        <f t="shared" si="2270"/>
        <v>15379.64</v>
      </c>
      <c r="X991" s="78">
        <f t="shared" si="2271"/>
        <v>34925.57</v>
      </c>
      <c r="Y991" s="3262">
        <v>7353.2319999999982</v>
      </c>
      <c r="Z991" s="3115">
        <f t="shared" si="2265"/>
        <v>42278.801999999996</v>
      </c>
      <c r="AA991" s="3262">
        <v>2204.7199999999998</v>
      </c>
      <c r="AB991" s="1243">
        <f t="shared" si="2266"/>
        <v>44483.521999999997</v>
      </c>
      <c r="AC991" s="3262">
        <v>5279.3490000000002</v>
      </c>
      <c r="AD991" s="713">
        <f t="shared" si="2272"/>
        <v>14837.300999999998</v>
      </c>
      <c r="AE991" s="1409">
        <f t="shared" si="2273"/>
        <v>30216.940999999999</v>
      </c>
      <c r="AF991" s="712">
        <f t="shared" si="2274"/>
        <v>49762.870999999999</v>
      </c>
    </row>
    <row r="992" spans="3:32" ht="35" customHeight="1" x14ac:dyDescent="0.25">
      <c r="C992" s="338"/>
      <c r="D992" s="2437"/>
      <c r="E992" s="184" t="s">
        <v>1579</v>
      </c>
      <c r="F992" s="3262"/>
      <c r="G992" s="3262"/>
      <c r="H992" s="296">
        <f t="shared" si="2258"/>
        <v>0</v>
      </c>
      <c r="I992" s="3262"/>
      <c r="J992" s="304">
        <f t="shared" si="2259"/>
        <v>0</v>
      </c>
      <c r="K992" s="3262"/>
      <c r="L992" s="475">
        <f t="shared" si="2296"/>
        <v>0</v>
      </c>
      <c r="M992" s="3262">
        <v>3520.5000000000009</v>
      </c>
      <c r="N992" s="475">
        <f t="shared" si="2297"/>
        <v>3520.5000000000009</v>
      </c>
      <c r="O992" s="3262">
        <v>1953.5800000000002</v>
      </c>
      <c r="P992" s="304">
        <f t="shared" ref="P992:P994" si="2298">+K992+M992+O992</f>
        <v>5474.0800000000008</v>
      </c>
      <c r="Q992" s="2185">
        <f t="shared" ref="Q992:Q994" si="2299">+N992+O992</f>
        <v>5474.0800000000008</v>
      </c>
      <c r="R992" s="3262">
        <v>5910.5599999999995</v>
      </c>
      <c r="S992" s="475">
        <f t="shared" si="2263"/>
        <v>11384.64</v>
      </c>
      <c r="T992" s="3262">
        <v>1402.8</v>
      </c>
      <c r="U992" s="475">
        <f t="shared" si="2264"/>
        <v>12787.439999999999</v>
      </c>
      <c r="V992" s="3262">
        <f>2711.23+2723.165</f>
        <v>5434.3950000000004</v>
      </c>
      <c r="W992" s="74">
        <f t="shared" ref="W992:W994" si="2300">+R992+T992+V992</f>
        <v>12747.755000000001</v>
      </c>
      <c r="X992" s="78">
        <f t="shared" ref="X992:X994" si="2301">+U992+V992</f>
        <v>18221.834999999999</v>
      </c>
      <c r="Y992" s="3262">
        <v>4867.53</v>
      </c>
      <c r="Z992" s="3115">
        <f t="shared" si="2265"/>
        <v>23089.364999999998</v>
      </c>
      <c r="AA992" s="3262">
        <v>3549.8499999999995</v>
      </c>
      <c r="AB992" s="1243">
        <f t="shared" si="2266"/>
        <v>26639.214999999997</v>
      </c>
      <c r="AC992" s="3262">
        <v>8608.7400000000016</v>
      </c>
      <c r="AD992" s="713">
        <f t="shared" si="2272"/>
        <v>17026.120000000003</v>
      </c>
      <c r="AE992" s="1409">
        <f t="shared" si="2273"/>
        <v>29773.875000000004</v>
      </c>
      <c r="AF992" s="712">
        <f t="shared" si="2274"/>
        <v>35247.955000000002</v>
      </c>
    </row>
    <row r="993" spans="3:77" ht="35" customHeight="1" x14ac:dyDescent="0.25">
      <c r="C993" s="338"/>
      <c r="D993" s="4765"/>
      <c r="E993" s="184" t="s">
        <v>1637</v>
      </c>
      <c r="F993" s="3262"/>
      <c r="G993" s="3262"/>
      <c r="H993" s="296">
        <f t="shared" si="2258"/>
        <v>0</v>
      </c>
      <c r="I993" s="3262"/>
      <c r="J993" s="304">
        <f t="shared" si="2259"/>
        <v>0</v>
      </c>
      <c r="K993" s="3262"/>
      <c r="L993" s="475">
        <f t="shared" si="2296"/>
        <v>0</v>
      </c>
      <c r="M993" s="3262">
        <v>0</v>
      </c>
      <c r="N993" s="475">
        <f t="shared" si="2297"/>
        <v>0</v>
      </c>
      <c r="O993" s="3262">
        <v>0</v>
      </c>
      <c r="P993" s="304">
        <f t="shared" ref="P993" si="2302">+K993+M993+O993</f>
        <v>0</v>
      </c>
      <c r="Q993" s="2185">
        <f t="shared" ref="Q993" si="2303">+N993+O993</f>
        <v>0</v>
      </c>
      <c r="R993" s="3262">
        <v>1266.9000000000001</v>
      </c>
      <c r="S993" s="475">
        <f t="shared" si="2263"/>
        <v>1266.9000000000001</v>
      </c>
      <c r="T993" s="3262"/>
      <c r="U993" s="475">
        <f t="shared" si="2264"/>
        <v>1266.9000000000001</v>
      </c>
      <c r="V993" s="3262"/>
      <c r="W993" s="74">
        <f t="shared" ref="W993" si="2304">+R993+T993+V993</f>
        <v>1266.9000000000001</v>
      </c>
      <c r="X993" s="78">
        <f t="shared" ref="X993" si="2305">+U993+V993</f>
        <v>1266.9000000000001</v>
      </c>
      <c r="Y993" s="3262"/>
      <c r="Z993" s="3115">
        <f t="shared" si="2265"/>
        <v>1266.9000000000001</v>
      </c>
      <c r="AA993" s="3262"/>
      <c r="AB993" s="1243">
        <f t="shared" si="2266"/>
        <v>1266.9000000000001</v>
      </c>
      <c r="AC993" s="3262"/>
      <c r="AD993" s="713">
        <f t="shared" si="2272"/>
        <v>0</v>
      </c>
      <c r="AE993" s="1409">
        <f t="shared" si="2273"/>
        <v>1266.9000000000001</v>
      </c>
      <c r="AF993" s="712">
        <f t="shared" si="2274"/>
        <v>1266.9000000000001</v>
      </c>
    </row>
    <row r="994" spans="3:77" ht="35" customHeight="1" x14ac:dyDescent="0.25">
      <c r="C994" s="338"/>
      <c r="D994" s="2437"/>
      <c r="E994" s="184" t="s">
        <v>1416</v>
      </c>
      <c r="F994" s="3262"/>
      <c r="G994" s="3262"/>
      <c r="H994" s="296">
        <f t="shared" si="2258"/>
        <v>0</v>
      </c>
      <c r="I994" s="3262"/>
      <c r="J994" s="304">
        <f t="shared" si="2259"/>
        <v>0</v>
      </c>
      <c r="K994" s="3262"/>
      <c r="L994" s="475">
        <f t="shared" si="2296"/>
        <v>0</v>
      </c>
      <c r="M994" s="3262">
        <v>0</v>
      </c>
      <c r="N994" s="475">
        <f t="shared" si="2297"/>
        <v>0</v>
      </c>
      <c r="O994" s="3262">
        <v>0</v>
      </c>
      <c r="P994" s="304">
        <f t="shared" si="2298"/>
        <v>0</v>
      </c>
      <c r="Q994" s="2185">
        <f t="shared" si="2299"/>
        <v>0</v>
      </c>
      <c r="R994" s="3262"/>
      <c r="S994" s="475">
        <f t="shared" si="2263"/>
        <v>0</v>
      </c>
      <c r="T994" s="3262"/>
      <c r="U994" s="475">
        <f t="shared" si="2264"/>
        <v>0</v>
      </c>
      <c r="V994" s="3262"/>
      <c r="W994" s="74">
        <f t="shared" si="2300"/>
        <v>0</v>
      </c>
      <c r="X994" s="78">
        <f t="shared" si="2301"/>
        <v>0</v>
      </c>
      <c r="Y994" s="3262"/>
      <c r="Z994" s="3115">
        <f t="shared" si="2265"/>
        <v>0</v>
      </c>
      <c r="AA994" s="3262"/>
      <c r="AB994" s="1243">
        <f t="shared" si="2266"/>
        <v>0</v>
      </c>
      <c r="AC994" s="3262">
        <v>1619.3</v>
      </c>
      <c r="AD994" s="713">
        <f t="shared" si="2272"/>
        <v>1619.3</v>
      </c>
      <c r="AE994" s="1409">
        <f t="shared" si="2273"/>
        <v>1619.3</v>
      </c>
      <c r="AF994" s="712">
        <f t="shared" si="2274"/>
        <v>1619.3</v>
      </c>
    </row>
    <row r="995" spans="3:77" ht="35" customHeight="1" x14ac:dyDescent="0.25">
      <c r="C995" s="338"/>
      <c r="D995" s="2437"/>
      <c r="E995" s="184" t="s">
        <v>1389</v>
      </c>
      <c r="F995" s="3262"/>
      <c r="G995" s="3262"/>
      <c r="H995" s="296">
        <f t="shared" si="2258"/>
        <v>0</v>
      </c>
      <c r="I995" s="3262"/>
      <c r="J995" s="304">
        <f t="shared" si="2259"/>
        <v>0</v>
      </c>
      <c r="K995" s="3262"/>
      <c r="L995" s="475">
        <f t="shared" si="2296"/>
        <v>0</v>
      </c>
      <c r="M995" s="3262">
        <v>0</v>
      </c>
      <c r="N995" s="475">
        <f t="shared" si="2297"/>
        <v>0</v>
      </c>
      <c r="O995" s="3262">
        <v>0</v>
      </c>
      <c r="P995" s="304">
        <f t="shared" si="2261"/>
        <v>0</v>
      </c>
      <c r="Q995" s="2185">
        <f t="shared" si="2262"/>
        <v>0</v>
      </c>
      <c r="R995" s="3262"/>
      <c r="S995" s="475">
        <f t="shared" si="2263"/>
        <v>0</v>
      </c>
      <c r="T995" s="3262"/>
      <c r="U995" s="475">
        <f t="shared" si="2264"/>
        <v>0</v>
      </c>
      <c r="V995" s="3262"/>
      <c r="W995" s="74">
        <f t="shared" si="2270"/>
        <v>0</v>
      </c>
      <c r="X995" s="78">
        <f t="shared" si="2271"/>
        <v>0</v>
      </c>
      <c r="Y995" s="3262"/>
      <c r="Z995" s="3115">
        <f t="shared" si="2265"/>
        <v>0</v>
      </c>
      <c r="AA995" s="3262"/>
      <c r="AB995" s="1243">
        <f t="shared" si="2266"/>
        <v>0</v>
      </c>
      <c r="AC995" s="3262"/>
      <c r="AD995" s="713">
        <f t="shared" si="2272"/>
        <v>0</v>
      </c>
      <c r="AE995" s="1409">
        <f t="shared" si="2273"/>
        <v>0</v>
      </c>
      <c r="AF995" s="712">
        <f t="shared" si="2274"/>
        <v>0</v>
      </c>
    </row>
    <row r="996" spans="3:77" ht="35" customHeight="1" x14ac:dyDescent="0.25">
      <c r="C996" s="338"/>
      <c r="D996" s="2437"/>
      <c r="E996" s="426" t="s">
        <v>1129</v>
      </c>
      <c r="F996" s="3262"/>
      <c r="G996" s="3262"/>
      <c r="H996" s="296">
        <f t="shared" si="2258"/>
        <v>0</v>
      </c>
      <c r="I996" s="3262"/>
      <c r="J996" s="304">
        <f t="shared" si="2259"/>
        <v>0</v>
      </c>
      <c r="K996" s="3262"/>
      <c r="L996" s="475">
        <f t="shared" si="2296"/>
        <v>0</v>
      </c>
      <c r="M996" s="3262">
        <v>0</v>
      </c>
      <c r="N996" s="475">
        <f t="shared" si="2297"/>
        <v>0</v>
      </c>
      <c r="O996" s="3262">
        <v>0</v>
      </c>
      <c r="P996" s="304">
        <f t="shared" si="2261"/>
        <v>0</v>
      </c>
      <c r="Q996" s="2185">
        <f t="shared" si="2262"/>
        <v>0</v>
      </c>
      <c r="R996" s="3262"/>
      <c r="S996" s="475">
        <f t="shared" si="2263"/>
        <v>0</v>
      </c>
      <c r="T996" s="3262"/>
      <c r="U996" s="475">
        <f t="shared" si="2264"/>
        <v>0</v>
      </c>
      <c r="V996" s="3262"/>
      <c r="W996" s="74">
        <f t="shared" si="2270"/>
        <v>0</v>
      </c>
      <c r="X996" s="78">
        <f t="shared" si="2271"/>
        <v>0</v>
      </c>
      <c r="Y996" s="3262"/>
      <c r="Z996" s="3115">
        <f t="shared" si="2265"/>
        <v>0</v>
      </c>
      <c r="AA996" s="3262"/>
      <c r="AB996" s="1243">
        <f t="shared" si="2266"/>
        <v>0</v>
      </c>
      <c r="AC996" s="3262"/>
      <c r="AD996" s="713">
        <f t="shared" si="2272"/>
        <v>0</v>
      </c>
      <c r="AE996" s="1409">
        <f t="shared" si="2273"/>
        <v>0</v>
      </c>
      <c r="AF996" s="712">
        <f t="shared" si="2274"/>
        <v>0</v>
      </c>
    </row>
    <row r="997" spans="3:77" ht="35" customHeight="1" x14ac:dyDescent="0.25">
      <c r="C997" s="338"/>
      <c r="D997" s="2437"/>
      <c r="E997" s="426" t="s">
        <v>439</v>
      </c>
      <c r="F997" s="3262"/>
      <c r="G997" s="3262"/>
      <c r="H997" s="296">
        <f t="shared" si="2258"/>
        <v>0</v>
      </c>
      <c r="I997" s="3262"/>
      <c r="J997" s="304">
        <f t="shared" si="2259"/>
        <v>0</v>
      </c>
      <c r="K997" s="3262"/>
      <c r="L997" s="475">
        <f t="shared" si="2296"/>
        <v>0</v>
      </c>
      <c r="M997" s="3262">
        <v>0</v>
      </c>
      <c r="N997" s="475">
        <f t="shared" si="2297"/>
        <v>0</v>
      </c>
      <c r="O997" s="3262">
        <v>0</v>
      </c>
      <c r="P997" s="304">
        <f t="shared" si="2261"/>
        <v>0</v>
      </c>
      <c r="Q997" s="2185">
        <f t="shared" si="2262"/>
        <v>0</v>
      </c>
      <c r="R997" s="3262"/>
      <c r="S997" s="475">
        <f t="shared" si="2263"/>
        <v>0</v>
      </c>
      <c r="T997" s="3262"/>
      <c r="U997" s="475">
        <f t="shared" si="2264"/>
        <v>0</v>
      </c>
      <c r="V997" s="3262"/>
      <c r="W997" s="74">
        <f t="shared" si="2270"/>
        <v>0</v>
      </c>
      <c r="X997" s="78">
        <f t="shared" si="2271"/>
        <v>0</v>
      </c>
      <c r="Y997" s="3262"/>
      <c r="Z997" s="3115">
        <f t="shared" si="2265"/>
        <v>0</v>
      </c>
      <c r="AA997" s="3262"/>
      <c r="AB997" s="1243">
        <f t="shared" si="2266"/>
        <v>0</v>
      </c>
      <c r="AC997" s="3262"/>
      <c r="AD997" s="713">
        <f t="shared" si="2272"/>
        <v>0</v>
      </c>
      <c r="AE997" s="1409">
        <f t="shared" si="2273"/>
        <v>0</v>
      </c>
      <c r="AF997" s="712">
        <f t="shared" si="2274"/>
        <v>0</v>
      </c>
    </row>
    <row r="998" spans="3:77" ht="35" customHeight="1" x14ac:dyDescent="0.25">
      <c r="C998" s="338"/>
      <c r="D998" s="2437"/>
      <c r="E998" s="426" t="s">
        <v>481</v>
      </c>
      <c r="F998" s="3262"/>
      <c r="G998" s="3262"/>
      <c r="H998" s="296">
        <f t="shared" si="2258"/>
        <v>0</v>
      </c>
      <c r="I998" s="3262"/>
      <c r="J998" s="304">
        <f t="shared" si="2259"/>
        <v>0</v>
      </c>
      <c r="K998" s="3262"/>
      <c r="L998" s="475">
        <f t="shared" si="2296"/>
        <v>0</v>
      </c>
      <c r="M998" s="3262">
        <v>0</v>
      </c>
      <c r="N998" s="475">
        <f t="shared" si="2297"/>
        <v>0</v>
      </c>
      <c r="O998" s="3262">
        <v>1783.8300000000004</v>
      </c>
      <c r="P998" s="304">
        <f t="shared" si="2261"/>
        <v>1783.8300000000004</v>
      </c>
      <c r="Q998" s="2185">
        <f t="shared" si="2262"/>
        <v>1783.8300000000004</v>
      </c>
      <c r="R998" s="3262">
        <v>3446.1599999999994</v>
      </c>
      <c r="S998" s="475">
        <f t="shared" si="2263"/>
        <v>5229.99</v>
      </c>
      <c r="T998" s="3262">
        <v>3071.94</v>
      </c>
      <c r="U998" s="475">
        <f t="shared" si="2264"/>
        <v>8301.93</v>
      </c>
      <c r="V998" s="3262">
        <f>691.28+3015.435</f>
        <v>3706.7150000000001</v>
      </c>
      <c r="W998" s="74">
        <f t="shared" si="2270"/>
        <v>10224.814999999999</v>
      </c>
      <c r="X998" s="78">
        <f t="shared" si="2271"/>
        <v>12008.645</v>
      </c>
      <c r="Y998" s="3262">
        <v>5768.6429999999991</v>
      </c>
      <c r="Z998" s="3115">
        <f t="shared" si="2265"/>
        <v>17777.288</v>
      </c>
      <c r="AA998" s="3262">
        <v>628.44000000000005</v>
      </c>
      <c r="AB998" s="1243">
        <f t="shared" si="2266"/>
        <v>18405.727999999999</v>
      </c>
      <c r="AC998" s="3262"/>
      <c r="AD998" s="713">
        <f t="shared" si="2272"/>
        <v>6397.0829999999987</v>
      </c>
      <c r="AE998" s="1409">
        <f t="shared" si="2273"/>
        <v>16621.897999999997</v>
      </c>
      <c r="AF998" s="712">
        <f t="shared" si="2274"/>
        <v>18405.727999999999</v>
      </c>
    </row>
    <row r="999" spans="3:77" ht="35" customHeight="1" x14ac:dyDescent="0.25">
      <c r="C999" s="338"/>
      <c r="D999" s="4960"/>
      <c r="E999" s="426" t="s">
        <v>1729</v>
      </c>
      <c r="F999" s="3262"/>
      <c r="G999" s="3262"/>
      <c r="H999" s="296">
        <f t="shared" si="2258"/>
        <v>0</v>
      </c>
      <c r="I999" s="3262"/>
      <c r="J999" s="304">
        <f t="shared" si="2259"/>
        <v>0</v>
      </c>
      <c r="K999" s="3262"/>
      <c r="L999" s="475">
        <f t="shared" si="2296"/>
        <v>0</v>
      </c>
      <c r="M999" s="3262"/>
      <c r="N999" s="475"/>
      <c r="O999" s="3262"/>
      <c r="P999" s="304">
        <f t="shared" ref="P999" si="2306">+K999+M999+O999</f>
        <v>0</v>
      </c>
      <c r="Q999" s="2185">
        <f t="shared" ref="Q999" si="2307">+N999+O999</f>
        <v>0</v>
      </c>
      <c r="R999" s="3262">
        <v>269.47999999999996</v>
      </c>
      <c r="S999" s="475">
        <f t="shared" si="2263"/>
        <v>269.47999999999996</v>
      </c>
      <c r="T999" s="3262"/>
      <c r="U999" s="475">
        <f t="shared" si="2264"/>
        <v>269.47999999999996</v>
      </c>
      <c r="V999" s="3262"/>
      <c r="W999" s="74">
        <f t="shared" ref="W999" si="2308">+R999+T999+V999</f>
        <v>269.47999999999996</v>
      </c>
      <c r="X999" s="78">
        <f t="shared" ref="X999" si="2309">+U999+V999</f>
        <v>269.47999999999996</v>
      </c>
      <c r="Y999" s="3262"/>
      <c r="Z999" s="3115">
        <f t="shared" si="2265"/>
        <v>269.47999999999996</v>
      </c>
      <c r="AA999" s="3262"/>
      <c r="AB999" s="1243">
        <f t="shared" si="2266"/>
        <v>269.47999999999996</v>
      </c>
      <c r="AC999" s="3262"/>
      <c r="AD999" s="713">
        <f t="shared" si="2272"/>
        <v>0</v>
      </c>
      <c r="AE999" s="1409">
        <f t="shared" si="2273"/>
        <v>269.47999999999996</v>
      </c>
      <c r="AF999" s="712">
        <f t="shared" si="2274"/>
        <v>269.47999999999996</v>
      </c>
    </row>
    <row r="1000" spans="3:77" ht="35" customHeight="1" x14ac:dyDescent="0.25">
      <c r="C1000" s="338"/>
      <c r="D1000" s="2437"/>
      <c r="E1000" s="426" t="s">
        <v>1578</v>
      </c>
      <c r="F1000" s="3262"/>
      <c r="G1000" s="3262"/>
      <c r="H1000" s="296">
        <f t="shared" si="2258"/>
        <v>0</v>
      </c>
      <c r="I1000" s="3262"/>
      <c r="J1000" s="304">
        <f t="shared" si="2259"/>
        <v>0</v>
      </c>
      <c r="K1000" s="3262"/>
      <c r="L1000" s="475">
        <f t="shared" si="2296"/>
        <v>0</v>
      </c>
      <c r="M1000" s="3262">
        <v>0</v>
      </c>
      <c r="N1000" s="475">
        <f t="shared" si="2297"/>
        <v>0</v>
      </c>
      <c r="O1000" s="3262">
        <v>0</v>
      </c>
      <c r="P1000" s="304">
        <f t="shared" ref="P1000" si="2310">+K1000+M1000+O1000</f>
        <v>0</v>
      </c>
      <c r="Q1000" s="2185">
        <f t="shared" ref="Q1000" si="2311">+N1000+O1000</f>
        <v>0</v>
      </c>
      <c r="R1000" s="3262">
        <v>5398.5400000000018</v>
      </c>
      <c r="S1000" s="475">
        <f t="shared" si="2263"/>
        <v>5398.5400000000018</v>
      </c>
      <c r="T1000" s="3262"/>
      <c r="U1000" s="475">
        <f t="shared" si="2264"/>
        <v>5398.5400000000018</v>
      </c>
      <c r="V1000" s="3262">
        <v>6758.0010000000002</v>
      </c>
      <c r="W1000" s="74">
        <f t="shared" ref="W1000" si="2312">+R1000+T1000+V1000</f>
        <v>12156.541000000001</v>
      </c>
      <c r="X1000" s="78">
        <f t="shared" ref="X1000" si="2313">+U1000+V1000</f>
        <v>12156.541000000001</v>
      </c>
      <c r="Y1000" s="3262">
        <v>2059.7900000000004</v>
      </c>
      <c r="Z1000" s="3115">
        <f t="shared" si="2265"/>
        <v>14216.331000000002</v>
      </c>
      <c r="AA1000" s="3262">
        <v>5905.6400000000012</v>
      </c>
      <c r="AB1000" s="1243">
        <f t="shared" si="2266"/>
        <v>20121.971000000005</v>
      </c>
      <c r="AC1000" s="3262"/>
      <c r="AD1000" s="713">
        <f t="shared" si="2272"/>
        <v>7965.4300000000021</v>
      </c>
      <c r="AE1000" s="1409">
        <f t="shared" si="2273"/>
        <v>20121.971000000005</v>
      </c>
      <c r="AF1000" s="712">
        <f t="shared" si="2274"/>
        <v>20121.971000000005</v>
      </c>
    </row>
    <row r="1001" spans="3:77" ht="35" customHeight="1" x14ac:dyDescent="0.25">
      <c r="C1001" s="338"/>
      <c r="D1001" s="2437"/>
      <c r="E1001" s="426" t="s">
        <v>440</v>
      </c>
      <c r="F1001" s="3262"/>
      <c r="G1001" s="3262"/>
      <c r="H1001" s="296">
        <f t="shared" si="2258"/>
        <v>0</v>
      </c>
      <c r="I1001" s="3262"/>
      <c r="J1001" s="304">
        <f t="shared" si="2259"/>
        <v>0</v>
      </c>
      <c r="K1001" s="3262"/>
      <c r="L1001" s="475">
        <f t="shared" si="2296"/>
        <v>0</v>
      </c>
      <c r="M1001" s="3262">
        <v>0</v>
      </c>
      <c r="N1001" s="475">
        <f t="shared" si="2297"/>
        <v>0</v>
      </c>
      <c r="O1001" s="3262">
        <v>0</v>
      </c>
      <c r="P1001" s="304">
        <f t="shared" si="2261"/>
        <v>0</v>
      </c>
      <c r="Q1001" s="2185">
        <f t="shared" si="2262"/>
        <v>0</v>
      </c>
      <c r="R1001" s="3262"/>
      <c r="S1001" s="475">
        <f t="shared" si="2263"/>
        <v>0</v>
      </c>
      <c r="T1001" s="3262"/>
      <c r="U1001" s="475">
        <f t="shared" si="2264"/>
        <v>0</v>
      </c>
      <c r="V1001" s="3262"/>
      <c r="W1001" s="74">
        <f t="shared" si="2270"/>
        <v>0</v>
      </c>
      <c r="X1001" s="78">
        <f t="shared" si="2271"/>
        <v>0</v>
      </c>
      <c r="Y1001" s="3262"/>
      <c r="Z1001" s="3115">
        <f t="shared" si="2265"/>
        <v>0</v>
      </c>
      <c r="AA1001" s="3262"/>
      <c r="AB1001" s="1243">
        <f t="shared" si="2266"/>
        <v>0</v>
      </c>
      <c r="AC1001" s="3262"/>
      <c r="AD1001" s="713">
        <f t="shared" si="2272"/>
        <v>0</v>
      </c>
      <c r="AE1001" s="1409">
        <f t="shared" si="2273"/>
        <v>0</v>
      </c>
      <c r="AF1001" s="712">
        <f t="shared" si="2274"/>
        <v>0</v>
      </c>
    </row>
    <row r="1002" spans="3:77" ht="35" customHeight="1" x14ac:dyDescent="0.25">
      <c r="C1002" s="338"/>
      <c r="D1002" s="2437"/>
      <c r="E1002" s="426" t="s">
        <v>480</v>
      </c>
      <c r="F1002" s="3262"/>
      <c r="G1002" s="3262"/>
      <c r="H1002" s="296">
        <f t="shared" si="2258"/>
        <v>0</v>
      </c>
      <c r="I1002" s="3262"/>
      <c r="J1002" s="304">
        <f t="shared" si="2259"/>
        <v>0</v>
      </c>
      <c r="K1002" s="3262"/>
      <c r="L1002" s="475">
        <f t="shared" si="2296"/>
        <v>0</v>
      </c>
      <c r="M1002" s="3262">
        <v>0</v>
      </c>
      <c r="N1002" s="475">
        <f t="shared" si="2297"/>
        <v>0</v>
      </c>
      <c r="O1002" s="3262">
        <v>0</v>
      </c>
      <c r="P1002" s="304">
        <f t="shared" si="2261"/>
        <v>0</v>
      </c>
      <c r="Q1002" s="2185">
        <f t="shared" si="2262"/>
        <v>0</v>
      </c>
      <c r="R1002" s="3262"/>
      <c r="S1002" s="475">
        <f t="shared" si="2263"/>
        <v>0</v>
      </c>
      <c r="T1002" s="3262"/>
      <c r="U1002" s="475">
        <f t="shared" si="2264"/>
        <v>0</v>
      </c>
      <c r="V1002" s="3262"/>
      <c r="W1002" s="74">
        <f t="shared" si="2270"/>
        <v>0</v>
      </c>
      <c r="X1002" s="78">
        <f t="shared" si="2271"/>
        <v>0</v>
      </c>
      <c r="Y1002" s="3262"/>
      <c r="Z1002" s="3115">
        <f t="shared" si="2265"/>
        <v>0</v>
      </c>
      <c r="AA1002" s="3262"/>
      <c r="AB1002" s="1243">
        <f t="shared" si="2266"/>
        <v>0</v>
      </c>
      <c r="AC1002" s="3262"/>
      <c r="AD1002" s="713">
        <f t="shared" si="2272"/>
        <v>0</v>
      </c>
      <c r="AE1002" s="1409">
        <f t="shared" si="2273"/>
        <v>0</v>
      </c>
      <c r="AF1002" s="712">
        <f t="shared" si="2274"/>
        <v>0</v>
      </c>
    </row>
    <row r="1003" spans="3:77" ht="35" customHeight="1" x14ac:dyDescent="0.25">
      <c r="C1003" s="338"/>
      <c r="D1003" s="2437"/>
      <c r="E1003" s="549" t="s">
        <v>475</v>
      </c>
      <c r="F1003" s="3262"/>
      <c r="G1003" s="3262"/>
      <c r="H1003" s="296">
        <f t="shared" si="2258"/>
        <v>0</v>
      </c>
      <c r="I1003" s="3262"/>
      <c r="J1003" s="304">
        <f t="shared" si="2259"/>
        <v>0</v>
      </c>
      <c r="K1003" s="3262"/>
      <c r="L1003" s="475">
        <f t="shared" si="2296"/>
        <v>0</v>
      </c>
      <c r="M1003" s="3262">
        <v>0</v>
      </c>
      <c r="N1003" s="475">
        <f t="shared" si="2297"/>
        <v>0</v>
      </c>
      <c r="O1003" s="3262">
        <v>0</v>
      </c>
      <c r="P1003" s="304">
        <f t="shared" si="2261"/>
        <v>0</v>
      </c>
      <c r="Q1003" s="2185">
        <f t="shared" si="2262"/>
        <v>0</v>
      </c>
      <c r="R1003" s="3262"/>
      <c r="S1003" s="475">
        <f t="shared" si="2263"/>
        <v>0</v>
      </c>
      <c r="T1003" s="3262"/>
      <c r="U1003" s="475">
        <f t="shared" si="2264"/>
        <v>0</v>
      </c>
      <c r="V1003" s="3262"/>
      <c r="W1003" s="74">
        <f t="shared" si="2270"/>
        <v>0</v>
      </c>
      <c r="X1003" s="78">
        <f t="shared" si="2271"/>
        <v>0</v>
      </c>
      <c r="Y1003" s="3262"/>
      <c r="Z1003" s="3115">
        <f t="shared" si="2265"/>
        <v>0</v>
      </c>
      <c r="AA1003" s="3262"/>
      <c r="AB1003" s="1243">
        <f t="shared" si="2266"/>
        <v>0</v>
      </c>
      <c r="AC1003" s="3262"/>
      <c r="AD1003" s="713">
        <f t="shared" si="2272"/>
        <v>0</v>
      </c>
      <c r="AE1003" s="1409">
        <f t="shared" si="2273"/>
        <v>0</v>
      </c>
      <c r="AF1003" s="712">
        <f t="shared" si="2274"/>
        <v>0</v>
      </c>
    </row>
    <row r="1004" spans="3:77" ht="35" customHeight="1" thickBot="1" x14ac:dyDescent="0.3">
      <c r="C1004" s="338"/>
      <c r="D1004" s="2437"/>
      <c r="E1004" s="297" t="s">
        <v>1227</v>
      </c>
      <c r="F1004" s="3643">
        <f>+F69</f>
        <v>0</v>
      </c>
      <c r="G1004" s="3643">
        <f>+G69</f>
        <v>0</v>
      </c>
      <c r="H1004" s="296">
        <f t="shared" ref="H1004" si="2314">SUM(F1004:G1004)</f>
        <v>0</v>
      </c>
      <c r="I1004" s="3643">
        <f>+I69</f>
        <v>0</v>
      </c>
      <c r="J1004" s="304">
        <f t="shared" ref="J1004" si="2315">+H1004+I1004</f>
        <v>0</v>
      </c>
      <c r="K1004" s="3643">
        <f>+K69</f>
        <v>0</v>
      </c>
      <c r="L1004" s="475">
        <f t="shared" ref="L1004" si="2316">+J1004+K1004</f>
        <v>0</v>
      </c>
      <c r="M1004" s="3643">
        <f>+M69</f>
        <v>0</v>
      </c>
      <c r="N1004" s="475">
        <f t="shared" si="2297"/>
        <v>0</v>
      </c>
      <c r="O1004" s="3643">
        <f>+O69</f>
        <v>0</v>
      </c>
      <c r="P1004" s="304">
        <f t="shared" si="2261"/>
        <v>0</v>
      </c>
      <c r="Q1004" s="2185">
        <f t="shared" si="2262"/>
        <v>0</v>
      </c>
      <c r="R1004" s="3643">
        <f>+R69</f>
        <v>0</v>
      </c>
      <c r="S1004" s="475">
        <f>+Q1004+R1004</f>
        <v>0</v>
      </c>
      <c r="T1004" s="3643">
        <f>+T69</f>
        <v>0</v>
      </c>
      <c r="U1004" s="475">
        <f t="shared" si="2264"/>
        <v>0</v>
      </c>
      <c r="V1004" s="3643">
        <f>+V69</f>
        <v>0</v>
      </c>
      <c r="W1004" s="74">
        <f t="shared" si="2270"/>
        <v>0</v>
      </c>
      <c r="X1004" s="78">
        <f t="shared" si="2271"/>
        <v>0</v>
      </c>
      <c r="Y1004" s="3643">
        <f>+Y69</f>
        <v>0</v>
      </c>
      <c r="Z1004" s="3115">
        <f t="shared" si="2265"/>
        <v>0</v>
      </c>
      <c r="AA1004" s="3643">
        <f>+AA69</f>
        <v>0</v>
      </c>
      <c r="AB1004" s="1243">
        <f t="shared" si="2266"/>
        <v>0</v>
      </c>
      <c r="AC1004" s="3643">
        <f>+AC69</f>
        <v>0</v>
      </c>
      <c r="AD1004" s="713">
        <f t="shared" si="2272"/>
        <v>0</v>
      </c>
      <c r="AE1004" s="1409">
        <f t="shared" si="2273"/>
        <v>0</v>
      </c>
      <c r="AF1004" s="712">
        <f t="shared" si="2274"/>
        <v>0</v>
      </c>
    </row>
    <row r="1005" spans="3:77" ht="35" customHeight="1" thickBot="1" x14ac:dyDescent="0.35">
      <c r="C1005" s="338"/>
      <c r="D1005" s="437"/>
      <c r="E1005" s="429" t="s">
        <v>15</v>
      </c>
      <c r="F1005" s="1819">
        <f t="shared" ref="F1005:G1005" si="2317">SUM(F967:F1004)</f>
        <v>0</v>
      </c>
      <c r="G1005" s="1819">
        <f t="shared" si="2317"/>
        <v>0</v>
      </c>
      <c r="H1005" s="482">
        <f t="shared" ref="H1005:AB1005" si="2318">SUM(H967:H1004)</f>
        <v>0</v>
      </c>
      <c r="I1005" s="1819">
        <f t="shared" si="2318"/>
        <v>0</v>
      </c>
      <c r="J1005" s="580">
        <f t="shared" si="2318"/>
        <v>0</v>
      </c>
      <c r="K1005" s="1819">
        <f t="shared" si="2318"/>
        <v>0</v>
      </c>
      <c r="L1005" s="482">
        <f t="shared" si="2318"/>
        <v>0</v>
      </c>
      <c r="M1005" s="1819">
        <f t="shared" ref="M1005:O1005" si="2319">SUM(M967:M1004)</f>
        <v>62938.540000000008</v>
      </c>
      <c r="N1005" s="482">
        <f t="shared" si="2318"/>
        <v>62938.540000000008</v>
      </c>
      <c r="O1005" s="1819">
        <f t="shared" si="2319"/>
        <v>32427.489999999991</v>
      </c>
      <c r="P1005" s="580">
        <f t="shared" si="2318"/>
        <v>95366.03</v>
      </c>
      <c r="Q1005" s="2146">
        <f t="shared" si="2318"/>
        <v>95366.03</v>
      </c>
      <c r="R1005" s="1819">
        <f t="shared" si="2318"/>
        <v>55239.25</v>
      </c>
      <c r="S1005" s="482">
        <f t="shared" si="2318"/>
        <v>150605.28</v>
      </c>
      <c r="T1005" s="1819">
        <f t="shared" si="2318"/>
        <v>51337.01</v>
      </c>
      <c r="U1005" s="482">
        <f t="shared" si="2318"/>
        <v>201942.28999999998</v>
      </c>
      <c r="V1005" s="1819">
        <f t="shared" ref="V1005" si="2320">SUM(V967:V1004)</f>
        <v>54331.525999999998</v>
      </c>
      <c r="W1005" s="580">
        <f t="shared" si="2318"/>
        <v>160907.78599999999</v>
      </c>
      <c r="X1005" s="482">
        <f t="shared" si="2318"/>
        <v>256273.81599999999</v>
      </c>
      <c r="Y1005" s="1819">
        <f t="shared" si="2318"/>
        <v>52956.632999999987</v>
      </c>
      <c r="Z1005" s="482">
        <f t="shared" si="2318"/>
        <v>309230.44899999996</v>
      </c>
      <c r="AA1005" s="1819">
        <f t="shared" ref="AA1005" si="2321">SUM(AA967:AA1004)</f>
        <v>58637.492999999988</v>
      </c>
      <c r="AB1005" s="482">
        <f t="shared" si="2318"/>
        <v>367867.94199999992</v>
      </c>
      <c r="AC1005" s="1819">
        <f t="shared" ref="AC1005" si="2322">SUM(AC967:AC1004)</f>
        <v>54119.818000000014</v>
      </c>
      <c r="AD1005" s="678">
        <f>SUM(AD967:AD1004)</f>
        <v>165713.94399999996</v>
      </c>
      <c r="AE1005" s="774">
        <f>SUM(AE967:AE1004)</f>
        <v>326621.73</v>
      </c>
      <c r="AF1005" s="679">
        <f>SUM(AF967:AF1004)</f>
        <v>421987.75999999989</v>
      </c>
      <c r="BY1005" s="4598"/>
    </row>
    <row r="1006" spans="3:77" ht="35" customHeight="1" x14ac:dyDescent="0.25">
      <c r="C1006" s="338"/>
      <c r="D1006" s="2441">
        <v>38.03</v>
      </c>
      <c r="E1006" s="419" t="s">
        <v>185</v>
      </c>
      <c r="F1006" s="3645">
        <f>+F6</f>
        <v>30</v>
      </c>
      <c r="G1006" s="3645">
        <f>+G6</f>
        <v>31</v>
      </c>
      <c r="H1006" s="3644">
        <f>SUM(F1006:G1006)</f>
        <v>61</v>
      </c>
      <c r="I1006" s="3645">
        <f>+I6</f>
        <v>30</v>
      </c>
      <c r="J1006" s="3645">
        <f>SUM(H1006:I1006)</f>
        <v>91</v>
      </c>
      <c r="K1006" s="3645">
        <f>+K6</f>
        <v>31</v>
      </c>
      <c r="L1006" s="3645">
        <f>SUM(J1006:K1006)</f>
        <v>122</v>
      </c>
      <c r="M1006" s="3645">
        <v>31</v>
      </c>
      <c r="N1006" s="3645">
        <f>SUM(L1006:M1006)</f>
        <v>153</v>
      </c>
      <c r="O1006" s="3645">
        <v>30</v>
      </c>
      <c r="P1006" s="3645">
        <f>+K1006+M1006+O1006</f>
        <v>92</v>
      </c>
      <c r="Q1006" s="3646">
        <f>+N1006+O1006</f>
        <v>183</v>
      </c>
      <c r="R1006" s="3645">
        <v>31</v>
      </c>
      <c r="S1006" s="3645">
        <f>+Q1006+R1006</f>
        <v>214</v>
      </c>
      <c r="T1006" s="3645">
        <v>30</v>
      </c>
      <c r="U1006" s="3645">
        <f>SUM(S1006:T1006)</f>
        <v>244</v>
      </c>
      <c r="V1006" s="3645">
        <v>31</v>
      </c>
      <c r="W1006" s="3647">
        <f>+R1006+T1006+V1006</f>
        <v>92</v>
      </c>
      <c r="X1006" s="3647">
        <f>+U1006+V1006</f>
        <v>275</v>
      </c>
      <c r="Y1006" s="3645">
        <v>31</v>
      </c>
      <c r="Z1006" s="3645">
        <f>SUM(X1006:Y1006)</f>
        <v>306</v>
      </c>
      <c r="AA1006" s="3645">
        <v>29</v>
      </c>
      <c r="AB1006" s="3647">
        <f>SUM(Z1006:AA1006)</f>
        <v>335</v>
      </c>
      <c r="AC1006" s="3645">
        <v>31</v>
      </c>
      <c r="AD1006" s="3647">
        <f>+Y1006+AA1006+AC1006</f>
        <v>91</v>
      </c>
      <c r="AE1006" s="3647">
        <f>+AD1006+W1006</f>
        <v>183</v>
      </c>
      <c r="AF1006" s="3644">
        <f>+AB1006+AC1006</f>
        <v>366</v>
      </c>
    </row>
    <row r="1007" spans="3:77" ht="35" customHeight="1" x14ac:dyDescent="0.25">
      <c r="C1007" s="338"/>
      <c r="D1007" s="2437"/>
      <c r="E1007" s="420" t="s">
        <v>295</v>
      </c>
      <c r="F1007" s="564">
        <f>+F1006*24</f>
        <v>720</v>
      </c>
      <c r="G1007" s="564">
        <f>+G1006*24</f>
        <v>744</v>
      </c>
      <c r="H1007" s="476">
        <f>+F1007+G1007</f>
        <v>1464</v>
      </c>
      <c r="I1007" s="564">
        <f>+I1006*24</f>
        <v>720</v>
      </c>
      <c r="J1007" s="1933">
        <f>+H1007+I1007</f>
        <v>2184</v>
      </c>
      <c r="K1007" s="564">
        <f>+K1006*24</f>
        <v>744</v>
      </c>
      <c r="L1007" s="476">
        <f>SUM(J1007:K1007)</f>
        <v>2928</v>
      </c>
      <c r="M1007" s="564">
        <f>+M1006*24</f>
        <v>744</v>
      </c>
      <c r="N1007" s="476">
        <f>SUM(L1007:M1007)</f>
        <v>3672</v>
      </c>
      <c r="O1007" s="564">
        <f>+O1006*24</f>
        <v>720</v>
      </c>
      <c r="P1007" s="558">
        <f>+K1007+M1007+O1007</f>
        <v>2208</v>
      </c>
      <c r="Q1007" s="2144">
        <f>+J1007+P1007</f>
        <v>4392</v>
      </c>
      <c r="R1007" s="564">
        <f>+R1006*24</f>
        <v>744</v>
      </c>
      <c r="S1007" s="476">
        <f>SUM(Q1007:R1007)</f>
        <v>5136</v>
      </c>
      <c r="T1007" s="564">
        <f>+T1006*24</f>
        <v>720</v>
      </c>
      <c r="U1007" s="476">
        <f>SUM(S1007:T1007)</f>
        <v>5856</v>
      </c>
      <c r="V1007" s="564">
        <f>+V1006*24</f>
        <v>744</v>
      </c>
      <c r="W1007" s="74">
        <f t="shared" ref="W1007:W1011" si="2323">+R1007+T1007+V1007</f>
        <v>2208</v>
      </c>
      <c r="X1007" s="78">
        <f t="shared" ref="X1007:X1011" si="2324">+U1007+V1007</f>
        <v>6600</v>
      </c>
      <c r="Y1007" s="564">
        <f>+Y1006*24</f>
        <v>744</v>
      </c>
      <c r="Z1007" s="476">
        <f>SUM(X1007:Y1007)</f>
        <v>7344</v>
      </c>
      <c r="AA1007" s="564">
        <f>+AA1006*24</f>
        <v>696</v>
      </c>
      <c r="AB1007" s="2280">
        <f>SUM(Z1007:AA1007)</f>
        <v>8040</v>
      </c>
      <c r="AC1007" s="564">
        <f>+AC1006*24</f>
        <v>744</v>
      </c>
      <c r="AD1007" s="74">
        <f t="shared" ref="AD1007" si="2325">+Y1007+AA1007+AC1007</f>
        <v>2184</v>
      </c>
      <c r="AE1007" s="1409">
        <f t="shared" ref="AE1007:AE1011" si="2326">+W1007+AD1007</f>
        <v>4392</v>
      </c>
      <c r="AF1007" s="712">
        <f t="shared" ref="AF1007:AF1013" si="2327">+AB1007+AC1007</f>
        <v>8784</v>
      </c>
    </row>
    <row r="1008" spans="3:77" ht="35" customHeight="1" x14ac:dyDescent="0.25">
      <c r="C1008" s="338"/>
      <c r="D1008" s="2437"/>
      <c r="E1008" s="484" t="s">
        <v>1102</v>
      </c>
      <c r="F1008" s="1485">
        <f t="shared" ref="F1008:G1008" si="2328">+F1009/F1007*100</f>
        <v>33.43055555555555</v>
      </c>
      <c r="G1008" s="1485">
        <f t="shared" si="2328"/>
        <v>78.884408602150529</v>
      </c>
      <c r="H1008" s="1518">
        <f t="shared" ref="H1008:L1008" si="2329">+H1009/H1007*100</f>
        <v>56.530054644808736</v>
      </c>
      <c r="I1008" s="1485">
        <f t="shared" si="2329"/>
        <v>71.162037037037038</v>
      </c>
      <c r="J1008" s="422">
        <f t="shared" si="2329"/>
        <v>61.353785103785107</v>
      </c>
      <c r="K1008" s="1485">
        <f t="shared" si="2329"/>
        <v>0</v>
      </c>
      <c r="L1008" s="1518">
        <f t="shared" si="2329"/>
        <v>45.763888888888886</v>
      </c>
      <c r="M1008" s="1485">
        <f t="shared" ref="M1008:O1008" si="2330">+M1009/M1007*100</f>
        <v>83.897849462365599</v>
      </c>
      <c r="N1008" s="1518">
        <f t="shared" ref="N1008:W1008" si="2331">+N1009/N1007*100</f>
        <v>53.490377632534504</v>
      </c>
      <c r="O1008" s="1485">
        <f t="shared" si="2330"/>
        <v>51.633333333333333</v>
      </c>
      <c r="P1008" s="422">
        <f t="shared" si="2331"/>
        <v>45.106884057971016</v>
      </c>
      <c r="Q1008" s="2141">
        <f t="shared" si="2331"/>
        <v>53.185944140862176</v>
      </c>
      <c r="R1008" s="1485">
        <f t="shared" si="2331"/>
        <v>84.966397849462368</v>
      </c>
      <c r="S1008" s="1518">
        <f t="shared" si="2331"/>
        <v>57.789654724818284</v>
      </c>
      <c r="T1008" s="1485">
        <f t="shared" si="2331"/>
        <v>81.520833333333343</v>
      </c>
      <c r="U1008" s="1518">
        <f t="shared" ref="U1008:V1008" si="2332">+U1009/U1007*100</f>
        <v>60.707422586520941</v>
      </c>
      <c r="V1008" s="1485">
        <f t="shared" si="2332"/>
        <v>84.79435483870968</v>
      </c>
      <c r="W1008" s="422">
        <f t="shared" si="2331"/>
        <v>83.784873188405783</v>
      </c>
      <c r="X1008" s="1518">
        <f t="shared" ref="X1008:AF1008" si="2333">+X1009/X1007*100</f>
        <v>63.422676767676769</v>
      </c>
      <c r="Y1008" s="1485">
        <f t="shared" si="2333"/>
        <v>76.655913978494624</v>
      </c>
      <c r="Z1008" s="1518">
        <f t="shared" si="2333"/>
        <v>64.763298838053728</v>
      </c>
      <c r="AA1008" s="1485">
        <f t="shared" ref="AA1008" si="2334">+AA1009/AA1007*100</f>
        <v>85.129310344827587</v>
      </c>
      <c r="AB1008" s="1518">
        <f t="shared" si="2333"/>
        <v>66.526326699834158</v>
      </c>
      <c r="AC1008" s="1485">
        <f t="shared" ref="AC1008" si="2335">+AC1009/AC1007*100</f>
        <v>74.233870967741936</v>
      </c>
      <c r="AD1008" s="422">
        <f t="shared" si="2333"/>
        <v>78.531135531135533</v>
      </c>
      <c r="AE1008" s="1371">
        <f t="shared" si="2333"/>
        <v>81.172358834244079</v>
      </c>
      <c r="AF1008" s="2547">
        <f t="shared" si="2333"/>
        <v>67.179151487553128</v>
      </c>
    </row>
    <row r="1009" spans="1:32" ht="35" customHeight="1" x14ac:dyDescent="0.25">
      <c r="C1009" s="338"/>
      <c r="D1009" s="2437"/>
      <c r="E1009" s="493" t="s">
        <v>334</v>
      </c>
      <c r="F1009" s="3319">
        <v>240.7</v>
      </c>
      <c r="G1009" s="3319">
        <v>586.9</v>
      </c>
      <c r="H1009" s="501">
        <f>SUM(F1009:G1009)</f>
        <v>827.59999999999991</v>
      </c>
      <c r="I1009" s="3319">
        <v>512.36666666666667</v>
      </c>
      <c r="J1009" s="558">
        <f>SUM(H1009:I1009)</f>
        <v>1339.9666666666667</v>
      </c>
      <c r="K1009" s="3319"/>
      <c r="L1009" s="501">
        <f>SUM(J1009:K1009)</f>
        <v>1339.9666666666667</v>
      </c>
      <c r="M1009" s="3319">
        <v>624.20000000000005</v>
      </c>
      <c r="N1009" s="501">
        <f>SUM(L1009:M1009)</f>
        <v>1964.1666666666667</v>
      </c>
      <c r="O1009" s="3319">
        <v>371.76</v>
      </c>
      <c r="P1009" s="558">
        <f>+K1009+M1009+O1009</f>
        <v>995.96</v>
      </c>
      <c r="Q1009" s="2144">
        <f>+J1009+P1009</f>
        <v>2335.9266666666667</v>
      </c>
      <c r="R1009" s="3319">
        <v>632.15</v>
      </c>
      <c r="S1009" s="501">
        <f>SUM(Q1009:R1009)</f>
        <v>2968.0766666666668</v>
      </c>
      <c r="T1009" s="3319">
        <v>586.95000000000005</v>
      </c>
      <c r="U1009" s="501">
        <f>SUM(S1009:T1009)</f>
        <v>3555.0266666666666</v>
      </c>
      <c r="V1009" s="3319">
        <v>630.87</v>
      </c>
      <c r="W1009" s="74">
        <f t="shared" si="2323"/>
        <v>1849.9699999999998</v>
      </c>
      <c r="X1009" s="78">
        <f t="shared" si="2324"/>
        <v>4185.8966666666665</v>
      </c>
      <c r="Y1009" s="3319">
        <v>570.32000000000005</v>
      </c>
      <c r="Z1009" s="501">
        <f>+X1009+Y1009</f>
        <v>4756.2166666666662</v>
      </c>
      <c r="AA1009" s="3319">
        <v>592.5</v>
      </c>
      <c r="AB1009" s="2280">
        <f>SUM(Z1009:AA1009)</f>
        <v>5348.7166666666662</v>
      </c>
      <c r="AC1009" s="3319">
        <v>552.29999999999995</v>
      </c>
      <c r="AD1009" s="74">
        <f t="shared" ref="AD1009" si="2336">+Y1009+AA1009+AC1009</f>
        <v>1715.1200000000001</v>
      </c>
      <c r="AE1009" s="1409">
        <f t="shared" si="2326"/>
        <v>3565.09</v>
      </c>
      <c r="AF1009" s="712">
        <f t="shared" si="2327"/>
        <v>5901.0166666666664</v>
      </c>
    </row>
    <row r="1010" spans="1:32" ht="35" customHeight="1" x14ac:dyDescent="0.25">
      <c r="C1010" s="338"/>
      <c r="D1010" s="2437"/>
      <c r="E1010" s="484" t="s">
        <v>1103</v>
      </c>
      <c r="F1010" s="1485">
        <f t="shared" ref="F1010:G1010" si="2337">+F1011/F1009*100</f>
        <v>55.719429441905554</v>
      </c>
      <c r="G1010" s="1485">
        <f t="shared" si="2337"/>
        <v>62.287726472425739</v>
      </c>
      <c r="H1010" s="1518">
        <f t="shared" ref="H1010:L1010" si="2338">+H1011/H1009*100</f>
        <v>60.377396487836322</v>
      </c>
      <c r="I1010" s="1485">
        <f t="shared" si="2338"/>
        <v>60.376683364777826</v>
      </c>
      <c r="J1010" s="422">
        <f t="shared" si="2338"/>
        <v>60.377123809049969</v>
      </c>
      <c r="K1010" s="1485" t="e">
        <f t="shared" si="2338"/>
        <v>#DIV/0!</v>
      </c>
      <c r="L1010" s="1518">
        <f t="shared" si="2338"/>
        <v>60.377123809049969</v>
      </c>
      <c r="M1010" s="1485">
        <f t="shared" ref="M1010:O1010" si="2339">+M1011/M1009*100</f>
        <v>75.801025312399858</v>
      </c>
      <c r="N1010" s="1518">
        <f t="shared" ref="N1010:AF1010" si="2340">+N1011/N1009*100</f>
        <v>65.278744166313103</v>
      </c>
      <c r="O1010" s="1485">
        <f t="shared" si="2339"/>
        <v>66.698945556272875</v>
      </c>
      <c r="P1010" s="422">
        <f t="shared" si="2340"/>
        <v>72.403510181131765</v>
      </c>
      <c r="Q1010" s="2141">
        <f t="shared" si="2340"/>
        <v>65.504767558342309</v>
      </c>
      <c r="R1010" s="1485">
        <f t="shared" si="2340"/>
        <v>76.429644862769905</v>
      </c>
      <c r="S1010" s="1518">
        <f t="shared" si="2340"/>
        <v>67.831581169848491</v>
      </c>
      <c r="T1010" s="1485">
        <f t="shared" si="2340"/>
        <v>66.380441264162187</v>
      </c>
      <c r="U1010" s="1518">
        <f t="shared" ref="U1010:V1010" si="2341">+U1011/U1009*100</f>
        <v>67.591991808781557</v>
      </c>
      <c r="V1010" s="1485">
        <f t="shared" si="2341"/>
        <v>72.151156339657931</v>
      </c>
      <c r="W1010" s="422">
        <f t="shared" si="2340"/>
        <v>71.782245117488401</v>
      </c>
      <c r="X1010" s="1518">
        <f t="shared" ref="X1010:AB1010" si="2342">+X1011/X1009*100</f>
        <v>68.279118213620492</v>
      </c>
      <c r="Y1010" s="1485">
        <f t="shared" si="2342"/>
        <v>68.654439612848932</v>
      </c>
      <c r="Z1010" s="1518">
        <f t="shared" si="2342"/>
        <v>68.324123165120739</v>
      </c>
      <c r="AA1010" s="1485">
        <f t="shared" ref="AA1010" si="2343">+AA1011/AA1009*100</f>
        <v>76.231223628691993</v>
      </c>
      <c r="AB1010" s="1518">
        <f t="shared" si="2342"/>
        <v>69.200026174502923</v>
      </c>
      <c r="AC1010" s="1485">
        <f t="shared" ref="AC1010" si="2344">+AC1011/AC1009*100</f>
        <v>69.491218540648205</v>
      </c>
      <c r="AD1010" s="422">
        <f t="shared" si="2340"/>
        <v>71.541349876393483</v>
      </c>
      <c r="AE1010" s="1371">
        <f t="shared" si="2340"/>
        <v>71.666353444092579</v>
      </c>
      <c r="AF1010" s="2547">
        <f t="shared" si="2340"/>
        <v>69.227280044964019</v>
      </c>
    </row>
    <row r="1011" spans="1:32" ht="35" customHeight="1" x14ac:dyDescent="0.25">
      <c r="C1011" s="338"/>
      <c r="D1011" s="2437"/>
      <c r="E1011" s="484" t="s">
        <v>48</v>
      </c>
      <c r="F1011" s="3319">
        <v>134.11666666666667</v>
      </c>
      <c r="G1011" s="3319">
        <v>365.56666666666666</v>
      </c>
      <c r="H1011" s="1517">
        <f>SUM(F1011:G1011)</f>
        <v>499.68333333333334</v>
      </c>
      <c r="I1011" s="3319">
        <v>309.35000000000002</v>
      </c>
      <c r="J1011" s="1934">
        <f>SUM(H1011:I1011)</f>
        <v>809.0333333333333</v>
      </c>
      <c r="K1011" s="3319"/>
      <c r="L1011" s="1517">
        <f>SUM(J1011:K1011)</f>
        <v>809.0333333333333</v>
      </c>
      <c r="M1011" s="3319">
        <v>473.15</v>
      </c>
      <c r="N1011" s="501">
        <f>SUM(L1011:M1011)</f>
        <v>1282.1833333333334</v>
      </c>
      <c r="O1011" s="3319">
        <v>247.96</v>
      </c>
      <c r="P1011" s="558">
        <f>+K1011+M1011+O1011</f>
        <v>721.11</v>
      </c>
      <c r="Q1011" s="2144">
        <f>+J1011+P1011</f>
        <v>1530.1433333333334</v>
      </c>
      <c r="R1011" s="3319">
        <v>483.15</v>
      </c>
      <c r="S1011" s="501">
        <f>SUM(Q1011:R1011)</f>
        <v>2013.2933333333335</v>
      </c>
      <c r="T1011" s="3319">
        <v>389.62</v>
      </c>
      <c r="U1011" s="501">
        <f>SUM(S1011:T1011)</f>
        <v>2402.9133333333334</v>
      </c>
      <c r="V1011" s="3319">
        <v>455.18</v>
      </c>
      <c r="W1011" s="74">
        <f t="shared" si="2323"/>
        <v>1327.95</v>
      </c>
      <c r="X1011" s="78">
        <f t="shared" si="2324"/>
        <v>2858.0933333333332</v>
      </c>
      <c r="Y1011" s="3319">
        <v>391.55</v>
      </c>
      <c r="Z1011" s="501">
        <f>+X1011+Y1011</f>
        <v>3249.6433333333334</v>
      </c>
      <c r="AA1011" s="3319">
        <v>451.67</v>
      </c>
      <c r="AB1011" s="2280">
        <f>SUM(Z1011:AA1011)</f>
        <v>3701.3133333333335</v>
      </c>
      <c r="AC1011" s="3319">
        <v>383.8</v>
      </c>
      <c r="AD1011" s="74">
        <f t="shared" ref="AD1011" si="2345">+Y1011+AA1011+AC1011</f>
        <v>1227.02</v>
      </c>
      <c r="AE1011" s="1409">
        <f t="shared" si="2326"/>
        <v>2554.9700000000003</v>
      </c>
      <c r="AF1011" s="712">
        <f t="shared" si="2327"/>
        <v>4085.1133333333337</v>
      </c>
    </row>
    <row r="1012" spans="1:32" ht="35" customHeight="1" x14ac:dyDescent="0.25">
      <c r="C1012" s="338"/>
      <c r="D1012" s="2437"/>
      <c r="E1012" s="484" t="s">
        <v>47</v>
      </c>
      <c r="F1012" s="3799">
        <f t="shared" ref="F1012:G1012" si="2346">+F964/F1011</f>
        <v>60.194904933515602</v>
      </c>
      <c r="G1012" s="3799">
        <f t="shared" si="2346"/>
        <v>119.57292331540074</v>
      </c>
      <c r="H1012" s="1518">
        <f t="shared" ref="H1012:L1012" si="2347">+H964/H1011</f>
        <v>103.63566592175044</v>
      </c>
      <c r="I1012" s="3799">
        <f t="shared" si="2347"/>
        <v>103.92579602392111</v>
      </c>
      <c r="J1012" s="422">
        <f t="shared" si="2347"/>
        <v>103.74660294178237</v>
      </c>
      <c r="K1012" s="3799" t="e">
        <f t="shared" si="2347"/>
        <v>#DIV/0!</v>
      </c>
      <c r="L1012" s="1518">
        <f t="shared" si="2347"/>
        <v>103.74660294178237</v>
      </c>
      <c r="M1012" s="3799">
        <f t="shared" ref="M1012:O1012" si="2348">+M964/M1011</f>
        <v>130.25695868117933</v>
      </c>
      <c r="N1012" s="1518">
        <f t="shared" ref="N1012:AF1012" si="2349">+N964/N1011</f>
        <v>113.52942766895008</v>
      </c>
      <c r="O1012" s="3799">
        <f t="shared" si="2348"/>
        <v>117.95402484271656</v>
      </c>
      <c r="P1012" s="422">
        <f t="shared" si="2349"/>
        <v>126.02648694373951</v>
      </c>
      <c r="Q1012" s="2141">
        <f t="shared" si="2349"/>
        <v>59.392449073398353</v>
      </c>
      <c r="R1012" s="3799">
        <f t="shared" si="2349"/>
        <v>127.70592983545484</v>
      </c>
      <c r="S1012" s="1518">
        <f t="shared" si="2349"/>
        <v>75.786313635370263</v>
      </c>
      <c r="T1012" s="3799">
        <f t="shared" si="2349"/>
        <v>129.37256814331914</v>
      </c>
      <c r="U1012" s="1518">
        <f t="shared" ref="U1012:V1012" si="2350">+U964/U1011</f>
        <v>84.475048344093423</v>
      </c>
      <c r="V1012" s="3799">
        <f t="shared" si="2350"/>
        <v>126.29368601432401</v>
      </c>
      <c r="W1012" s="422">
        <f t="shared" si="2349"/>
        <v>127.71084754697091</v>
      </c>
      <c r="X1012" s="1518">
        <f t="shared" ref="X1012:AB1012" si="2351">+X964/X1011</f>
        <v>91.135085394925269</v>
      </c>
      <c r="Y1012" s="3799">
        <f t="shared" si="2351"/>
        <v>127.40380538883922</v>
      </c>
      <c r="Z1012" s="1518">
        <f t="shared" si="2351"/>
        <v>95.505108765782481</v>
      </c>
      <c r="AA1012" s="3799">
        <f t="shared" ref="AA1012" si="2352">+AA964/AA1011</f>
        <v>136.93957978169905</v>
      </c>
      <c r="AB1012" s="1518">
        <f t="shared" si="2351"/>
        <v>100.56134309083082</v>
      </c>
      <c r="AC1012" s="3799">
        <f t="shared" ref="AC1012" si="2353">+AC964/AC1011</f>
        <v>137.62496091714434</v>
      </c>
      <c r="AD1012" s="422">
        <f t="shared" si="2349"/>
        <v>134.11103323499208</v>
      </c>
      <c r="AE1012" s="1371">
        <f t="shared" si="2349"/>
        <v>130.78452584570456</v>
      </c>
      <c r="AF1012" s="2547">
        <f t="shared" si="2349"/>
        <v>104.04350266904061</v>
      </c>
    </row>
    <row r="1013" spans="1:32" ht="35" customHeight="1" x14ac:dyDescent="0.25">
      <c r="C1013" s="338"/>
      <c r="D1013" s="2437"/>
      <c r="E1013" s="1484" t="s">
        <v>359</v>
      </c>
      <c r="F1013" s="3415">
        <f>+F1510</f>
        <v>2119909.9999999995</v>
      </c>
      <c r="G1013" s="3415">
        <f>+G1510</f>
        <v>4863980</v>
      </c>
      <c r="H1013" s="363">
        <f>SUM(F1013:G1013)</f>
        <v>6983890</v>
      </c>
      <c r="I1013" s="3415">
        <f>+I1510</f>
        <v>4403154.9999999963</v>
      </c>
      <c r="J1013" s="304">
        <f>SUM(H1013:I1013)</f>
        <v>11387044.999999996</v>
      </c>
      <c r="K1013" s="3415">
        <f>+K1510</f>
        <v>0</v>
      </c>
      <c r="L1013" s="363">
        <f>SUM(J1013:K1013)</f>
        <v>11387044.999999996</v>
      </c>
      <c r="M1013" s="3415">
        <f>+M1510</f>
        <v>5187791.6666666623</v>
      </c>
      <c r="N1013" s="363">
        <f>SUM(L1013:M1013)</f>
        <v>16574836.666666659</v>
      </c>
      <c r="O1013" s="3415">
        <f>+O1510</f>
        <v>3563359.9999999995</v>
      </c>
      <c r="P1013" s="558">
        <f>+K1013+M1013+O1013</f>
        <v>8751151.6666666623</v>
      </c>
      <c r="Q1013" s="2185">
        <f>+J1013+P1013</f>
        <v>20138196.666666657</v>
      </c>
      <c r="R1013" s="3415">
        <f>+R1510</f>
        <v>4868210.0000000028</v>
      </c>
      <c r="S1013" s="363">
        <f>SUM(Q1013:R1013)</f>
        <v>25006406.66666666</v>
      </c>
      <c r="T1013" s="3415">
        <f>+T1510</f>
        <v>5214374.9999999981</v>
      </c>
      <c r="U1013" s="363">
        <f>SUM(S1013:T1013)</f>
        <v>30220781.666666657</v>
      </c>
      <c r="V1013" s="3415">
        <f>+V1510</f>
        <v>5297270</v>
      </c>
      <c r="W1013" s="2186">
        <f>+R1013+T1013+V1013</f>
        <v>15379855</v>
      </c>
      <c r="X1013" s="1989">
        <f>+U1013+V1013</f>
        <v>35518051.666666657</v>
      </c>
      <c r="Y1013" s="3415">
        <f>+Y1510</f>
        <v>4658356.666666667</v>
      </c>
      <c r="Z1013" s="363">
        <f>SUM(X1013:Y1013)</f>
        <v>40176408.333333321</v>
      </c>
      <c r="AA1013" s="3415">
        <f>+AA1510</f>
        <v>4828339.9999999972</v>
      </c>
      <c r="AB1013" s="363">
        <f>SUM(Z1013:AA1013)</f>
        <v>45004748.333333321</v>
      </c>
      <c r="AC1013" s="3415">
        <f>+AC1510</f>
        <v>4774160.0000000047</v>
      </c>
      <c r="AD1013" s="713">
        <f>+Y1013+AA1013+AC1013</f>
        <v>14260856.666666668</v>
      </c>
      <c r="AE1013" s="1290">
        <f>+W1013+AD1013</f>
        <v>29640711.666666668</v>
      </c>
      <c r="AF1013" s="712">
        <f t="shared" si="2327"/>
        <v>49778908.333333328</v>
      </c>
    </row>
    <row r="1014" spans="1:32" ht="35" customHeight="1" x14ac:dyDescent="0.25">
      <c r="C1014" s="338"/>
      <c r="D1014" s="2437"/>
      <c r="E1014" s="493" t="s">
        <v>360</v>
      </c>
      <c r="F1014" s="142">
        <f t="shared" ref="F1014:G1014" si="2354">F1013/F918</f>
        <v>242.62869595273574</v>
      </c>
      <c r="G1014" s="142">
        <f t="shared" si="2354"/>
        <v>106.224856801687</v>
      </c>
      <c r="H1014" s="254">
        <f t="shared" ref="H1014:AF1014" si="2355">H1013/H918</f>
        <v>128.08194938368854</v>
      </c>
      <c r="I1014" s="142">
        <f t="shared" si="2355"/>
        <v>129.86313768320093</v>
      </c>
      <c r="J1014" s="253">
        <f t="shared" si="2355"/>
        <v>128.76487640056828</v>
      </c>
      <c r="K1014" s="142" t="e">
        <f t="shared" si="2355"/>
        <v>#DIV/0!</v>
      </c>
      <c r="L1014" s="254">
        <f t="shared" si="2355"/>
        <v>128.76487640056828</v>
      </c>
      <c r="M1014" s="142">
        <f t="shared" ref="M1014:O1014" si="2356">M1013/M918</f>
        <v>80.994411296499123</v>
      </c>
      <c r="N1014" s="254">
        <f t="shared" si="2355"/>
        <v>108.69880099395728</v>
      </c>
      <c r="O1014" s="142">
        <f t="shared" si="2356"/>
        <v>116.337897575532</v>
      </c>
      <c r="P1014" s="253">
        <f t="shared" si="2355"/>
        <v>92.428109811549234</v>
      </c>
      <c r="Q1014" s="2190">
        <f t="shared" si="2355"/>
        <v>109.97659302126014</v>
      </c>
      <c r="R1014" s="142">
        <f t="shared" si="2355"/>
        <v>75.838490922751731</v>
      </c>
      <c r="S1014" s="254">
        <f t="shared" si="2355"/>
        <v>101.11553483820205</v>
      </c>
      <c r="T1014" s="142">
        <f t="shared" si="2355"/>
        <v>99.312916035768325</v>
      </c>
      <c r="U1014" s="254">
        <f t="shared" si="2355"/>
        <v>100.79984935337389</v>
      </c>
      <c r="V1014" s="142">
        <f t="shared" ref="V1014" si="2357">V1013/V918</f>
        <v>88.542481510156549</v>
      </c>
      <c r="W1014" s="2357">
        <f t="shared" si="2355"/>
        <v>87.12626487937176</v>
      </c>
      <c r="X1014" s="254">
        <f t="shared" si="2355"/>
        <v>98.760775314242792</v>
      </c>
      <c r="Y1014" s="142">
        <f t="shared" si="2355"/>
        <v>89.735020073575299</v>
      </c>
      <c r="Z1014" s="254">
        <f t="shared" si="2355"/>
        <v>97.62227762961281</v>
      </c>
      <c r="AA1014" s="142">
        <f t="shared" ref="AA1014" si="2358">AA1013/AA918</f>
        <v>75.127640310204839</v>
      </c>
      <c r="AB1014" s="254">
        <f t="shared" si="2355"/>
        <v>94.583939167114721</v>
      </c>
      <c r="AC1014" s="142">
        <f t="shared" ref="AC1014" si="2359">AC1013/AC918</f>
        <v>86.815000052734703</v>
      </c>
      <c r="AD1014" s="813">
        <f t="shared" si="2355"/>
        <v>83.312443184979301</v>
      </c>
      <c r="AE1014" s="1233">
        <f t="shared" si="2355"/>
        <v>85.248698670361222</v>
      </c>
      <c r="AF1014" s="812">
        <f t="shared" si="2355"/>
        <v>93.779071506044161</v>
      </c>
    </row>
    <row r="1015" spans="1:32" ht="35" customHeight="1" x14ac:dyDescent="0.25">
      <c r="C1015" s="338"/>
      <c r="D1015" s="2437"/>
      <c r="E1015" s="311" t="s">
        <v>1094</v>
      </c>
      <c r="F1015" s="3322">
        <v>0.89200000000000002</v>
      </c>
      <c r="G1015" s="3322">
        <v>0.54700000000000004</v>
      </c>
      <c r="H1015" s="257">
        <f>+((F1015*F918)+(G1015*G918))/H918</f>
        <v>0.6022821459258213</v>
      </c>
      <c r="I1015" s="3322">
        <v>0.42699999999999999</v>
      </c>
      <c r="J1015" s="416">
        <f>+((H1015*H918)+(I1015*I918))/J918</f>
        <v>0.53507705982561915</v>
      </c>
      <c r="K1015" s="3322"/>
      <c r="L1015" s="257">
        <f>+((J1015*J918)+(K1015*K918))/L918</f>
        <v>0.53507705982561915</v>
      </c>
      <c r="M1015" s="3322">
        <v>0.42499999999999999</v>
      </c>
      <c r="N1015" s="257">
        <f>+((L1015*L918)+(M1015*M918))/N918</f>
        <v>0.48883897991187014</v>
      </c>
      <c r="O1015" s="3322">
        <v>0.47899999999999998</v>
      </c>
      <c r="P1015" s="416">
        <f>+((K1015*K918)+(M1015*M918)+(O1015*O918))/P918</f>
        <v>0.44246912330431259</v>
      </c>
      <c r="Q1015" s="2227">
        <f>+((N1015*N918)+(O1015*O918))/Q918</f>
        <v>0.48719321330139104</v>
      </c>
      <c r="R1015" s="3322">
        <v>0.38600000000000001</v>
      </c>
      <c r="S1015" s="257">
        <f>+((Q1015*Q918)+(R1015*R918))/S918</f>
        <v>0.46092699181647112</v>
      </c>
      <c r="T1015" s="3322">
        <v>0.432</v>
      </c>
      <c r="U1015" s="257">
        <f>+((S1015*S918)+(T1015*T918))/U918</f>
        <v>0.45586112241364768</v>
      </c>
      <c r="V1015" s="3322">
        <v>0.47499999999999998</v>
      </c>
      <c r="W1015" s="2392">
        <f>+((R1015*R918)+(T1015*T918)+(V1015*V918))/W918</f>
        <v>0.42984593665158366</v>
      </c>
      <c r="X1015" s="257">
        <f>+((U1015*U918)+(V1015*V918))/X918</f>
        <v>0.45904496978802772</v>
      </c>
      <c r="Y1015" s="3322">
        <v>0.38700000000000001</v>
      </c>
      <c r="Z1015" s="257">
        <f>+((X1015*X918)+(Y1015*Y918))/Z918</f>
        <v>0.44995730575263115</v>
      </c>
      <c r="AA1015" s="3322">
        <v>0.40899999999999997</v>
      </c>
      <c r="AB1015" s="257">
        <f>+((Z1015*Z918)+(AA1015*AA918))/AB918</f>
        <v>0.44442522467830564</v>
      </c>
      <c r="AC1015" s="3322">
        <v>0.44</v>
      </c>
      <c r="AD1015" s="2387">
        <f>+((Y1015*Y918)+(AA1015*AA918)+(AC1015*AC918))/AD918</f>
        <v>0.41228725906200614</v>
      </c>
      <c r="AE1015" s="2536">
        <f>+((W1015*W918)+(AD1015*AD918))/AE918</f>
        <v>0.42120169935921781</v>
      </c>
      <c r="AF1015" s="2535">
        <f>+((AB1015*AB918)+(AC1015*AC918))/AF918</f>
        <v>0.44396676822960635</v>
      </c>
    </row>
    <row r="1016" spans="1:32" ht="35" customHeight="1" x14ac:dyDescent="0.25">
      <c r="C1016" s="338"/>
      <c r="D1016" s="2437"/>
      <c r="E1016" s="187" t="s">
        <v>241</v>
      </c>
      <c r="F1016" s="3816">
        <f>+(0/F1006)/24</f>
        <v>0</v>
      </c>
      <c r="G1016" s="5460">
        <f>+(1082.09/G1006)/24</f>
        <v>1.4544220430107526</v>
      </c>
      <c r="H1016" s="2309">
        <f>+((F1016*24*30)+(G1016*24*31))/(61*24)</f>
        <v>0.73913251366120214</v>
      </c>
      <c r="I1016" s="5460">
        <f>+(1408.3/I1006)/24</f>
        <v>1.9559722222222222</v>
      </c>
      <c r="J1016" s="1935">
        <f>+((H1016*24*61)+(I1016*24*30))/(91*24)</f>
        <v>1.1402884615384614</v>
      </c>
      <c r="K1016" s="5460">
        <f>+(1082.09/K1006)/24</f>
        <v>1.4544220430107526</v>
      </c>
      <c r="L1016" s="1989">
        <f>+((J1016*24*91)+(K1016*24*31))/(122*24)</f>
        <v>1.2201092896174861</v>
      </c>
      <c r="M1016" s="3816">
        <f>+(0/31)/24</f>
        <v>0</v>
      </c>
      <c r="N1016" s="1989">
        <f>+((L1016*24*122)+(M1016*24*31))/(153*24)</f>
        <v>0.97289760348583854</v>
      </c>
      <c r="O1016" s="3816">
        <f>+(0/31)/24</f>
        <v>0</v>
      </c>
      <c r="P1016" s="1935">
        <f>+((K1016*24*31)+(M1016*24*31)+(O1016*24*30))/(92*24)</f>
        <v>0.49007699275362315</v>
      </c>
      <c r="Q1016" s="2229">
        <f>+((N1016*24*153)+(O1016*24*30))/(183*24)</f>
        <v>0.81340619307832396</v>
      </c>
      <c r="R1016" s="3816">
        <f>+(0/31)/24</f>
        <v>0</v>
      </c>
      <c r="S1016" s="2309">
        <f>+((Q1016*24*183)+(R1016*24*31))/(214*24)</f>
        <v>0.69557632398753866</v>
      </c>
      <c r="T1016" s="3816">
        <f>+(0/31)/24</f>
        <v>0</v>
      </c>
      <c r="U1016" s="2309">
        <f>+((S1016*24*214)+(T1016*24*30))/(244*24)</f>
        <v>0.61005464480874294</v>
      </c>
      <c r="V1016" s="3816">
        <f>+(0/31)/24</f>
        <v>0</v>
      </c>
      <c r="W1016" s="2358">
        <f>+((R1016*24*31)+(T1016*24*30)+(V1016*24*31))/(92*24)</f>
        <v>0</v>
      </c>
      <c r="X1016" s="1989">
        <f>+((U1016*24*244)+(V1016*24*31))/(275*24)</f>
        <v>0.54128484848484826</v>
      </c>
      <c r="Y1016" s="3816">
        <f>+(0/31)/24</f>
        <v>0</v>
      </c>
      <c r="Z1016" s="2309">
        <f>+((X1016*24*275)+(Y1016*24*31))/(306*24)</f>
        <v>0.48644880174291921</v>
      </c>
      <c r="AA1016" s="3816">
        <f>+(0/31)/24</f>
        <v>0</v>
      </c>
      <c r="AB1016" s="210">
        <f>+((Z1016*24*306)+(AA1016*24*28))/(334*24)</f>
        <v>0.44566866267465055</v>
      </c>
      <c r="AC1016" s="3816">
        <f>+(0/31)/24</f>
        <v>0</v>
      </c>
      <c r="AD1016" s="815">
        <f>+((Y1016*24*31)+(AA1016*24*28)+(AC1016*24*31))/(90*24)</f>
        <v>0</v>
      </c>
      <c r="AE1016" s="1395">
        <f>+((W1016*24*92)+(AD1016*24*90))/(182*24)</f>
        <v>0</v>
      </c>
      <c r="AF1016" s="661">
        <f>+((AB1016*24*334)+(AC1016*24*31))/(365*24)</f>
        <v>0.40781735159817334</v>
      </c>
    </row>
    <row r="1017" spans="1:32" ht="35" customHeight="1" x14ac:dyDescent="0.25">
      <c r="C1017" s="338"/>
      <c r="D1017" s="2437"/>
      <c r="E1017" s="311" t="s">
        <v>315</v>
      </c>
      <c r="F1017" s="3817">
        <f>+(2378.29/F1006)/24</f>
        <v>3.3031805555555551</v>
      </c>
      <c r="G1017" s="3817">
        <f>+(7956.09/G1006)/24</f>
        <v>10.693669354838709</v>
      </c>
      <c r="H1017" s="1990">
        <f>+((F1017*24*30)+(G1017*24*31))/(61*24)</f>
        <v>7.0590027322404367</v>
      </c>
      <c r="I1017" s="3817">
        <f>+(4285.5/I1006)/24</f>
        <v>5.9520833333333334</v>
      </c>
      <c r="J1017" s="1935">
        <f t="shared" ref="J1017:J1018" si="2360">+((H1017*24*61)+(I1017*24*30))/(91*24)</f>
        <v>6.6940842490842485</v>
      </c>
      <c r="K1017" s="3817">
        <f>+(7956.09/K1006)/24</f>
        <v>10.693669354838709</v>
      </c>
      <c r="L1017" s="1990">
        <f>+((J1017*24*91)+(K1017*24*31))/(122*24)</f>
        <v>7.7103722677595616</v>
      </c>
      <c r="M1017" s="3817">
        <f>+(8765.27/31)/24</f>
        <v>11.78127688172043</v>
      </c>
      <c r="N1017" s="1990">
        <f>+((L1017*24*122)+(M1017*24*31))/(153*24)</f>
        <v>8.5351960784313725</v>
      </c>
      <c r="O1017" s="3817">
        <f>+(4497.45/30)/24</f>
        <v>6.246458333333333</v>
      </c>
      <c r="P1017" s="315">
        <f>+((K1017*24*31)+(M1017*24*31)+(O1017*24*30))/(92*24)</f>
        <v>9.6099682971014495</v>
      </c>
      <c r="Q1017" s="2193">
        <f>+((N1017*24*153)+(O1017*24*30))/(183*24)</f>
        <v>8.1599931693989074</v>
      </c>
      <c r="R1017" s="3817">
        <f>+(7953.47/31)/24</f>
        <v>10.690147849462365</v>
      </c>
      <c r="S1017" s="1990">
        <f>+((Q1017*24*183)+(R1017*24*31))/(214*24)</f>
        <v>8.5265109034267912</v>
      </c>
      <c r="T1017" s="3817">
        <f>+(7337.1/30)/24</f>
        <v>10.190416666666668</v>
      </c>
      <c r="U1017" s="1990">
        <f>+((S1017*24*214)+(T1017*24*30))/(244*24)</f>
        <v>8.7310894808743171</v>
      </c>
      <c r="V1017" s="3817">
        <f>+(9136.1/31)/24</f>
        <v>12.27970430107527</v>
      </c>
      <c r="W1017" s="2359">
        <f>+((R1017*24*31)+(T1017*24*30)+(V1017*24*31))/(92*24)</f>
        <v>11.062803442028985</v>
      </c>
      <c r="X1017" s="1990">
        <f>+((U1017*24*244)+(V1017*24*31))/(275*24)</f>
        <v>9.1311151515151519</v>
      </c>
      <c r="Y1017" s="3817">
        <f>+(7089.81/31)/24</f>
        <v>9.5293145161290322</v>
      </c>
      <c r="Z1017" s="1990">
        <f>+((X1017*24*275)+(Y1017*24*31))/(306*24)</f>
        <v>9.1714556100217859</v>
      </c>
      <c r="AA1017" s="3817">
        <f>+(9164.62/AA1006)/24</f>
        <v>13.167557471264368</v>
      </c>
      <c r="AB1017" s="222">
        <f>+((Z1017*24*306)+(AA1017*24*28))/(334*24)</f>
        <v>9.50645816126368</v>
      </c>
      <c r="AC1017" s="3817">
        <f>+(8534.8/31)/24</f>
        <v>11.471505376344085</v>
      </c>
      <c r="AD1017" s="828">
        <f t="shared" ref="AD1017:AD1018" si="2361">+((Y1017*24*31)+(AA1017*24*28)+(AC1017*24*31))/(90*24)</f>
        <v>11.330189176245211</v>
      </c>
      <c r="AE1017" s="1078">
        <f>+((W1017*24*92)+(AD1017*24*90))/(182*24)</f>
        <v>11.195027156751294</v>
      </c>
      <c r="AF1017" s="827">
        <f t="shared" ref="AF1017:AF1018" si="2362">+((AB1017*24*334)+(AC1017*24*31))/(365*24)</f>
        <v>9.6733525822705104</v>
      </c>
    </row>
    <row r="1018" spans="1:32" ht="35" customHeight="1" thickBot="1" x14ac:dyDescent="0.3">
      <c r="C1018" s="338"/>
      <c r="D1018" s="2438"/>
      <c r="E1018" s="433" t="s">
        <v>316</v>
      </c>
      <c r="F1018" s="3818">
        <f>+(708.97/F1006)/24</f>
        <v>0.98468055555555567</v>
      </c>
      <c r="G1018" s="3818">
        <f>+(1671.6/G1006)/24</f>
        <v>2.2467741935483869</v>
      </c>
      <c r="H1018" s="1991">
        <f>+((F1018*24*30)+(G1018*24*31))/(61*24)</f>
        <v>1.6260724043715844</v>
      </c>
      <c r="I1018" s="3818">
        <f>+(580.275/I1006)/24</f>
        <v>0.80593749999999986</v>
      </c>
      <c r="J1018" s="315">
        <f t="shared" si="2360"/>
        <v>1.3556982600732599</v>
      </c>
      <c r="K1018" s="3818">
        <f>+(1671.6/K1006)/24</f>
        <v>2.2467741935483869</v>
      </c>
      <c r="L1018" s="1991">
        <f>+((J1018*24*91)+(K1018*24*31))/(122*24)</f>
        <v>1.5821191939890709</v>
      </c>
      <c r="M1018" s="3818">
        <f>+(2374.731/31)/24</f>
        <v>3.1918427419354845</v>
      </c>
      <c r="N1018" s="1991">
        <f>+((L1018*24*122)+(M1018*24*31))/(153*24)</f>
        <v>1.9082723311546839</v>
      </c>
      <c r="O1018" s="3818">
        <f>+(1340.309/30)/24</f>
        <v>1.8615402777777776</v>
      </c>
      <c r="P1018" s="788">
        <f>+((K1018*24*31)+(M1018*24*31)+(O1018*24*30))/(92*24)</f>
        <v>2.4396014492753624</v>
      </c>
      <c r="Q1018" s="2194">
        <f>+((N1018*24*153)+(O1018*24*30))/(183*24)</f>
        <v>1.9006113387978139</v>
      </c>
      <c r="R1018" s="3818">
        <f>+(2203.736/31)/24</f>
        <v>2.962010752688172</v>
      </c>
      <c r="S1018" s="1991">
        <f>+((Q1018*24*183)+(R1018*24*31))/(214*24)</f>
        <v>2.054365459501557</v>
      </c>
      <c r="T1018" s="3818">
        <f>+(2008.419/30)/24</f>
        <v>2.7894708333333331</v>
      </c>
      <c r="U1018" s="1991">
        <f>+((S1018*24*214)+(T1018*24*30))/(244*24)</f>
        <v>2.1447472677595623</v>
      </c>
      <c r="V1018" s="3818">
        <f>+(2503.533/31)/24</f>
        <v>3.364963709677419</v>
      </c>
      <c r="W1018" s="2360">
        <f>+((R1018*24*31)+(T1018*24*30)+(V1018*24*31))/(92*24)</f>
        <v>3.0415253623188407</v>
      </c>
      <c r="X1018" s="1991">
        <f>+((U1018*24*244)+(V1018*24*31))/(275*24)</f>
        <v>2.2822989393939386</v>
      </c>
      <c r="Y1018" s="3818">
        <f>+(1702.345/31)/24</f>
        <v>2.2880981182795699</v>
      </c>
      <c r="Z1018" s="1991">
        <f>+((X1018*24*275)+(Y1018*24*31))/(306*24)</f>
        <v>2.2828864379084961</v>
      </c>
      <c r="AA1018" s="3818">
        <f>+(2230.575/AA1006)/24</f>
        <v>3.2048491379310344</v>
      </c>
      <c r="AB1018" s="594">
        <f>+((Z1018*24*306)+(AA1018*24*28))/(334*24)</f>
        <v>2.3601767241379301</v>
      </c>
      <c r="AC1018" s="3818">
        <f>+(2052.722/31)/24</f>
        <v>2.7590349462365595</v>
      </c>
      <c r="AD1018" s="828">
        <f t="shared" si="2361"/>
        <v>2.735521120689655</v>
      </c>
      <c r="AE1018" s="1396">
        <f>+((W1018*24*92)+(AD1018*24*90))/(182*24)</f>
        <v>2.8902045834912218</v>
      </c>
      <c r="AF1018" s="827">
        <f t="shared" si="2362"/>
        <v>2.3940523539600056</v>
      </c>
    </row>
    <row r="1019" spans="1:32" ht="35" customHeight="1" x14ac:dyDescent="0.25">
      <c r="A1019" s="2">
        <f>3891+0</f>
        <v>3891</v>
      </c>
      <c r="C1019" s="338"/>
      <c r="D1019" s="436">
        <v>38</v>
      </c>
      <c r="E1019" s="318" t="s">
        <v>447</v>
      </c>
      <c r="F1019" s="2362">
        <f>+F6</f>
        <v>30</v>
      </c>
      <c r="G1019" s="2362">
        <f>+G6</f>
        <v>31</v>
      </c>
      <c r="H1019" s="3639">
        <f>SUM(F1019:G1019)</f>
        <v>61</v>
      </c>
      <c r="I1019" s="2362">
        <f>+I6</f>
        <v>30</v>
      </c>
      <c r="J1019" s="3640">
        <f>SUM(H1019:I1019)</f>
        <v>91</v>
      </c>
      <c r="K1019" s="2362">
        <f>+K6</f>
        <v>31</v>
      </c>
      <c r="L1019" s="3720">
        <f>+J1019+K1019</f>
        <v>122</v>
      </c>
      <c r="M1019" s="2362">
        <v>31</v>
      </c>
      <c r="N1019" s="1194">
        <f>SUM(L1019:M1019)</f>
        <v>153</v>
      </c>
      <c r="O1019" s="2362">
        <v>30</v>
      </c>
      <c r="P1019" s="1194">
        <f>+K1019+M1019+O1019</f>
        <v>92</v>
      </c>
      <c r="Q1019" s="1194">
        <f>+N1019+O1019</f>
        <v>183</v>
      </c>
      <c r="R1019" s="2362">
        <v>31</v>
      </c>
      <c r="S1019" s="1194">
        <f>+Q1019+R1019</f>
        <v>214</v>
      </c>
      <c r="T1019" s="2362">
        <v>30</v>
      </c>
      <c r="U1019" s="1194">
        <f>SUM(S1019:T1019)</f>
        <v>244</v>
      </c>
      <c r="V1019" s="2362">
        <v>31</v>
      </c>
      <c r="W1019" s="2363">
        <f>+R1019+T1019+V1019</f>
        <v>92</v>
      </c>
      <c r="X1019" s="1194">
        <f>+U1019+V1019</f>
        <v>275</v>
      </c>
      <c r="Y1019" s="2362">
        <v>31</v>
      </c>
      <c r="Z1019" s="1194">
        <f>SUM(X1019:Y1019)</f>
        <v>306</v>
      </c>
      <c r="AA1019" s="2362">
        <v>29</v>
      </c>
      <c r="AB1019" s="2287">
        <f>SUM(Z1019:AA1019)</f>
        <v>335</v>
      </c>
      <c r="AC1019" s="2362">
        <v>31</v>
      </c>
      <c r="AD1019" s="2361">
        <f>+Y1019+AA1019+AC1019</f>
        <v>91</v>
      </c>
      <c r="AE1019" s="2361">
        <f>+AD1019+W1019</f>
        <v>183</v>
      </c>
      <c r="AF1019" s="2501">
        <f>+AB1019+AC1019</f>
        <v>366</v>
      </c>
    </row>
    <row r="1020" spans="1:32" ht="33" x14ac:dyDescent="0.25">
      <c r="C1020" s="338"/>
      <c r="D1020" s="2437"/>
      <c r="E1020" s="171" t="s">
        <v>469</v>
      </c>
      <c r="F1020" s="3420">
        <v>0</v>
      </c>
      <c r="G1020" s="3420">
        <v>0</v>
      </c>
      <c r="H1020" s="1473">
        <f>SUM(F1020:G1020)</f>
        <v>0</v>
      </c>
      <c r="I1020" s="3420">
        <v>0</v>
      </c>
      <c r="J1020" s="1936">
        <f>+H1020+I1020</f>
        <v>0</v>
      </c>
      <c r="K1020" s="3420"/>
      <c r="L1020" s="1473">
        <f>SUM(J1020:K1020)</f>
        <v>0</v>
      </c>
      <c r="M1020" s="3420">
        <v>13035.759951</v>
      </c>
      <c r="N1020" s="1473">
        <f>+L1020+M1020</f>
        <v>13035.759951</v>
      </c>
      <c r="O1020" s="3420">
        <v>2476.08</v>
      </c>
      <c r="P1020" s="1154">
        <f>+K1020+M1020+O1020</f>
        <v>15511.839951</v>
      </c>
      <c r="Q1020" s="2144">
        <f>+J1020+P1020</f>
        <v>15511.839951</v>
      </c>
      <c r="R1020" s="3420">
        <v>12317.900804999999</v>
      </c>
      <c r="S1020" s="2292">
        <f>+Q1020+R1020</f>
        <v>27829.740755999999</v>
      </c>
      <c r="T1020" s="3420">
        <v>5768.427807</v>
      </c>
      <c r="U1020" s="2292">
        <f>+S1020+T1020</f>
        <v>33598.168562999999</v>
      </c>
      <c r="V1020" s="3420">
        <v>0</v>
      </c>
      <c r="W1020" s="74">
        <f t="shared" ref="W1020" si="2363">+R1020+T1020+V1020</f>
        <v>18086.328611999998</v>
      </c>
      <c r="X1020" s="78">
        <f t="shared" ref="X1020" si="2364">+U1020+V1020</f>
        <v>33598.168562999999</v>
      </c>
      <c r="Y1020" s="3420">
        <v>17329.047337370845</v>
      </c>
      <c r="Z1020" s="2292">
        <f>+X1020+Y1020</f>
        <v>50927.215900370844</v>
      </c>
      <c r="AA1020" s="3420">
        <v>19256.3530632</v>
      </c>
      <c r="AB1020" s="210">
        <f>SUM(Z1020:AA1020)</f>
        <v>70183.56896357084</v>
      </c>
      <c r="AC1020" s="5133">
        <v>16997.6770937</v>
      </c>
      <c r="AD1020" s="1291">
        <f>+Y1020+AA1020+AC1020</f>
        <v>53583.077494270838</v>
      </c>
      <c r="AE1020" s="1292">
        <f>+W1020+AD1020</f>
        <v>71669.406106270835</v>
      </c>
      <c r="AF1020" s="814">
        <f>+AB1020+AC1020</f>
        <v>87181.246057270837</v>
      </c>
    </row>
    <row r="1021" spans="1:32" ht="35" customHeight="1" x14ac:dyDescent="0.25">
      <c r="C1021" s="338"/>
      <c r="D1021" s="2437"/>
      <c r="E1021" s="242" t="s">
        <v>470</v>
      </c>
      <c r="F1021" s="3421"/>
      <c r="G1021" s="3421"/>
      <c r="H1021" s="3389"/>
      <c r="I1021" s="3421"/>
      <c r="J1021" s="3421"/>
      <c r="K1021" s="3421"/>
      <c r="L1021" s="3421"/>
      <c r="M1021" s="3421"/>
      <c r="N1021" s="3389"/>
      <c r="O1021" s="3421"/>
      <c r="P1021" s="3389"/>
      <c r="Q1021" s="3389"/>
      <c r="R1021" s="3421"/>
      <c r="S1021" s="3389"/>
      <c r="T1021" s="3421"/>
      <c r="U1021" s="3389"/>
      <c r="V1021" s="3421"/>
      <c r="W1021" s="3389"/>
      <c r="X1021" s="3389"/>
      <c r="Y1021" s="3421"/>
      <c r="Z1021" s="3389"/>
      <c r="AA1021" s="3421"/>
      <c r="AB1021" s="3389"/>
      <c r="AC1021" s="5134"/>
      <c r="AD1021" s="3389"/>
      <c r="AE1021" s="3389"/>
      <c r="AF1021" s="3648"/>
    </row>
    <row r="1022" spans="1:32" ht="35" customHeight="1" x14ac:dyDescent="0.25">
      <c r="C1022" s="338"/>
      <c r="D1022" s="2437"/>
      <c r="E1022" s="4605" t="s">
        <v>496</v>
      </c>
      <c r="F1022" s="3153"/>
      <c r="G1022" s="3153"/>
      <c r="H1022" s="296">
        <f t="shared" ref="H1022:H1073" si="2365">SUM(F1022:G1022)</f>
        <v>0</v>
      </c>
      <c r="I1022" s="3153"/>
      <c r="J1022" s="304">
        <f>SUM(H1022:I1022)</f>
        <v>0</v>
      </c>
      <c r="K1022" s="3153"/>
      <c r="L1022" s="501">
        <f t="shared" ref="L1022:N1073" si="2366">+J1022+K1022</f>
        <v>0</v>
      </c>
      <c r="M1022" s="3153">
        <v>0</v>
      </c>
      <c r="N1022" s="84">
        <f t="shared" si="2366"/>
        <v>0</v>
      </c>
      <c r="O1022" s="3153">
        <v>0</v>
      </c>
      <c r="P1022" s="1154">
        <f t="shared" ref="P1022:P1073" si="2367">+K1022+M1022+O1022</f>
        <v>0</v>
      </c>
      <c r="Q1022" s="2144">
        <f t="shared" ref="Q1022:Q1073" si="2368">+J1022+P1022</f>
        <v>0</v>
      </c>
      <c r="R1022" s="3153">
        <f>807.87882798-12.11-0.606</f>
        <v>795.16282797999997</v>
      </c>
      <c r="S1022" s="84">
        <f t="shared" ref="S1022:S1073" si="2369">+Q1022+R1022</f>
        <v>795.16282797999997</v>
      </c>
      <c r="T1022" s="3153">
        <f>1605.137088681-10.14-25.05</f>
        <v>1569.947088681</v>
      </c>
      <c r="U1022" s="84">
        <f>SUM(S1022:T1022)</f>
        <v>2365.1099166610002</v>
      </c>
      <c r="V1022" s="3153"/>
      <c r="W1022" s="398">
        <f>+R1022+T1022+V1022</f>
        <v>2365.1099166610002</v>
      </c>
      <c r="X1022" s="209">
        <f>+U1022+V1022</f>
        <v>2365.1099166610002</v>
      </c>
      <c r="Y1022" s="3153"/>
      <c r="Z1022" s="84">
        <f>SUM(X1022:Y1022)</f>
        <v>2365.1099166610002</v>
      </c>
      <c r="AA1022" s="3153"/>
      <c r="AB1022" s="209">
        <f>SUM(Z1022:AA1022)</f>
        <v>2365.1099166610002</v>
      </c>
      <c r="AC1022" s="5135"/>
      <c r="AD1022" s="1291">
        <f t="shared" ref="AD1022" si="2370">+Y1022+AA1022+AC1022</f>
        <v>0</v>
      </c>
      <c r="AE1022" s="1292">
        <f t="shared" ref="AE1022" si="2371">+W1022+AD1022</f>
        <v>2365.1099166610002</v>
      </c>
      <c r="AF1022" s="814">
        <f t="shared" ref="AF1022" si="2372">+AB1022+AC1022</f>
        <v>2365.1099166610002</v>
      </c>
    </row>
    <row r="1023" spans="1:32" ht="35" customHeight="1" x14ac:dyDescent="0.25">
      <c r="C1023" s="338"/>
      <c r="D1023" s="2437"/>
      <c r="E1023" s="4605" t="s">
        <v>1316</v>
      </c>
      <c r="F1023" s="3153"/>
      <c r="G1023" s="3153"/>
      <c r="H1023" s="296">
        <f t="shared" si="2365"/>
        <v>0</v>
      </c>
      <c r="I1023" s="3153"/>
      <c r="J1023" s="304">
        <f t="shared" ref="J1023:J1073" si="2373">SUM(H1023:I1023)</f>
        <v>0</v>
      </c>
      <c r="K1023" s="3153"/>
      <c r="L1023" s="501">
        <f t="shared" si="2366"/>
        <v>0</v>
      </c>
      <c r="M1023" s="3153">
        <v>0</v>
      </c>
      <c r="N1023" s="84">
        <f t="shared" si="2366"/>
        <v>0</v>
      </c>
      <c r="O1023" s="3153">
        <v>0</v>
      </c>
      <c r="P1023" s="1154">
        <f t="shared" si="2367"/>
        <v>0</v>
      </c>
      <c r="Q1023" s="2144">
        <f t="shared" si="2368"/>
        <v>0</v>
      </c>
      <c r="R1023" s="3153">
        <f>617.7404605554-18.32</f>
        <v>599.42046055539993</v>
      </c>
      <c r="S1023" s="84">
        <f t="shared" si="2369"/>
        <v>599.42046055539993</v>
      </c>
      <c r="T1023" s="3153">
        <f>325.4985200061-5.03</f>
        <v>320.46852000610005</v>
      </c>
      <c r="U1023" s="84">
        <f t="shared" ref="U1023:U1073" si="2374">SUM(S1023:T1023)</f>
        <v>919.88898056149992</v>
      </c>
      <c r="V1023" s="3153"/>
      <c r="W1023" s="398">
        <f t="shared" ref="W1023:W1073" si="2375">+R1023+T1023+V1023</f>
        <v>919.88898056149992</v>
      </c>
      <c r="X1023" s="209">
        <f t="shared" ref="X1023:X1073" si="2376">+U1023+V1023</f>
        <v>919.88898056149992</v>
      </c>
      <c r="Y1023" s="3153"/>
      <c r="Z1023" s="84">
        <f t="shared" ref="Z1023:Z1073" si="2377">SUM(X1023:Y1023)</f>
        <v>919.88898056149992</v>
      </c>
      <c r="AA1023" s="3153"/>
      <c r="AB1023" s="209">
        <f t="shared" ref="AB1023:AB1073" si="2378">SUM(Z1023:AA1023)</f>
        <v>919.88898056149992</v>
      </c>
      <c r="AC1023" s="5135"/>
      <c r="AD1023" s="1291">
        <f t="shared" ref="AD1023:AD1073" si="2379">+Y1023+AA1023+AC1023</f>
        <v>0</v>
      </c>
      <c r="AE1023" s="1292">
        <f t="shared" ref="AE1023:AE1073" si="2380">+W1023+AD1023</f>
        <v>919.88898056149992</v>
      </c>
      <c r="AF1023" s="814">
        <f t="shared" ref="AF1023:AF1073" si="2381">+AB1023+AC1023</f>
        <v>919.88898056149992</v>
      </c>
    </row>
    <row r="1024" spans="1:32" ht="35" customHeight="1" x14ac:dyDescent="0.25">
      <c r="C1024" s="338"/>
      <c r="D1024" s="2437"/>
      <c r="E1024" s="4605" t="s">
        <v>1223</v>
      </c>
      <c r="F1024" s="3153"/>
      <c r="G1024" s="3153"/>
      <c r="H1024" s="296">
        <f t="shared" si="2365"/>
        <v>0</v>
      </c>
      <c r="I1024" s="3153"/>
      <c r="J1024" s="304">
        <f t="shared" si="2373"/>
        <v>0</v>
      </c>
      <c r="K1024" s="3153"/>
      <c r="L1024" s="501">
        <f t="shared" si="2366"/>
        <v>0</v>
      </c>
      <c r="M1024" s="3153">
        <f>1136.5333179165-24.18</f>
        <v>1112.3533179164999</v>
      </c>
      <c r="N1024" s="84">
        <f t="shared" si="2366"/>
        <v>1112.3533179164999</v>
      </c>
      <c r="O1024" s="3153">
        <v>0</v>
      </c>
      <c r="P1024" s="1154">
        <f t="shared" si="2367"/>
        <v>1112.3533179164999</v>
      </c>
      <c r="Q1024" s="2144">
        <f t="shared" si="2368"/>
        <v>1112.3533179164999</v>
      </c>
      <c r="R1024" s="3153">
        <f>528.2903493-7.9</f>
        <v>520.39034930000003</v>
      </c>
      <c r="S1024" s="84">
        <f t="shared" si="2369"/>
        <v>1632.7436672164999</v>
      </c>
      <c r="T1024" s="3153"/>
      <c r="U1024" s="84">
        <f t="shared" si="2374"/>
        <v>1632.7436672164999</v>
      </c>
      <c r="V1024" s="3153"/>
      <c r="W1024" s="398">
        <f t="shared" si="2375"/>
        <v>520.39034930000003</v>
      </c>
      <c r="X1024" s="209">
        <f t="shared" si="2376"/>
        <v>1632.7436672164999</v>
      </c>
      <c r="Y1024" s="3153">
        <f>3065.44587525-6.588-49.25</f>
        <v>3009.6078752499998</v>
      </c>
      <c r="Z1024" s="84">
        <f t="shared" si="2377"/>
        <v>4642.3515424665002</v>
      </c>
      <c r="AA1024" s="3153">
        <v>5786.1709999999994</v>
      </c>
      <c r="AB1024" s="209">
        <f t="shared" si="2378"/>
        <v>10428.5225424665</v>
      </c>
      <c r="AC1024" s="5135">
        <f>2267.4840573609-36.123</f>
        <v>2231.3610573608998</v>
      </c>
      <c r="AD1024" s="1291">
        <f t="shared" si="2379"/>
        <v>11027.139932610899</v>
      </c>
      <c r="AE1024" s="1292">
        <f t="shared" si="2380"/>
        <v>11547.530281910898</v>
      </c>
      <c r="AF1024" s="814">
        <f t="shared" si="2381"/>
        <v>12659.883599827401</v>
      </c>
    </row>
    <row r="1025" spans="3:32" ht="35" customHeight="1" x14ac:dyDescent="0.25">
      <c r="C1025" s="338"/>
      <c r="D1025" s="2437"/>
      <c r="E1025" s="4605" t="s">
        <v>1445</v>
      </c>
      <c r="F1025" s="3153"/>
      <c r="G1025" s="3153"/>
      <c r="H1025" s="296">
        <f t="shared" si="2365"/>
        <v>0</v>
      </c>
      <c r="I1025" s="3153"/>
      <c r="J1025" s="304">
        <f t="shared" si="2373"/>
        <v>0</v>
      </c>
      <c r="K1025" s="3153"/>
      <c r="L1025" s="501">
        <f t="shared" si="2366"/>
        <v>0</v>
      </c>
      <c r="M1025" s="3153">
        <v>0</v>
      </c>
      <c r="N1025" s="84">
        <f t="shared" si="2366"/>
        <v>0</v>
      </c>
      <c r="O1025" s="3153">
        <v>0</v>
      </c>
      <c r="P1025" s="1154">
        <f t="shared" si="2367"/>
        <v>0</v>
      </c>
      <c r="Q1025" s="2144">
        <f t="shared" si="2368"/>
        <v>0</v>
      </c>
      <c r="R1025" s="3153"/>
      <c r="S1025" s="84">
        <f t="shared" si="2369"/>
        <v>0</v>
      </c>
      <c r="T1025" s="3153"/>
      <c r="U1025" s="84">
        <f t="shared" si="2374"/>
        <v>0</v>
      </c>
      <c r="V1025" s="3153"/>
      <c r="W1025" s="398">
        <f t="shared" si="2375"/>
        <v>0</v>
      </c>
      <c r="X1025" s="209">
        <f t="shared" si="2376"/>
        <v>0</v>
      </c>
      <c r="Y1025" s="3153"/>
      <c r="Z1025" s="84">
        <f t="shared" si="2377"/>
        <v>0</v>
      </c>
      <c r="AA1025" s="3153"/>
      <c r="AB1025" s="209">
        <f t="shared" si="2378"/>
        <v>0</v>
      </c>
      <c r="AC1025" s="5135"/>
      <c r="AD1025" s="1291">
        <f t="shared" si="2379"/>
        <v>0</v>
      </c>
      <c r="AE1025" s="1292">
        <f t="shared" si="2380"/>
        <v>0</v>
      </c>
      <c r="AF1025" s="814">
        <f t="shared" si="2381"/>
        <v>0</v>
      </c>
    </row>
    <row r="1026" spans="3:32" ht="35" customHeight="1" x14ac:dyDescent="0.25">
      <c r="C1026" s="338"/>
      <c r="D1026" s="2437"/>
      <c r="E1026" s="4605" t="s">
        <v>1724</v>
      </c>
      <c r="F1026" s="3153"/>
      <c r="G1026" s="3153"/>
      <c r="H1026" s="296">
        <f t="shared" si="2365"/>
        <v>0</v>
      </c>
      <c r="I1026" s="3153"/>
      <c r="J1026" s="304">
        <f t="shared" si="2373"/>
        <v>0</v>
      </c>
      <c r="K1026" s="3153"/>
      <c r="L1026" s="501">
        <f t="shared" si="2366"/>
        <v>0</v>
      </c>
      <c r="M1026" s="3153">
        <v>0</v>
      </c>
      <c r="N1026" s="84">
        <f t="shared" si="2366"/>
        <v>0</v>
      </c>
      <c r="O1026" s="3153">
        <v>0</v>
      </c>
      <c r="P1026" s="1154">
        <f t="shared" si="2367"/>
        <v>0</v>
      </c>
      <c r="Q1026" s="2144">
        <f t="shared" si="2368"/>
        <v>0</v>
      </c>
      <c r="R1026" s="3153">
        <f>1274.1931967688-26.84</f>
        <v>1247.3531967688</v>
      </c>
      <c r="S1026" s="84">
        <f t="shared" si="2369"/>
        <v>1247.3531967688</v>
      </c>
      <c r="T1026" s="3153">
        <f>446.7167383896-6.83</f>
        <v>439.8867383896</v>
      </c>
      <c r="U1026" s="84">
        <f t="shared" si="2374"/>
        <v>1687.2399351583999</v>
      </c>
      <c r="V1026" s="3153"/>
      <c r="W1026" s="398">
        <f t="shared" si="2375"/>
        <v>1687.2399351583999</v>
      </c>
      <c r="X1026" s="209">
        <f t="shared" si="2376"/>
        <v>1687.2399351583999</v>
      </c>
      <c r="Y1026" s="3153">
        <f>944.63574975-15.12</f>
        <v>929.51574974999994</v>
      </c>
      <c r="Z1026" s="84">
        <f t="shared" si="2377"/>
        <v>2616.7556849083999</v>
      </c>
      <c r="AA1026" s="3153">
        <v>440.93099999999998</v>
      </c>
      <c r="AB1026" s="209">
        <f t="shared" si="2378"/>
        <v>3057.6866849083999</v>
      </c>
      <c r="AC1026" s="5135">
        <f>1709.89648032231-27.367</f>
        <v>1682.5294803223101</v>
      </c>
      <c r="AD1026" s="1291">
        <f t="shared" si="2379"/>
        <v>3052.97623007231</v>
      </c>
      <c r="AE1026" s="1292">
        <f t="shared" si="2380"/>
        <v>4740.2161652307095</v>
      </c>
      <c r="AF1026" s="814">
        <f t="shared" si="2381"/>
        <v>4740.2161652307095</v>
      </c>
    </row>
    <row r="1027" spans="3:32" ht="35" customHeight="1" x14ac:dyDescent="0.25">
      <c r="C1027" s="338"/>
      <c r="D1027" s="2437"/>
      <c r="E1027" s="4606" t="s">
        <v>1144</v>
      </c>
      <c r="F1027" s="3153"/>
      <c r="G1027" s="3153"/>
      <c r="H1027" s="296">
        <f t="shared" si="2365"/>
        <v>0</v>
      </c>
      <c r="I1027" s="3153"/>
      <c r="J1027" s="304">
        <f t="shared" si="2373"/>
        <v>0</v>
      </c>
      <c r="K1027" s="3153"/>
      <c r="L1027" s="501">
        <f t="shared" si="2366"/>
        <v>0</v>
      </c>
      <c r="M1027" s="3153">
        <v>0</v>
      </c>
      <c r="N1027" s="84">
        <f t="shared" si="2366"/>
        <v>0</v>
      </c>
      <c r="O1027" s="3153">
        <v>0</v>
      </c>
      <c r="P1027" s="1154">
        <f t="shared" si="2367"/>
        <v>0</v>
      </c>
      <c r="Q1027" s="2144">
        <f t="shared" si="2368"/>
        <v>0</v>
      </c>
      <c r="R1027" s="3153"/>
      <c r="S1027" s="84">
        <f>+Q1027+R1027</f>
        <v>0</v>
      </c>
      <c r="T1027" s="3153"/>
      <c r="U1027" s="84">
        <f t="shared" si="2374"/>
        <v>0</v>
      </c>
      <c r="V1027" s="3153"/>
      <c r="W1027" s="398">
        <f t="shared" si="2375"/>
        <v>0</v>
      </c>
      <c r="X1027" s="209">
        <f t="shared" si="2376"/>
        <v>0</v>
      </c>
      <c r="Y1027" s="3153"/>
      <c r="Z1027" s="84">
        <f t="shared" si="2377"/>
        <v>0</v>
      </c>
      <c r="AA1027" s="3153"/>
      <c r="AB1027" s="209">
        <f t="shared" si="2378"/>
        <v>0</v>
      </c>
      <c r="AC1027" s="5135"/>
      <c r="AD1027" s="1291">
        <f t="shared" si="2379"/>
        <v>0</v>
      </c>
      <c r="AE1027" s="1292">
        <f t="shared" si="2380"/>
        <v>0</v>
      </c>
      <c r="AF1027" s="814">
        <f t="shared" si="2381"/>
        <v>0</v>
      </c>
    </row>
    <row r="1028" spans="3:32" ht="35" customHeight="1" x14ac:dyDescent="0.25">
      <c r="C1028" s="338"/>
      <c r="D1028" s="2437"/>
      <c r="E1028" s="4606" t="s">
        <v>1441</v>
      </c>
      <c r="F1028" s="3153"/>
      <c r="G1028" s="3153"/>
      <c r="H1028" s="296">
        <f t="shared" si="2365"/>
        <v>0</v>
      </c>
      <c r="I1028" s="3153"/>
      <c r="J1028" s="304">
        <f t="shared" si="2373"/>
        <v>0</v>
      </c>
      <c r="K1028" s="3153"/>
      <c r="L1028" s="501">
        <f t="shared" si="2366"/>
        <v>0</v>
      </c>
      <c r="M1028" s="3153">
        <v>0</v>
      </c>
      <c r="N1028" s="84">
        <f t="shared" si="2366"/>
        <v>0</v>
      </c>
      <c r="O1028" s="3153">
        <v>0</v>
      </c>
      <c r="P1028" s="1154">
        <f t="shared" si="2367"/>
        <v>0</v>
      </c>
      <c r="Q1028" s="2144">
        <f t="shared" si="2368"/>
        <v>0</v>
      </c>
      <c r="R1028" s="3153"/>
      <c r="S1028" s="84">
        <f>+Q1028+R1028</f>
        <v>0</v>
      </c>
      <c r="T1028" s="3153"/>
      <c r="U1028" s="84">
        <f>SUM(S1028:T1028)</f>
        <v>0</v>
      </c>
      <c r="V1028" s="3153">
        <v>0</v>
      </c>
      <c r="W1028" s="398">
        <f t="shared" ref="W1028" si="2382">+R1028+T1028+V1028</f>
        <v>0</v>
      </c>
      <c r="X1028" s="209">
        <f t="shared" ref="X1028" si="2383">+U1028+V1028</f>
        <v>0</v>
      </c>
      <c r="Y1028" s="3153"/>
      <c r="Z1028" s="84">
        <f t="shared" si="2377"/>
        <v>0</v>
      </c>
      <c r="AA1028" s="3153"/>
      <c r="AB1028" s="209">
        <f t="shared" si="2378"/>
        <v>0</v>
      </c>
      <c r="AC1028" s="5135"/>
      <c r="AD1028" s="1291">
        <f t="shared" si="2379"/>
        <v>0</v>
      </c>
      <c r="AE1028" s="1292">
        <f t="shared" si="2380"/>
        <v>0</v>
      </c>
      <c r="AF1028" s="814">
        <f t="shared" si="2381"/>
        <v>0</v>
      </c>
    </row>
    <row r="1029" spans="3:32" ht="34.5" customHeight="1" x14ac:dyDescent="0.25">
      <c r="C1029" s="338"/>
      <c r="D1029" s="2437"/>
      <c r="E1029" s="4605" t="s">
        <v>1097</v>
      </c>
      <c r="F1029" s="3153"/>
      <c r="G1029" s="3153"/>
      <c r="H1029" s="296">
        <f t="shared" si="2365"/>
        <v>0</v>
      </c>
      <c r="I1029" s="3153"/>
      <c r="J1029" s="304">
        <f t="shared" si="2373"/>
        <v>0</v>
      </c>
      <c r="K1029" s="3153"/>
      <c r="L1029" s="501">
        <f t="shared" si="2366"/>
        <v>0</v>
      </c>
      <c r="M1029" s="3153">
        <f>565.8830039268-1.6-4.22</f>
        <v>560.06300392679998</v>
      </c>
      <c r="N1029" s="84">
        <f t="shared" si="2366"/>
        <v>560.06300392679998</v>
      </c>
      <c r="O1029" s="3153">
        <v>0</v>
      </c>
      <c r="P1029" s="1154">
        <f t="shared" si="2367"/>
        <v>560.06300392679998</v>
      </c>
      <c r="Q1029" s="2144">
        <f t="shared" si="2368"/>
        <v>560.06300392679998</v>
      </c>
      <c r="R1029" s="3153">
        <f>519.9899122152-7.8+296</f>
        <v>808.18991221520002</v>
      </c>
      <c r="S1029" s="84">
        <f t="shared" si="2369"/>
        <v>1368.252916142</v>
      </c>
      <c r="T1029" s="3153">
        <f>3138.1867361124+27.575107308-68.54</f>
        <v>3097.2218434204001</v>
      </c>
      <c r="U1029" s="84">
        <f t="shared" si="2374"/>
        <v>4465.4747595624003</v>
      </c>
      <c r="V1029" s="3153"/>
      <c r="W1029" s="398">
        <f t="shared" si="2375"/>
        <v>3905.4117556356</v>
      </c>
      <c r="X1029" s="209">
        <f t="shared" si="2376"/>
        <v>4465.4747595624003</v>
      </c>
      <c r="Y1029" s="3153"/>
      <c r="Z1029" s="84">
        <f t="shared" si="2377"/>
        <v>4465.4747595624003</v>
      </c>
      <c r="AA1029" s="3153"/>
      <c r="AB1029" s="209">
        <f t="shared" si="2378"/>
        <v>4465.4747595624003</v>
      </c>
      <c r="AC1029" s="5135"/>
      <c r="AD1029" s="1291">
        <f t="shared" si="2379"/>
        <v>0</v>
      </c>
      <c r="AE1029" s="1292">
        <f t="shared" si="2380"/>
        <v>3905.4117556356</v>
      </c>
      <c r="AF1029" s="814">
        <f t="shared" si="2381"/>
        <v>4465.4747595624003</v>
      </c>
    </row>
    <row r="1030" spans="3:32" ht="35" customHeight="1" x14ac:dyDescent="0.25">
      <c r="C1030" s="338"/>
      <c r="D1030" s="2437"/>
      <c r="E1030" s="4605" t="s">
        <v>1098</v>
      </c>
      <c r="F1030" s="3153"/>
      <c r="G1030" s="3153"/>
      <c r="H1030" s="296">
        <f t="shared" si="2365"/>
        <v>0</v>
      </c>
      <c r="I1030" s="3153"/>
      <c r="J1030" s="304">
        <f t="shared" si="2373"/>
        <v>0</v>
      </c>
      <c r="K1030" s="3153"/>
      <c r="L1030" s="501">
        <f t="shared" si="2366"/>
        <v>0</v>
      </c>
      <c r="M1030" s="3153">
        <f>338.188269825-11.26</f>
        <v>326.92826982500003</v>
      </c>
      <c r="N1030" s="84">
        <f t="shared" si="2366"/>
        <v>326.92826982500003</v>
      </c>
      <c r="O1030" s="3153">
        <v>0</v>
      </c>
      <c r="P1030" s="1154">
        <f t="shared" si="2367"/>
        <v>326.92826982500003</v>
      </c>
      <c r="Q1030" s="2144">
        <f t="shared" si="2368"/>
        <v>326.92826982500003</v>
      </c>
      <c r="R1030" s="3153"/>
      <c r="S1030" s="84">
        <f t="shared" si="2369"/>
        <v>326.92826982500003</v>
      </c>
      <c r="T1030" s="3153"/>
      <c r="U1030" s="84">
        <f t="shared" si="2374"/>
        <v>326.92826982500003</v>
      </c>
      <c r="V1030" s="3153"/>
      <c r="W1030" s="398">
        <f t="shared" si="2375"/>
        <v>0</v>
      </c>
      <c r="X1030" s="209">
        <f t="shared" si="2376"/>
        <v>326.92826982500003</v>
      </c>
      <c r="Y1030" s="3153"/>
      <c r="Z1030" s="84">
        <f t="shared" si="2377"/>
        <v>326.92826982500003</v>
      </c>
      <c r="AA1030" s="3153"/>
      <c r="AB1030" s="209">
        <f t="shared" si="2378"/>
        <v>326.92826982500003</v>
      </c>
      <c r="AC1030" s="5135"/>
      <c r="AD1030" s="1291">
        <f t="shared" si="2379"/>
        <v>0</v>
      </c>
      <c r="AE1030" s="1292">
        <f t="shared" si="2380"/>
        <v>0</v>
      </c>
      <c r="AF1030" s="814">
        <f t="shared" si="2381"/>
        <v>326.92826982500003</v>
      </c>
    </row>
    <row r="1031" spans="3:32" ht="35" customHeight="1" x14ac:dyDescent="0.25">
      <c r="C1031" s="338"/>
      <c r="D1031" s="2437"/>
      <c r="E1031" s="4605" t="s">
        <v>1446</v>
      </c>
      <c r="F1031" s="3153"/>
      <c r="G1031" s="3153"/>
      <c r="H1031" s="296">
        <f t="shared" si="2365"/>
        <v>0</v>
      </c>
      <c r="I1031" s="3153"/>
      <c r="J1031" s="304">
        <f t="shared" si="2373"/>
        <v>0</v>
      </c>
      <c r="K1031" s="3153"/>
      <c r="L1031" s="501">
        <f t="shared" si="2366"/>
        <v>0</v>
      </c>
      <c r="M1031" s="3153">
        <v>0</v>
      </c>
      <c r="N1031" s="84">
        <f t="shared" si="2366"/>
        <v>0</v>
      </c>
      <c r="O1031" s="3153">
        <v>0</v>
      </c>
      <c r="P1031" s="1154">
        <f t="shared" si="2367"/>
        <v>0</v>
      </c>
      <c r="Q1031" s="2144">
        <f t="shared" si="2368"/>
        <v>0</v>
      </c>
      <c r="R1031" s="3153">
        <f>849.830814-12.75-5.488</f>
        <v>831.59281399999998</v>
      </c>
      <c r="S1031" s="84">
        <f t="shared" si="2369"/>
        <v>831.59281399999998</v>
      </c>
      <c r="T1031" s="3153"/>
      <c r="U1031" s="84">
        <f t="shared" si="2374"/>
        <v>831.59281399999998</v>
      </c>
      <c r="V1031" s="3153"/>
      <c r="W1031" s="398">
        <f t="shared" si="2375"/>
        <v>831.59281399999998</v>
      </c>
      <c r="X1031" s="209">
        <f t="shared" si="2376"/>
        <v>831.59281399999998</v>
      </c>
      <c r="Y1031" s="3153">
        <f>1547.82810675-24.77</f>
        <v>1523.05810675</v>
      </c>
      <c r="Z1031" s="84">
        <f t="shared" si="2377"/>
        <v>2354.6509207499998</v>
      </c>
      <c r="AA1031" s="3153">
        <v>1734.4790000000003</v>
      </c>
      <c r="AB1031" s="209">
        <f t="shared" si="2378"/>
        <v>4089.1299207500001</v>
      </c>
      <c r="AC1031" s="5135"/>
      <c r="AD1031" s="1291">
        <f t="shared" si="2379"/>
        <v>3257.53710675</v>
      </c>
      <c r="AE1031" s="1292">
        <f t="shared" si="2380"/>
        <v>4089.1299207500001</v>
      </c>
      <c r="AF1031" s="814">
        <f t="shared" si="2381"/>
        <v>4089.1299207500001</v>
      </c>
    </row>
    <row r="1032" spans="3:32" ht="35" customHeight="1" x14ac:dyDescent="0.25">
      <c r="C1032" s="338"/>
      <c r="D1032" s="2437"/>
      <c r="E1032" s="4606" t="s">
        <v>1143</v>
      </c>
      <c r="F1032" s="3153"/>
      <c r="G1032" s="3153"/>
      <c r="H1032" s="296">
        <f t="shared" si="2365"/>
        <v>0</v>
      </c>
      <c r="I1032" s="3153"/>
      <c r="J1032" s="304">
        <f t="shared" si="2373"/>
        <v>0</v>
      </c>
      <c r="K1032" s="3153"/>
      <c r="L1032" s="501">
        <f t="shared" si="2366"/>
        <v>0</v>
      </c>
      <c r="M1032" s="3153">
        <v>0</v>
      </c>
      <c r="N1032" s="84">
        <f t="shared" si="2366"/>
        <v>0</v>
      </c>
      <c r="O1032" s="3153">
        <v>0</v>
      </c>
      <c r="P1032" s="1154">
        <f t="shared" si="2367"/>
        <v>0</v>
      </c>
      <c r="Q1032" s="2144">
        <f t="shared" si="2368"/>
        <v>0</v>
      </c>
      <c r="R1032" s="3153"/>
      <c r="S1032" s="84">
        <f t="shared" si="2369"/>
        <v>0</v>
      </c>
      <c r="T1032" s="3153"/>
      <c r="U1032" s="84">
        <f t="shared" si="2374"/>
        <v>0</v>
      </c>
      <c r="V1032" s="3153"/>
      <c r="W1032" s="398">
        <f t="shared" si="2375"/>
        <v>0</v>
      </c>
      <c r="X1032" s="209">
        <f t="shared" si="2376"/>
        <v>0</v>
      </c>
      <c r="Y1032" s="3153"/>
      <c r="Z1032" s="84">
        <f t="shared" si="2377"/>
        <v>0</v>
      </c>
      <c r="AA1032" s="3153"/>
      <c r="AB1032" s="209">
        <f t="shared" si="2378"/>
        <v>0</v>
      </c>
      <c r="AC1032" s="5135"/>
      <c r="AD1032" s="1291">
        <f t="shared" si="2379"/>
        <v>0</v>
      </c>
      <c r="AE1032" s="1292">
        <f t="shared" si="2380"/>
        <v>0</v>
      </c>
      <c r="AF1032" s="814">
        <f t="shared" si="2381"/>
        <v>0</v>
      </c>
    </row>
    <row r="1033" spans="3:32" ht="35" customHeight="1" x14ac:dyDescent="0.25">
      <c r="C1033" s="338"/>
      <c r="D1033" s="2437"/>
      <c r="E1033" s="4606" t="s">
        <v>1387</v>
      </c>
      <c r="F1033" s="3153"/>
      <c r="G1033" s="3153"/>
      <c r="H1033" s="296">
        <f t="shared" si="2365"/>
        <v>0</v>
      </c>
      <c r="I1033" s="3153"/>
      <c r="J1033" s="304">
        <f t="shared" si="2373"/>
        <v>0</v>
      </c>
      <c r="K1033" s="3153"/>
      <c r="L1033" s="501">
        <f t="shared" si="2366"/>
        <v>0</v>
      </c>
      <c r="M1033" s="3153">
        <f>4130.4560774022-81.35</f>
        <v>4049.1060774022003</v>
      </c>
      <c r="N1033" s="84">
        <f t="shared" si="2366"/>
        <v>4049.1060774022003</v>
      </c>
      <c r="O1033" s="3153">
        <v>0</v>
      </c>
      <c r="P1033" s="1154">
        <f t="shared" ref="P1033" si="2384">+K1033+M1033+O1033</f>
        <v>4049.1060774022003</v>
      </c>
      <c r="Q1033" s="2144">
        <f t="shared" ref="Q1033" si="2385">+J1033+P1033</f>
        <v>4049.1060774022003</v>
      </c>
      <c r="R1033" s="3153">
        <f>2745.5785209027-40.87-296</f>
        <v>2408.7085209027</v>
      </c>
      <c r="S1033" s="84">
        <f t="shared" si="2369"/>
        <v>6457.8145983048998</v>
      </c>
      <c r="T1033" s="3153">
        <f>27.575107308-27.575107308</f>
        <v>0</v>
      </c>
      <c r="U1033" s="84">
        <f t="shared" si="2374"/>
        <v>6457.8145983048998</v>
      </c>
      <c r="V1033" s="3153"/>
      <c r="W1033" s="398">
        <f t="shared" si="2375"/>
        <v>2408.7085209027</v>
      </c>
      <c r="X1033" s="209">
        <f t="shared" si="2376"/>
        <v>6457.8145983048998</v>
      </c>
      <c r="Y1033" s="3153">
        <f>3030.5439-20.656-48.5</f>
        <v>2961.3879000000002</v>
      </c>
      <c r="Z1033" s="84">
        <f t="shared" si="2377"/>
        <v>9419.2024983048996</v>
      </c>
      <c r="AA1033" s="3153">
        <v>4254.9019999999982</v>
      </c>
      <c r="AB1033" s="209">
        <f t="shared" si="2378"/>
        <v>13674.104498304898</v>
      </c>
      <c r="AC1033" s="5135">
        <f>1152.3025438785-18.464</f>
        <v>1133.8385438785001</v>
      </c>
      <c r="AD1033" s="1291">
        <f t="shared" si="2379"/>
        <v>8350.1284438784987</v>
      </c>
      <c r="AE1033" s="1292">
        <f t="shared" si="2380"/>
        <v>10758.8369647812</v>
      </c>
      <c r="AF1033" s="814">
        <f t="shared" si="2381"/>
        <v>14807.943042183399</v>
      </c>
    </row>
    <row r="1034" spans="3:32" ht="35" customHeight="1" x14ac:dyDescent="0.25">
      <c r="C1034" s="338"/>
      <c r="D1034" s="2437"/>
      <c r="E1034" s="4605" t="s">
        <v>1099</v>
      </c>
      <c r="F1034" s="3153"/>
      <c r="G1034" s="3153"/>
      <c r="H1034" s="296">
        <f t="shared" si="2365"/>
        <v>0</v>
      </c>
      <c r="I1034" s="3153"/>
      <c r="J1034" s="304">
        <f t="shared" si="2373"/>
        <v>0</v>
      </c>
      <c r="K1034" s="3153"/>
      <c r="L1034" s="501">
        <f t="shared" si="2366"/>
        <v>0</v>
      </c>
      <c r="M1034" s="3153">
        <f>1137.2944570155-32.25</f>
        <v>1105.0444570155</v>
      </c>
      <c r="N1034" s="84">
        <f t="shared" si="2366"/>
        <v>1105.0444570155</v>
      </c>
      <c r="O1034" s="3153">
        <v>0</v>
      </c>
      <c r="P1034" s="1154">
        <f t="shared" si="2367"/>
        <v>1105.0444570155</v>
      </c>
      <c r="Q1034" s="2144">
        <f t="shared" si="2368"/>
        <v>1105.0444570155</v>
      </c>
      <c r="R1034" s="3153">
        <f>1652.4943373484-26.05</f>
        <v>1626.4443373484</v>
      </c>
      <c r="S1034" s="84">
        <f t="shared" si="2369"/>
        <v>2731.4887943639001</v>
      </c>
      <c r="T1034" s="3153"/>
      <c r="U1034" s="84">
        <f t="shared" si="2374"/>
        <v>2731.4887943639001</v>
      </c>
      <c r="V1034" s="3153"/>
      <c r="W1034" s="398">
        <f t="shared" si="2375"/>
        <v>1626.4443373484</v>
      </c>
      <c r="X1034" s="209">
        <f t="shared" si="2376"/>
        <v>2731.4887943639001</v>
      </c>
      <c r="Y1034" s="3153"/>
      <c r="Z1034" s="84">
        <f t="shared" si="2377"/>
        <v>2731.4887943639001</v>
      </c>
      <c r="AA1034" s="3153"/>
      <c r="AB1034" s="209">
        <f t="shared" si="2378"/>
        <v>2731.4887943639001</v>
      </c>
      <c r="AC1034" s="5135">
        <v>104.7346716024</v>
      </c>
      <c r="AD1034" s="1291">
        <f t="shared" si="2379"/>
        <v>104.7346716024</v>
      </c>
      <c r="AE1034" s="1292">
        <f t="shared" si="2380"/>
        <v>1731.1790089507999</v>
      </c>
      <c r="AF1034" s="814">
        <f t="shared" si="2381"/>
        <v>2836.2234659663</v>
      </c>
    </row>
    <row r="1035" spans="3:32" ht="35" customHeight="1" x14ac:dyDescent="0.25">
      <c r="C1035" s="338"/>
      <c r="D1035" s="2437"/>
      <c r="E1035" s="4605" t="s">
        <v>1421</v>
      </c>
      <c r="F1035" s="3153"/>
      <c r="G1035" s="3153"/>
      <c r="H1035" s="296">
        <f t="shared" si="2365"/>
        <v>0</v>
      </c>
      <c r="I1035" s="3153"/>
      <c r="J1035" s="304">
        <f t="shared" si="2373"/>
        <v>0</v>
      </c>
      <c r="K1035" s="3153"/>
      <c r="L1035" s="501">
        <f t="shared" si="2366"/>
        <v>0</v>
      </c>
      <c r="M1035" s="3153">
        <v>0</v>
      </c>
      <c r="N1035" s="84">
        <f t="shared" si="2366"/>
        <v>0</v>
      </c>
      <c r="O1035" s="3153">
        <v>0</v>
      </c>
      <c r="P1035" s="1154">
        <f t="shared" si="2367"/>
        <v>0</v>
      </c>
      <c r="Q1035" s="2144">
        <f t="shared" si="2368"/>
        <v>0</v>
      </c>
      <c r="R1035" s="3153">
        <f>336.6756978165-9.16</f>
        <v>327.51569781649999</v>
      </c>
      <c r="S1035" s="84">
        <f t="shared" si="2369"/>
        <v>327.51569781649999</v>
      </c>
      <c r="T1035" s="3153"/>
      <c r="U1035" s="84">
        <f t="shared" si="2374"/>
        <v>327.51569781649999</v>
      </c>
      <c r="V1035" s="3153"/>
      <c r="W1035" s="398">
        <f t="shared" si="2375"/>
        <v>327.51569781649999</v>
      </c>
      <c r="X1035" s="209">
        <f t="shared" si="2376"/>
        <v>327.51569781649999</v>
      </c>
      <c r="Y1035" s="3153"/>
      <c r="Z1035" s="84">
        <f t="shared" si="2377"/>
        <v>327.51569781649999</v>
      </c>
      <c r="AA1035" s="3153"/>
      <c r="AB1035" s="209">
        <f t="shared" si="2378"/>
        <v>327.51569781649999</v>
      </c>
      <c r="AC1035" s="5135">
        <f>1038.56935896-16.614</f>
        <v>1021.95535896</v>
      </c>
      <c r="AD1035" s="1291">
        <f t="shared" si="2379"/>
        <v>1021.95535896</v>
      </c>
      <c r="AE1035" s="1292">
        <f t="shared" si="2380"/>
        <v>1349.4710567765001</v>
      </c>
      <c r="AF1035" s="814">
        <f t="shared" si="2381"/>
        <v>1349.4710567765001</v>
      </c>
    </row>
    <row r="1036" spans="3:32" ht="35" customHeight="1" x14ac:dyDescent="0.25">
      <c r="C1036" s="338"/>
      <c r="D1036" s="2437"/>
      <c r="E1036" s="4605" t="s">
        <v>1562</v>
      </c>
      <c r="F1036" s="3153"/>
      <c r="G1036" s="3153"/>
      <c r="H1036" s="296">
        <f t="shared" si="2365"/>
        <v>0</v>
      </c>
      <c r="I1036" s="3153"/>
      <c r="J1036" s="304">
        <f t="shared" si="2373"/>
        <v>0</v>
      </c>
      <c r="K1036" s="3153"/>
      <c r="L1036" s="501">
        <f t="shared" si="2366"/>
        <v>0</v>
      </c>
      <c r="M1036" s="3153">
        <v>0</v>
      </c>
      <c r="N1036" s="84">
        <f t="shared" si="2366"/>
        <v>0</v>
      </c>
      <c r="O1036" s="3153">
        <v>0</v>
      </c>
      <c r="P1036" s="1154">
        <f t="shared" si="2367"/>
        <v>0</v>
      </c>
      <c r="Q1036" s="2144">
        <f t="shared" si="2368"/>
        <v>0</v>
      </c>
      <c r="R1036" s="3153"/>
      <c r="S1036" s="84">
        <f t="shared" si="2369"/>
        <v>0</v>
      </c>
      <c r="T1036" s="3153"/>
      <c r="U1036" s="84">
        <f t="shared" si="2374"/>
        <v>0</v>
      </c>
      <c r="V1036" s="3153"/>
      <c r="W1036" s="398">
        <f t="shared" si="2375"/>
        <v>0</v>
      </c>
      <c r="X1036" s="209">
        <f t="shared" si="2376"/>
        <v>0</v>
      </c>
      <c r="Y1036" s="3153"/>
      <c r="Z1036" s="84">
        <f t="shared" si="2377"/>
        <v>0</v>
      </c>
      <c r="AA1036" s="3153"/>
      <c r="AB1036" s="209">
        <f t="shared" si="2378"/>
        <v>0</v>
      </c>
      <c r="AC1036" s="5135"/>
      <c r="AD1036" s="1291">
        <f t="shared" si="2379"/>
        <v>0</v>
      </c>
      <c r="AE1036" s="1292">
        <f t="shared" si="2380"/>
        <v>0</v>
      </c>
      <c r="AF1036" s="814">
        <f t="shared" si="2381"/>
        <v>0</v>
      </c>
    </row>
    <row r="1037" spans="3:32" ht="35" customHeight="1" x14ac:dyDescent="0.25">
      <c r="C1037" s="338"/>
      <c r="D1037" s="2437"/>
      <c r="E1037" s="4605" t="s">
        <v>1563</v>
      </c>
      <c r="F1037" s="3153"/>
      <c r="G1037" s="3153"/>
      <c r="H1037" s="296">
        <f t="shared" si="2365"/>
        <v>0</v>
      </c>
      <c r="I1037" s="3153"/>
      <c r="J1037" s="304">
        <f t="shared" si="2373"/>
        <v>0</v>
      </c>
      <c r="K1037" s="3153"/>
      <c r="L1037" s="501">
        <f t="shared" si="2366"/>
        <v>0</v>
      </c>
      <c r="M1037" s="3153">
        <v>0</v>
      </c>
      <c r="N1037" s="84">
        <f t="shared" si="2366"/>
        <v>0</v>
      </c>
      <c r="O1037" s="3153">
        <v>0</v>
      </c>
      <c r="P1037" s="1154">
        <f t="shared" si="2367"/>
        <v>0</v>
      </c>
      <c r="Q1037" s="2144">
        <f t="shared" si="2368"/>
        <v>0</v>
      </c>
      <c r="R1037" s="3153">
        <f>535.03510473-18.4</f>
        <v>516.63510472999997</v>
      </c>
      <c r="S1037" s="84">
        <f t="shared" si="2369"/>
        <v>516.63510472999997</v>
      </c>
      <c r="T1037" s="3153"/>
      <c r="U1037" s="84">
        <f t="shared" si="2374"/>
        <v>516.63510472999997</v>
      </c>
      <c r="V1037" s="3153"/>
      <c r="W1037" s="398">
        <f t="shared" si="2375"/>
        <v>516.63510472999997</v>
      </c>
      <c r="X1037" s="209">
        <f t="shared" si="2376"/>
        <v>516.63510472999997</v>
      </c>
      <c r="Y1037" s="3153"/>
      <c r="Z1037" s="84">
        <f t="shared" si="2377"/>
        <v>516.63510472999997</v>
      </c>
      <c r="AA1037" s="3153"/>
      <c r="AB1037" s="209">
        <f t="shared" si="2378"/>
        <v>516.63510472999997</v>
      </c>
      <c r="AC1037" s="5135"/>
      <c r="AD1037" s="1291">
        <f t="shared" si="2379"/>
        <v>0</v>
      </c>
      <c r="AE1037" s="1292">
        <f t="shared" si="2380"/>
        <v>516.63510472999997</v>
      </c>
      <c r="AF1037" s="814">
        <f t="shared" si="2381"/>
        <v>516.63510472999997</v>
      </c>
    </row>
    <row r="1038" spans="3:32" ht="35" customHeight="1" x14ac:dyDescent="0.25">
      <c r="C1038" s="338"/>
      <c r="D1038" s="2437"/>
      <c r="E1038" s="4605" t="s">
        <v>1365</v>
      </c>
      <c r="F1038" s="3153"/>
      <c r="G1038" s="3153"/>
      <c r="H1038" s="296">
        <f t="shared" si="2365"/>
        <v>0</v>
      </c>
      <c r="I1038" s="3153"/>
      <c r="J1038" s="304">
        <f t="shared" si="2373"/>
        <v>0</v>
      </c>
      <c r="K1038" s="3153"/>
      <c r="L1038" s="501">
        <f t="shared" si="2366"/>
        <v>0</v>
      </c>
      <c r="M1038" s="3153">
        <v>0</v>
      </c>
      <c r="N1038" s="84">
        <f t="shared" si="2366"/>
        <v>0</v>
      </c>
      <c r="O1038" s="3153">
        <v>0</v>
      </c>
      <c r="P1038" s="1154">
        <f t="shared" si="2367"/>
        <v>0</v>
      </c>
      <c r="Q1038" s="2144">
        <f t="shared" si="2368"/>
        <v>0</v>
      </c>
      <c r="R1038" s="3153">
        <f>1369.1224697031-18.74-135</f>
        <v>1215.3824697031</v>
      </c>
      <c r="S1038" s="84">
        <f t="shared" si="2369"/>
        <v>1215.3824697031</v>
      </c>
      <c r="T1038" s="3153"/>
      <c r="U1038" s="84">
        <f t="shared" si="2374"/>
        <v>1215.3824697031</v>
      </c>
      <c r="V1038" s="3153"/>
      <c r="W1038" s="398">
        <f t="shared" si="2375"/>
        <v>1215.3824697031</v>
      </c>
      <c r="X1038" s="209">
        <f t="shared" si="2376"/>
        <v>1215.3824697031</v>
      </c>
      <c r="Y1038" s="3153"/>
      <c r="Z1038" s="84">
        <f t="shared" si="2377"/>
        <v>1215.3824697031</v>
      </c>
      <c r="AA1038" s="3153"/>
      <c r="AB1038" s="209">
        <f t="shared" si="2378"/>
        <v>1215.3824697031</v>
      </c>
      <c r="AC1038" s="5135">
        <f>3478.757-55.665-1.676</f>
        <v>3421.4160000000002</v>
      </c>
      <c r="AD1038" s="1291">
        <f t="shared" si="2379"/>
        <v>3421.4160000000002</v>
      </c>
      <c r="AE1038" s="1292">
        <f t="shared" si="2380"/>
        <v>4636.7984697031006</v>
      </c>
      <c r="AF1038" s="814">
        <f t="shared" si="2381"/>
        <v>4636.7984697031006</v>
      </c>
    </row>
    <row r="1039" spans="3:32" ht="35" customHeight="1" x14ac:dyDescent="0.25">
      <c r="C1039" s="338"/>
      <c r="D1039" s="2437"/>
      <c r="E1039" s="4605" t="s">
        <v>1435</v>
      </c>
      <c r="F1039" s="3153"/>
      <c r="G1039" s="3153"/>
      <c r="H1039" s="296">
        <f t="shared" si="2365"/>
        <v>0</v>
      </c>
      <c r="I1039" s="3153"/>
      <c r="J1039" s="304">
        <f t="shared" si="2373"/>
        <v>0</v>
      </c>
      <c r="K1039" s="3153"/>
      <c r="L1039" s="501">
        <f t="shared" si="2366"/>
        <v>0</v>
      </c>
      <c r="M1039" s="3153">
        <v>0</v>
      </c>
      <c r="N1039" s="84">
        <f t="shared" si="2366"/>
        <v>0</v>
      </c>
      <c r="O1039" s="3153">
        <v>0</v>
      </c>
      <c r="P1039" s="1154">
        <f t="shared" si="2367"/>
        <v>0</v>
      </c>
      <c r="Q1039" s="2144">
        <f t="shared" si="2368"/>
        <v>0</v>
      </c>
      <c r="R1039" s="3153"/>
      <c r="S1039" s="84">
        <f t="shared" si="2369"/>
        <v>0</v>
      </c>
      <c r="T1039" s="3153"/>
      <c r="U1039" s="84">
        <f t="shared" si="2374"/>
        <v>0</v>
      </c>
      <c r="V1039" s="3153"/>
      <c r="W1039" s="398">
        <f t="shared" si="2375"/>
        <v>0</v>
      </c>
      <c r="X1039" s="209">
        <f t="shared" si="2376"/>
        <v>0</v>
      </c>
      <c r="Y1039" s="3153"/>
      <c r="Z1039" s="84">
        <f t="shared" si="2377"/>
        <v>0</v>
      </c>
      <c r="AA1039" s="3153"/>
      <c r="AB1039" s="209">
        <f t="shared" si="2378"/>
        <v>0</v>
      </c>
      <c r="AC1039" s="5135"/>
      <c r="AD1039" s="1291">
        <f t="shared" si="2379"/>
        <v>0</v>
      </c>
      <c r="AE1039" s="1292">
        <f t="shared" si="2380"/>
        <v>0</v>
      </c>
      <c r="AF1039" s="814">
        <f t="shared" si="2381"/>
        <v>0</v>
      </c>
    </row>
    <row r="1040" spans="3:32" ht="35" customHeight="1" x14ac:dyDescent="0.25">
      <c r="C1040" s="338"/>
      <c r="D1040" s="2437"/>
      <c r="E1040" s="4605" t="s">
        <v>1086</v>
      </c>
      <c r="F1040" s="3153"/>
      <c r="G1040" s="3153"/>
      <c r="H1040" s="296">
        <f t="shared" si="2365"/>
        <v>0</v>
      </c>
      <c r="I1040" s="3153"/>
      <c r="J1040" s="304">
        <f t="shared" si="2373"/>
        <v>0</v>
      </c>
      <c r="K1040" s="3153"/>
      <c r="L1040" s="501">
        <f t="shared" si="2366"/>
        <v>0</v>
      </c>
      <c r="M1040" s="3153">
        <v>0</v>
      </c>
      <c r="N1040" s="84">
        <f t="shared" si="2366"/>
        <v>0</v>
      </c>
      <c r="O1040" s="3153">
        <v>0</v>
      </c>
      <c r="P1040" s="1154">
        <f t="shared" si="2367"/>
        <v>0</v>
      </c>
      <c r="Q1040" s="2144">
        <f t="shared" si="2368"/>
        <v>0</v>
      </c>
      <c r="R1040" s="3153"/>
      <c r="S1040" s="84">
        <f t="shared" si="2369"/>
        <v>0</v>
      </c>
      <c r="T1040" s="3153"/>
      <c r="U1040" s="84">
        <f t="shared" si="2374"/>
        <v>0</v>
      </c>
      <c r="V1040" s="3153"/>
      <c r="W1040" s="398">
        <f t="shared" si="2375"/>
        <v>0</v>
      </c>
      <c r="X1040" s="209">
        <f t="shared" si="2376"/>
        <v>0</v>
      </c>
      <c r="Y1040" s="3153"/>
      <c r="Z1040" s="84">
        <f t="shared" si="2377"/>
        <v>0</v>
      </c>
      <c r="AA1040" s="3153"/>
      <c r="AB1040" s="209">
        <f t="shared" si="2378"/>
        <v>0</v>
      </c>
      <c r="AC1040" s="5135"/>
      <c r="AD1040" s="1291">
        <f t="shared" si="2379"/>
        <v>0</v>
      </c>
      <c r="AE1040" s="1292">
        <f t="shared" si="2380"/>
        <v>0</v>
      </c>
      <c r="AF1040" s="814">
        <f t="shared" si="2381"/>
        <v>0</v>
      </c>
    </row>
    <row r="1041" spans="3:35" ht="35" customHeight="1" x14ac:dyDescent="0.25">
      <c r="C1041" s="338"/>
      <c r="D1041" s="2437"/>
      <c r="E1041" s="4605" t="s">
        <v>1399</v>
      </c>
      <c r="F1041" s="3153"/>
      <c r="G1041" s="3153"/>
      <c r="H1041" s="296">
        <f t="shared" si="2365"/>
        <v>0</v>
      </c>
      <c r="I1041" s="3153"/>
      <c r="J1041" s="304">
        <f t="shared" si="2373"/>
        <v>0</v>
      </c>
      <c r="K1041" s="3153"/>
      <c r="L1041" s="501">
        <f t="shared" si="2366"/>
        <v>0</v>
      </c>
      <c r="M1041" s="3153">
        <v>0</v>
      </c>
      <c r="N1041" s="84">
        <f t="shared" si="2366"/>
        <v>0</v>
      </c>
      <c r="O1041" s="3153">
        <v>0</v>
      </c>
      <c r="P1041" s="1154">
        <f t="shared" si="2367"/>
        <v>0</v>
      </c>
      <c r="Q1041" s="2144">
        <f t="shared" si="2368"/>
        <v>0</v>
      </c>
      <c r="R1041" s="3153"/>
      <c r="S1041" s="84">
        <f t="shared" si="2369"/>
        <v>0</v>
      </c>
      <c r="T1041" s="3153"/>
      <c r="U1041" s="84">
        <f t="shared" si="2374"/>
        <v>0</v>
      </c>
      <c r="V1041" s="3153"/>
      <c r="W1041" s="398">
        <f t="shared" si="2375"/>
        <v>0</v>
      </c>
      <c r="X1041" s="209">
        <f t="shared" si="2376"/>
        <v>0</v>
      </c>
      <c r="Y1041" s="3153"/>
      <c r="Z1041" s="84">
        <f t="shared" si="2377"/>
        <v>0</v>
      </c>
      <c r="AA1041" s="3153">
        <v>5967.1620000000021</v>
      </c>
      <c r="AB1041" s="209">
        <f t="shared" si="2378"/>
        <v>5967.1620000000021</v>
      </c>
      <c r="AC1041" s="5135"/>
      <c r="AD1041" s="1291">
        <f t="shared" si="2379"/>
        <v>5967.1620000000021</v>
      </c>
      <c r="AE1041" s="1292">
        <f t="shared" si="2380"/>
        <v>5967.1620000000021</v>
      </c>
      <c r="AF1041" s="814">
        <f t="shared" si="2381"/>
        <v>5967.1620000000021</v>
      </c>
    </row>
    <row r="1042" spans="3:35" ht="35" customHeight="1" x14ac:dyDescent="0.25">
      <c r="C1042" s="338"/>
      <c r="D1042" s="2437"/>
      <c r="E1042" s="4605" t="s">
        <v>1087</v>
      </c>
      <c r="F1042" s="3153"/>
      <c r="G1042" s="3153"/>
      <c r="H1042" s="296">
        <f t="shared" si="2365"/>
        <v>0</v>
      </c>
      <c r="I1042" s="3153"/>
      <c r="J1042" s="304">
        <f t="shared" si="2373"/>
        <v>0</v>
      </c>
      <c r="K1042" s="3153"/>
      <c r="L1042" s="501">
        <f t="shared" si="2366"/>
        <v>0</v>
      </c>
      <c r="M1042" s="3153">
        <v>0</v>
      </c>
      <c r="N1042" s="84">
        <f t="shared" si="2366"/>
        <v>0</v>
      </c>
      <c r="O1042" s="3153">
        <v>0</v>
      </c>
      <c r="P1042" s="1154">
        <f t="shared" si="2367"/>
        <v>0</v>
      </c>
      <c r="Q1042" s="2144">
        <f t="shared" si="2368"/>
        <v>0</v>
      </c>
      <c r="R1042" s="3153"/>
      <c r="S1042" s="84">
        <f t="shared" si="2369"/>
        <v>0</v>
      </c>
      <c r="T1042" s="3153"/>
      <c r="U1042" s="84">
        <f t="shared" si="2374"/>
        <v>0</v>
      </c>
      <c r="V1042" s="3153"/>
      <c r="W1042" s="398">
        <f t="shared" si="2375"/>
        <v>0</v>
      </c>
      <c r="X1042" s="209">
        <f t="shared" si="2376"/>
        <v>0</v>
      </c>
      <c r="Y1042" s="3153"/>
      <c r="Z1042" s="84">
        <f t="shared" si="2377"/>
        <v>0</v>
      </c>
      <c r="AA1042" s="3153"/>
      <c r="AB1042" s="209">
        <f t="shared" si="2378"/>
        <v>0</v>
      </c>
      <c r="AC1042" s="5135"/>
      <c r="AD1042" s="1291">
        <f t="shared" si="2379"/>
        <v>0</v>
      </c>
      <c r="AE1042" s="1292">
        <f t="shared" si="2380"/>
        <v>0</v>
      </c>
      <c r="AF1042" s="814">
        <f t="shared" si="2381"/>
        <v>0</v>
      </c>
    </row>
    <row r="1043" spans="3:35" ht="35" customHeight="1" x14ac:dyDescent="0.25">
      <c r="C1043" s="338"/>
      <c r="D1043" s="4666"/>
      <c r="E1043" s="4605" t="s">
        <v>1571</v>
      </c>
      <c r="F1043" s="3153"/>
      <c r="G1043" s="3153"/>
      <c r="H1043" s="296">
        <f t="shared" si="2365"/>
        <v>0</v>
      </c>
      <c r="I1043" s="3153"/>
      <c r="J1043" s="304">
        <f t="shared" si="2373"/>
        <v>0</v>
      </c>
      <c r="K1043" s="3153"/>
      <c r="L1043" s="501">
        <f t="shared" si="2366"/>
        <v>0</v>
      </c>
      <c r="M1043" s="3153">
        <v>0</v>
      </c>
      <c r="N1043" s="84">
        <f t="shared" si="2366"/>
        <v>0</v>
      </c>
      <c r="O1043" s="3153">
        <v>0</v>
      </c>
      <c r="P1043" s="1154">
        <f t="shared" ref="P1043:P1044" si="2386">+K1043+M1043+O1043</f>
        <v>0</v>
      </c>
      <c r="Q1043" s="2144">
        <f t="shared" ref="Q1043:Q1044" si="2387">+J1043+P1043</f>
        <v>0</v>
      </c>
      <c r="R1043" s="3153"/>
      <c r="S1043" s="84">
        <f t="shared" si="2369"/>
        <v>0</v>
      </c>
      <c r="T1043" s="3153"/>
      <c r="U1043" s="84">
        <f t="shared" si="2374"/>
        <v>0</v>
      </c>
      <c r="V1043" s="3153"/>
      <c r="W1043" s="398">
        <f t="shared" ref="W1043:W1044" si="2388">+R1043+T1043+V1043</f>
        <v>0</v>
      </c>
      <c r="X1043" s="209">
        <f t="shared" ref="X1043:X1044" si="2389">+U1043+V1043</f>
        <v>0</v>
      </c>
      <c r="Y1043" s="3153"/>
      <c r="Z1043" s="84">
        <f t="shared" si="2377"/>
        <v>0</v>
      </c>
      <c r="AA1043" s="3153"/>
      <c r="AB1043" s="209">
        <f t="shared" si="2378"/>
        <v>0</v>
      </c>
      <c r="AC1043" s="5135"/>
      <c r="AD1043" s="1291">
        <f t="shared" si="2379"/>
        <v>0</v>
      </c>
      <c r="AE1043" s="1292">
        <f t="shared" si="2380"/>
        <v>0</v>
      </c>
      <c r="AF1043" s="814">
        <f t="shared" si="2381"/>
        <v>0</v>
      </c>
    </row>
    <row r="1044" spans="3:35" ht="35" customHeight="1" x14ac:dyDescent="0.25">
      <c r="C1044" s="338"/>
      <c r="D1044" s="4791"/>
      <c r="E1044" s="4605" t="s">
        <v>1650</v>
      </c>
      <c r="F1044" s="3153"/>
      <c r="G1044" s="3153"/>
      <c r="H1044" s="296">
        <f t="shared" si="2365"/>
        <v>0</v>
      </c>
      <c r="I1044" s="3153"/>
      <c r="J1044" s="304">
        <f t="shared" si="2373"/>
        <v>0</v>
      </c>
      <c r="K1044" s="3153"/>
      <c r="L1044" s="501">
        <f t="shared" si="2366"/>
        <v>0</v>
      </c>
      <c r="M1044" s="3153">
        <v>0</v>
      </c>
      <c r="N1044" s="84">
        <f t="shared" si="2366"/>
        <v>0</v>
      </c>
      <c r="O1044" s="3153">
        <v>0</v>
      </c>
      <c r="P1044" s="1154">
        <f t="shared" si="2386"/>
        <v>0</v>
      </c>
      <c r="Q1044" s="2144">
        <f t="shared" si="2387"/>
        <v>0</v>
      </c>
      <c r="R1044" s="3153"/>
      <c r="S1044" s="84">
        <f t="shared" si="2369"/>
        <v>0</v>
      </c>
      <c r="T1044" s="3153"/>
      <c r="U1044" s="84">
        <f t="shared" si="2374"/>
        <v>0</v>
      </c>
      <c r="V1044" s="3153"/>
      <c r="W1044" s="398">
        <f t="shared" si="2388"/>
        <v>0</v>
      </c>
      <c r="X1044" s="209">
        <f t="shared" si="2389"/>
        <v>0</v>
      </c>
      <c r="Y1044" s="3153"/>
      <c r="Z1044" s="84">
        <f t="shared" si="2377"/>
        <v>0</v>
      </c>
      <c r="AA1044" s="3153"/>
      <c r="AB1044" s="209">
        <f t="shared" si="2378"/>
        <v>0</v>
      </c>
      <c r="AC1044" s="5135"/>
      <c r="AD1044" s="1291">
        <f t="shared" si="2379"/>
        <v>0</v>
      </c>
      <c r="AE1044" s="1292">
        <f t="shared" si="2380"/>
        <v>0</v>
      </c>
      <c r="AF1044" s="814">
        <f t="shared" si="2381"/>
        <v>0</v>
      </c>
    </row>
    <row r="1045" spans="3:35" ht="35" customHeight="1" x14ac:dyDescent="0.25">
      <c r="C1045" s="338"/>
      <c r="D1045" s="2437"/>
      <c r="E1045" s="4605" t="s">
        <v>1217</v>
      </c>
      <c r="F1045" s="3153"/>
      <c r="G1045" s="3153"/>
      <c r="H1045" s="296">
        <f t="shared" si="2365"/>
        <v>0</v>
      </c>
      <c r="I1045" s="3153"/>
      <c r="J1045" s="304">
        <f t="shared" si="2373"/>
        <v>0</v>
      </c>
      <c r="K1045" s="3153"/>
      <c r="L1045" s="501">
        <f t="shared" si="2366"/>
        <v>0</v>
      </c>
      <c r="M1045" s="3153">
        <f>2190.9072301823-38.25</f>
        <v>2152.6572301822998</v>
      </c>
      <c r="N1045" s="84">
        <f t="shared" si="2366"/>
        <v>2152.6572301822998</v>
      </c>
      <c r="O1045" s="3153">
        <v>0</v>
      </c>
      <c r="P1045" s="1154">
        <f t="shared" ref="P1045:P1046" si="2390">+K1045+M1045+O1045</f>
        <v>2152.6572301822998</v>
      </c>
      <c r="Q1045" s="2144">
        <f t="shared" ref="Q1045:Q1046" si="2391">+J1045+P1045</f>
        <v>2152.6572301822998</v>
      </c>
      <c r="R1045" s="3153"/>
      <c r="S1045" s="84">
        <f t="shared" si="2369"/>
        <v>2152.6572301822998</v>
      </c>
      <c r="T1045" s="3153"/>
      <c r="U1045" s="84">
        <f t="shared" si="2374"/>
        <v>2152.6572301822998</v>
      </c>
      <c r="V1045" s="3153"/>
      <c r="W1045" s="398">
        <f t="shared" si="2375"/>
        <v>0</v>
      </c>
      <c r="X1045" s="209">
        <f t="shared" si="2376"/>
        <v>2152.6572301822998</v>
      </c>
      <c r="Y1045" s="3153"/>
      <c r="Z1045" s="84">
        <f t="shared" si="2377"/>
        <v>2152.6572301822998</v>
      </c>
      <c r="AA1045" s="3153"/>
      <c r="AB1045" s="209">
        <f t="shared" si="2378"/>
        <v>2152.6572301822998</v>
      </c>
      <c r="AC1045" s="5135"/>
      <c r="AD1045" s="1291">
        <f t="shared" si="2379"/>
        <v>0</v>
      </c>
      <c r="AE1045" s="1292">
        <f t="shared" si="2380"/>
        <v>0</v>
      </c>
      <c r="AF1045" s="814">
        <f t="shared" si="2381"/>
        <v>2152.6572301822998</v>
      </c>
    </row>
    <row r="1046" spans="3:35" ht="35" customHeight="1" x14ac:dyDescent="0.25">
      <c r="C1046" s="338"/>
      <c r="D1046" s="2437"/>
      <c r="E1046" s="4605" t="s">
        <v>1224</v>
      </c>
      <c r="F1046" s="3153"/>
      <c r="G1046" s="3153"/>
      <c r="H1046" s="296">
        <f t="shared" si="2365"/>
        <v>0</v>
      </c>
      <c r="I1046" s="3153"/>
      <c r="J1046" s="304">
        <f t="shared" si="2373"/>
        <v>0</v>
      </c>
      <c r="K1046" s="3153"/>
      <c r="L1046" s="501">
        <f t="shared" si="2366"/>
        <v>0</v>
      </c>
      <c r="M1046" s="3153">
        <f>350.730210012-5.61</f>
        <v>345.12021001199997</v>
      </c>
      <c r="N1046" s="84">
        <f t="shared" si="2366"/>
        <v>345.12021001199997</v>
      </c>
      <c r="O1046" s="3153">
        <f>2084.6-39.69</f>
        <v>2044.9099999999999</v>
      </c>
      <c r="P1046" s="1154">
        <f t="shared" si="2390"/>
        <v>2390.0302100119998</v>
      </c>
      <c r="Q1046" s="2144">
        <f t="shared" si="2391"/>
        <v>2390.0302100119998</v>
      </c>
      <c r="R1046" s="3153"/>
      <c r="S1046" s="84">
        <f t="shared" si="2369"/>
        <v>2390.0302100119998</v>
      </c>
      <c r="T1046" s="3153"/>
      <c r="U1046" s="84">
        <f t="shared" si="2374"/>
        <v>2390.0302100119998</v>
      </c>
      <c r="V1046" s="3153"/>
      <c r="W1046" s="398">
        <f t="shared" si="2375"/>
        <v>0</v>
      </c>
      <c r="X1046" s="209">
        <f t="shared" si="2376"/>
        <v>2390.0302100119998</v>
      </c>
      <c r="Y1046" s="3153">
        <f>6209.01651-100.067-29.84</f>
        <v>6079.1095100000002</v>
      </c>
      <c r="Z1046" s="84">
        <f t="shared" si="2377"/>
        <v>8469.1397200120009</v>
      </c>
      <c r="AA1046" s="3153"/>
      <c r="AB1046" s="209">
        <f t="shared" si="2378"/>
        <v>8469.1397200120009</v>
      </c>
      <c r="AC1046" s="5135">
        <f>6437.901-82.285-103.163</f>
        <v>6252.4530000000004</v>
      </c>
      <c r="AD1046" s="1291">
        <f t="shared" si="2379"/>
        <v>12331.56251</v>
      </c>
      <c r="AE1046" s="1292">
        <f t="shared" si="2380"/>
        <v>12331.56251</v>
      </c>
      <c r="AF1046" s="814">
        <f t="shared" si="2381"/>
        <v>14721.592720012002</v>
      </c>
    </row>
    <row r="1047" spans="3:35" ht="35" customHeight="1" x14ac:dyDescent="0.25">
      <c r="C1047" s="338"/>
      <c r="D1047" s="4926"/>
      <c r="E1047" s="4605" t="s">
        <v>1709</v>
      </c>
      <c r="F1047" s="3153"/>
      <c r="G1047" s="3153"/>
      <c r="H1047" s="296">
        <f t="shared" si="2365"/>
        <v>0</v>
      </c>
      <c r="I1047" s="3153"/>
      <c r="J1047" s="304">
        <f t="shared" si="2373"/>
        <v>0</v>
      </c>
      <c r="K1047" s="3153"/>
      <c r="L1047" s="501">
        <f t="shared" si="2366"/>
        <v>0</v>
      </c>
      <c r="M1047" s="3153"/>
      <c r="N1047" s="84">
        <f t="shared" si="2366"/>
        <v>0</v>
      </c>
      <c r="O1047" s="3153">
        <f>71.82-1.4364</f>
        <v>70.383599999999987</v>
      </c>
      <c r="P1047" s="1154">
        <f t="shared" ref="P1047" si="2392">+K1047+M1047+O1047</f>
        <v>70.383599999999987</v>
      </c>
      <c r="Q1047" s="2144">
        <f t="shared" ref="Q1047" si="2393">+J1047+P1047</f>
        <v>70.383599999999987</v>
      </c>
      <c r="R1047" s="3153"/>
      <c r="S1047" s="84">
        <f t="shared" si="2369"/>
        <v>70.383599999999987</v>
      </c>
      <c r="T1047" s="3153"/>
      <c r="U1047" s="84">
        <f t="shared" si="2374"/>
        <v>70.383599999999987</v>
      </c>
      <c r="V1047" s="3153"/>
      <c r="W1047" s="398">
        <f t="shared" ref="W1047:W1049" si="2394">+R1047+T1047+V1047</f>
        <v>0</v>
      </c>
      <c r="X1047" s="209">
        <f t="shared" ref="X1047:X1049" si="2395">+U1047+V1047</f>
        <v>70.383599999999987</v>
      </c>
      <c r="Y1047" s="3153"/>
      <c r="Z1047" s="84">
        <f t="shared" si="2377"/>
        <v>70.383599999999987</v>
      </c>
      <c r="AA1047" s="3153"/>
      <c r="AB1047" s="209">
        <f t="shared" si="2378"/>
        <v>70.383599999999987</v>
      </c>
      <c r="AC1047" s="5135"/>
      <c r="AD1047" s="1291">
        <f t="shared" si="2379"/>
        <v>0</v>
      </c>
      <c r="AE1047" s="1292">
        <f t="shared" si="2380"/>
        <v>0</v>
      </c>
      <c r="AF1047" s="814">
        <f t="shared" si="2381"/>
        <v>70.383599999999987</v>
      </c>
    </row>
    <row r="1048" spans="3:35" ht="35" customHeight="1" x14ac:dyDescent="0.25">
      <c r="C1048" s="338"/>
      <c r="D1048" s="2437"/>
      <c r="E1048" s="4605" t="s">
        <v>1339</v>
      </c>
      <c r="F1048" s="3153"/>
      <c r="G1048" s="3153"/>
      <c r="H1048" s="296">
        <f t="shared" si="2365"/>
        <v>0</v>
      </c>
      <c r="I1048" s="3153"/>
      <c r="J1048" s="304">
        <f t="shared" si="2373"/>
        <v>0</v>
      </c>
      <c r="K1048" s="3153"/>
      <c r="L1048" s="501">
        <f t="shared" si="2366"/>
        <v>0</v>
      </c>
      <c r="M1048" s="3153">
        <v>0</v>
      </c>
      <c r="N1048" s="84">
        <f t="shared" si="2366"/>
        <v>0</v>
      </c>
      <c r="O1048" s="3153">
        <v>0</v>
      </c>
      <c r="P1048" s="1154">
        <f t="shared" si="2367"/>
        <v>0</v>
      </c>
      <c r="Q1048" s="2144">
        <f t="shared" si="2368"/>
        <v>0</v>
      </c>
      <c r="R1048" s="3153"/>
      <c r="S1048" s="84">
        <f t="shared" si="2369"/>
        <v>0</v>
      </c>
      <c r="T1048" s="3153"/>
      <c r="U1048" s="84">
        <f t="shared" si="2374"/>
        <v>0</v>
      </c>
      <c r="V1048" s="3153"/>
      <c r="W1048" s="398">
        <f t="shared" si="2394"/>
        <v>0</v>
      </c>
      <c r="X1048" s="209">
        <f t="shared" si="2395"/>
        <v>0</v>
      </c>
      <c r="Y1048" s="3153"/>
      <c r="Z1048" s="84">
        <f t="shared" si="2377"/>
        <v>0</v>
      </c>
      <c r="AA1048" s="3153"/>
      <c r="AB1048" s="209">
        <f t="shared" si="2378"/>
        <v>0</v>
      </c>
      <c r="AC1048" s="5135"/>
      <c r="AD1048" s="1291">
        <f t="shared" si="2379"/>
        <v>0</v>
      </c>
      <c r="AE1048" s="1292">
        <f t="shared" si="2380"/>
        <v>0</v>
      </c>
      <c r="AF1048" s="814">
        <f t="shared" si="2381"/>
        <v>0</v>
      </c>
    </row>
    <row r="1049" spans="3:35" ht="35" customHeight="1" x14ac:dyDescent="0.25">
      <c r="C1049" s="338"/>
      <c r="D1049" s="4791"/>
      <c r="E1049" s="4605" t="s">
        <v>1652</v>
      </c>
      <c r="F1049" s="3153"/>
      <c r="G1049" s="3153"/>
      <c r="H1049" s="296">
        <f t="shared" si="2365"/>
        <v>0</v>
      </c>
      <c r="I1049" s="3153"/>
      <c r="J1049" s="304">
        <f t="shared" si="2373"/>
        <v>0</v>
      </c>
      <c r="K1049" s="3153"/>
      <c r="L1049" s="501">
        <f t="shared" si="2366"/>
        <v>0</v>
      </c>
      <c r="M1049" s="3153">
        <v>0</v>
      </c>
      <c r="N1049" s="84">
        <f t="shared" si="2366"/>
        <v>0</v>
      </c>
      <c r="O1049" s="3153">
        <f>179.54-5.59</f>
        <v>173.95</v>
      </c>
      <c r="P1049" s="1154">
        <f t="shared" ref="P1049" si="2396">+K1049+M1049+O1049</f>
        <v>173.95</v>
      </c>
      <c r="Q1049" s="2144">
        <f t="shared" ref="Q1049" si="2397">+J1049+P1049</f>
        <v>173.95</v>
      </c>
      <c r="R1049" s="3153"/>
      <c r="S1049" s="84">
        <f t="shared" si="2369"/>
        <v>173.95</v>
      </c>
      <c r="T1049" s="3153"/>
      <c r="U1049" s="84">
        <f t="shared" si="2374"/>
        <v>173.95</v>
      </c>
      <c r="V1049" s="3153"/>
      <c r="W1049" s="398">
        <f t="shared" si="2394"/>
        <v>0</v>
      </c>
      <c r="X1049" s="209">
        <f t="shared" si="2395"/>
        <v>173.95</v>
      </c>
      <c r="Y1049" s="3153">
        <f>1795.516056-45-99.38</f>
        <v>1651.1360559999998</v>
      </c>
      <c r="Z1049" s="84">
        <f t="shared" si="2377"/>
        <v>1825.0860559999999</v>
      </c>
      <c r="AA1049" s="3153"/>
      <c r="AB1049" s="209">
        <f t="shared" si="2378"/>
        <v>1825.0860559999999</v>
      </c>
      <c r="AC1049" s="5135"/>
      <c r="AD1049" s="1291">
        <f t="shared" si="2379"/>
        <v>1651.1360559999998</v>
      </c>
      <c r="AE1049" s="1292">
        <f t="shared" si="2380"/>
        <v>1651.1360559999998</v>
      </c>
      <c r="AF1049" s="814">
        <f t="shared" si="2381"/>
        <v>1825.0860559999999</v>
      </c>
    </row>
    <row r="1050" spans="3:35" ht="35" customHeight="1" x14ac:dyDescent="0.25">
      <c r="C1050" s="338"/>
      <c r="D1050" s="2437"/>
      <c r="E1050" s="4605" t="s">
        <v>1651</v>
      </c>
      <c r="F1050" s="3153"/>
      <c r="G1050" s="3153"/>
      <c r="H1050" s="296">
        <f t="shared" si="2365"/>
        <v>0</v>
      </c>
      <c r="I1050" s="3153"/>
      <c r="J1050" s="304">
        <f t="shared" si="2373"/>
        <v>0</v>
      </c>
      <c r="K1050" s="3153"/>
      <c r="L1050" s="501">
        <f t="shared" si="2366"/>
        <v>0</v>
      </c>
      <c r="M1050" s="3153">
        <v>0</v>
      </c>
      <c r="N1050" s="84">
        <f t="shared" si="2366"/>
        <v>0</v>
      </c>
      <c r="O1050" s="3153">
        <v>0</v>
      </c>
      <c r="P1050" s="1154">
        <f t="shared" ref="P1050" si="2398">+K1050+M1050+O1050</f>
        <v>0</v>
      </c>
      <c r="Q1050" s="2144">
        <f t="shared" ref="Q1050" si="2399">+J1050+P1050</f>
        <v>0</v>
      </c>
      <c r="R1050" s="3153"/>
      <c r="S1050" s="84">
        <f t="shared" si="2369"/>
        <v>0</v>
      </c>
      <c r="T1050" s="3153"/>
      <c r="U1050" s="84">
        <f t="shared" si="2374"/>
        <v>0</v>
      </c>
      <c r="V1050" s="3153"/>
      <c r="W1050" s="398">
        <f t="shared" ref="W1050" si="2400">+R1050+T1050+V1050</f>
        <v>0</v>
      </c>
      <c r="X1050" s="209">
        <f t="shared" ref="X1050" si="2401">+U1050+V1050</f>
        <v>0</v>
      </c>
      <c r="Y1050" s="3153"/>
      <c r="Z1050" s="84">
        <f t="shared" si="2377"/>
        <v>0</v>
      </c>
      <c r="AA1050" s="3153"/>
      <c r="AB1050" s="209">
        <f t="shared" si="2378"/>
        <v>0</v>
      </c>
      <c r="AC1050" s="5135"/>
      <c r="AD1050" s="1291">
        <f t="shared" si="2379"/>
        <v>0</v>
      </c>
      <c r="AE1050" s="1292">
        <f t="shared" si="2380"/>
        <v>0</v>
      </c>
      <c r="AF1050" s="814">
        <f t="shared" si="2381"/>
        <v>0</v>
      </c>
    </row>
    <row r="1051" spans="3:35" ht="35" customHeight="1" x14ac:dyDescent="0.25">
      <c r="C1051" s="338"/>
      <c r="D1051" s="2437"/>
      <c r="E1051" s="4605" t="s">
        <v>1364</v>
      </c>
      <c r="F1051" s="3153"/>
      <c r="G1051" s="3153"/>
      <c r="H1051" s="296">
        <f t="shared" si="2365"/>
        <v>0</v>
      </c>
      <c r="I1051" s="3153"/>
      <c r="J1051" s="304">
        <f t="shared" si="2373"/>
        <v>0</v>
      </c>
      <c r="K1051" s="3153"/>
      <c r="L1051" s="501">
        <f t="shared" si="2366"/>
        <v>0</v>
      </c>
      <c r="M1051" s="3153">
        <v>0</v>
      </c>
      <c r="N1051" s="84">
        <f t="shared" si="2366"/>
        <v>0</v>
      </c>
      <c r="O1051" s="3153">
        <v>0</v>
      </c>
      <c r="P1051" s="1154">
        <f t="shared" si="2367"/>
        <v>0</v>
      </c>
      <c r="Q1051" s="2144">
        <f t="shared" si="2368"/>
        <v>0</v>
      </c>
      <c r="R1051" s="3153"/>
      <c r="S1051" s="84">
        <f t="shared" si="2369"/>
        <v>0</v>
      </c>
      <c r="T1051" s="3153"/>
      <c r="U1051" s="84">
        <f t="shared" si="2374"/>
        <v>0</v>
      </c>
      <c r="V1051" s="3153"/>
      <c r="W1051" s="398">
        <f t="shared" si="2375"/>
        <v>0</v>
      </c>
      <c r="X1051" s="209">
        <f t="shared" si="2376"/>
        <v>0</v>
      </c>
      <c r="Y1051" s="3153"/>
      <c r="Z1051" s="84">
        <f t="shared" si="2377"/>
        <v>0</v>
      </c>
      <c r="AA1051" s="3153"/>
      <c r="AB1051" s="209">
        <f t="shared" si="2378"/>
        <v>0</v>
      </c>
      <c r="AC1051" s="5135"/>
      <c r="AD1051" s="1291">
        <f t="shared" si="2379"/>
        <v>0</v>
      </c>
      <c r="AE1051" s="1292">
        <f t="shared" si="2380"/>
        <v>0</v>
      </c>
      <c r="AF1051" s="814">
        <f t="shared" si="2381"/>
        <v>0</v>
      </c>
    </row>
    <row r="1052" spans="3:35" ht="35" customHeight="1" x14ac:dyDescent="0.25">
      <c r="C1052" s="338"/>
      <c r="D1052" s="2437"/>
      <c r="E1052" s="4605" t="s">
        <v>1434</v>
      </c>
      <c r="F1052" s="3153"/>
      <c r="G1052" s="3153"/>
      <c r="H1052" s="296">
        <f t="shared" si="2365"/>
        <v>0</v>
      </c>
      <c r="I1052" s="3153"/>
      <c r="J1052" s="304">
        <f t="shared" si="2373"/>
        <v>0</v>
      </c>
      <c r="K1052" s="3153"/>
      <c r="L1052" s="501">
        <f t="shared" si="2366"/>
        <v>0</v>
      </c>
      <c r="M1052" s="3153">
        <v>0</v>
      </c>
      <c r="N1052" s="84">
        <f t="shared" si="2366"/>
        <v>0</v>
      </c>
      <c r="O1052" s="3153">
        <v>0</v>
      </c>
      <c r="P1052" s="1154">
        <f t="shared" si="2367"/>
        <v>0</v>
      </c>
      <c r="Q1052" s="2144">
        <f t="shared" si="2368"/>
        <v>0</v>
      </c>
      <c r="R1052" s="3153"/>
      <c r="S1052" s="84">
        <f t="shared" si="2369"/>
        <v>0</v>
      </c>
      <c r="T1052" s="3153"/>
      <c r="U1052" s="84">
        <f t="shared" si="2374"/>
        <v>0</v>
      </c>
      <c r="V1052" s="3153"/>
      <c r="W1052" s="398">
        <f t="shared" si="2375"/>
        <v>0</v>
      </c>
      <c r="X1052" s="209">
        <f t="shared" si="2376"/>
        <v>0</v>
      </c>
      <c r="Y1052" s="3153"/>
      <c r="Z1052" s="84">
        <f t="shared" si="2377"/>
        <v>0</v>
      </c>
      <c r="AA1052" s="3153"/>
      <c r="AB1052" s="209">
        <f t="shared" si="2378"/>
        <v>0</v>
      </c>
      <c r="AC1052" s="5135"/>
      <c r="AD1052" s="1291">
        <f t="shared" si="2379"/>
        <v>0</v>
      </c>
      <c r="AE1052" s="1292">
        <f t="shared" si="2380"/>
        <v>0</v>
      </c>
      <c r="AF1052" s="814">
        <f t="shared" si="2381"/>
        <v>0</v>
      </c>
    </row>
    <row r="1053" spans="3:35" ht="35" customHeight="1" x14ac:dyDescent="0.25">
      <c r="C1053" s="338"/>
      <c r="D1053" s="2437"/>
      <c r="E1053" s="4605" t="s">
        <v>1386</v>
      </c>
      <c r="F1053" s="3153"/>
      <c r="G1053" s="3153"/>
      <c r="H1053" s="296">
        <f t="shared" si="2365"/>
        <v>0</v>
      </c>
      <c r="I1053" s="3153"/>
      <c r="J1053" s="304">
        <f t="shared" si="2373"/>
        <v>0</v>
      </c>
      <c r="K1053" s="3153"/>
      <c r="L1053" s="501">
        <f t="shared" si="2366"/>
        <v>0</v>
      </c>
      <c r="M1053" s="3153">
        <v>0</v>
      </c>
      <c r="N1053" s="84">
        <f t="shared" si="2366"/>
        <v>0</v>
      </c>
      <c r="O1053" s="3153">
        <v>0</v>
      </c>
      <c r="P1053" s="1154">
        <f t="shared" si="2367"/>
        <v>0</v>
      </c>
      <c r="Q1053" s="2144">
        <f t="shared" si="2368"/>
        <v>0</v>
      </c>
      <c r="R1053" s="3153"/>
      <c r="S1053" s="84">
        <f t="shared" si="2369"/>
        <v>0</v>
      </c>
      <c r="T1053" s="3153"/>
      <c r="U1053" s="84">
        <f t="shared" si="2374"/>
        <v>0</v>
      </c>
      <c r="V1053" s="3153"/>
      <c r="W1053" s="398">
        <f t="shared" si="2375"/>
        <v>0</v>
      </c>
      <c r="X1053" s="209">
        <f t="shared" si="2376"/>
        <v>0</v>
      </c>
      <c r="Y1053" s="3153"/>
      <c r="Z1053" s="84">
        <f t="shared" si="2377"/>
        <v>0</v>
      </c>
      <c r="AA1053" s="3153"/>
      <c r="AB1053" s="209">
        <f t="shared" si="2378"/>
        <v>0</v>
      </c>
      <c r="AC1053" s="5135"/>
      <c r="AD1053" s="1291">
        <f t="shared" si="2379"/>
        <v>0</v>
      </c>
      <c r="AE1053" s="1292">
        <f t="shared" si="2380"/>
        <v>0</v>
      </c>
      <c r="AF1053" s="814">
        <f t="shared" si="2381"/>
        <v>0</v>
      </c>
    </row>
    <row r="1054" spans="3:35" ht="35" customHeight="1" x14ac:dyDescent="0.25">
      <c r="C1054" s="338"/>
      <c r="D1054" s="2437"/>
      <c r="E1054" s="4607" t="s">
        <v>1436</v>
      </c>
      <c r="F1054" s="3153"/>
      <c r="G1054" s="3153"/>
      <c r="H1054" s="296">
        <f t="shared" si="2365"/>
        <v>0</v>
      </c>
      <c r="I1054" s="3153"/>
      <c r="J1054" s="304">
        <f t="shared" si="2373"/>
        <v>0</v>
      </c>
      <c r="K1054" s="3153"/>
      <c r="L1054" s="501">
        <f t="shared" si="2366"/>
        <v>0</v>
      </c>
      <c r="M1054" s="3153">
        <v>0</v>
      </c>
      <c r="N1054" s="84">
        <f t="shared" si="2366"/>
        <v>0</v>
      </c>
      <c r="O1054" s="3153">
        <v>0</v>
      </c>
      <c r="P1054" s="1154">
        <f t="shared" si="2367"/>
        <v>0</v>
      </c>
      <c r="Q1054" s="2144">
        <f t="shared" si="2368"/>
        <v>0</v>
      </c>
      <c r="R1054" s="3153"/>
      <c r="S1054" s="84">
        <f t="shared" si="2369"/>
        <v>0</v>
      </c>
      <c r="T1054" s="3153"/>
      <c r="U1054" s="84">
        <f t="shared" si="2374"/>
        <v>0</v>
      </c>
      <c r="V1054" s="3153"/>
      <c r="W1054" s="398">
        <f t="shared" si="2375"/>
        <v>0</v>
      </c>
      <c r="X1054" s="209">
        <f t="shared" si="2376"/>
        <v>0</v>
      </c>
      <c r="Y1054" s="5060"/>
      <c r="Z1054" s="84">
        <f t="shared" si="2377"/>
        <v>0</v>
      </c>
      <c r="AA1054" s="5060"/>
      <c r="AB1054" s="209">
        <f t="shared" si="2378"/>
        <v>0</v>
      </c>
      <c r="AC1054" s="5135"/>
      <c r="AD1054" s="1291">
        <f t="shared" si="2379"/>
        <v>0</v>
      </c>
      <c r="AE1054" s="1292">
        <f t="shared" si="2380"/>
        <v>0</v>
      </c>
      <c r="AF1054" s="814">
        <f t="shared" si="2381"/>
        <v>0</v>
      </c>
    </row>
    <row r="1055" spans="3:35" ht="35" customHeight="1" x14ac:dyDescent="0.25">
      <c r="C1055" s="338"/>
      <c r="D1055" s="2437">
        <v>239.5103</v>
      </c>
      <c r="E1055" s="4607" t="s">
        <v>1272</v>
      </c>
      <c r="F1055" s="3153"/>
      <c r="G1055" s="3153"/>
      <c r="H1055" s="296">
        <f t="shared" si="2365"/>
        <v>0</v>
      </c>
      <c r="I1055" s="3153"/>
      <c r="J1055" s="304">
        <f t="shared" si="2373"/>
        <v>0</v>
      </c>
      <c r="K1055" s="3153"/>
      <c r="L1055" s="501">
        <f t="shared" si="2366"/>
        <v>0</v>
      </c>
      <c r="M1055" s="3153">
        <f>38.25+5.61</f>
        <v>43.86</v>
      </c>
      <c r="N1055" s="84">
        <f t="shared" si="2366"/>
        <v>43.86</v>
      </c>
      <c r="O1055" s="3153">
        <v>46.7164</v>
      </c>
      <c r="P1055" s="1154">
        <f t="shared" si="2367"/>
        <v>90.576400000000007</v>
      </c>
      <c r="Q1055" s="2144">
        <f t="shared" si="2368"/>
        <v>90.576400000000007</v>
      </c>
      <c r="R1055" s="3153"/>
      <c r="S1055" s="84">
        <f t="shared" si="2369"/>
        <v>90.576400000000007</v>
      </c>
      <c r="T1055" s="3153"/>
      <c r="U1055" s="84">
        <f t="shared" si="2374"/>
        <v>90.576400000000007</v>
      </c>
      <c r="V1055" s="3153"/>
      <c r="W1055" s="398">
        <f t="shared" si="2375"/>
        <v>0</v>
      </c>
      <c r="X1055" s="209">
        <f t="shared" si="2376"/>
        <v>90.576400000000007</v>
      </c>
      <c r="Y1055" s="5060">
        <f>100.067+45+129.22</f>
        <v>274.28700000000003</v>
      </c>
      <c r="Z1055" s="84">
        <f t="shared" si="2377"/>
        <v>364.86340000000007</v>
      </c>
      <c r="AA1055" s="5060"/>
      <c r="AB1055" s="209">
        <f t="shared" si="2378"/>
        <v>364.86340000000007</v>
      </c>
      <c r="AC1055" s="5135">
        <v>185.44800000000001</v>
      </c>
      <c r="AD1055" s="1291">
        <f t="shared" si="2379"/>
        <v>459.73500000000001</v>
      </c>
      <c r="AE1055" s="1292">
        <f t="shared" si="2380"/>
        <v>459.73500000000001</v>
      </c>
      <c r="AF1055" s="814">
        <f t="shared" si="2381"/>
        <v>550.31140000000005</v>
      </c>
    </row>
    <row r="1056" spans="3:35" ht="35" customHeight="1" x14ac:dyDescent="0.25">
      <c r="C1056" s="338"/>
      <c r="D1056" s="2437"/>
      <c r="E1056" s="4607" t="s">
        <v>1273</v>
      </c>
      <c r="F1056" s="3153"/>
      <c r="G1056" s="3153"/>
      <c r="H1056" s="296">
        <f t="shared" si="2365"/>
        <v>0</v>
      </c>
      <c r="I1056" s="3153"/>
      <c r="J1056" s="304">
        <f t="shared" si="2373"/>
        <v>0</v>
      </c>
      <c r="K1056" s="3153"/>
      <c r="L1056" s="501">
        <f t="shared" si="2366"/>
        <v>0</v>
      </c>
      <c r="M1056" s="3153">
        <v>0</v>
      </c>
      <c r="N1056" s="84">
        <f t="shared" si="2366"/>
        <v>0</v>
      </c>
      <c r="O1056" s="3153">
        <v>0</v>
      </c>
      <c r="P1056" s="1154">
        <f t="shared" si="2367"/>
        <v>0</v>
      </c>
      <c r="Q1056" s="2144">
        <f t="shared" si="2368"/>
        <v>0</v>
      </c>
      <c r="R1056" s="3153"/>
      <c r="S1056" s="84">
        <f t="shared" si="2369"/>
        <v>0</v>
      </c>
      <c r="T1056" s="3153"/>
      <c r="U1056" s="84">
        <f t="shared" si="2374"/>
        <v>0</v>
      </c>
      <c r="V1056" s="3153"/>
      <c r="W1056" s="398">
        <f t="shared" si="2375"/>
        <v>0</v>
      </c>
      <c r="X1056" s="209">
        <f t="shared" si="2376"/>
        <v>0</v>
      </c>
      <c r="Y1056" s="5060"/>
      <c r="Z1056" s="84">
        <f t="shared" si="2377"/>
        <v>0</v>
      </c>
      <c r="AA1056" s="5060">
        <v>97.027000000000015</v>
      </c>
      <c r="AB1056" s="209">
        <f t="shared" si="2378"/>
        <v>97.027000000000015</v>
      </c>
      <c r="AC1056" s="5135"/>
      <c r="AD1056" s="1291">
        <f t="shared" si="2379"/>
        <v>97.027000000000015</v>
      </c>
      <c r="AE1056" s="1292">
        <f t="shared" si="2380"/>
        <v>97.027000000000015</v>
      </c>
      <c r="AF1056" s="814">
        <f t="shared" si="2381"/>
        <v>97.027000000000015</v>
      </c>
      <c r="AI1056" s="4756">
        <f>+AA1056+AA1057+AA1059</f>
        <v>295.70150000000001</v>
      </c>
    </row>
    <row r="1057" spans="3:32" ht="34.5" customHeight="1" x14ac:dyDescent="0.25">
      <c r="C1057" s="338"/>
      <c r="D1057" s="2437"/>
      <c r="E1057" s="4607" t="s">
        <v>1274</v>
      </c>
      <c r="F1057" s="3153"/>
      <c r="G1057" s="3153"/>
      <c r="H1057" s="296">
        <f t="shared" si="2365"/>
        <v>0</v>
      </c>
      <c r="I1057" s="3153"/>
      <c r="J1057" s="304">
        <f t="shared" si="2373"/>
        <v>0</v>
      </c>
      <c r="K1057" s="3153"/>
      <c r="L1057" s="501">
        <f t="shared" si="2366"/>
        <v>0</v>
      </c>
      <c r="M1057" s="3153">
        <v>24.18</v>
      </c>
      <c r="N1057" s="84">
        <f t="shared" si="2366"/>
        <v>24.18</v>
      </c>
      <c r="O1057" s="3153">
        <v>0</v>
      </c>
      <c r="P1057" s="1154">
        <f t="shared" si="2367"/>
        <v>24.18</v>
      </c>
      <c r="Q1057" s="2144">
        <f t="shared" si="2368"/>
        <v>24.18</v>
      </c>
      <c r="R1057" s="3153">
        <f>65.17+0.606</f>
        <v>65.775999999999996</v>
      </c>
      <c r="S1057" s="84">
        <f t="shared" si="2369"/>
        <v>89.955999999999989</v>
      </c>
      <c r="T1057" s="3153">
        <f>10.14+36.91</f>
        <v>47.05</v>
      </c>
      <c r="U1057" s="84">
        <f t="shared" si="2374"/>
        <v>137.00599999999997</v>
      </c>
      <c r="V1057" s="3153"/>
      <c r="W1057" s="398">
        <f t="shared" si="2375"/>
        <v>112.82599999999999</v>
      </c>
      <c r="X1057" s="209">
        <f t="shared" si="2376"/>
        <v>137.00599999999997</v>
      </c>
      <c r="Y1057" s="5060">
        <f>6.588+64.37</f>
        <v>70.957999999999998</v>
      </c>
      <c r="Z1057" s="84">
        <f t="shared" si="2377"/>
        <v>207.96399999999997</v>
      </c>
      <c r="AA1057" s="5060">
        <f>102.3-1.0305</f>
        <v>101.26949999999999</v>
      </c>
      <c r="AB1057" s="209">
        <f t="shared" si="2378"/>
        <v>309.23349999999994</v>
      </c>
      <c r="AC1057" s="5135">
        <v>63.49</v>
      </c>
      <c r="AD1057" s="1291">
        <f t="shared" si="2379"/>
        <v>235.7175</v>
      </c>
      <c r="AE1057" s="1292">
        <f t="shared" si="2380"/>
        <v>348.54349999999999</v>
      </c>
      <c r="AF1057" s="814">
        <f t="shared" si="2381"/>
        <v>372.72349999999994</v>
      </c>
    </row>
    <row r="1058" spans="3:32" ht="35" customHeight="1" x14ac:dyDescent="0.25">
      <c r="C1058" s="338"/>
      <c r="D1058" s="2437"/>
      <c r="E1058" s="4607" t="s">
        <v>1359</v>
      </c>
      <c r="F1058" s="3153"/>
      <c r="G1058" s="3153"/>
      <c r="H1058" s="296">
        <f t="shared" si="2365"/>
        <v>0</v>
      </c>
      <c r="I1058" s="3153"/>
      <c r="J1058" s="304">
        <f t="shared" si="2373"/>
        <v>0</v>
      </c>
      <c r="K1058" s="3153"/>
      <c r="L1058" s="501">
        <f t="shared" si="2366"/>
        <v>0</v>
      </c>
      <c r="M1058" s="3153">
        <v>32.25</v>
      </c>
      <c r="N1058" s="84">
        <f t="shared" si="2366"/>
        <v>32.25</v>
      </c>
      <c r="O1058" s="3153">
        <v>0</v>
      </c>
      <c r="P1058" s="1154">
        <f t="shared" si="2367"/>
        <v>32.25</v>
      </c>
      <c r="Q1058" s="2144">
        <f t="shared" si="2368"/>
        <v>32.25</v>
      </c>
      <c r="R1058" s="3153">
        <f>72.35+135</f>
        <v>207.35</v>
      </c>
      <c r="S1058" s="84">
        <f t="shared" si="2369"/>
        <v>239.6</v>
      </c>
      <c r="T1058" s="3153"/>
      <c r="U1058" s="84">
        <f t="shared" si="2374"/>
        <v>239.6</v>
      </c>
      <c r="V1058" s="3153"/>
      <c r="W1058" s="398">
        <f t="shared" si="2375"/>
        <v>207.35</v>
      </c>
      <c r="X1058" s="209">
        <f t="shared" si="2376"/>
        <v>239.6</v>
      </c>
      <c r="Y1058" s="5060"/>
      <c r="Z1058" s="84">
        <f t="shared" si="2377"/>
        <v>239.6</v>
      </c>
      <c r="AA1058" s="5060"/>
      <c r="AB1058" s="209">
        <f t="shared" si="2378"/>
        <v>239.6</v>
      </c>
      <c r="AC1058" s="5138">
        <f>1.676+72.279</f>
        <v>73.954999999999998</v>
      </c>
      <c r="AD1058" s="1291">
        <f t="shared" si="2379"/>
        <v>73.954999999999998</v>
      </c>
      <c r="AE1058" s="1292">
        <f t="shared" si="2380"/>
        <v>281.30500000000001</v>
      </c>
      <c r="AF1058" s="814">
        <f t="shared" si="2381"/>
        <v>313.55500000000001</v>
      </c>
    </row>
    <row r="1059" spans="3:32" ht="35" customHeight="1" x14ac:dyDescent="0.25">
      <c r="C1059" s="338"/>
      <c r="D1059" s="2437"/>
      <c r="E1059" s="4607" t="s">
        <v>1275</v>
      </c>
      <c r="F1059" s="3153"/>
      <c r="G1059" s="3153"/>
      <c r="H1059" s="296">
        <f t="shared" si="2365"/>
        <v>0</v>
      </c>
      <c r="I1059" s="3153"/>
      <c r="J1059" s="304">
        <f t="shared" si="2373"/>
        <v>0</v>
      </c>
      <c r="K1059" s="3153"/>
      <c r="L1059" s="501">
        <f t="shared" si="2366"/>
        <v>0</v>
      </c>
      <c r="M1059" s="3153">
        <f>1.6+4.22+81.35+11.26</f>
        <v>98.429999999999993</v>
      </c>
      <c r="N1059" s="84">
        <f t="shared" si="2366"/>
        <v>98.429999999999993</v>
      </c>
      <c r="O1059" s="3153">
        <v>0</v>
      </c>
      <c r="P1059" s="1154">
        <f t="shared" si="2367"/>
        <v>98.429999999999993</v>
      </c>
      <c r="Q1059" s="2144">
        <f t="shared" si="2368"/>
        <v>98.429999999999993</v>
      </c>
      <c r="R1059" s="3153">
        <f>61.42+5.488</f>
        <v>66.908000000000001</v>
      </c>
      <c r="S1059" s="84">
        <f t="shared" si="2369"/>
        <v>165.33799999999999</v>
      </c>
      <c r="T1059" s="3153">
        <v>68.540000000000006</v>
      </c>
      <c r="U1059" s="84">
        <f t="shared" si="2374"/>
        <v>233.87799999999999</v>
      </c>
      <c r="V1059" s="3153"/>
      <c r="W1059" s="398">
        <f t="shared" si="2375"/>
        <v>135.44800000000001</v>
      </c>
      <c r="X1059" s="209">
        <f t="shared" si="2376"/>
        <v>233.87799999999999</v>
      </c>
      <c r="Y1059" s="5060">
        <f>20.656+73.27</f>
        <v>93.925999999999988</v>
      </c>
      <c r="Z1059" s="84">
        <f t="shared" si="2377"/>
        <v>327.80399999999997</v>
      </c>
      <c r="AA1059" s="5060">
        <v>97.405000000000001</v>
      </c>
      <c r="AB1059" s="209">
        <f t="shared" si="2378"/>
        <v>425.20899999999995</v>
      </c>
      <c r="AC1059" s="5135">
        <v>18.463999999999999</v>
      </c>
      <c r="AD1059" s="1291">
        <f t="shared" si="2379"/>
        <v>209.79499999999999</v>
      </c>
      <c r="AE1059" s="1292">
        <f t="shared" si="2380"/>
        <v>345.24299999999999</v>
      </c>
      <c r="AF1059" s="814">
        <f t="shared" si="2381"/>
        <v>443.67299999999994</v>
      </c>
    </row>
    <row r="1060" spans="3:32" ht="35" customHeight="1" x14ac:dyDescent="0.25">
      <c r="C1060" s="338"/>
      <c r="D1060" s="2437"/>
      <c r="E1060" s="4607" t="s">
        <v>1659</v>
      </c>
      <c r="F1060" s="3153"/>
      <c r="G1060" s="3153"/>
      <c r="H1060" s="296">
        <f t="shared" si="2365"/>
        <v>0</v>
      </c>
      <c r="I1060" s="3153"/>
      <c r="J1060" s="304">
        <f t="shared" si="2373"/>
        <v>0</v>
      </c>
      <c r="K1060" s="3153"/>
      <c r="L1060" s="501">
        <f t="shared" si="2366"/>
        <v>0</v>
      </c>
      <c r="M1060" s="3153">
        <v>0</v>
      </c>
      <c r="N1060" s="84">
        <f t="shared" si="2366"/>
        <v>0</v>
      </c>
      <c r="O1060" s="3153">
        <v>0</v>
      </c>
      <c r="P1060" s="1154">
        <f t="shared" si="2367"/>
        <v>0</v>
      </c>
      <c r="Q1060" s="2144">
        <f t="shared" si="2368"/>
        <v>0</v>
      </c>
      <c r="R1060" s="3153"/>
      <c r="S1060" s="84">
        <f t="shared" si="2369"/>
        <v>0</v>
      </c>
      <c r="T1060" s="3153"/>
      <c r="U1060" s="84">
        <f t="shared" si="2374"/>
        <v>0</v>
      </c>
      <c r="V1060" s="3153"/>
      <c r="W1060" s="398">
        <f t="shared" si="2375"/>
        <v>0</v>
      </c>
      <c r="X1060" s="209">
        <f t="shared" si="2376"/>
        <v>0</v>
      </c>
      <c r="Y1060" s="5060"/>
      <c r="Z1060" s="84">
        <f t="shared" si="2377"/>
        <v>0</v>
      </c>
      <c r="AA1060" s="5060"/>
      <c r="AB1060" s="209">
        <f t="shared" si="2378"/>
        <v>0</v>
      </c>
      <c r="AC1060" s="5135"/>
      <c r="AD1060" s="1291">
        <f t="shared" si="2379"/>
        <v>0</v>
      </c>
      <c r="AE1060" s="1292">
        <f t="shared" si="2380"/>
        <v>0</v>
      </c>
      <c r="AF1060" s="814">
        <f t="shared" si="2381"/>
        <v>0</v>
      </c>
    </row>
    <row r="1061" spans="3:32" ht="35" customHeight="1" x14ac:dyDescent="0.25">
      <c r="C1061" s="338"/>
      <c r="D1061" s="2437"/>
      <c r="E1061" s="4607" t="s">
        <v>1448</v>
      </c>
      <c r="F1061" s="3153"/>
      <c r="G1061" s="3153"/>
      <c r="H1061" s="296">
        <f t="shared" si="2365"/>
        <v>0</v>
      </c>
      <c r="I1061" s="3153"/>
      <c r="J1061" s="304">
        <f t="shared" si="2373"/>
        <v>0</v>
      </c>
      <c r="K1061" s="3153"/>
      <c r="L1061" s="501">
        <f t="shared" si="2366"/>
        <v>0</v>
      </c>
      <c r="M1061" s="3153">
        <f>2.79+33.18</f>
        <v>35.97</v>
      </c>
      <c r="N1061" s="84">
        <f t="shared" ref="N1061" si="2402">+L1061+M1061</f>
        <v>35.97</v>
      </c>
      <c r="O1061" s="3153">
        <v>0</v>
      </c>
      <c r="P1061" s="1154">
        <f t="shared" ref="P1061" si="2403">+K1061+M1061+O1061</f>
        <v>35.97</v>
      </c>
      <c r="Q1061" s="2144">
        <f t="shared" ref="Q1061" si="2404">+J1061+P1061</f>
        <v>35.97</v>
      </c>
      <c r="R1061" s="3153"/>
      <c r="S1061" s="84">
        <f t="shared" ref="S1061" si="2405">+Q1061+R1061</f>
        <v>35.97</v>
      </c>
      <c r="T1061" s="3153"/>
      <c r="U1061" s="84">
        <f t="shared" ref="U1061" si="2406">SUM(S1061:T1061)</f>
        <v>35.97</v>
      </c>
      <c r="V1061" s="3153"/>
      <c r="W1061" s="398">
        <f t="shared" ref="W1061" si="2407">+R1061+T1061+V1061</f>
        <v>0</v>
      </c>
      <c r="X1061" s="209">
        <f t="shared" ref="X1061" si="2408">+U1061+V1061</f>
        <v>35.97</v>
      </c>
      <c r="Y1061" s="3153"/>
      <c r="Z1061" s="84">
        <f t="shared" si="2377"/>
        <v>35.97</v>
      </c>
      <c r="AA1061" s="3153"/>
      <c r="AB1061" s="209">
        <f t="shared" si="2378"/>
        <v>35.97</v>
      </c>
      <c r="AC1061" s="5135"/>
      <c r="AD1061" s="1291">
        <f t="shared" si="2379"/>
        <v>0</v>
      </c>
      <c r="AE1061" s="1292">
        <f t="shared" si="2380"/>
        <v>0</v>
      </c>
      <c r="AF1061" s="814">
        <f t="shared" si="2381"/>
        <v>35.97</v>
      </c>
    </row>
    <row r="1062" spans="3:32" ht="35" customHeight="1" x14ac:dyDescent="0.25">
      <c r="C1062" s="338"/>
      <c r="D1062" s="2437"/>
      <c r="E1062" s="4607" t="s">
        <v>1343</v>
      </c>
      <c r="F1062" s="3153"/>
      <c r="G1062" s="3153"/>
      <c r="H1062" s="296">
        <f t="shared" si="2365"/>
        <v>0</v>
      </c>
      <c r="I1062" s="3153"/>
      <c r="J1062" s="304">
        <f t="shared" si="2373"/>
        <v>0</v>
      </c>
      <c r="K1062" s="3153"/>
      <c r="L1062" s="501">
        <f t="shared" si="2366"/>
        <v>0</v>
      </c>
      <c r="M1062" s="3153">
        <v>46</v>
      </c>
      <c r="N1062" s="84">
        <f t="shared" si="2366"/>
        <v>46</v>
      </c>
      <c r="O1062" s="3153">
        <v>0</v>
      </c>
      <c r="P1062" s="1154">
        <f t="shared" si="2367"/>
        <v>46</v>
      </c>
      <c r="Q1062" s="2144">
        <f t="shared" si="2368"/>
        <v>46</v>
      </c>
      <c r="R1062" s="3153">
        <v>16.97</v>
      </c>
      <c r="S1062" s="84">
        <f t="shared" si="2369"/>
        <v>62.97</v>
      </c>
      <c r="T1062" s="3153"/>
      <c r="U1062" s="84">
        <f t="shared" si="2374"/>
        <v>62.97</v>
      </c>
      <c r="V1062" s="3153"/>
      <c r="W1062" s="398">
        <f t="shared" si="2375"/>
        <v>16.97</v>
      </c>
      <c r="X1062" s="209">
        <f t="shared" si="2376"/>
        <v>62.97</v>
      </c>
      <c r="Y1062" s="3153"/>
      <c r="Z1062" s="84">
        <f t="shared" si="2377"/>
        <v>62.97</v>
      </c>
      <c r="AA1062" s="3153"/>
      <c r="AB1062" s="209">
        <f t="shared" si="2378"/>
        <v>62.97</v>
      </c>
      <c r="AC1062" s="5135"/>
      <c r="AD1062" s="1291">
        <f t="shared" si="2379"/>
        <v>0</v>
      </c>
      <c r="AE1062" s="1292">
        <f t="shared" si="2380"/>
        <v>16.97</v>
      </c>
      <c r="AF1062" s="814">
        <f t="shared" si="2381"/>
        <v>62.97</v>
      </c>
    </row>
    <row r="1063" spans="3:32" ht="35" customHeight="1" x14ac:dyDescent="0.25">
      <c r="C1063" s="338"/>
      <c r="D1063" s="2437"/>
      <c r="E1063" s="4605" t="s">
        <v>1681</v>
      </c>
      <c r="F1063" s="3153"/>
      <c r="G1063" s="3153"/>
      <c r="H1063" s="296">
        <f t="shared" si="2365"/>
        <v>0</v>
      </c>
      <c r="I1063" s="3153"/>
      <c r="J1063" s="304">
        <f t="shared" si="2373"/>
        <v>0</v>
      </c>
      <c r="K1063" s="3153"/>
      <c r="L1063" s="501">
        <f t="shared" si="2366"/>
        <v>0</v>
      </c>
      <c r="M1063" s="3153">
        <f>57.79-2.79</f>
        <v>55</v>
      </c>
      <c r="N1063" s="84">
        <f t="shared" si="2366"/>
        <v>55</v>
      </c>
      <c r="O1063" s="3153">
        <v>0</v>
      </c>
      <c r="P1063" s="1154">
        <f t="shared" si="2367"/>
        <v>55</v>
      </c>
      <c r="Q1063" s="2144">
        <f t="shared" si="2368"/>
        <v>55</v>
      </c>
      <c r="R1063" s="3153"/>
      <c r="S1063" s="84">
        <f t="shared" si="2369"/>
        <v>55</v>
      </c>
      <c r="T1063" s="3153"/>
      <c r="U1063" s="84">
        <f t="shared" si="2374"/>
        <v>55</v>
      </c>
      <c r="V1063" s="3153"/>
      <c r="W1063" s="398">
        <f t="shared" si="2375"/>
        <v>0</v>
      </c>
      <c r="X1063" s="209">
        <f t="shared" si="2376"/>
        <v>55</v>
      </c>
      <c r="Y1063" s="3153"/>
      <c r="Z1063" s="84">
        <f t="shared" si="2377"/>
        <v>55</v>
      </c>
      <c r="AA1063" s="3153"/>
      <c r="AB1063" s="209">
        <f t="shared" si="2378"/>
        <v>55</v>
      </c>
      <c r="AC1063" s="5135"/>
      <c r="AD1063" s="1291">
        <f t="shared" si="2379"/>
        <v>0</v>
      </c>
      <c r="AE1063" s="1292">
        <f t="shared" si="2380"/>
        <v>0</v>
      </c>
      <c r="AF1063" s="814">
        <f t="shared" si="2381"/>
        <v>55</v>
      </c>
    </row>
    <row r="1064" spans="3:32" ht="35" customHeight="1" x14ac:dyDescent="0.25">
      <c r="C1064" s="338"/>
      <c r="D1064" s="2437"/>
      <c r="E1064" s="4605" t="s">
        <v>1496</v>
      </c>
      <c r="F1064" s="3153"/>
      <c r="G1064" s="3153"/>
      <c r="H1064" s="296">
        <f t="shared" si="2365"/>
        <v>0</v>
      </c>
      <c r="I1064" s="3153"/>
      <c r="J1064" s="304">
        <f t="shared" si="2373"/>
        <v>0</v>
      </c>
      <c r="K1064" s="3153"/>
      <c r="L1064" s="501">
        <f t="shared" si="2366"/>
        <v>0</v>
      </c>
      <c r="M1064" s="3153">
        <f>1449.9-33.18</f>
        <v>1416.72</v>
      </c>
      <c r="N1064" s="84">
        <f t="shared" si="2366"/>
        <v>1416.72</v>
      </c>
      <c r="O1064" s="3153">
        <v>0</v>
      </c>
      <c r="P1064" s="1154">
        <f t="shared" ref="P1064" si="2409">+K1064+M1064+O1064</f>
        <v>1416.72</v>
      </c>
      <c r="Q1064" s="2144">
        <f t="shared" ref="Q1064" si="2410">+J1064+P1064</f>
        <v>1416.72</v>
      </c>
      <c r="R1064" s="3153"/>
      <c r="S1064" s="84">
        <f t="shared" si="2369"/>
        <v>1416.72</v>
      </c>
      <c r="T1064" s="3153"/>
      <c r="U1064" s="84">
        <f t="shared" si="2374"/>
        <v>1416.72</v>
      </c>
      <c r="V1064" s="3153"/>
      <c r="W1064" s="398">
        <f t="shared" ref="W1064" si="2411">+R1064+T1064+V1064</f>
        <v>0</v>
      </c>
      <c r="X1064" s="209">
        <f t="shared" ref="X1064" si="2412">+U1064+V1064</f>
        <v>1416.72</v>
      </c>
      <c r="Y1064" s="3153"/>
      <c r="Z1064" s="84">
        <f t="shared" si="2377"/>
        <v>1416.72</v>
      </c>
      <c r="AA1064" s="3153"/>
      <c r="AB1064" s="209">
        <f t="shared" si="2378"/>
        <v>1416.72</v>
      </c>
      <c r="AC1064" s="5135"/>
      <c r="AD1064" s="1291">
        <f t="shared" si="2379"/>
        <v>0</v>
      </c>
      <c r="AE1064" s="1292">
        <f t="shared" si="2380"/>
        <v>0</v>
      </c>
      <c r="AF1064" s="814">
        <f t="shared" si="2381"/>
        <v>1416.72</v>
      </c>
    </row>
    <row r="1065" spans="3:32" ht="35" customHeight="1" x14ac:dyDescent="0.25">
      <c r="C1065" s="338"/>
      <c r="D1065" s="2437"/>
      <c r="E1065" s="4605" t="s">
        <v>1341</v>
      </c>
      <c r="F1065" s="3153"/>
      <c r="G1065" s="3153"/>
      <c r="H1065" s="296">
        <f t="shared" si="2365"/>
        <v>0</v>
      </c>
      <c r="I1065" s="3153"/>
      <c r="J1065" s="304">
        <f t="shared" si="2373"/>
        <v>0</v>
      </c>
      <c r="K1065" s="3153"/>
      <c r="L1065" s="501">
        <f t="shared" si="2366"/>
        <v>0</v>
      </c>
      <c r="M1065" s="3153">
        <f>1102.17339736-46</f>
        <v>1056.1733973600001</v>
      </c>
      <c r="N1065" s="84">
        <f t="shared" si="2366"/>
        <v>1056.1733973600001</v>
      </c>
      <c r="O1065" s="3153">
        <v>0</v>
      </c>
      <c r="P1065" s="1154">
        <f t="shared" si="2367"/>
        <v>1056.1733973600001</v>
      </c>
      <c r="Q1065" s="2144">
        <f t="shared" si="2368"/>
        <v>1056.1733973600001</v>
      </c>
      <c r="R1065" s="3153"/>
      <c r="S1065" s="84">
        <f t="shared" si="2369"/>
        <v>1056.1733973600001</v>
      </c>
      <c r="T1065" s="3153"/>
      <c r="U1065" s="84">
        <f t="shared" si="2374"/>
        <v>1056.1733973600001</v>
      </c>
      <c r="V1065" s="3153"/>
      <c r="W1065" s="398">
        <f t="shared" si="2375"/>
        <v>0</v>
      </c>
      <c r="X1065" s="209">
        <f t="shared" si="2376"/>
        <v>1056.1733973600001</v>
      </c>
      <c r="Y1065" s="3153"/>
      <c r="Z1065" s="84">
        <f t="shared" si="2377"/>
        <v>1056.1733973600001</v>
      </c>
      <c r="AA1065" s="3153"/>
      <c r="AB1065" s="209">
        <f t="shared" si="2378"/>
        <v>1056.1733973600001</v>
      </c>
      <c r="AC1065" s="5135"/>
      <c r="AD1065" s="1291">
        <f t="shared" si="2379"/>
        <v>0</v>
      </c>
      <c r="AE1065" s="1292">
        <f t="shared" si="2380"/>
        <v>0</v>
      </c>
      <c r="AF1065" s="814">
        <f t="shared" si="2381"/>
        <v>1056.1733973600001</v>
      </c>
    </row>
    <row r="1066" spans="3:32" ht="35" customHeight="1" x14ac:dyDescent="0.25">
      <c r="C1066" s="338"/>
      <c r="D1066" s="2437"/>
      <c r="E1066" s="4605" t="s">
        <v>1188</v>
      </c>
      <c r="F1066" s="3153"/>
      <c r="G1066" s="3153"/>
      <c r="H1066" s="296">
        <f t="shared" si="2365"/>
        <v>0</v>
      </c>
      <c r="I1066" s="3153"/>
      <c r="J1066" s="304">
        <f t="shared" si="2373"/>
        <v>0</v>
      </c>
      <c r="K1066" s="3153"/>
      <c r="L1066" s="501">
        <f t="shared" si="2366"/>
        <v>0</v>
      </c>
      <c r="M1066" s="3153">
        <v>0</v>
      </c>
      <c r="N1066" s="84">
        <f t="shared" si="2366"/>
        <v>0</v>
      </c>
      <c r="O1066" s="3153">
        <v>0</v>
      </c>
      <c r="P1066" s="1154">
        <f t="shared" si="2367"/>
        <v>0</v>
      </c>
      <c r="Q1066" s="2144">
        <f t="shared" si="2368"/>
        <v>0</v>
      </c>
      <c r="R1066" s="3153"/>
      <c r="S1066" s="84">
        <f t="shared" si="2369"/>
        <v>0</v>
      </c>
      <c r="T1066" s="3153"/>
      <c r="U1066" s="84">
        <f t="shared" si="2374"/>
        <v>0</v>
      </c>
      <c r="V1066" s="3153"/>
      <c r="W1066" s="398">
        <f t="shared" si="2375"/>
        <v>0</v>
      </c>
      <c r="X1066" s="209">
        <f t="shared" si="2376"/>
        <v>0</v>
      </c>
      <c r="Y1066" s="3153"/>
      <c r="Z1066" s="84">
        <f t="shared" si="2377"/>
        <v>0</v>
      </c>
      <c r="AA1066" s="3153"/>
      <c r="AB1066" s="209">
        <f t="shared" si="2378"/>
        <v>0</v>
      </c>
      <c r="AC1066" s="5135"/>
      <c r="AD1066" s="1291">
        <f t="shared" si="2379"/>
        <v>0</v>
      </c>
      <c r="AE1066" s="1292">
        <f t="shared" si="2380"/>
        <v>0</v>
      </c>
      <c r="AF1066" s="814">
        <f t="shared" si="2381"/>
        <v>0</v>
      </c>
    </row>
    <row r="1067" spans="3:32" ht="35" customHeight="1" x14ac:dyDescent="0.25">
      <c r="C1067" s="338"/>
      <c r="D1067" s="2437"/>
      <c r="E1067" s="4605" t="s">
        <v>1572</v>
      </c>
      <c r="F1067" s="3153"/>
      <c r="G1067" s="3153"/>
      <c r="H1067" s="296">
        <f t="shared" si="2365"/>
        <v>0</v>
      </c>
      <c r="I1067" s="3153"/>
      <c r="J1067" s="304">
        <f t="shared" si="2373"/>
        <v>0</v>
      </c>
      <c r="K1067" s="3153"/>
      <c r="L1067" s="501">
        <f t="shared" si="2366"/>
        <v>0</v>
      </c>
      <c r="M1067" s="3153">
        <v>0</v>
      </c>
      <c r="N1067" s="84">
        <f t="shared" si="2366"/>
        <v>0</v>
      </c>
      <c r="O1067" s="3153">
        <v>0</v>
      </c>
      <c r="P1067" s="1154">
        <f t="shared" si="2367"/>
        <v>0</v>
      </c>
      <c r="Q1067" s="2144">
        <f t="shared" si="2368"/>
        <v>0</v>
      </c>
      <c r="R1067" s="3153"/>
      <c r="S1067" s="84">
        <f t="shared" si="2369"/>
        <v>0</v>
      </c>
      <c r="T1067" s="3153"/>
      <c r="U1067" s="84">
        <f t="shared" si="2374"/>
        <v>0</v>
      </c>
      <c r="V1067" s="3153"/>
      <c r="W1067" s="398">
        <f t="shared" si="2375"/>
        <v>0</v>
      </c>
      <c r="X1067" s="209">
        <f t="shared" si="2376"/>
        <v>0</v>
      </c>
      <c r="Y1067" s="3153"/>
      <c r="Z1067" s="84">
        <f t="shared" si="2377"/>
        <v>0</v>
      </c>
      <c r="AA1067" s="3153"/>
      <c r="AB1067" s="209">
        <f t="shared" si="2378"/>
        <v>0</v>
      </c>
      <c r="AC1067" s="5135"/>
      <c r="AD1067" s="1291">
        <f t="shared" si="2379"/>
        <v>0</v>
      </c>
      <c r="AE1067" s="1292">
        <f t="shared" si="2380"/>
        <v>0</v>
      </c>
      <c r="AF1067" s="814">
        <f t="shared" si="2381"/>
        <v>0</v>
      </c>
    </row>
    <row r="1068" spans="3:32" ht="35" customHeight="1" x14ac:dyDescent="0.25">
      <c r="C1068" s="338"/>
      <c r="D1068" s="2437"/>
      <c r="E1068" s="4605" t="s">
        <v>1723</v>
      </c>
      <c r="F1068" s="3153"/>
      <c r="G1068" s="3153"/>
      <c r="H1068" s="296">
        <f t="shared" si="2365"/>
        <v>0</v>
      </c>
      <c r="I1068" s="3153"/>
      <c r="J1068" s="304">
        <f t="shared" si="2373"/>
        <v>0</v>
      </c>
      <c r="K1068" s="3153"/>
      <c r="L1068" s="501">
        <f t="shared" si="2366"/>
        <v>0</v>
      </c>
      <c r="M1068" s="3153">
        <v>0</v>
      </c>
      <c r="N1068" s="84">
        <f t="shared" si="2366"/>
        <v>0</v>
      </c>
      <c r="O1068" s="3153">
        <v>0</v>
      </c>
      <c r="P1068" s="1154">
        <f t="shared" si="2367"/>
        <v>0</v>
      </c>
      <c r="Q1068" s="2144">
        <f t="shared" si="2368"/>
        <v>0</v>
      </c>
      <c r="R1068" s="3153">
        <f>498.9350320864-16.97</f>
        <v>481.96503208640002</v>
      </c>
      <c r="S1068" s="84">
        <f t="shared" si="2369"/>
        <v>481.96503208640002</v>
      </c>
      <c r="T1068" s="3153"/>
      <c r="U1068" s="84">
        <f t="shared" si="2374"/>
        <v>481.96503208640002</v>
      </c>
      <c r="V1068" s="3153"/>
      <c r="W1068" s="398">
        <f t="shared" si="2375"/>
        <v>481.96503208640002</v>
      </c>
      <c r="X1068" s="209">
        <f t="shared" si="2376"/>
        <v>481.96503208640002</v>
      </c>
      <c r="Y1068" s="3153"/>
      <c r="Z1068" s="84">
        <f t="shared" si="2377"/>
        <v>481.96503208640002</v>
      </c>
      <c r="AA1068" s="3153"/>
      <c r="AB1068" s="209">
        <f t="shared" si="2378"/>
        <v>481.96503208640002</v>
      </c>
      <c r="AC1068" s="5135"/>
      <c r="AD1068" s="1291">
        <f t="shared" si="2379"/>
        <v>0</v>
      </c>
      <c r="AE1068" s="1292">
        <f t="shared" si="2380"/>
        <v>481.96503208640002</v>
      </c>
      <c r="AF1068" s="814">
        <f t="shared" si="2381"/>
        <v>481.96503208640002</v>
      </c>
    </row>
    <row r="1069" spans="3:32" ht="35" customHeight="1" x14ac:dyDescent="0.25">
      <c r="C1069" s="338"/>
      <c r="D1069" s="2437"/>
      <c r="E1069" s="4608" t="s">
        <v>585</v>
      </c>
      <c r="F1069" s="3153"/>
      <c r="G1069" s="3153"/>
      <c r="H1069" s="296">
        <f t="shared" si="2365"/>
        <v>0</v>
      </c>
      <c r="I1069" s="3153"/>
      <c r="J1069" s="304">
        <f t="shared" si="2373"/>
        <v>0</v>
      </c>
      <c r="K1069" s="3153"/>
      <c r="L1069" s="501">
        <f t="shared" si="2366"/>
        <v>0</v>
      </c>
      <c r="M1069" s="3153">
        <v>0</v>
      </c>
      <c r="N1069" s="84">
        <f t="shared" si="2366"/>
        <v>0</v>
      </c>
      <c r="O1069" s="3153">
        <v>0</v>
      </c>
      <c r="P1069" s="1154">
        <f t="shared" si="2367"/>
        <v>0</v>
      </c>
      <c r="Q1069" s="2144">
        <f t="shared" si="2368"/>
        <v>0</v>
      </c>
      <c r="R1069" s="3153"/>
      <c r="S1069" s="84">
        <f t="shared" si="2369"/>
        <v>0</v>
      </c>
      <c r="T1069" s="3153"/>
      <c r="U1069" s="84">
        <f t="shared" si="2374"/>
        <v>0</v>
      </c>
      <c r="V1069" s="3153"/>
      <c r="W1069" s="398">
        <f t="shared" si="2375"/>
        <v>0</v>
      </c>
      <c r="X1069" s="209">
        <f t="shared" si="2376"/>
        <v>0</v>
      </c>
      <c r="Y1069" s="3153"/>
      <c r="Z1069" s="84">
        <f t="shared" si="2377"/>
        <v>0</v>
      </c>
      <c r="AA1069" s="3153"/>
      <c r="AB1069" s="209">
        <f t="shared" si="2378"/>
        <v>0</v>
      </c>
      <c r="AC1069" s="5135"/>
      <c r="AD1069" s="1291">
        <f t="shared" si="2379"/>
        <v>0</v>
      </c>
      <c r="AE1069" s="1292">
        <f t="shared" si="2380"/>
        <v>0</v>
      </c>
      <c r="AF1069" s="814">
        <f t="shared" si="2381"/>
        <v>0</v>
      </c>
    </row>
    <row r="1070" spans="3:32" ht="35" customHeight="1" x14ac:dyDescent="0.25">
      <c r="C1070" s="338"/>
      <c r="D1070" s="2437"/>
      <c r="E1070" s="4609" t="s">
        <v>1423</v>
      </c>
      <c r="F1070" s="3153"/>
      <c r="G1070" s="3153"/>
      <c r="H1070" s="296">
        <f t="shared" si="2365"/>
        <v>0</v>
      </c>
      <c r="I1070" s="3153"/>
      <c r="J1070" s="304">
        <f t="shared" si="2373"/>
        <v>0</v>
      </c>
      <c r="K1070" s="3153"/>
      <c r="L1070" s="501">
        <f t="shared" si="2366"/>
        <v>0</v>
      </c>
      <c r="M1070" s="3153">
        <v>0</v>
      </c>
      <c r="N1070" s="84">
        <f t="shared" si="2366"/>
        <v>0</v>
      </c>
      <c r="O1070" s="3153">
        <v>0</v>
      </c>
      <c r="P1070" s="1154">
        <f t="shared" si="2367"/>
        <v>0</v>
      </c>
      <c r="Q1070" s="2144">
        <f t="shared" si="2368"/>
        <v>0</v>
      </c>
      <c r="R1070" s="3153"/>
      <c r="S1070" s="84">
        <f t="shared" si="2369"/>
        <v>0</v>
      </c>
      <c r="T1070" s="3153"/>
      <c r="U1070" s="84">
        <f t="shared" si="2374"/>
        <v>0</v>
      </c>
      <c r="V1070" s="3153"/>
      <c r="W1070" s="398">
        <f t="shared" si="2375"/>
        <v>0</v>
      </c>
      <c r="X1070" s="209">
        <f t="shared" si="2376"/>
        <v>0</v>
      </c>
      <c r="Y1070" s="3153"/>
      <c r="Z1070" s="84">
        <f t="shared" si="2377"/>
        <v>0</v>
      </c>
      <c r="AA1070" s="3153"/>
      <c r="AB1070" s="209">
        <f t="shared" si="2378"/>
        <v>0</v>
      </c>
      <c r="AC1070" s="5135"/>
      <c r="AD1070" s="1291">
        <f t="shared" si="2379"/>
        <v>0</v>
      </c>
      <c r="AE1070" s="1292">
        <f t="shared" si="2380"/>
        <v>0</v>
      </c>
      <c r="AF1070" s="814">
        <f t="shared" si="2381"/>
        <v>0</v>
      </c>
    </row>
    <row r="1071" spans="3:32" ht="35" customHeight="1" x14ac:dyDescent="0.25">
      <c r="C1071" s="338"/>
      <c r="D1071" s="2437"/>
      <c r="E1071" s="4608" t="s">
        <v>1653</v>
      </c>
      <c r="F1071" s="3153"/>
      <c r="G1071" s="3153"/>
      <c r="H1071" s="296">
        <f t="shared" si="2365"/>
        <v>0</v>
      </c>
      <c r="I1071" s="3153"/>
      <c r="J1071" s="304">
        <f t="shared" si="2373"/>
        <v>0</v>
      </c>
      <c r="K1071" s="3153"/>
      <c r="L1071" s="501">
        <f t="shared" si="2366"/>
        <v>0</v>
      </c>
      <c r="M1071" s="3153">
        <v>0</v>
      </c>
      <c r="N1071" s="84">
        <f t="shared" si="2366"/>
        <v>0</v>
      </c>
      <c r="O1071" s="3153">
        <v>0</v>
      </c>
      <c r="P1071" s="1154">
        <f t="shared" si="2367"/>
        <v>0</v>
      </c>
      <c r="Q1071" s="2144">
        <f t="shared" si="2368"/>
        <v>0</v>
      </c>
      <c r="R1071" s="3153"/>
      <c r="S1071" s="84">
        <f t="shared" si="2369"/>
        <v>0</v>
      </c>
      <c r="T1071" s="3153"/>
      <c r="U1071" s="84">
        <f t="shared" si="2374"/>
        <v>0</v>
      </c>
      <c r="V1071" s="3153"/>
      <c r="W1071" s="398">
        <f t="shared" si="2375"/>
        <v>0</v>
      </c>
      <c r="X1071" s="209">
        <f t="shared" si="2376"/>
        <v>0</v>
      </c>
      <c r="Y1071" s="3153"/>
      <c r="Z1071" s="84">
        <f t="shared" si="2377"/>
        <v>0</v>
      </c>
      <c r="AA1071" s="3153"/>
      <c r="AB1071" s="209">
        <f t="shared" si="2378"/>
        <v>0</v>
      </c>
      <c r="AC1071" s="5135"/>
      <c r="AD1071" s="1291">
        <f t="shared" si="2379"/>
        <v>0</v>
      </c>
      <c r="AE1071" s="1292">
        <f t="shared" si="2380"/>
        <v>0</v>
      </c>
      <c r="AF1071" s="814">
        <f t="shared" si="2381"/>
        <v>0</v>
      </c>
    </row>
    <row r="1072" spans="3:32" ht="35" customHeight="1" x14ac:dyDescent="0.25">
      <c r="C1072" s="338"/>
      <c r="D1072" s="2437"/>
      <c r="E1072" s="4608" t="s">
        <v>1232</v>
      </c>
      <c r="F1072" s="3153"/>
      <c r="G1072" s="3153"/>
      <c r="H1072" s="296">
        <f t="shared" si="2365"/>
        <v>0</v>
      </c>
      <c r="I1072" s="3153"/>
      <c r="J1072" s="304">
        <f t="shared" si="2373"/>
        <v>0</v>
      </c>
      <c r="K1072" s="3153"/>
      <c r="L1072" s="501">
        <f t="shared" si="2366"/>
        <v>0</v>
      </c>
      <c r="M1072" s="3153">
        <v>0</v>
      </c>
      <c r="N1072" s="84">
        <f t="shared" si="2366"/>
        <v>0</v>
      </c>
      <c r="O1072" s="3153">
        <v>0</v>
      </c>
      <c r="P1072" s="1154">
        <f t="shared" si="2367"/>
        <v>0</v>
      </c>
      <c r="Q1072" s="2144">
        <f t="shared" si="2368"/>
        <v>0</v>
      </c>
      <c r="R1072" s="3153"/>
      <c r="S1072" s="84">
        <f t="shared" si="2369"/>
        <v>0</v>
      </c>
      <c r="T1072" s="3153"/>
      <c r="U1072" s="84">
        <f t="shared" si="2374"/>
        <v>0</v>
      </c>
      <c r="V1072" s="3153"/>
      <c r="W1072" s="398">
        <f t="shared" si="2375"/>
        <v>0</v>
      </c>
      <c r="X1072" s="209">
        <f t="shared" si="2376"/>
        <v>0</v>
      </c>
      <c r="Y1072" s="3153"/>
      <c r="Z1072" s="84">
        <f t="shared" si="2377"/>
        <v>0</v>
      </c>
      <c r="AA1072" s="3153"/>
      <c r="AB1072" s="209">
        <f t="shared" si="2378"/>
        <v>0</v>
      </c>
      <c r="AC1072" s="5135"/>
      <c r="AD1072" s="1291">
        <f t="shared" si="2379"/>
        <v>0</v>
      </c>
      <c r="AE1072" s="1292">
        <f t="shared" si="2380"/>
        <v>0</v>
      </c>
      <c r="AF1072" s="814">
        <f t="shared" si="2381"/>
        <v>0</v>
      </c>
    </row>
    <row r="1073" spans="3:32" ht="35" customHeight="1" thickBot="1" x14ac:dyDescent="0.3">
      <c r="C1073" s="338"/>
      <c r="D1073" s="2437"/>
      <c r="E1073" s="4610" t="s">
        <v>999</v>
      </c>
      <c r="F1073" s="3153"/>
      <c r="G1073" s="3153"/>
      <c r="H1073" s="296">
        <f t="shared" si="2365"/>
        <v>0</v>
      </c>
      <c r="I1073" s="3153"/>
      <c r="J1073" s="304">
        <f t="shared" si="2373"/>
        <v>0</v>
      </c>
      <c r="K1073" s="3153"/>
      <c r="L1073" s="501">
        <f t="shared" si="2366"/>
        <v>0</v>
      </c>
      <c r="M1073" s="3153">
        <v>0</v>
      </c>
      <c r="N1073" s="84">
        <f t="shared" si="2366"/>
        <v>0</v>
      </c>
      <c r="O1073" s="3153">
        <v>0</v>
      </c>
      <c r="P1073" s="1154">
        <f t="shared" si="2367"/>
        <v>0</v>
      </c>
      <c r="Q1073" s="2144">
        <f t="shared" si="2368"/>
        <v>0</v>
      </c>
      <c r="R1073" s="3153"/>
      <c r="S1073" s="84">
        <f t="shared" si="2369"/>
        <v>0</v>
      </c>
      <c r="T1073" s="3153"/>
      <c r="U1073" s="84">
        <f t="shared" si="2374"/>
        <v>0</v>
      </c>
      <c r="V1073" s="3153"/>
      <c r="W1073" s="398">
        <f t="shared" si="2375"/>
        <v>0</v>
      </c>
      <c r="X1073" s="209">
        <f t="shared" si="2376"/>
        <v>0</v>
      </c>
      <c r="Y1073" s="3153"/>
      <c r="Z1073" s="84">
        <f t="shared" si="2377"/>
        <v>0</v>
      </c>
      <c r="AA1073" s="3153"/>
      <c r="AB1073" s="209">
        <f t="shared" si="2378"/>
        <v>0</v>
      </c>
      <c r="AC1073" s="5135"/>
      <c r="AD1073" s="1291">
        <f t="shared" si="2379"/>
        <v>0</v>
      </c>
      <c r="AE1073" s="1292">
        <f t="shared" si="2380"/>
        <v>0</v>
      </c>
      <c r="AF1073" s="814">
        <f t="shared" si="2381"/>
        <v>0</v>
      </c>
    </row>
    <row r="1074" spans="3:32" ht="35" customHeight="1" thickBot="1" x14ac:dyDescent="0.3">
      <c r="C1074" s="338"/>
      <c r="D1074" s="437"/>
      <c r="E1074" s="973" t="s">
        <v>15</v>
      </c>
      <c r="F1074" s="430">
        <v>0</v>
      </c>
      <c r="G1074" s="430">
        <v>0</v>
      </c>
      <c r="H1074" s="482">
        <f>SUM(F1074:G1074)</f>
        <v>0</v>
      </c>
      <c r="I1074" s="430">
        <v>0</v>
      </c>
      <c r="J1074" s="580">
        <f>SUM(H1074:I1074)</f>
        <v>0</v>
      </c>
      <c r="K1074" s="430">
        <v>0</v>
      </c>
      <c r="L1074" s="482">
        <f t="shared" ref="L1074:AD1074" si="2413">SUM(L1022:L1073)</f>
        <v>0</v>
      </c>
      <c r="M1074" s="430">
        <f>SUM(M1022:M1073)</f>
        <v>12459.855963640301</v>
      </c>
      <c r="N1074" s="99">
        <f t="shared" si="2413"/>
        <v>12459.855963640301</v>
      </c>
      <c r="O1074" s="430">
        <f>SUM(O1022:O1073)</f>
        <v>2335.9599999999996</v>
      </c>
      <c r="P1074" s="1155">
        <f t="shared" si="2413"/>
        <v>14795.815963640298</v>
      </c>
      <c r="Q1074" s="2160">
        <f t="shared" si="2413"/>
        <v>14795.815963640298</v>
      </c>
      <c r="R1074" s="430">
        <f>SUM(R1022:R1073)</f>
        <v>11735.764723406497</v>
      </c>
      <c r="S1074" s="2293">
        <f t="shared" si="2413"/>
        <v>26531.5806870468</v>
      </c>
      <c r="T1074" s="430">
        <f>SUM(T1022:T1073)</f>
        <v>5543.1141904971009</v>
      </c>
      <c r="U1074" s="2293">
        <f>SUM(U1022:U1073)</f>
        <v>32074.694877543905</v>
      </c>
      <c r="V1074" s="430">
        <f>SUM(V1022:V1073)</f>
        <v>0</v>
      </c>
      <c r="W1074" s="1155">
        <f t="shared" si="2413"/>
        <v>17278.878913903598</v>
      </c>
      <c r="X1074" s="597">
        <f t="shared" si="2413"/>
        <v>32074.694877543905</v>
      </c>
      <c r="Y1074" s="430">
        <f>SUM(Y1022:Y1073)</f>
        <v>16592.986197749997</v>
      </c>
      <c r="Z1074" s="2293">
        <f>SUM(Z1022:Z1073)</f>
        <v>48667.681075293905</v>
      </c>
      <c r="AA1074" s="430">
        <f>SUM(AA1022:AA1073)</f>
        <v>18479.346499999992</v>
      </c>
      <c r="AB1074" s="597">
        <f>SUM(AB1022:AB1073)</f>
        <v>67147.027575293905</v>
      </c>
      <c r="AC1074" s="5136">
        <f>SUM(AC1022:AC1073)</f>
        <v>16189.645112124112</v>
      </c>
      <c r="AD1074" s="1187">
        <f t="shared" si="2413"/>
        <v>51261.977809874108</v>
      </c>
      <c r="AE1074" s="775">
        <f>SUM(AE1022:AE1073)</f>
        <v>68540.856723777717</v>
      </c>
      <c r="AF1074" s="572">
        <f>SUM(AF1022:AF1073)</f>
        <v>83336.672687418017</v>
      </c>
    </row>
    <row r="1075" spans="3:32" ht="35" hidden="1" customHeight="1" thickBot="1" x14ac:dyDescent="0.3">
      <c r="C1075" s="338"/>
      <c r="D1075" s="438">
        <v>38.01</v>
      </c>
      <c r="E1075" s="4615" t="s">
        <v>471</v>
      </c>
      <c r="F1075" s="4616"/>
      <c r="G1075" s="4616"/>
      <c r="H1075" s="4617" t="e">
        <f t="shared" ref="H1075:L1075" si="2414">+H1074/H1020*100</f>
        <v>#DIV/0!</v>
      </c>
      <c r="I1075" s="4616"/>
      <c r="J1075" s="259" t="e">
        <f t="shared" si="2414"/>
        <v>#DIV/0!</v>
      </c>
      <c r="K1075" s="4616"/>
      <c r="L1075" s="592" t="e">
        <f t="shared" si="2414"/>
        <v>#DIV/0!</v>
      </c>
      <c r="M1075" s="4616">
        <f t="shared" ref="M1075" si="2415">+M1074/M1020*100</f>
        <v>95.582121874563057</v>
      </c>
      <c r="N1075" s="593"/>
      <c r="O1075" s="4616"/>
      <c r="P1075" s="1156"/>
      <c r="Q1075" s="2161"/>
      <c r="R1075" s="4616">
        <f t="shared" ref="R1075" si="2416">+R1074/R1020*100</f>
        <v>95.27406421914678</v>
      </c>
      <c r="S1075" s="2294"/>
      <c r="T1075" s="4616"/>
      <c r="U1075" s="2294"/>
      <c r="V1075" s="4616" t="e">
        <f t="shared" ref="V1075" si="2417">+V1074/V1020*100</f>
        <v>#DIV/0!</v>
      </c>
      <c r="W1075" s="1208"/>
      <c r="X1075" s="2281"/>
      <c r="Y1075" s="4616">
        <f t="shared" ref="Y1075" si="2418">+Y1074/Y1020*100</f>
        <v>95.752443136135355</v>
      </c>
      <c r="Z1075" s="2294"/>
      <c r="AA1075" s="4616">
        <f t="shared" ref="AA1075" si="2419">+AA1074/AA1020*100</f>
        <v>95.964933958938929</v>
      </c>
      <c r="AB1075" s="2281"/>
      <c r="AC1075" s="4616">
        <f t="shared" ref="AC1075" si="2420">+AC1074/AC1020*100</f>
        <v>95.246221132913647</v>
      </c>
      <c r="AD1075" s="1414"/>
      <c r="AE1075" s="1415"/>
      <c r="AF1075" s="2510"/>
    </row>
    <row r="1076" spans="3:32" ht="35" customHeight="1" thickBot="1" x14ac:dyDescent="0.3">
      <c r="C1076" s="338"/>
      <c r="D1076" s="438"/>
      <c r="E1076" s="418" t="s">
        <v>471</v>
      </c>
      <c r="F1076" s="4614" t="e">
        <f t="shared" ref="F1076:G1076" si="2421">+F1074/F1020*100</f>
        <v>#DIV/0!</v>
      </c>
      <c r="G1076" s="4614" t="e">
        <f t="shared" si="2421"/>
        <v>#DIV/0!</v>
      </c>
      <c r="H1076" s="1525" t="e">
        <f t="shared" ref="H1076:U1076" si="2422">+H1074/H1020*100</f>
        <v>#DIV/0!</v>
      </c>
      <c r="I1076" s="4614" t="e">
        <f t="shared" si="2422"/>
        <v>#DIV/0!</v>
      </c>
      <c r="J1076" s="1937" t="e">
        <f t="shared" si="2422"/>
        <v>#DIV/0!</v>
      </c>
      <c r="K1076" s="4614" t="e">
        <f t="shared" si="2422"/>
        <v>#DIV/0!</v>
      </c>
      <c r="L1076" s="1525" t="e">
        <f t="shared" si="2422"/>
        <v>#DIV/0!</v>
      </c>
      <c r="M1076" s="4614">
        <f t="shared" ref="M1076:O1076" si="2423">+M1074/M1020*100</f>
        <v>95.582121874563057</v>
      </c>
      <c r="N1076" s="1525">
        <f t="shared" si="2422"/>
        <v>95.582121874563057</v>
      </c>
      <c r="O1076" s="4614">
        <f t="shared" si="2423"/>
        <v>94.341055216309627</v>
      </c>
      <c r="P1076" s="1937">
        <f t="shared" si="2422"/>
        <v>95.384016405393979</v>
      </c>
      <c r="Q1076" s="2228">
        <f t="shared" si="2422"/>
        <v>95.384016405393979</v>
      </c>
      <c r="R1076" s="4614">
        <f t="shared" si="2422"/>
        <v>95.27406421914678</v>
      </c>
      <c r="S1076" s="1525">
        <f t="shared" si="2422"/>
        <v>95.335349760046469</v>
      </c>
      <c r="T1076" s="4614">
        <f t="shared" si="2422"/>
        <v>96.094020345899452</v>
      </c>
      <c r="U1076" s="1525">
        <f t="shared" si="2422"/>
        <v>95.465604970105957</v>
      </c>
      <c r="V1076" s="4614" t="e">
        <f t="shared" ref="V1076" si="2424">+V1074/V1020*100</f>
        <v>#DIV/0!</v>
      </c>
      <c r="W1076" s="344">
        <f>+W1074/W1020*100</f>
        <v>95.535579854715962</v>
      </c>
      <c r="X1076" s="1525">
        <f t="shared" ref="X1076:AB1076" si="2425">+X1074/X1020*100</f>
        <v>95.465604970105957</v>
      </c>
      <c r="Y1076" s="4614">
        <f t="shared" si="2425"/>
        <v>95.752443136135355</v>
      </c>
      <c r="Z1076" s="1525">
        <f t="shared" si="2425"/>
        <v>95.563207638333736</v>
      </c>
      <c r="AA1076" s="4614">
        <f t="shared" ref="AA1076" si="2426">+AA1074/AA1020*100</f>
        <v>95.964933958938929</v>
      </c>
      <c r="AB1076" s="1525">
        <f t="shared" si="2425"/>
        <v>95.673429788312603</v>
      </c>
      <c r="AC1076" s="4614">
        <f t="shared" ref="AC1076" si="2427">+AC1074/AC1020*100</f>
        <v>95.246221132913647</v>
      </c>
      <c r="AD1076" s="1447">
        <f>+AD1074/AD1020*100</f>
        <v>95.668222519236778</v>
      </c>
      <c r="AE1076" s="2537">
        <f t="shared" ref="AE1076:AF1076" si="2428">+AE1074/AE1020*100</f>
        <v>95.634749117560531</v>
      </c>
      <c r="AF1076" s="2548">
        <f t="shared" si="2428"/>
        <v>95.590137163986782</v>
      </c>
    </row>
    <row r="1077" spans="3:32" ht="35" customHeight="1" x14ac:dyDescent="0.25">
      <c r="C1077" s="338"/>
      <c r="D1077" s="2441">
        <v>38.020000000000003</v>
      </c>
      <c r="E1077" s="141" t="s">
        <v>322</v>
      </c>
      <c r="F1077" s="3421"/>
      <c r="G1077" s="3421"/>
      <c r="H1077" s="3421"/>
      <c r="I1077" s="3421"/>
      <c r="J1077" s="3628"/>
      <c r="K1077" s="3421"/>
      <c r="L1077" s="3628"/>
      <c r="M1077" s="3421"/>
      <c r="N1077" s="3628"/>
      <c r="O1077" s="3421"/>
      <c r="P1077" s="3628"/>
      <c r="Q1077" s="3628"/>
      <c r="R1077" s="3421"/>
      <c r="S1077" s="3628"/>
      <c r="T1077" s="3421"/>
      <c r="U1077" s="3628"/>
      <c r="V1077" s="3421"/>
      <c r="W1077" s="3628"/>
      <c r="X1077" s="3628"/>
      <c r="Y1077" s="3421"/>
      <c r="Z1077" s="3628"/>
      <c r="AA1077" s="3421"/>
      <c r="AB1077" s="3628"/>
      <c r="AC1077" s="5134"/>
      <c r="AD1077" s="3628"/>
      <c r="AE1077" s="3628"/>
      <c r="AF1077" s="3627"/>
    </row>
    <row r="1078" spans="3:32" ht="35" customHeight="1" x14ac:dyDescent="0.25">
      <c r="C1078" s="338"/>
      <c r="D1078" s="2437"/>
      <c r="E1078" s="493" t="s">
        <v>1423</v>
      </c>
      <c r="F1078" s="3153"/>
      <c r="G1078" s="3153"/>
      <c r="H1078" s="296">
        <f t="shared" ref="H1078:H1118" si="2429">SUM(F1078:G1078)</f>
        <v>0</v>
      </c>
      <c r="I1078" s="3153"/>
      <c r="J1078" s="304">
        <f t="shared" ref="J1078:J1118" si="2430">+H1078+I1078</f>
        <v>0</v>
      </c>
      <c r="K1078" s="3153"/>
      <c r="L1078" s="501">
        <f t="shared" ref="L1078:N1112" si="2431">+J1078+K1078</f>
        <v>0</v>
      </c>
      <c r="M1078" s="3153">
        <v>0</v>
      </c>
      <c r="N1078" s="501">
        <f t="shared" si="2431"/>
        <v>0</v>
      </c>
      <c r="O1078" s="3153">
        <v>0</v>
      </c>
      <c r="P1078" s="558">
        <f t="shared" ref="P1078:P1118" si="2432">+K1078+M1078+O1078</f>
        <v>0</v>
      </c>
      <c r="Q1078" s="2185">
        <f t="shared" ref="Q1078:Q1118" si="2433">+J1078+P1078</f>
        <v>0</v>
      </c>
      <c r="R1078" s="3153"/>
      <c r="S1078" s="501">
        <f t="shared" ref="S1078:S1118" si="2434">+Q1078+R1078</f>
        <v>0</v>
      </c>
      <c r="T1078" s="3153"/>
      <c r="U1078" s="501">
        <f t="shared" ref="U1078:U1118" si="2435">SUM(S1078:T1078)</f>
        <v>0</v>
      </c>
      <c r="V1078" s="3153">
        <v>28.08</v>
      </c>
      <c r="W1078" s="398">
        <f t="shared" ref="W1078:W1118" si="2436">+R1078+T1078+V1078</f>
        <v>28.08</v>
      </c>
      <c r="X1078" s="1989">
        <f t="shared" ref="X1078:X1118" si="2437">+U1078+V1078</f>
        <v>28.08</v>
      </c>
      <c r="Y1078" s="3153">
        <v>63.98</v>
      </c>
      <c r="Z1078" s="501">
        <f>SUM(X1078:Y1078)</f>
        <v>92.06</v>
      </c>
      <c r="AA1078" s="3153"/>
      <c r="AB1078" s="2475">
        <f>SUM(Z1078:AA1078)</f>
        <v>92.06</v>
      </c>
      <c r="AC1078" s="5135">
        <v>64.86</v>
      </c>
      <c r="AD1078" s="713">
        <f t="shared" ref="AD1078" si="2438">+Y1078+AA1078+AC1078</f>
        <v>128.84</v>
      </c>
      <c r="AE1078" s="1290">
        <f t="shared" ref="AE1078" si="2439">+W1078+AD1078</f>
        <v>156.92000000000002</v>
      </c>
      <c r="AF1078" s="814">
        <f t="shared" ref="AF1078" si="2440">+AB1078+AC1078</f>
        <v>156.92000000000002</v>
      </c>
    </row>
    <row r="1079" spans="3:32" ht="35" customHeight="1" x14ac:dyDescent="0.25">
      <c r="C1079" s="338"/>
      <c r="D1079" s="2437"/>
      <c r="E1079" s="975" t="s">
        <v>1451</v>
      </c>
      <c r="F1079" s="3153"/>
      <c r="G1079" s="3153"/>
      <c r="H1079" s="296">
        <f t="shared" si="2429"/>
        <v>0</v>
      </c>
      <c r="I1079" s="3153"/>
      <c r="J1079" s="304">
        <f t="shared" si="2430"/>
        <v>0</v>
      </c>
      <c r="K1079" s="3153"/>
      <c r="L1079" s="501">
        <f t="shared" si="2431"/>
        <v>0</v>
      </c>
      <c r="M1079" s="3153">
        <v>0</v>
      </c>
      <c r="N1079" s="501">
        <f t="shared" si="2431"/>
        <v>0</v>
      </c>
      <c r="O1079" s="3153">
        <v>0</v>
      </c>
      <c r="P1079" s="558">
        <f t="shared" ref="P1079" si="2441">+K1079+M1079+O1079</f>
        <v>0</v>
      </c>
      <c r="Q1079" s="2185">
        <f t="shared" ref="Q1079" si="2442">+J1079+P1079</f>
        <v>0</v>
      </c>
      <c r="R1079" s="3153"/>
      <c r="S1079" s="501">
        <f t="shared" si="2434"/>
        <v>0</v>
      </c>
      <c r="T1079" s="3153"/>
      <c r="U1079" s="501">
        <f t="shared" si="2435"/>
        <v>0</v>
      </c>
      <c r="V1079" s="3153"/>
      <c r="W1079" s="398">
        <f t="shared" si="2436"/>
        <v>0</v>
      </c>
      <c r="X1079" s="1989">
        <f t="shared" si="2437"/>
        <v>0</v>
      </c>
      <c r="Y1079" s="3153"/>
      <c r="Z1079" s="501">
        <f t="shared" ref="Z1079:Z1118" si="2443">SUM(X1079:Y1079)</f>
        <v>0</v>
      </c>
      <c r="AA1079" s="3153"/>
      <c r="AB1079" s="2475">
        <f t="shared" ref="AB1079:AB1142" si="2444">SUM(Z1079:AA1079)</f>
        <v>0</v>
      </c>
      <c r="AC1079" s="5135"/>
      <c r="AD1079" s="713">
        <f t="shared" ref="AD1079:AD1118" si="2445">+Y1079+AA1079+AC1079</f>
        <v>0</v>
      </c>
      <c r="AE1079" s="1290">
        <f t="shared" ref="AE1079:AE1118" si="2446">+W1079+AD1079</f>
        <v>0</v>
      </c>
      <c r="AF1079" s="814">
        <f t="shared" ref="AF1079:AF1118" si="2447">+AB1079+AC1079</f>
        <v>0</v>
      </c>
    </row>
    <row r="1080" spans="3:32" ht="35" customHeight="1" x14ac:dyDescent="0.25">
      <c r="C1080" s="338"/>
      <c r="D1080" s="2437"/>
      <c r="E1080" s="975" t="s">
        <v>1196</v>
      </c>
      <c r="F1080" s="3153"/>
      <c r="G1080" s="3153"/>
      <c r="H1080" s="296">
        <f t="shared" si="2429"/>
        <v>0</v>
      </c>
      <c r="I1080" s="3153"/>
      <c r="J1080" s="304">
        <f t="shared" si="2430"/>
        <v>0</v>
      </c>
      <c r="K1080" s="3153"/>
      <c r="L1080" s="501">
        <f t="shared" si="2431"/>
        <v>0</v>
      </c>
      <c r="M1080" s="3153">
        <v>0</v>
      </c>
      <c r="N1080" s="501">
        <f t="shared" si="2431"/>
        <v>0</v>
      </c>
      <c r="O1080" s="3153">
        <v>0</v>
      </c>
      <c r="P1080" s="558">
        <f t="shared" si="2432"/>
        <v>0</v>
      </c>
      <c r="Q1080" s="2185">
        <f t="shared" si="2433"/>
        <v>0</v>
      </c>
      <c r="R1080" s="3153"/>
      <c r="S1080" s="501">
        <f t="shared" si="2434"/>
        <v>0</v>
      </c>
      <c r="T1080" s="3153"/>
      <c r="U1080" s="501">
        <f t="shared" si="2435"/>
        <v>0</v>
      </c>
      <c r="V1080" s="3153"/>
      <c r="W1080" s="398">
        <f t="shared" si="2436"/>
        <v>0</v>
      </c>
      <c r="X1080" s="1989">
        <f t="shared" si="2437"/>
        <v>0</v>
      </c>
      <c r="Y1080" s="3153"/>
      <c r="Z1080" s="501">
        <f t="shared" si="2443"/>
        <v>0</v>
      </c>
      <c r="AA1080" s="3153"/>
      <c r="AB1080" s="2475">
        <f t="shared" si="2444"/>
        <v>0</v>
      </c>
      <c r="AC1080" s="5135"/>
      <c r="AD1080" s="713">
        <f t="shared" si="2445"/>
        <v>0</v>
      </c>
      <c r="AE1080" s="1290">
        <f t="shared" si="2446"/>
        <v>0</v>
      </c>
      <c r="AF1080" s="814">
        <f t="shared" si="2447"/>
        <v>0</v>
      </c>
    </row>
    <row r="1081" spans="3:32" ht="35" customHeight="1" x14ac:dyDescent="0.25">
      <c r="C1081" s="338"/>
      <c r="D1081" s="2437"/>
      <c r="E1081" s="975" t="s">
        <v>1232</v>
      </c>
      <c r="F1081" s="3153"/>
      <c r="G1081" s="3153"/>
      <c r="H1081" s="296">
        <f t="shared" si="2429"/>
        <v>0</v>
      </c>
      <c r="I1081" s="3153"/>
      <c r="J1081" s="304">
        <f t="shared" si="2430"/>
        <v>0</v>
      </c>
      <c r="K1081" s="3153"/>
      <c r="L1081" s="501">
        <f t="shared" si="2431"/>
        <v>0</v>
      </c>
      <c r="M1081" s="3153">
        <v>0</v>
      </c>
      <c r="N1081" s="501">
        <f t="shared" si="2431"/>
        <v>0</v>
      </c>
      <c r="O1081" s="3153">
        <v>0</v>
      </c>
      <c r="P1081" s="558">
        <f t="shared" si="2432"/>
        <v>0</v>
      </c>
      <c r="Q1081" s="2185">
        <f t="shared" si="2433"/>
        <v>0</v>
      </c>
      <c r="R1081" s="3153"/>
      <c r="S1081" s="501">
        <f t="shared" si="2434"/>
        <v>0</v>
      </c>
      <c r="T1081" s="3153"/>
      <c r="U1081" s="501">
        <f t="shared" si="2435"/>
        <v>0</v>
      </c>
      <c r="V1081" s="3153"/>
      <c r="W1081" s="398">
        <f t="shared" si="2436"/>
        <v>0</v>
      </c>
      <c r="X1081" s="1989">
        <f t="shared" si="2437"/>
        <v>0</v>
      </c>
      <c r="Y1081" s="3153"/>
      <c r="Z1081" s="501">
        <f t="shared" si="2443"/>
        <v>0</v>
      </c>
      <c r="AA1081" s="3153"/>
      <c r="AB1081" s="2475">
        <f t="shared" si="2444"/>
        <v>0</v>
      </c>
      <c r="AC1081" s="5135"/>
      <c r="AD1081" s="713">
        <f t="shared" si="2445"/>
        <v>0</v>
      </c>
      <c r="AE1081" s="1290">
        <f t="shared" si="2446"/>
        <v>0</v>
      </c>
      <c r="AF1081" s="814">
        <f t="shared" si="2447"/>
        <v>0</v>
      </c>
    </row>
    <row r="1082" spans="3:32" ht="35" customHeight="1" x14ac:dyDescent="0.25">
      <c r="C1082" s="338"/>
      <c r="D1082" s="2437"/>
      <c r="E1082" s="4608" t="s">
        <v>1813</v>
      </c>
      <c r="F1082" s="3153"/>
      <c r="G1082" s="3153"/>
      <c r="H1082" s="296">
        <f t="shared" si="2429"/>
        <v>0</v>
      </c>
      <c r="I1082" s="3153"/>
      <c r="J1082" s="304">
        <f t="shared" si="2430"/>
        <v>0</v>
      </c>
      <c r="K1082" s="3153"/>
      <c r="L1082" s="501">
        <f t="shared" si="2431"/>
        <v>0</v>
      </c>
      <c r="M1082" s="3153">
        <v>0</v>
      </c>
      <c r="N1082" s="501">
        <f t="shared" si="2431"/>
        <v>0</v>
      </c>
      <c r="O1082" s="3153">
        <v>0</v>
      </c>
      <c r="P1082" s="558">
        <f t="shared" si="2432"/>
        <v>0</v>
      </c>
      <c r="Q1082" s="2185">
        <f t="shared" si="2433"/>
        <v>0</v>
      </c>
      <c r="R1082" s="3153">
        <v>556.66000000000008</v>
      </c>
      <c r="S1082" s="501">
        <f t="shared" si="2434"/>
        <v>556.66000000000008</v>
      </c>
      <c r="T1082" s="3153">
        <v>144.05000000000001</v>
      </c>
      <c r="U1082" s="501">
        <f t="shared" si="2435"/>
        <v>700.71</v>
      </c>
      <c r="V1082" s="3153">
        <v>251.09</v>
      </c>
      <c r="W1082" s="398">
        <f t="shared" si="2436"/>
        <v>951.80000000000007</v>
      </c>
      <c r="X1082" s="1989">
        <f t="shared" si="2437"/>
        <v>951.80000000000007</v>
      </c>
      <c r="Y1082" s="3153"/>
      <c r="Z1082" s="501">
        <f t="shared" si="2443"/>
        <v>951.80000000000007</v>
      </c>
      <c r="AA1082" s="3153">
        <v>31.69</v>
      </c>
      <c r="AB1082" s="2475">
        <f t="shared" si="2444"/>
        <v>983.49000000000012</v>
      </c>
      <c r="AC1082" s="5135"/>
      <c r="AD1082" s="713">
        <f t="shared" si="2445"/>
        <v>31.69</v>
      </c>
      <c r="AE1082" s="1290">
        <f t="shared" si="2446"/>
        <v>983.49000000000012</v>
      </c>
      <c r="AF1082" s="814">
        <f t="shared" si="2447"/>
        <v>983.49000000000012</v>
      </c>
    </row>
    <row r="1083" spans="3:32" ht="35" customHeight="1" x14ac:dyDescent="0.25">
      <c r="C1083" s="338"/>
      <c r="D1083" s="2437"/>
      <c r="E1083" s="4608" t="s">
        <v>1812</v>
      </c>
      <c r="F1083" s="3262"/>
      <c r="G1083" s="3262"/>
      <c r="H1083" s="296">
        <f t="shared" si="2429"/>
        <v>0</v>
      </c>
      <c r="I1083" s="3262"/>
      <c r="J1083" s="304">
        <f t="shared" si="2430"/>
        <v>0</v>
      </c>
      <c r="K1083" s="3262"/>
      <c r="L1083" s="501">
        <f t="shared" si="2431"/>
        <v>0</v>
      </c>
      <c r="M1083" s="3262">
        <v>61.26</v>
      </c>
      <c r="N1083" s="501">
        <f t="shared" si="2431"/>
        <v>61.26</v>
      </c>
      <c r="O1083" s="3262">
        <v>0</v>
      </c>
      <c r="P1083" s="558">
        <f t="shared" ref="P1083" si="2448">+K1083+M1083+O1083</f>
        <v>61.26</v>
      </c>
      <c r="Q1083" s="2185">
        <f t="shared" ref="Q1083" si="2449">+J1083+P1083</f>
        <v>61.26</v>
      </c>
      <c r="R1083" s="3262">
        <v>419.09</v>
      </c>
      <c r="S1083" s="501">
        <f t="shared" si="2434"/>
        <v>480.34999999999997</v>
      </c>
      <c r="T1083" s="3262">
        <v>977.23</v>
      </c>
      <c r="U1083" s="501">
        <f t="shared" si="2435"/>
        <v>1457.58</v>
      </c>
      <c r="V1083" s="3262"/>
      <c r="W1083" s="398">
        <f t="shared" ref="W1083" si="2450">+R1083+T1083+V1083</f>
        <v>1396.32</v>
      </c>
      <c r="X1083" s="1989">
        <f t="shared" ref="X1083" si="2451">+U1083+V1083</f>
        <v>1457.58</v>
      </c>
      <c r="Y1083" s="3262">
        <v>354.91999999999996</v>
      </c>
      <c r="Z1083" s="501">
        <f t="shared" si="2443"/>
        <v>1812.5</v>
      </c>
      <c r="AA1083" s="3262">
        <v>726.8</v>
      </c>
      <c r="AB1083" s="2475">
        <f t="shared" si="2444"/>
        <v>2539.3000000000002</v>
      </c>
      <c r="AC1083" s="3162">
        <v>1708.739</v>
      </c>
      <c r="AD1083" s="713">
        <f t="shared" si="2445"/>
        <v>2790.4589999999998</v>
      </c>
      <c r="AE1083" s="1290">
        <f t="shared" si="2446"/>
        <v>4186.7789999999995</v>
      </c>
      <c r="AF1083" s="814">
        <f t="shared" si="2447"/>
        <v>4248.0390000000007</v>
      </c>
    </row>
    <row r="1084" spans="3:32" ht="35" customHeight="1" x14ac:dyDescent="0.25">
      <c r="C1084" s="338"/>
      <c r="D1084" s="2437"/>
      <c r="E1084" s="4608" t="s">
        <v>1811</v>
      </c>
      <c r="F1084" s="3149"/>
      <c r="G1084" s="3149"/>
      <c r="H1084" s="296">
        <f t="shared" si="2429"/>
        <v>0</v>
      </c>
      <c r="I1084" s="3149"/>
      <c r="J1084" s="304">
        <f t="shared" si="2430"/>
        <v>0</v>
      </c>
      <c r="K1084" s="3149"/>
      <c r="L1084" s="501">
        <f t="shared" si="2431"/>
        <v>0</v>
      </c>
      <c r="M1084" s="3149">
        <v>2152.65</v>
      </c>
      <c r="N1084" s="501">
        <f t="shared" si="2431"/>
        <v>2152.65</v>
      </c>
      <c r="O1084" s="3149">
        <v>1474.38</v>
      </c>
      <c r="P1084" s="558">
        <f t="shared" si="2432"/>
        <v>3627.03</v>
      </c>
      <c r="Q1084" s="2185">
        <f t="shared" si="2433"/>
        <v>3627.03</v>
      </c>
      <c r="R1084" s="3149">
        <v>991.78000000000009</v>
      </c>
      <c r="S1084" s="501">
        <f t="shared" si="2434"/>
        <v>4618.8100000000004</v>
      </c>
      <c r="T1084" s="3149">
        <v>810.69</v>
      </c>
      <c r="U1084" s="501">
        <f t="shared" si="2435"/>
        <v>5429.5</v>
      </c>
      <c r="V1084" s="3149">
        <f>39.54+251.61</f>
        <v>291.15000000000003</v>
      </c>
      <c r="W1084" s="398">
        <f t="shared" si="2436"/>
        <v>2093.6200000000003</v>
      </c>
      <c r="X1084" s="1989">
        <f t="shared" si="2437"/>
        <v>5720.65</v>
      </c>
      <c r="Y1084" s="3149">
        <v>1862.27</v>
      </c>
      <c r="Z1084" s="501">
        <f t="shared" si="2443"/>
        <v>7582.92</v>
      </c>
      <c r="AA1084" s="3149">
        <v>3022.5480000000002</v>
      </c>
      <c r="AB1084" s="2475">
        <f t="shared" si="2444"/>
        <v>10605.468000000001</v>
      </c>
      <c r="AC1084" s="5128">
        <v>3301.1900000000005</v>
      </c>
      <c r="AD1084" s="713">
        <f t="shared" si="2445"/>
        <v>8186.0080000000007</v>
      </c>
      <c r="AE1084" s="1290">
        <f t="shared" si="2446"/>
        <v>10279.628000000001</v>
      </c>
      <c r="AF1084" s="814">
        <f t="shared" si="2447"/>
        <v>13906.658000000001</v>
      </c>
    </row>
    <row r="1085" spans="3:32" ht="35" customHeight="1" x14ac:dyDescent="0.25">
      <c r="C1085" s="338"/>
      <c r="D1085" s="2437"/>
      <c r="E1085" s="4608" t="s">
        <v>1814</v>
      </c>
      <c r="F1085" s="3153"/>
      <c r="G1085" s="3153"/>
      <c r="H1085" s="296">
        <f t="shared" si="2429"/>
        <v>0</v>
      </c>
      <c r="I1085" s="3153"/>
      <c r="J1085" s="304">
        <f t="shared" si="2430"/>
        <v>0</v>
      </c>
      <c r="K1085" s="3153"/>
      <c r="L1085" s="501">
        <f t="shared" si="2431"/>
        <v>0</v>
      </c>
      <c r="M1085" s="3153">
        <v>191.63000000000002</v>
      </c>
      <c r="N1085" s="501">
        <f t="shared" si="2431"/>
        <v>191.63000000000002</v>
      </c>
      <c r="O1085" s="3153">
        <v>0</v>
      </c>
      <c r="P1085" s="558">
        <f t="shared" si="2432"/>
        <v>191.63000000000002</v>
      </c>
      <c r="Q1085" s="2185">
        <f t="shared" si="2433"/>
        <v>191.63000000000002</v>
      </c>
      <c r="R1085" s="3153">
        <v>55.06</v>
      </c>
      <c r="S1085" s="501">
        <f t="shared" si="2434"/>
        <v>246.69000000000003</v>
      </c>
      <c r="T1085" s="3153">
        <v>1825.1</v>
      </c>
      <c r="U1085" s="501">
        <f t="shared" si="2435"/>
        <v>2071.79</v>
      </c>
      <c r="V1085" s="3153">
        <f>62.38+443.03</f>
        <v>505.40999999999997</v>
      </c>
      <c r="W1085" s="398">
        <f t="shared" si="2436"/>
        <v>2385.5699999999997</v>
      </c>
      <c r="X1085" s="1989">
        <f t="shared" si="2437"/>
        <v>2577.1999999999998</v>
      </c>
      <c r="Y1085" s="3153"/>
      <c r="Z1085" s="501">
        <f t="shared" si="2443"/>
        <v>2577.1999999999998</v>
      </c>
      <c r="AA1085" s="3153"/>
      <c r="AB1085" s="2475">
        <f t="shared" si="2444"/>
        <v>2577.1999999999998</v>
      </c>
      <c r="AC1085" s="5135"/>
      <c r="AD1085" s="713">
        <f t="shared" si="2445"/>
        <v>0</v>
      </c>
      <c r="AE1085" s="1290">
        <f t="shared" si="2446"/>
        <v>2385.5699999999997</v>
      </c>
      <c r="AF1085" s="814">
        <f t="shared" si="2447"/>
        <v>2577.1999999999998</v>
      </c>
    </row>
    <row r="1086" spans="3:32" ht="35" customHeight="1" x14ac:dyDescent="0.25">
      <c r="C1086" s="338"/>
      <c r="D1086" s="2437"/>
      <c r="E1086" s="4608" t="s">
        <v>1815</v>
      </c>
      <c r="F1086" s="3153"/>
      <c r="G1086" s="3153"/>
      <c r="H1086" s="296">
        <f t="shared" si="2429"/>
        <v>0</v>
      </c>
      <c r="I1086" s="3153"/>
      <c r="J1086" s="304">
        <f t="shared" si="2430"/>
        <v>0</v>
      </c>
      <c r="K1086" s="3153"/>
      <c r="L1086" s="501">
        <f t="shared" si="2431"/>
        <v>0</v>
      </c>
      <c r="M1086" s="3153">
        <v>0</v>
      </c>
      <c r="N1086" s="501">
        <f t="shared" si="2431"/>
        <v>0</v>
      </c>
      <c r="O1086" s="3153">
        <v>0</v>
      </c>
      <c r="P1086" s="558">
        <f t="shared" ref="P1086:P1087" si="2452">+K1086+M1086+O1086</f>
        <v>0</v>
      </c>
      <c r="Q1086" s="2185">
        <f t="shared" ref="Q1086:Q1087" si="2453">+J1086+P1086</f>
        <v>0</v>
      </c>
      <c r="R1086" s="3153"/>
      <c r="S1086" s="501">
        <f t="shared" si="2434"/>
        <v>0</v>
      </c>
      <c r="T1086" s="3153"/>
      <c r="U1086" s="501">
        <f t="shared" si="2435"/>
        <v>0</v>
      </c>
      <c r="V1086" s="3153"/>
      <c r="W1086" s="398">
        <f t="shared" ref="W1086:W1088" si="2454">+R1086+T1086+V1086</f>
        <v>0</v>
      </c>
      <c r="X1086" s="1989">
        <f t="shared" ref="X1086:X1088" si="2455">+U1086+V1086</f>
        <v>0</v>
      </c>
      <c r="Y1086" s="3153"/>
      <c r="Z1086" s="501">
        <f t="shared" si="2443"/>
        <v>0</v>
      </c>
      <c r="AA1086" s="3153"/>
      <c r="AB1086" s="2475">
        <f t="shared" si="2444"/>
        <v>0</v>
      </c>
      <c r="AC1086" s="5135"/>
      <c r="AD1086" s="713">
        <f t="shared" si="2445"/>
        <v>0</v>
      </c>
      <c r="AE1086" s="1290">
        <f t="shared" si="2446"/>
        <v>0</v>
      </c>
      <c r="AF1086" s="814">
        <f t="shared" si="2447"/>
        <v>0</v>
      </c>
    </row>
    <row r="1087" spans="3:32" ht="35" customHeight="1" x14ac:dyDescent="0.25">
      <c r="C1087" s="338"/>
      <c r="D1087" s="2437"/>
      <c r="E1087" s="4608" t="s">
        <v>1816</v>
      </c>
      <c r="F1087" s="3153"/>
      <c r="G1087" s="3153"/>
      <c r="H1087" s="296">
        <f t="shared" si="2429"/>
        <v>0</v>
      </c>
      <c r="I1087" s="3153"/>
      <c r="J1087" s="304">
        <f t="shared" si="2430"/>
        <v>0</v>
      </c>
      <c r="K1087" s="3153"/>
      <c r="L1087" s="501">
        <f t="shared" si="2431"/>
        <v>0</v>
      </c>
      <c r="M1087" s="3153">
        <v>0</v>
      </c>
      <c r="N1087" s="501">
        <f t="shared" ref="N1087" si="2456">+L1087+M1087</f>
        <v>0</v>
      </c>
      <c r="O1087" s="3153">
        <v>0</v>
      </c>
      <c r="P1087" s="558">
        <f t="shared" si="2452"/>
        <v>0</v>
      </c>
      <c r="Q1087" s="2185">
        <f t="shared" si="2453"/>
        <v>0</v>
      </c>
      <c r="R1087" s="3153"/>
      <c r="S1087" s="501">
        <f t="shared" ref="S1087" si="2457">+Q1087+R1087</f>
        <v>0</v>
      </c>
      <c r="T1087" s="3153"/>
      <c r="U1087" s="501">
        <f t="shared" ref="U1087" si="2458">SUM(S1087:T1087)</f>
        <v>0</v>
      </c>
      <c r="V1087" s="3153">
        <v>29.79</v>
      </c>
      <c r="W1087" s="398">
        <f t="shared" ref="W1087" si="2459">+R1087+T1087+V1087</f>
        <v>29.79</v>
      </c>
      <c r="X1087" s="1989">
        <f t="shared" ref="X1087" si="2460">+U1087+V1087</f>
        <v>29.79</v>
      </c>
      <c r="Y1087" s="3153"/>
      <c r="Z1087" s="501">
        <f t="shared" si="2443"/>
        <v>29.79</v>
      </c>
      <c r="AA1087" s="3153"/>
      <c r="AB1087" s="2475">
        <f t="shared" si="2444"/>
        <v>29.79</v>
      </c>
      <c r="AC1087" s="5135"/>
      <c r="AD1087" s="713">
        <f t="shared" si="2445"/>
        <v>0</v>
      </c>
      <c r="AE1087" s="1290">
        <f t="shared" si="2446"/>
        <v>29.79</v>
      </c>
      <c r="AF1087" s="814">
        <f t="shared" si="2447"/>
        <v>29.79</v>
      </c>
    </row>
    <row r="1088" spans="3:32" ht="35" customHeight="1" x14ac:dyDescent="0.25">
      <c r="C1088" s="338"/>
      <c r="D1088" s="2437"/>
      <c r="E1088" s="4608" t="s">
        <v>1817</v>
      </c>
      <c r="F1088" s="3153"/>
      <c r="G1088" s="3153"/>
      <c r="H1088" s="296">
        <f t="shared" si="2429"/>
        <v>0</v>
      </c>
      <c r="I1088" s="3153"/>
      <c r="J1088" s="304">
        <f t="shared" si="2430"/>
        <v>0</v>
      </c>
      <c r="K1088" s="3153"/>
      <c r="L1088" s="501">
        <f t="shared" si="2431"/>
        <v>0</v>
      </c>
      <c r="M1088" s="3153">
        <v>0</v>
      </c>
      <c r="N1088" s="501">
        <f t="shared" si="2431"/>
        <v>0</v>
      </c>
      <c r="O1088" s="3153">
        <v>0</v>
      </c>
      <c r="P1088" s="558">
        <f t="shared" ref="P1088" si="2461">+K1088+M1088+O1088</f>
        <v>0</v>
      </c>
      <c r="Q1088" s="2185">
        <f t="shared" ref="Q1088" si="2462">+J1088+P1088</f>
        <v>0</v>
      </c>
      <c r="R1088" s="3153">
        <v>604.63</v>
      </c>
      <c r="S1088" s="501">
        <f t="shared" si="2434"/>
        <v>604.63</v>
      </c>
      <c r="T1088" s="3153"/>
      <c r="U1088" s="501">
        <f t="shared" si="2435"/>
        <v>604.63</v>
      </c>
      <c r="V1088" s="3153"/>
      <c r="W1088" s="398">
        <f t="shared" si="2454"/>
        <v>604.63</v>
      </c>
      <c r="X1088" s="1989">
        <f t="shared" si="2455"/>
        <v>604.63</v>
      </c>
      <c r="Y1088" s="3153">
        <v>1109.51</v>
      </c>
      <c r="Z1088" s="501">
        <f t="shared" si="2443"/>
        <v>1714.1399999999999</v>
      </c>
      <c r="AA1088" s="3153">
        <v>877.26200000000006</v>
      </c>
      <c r="AB1088" s="2475">
        <f t="shared" si="2444"/>
        <v>2591.402</v>
      </c>
      <c r="AC1088" s="5135">
        <v>1207.06</v>
      </c>
      <c r="AD1088" s="713">
        <f t="shared" si="2445"/>
        <v>3193.8319999999999</v>
      </c>
      <c r="AE1088" s="1290">
        <f t="shared" si="2446"/>
        <v>3798.462</v>
      </c>
      <c r="AF1088" s="814">
        <f t="shared" si="2447"/>
        <v>3798.462</v>
      </c>
    </row>
    <row r="1089" spans="3:44" ht="35" customHeight="1" x14ac:dyDescent="0.25">
      <c r="C1089" s="338"/>
      <c r="D1089" s="2437"/>
      <c r="E1089" s="4608" t="s">
        <v>1818</v>
      </c>
      <c r="F1089" s="3149"/>
      <c r="G1089" s="3149"/>
      <c r="H1089" s="296">
        <f t="shared" si="2429"/>
        <v>0</v>
      </c>
      <c r="I1089" s="3149"/>
      <c r="J1089" s="304">
        <f t="shared" si="2430"/>
        <v>0</v>
      </c>
      <c r="K1089" s="3149"/>
      <c r="L1089" s="501">
        <f t="shared" si="2431"/>
        <v>0</v>
      </c>
      <c r="M1089" s="3149">
        <v>1671.7999999999995</v>
      </c>
      <c r="N1089" s="501">
        <f t="shared" si="2431"/>
        <v>1671.7999999999995</v>
      </c>
      <c r="O1089" s="3149">
        <v>1572.02</v>
      </c>
      <c r="P1089" s="558">
        <f t="shared" si="2432"/>
        <v>3243.8199999999997</v>
      </c>
      <c r="Q1089" s="2185">
        <f t="shared" si="2433"/>
        <v>3243.8199999999997</v>
      </c>
      <c r="R1089" s="3149">
        <v>1407.66</v>
      </c>
      <c r="S1089" s="501">
        <f t="shared" si="2434"/>
        <v>4651.4799999999996</v>
      </c>
      <c r="T1089" s="3149">
        <v>1912.04</v>
      </c>
      <c r="U1089" s="501">
        <f t="shared" si="2435"/>
        <v>6563.5199999999995</v>
      </c>
      <c r="V1089" s="3149">
        <v>33.46</v>
      </c>
      <c r="W1089" s="398">
        <f t="shared" si="2436"/>
        <v>3353.16</v>
      </c>
      <c r="X1089" s="1989">
        <f t="shared" si="2437"/>
        <v>6596.98</v>
      </c>
      <c r="Y1089" s="3149">
        <v>3052.1499999999996</v>
      </c>
      <c r="Z1089" s="501">
        <f t="shared" si="2443"/>
        <v>9649.1299999999992</v>
      </c>
      <c r="AA1089" s="3149">
        <v>2759.2899999999995</v>
      </c>
      <c r="AB1089" s="2475">
        <f t="shared" si="2444"/>
        <v>12408.419999999998</v>
      </c>
      <c r="AC1089" s="5128">
        <v>2124.991</v>
      </c>
      <c r="AD1089" s="713">
        <f t="shared" si="2445"/>
        <v>7936.4309999999987</v>
      </c>
      <c r="AE1089" s="1290">
        <f t="shared" si="2446"/>
        <v>11289.590999999999</v>
      </c>
      <c r="AF1089" s="814">
        <f t="shared" si="2447"/>
        <v>14533.410999999998</v>
      </c>
    </row>
    <row r="1090" spans="3:44" ht="35" customHeight="1" x14ac:dyDescent="0.25">
      <c r="C1090" s="338"/>
      <c r="D1090" s="2437"/>
      <c r="E1090" s="4608" t="s">
        <v>1819</v>
      </c>
      <c r="F1090" s="3153"/>
      <c r="G1090" s="3153"/>
      <c r="H1090" s="296">
        <f t="shared" si="2429"/>
        <v>0</v>
      </c>
      <c r="I1090" s="3153"/>
      <c r="J1090" s="304">
        <f t="shared" si="2430"/>
        <v>0</v>
      </c>
      <c r="K1090" s="3153"/>
      <c r="L1090" s="501">
        <f t="shared" si="2431"/>
        <v>0</v>
      </c>
      <c r="M1090" s="3153">
        <v>213.22</v>
      </c>
      <c r="N1090" s="501">
        <f t="shared" si="2431"/>
        <v>213.22</v>
      </c>
      <c r="O1090" s="3153">
        <v>826.45</v>
      </c>
      <c r="P1090" s="558">
        <f t="shared" si="2432"/>
        <v>1039.67</v>
      </c>
      <c r="Q1090" s="2185">
        <f t="shared" si="2433"/>
        <v>1039.67</v>
      </c>
      <c r="R1090" s="3153">
        <v>797.43</v>
      </c>
      <c r="S1090" s="501">
        <f t="shared" si="2434"/>
        <v>1837.1</v>
      </c>
      <c r="T1090" s="3153">
        <v>783.5100000000001</v>
      </c>
      <c r="U1090" s="501">
        <f t="shared" si="2435"/>
        <v>2620.61</v>
      </c>
      <c r="V1090" s="3153">
        <f>186.26+1625.48+24.41</f>
        <v>1836.15</v>
      </c>
      <c r="W1090" s="398">
        <f t="shared" si="2436"/>
        <v>3417.09</v>
      </c>
      <c r="X1090" s="1989">
        <f t="shared" si="2437"/>
        <v>4456.76</v>
      </c>
      <c r="Y1090" s="3153">
        <v>810.61899999999991</v>
      </c>
      <c r="Z1090" s="501">
        <f t="shared" si="2443"/>
        <v>5267.3789999999999</v>
      </c>
      <c r="AA1090" s="3153"/>
      <c r="AB1090" s="2475">
        <f t="shared" si="2444"/>
        <v>5267.3789999999999</v>
      </c>
      <c r="AC1090" s="5135"/>
      <c r="AD1090" s="713">
        <f t="shared" si="2445"/>
        <v>810.61899999999991</v>
      </c>
      <c r="AE1090" s="1290">
        <f t="shared" si="2446"/>
        <v>4227.7089999999998</v>
      </c>
      <c r="AF1090" s="814">
        <f t="shared" si="2447"/>
        <v>5267.3789999999999</v>
      </c>
    </row>
    <row r="1091" spans="3:44" ht="35" customHeight="1" x14ac:dyDescent="0.25">
      <c r="C1091" s="338"/>
      <c r="D1091" s="2437"/>
      <c r="E1091" s="4608" t="s">
        <v>1820</v>
      </c>
      <c r="F1091" s="3153"/>
      <c r="G1091" s="3153"/>
      <c r="H1091" s="296">
        <f t="shared" si="2429"/>
        <v>0</v>
      </c>
      <c r="I1091" s="3153"/>
      <c r="J1091" s="304">
        <f t="shared" si="2430"/>
        <v>0</v>
      </c>
      <c r="K1091" s="3153"/>
      <c r="L1091" s="501">
        <f t="shared" si="2431"/>
        <v>0</v>
      </c>
      <c r="M1091" s="3153">
        <v>298.76</v>
      </c>
      <c r="N1091" s="501">
        <f t="shared" si="2431"/>
        <v>298.76</v>
      </c>
      <c r="O1091" s="3153">
        <v>0</v>
      </c>
      <c r="P1091" s="558">
        <f t="shared" ref="P1091" si="2463">+K1091+M1091+O1091</f>
        <v>298.76</v>
      </c>
      <c r="Q1091" s="2185">
        <f t="shared" ref="Q1091" si="2464">+J1091+P1091</f>
        <v>298.76</v>
      </c>
      <c r="R1091" s="3153"/>
      <c r="S1091" s="501">
        <f t="shared" si="2434"/>
        <v>298.76</v>
      </c>
      <c r="T1091" s="3153">
        <v>187.92</v>
      </c>
      <c r="U1091" s="501">
        <f t="shared" si="2435"/>
        <v>486.67999999999995</v>
      </c>
      <c r="V1091" s="3153"/>
      <c r="W1091" s="398">
        <f t="shared" ref="W1091:W1092" si="2465">+R1091+T1091+V1091</f>
        <v>187.92</v>
      </c>
      <c r="X1091" s="1989">
        <f t="shared" ref="X1091:X1092" si="2466">+U1091+V1091</f>
        <v>486.67999999999995</v>
      </c>
      <c r="Y1091" s="3153"/>
      <c r="Z1091" s="501">
        <f t="shared" si="2443"/>
        <v>486.67999999999995</v>
      </c>
      <c r="AA1091" s="3153"/>
      <c r="AB1091" s="2475">
        <f t="shared" si="2444"/>
        <v>486.67999999999995</v>
      </c>
      <c r="AC1091" s="5135"/>
      <c r="AD1091" s="713">
        <f t="shared" si="2445"/>
        <v>0</v>
      </c>
      <c r="AE1091" s="1290">
        <f t="shared" si="2446"/>
        <v>187.92</v>
      </c>
      <c r="AF1091" s="814">
        <f t="shared" si="2447"/>
        <v>486.67999999999995</v>
      </c>
    </row>
    <row r="1092" spans="3:44" ht="35" customHeight="1" x14ac:dyDescent="0.25">
      <c r="C1092" s="338"/>
      <c r="D1092" s="2437"/>
      <c r="E1092" s="4608" t="s">
        <v>1821</v>
      </c>
      <c r="F1092" s="3149"/>
      <c r="G1092" s="3149"/>
      <c r="H1092" s="296">
        <f t="shared" si="2429"/>
        <v>0</v>
      </c>
      <c r="I1092" s="3149"/>
      <c r="J1092" s="304">
        <f t="shared" si="2430"/>
        <v>0</v>
      </c>
      <c r="K1092" s="3149"/>
      <c r="L1092" s="501">
        <f t="shared" si="2431"/>
        <v>0</v>
      </c>
      <c r="M1092" s="3149">
        <v>1903.2200000000003</v>
      </c>
      <c r="N1092" s="501">
        <f t="shared" si="2431"/>
        <v>1903.2200000000003</v>
      </c>
      <c r="O1092" s="3149">
        <v>178.23000000000002</v>
      </c>
      <c r="P1092" s="558">
        <f t="shared" ref="P1092" si="2467">+K1092+M1092+O1092</f>
        <v>2081.4500000000003</v>
      </c>
      <c r="Q1092" s="2185">
        <f t="shared" ref="Q1092" si="2468">+J1092+P1092</f>
        <v>2081.4500000000003</v>
      </c>
      <c r="R1092" s="3149">
        <v>638.7299999999999</v>
      </c>
      <c r="S1092" s="501">
        <f t="shared" si="2434"/>
        <v>2720.1800000000003</v>
      </c>
      <c r="T1092" s="3149">
        <v>322.17</v>
      </c>
      <c r="U1092" s="501">
        <f t="shared" si="2435"/>
        <v>3042.3500000000004</v>
      </c>
      <c r="V1092" s="3149">
        <v>31.67</v>
      </c>
      <c r="W1092" s="398">
        <f t="shared" si="2465"/>
        <v>992.56999999999982</v>
      </c>
      <c r="X1092" s="1989">
        <f t="shared" si="2466"/>
        <v>3074.0200000000004</v>
      </c>
      <c r="Y1092" s="3149">
        <v>179.42000000000002</v>
      </c>
      <c r="Z1092" s="501">
        <f t="shared" si="2443"/>
        <v>3253.4400000000005</v>
      </c>
      <c r="AA1092" s="3149">
        <v>185.62</v>
      </c>
      <c r="AB1092" s="2475">
        <f t="shared" si="2444"/>
        <v>3439.0600000000004</v>
      </c>
      <c r="AC1092" s="5128">
        <v>1554.4520000000002</v>
      </c>
      <c r="AD1092" s="713">
        <f t="shared" si="2445"/>
        <v>1919.4920000000002</v>
      </c>
      <c r="AE1092" s="1290">
        <f t="shared" si="2446"/>
        <v>2912.0619999999999</v>
      </c>
      <c r="AF1092" s="814">
        <f t="shared" si="2447"/>
        <v>4993.5120000000006</v>
      </c>
    </row>
    <row r="1093" spans="3:44" ht="34.5" customHeight="1" x14ac:dyDescent="0.25">
      <c r="C1093" s="338"/>
      <c r="D1093" s="2437"/>
      <c r="E1093" s="4608" t="s">
        <v>1822</v>
      </c>
      <c r="F1093" s="3149"/>
      <c r="G1093" s="3149"/>
      <c r="H1093" s="296">
        <f t="shared" si="2429"/>
        <v>0</v>
      </c>
      <c r="I1093" s="3149"/>
      <c r="J1093" s="304">
        <f t="shared" si="2430"/>
        <v>0</v>
      </c>
      <c r="K1093" s="3149"/>
      <c r="L1093" s="501">
        <f t="shared" si="2431"/>
        <v>0</v>
      </c>
      <c r="M1093" s="3149">
        <v>309.27999999999997</v>
      </c>
      <c r="N1093" s="501">
        <f t="shared" si="2431"/>
        <v>309.27999999999997</v>
      </c>
      <c r="O1093" s="3149">
        <v>569.32999999999993</v>
      </c>
      <c r="P1093" s="558">
        <f t="shared" si="2432"/>
        <v>878.6099999999999</v>
      </c>
      <c r="Q1093" s="2185">
        <f t="shared" si="2433"/>
        <v>878.6099999999999</v>
      </c>
      <c r="R1093" s="3149">
        <v>348.65</v>
      </c>
      <c r="S1093" s="501">
        <f t="shared" si="2434"/>
        <v>1227.2599999999998</v>
      </c>
      <c r="T1093" s="3149">
        <v>595.53000000000009</v>
      </c>
      <c r="U1093" s="501">
        <f t="shared" si="2435"/>
        <v>1822.79</v>
      </c>
      <c r="V1093" s="3149">
        <f>60.52+914.9</f>
        <v>975.42</v>
      </c>
      <c r="W1093" s="398">
        <f t="shared" si="2436"/>
        <v>1919.6</v>
      </c>
      <c r="X1093" s="1989">
        <f t="shared" si="2437"/>
        <v>2798.21</v>
      </c>
      <c r="Y1093" s="3149"/>
      <c r="Z1093" s="501">
        <f t="shared" si="2443"/>
        <v>2798.21</v>
      </c>
      <c r="AA1093" s="3149"/>
      <c r="AB1093" s="2475">
        <f t="shared" si="2444"/>
        <v>2798.21</v>
      </c>
      <c r="AC1093" s="5128"/>
      <c r="AD1093" s="713">
        <f t="shared" si="2445"/>
        <v>0</v>
      </c>
      <c r="AE1093" s="1290">
        <f t="shared" si="2446"/>
        <v>1919.6</v>
      </c>
      <c r="AF1093" s="814">
        <f t="shared" si="2447"/>
        <v>2798.21</v>
      </c>
    </row>
    <row r="1094" spans="3:44" ht="35" customHeight="1" x14ac:dyDescent="0.25">
      <c r="C1094" s="338"/>
      <c r="D1094" s="2437"/>
      <c r="E1094" s="4608" t="s">
        <v>1823</v>
      </c>
      <c r="F1094" s="3153"/>
      <c r="G1094" s="3153"/>
      <c r="H1094" s="296">
        <f t="shared" si="2429"/>
        <v>0</v>
      </c>
      <c r="I1094" s="3153"/>
      <c r="J1094" s="304">
        <f t="shared" si="2430"/>
        <v>0</v>
      </c>
      <c r="K1094" s="3153"/>
      <c r="L1094" s="501">
        <f t="shared" si="2431"/>
        <v>0</v>
      </c>
      <c r="M1094" s="3153">
        <v>0</v>
      </c>
      <c r="N1094" s="501">
        <f t="shared" si="2431"/>
        <v>0</v>
      </c>
      <c r="O1094" s="3153">
        <v>0</v>
      </c>
      <c r="P1094" s="558">
        <f t="shared" ref="P1094" si="2469">+K1094+M1094+O1094</f>
        <v>0</v>
      </c>
      <c r="Q1094" s="2185">
        <f t="shared" ref="Q1094" si="2470">+J1094+P1094</f>
        <v>0</v>
      </c>
      <c r="R1094" s="3153"/>
      <c r="S1094" s="501">
        <f t="shared" si="2434"/>
        <v>0</v>
      </c>
      <c r="T1094" s="3153"/>
      <c r="U1094" s="501">
        <f t="shared" si="2435"/>
        <v>0</v>
      </c>
      <c r="V1094" s="3153"/>
      <c r="W1094" s="398">
        <f t="shared" ref="W1094" si="2471">+R1094+T1094+V1094</f>
        <v>0</v>
      </c>
      <c r="X1094" s="1989">
        <f t="shared" ref="X1094" si="2472">+U1094+V1094</f>
        <v>0</v>
      </c>
      <c r="Y1094" s="3153"/>
      <c r="Z1094" s="501">
        <f t="shared" si="2443"/>
        <v>0</v>
      </c>
      <c r="AA1094" s="3153"/>
      <c r="AB1094" s="2475">
        <f t="shared" si="2444"/>
        <v>0</v>
      </c>
      <c r="AC1094" s="5135"/>
      <c r="AD1094" s="713">
        <f t="shared" si="2445"/>
        <v>0</v>
      </c>
      <c r="AE1094" s="1290">
        <f t="shared" si="2446"/>
        <v>0</v>
      </c>
      <c r="AF1094" s="814">
        <f t="shared" si="2447"/>
        <v>0</v>
      </c>
    </row>
    <row r="1095" spans="3:44" ht="35" customHeight="1" x14ac:dyDescent="0.25">
      <c r="C1095" s="338"/>
      <c r="D1095" s="2437"/>
      <c r="E1095" s="4608" t="s">
        <v>1824</v>
      </c>
      <c r="F1095" s="3153"/>
      <c r="G1095" s="3153"/>
      <c r="H1095" s="296">
        <f t="shared" si="2429"/>
        <v>0</v>
      </c>
      <c r="I1095" s="3153"/>
      <c r="J1095" s="304">
        <f t="shared" si="2430"/>
        <v>0</v>
      </c>
      <c r="K1095" s="3153"/>
      <c r="L1095" s="501">
        <f t="shared" si="2431"/>
        <v>0</v>
      </c>
      <c r="M1095" s="3153">
        <v>32.25</v>
      </c>
      <c r="N1095" s="501">
        <f t="shared" si="2431"/>
        <v>32.25</v>
      </c>
      <c r="O1095" s="3153">
        <v>0</v>
      </c>
      <c r="P1095" s="558">
        <f t="shared" ref="P1095:P1096" si="2473">+K1095+M1095+O1095</f>
        <v>32.25</v>
      </c>
      <c r="Q1095" s="2185">
        <f t="shared" ref="Q1095:Q1096" si="2474">+J1095+P1095</f>
        <v>32.25</v>
      </c>
      <c r="R1095" s="3153">
        <v>124.67</v>
      </c>
      <c r="S1095" s="501">
        <f t="shared" si="2434"/>
        <v>156.92000000000002</v>
      </c>
      <c r="T1095" s="3153">
        <v>62.14</v>
      </c>
      <c r="U1095" s="501">
        <f t="shared" si="2435"/>
        <v>219.06</v>
      </c>
      <c r="V1095" s="3153">
        <v>61.5</v>
      </c>
      <c r="W1095" s="398">
        <f t="shared" ref="W1095" si="2475">+R1095+T1095+V1095</f>
        <v>248.31</v>
      </c>
      <c r="X1095" s="1989">
        <f t="shared" ref="X1095" si="2476">+U1095+V1095</f>
        <v>280.56</v>
      </c>
      <c r="Y1095" s="3153">
        <v>58.75</v>
      </c>
      <c r="Z1095" s="501">
        <f t="shared" si="2443"/>
        <v>339.31</v>
      </c>
      <c r="AA1095" s="3153"/>
      <c r="AB1095" s="2475">
        <f t="shared" si="2444"/>
        <v>339.31</v>
      </c>
      <c r="AC1095" s="5135"/>
      <c r="AD1095" s="713">
        <f t="shared" si="2445"/>
        <v>58.75</v>
      </c>
      <c r="AE1095" s="1290">
        <f t="shared" si="2446"/>
        <v>307.06</v>
      </c>
      <c r="AF1095" s="814">
        <f t="shared" si="2447"/>
        <v>339.31</v>
      </c>
    </row>
    <row r="1096" spans="3:44" ht="35" customHeight="1" x14ac:dyDescent="0.25">
      <c r="C1096" s="338"/>
      <c r="D1096" s="2437"/>
      <c r="E1096" s="4608" t="s">
        <v>1825</v>
      </c>
      <c r="F1096" s="3153"/>
      <c r="G1096" s="3153"/>
      <c r="H1096" s="296">
        <f t="shared" si="2429"/>
        <v>0</v>
      </c>
      <c r="I1096" s="3153"/>
      <c r="J1096" s="304">
        <f t="shared" si="2430"/>
        <v>0</v>
      </c>
      <c r="K1096" s="3153"/>
      <c r="L1096" s="501">
        <f t="shared" si="2431"/>
        <v>0</v>
      </c>
      <c r="M1096" s="3153">
        <v>0</v>
      </c>
      <c r="N1096" s="501">
        <f t="shared" ref="N1096" si="2477">+L1096+M1096</f>
        <v>0</v>
      </c>
      <c r="O1096" s="3153">
        <v>0</v>
      </c>
      <c r="P1096" s="558">
        <f t="shared" si="2473"/>
        <v>0</v>
      </c>
      <c r="Q1096" s="2185">
        <f t="shared" si="2474"/>
        <v>0</v>
      </c>
      <c r="R1096" s="3153">
        <v>307.71999999999997</v>
      </c>
      <c r="S1096" s="501">
        <f t="shared" ref="S1096" si="2478">+Q1096+R1096</f>
        <v>307.71999999999997</v>
      </c>
      <c r="T1096" s="3153">
        <v>201.24</v>
      </c>
      <c r="U1096" s="501">
        <f t="shared" ref="U1096" si="2479">SUM(S1096:T1096)</f>
        <v>508.96</v>
      </c>
      <c r="V1096" s="3153"/>
      <c r="W1096" s="398">
        <f t="shared" ref="W1096" si="2480">+R1096+T1096+V1096</f>
        <v>508.96</v>
      </c>
      <c r="X1096" s="1989">
        <f t="shared" ref="X1096" si="2481">+U1096+V1096</f>
        <v>508.96</v>
      </c>
      <c r="Y1096" s="3153"/>
      <c r="Z1096" s="501">
        <f t="shared" si="2443"/>
        <v>508.96</v>
      </c>
      <c r="AA1096" s="3153"/>
      <c r="AB1096" s="2475">
        <f t="shared" si="2444"/>
        <v>508.96</v>
      </c>
      <c r="AC1096" s="5135"/>
      <c r="AD1096" s="713">
        <f t="shared" si="2445"/>
        <v>0</v>
      </c>
      <c r="AE1096" s="1290">
        <f t="shared" si="2446"/>
        <v>508.96</v>
      </c>
      <c r="AF1096" s="814">
        <f t="shared" si="2447"/>
        <v>508.96</v>
      </c>
    </row>
    <row r="1097" spans="3:44" ht="34.5" customHeight="1" x14ac:dyDescent="0.25">
      <c r="C1097" s="338"/>
      <c r="D1097" s="2437"/>
      <c r="E1097" s="4608" t="s">
        <v>1826</v>
      </c>
      <c r="F1097" s="3149"/>
      <c r="G1097" s="3149"/>
      <c r="H1097" s="296">
        <f t="shared" si="2429"/>
        <v>0</v>
      </c>
      <c r="I1097" s="3149"/>
      <c r="J1097" s="304">
        <f t="shared" si="2430"/>
        <v>0</v>
      </c>
      <c r="K1097" s="3149"/>
      <c r="L1097" s="501">
        <f t="shared" si="2431"/>
        <v>0</v>
      </c>
      <c r="M1097" s="3149">
        <v>1787.0700000000002</v>
      </c>
      <c r="N1097" s="501">
        <f t="shared" si="2431"/>
        <v>1787.0700000000002</v>
      </c>
      <c r="O1097" s="3149">
        <v>1366.46</v>
      </c>
      <c r="P1097" s="558">
        <f t="shared" si="2432"/>
        <v>3153.53</v>
      </c>
      <c r="Q1097" s="2185">
        <f t="shared" si="2433"/>
        <v>3153.53</v>
      </c>
      <c r="R1097" s="3149">
        <v>832.63999999999987</v>
      </c>
      <c r="S1097" s="501">
        <f t="shared" si="2434"/>
        <v>3986.17</v>
      </c>
      <c r="T1097" s="3149">
        <v>1126.6100000000001</v>
      </c>
      <c r="U1097" s="501">
        <f t="shared" si="2435"/>
        <v>5112.7800000000007</v>
      </c>
      <c r="V1097" s="3149">
        <f>62.16+638.79</f>
        <v>700.94999999999993</v>
      </c>
      <c r="W1097" s="398">
        <f>+R1097+T1097+V1097</f>
        <v>2660.2</v>
      </c>
      <c r="X1097" s="1989">
        <f t="shared" si="2437"/>
        <v>5813.7300000000005</v>
      </c>
      <c r="Y1097" s="3149">
        <v>431.95900000000006</v>
      </c>
      <c r="Z1097" s="501">
        <f t="shared" si="2443"/>
        <v>6245.6890000000003</v>
      </c>
      <c r="AA1097" s="3149">
        <v>2879.1100000000006</v>
      </c>
      <c r="AB1097" s="2475">
        <f t="shared" si="2444"/>
        <v>9124.7990000000009</v>
      </c>
      <c r="AC1097" s="5128">
        <v>2252.8609999999999</v>
      </c>
      <c r="AD1097" s="713">
        <f t="shared" si="2445"/>
        <v>5563.93</v>
      </c>
      <c r="AE1097" s="1290">
        <f t="shared" si="2446"/>
        <v>8224.130000000001</v>
      </c>
      <c r="AF1097" s="814">
        <f t="shared" si="2447"/>
        <v>11377.66</v>
      </c>
    </row>
    <row r="1098" spans="3:44" ht="35" customHeight="1" x14ac:dyDescent="0.25">
      <c r="C1098" s="338"/>
      <c r="D1098" s="2437"/>
      <c r="E1098" s="4608" t="s">
        <v>1827</v>
      </c>
      <c r="F1098" s="3149"/>
      <c r="G1098" s="3149"/>
      <c r="H1098" s="296">
        <f t="shared" si="2429"/>
        <v>0</v>
      </c>
      <c r="I1098" s="3149"/>
      <c r="J1098" s="304">
        <f t="shared" si="2430"/>
        <v>0</v>
      </c>
      <c r="K1098" s="3149"/>
      <c r="L1098" s="501">
        <f t="shared" si="2431"/>
        <v>0</v>
      </c>
      <c r="M1098" s="3149">
        <v>254.57</v>
      </c>
      <c r="N1098" s="501">
        <f t="shared" si="2431"/>
        <v>254.57</v>
      </c>
      <c r="O1098" s="3149">
        <v>237.88</v>
      </c>
      <c r="P1098" s="558">
        <f t="shared" si="2432"/>
        <v>492.45</v>
      </c>
      <c r="Q1098" s="2185">
        <f t="shared" si="2433"/>
        <v>492.45</v>
      </c>
      <c r="R1098" s="3149"/>
      <c r="S1098" s="501">
        <f t="shared" si="2434"/>
        <v>492.45</v>
      </c>
      <c r="T1098" s="3149"/>
      <c r="U1098" s="501">
        <f t="shared" si="2435"/>
        <v>492.45</v>
      </c>
      <c r="V1098" s="3149"/>
      <c r="W1098" s="398">
        <f t="shared" si="2436"/>
        <v>0</v>
      </c>
      <c r="X1098" s="1989">
        <f t="shared" si="2437"/>
        <v>492.45</v>
      </c>
      <c r="Y1098" s="3149"/>
      <c r="Z1098" s="501">
        <f t="shared" si="2443"/>
        <v>492.45</v>
      </c>
      <c r="AA1098" s="3149"/>
      <c r="AB1098" s="2475">
        <f t="shared" si="2444"/>
        <v>492.45</v>
      </c>
      <c r="AC1098" s="5128"/>
      <c r="AD1098" s="713">
        <f t="shared" si="2445"/>
        <v>0</v>
      </c>
      <c r="AE1098" s="1290">
        <f t="shared" si="2446"/>
        <v>0</v>
      </c>
      <c r="AF1098" s="814">
        <f t="shared" si="2447"/>
        <v>492.45</v>
      </c>
      <c r="AR1098" s="4225"/>
    </row>
    <row r="1099" spans="3:44" ht="35" customHeight="1" x14ac:dyDescent="0.25">
      <c r="C1099" s="338"/>
      <c r="D1099" s="4791"/>
      <c r="E1099" s="4608" t="s">
        <v>1828</v>
      </c>
      <c r="F1099" s="3153"/>
      <c r="G1099" s="3153"/>
      <c r="H1099" s="296">
        <f t="shared" si="2429"/>
        <v>0</v>
      </c>
      <c r="I1099" s="3153"/>
      <c r="J1099" s="304">
        <f t="shared" si="2430"/>
        <v>0</v>
      </c>
      <c r="K1099" s="3153"/>
      <c r="L1099" s="501">
        <f t="shared" si="2431"/>
        <v>0</v>
      </c>
      <c r="M1099" s="3153">
        <v>0</v>
      </c>
      <c r="N1099" s="501">
        <f t="shared" si="2431"/>
        <v>0</v>
      </c>
      <c r="O1099" s="3153">
        <v>0</v>
      </c>
      <c r="P1099" s="558">
        <f t="shared" ref="P1099" si="2482">+K1099+M1099+O1099</f>
        <v>0</v>
      </c>
      <c r="Q1099" s="2185">
        <f t="shared" ref="Q1099" si="2483">+J1099+P1099</f>
        <v>0</v>
      </c>
      <c r="R1099" s="3153"/>
      <c r="S1099" s="501">
        <f t="shared" si="2434"/>
        <v>0</v>
      </c>
      <c r="T1099" s="3153"/>
      <c r="U1099" s="501">
        <f t="shared" si="2435"/>
        <v>0</v>
      </c>
      <c r="V1099" s="3153"/>
      <c r="W1099" s="398">
        <f t="shared" ref="W1099" si="2484">+R1099+T1099+V1099</f>
        <v>0</v>
      </c>
      <c r="X1099" s="1989">
        <f t="shared" ref="X1099" si="2485">+U1099+V1099</f>
        <v>0</v>
      </c>
      <c r="Y1099" s="3153"/>
      <c r="Z1099" s="501">
        <f t="shared" si="2443"/>
        <v>0</v>
      </c>
      <c r="AA1099" s="3153"/>
      <c r="AB1099" s="2475">
        <f t="shared" si="2444"/>
        <v>0</v>
      </c>
      <c r="AC1099" s="5135"/>
      <c r="AD1099" s="713">
        <f t="shared" si="2445"/>
        <v>0</v>
      </c>
      <c r="AE1099" s="1290">
        <f t="shared" si="2446"/>
        <v>0</v>
      </c>
      <c r="AF1099" s="814">
        <f t="shared" si="2447"/>
        <v>0</v>
      </c>
      <c r="AR1099" s="4225"/>
    </row>
    <row r="1100" spans="3:44" ht="35" customHeight="1" x14ac:dyDescent="0.25">
      <c r="C1100" s="338"/>
      <c r="D1100" s="2437"/>
      <c r="E1100" s="4608" t="s">
        <v>1829</v>
      </c>
      <c r="F1100" s="3262"/>
      <c r="G1100" s="3262"/>
      <c r="H1100" s="296">
        <f t="shared" si="2429"/>
        <v>0</v>
      </c>
      <c r="I1100" s="3262"/>
      <c r="J1100" s="304">
        <f t="shared" si="2430"/>
        <v>0</v>
      </c>
      <c r="K1100" s="3262"/>
      <c r="L1100" s="501">
        <f t="shared" si="2431"/>
        <v>0</v>
      </c>
      <c r="M1100" s="3262">
        <v>22.9</v>
      </c>
      <c r="N1100" s="501">
        <f t="shared" si="2431"/>
        <v>22.9</v>
      </c>
      <c r="O1100" s="3153">
        <v>0</v>
      </c>
      <c r="P1100" s="558">
        <f t="shared" ref="P1100" si="2486">+K1100+M1100+O1100</f>
        <v>22.9</v>
      </c>
      <c r="Q1100" s="2185">
        <f t="shared" ref="Q1100" si="2487">+J1100+P1100</f>
        <v>22.9</v>
      </c>
      <c r="R1100" s="3262"/>
      <c r="S1100" s="501">
        <f t="shared" si="2434"/>
        <v>22.9</v>
      </c>
      <c r="T1100" s="3262"/>
      <c r="U1100" s="501">
        <f t="shared" si="2435"/>
        <v>22.9</v>
      </c>
      <c r="V1100" s="3262"/>
      <c r="W1100" s="398">
        <f t="shared" ref="W1100" si="2488">+R1100+T1100+V1100</f>
        <v>0</v>
      </c>
      <c r="X1100" s="1989">
        <f t="shared" ref="X1100" si="2489">+U1100+V1100</f>
        <v>22.9</v>
      </c>
      <c r="Y1100" s="3262"/>
      <c r="Z1100" s="501">
        <f t="shared" si="2443"/>
        <v>22.9</v>
      </c>
      <c r="AA1100" s="3262"/>
      <c r="AB1100" s="2475">
        <f t="shared" si="2444"/>
        <v>22.9</v>
      </c>
      <c r="AC1100" s="3162"/>
      <c r="AD1100" s="713">
        <f t="shared" si="2445"/>
        <v>0</v>
      </c>
      <c r="AE1100" s="1290">
        <f t="shared" si="2446"/>
        <v>0</v>
      </c>
      <c r="AF1100" s="814">
        <f t="shared" si="2447"/>
        <v>22.9</v>
      </c>
      <c r="AR1100" s="4225"/>
    </row>
    <row r="1101" spans="3:44" ht="35" customHeight="1" x14ac:dyDescent="0.25">
      <c r="C1101" s="338"/>
      <c r="D1101" s="2437"/>
      <c r="E1101" s="4611" t="s">
        <v>1830</v>
      </c>
      <c r="F1101" s="3149"/>
      <c r="G1101" s="3149"/>
      <c r="H1101" s="296">
        <f t="shared" si="2429"/>
        <v>0</v>
      </c>
      <c r="I1101" s="3149"/>
      <c r="J1101" s="304">
        <f t="shared" si="2430"/>
        <v>0</v>
      </c>
      <c r="K1101" s="3149"/>
      <c r="L1101" s="501">
        <f t="shared" si="2431"/>
        <v>0</v>
      </c>
      <c r="M1101" s="3149">
        <v>2334.77</v>
      </c>
      <c r="N1101" s="501">
        <f t="shared" si="2431"/>
        <v>2334.77</v>
      </c>
      <c r="O1101" s="3149">
        <v>765.78</v>
      </c>
      <c r="P1101" s="558">
        <f t="shared" si="2432"/>
        <v>3100.55</v>
      </c>
      <c r="Q1101" s="2185">
        <f t="shared" si="2433"/>
        <v>3100.55</v>
      </c>
      <c r="R1101" s="3149">
        <v>868.69000000000017</v>
      </c>
      <c r="S1101" s="501">
        <f t="shared" si="2434"/>
        <v>3969.2400000000002</v>
      </c>
      <c r="T1101" s="3149">
        <v>1147.8699999999999</v>
      </c>
      <c r="U1101" s="501">
        <f t="shared" si="2435"/>
        <v>5117.1100000000006</v>
      </c>
      <c r="V1101" s="3149"/>
      <c r="W1101" s="398">
        <f t="shared" si="2436"/>
        <v>2016.56</v>
      </c>
      <c r="X1101" s="1989">
        <f t="shared" si="2437"/>
        <v>5117.1100000000006</v>
      </c>
      <c r="Y1101" s="3149">
        <v>3856.8199999999997</v>
      </c>
      <c r="Z1101" s="501">
        <f t="shared" si="2443"/>
        <v>8973.93</v>
      </c>
      <c r="AA1101" s="3149">
        <v>2131.4079999999999</v>
      </c>
      <c r="AB1101" s="2475">
        <f t="shared" si="2444"/>
        <v>11105.338</v>
      </c>
      <c r="AC1101" s="5128">
        <v>2974.721</v>
      </c>
      <c r="AD1101" s="713">
        <f t="shared" si="2445"/>
        <v>8962.9489999999987</v>
      </c>
      <c r="AE1101" s="1290">
        <f t="shared" si="2446"/>
        <v>10979.508999999998</v>
      </c>
      <c r="AF1101" s="814">
        <f t="shared" si="2447"/>
        <v>14080.058999999999</v>
      </c>
      <c r="AR1101" s="4179"/>
    </row>
    <row r="1102" spans="3:44" ht="35" customHeight="1" x14ac:dyDescent="0.25">
      <c r="C1102" s="338"/>
      <c r="D1102" s="2437"/>
      <c r="E1102" s="4611" t="s">
        <v>1831</v>
      </c>
      <c r="F1102" s="3149"/>
      <c r="G1102" s="3149"/>
      <c r="H1102" s="296">
        <f t="shared" si="2429"/>
        <v>0</v>
      </c>
      <c r="I1102" s="3149"/>
      <c r="J1102" s="304">
        <f t="shared" si="2430"/>
        <v>0</v>
      </c>
      <c r="K1102" s="3149"/>
      <c r="L1102" s="501">
        <f t="shared" si="2431"/>
        <v>0</v>
      </c>
      <c r="M1102" s="3149">
        <v>1134.76</v>
      </c>
      <c r="N1102" s="501">
        <f t="shared" ref="N1102:N1103" si="2490">+L1102+M1102</f>
        <v>1134.76</v>
      </c>
      <c r="O1102" s="3149">
        <v>1295.5299999999997</v>
      </c>
      <c r="P1102" s="558">
        <f t="shared" ref="P1102" si="2491">+K1102+M1102+O1102</f>
        <v>2430.29</v>
      </c>
      <c r="Q1102" s="2185">
        <f t="shared" ref="Q1102" si="2492">+J1102+P1102</f>
        <v>2430.29</v>
      </c>
      <c r="R1102" s="3149">
        <v>219.66</v>
      </c>
      <c r="S1102" s="501">
        <f t="shared" ref="S1102:S1109" si="2493">+Q1102+R1102</f>
        <v>2649.95</v>
      </c>
      <c r="T1102" s="3149"/>
      <c r="U1102" s="501">
        <f t="shared" ref="U1102:U1105" si="2494">SUM(S1102:T1102)</f>
        <v>2649.95</v>
      </c>
      <c r="V1102" s="3149"/>
      <c r="W1102" s="398">
        <f t="shared" ref="W1102" si="2495">+R1102+T1102+V1102</f>
        <v>219.66</v>
      </c>
      <c r="X1102" s="1989">
        <f t="shared" ref="X1102" si="2496">+U1102+V1102</f>
        <v>2649.95</v>
      </c>
      <c r="Y1102" s="3149"/>
      <c r="Z1102" s="501">
        <f t="shared" si="2443"/>
        <v>2649.95</v>
      </c>
      <c r="AA1102" s="3149">
        <v>24.23</v>
      </c>
      <c r="AB1102" s="2475">
        <f t="shared" si="2444"/>
        <v>2674.18</v>
      </c>
      <c r="AC1102" s="5128"/>
      <c r="AD1102" s="713">
        <f t="shared" si="2445"/>
        <v>24.23</v>
      </c>
      <c r="AE1102" s="1290">
        <f t="shared" si="2446"/>
        <v>243.89</v>
      </c>
      <c r="AF1102" s="814">
        <f t="shared" si="2447"/>
        <v>2674.18</v>
      </c>
    </row>
    <row r="1103" spans="3:44" ht="35" customHeight="1" x14ac:dyDescent="0.25">
      <c r="C1103" s="338"/>
      <c r="D1103" s="2437"/>
      <c r="E1103" s="4611" t="s">
        <v>1832</v>
      </c>
      <c r="F1103" s="3153"/>
      <c r="G1103" s="3153"/>
      <c r="H1103" s="296">
        <f t="shared" si="2429"/>
        <v>0</v>
      </c>
      <c r="I1103" s="3153"/>
      <c r="J1103" s="304">
        <f t="shared" si="2430"/>
        <v>0</v>
      </c>
      <c r="K1103" s="3153"/>
      <c r="L1103" s="501">
        <f t="shared" si="2431"/>
        <v>0</v>
      </c>
      <c r="M1103" s="3153">
        <v>0</v>
      </c>
      <c r="N1103" s="501">
        <f t="shared" si="2490"/>
        <v>0</v>
      </c>
      <c r="O1103" s="3153">
        <v>0</v>
      </c>
      <c r="P1103" s="558">
        <f t="shared" ref="P1103:P1109" si="2497">+K1103+M1103+O1103</f>
        <v>0</v>
      </c>
      <c r="Q1103" s="2185">
        <f t="shared" ref="Q1103:Q1109" si="2498">+J1103+P1103</f>
        <v>0</v>
      </c>
      <c r="R1103" s="3153"/>
      <c r="S1103" s="501">
        <f t="shared" si="2493"/>
        <v>0</v>
      </c>
      <c r="T1103" s="3153"/>
      <c r="U1103" s="501">
        <f t="shared" si="2494"/>
        <v>0</v>
      </c>
      <c r="V1103" s="3153"/>
      <c r="W1103" s="398">
        <f t="shared" ref="W1103:W1107" si="2499">+R1103+T1103+V1103</f>
        <v>0</v>
      </c>
      <c r="X1103" s="1989">
        <f t="shared" ref="X1103:X1107" si="2500">+U1103+V1103</f>
        <v>0</v>
      </c>
      <c r="Y1103" s="3153"/>
      <c r="Z1103" s="501">
        <f t="shared" si="2443"/>
        <v>0</v>
      </c>
      <c r="AA1103" s="3153"/>
      <c r="AB1103" s="2475">
        <f t="shared" si="2444"/>
        <v>0</v>
      </c>
      <c r="AC1103" s="5135"/>
      <c r="AD1103" s="713">
        <f t="shared" si="2445"/>
        <v>0</v>
      </c>
      <c r="AE1103" s="1290">
        <f t="shared" si="2446"/>
        <v>0</v>
      </c>
      <c r="AF1103" s="814">
        <f t="shared" si="2447"/>
        <v>0</v>
      </c>
    </row>
    <row r="1104" spans="3:44" ht="35" customHeight="1" x14ac:dyDescent="0.25">
      <c r="C1104" s="338"/>
      <c r="D1104" s="2437"/>
      <c r="E1104" s="4611" t="s">
        <v>1833</v>
      </c>
      <c r="F1104" s="3153"/>
      <c r="G1104" s="3153"/>
      <c r="H1104" s="296">
        <f t="shared" si="2429"/>
        <v>0</v>
      </c>
      <c r="I1104" s="3153"/>
      <c r="J1104" s="304">
        <f t="shared" si="2430"/>
        <v>0</v>
      </c>
      <c r="K1104" s="3153"/>
      <c r="L1104" s="501">
        <f t="shared" si="2431"/>
        <v>0</v>
      </c>
      <c r="M1104" s="3153">
        <v>0</v>
      </c>
      <c r="N1104" s="501">
        <f t="shared" si="2431"/>
        <v>0</v>
      </c>
      <c r="O1104" s="3153">
        <v>0</v>
      </c>
      <c r="P1104" s="558">
        <f t="shared" si="2497"/>
        <v>0</v>
      </c>
      <c r="Q1104" s="2185">
        <f t="shared" si="2498"/>
        <v>0</v>
      </c>
      <c r="R1104" s="3153"/>
      <c r="S1104" s="501">
        <f t="shared" si="2493"/>
        <v>0</v>
      </c>
      <c r="T1104" s="3153"/>
      <c r="U1104" s="501">
        <f t="shared" si="2494"/>
        <v>0</v>
      </c>
      <c r="V1104" s="3153"/>
      <c r="W1104" s="398">
        <f t="shared" si="2499"/>
        <v>0</v>
      </c>
      <c r="X1104" s="1989">
        <f t="shared" si="2500"/>
        <v>0</v>
      </c>
      <c r="Y1104" s="3153"/>
      <c r="Z1104" s="501">
        <f t="shared" si="2443"/>
        <v>0</v>
      </c>
      <c r="AA1104" s="3153"/>
      <c r="AB1104" s="2475">
        <f t="shared" si="2444"/>
        <v>0</v>
      </c>
      <c r="AC1104" s="5135"/>
      <c r="AD1104" s="713">
        <f t="shared" si="2445"/>
        <v>0</v>
      </c>
      <c r="AE1104" s="1290">
        <f t="shared" si="2446"/>
        <v>0</v>
      </c>
      <c r="AF1104" s="814">
        <f t="shared" si="2447"/>
        <v>0</v>
      </c>
    </row>
    <row r="1105" spans="3:77" ht="35" customHeight="1" x14ac:dyDescent="0.25">
      <c r="C1105" s="338"/>
      <c r="D1105" s="4791"/>
      <c r="E1105" s="4611" t="s">
        <v>1834</v>
      </c>
      <c r="F1105" s="3153"/>
      <c r="G1105" s="3153"/>
      <c r="H1105" s="296">
        <f t="shared" si="2429"/>
        <v>0</v>
      </c>
      <c r="I1105" s="3153"/>
      <c r="J1105" s="304">
        <f t="shared" si="2430"/>
        <v>0</v>
      </c>
      <c r="K1105" s="3153"/>
      <c r="L1105" s="501">
        <f t="shared" si="2431"/>
        <v>0</v>
      </c>
      <c r="M1105" s="3153">
        <v>0</v>
      </c>
      <c r="N1105" s="501">
        <f t="shared" si="2431"/>
        <v>0</v>
      </c>
      <c r="O1105" s="3153">
        <v>158.23000000000002</v>
      </c>
      <c r="P1105" s="558">
        <f t="shared" si="2497"/>
        <v>158.23000000000002</v>
      </c>
      <c r="Q1105" s="2185">
        <f t="shared" si="2498"/>
        <v>158.23000000000002</v>
      </c>
      <c r="R1105" s="3153"/>
      <c r="S1105" s="501">
        <f t="shared" si="2493"/>
        <v>158.23000000000002</v>
      </c>
      <c r="T1105" s="3153"/>
      <c r="U1105" s="501">
        <f t="shared" si="2494"/>
        <v>158.23000000000002</v>
      </c>
      <c r="V1105" s="3153"/>
      <c r="W1105" s="398">
        <f t="shared" si="2499"/>
        <v>0</v>
      </c>
      <c r="X1105" s="1989">
        <f t="shared" si="2500"/>
        <v>158.23000000000002</v>
      </c>
      <c r="Y1105" s="3153">
        <v>489.26</v>
      </c>
      <c r="Z1105" s="501">
        <f t="shared" si="2443"/>
        <v>647.49</v>
      </c>
      <c r="AA1105" s="3153">
        <v>977.51899999999989</v>
      </c>
      <c r="AB1105" s="2475">
        <f t="shared" si="2444"/>
        <v>1625.009</v>
      </c>
      <c r="AC1105" s="5135">
        <v>186.8</v>
      </c>
      <c r="AD1105" s="713">
        <f t="shared" si="2445"/>
        <v>1653.579</v>
      </c>
      <c r="AE1105" s="1290">
        <f t="shared" si="2446"/>
        <v>1653.579</v>
      </c>
      <c r="AF1105" s="814">
        <f t="shared" si="2447"/>
        <v>1811.809</v>
      </c>
    </row>
    <row r="1106" spans="3:77" ht="35" customHeight="1" x14ac:dyDescent="0.25">
      <c r="C1106" s="338"/>
      <c r="D1106" s="2437"/>
      <c r="E1106" s="4612" t="s">
        <v>1835</v>
      </c>
      <c r="F1106" s="3153"/>
      <c r="G1106" s="3153"/>
      <c r="H1106" s="296">
        <f t="shared" si="2429"/>
        <v>0</v>
      </c>
      <c r="I1106" s="3153"/>
      <c r="J1106" s="304">
        <f t="shared" si="2430"/>
        <v>0</v>
      </c>
      <c r="K1106" s="3153"/>
      <c r="L1106" s="501">
        <f t="shared" si="2431"/>
        <v>0</v>
      </c>
      <c r="M1106" s="3153">
        <v>0</v>
      </c>
      <c r="N1106" s="501">
        <f t="shared" si="2431"/>
        <v>0</v>
      </c>
      <c r="O1106" s="3153">
        <v>0</v>
      </c>
      <c r="P1106" s="558">
        <f t="shared" si="2497"/>
        <v>0</v>
      </c>
      <c r="Q1106" s="2185">
        <f t="shared" si="2498"/>
        <v>0</v>
      </c>
      <c r="R1106" s="3153"/>
      <c r="S1106" s="501">
        <f t="shared" si="2493"/>
        <v>0</v>
      </c>
      <c r="T1106" s="3153"/>
      <c r="U1106" s="501">
        <f t="shared" si="2435"/>
        <v>0</v>
      </c>
      <c r="V1106" s="3153"/>
      <c r="W1106" s="398">
        <f t="shared" si="2499"/>
        <v>0</v>
      </c>
      <c r="X1106" s="1989">
        <f t="shared" si="2500"/>
        <v>0</v>
      </c>
      <c r="Y1106" s="3153"/>
      <c r="Z1106" s="501">
        <f t="shared" si="2443"/>
        <v>0</v>
      </c>
      <c r="AA1106" s="3153"/>
      <c r="AB1106" s="2475">
        <f t="shared" si="2444"/>
        <v>0</v>
      </c>
      <c r="AC1106" s="5135"/>
      <c r="AD1106" s="713">
        <f t="shared" si="2445"/>
        <v>0</v>
      </c>
      <c r="AE1106" s="1290">
        <f t="shared" si="2446"/>
        <v>0</v>
      </c>
      <c r="AF1106" s="814">
        <f t="shared" si="2447"/>
        <v>0</v>
      </c>
    </row>
    <row r="1107" spans="3:77" ht="35" customHeight="1" x14ac:dyDescent="0.25">
      <c r="C1107" s="338"/>
      <c r="D1107" s="2437"/>
      <c r="E1107" s="4612" t="s">
        <v>1467</v>
      </c>
      <c r="F1107" s="3153"/>
      <c r="G1107" s="3153"/>
      <c r="H1107" s="296">
        <f t="shared" si="2429"/>
        <v>0</v>
      </c>
      <c r="I1107" s="3153"/>
      <c r="J1107" s="304">
        <f t="shared" si="2430"/>
        <v>0</v>
      </c>
      <c r="K1107" s="3153"/>
      <c r="L1107" s="501">
        <f t="shared" si="2431"/>
        <v>0</v>
      </c>
      <c r="M1107" s="3153">
        <v>0</v>
      </c>
      <c r="N1107" s="501">
        <f t="shared" si="2431"/>
        <v>0</v>
      </c>
      <c r="O1107" s="3153">
        <v>49.239999999999995</v>
      </c>
      <c r="P1107" s="558">
        <f t="shared" si="2497"/>
        <v>49.239999999999995</v>
      </c>
      <c r="Q1107" s="2185">
        <f t="shared" si="2498"/>
        <v>49.239999999999995</v>
      </c>
      <c r="R1107" s="3153">
        <v>125.9</v>
      </c>
      <c r="S1107" s="501">
        <f t="shared" si="2493"/>
        <v>175.14</v>
      </c>
      <c r="T1107" s="3153">
        <v>10.31</v>
      </c>
      <c r="U1107" s="501">
        <f t="shared" si="2435"/>
        <v>185.45</v>
      </c>
      <c r="V1107" s="3153"/>
      <c r="W1107" s="398">
        <f t="shared" si="2499"/>
        <v>136.21</v>
      </c>
      <c r="X1107" s="1989">
        <f t="shared" si="2500"/>
        <v>185.45</v>
      </c>
      <c r="Y1107" s="3153"/>
      <c r="Z1107" s="501">
        <f t="shared" si="2443"/>
        <v>185.45</v>
      </c>
      <c r="AA1107" s="3153">
        <v>8.59</v>
      </c>
      <c r="AB1107" s="2475">
        <f t="shared" si="2444"/>
        <v>194.04</v>
      </c>
      <c r="AC1107" s="5135"/>
      <c r="AD1107" s="713">
        <f t="shared" si="2445"/>
        <v>8.59</v>
      </c>
      <c r="AE1107" s="1290">
        <f t="shared" si="2446"/>
        <v>144.80000000000001</v>
      </c>
      <c r="AF1107" s="814">
        <f t="shared" si="2447"/>
        <v>194.04</v>
      </c>
    </row>
    <row r="1108" spans="3:77" ht="34.5" customHeight="1" x14ac:dyDescent="0.25">
      <c r="C1108" s="338"/>
      <c r="D1108" s="2437"/>
      <c r="E1108" s="4612" t="s">
        <v>559</v>
      </c>
      <c r="F1108" s="3153"/>
      <c r="G1108" s="3153"/>
      <c r="H1108" s="296">
        <f t="shared" si="2429"/>
        <v>0</v>
      </c>
      <c r="I1108" s="3153"/>
      <c r="J1108" s="304">
        <f t="shared" si="2430"/>
        <v>0</v>
      </c>
      <c r="K1108" s="3153"/>
      <c r="L1108" s="501">
        <f t="shared" si="2431"/>
        <v>0</v>
      </c>
      <c r="M1108" s="3153">
        <v>0</v>
      </c>
      <c r="N1108" s="501">
        <f t="shared" si="2431"/>
        <v>0</v>
      </c>
      <c r="O1108" s="3153">
        <v>0</v>
      </c>
      <c r="P1108" s="558">
        <f t="shared" si="2497"/>
        <v>0</v>
      </c>
      <c r="Q1108" s="2185">
        <f t="shared" si="2498"/>
        <v>0</v>
      </c>
      <c r="R1108" s="3153"/>
      <c r="S1108" s="501">
        <f t="shared" si="2493"/>
        <v>0</v>
      </c>
      <c r="T1108" s="3153"/>
      <c r="U1108" s="501">
        <f t="shared" si="2435"/>
        <v>0</v>
      </c>
      <c r="V1108" s="3153"/>
      <c r="W1108" s="398">
        <f t="shared" si="2436"/>
        <v>0</v>
      </c>
      <c r="X1108" s="1989">
        <f t="shared" si="2437"/>
        <v>0</v>
      </c>
      <c r="Y1108" s="3153"/>
      <c r="Z1108" s="501">
        <f t="shared" si="2443"/>
        <v>0</v>
      </c>
      <c r="AA1108" s="3153"/>
      <c r="AB1108" s="2475">
        <f t="shared" si="2444"/>
        <v>0</v>
      </c>
      <c r="AC1108" s="5135"/>
      <c r="AD1108" s="713">
        <f t="shared" si="2445"/>
        <v>0</v>
      </c>
      <c r="AE1108" s="1290">
        <f t="shared" si="2446"/>
        <v>0</v>
      </c>
      <c r="AF1108" s="814">
        <f t="shared" si="2447"/>
        <v>0</v>
      </c>
    </row>
    <row r="1109" spans="3:77" ht="33" x14ac:dyDescent="0.25">
      <c r="C1109" s="338"/>
      <c r="D1109" s="2437"/>
      <c r="E1109" s="4612" t="s">
        <v>1496</v>
      </c>
      <c r="F1109" s="3153"/>
      <c r="G1109" s="3153"/>
      <c r="H1109" s="296">
        <f t="shared" si="2429"/>
        <v>0</v>
      </c>
      <c r="I1109" s="3153"/>
      <c r="J1109" s="304">
        <f t="shared" si="2430"/>
        <v>0</v>
      </c>
      <c r="K1109" s="3153"/>
      <c r="L1109" s="501">
        <f t="shared" si="2431"/>
        <v>0</v>
      </c>
      <c r="M1109" s="3153">
        <v>127.08</v>
      </c>
      <c r="N1109" s="501">
        <f t="shared" si="2431"/>
        <v>127.08</v>
      </c>
      <c r="O1109" s="3153">
        <v>27.8</v>
      </c>
      <c r="P1109" s="558">
        <f t="shared" si="2497"/>
        <v>154.88</v>
      </c>
      <c r="Q1109" s="2185">
        <f t="shared" si="2498"/>
        <v>154.88</v>
      </c>
      <c r="R1109" s="3153">
        <v>63.86</v>
      </c>
      <c r="S1109" s="501">
        <f t="shared" si="2493"/>
        <v>218.74</v>
      </c>
      <c r="T1109" s="3153">
        <v>29.76</v>
      </c>
      <c r="U1109" s="501">
        <f t="shared" si="2435"/>
        <v>248.5</v>
      </c>
      <c r="V1109" s="3153"/>
      <c r="W1109" s="398">
        <f t="shared" si="2436"/>
        <v>93.62</v>
      </c>
      <c r="X1109" s="1989">
        <f t="shared" si="2437"/>
        <v>248.5</v>
      </c>
      <c r="Y1109" s="3153"/>
      <c r="Z1109" s="501">
        <f t="shared" si="2443"/>
        <v>248.5</v>
      </c>
      <c r="AA1109" s="3153">
        <v>64</v>
      </c>
      <c r="AB1109" s="2475">
        <f t="shared" si="2444"/>
        <v>312.5</v>
      </c>
      <c r="AC1109" s="5135">
        <v>629.77999999999986</v>
      </c>
      <c r="AD1109" s="713">
        <f t="shared" si="2445"/>
        <v>693.77999999999986</v>
      </c>
      <c r="AE1109" s="1290">
        <f t="shared" si="2446"/>
        <v>787.39999999999986</v>
      </c>
      <c r="AF1109" s="814">
        <f t="shared" si="2447"/>
        <v>942.27999999999986</v>
      </c>
    </row>
    <row r="1110" spans="3:77" ht="33" x14ac:dyDescent="0.25">
      <c r="C1110" s="338"/>
      <c r="D1110" s="2437"/>
      <c r="E1110" s="4612" t="s">
        <v>1195</v>
      </c>
      <c r="F1110" s="3153"/>
      <c r="G1110" s="3153"/>
      <c r="H1110" s="296">
        <f t="shared" si="2429"/>
        <v>0</v>
      </c>
      <c r="I1110" s="3153"/>
      <c r="J1110" s="304">
        <f t="shared" si="2430"/>
        <v>0</v>
      </c>
      <c r="K1110" s="3153"/>
      <c r="L1110" s="501">
        <f t="shared" si="2431"/>
        <v>0</v>
      </c>
      <c r="M1110" s="3153">
        <v>0</v>
      </c>
      <c r="N1110" s="501">
        <f t="shared" si="2431"/>
        <v>0</v>
      </c>
      <c r="O1110" s="3153">
        <v>0</v>
      </c>
      <c r="P1110" s="558">
        <f t="shared" si="2432"/>
        <v>0</v>
      </c>
      <c r="Q1110" s="2185">
        <f t="shared" si="2433"/>
        <v>0</v>
      </c>
      <c r="R1110" s="3153"/>
      <c r="S1110" s="501">
        <f t="shared" si="2434"/>
        <v>0</v>
      </c>
      <c r="T1110" s="3153"/>
      <c r="U1110" s="501">
        <f t="shared" si="2435"/>
        <v>0</v>
      </c>
      <c r="V1110" s="3153"/>
      <c r="W1110" s="398">
        <f t="shared" si="2436"/>
        <v>0</v>
      </c>
      <c r="X1110" s="1989">
        <f t="shared" si="2437"/>
        <v>0</v>
      </c>
      <c r="Y1110" s="3153"/>
      <c r="Z1110" s="501">
        <f t="shared" si="2443"/>
        <v>0</v>
      </c>
      <c r="AA1110" s="3153"/>
      <c r="AB1110" s="2475">
        <f t="shared" si="2444"/>
        <v>0</v>
      </c>
      <c r="AC1110" s="5135"/>
      <c r="AD1110" s="713">
        <f t="shared" si="2445"/>
        <v>0</v>
      </c>
      <c r="AE1110" s="1290">
        <f t="shared" si="2446"/>
        <v>0</v>
      </c>
      <c r="AF1110" s="814">
        <f t="shared" si="2447"/>
        <v>0</v>
      </c>
    </row>
    <row r="1111" spans="3:77" ht="33" x14ac:dyDescent="0.25">
      <c r="C1111" s="338"/>
      <c r="D1111" s="2437"/>
      <c r="E1111" s="4612" t="s">
        <v>1198</v>
      </c>
      <c r="F1111" s="3153"/>
      <c r="G1111" s="3153"/>
      <c r="H1111" s="296">
        <f t="shared" si="2429"/>
        <v>0</v>
      </c>
      <c r="I1111" s="3153"/>
      <c r="J1111" s="304">
        <f t="shared" si="2430"/>
        <v>0</v>
      </c>
      <c r="K1111" s="3153"/>
      <c r="L1111" s="501">
        <f t="shared" si="2431"/>
        <v>0</v>
      </c>
      <c r="M1111" s="3153">
        <v>0</v>
      </c>
      <c r="N1111" s="501">
        <f t="shared" ref="N1111:N1118" si="2501">+L1111+M1111</f>
        <v>0</v>
      </c>
      <c r="O1111" s="3153">
        <v>0</v>
      </c>
      <c r="P1111" s="558">
        <f t="shared" si="2432"/>
        <v>0</v>
      </c>
      <c r="Q1111" s="2185">
        <f t="shared" si="2433"/>
        <v>0</v>
      </c>
      <c r="R1111" s="3153"/>
      <c r="S1111" s="501">
        <f t="shared" si="2434"/>
        <v>0</v>
      </c>
      <c r="T1111" s="3153"/>
      <c r="U1111" s="501">
        <f t="shared" si="2435"/>
        <v>0</v>
      </c>
      <c r="V1111" s="3153"/>
      <c r="W1111" s="398">
        <f t="shared" si="2436"/>
        <v>0</v>
      </c>
      <c r="X1111" s="1989">
        <f t="shared" si="2437"/>
        <v>0</v>
      </c>
      <c r="Y1111" s="3153"/>
      <c r="Z1111" s="501">
        <f t="shared" si="2443"/>
        <v>0</v>
      </c>
      <c r="AA1111" s="3153"/>
      <c r="AB1111" s="2475">
        <f t="shared" si="2444"/>
        <v>0</v>
      </c>
      <c r="AC1111" s="5135"/>
      <c r="AD1111" s="713">
        <f t="shared" si="2445"/>
        <v>0</v>
      </c>
      <c r="AE1111" s="1290">
        <f t="shared" si="2446"/>
        <v>0</v>
      </c>
      <c r="AF1111" s="814">
        <f t="shared" si="2447"/>
        <v>0</v>
      </c>
    </row>
    <row r="1112" spans="3:77" ht="33" x14ac:dyDescent="0.25">
      <c r="C1112" s="338"/>
      <c r="D1112" s="2437"/>
      <c r="E1112" s="4612" t="s">
        <v>1401</v>
      </c>
      <c r="F1112" s="3153"/>
      <c r="G1112" s="3153"/>
      <c r="H1112" s="296">
        <f t="shared" si="2429"/>
        <v>0</v>
      </c>
      <c r="I1112" s="3153"/>
      <c r="J1112" s="304">
        <f t="shared" si="2430"/>
        <v>0</v>
      </c>
      <c r="K1112" s="3153"/>
      <c r="L1112" s="501">
        <f t="shared" si="2431"/>
        <v>0</v>
      </c>
      <c r="M1112" s="3153">
        <v>0</v>
      </c>
      <c r="N1112" s="501">
        <f t="shared" si="2501"/>
        <v>0</v>
      </c>
      <c r="O1112" s="3153">
        <v>0</v>
      </c>
      <c r="P1112" s="558">
        <f t="shared" ref="P1112" si="2502">+K1112+M1112+O1112</f>
        <v>0</v>
      </c>
      <c r="Q1112" s="2185">
        <f t="shared" ref="Q1112" si="2503">+J1112+P1112</f>
        <v>0</v>
      </c>
      <c r="R1112" s="3153"/>
      <c r="S1112" s="501">
        <f t="shared" si="2434"/>
        <v>0</v>
      </c>
      <c r="T1112" s="3153"/>
      <c r="U1112" s="501">
        <f t="shared" si="2435"/>
        <v>0</v>
      </c>
      <c r="V1112" s="3153"/>
      <c r="W1112" s="398">
        <f t="shared" ref="W1112" si="2504">+R1112+T1112+V1112</f>
        <v>0</v>
      </c>
      <c r="X1112" s="1989">
        <f t="shared" ref="X1112" si="2505">+U1112+V1112</f>
        <v>0</v>
      </c>
      <c r="Y1112" s="3153"/>
      <c r="Z1112" s="501">
        <f t="shared" si="2443"/>
        <v>0</v>
      </c>
      <c r="AA1112" s="3153"/>
      <c r="AB1112" s="2475">
        <f t="shared" si="2444"/>
        <v>0</v>
      </c>
      <c r="AC1112" s="5135"/>
      <c r="AD1112" s="713">
        <f t="shared" si="2445"/>
        <v>0</v>
      </c>
      <c r="AE1112" s="1290">
        <f t="shared" si="2446"/>
        <v>0</v>
      </c>
      <c r="AF1112" s="814">
        <f t="shared" si="2447"/>
        <v>0</v>
      </c>
    </row>
    <row r="1113" spans="3:77" ht="33" x14ac:dyDescent="0.25">
      <c r="C1113" s="338"/>
      <c r="D1113" s="2437"/>
      <c r="E1113" s="4612" t="s">
        <v>1341</v>
      </c>
      <c r="F1113" s="3153"/>
      <c r="G1113" s="3153"/>
      <c r="H1113" s="296">
        <f t="shared" si="2429"/>
        <v>0</v>
      </c>
      <c r="I1113" s="3153"/>
      <c r="J1113" s="304">
        <f t="shared" si="2430"/>
        <v>0</v>
      </c>
      <c r="K1113" s="3153"/>
      <c r="L1113" s="501">
        <f t="shared" ref="L1113:L1118" si="2506">+J1113+K1113</f>
        <v>0</v>
      </c>
      <c r="M1113" s="3153">
        <v>813.16000000000008</v>
      </c>
      <c r="N1113" s="501">
        <f t="shared" si="2501"/>
        <v>813.16000000000008</v>
      </c>
      <c r="O1113" s="3153">
        <v>249.44</v>
      </c>
      <c r="P1113" s="558">
        <f t="shared" si="2432"/>
        <v>1062.6000000000001</v>
      </c>
      <c r="Q1113" s="2185">
        <f t="shared" si="2433"/>
        <v>1062.6000000000001</v>
      </c>
      <c r="R1113" s="3153"/>
      <c r="S1113" s="501">
        <f t="shared" si="2434"/>
        <v>1062.6000000000001</v>
      </c>
      <c r="T1113" s="3153"/>
      <c r="U1113" s="501">
        <f t="shared" si="2435"/>
        <v>1062.6000000000001</v>
      </c>
      <c r="V1113" s="3153"/>
      <c r="W1113" s="398">
        <f t="shared" si="2436"/>
        <v>0</v>
      </c>
      <c r="X1113" s="1989">
        <f t="shared" si="2437"/>
        <v>1062.6000000000001</v>
      </c>
      <c r="Y1113" s="3153"/>
      <c r="Z1113" s="501">
        <f t="shared" si="2443"/>
        <v>1062.6000000000001</v>
      </c>
      <c r="AA1113" s="3153"/>
      <c r="AB1113" s="2475">
        <f t="shared" si="2444"/>
        <v>1062.6000000000001</v>
      </c>
      <c r="AC1113" s="5135"/>
      <c r="AD1113" s="713">
        <f t="shared" si="2445"/>
        <v>0</v>
      </c>
      <c r="AE1113" s="1290">
        <f t="shared" si="2446"/>
        <v>0</v>
      </c>
      <c r="AF1113" s="814">
        <f t="shared" si="2447"/>
        <v>1062.6000000000001</v>
      </c>
    </row>
    <row r="1114" spans="3:77" ht="33" x14ac:dyDescent="0.25">
      <c r="C1114" s="338"/>
      <c r="D1114" s="2437"/>
      <c r="E1114" s="4613" t="s">
        <v>1723</v>
      </c>
      <c r="F1114" s="3153"/>
      <c r="G1114" s="3153"/>
      <c r="H1114" s="296">
        <f t="shared" si="2429"/>
        <v>0</v>
      </c>
      <c r="I1114" s="3153"/>
      <c r="J1114" s="304">
        <f t="shared" si="2430"/>
        <v>0</v>
      </c>
      <c r="K1114" s="3153"/>
      <c r="L1114" s="501">
        <f t="shared" si="2506"/>
        <v>0</v>
      </c>
      <c r="M1114" s="3153">
        <v>0</v>
      </c>
      <c r="N1114" s="501">
        <f t="shared" si="2501"/>
        <v>0</v>
      </c>
      <c r="O1114" s="3153">
        <v>0</v>
      </c>
      <c r="P1114" s="558">
        <f t="shared" si="2432"/>
        <v>0</v>
      </c>
      <c r="Q1114" s="2185">
        <f t="shared" si="2433"/>
        <v>0</v>
      </c>
      <c r="R1114" s="3153"/>
      <c r="S1114" s="501">
        <f t="shared" si="2434"/>
        <v>0</v>
      </c>
      <c r="T1114" s="3153"/>
      <c r="U1114" s="501">
        <f t="shared" si="2435"/>
        <v>0</v>
      </c>
      <c r="V1114" s="3153"/>
      <c r="W1114" s="398">
        <f t="shared" si="2436"/>
        <v>0</v>
      </c>
      <c r="X1114" s="1989">
        <f t="shared" si="2437"/>
        <v>0</v>
      </c>
      <c r="Y1114" s="3153">
        <v>60.12</v>
      </c>
      <c r="Z1114" s="501">
        <f t="shared" si="2443"/>
        <v>60.12</v>
      </c>
      <c r="AA1114" s="3153"/>
      <c r="AB1114" s="2475">
        <f t="shared" si="2444"/>
        <v>60.12</v>
      </c>
      <c r="AC1114" s="5135"/>
      <c r="AD1114" s="713">
        <f t="shared" si="2445"/>
        <v>60.12</v>
      </c>
      <c r="AE1114" s="1290">
        <f t="shared" si="2446"/>
        <v>60.12</v>
      </c>
      <c r="AF1114" s="814">
        <f t="shared" si="2447"/>
        <v>60.12</v>
      </c>
    </row>
    <row r="1115" spans="3:77" ht="33" x14ac:dyDescent="0.3">
      <c r="C1115" s="338"/>
      <c r="D1115" s="2437"/>
      <c r="E1115" s="4613" t="s">
        <v>1402</v>
      </c>
      <c r="F1115" s="3153"/>
      <c r="G1115" s="3153"/>
      <c r="H1115" s="296">
        <f t="shared" si="2429"/>
        <v>0</v>
      </c>
      <c r="I1115" s="3153"/>
      <c r="J1115" s="304">
        <f t="shared" si="2430"/>
        <v>0</v>
      </c>
      <c r="K1115" s="3153"/>
      <c r="L1115" s="501">
        <f t="shared" si="2506"/>
        <v>0</v>
      </c>
      <c r="M1115" s="3153">
        <v>0</v>
      </c>
      <c r="N1115" s="501">
        <f t="shared" si="2501"/>
        <v>0</v>
      </c>
      <c r="O1115" s="3153">
        <v>0</v>
      </c>
      <c r="P1115" s="558">
        <f t="shared" ref="P1115" si="2507">+K1115+M1115+O1115</f>
        <v>0</v>
      </c>
      <c r="Q1115" s="2185">
        <f t="shared" ref="Q1115" si="2508">+J1115+P1115</f>
        <v>0</v>
      </c>
      <c r="R1115" s="3153"/>
      <c r="S1115" s="501">
        <f t="shared" si="2434"/>
        <v>0</v>
      </c>
      <c r="T1115" s="3153"/>
      <c r="U1115" s="501">
        <f t="shared" si="2435"/>
        <v>0</v>
      </c>
      <c r="V1115" s="3153"/>
      <c r="W1115" s="398">
        <f t="shared" ref="W1115" si="2509">+R1115+T1115+V1115</f>
        <v>0</v>
      </c>
      <c r="X1115" s="1989">
        <f t="shared" ref="X1115" si="2510">+U1115+V1115</f>
        <v>0</v>
      </c>
      <c r="Y1115" s="3153"/>
      <c r="Z1115" s="501">
        <f t="shared" si="2443"/>
        <v>0</v>
      </c>
      <c r="AA1115" s="3153"/>
      <c r="AB1115" s="2475">
        <f t="shared" si="2444"/>
        <v>0</v>
      </c>
      <c r="AC1115" s="5135"/>
      <c r="AD1115" s="713">
        <f t="shared" si="2445"/>
        <v>0</v>
      </c>
      <c r="AE1115" s="1290">
        <f t="shared" si="2446"/>
        <v>0</v>
      </c>
      <c r="AF1115" s="814">
        <f t="shared" si="2447"/>
        <v>0</v>
      </c>
      <c r="BY1115" s="4598"/>
    </row>
    <row r="1116" spans="3:77" ht="33" x14ac:dyDescent="0.25">
      <c r="C1116" s="338"/>
      <c r="D1116" s="2437"/>
      <c r="E1116" s="4613" t="s">
        <v>1188</v>
      </c>
      <c r="F1116" s="3153"/>
      <c r="G1116" s="3153"/>
      <c r="H1116" s="296">
        <f t="shared" si="2429"/>
        <v>0</v>
      </c>
      <c r="I1116" s="3153"/>
      <c r="J1116" s="304">
        <f t="shared" si="2430"/>
        <v>0</v>
      </c>
      <c r="K1116" s="3153"/>
      <c r="L1116" s="501">
        <f t="shared" si="2506"/>
        <v>0</v>
      </c>
      <c r="M1116" s="3153">
        <v>0</v>
      </c>
      <c r="N1116" s="501">
        <f t="shared" si="2501"/>
        <v>0</v>
      </c>
      <c r="O1116" s="3153">
        <v>0</v>
      </c>
      <c r="P1116" s="558">
        <f t="shared" si="2432"/>
        <v>0</v>
      </c>
      <c r="Q1116" s="2185">
        <f t="shared" si="2433"/>
        <v>0</v>
      </c>
      <c r="R1116" s="3153"/>
      <c r="S1116" s="501">
        <f t="shared" si="2434"/>
        <v>0</v>
      </c>
      <c r="T1116" s="3153"/>
      <c r="U1116" s="501">
        <f t="shared" si="2435"/>
        <v>0</v>
      </c>
      <c r="V1116" s="3153"/>
      <c r="W1116" s="398">
        <f t="shared" si="2436"/>
        <v>0</v>
      </c>
      <c r="X1116" s="1989">
        <f t="shared" si="2437"/>
        <v>0</v>
      </c>
      <c r="Y1116" s="3153"/>
      <c r="Z1116" s="501">
        <f t="shared" si="2443"/>
        <v>0</v>
      </c>
      <c r="AA1116" s="3153"/>
      <c r="AB1116" s="2475">
        <f t="shared" si="2444"/>
        <v>0</v>
      </c>
      <c r="AC1116" s="5135"/>
      <c r="AD1116" s="713">
        <f t="shared" si="2445"/>
        <v>0</v>
      </c>
      <c r="AE1116" s="1290">
        <f t="shared" si="2446"/>
        <v>0</v>
      </c>
      <c r="AF1116" s="814">
        <f t="shared" si="2447"/>
        <v>0</v>
      </c>
    </row>
    <row r="1117" spans="3:77" ht="35" customHeight="1" x14ac:dyDescent="0.25">
      <c r="C1117" s="338"/>
      <c r="D1117" s="2437"/>
      <c r="E1117" s="4605" t="s">
        <v>959</v>
      </c>
      <c r="F1117" s="3153"/>
      <c r="G1117" s="3153"/>
      <c r="H1117" s="296">
        <f t="shared" si="2429"/>
        <v>0</v>
      </c>
      <c r="I1117" s="3153"/>
      <c r="J1117" s="304">
        <f t="shared" si="2430"/>
        <v>0</v>
      </c>
      <c r="K1117" s="3153"/>
      <c r="L1117" s="501">
        <f t="shared" si="2506"/>
        <v>0</v>
      </c>
      <c r="M1117" s="3153">
        <v>0</v>
      </c>
      <c r="N1117" s="501">
        <f t="shared" si="2501"/>
        <v>0</v>
      </c>
      <c r="O1117" s="3153">
        <v>154.21</v>
      </c>
      <c r="P1117" s="558">
        <f t="shared" si="2432"/>
        <v>154.21</v>
      </c>
      <c r="Q1117" s="2185">
        <f t="shared" si="2433"/>
        <v>154.21</v>
      </c>
      <c r="R1117" s="3153"/>
      <c r="S1117" s="501">
        <f t="shared" si="2434"/>
        <v>154.21</v>
      </c>
      <c r="T1117" s="3153">
        <v>242.83999999999997</v>
      </c>
      <c r="U1117" s="501">
        <f t="shared" si="2435"/>
        <v>397.04999999999995</v>
      </c>
      <c r="V1117" s="3153">
        <v>128.39000000000001</v>
      </c>
      <c r="W1117" s="398">
        <f t="shared" si="2436"/>
        <v>371.23</v>
      </c>
      <c r="X1117" s="1989">
        <f t="shared" si="2437"/>
        <v>525.43999999999994</v>
      </c>
      <c r="Y1117" s="3153"/>
      <c r="Z1117" s="501">
        <f t="shared" si="2443"/>
        <v>525.43999999999994</v>
      </c>
      <c r="AA1117" s="3153"/>
      <c r="AB1117" s="2475">
        <f t="shared" si="2444"/>
        <v>525.43999999999994</v>
      </c>
      <c r="AC1117" s="5135">
        <v>208.15</v>
      </c>
      <c r="AD1117" s="713">
        <f t="shared" si="2445"/>
        <v>208.15</v>
      </c>
      <c r="AE1117" s="1290">
        <f t="shared" si="2446"/>
        <v>579.38</v>
      </c>
      <c r="AF1117" s="814">
        <f t="shared" si="2447"/>
        <v>733.58999999999992</v>
      </c>
    </row>
    <row r="1118" spans="3:77" ht="35" customHeight="1" thickBot="1" x14ac:dyDescent="0.3">
      <c r="C1118" s="338"/>
      <c r="D1118" s="2437"/>
      <c r="E1118" s="297" t="s">
        <v>1227</v>
      </c>
      <c r="F1118" s="3642">
        <f>+F75</f>
        <v>0</v>
      </c>
      <c r="G1118" s="3642">
        <f>+G75</f>
        <v>0</v>
      </c>
      <c r="H1118" s="296">
        <f t="shared" si="2429"/>
        <v>0</v>
      </c>
      <c r="I1118" s="3642">
        <f>+I75</f>
        <v>0</v>
      </c>
      <c r="J1118" s="304">
        <f t="shared" si="2430"/>
        <v>0</v>
      </c>
      <c r="K1118" s="3642">
        <f>+K75</f>
        <v>0</v>
      </c>
      <c r="L1118" s="501">
        <f t="shared" si="2506"/>
        <v>0</v>
      </c>
      <c r="M1118" s="3642">
        <f>+M75</f>
        <v>0</v>
      </c>
      <c r="N1118" s="501">
        <f t="shared" si="2501"/>
        <v>0</v>
      </c>
      <c r="O1118" s="3642">
        <f>+O75</f>
        <v>0</v>
      </c>
      <c r="P1118" s="558">
        <f t="shared" si="2432"/>
        <v>0</v>
      </c>
      <c r="Q1118" s="2185">
        <f t="shared" si="2433"/>
        <v>0</v>
      </c>
      <c r="R1118" s="3642">
        <f>+R75</f>
        <v>0</v>
      </c>
      <c r="S1118" s="501">
        <f t="shared" si="2434"/>
        <v>0</v>
      </c>
      <c r="T1118" s="3642">
        <f>+T75</f>
        <v>0</v>
      </c>
      <c r="U1118" s="501">
        <f t="shared" si="2435"/>
        <v>0</v>
      </c>
      <c r="V1118" s="3642">
        <f>+V75</f>
        <v>0</v>
      </c>
      <c r="W1118" s="398">
        <f t="shared" si="2436"/>
        <v>0</v>
      </c>
      <c r="X1118" s="1989">
        <f t="shared" si="2437"/>
        <v>0</v>
      </c>
      <c r="Y1118" s="3642">
        <f>+Y75</f>
        <v>0</v>
      </c>
      <c r="Z1118" s="501">
        <f t="shared" si="2443"/>
        <v>0</v>
      </c>
      <c r="AA1118" s="3642">
        <f>+AA75</f>
        <v>0</v>
      </c>
      <c r="AB1118" s="2475">
        <f t="shared" si="2444"/>
        <v>0</v>
      </c>
      <c r="AC1118" s="3643">
        <f>+AC75</f>
        <v>0</v>
      </c>
      <c r="AD1118" s="713">
        <f t="shared" si="2445"/>
        <v>0</v>
      </c>
      <c r="AE1118" s="1290">
        <f t="shared" si="2446"/>
        <v>0</v>
      </c>
      <c r="AF1118" s="814">
        <f t="shared" si="2447"/>
        <v>0</v>
      </c>
    </row>
    <row r="1119" spans="3:77" ht="35" customHeight="1" thickBot="1" x14ac:dyDescent="0.3">
      <c r="C1119" s="338"/>
      <c r="D1119" s="437"/>
      <c r="E1119" s="429" t="s">
        <v>15</v>
      </c>
      <c r="F1119" s="1819">
        <f t="shared" ref="F1119:G1119" si="2511">SUM(F1078:F1118)</f>
        <v>0</v>
      </c>
      <c r="G1119" s="1819">
        <f t="shared" si="2511"/>
        <v>0</v>
      </c>
      <c r="H1119" s="482">
        <f t="shared" ref="H1119:Z1119" si="2512">SUM(H1078:H1118)</f>
        <v>0</v>
      </c>
      <c r="I1119" s="1819">
        <f t="shared" ref="I1119" si="2513">SUM(I1078:I1118)</f>
        <v>0</v>
      </c>
      <c r="J1119" s="580">
        <f t="shared" si="2512"/>
        <v>0</v>
      </c>
      <c r="K1119" s="1819">
        <f t="shared" ref="K1119" si="2514">SUM(K1078:K1118)</f>
        <v>0</v>
      </c>
      <c r="L1119" s="482">
        <f t="shared" si="2512"/>
        <v>0</v>
      </c>
      <c r="M1119" s="1819">
        <f t="shared" si="2512"/>
        <v>13308.380000000001</v>
      </c>
      <c r="N1119" s="482">
        <f t="shared" si="2512"/>
        <v>13308.380000000001</v>
      </c>
      <c r="O1119" s="1819">
        <f t="shared" si="2512"/>
        <v>8924.9799999999977</v>
      </c>
      <c r="P1119" s="580">
        <f t="shared" si="2512"/>
        <v>22233.360000000004</v>
      </c>
      <c r="Q1119" s="2146">
        <f t="shared" si="2512"/>
        <v>22233.360000000004</v>
      </c>
      <c r="R1119" s="1819">
        <f t="shared" si="2512"/>
        <v>8362.83</v>
      </c>
      <c r="S1119" s="482">
        <f t="shared" si="2512"/>
        <v>30596.19</v>
      </c>
      <c r="T1119" s="1819">
        <f t="shared" ref="T1119" si="2515">SUM(T1078:T1118)</f>
        <v>10379.009999999998</v>
      </c>
      <c r="U1119" s="482">
        <f t="shared" si="2512"/>
        <v>40975.200000000012</v>
      </c>
      <c r="V1119" s="1819">
        <f t="shared" ref="V1119" si="2516">SUM(V1078:V1118)</f>
        <v>4873.0600000000004</v>
      </c>
      <c r="W1119" s="580">
        <f t="shared" si="2512"/>
        <v>23614.899999999998</v>
      </c>
      <c r="X1119" s="482">
        <f t="shared" si="2512"/>
        <v>45848.26</v>
      </c>
      <c r="Y1119" s="1819">
        <f t="shared" ref="Y1119" si="2517">SUM(Y1078:Y1118)</f>
        <v>12329.778</v>
      </c>
      <c r="Z1119" s="482">
        <f t="shared" si="2512"/>
        <v>58178.037999999993</v>
      </c>
      <c r="AA1119" s="1819">
        <f t="shared" ref="AA1119" si="2518">SUM(AA1078:AA1118)</f>
        <v>13688.066999999999</v>
      </c>
      <c r="AB1119" s="2475">
        <f t="shared" si="2444"/>
        <v>71866.104999999996</v>
      </c>
      <c r="AC1119" s="5137">
        <f t="shared" ref="AC1119" si="2519">SUM(AC1078:AC1118)</f>
        <v>16213.604000000001</v>
      </c>
      <c r="AD1119" s="678">
        <f>SUM(AD1078:AD1117)</f>
        <v>42231.449000000001</v>
      </c>
      <c r="AE1119" s="775">
        <f>SUM(AE1078:AE1117)</f>
        <v>65846.348999999987</v>
      </c>
      <c r="AF1119" s="679">
        <f>SUM(AF1078:AF1117)</f>
        <v>88079.708999999959</v>
      </c>
    </row>
    <row r="1120" spans="3:77" ht="35" customHeight="1" x14ac:dyDescent="0.25">
      <c r="C1120" s="338"/>
      <c r="D1120" s="2441">
        <v>38.03</v>
      </c>
      <c r="E1120" s="419" t="s">
        <v>185</v>
      </c>
      <c r="F1120" s="2365">
        <f>+F6</f>
        <v>30</v>
      </c>
      <c r="G1120" s="2365">
        <f>+G6</f>
        <v>31</v>
      </c>
      <c r="H1120" s="3561">
        <f>SUM(F1120:G1120)</f>
        <v>61</v>
      </c>
      <c r="I1120" s="2365">
        <f>+I6</f>
        <v>30</v>
      </c>
      <c r="J1120" s="3502">
        <f>SUM(H1120:I1120)</f>
        <v>91</v>
      </c>
      <c r="K1120" s="2365">
        <f>+K6</f>
        <v>31</v>
      </c>
      <c r="L1120" s="3590">
        <f>SUM(J1120:K1120)</f>
        <v>122</v>
      </c>
      <c r="M1120" s="2365">
        <v>31</v>
      </c>
      <c r="N1120" s="2365">
        <f>SUM(L1120:M1120)</f>
        <v>153</v>
      </c>
      <c r="O1120" s="2365">
        <v>30</v>
      </c>
      <c r="P1120" s="2365">
        <f>+K1120+M1120+O1120</f>
        <v>92</v>
      </c>
      <c r="Q1120" s="2365">
        <f>+N1120+O1120</f>
        <v>183</v>
      </c>
      <c r="R1120" s="2365">
        <v>31</v>
      </c>
      <c r="S1120" s="2365">
        <f>+Q1120+R1120</f>
        <v>214</v>
      </c>
      <c r="T1120" s="2365">
        <v>30</v>
      </c>
      <c r="U1120" s="2365">
        <f>SUM(S1120:T1120)</f>
        <v>244</v>
      </c>
      <c r="V1120" s="2365">
        <v>31</v>
      </c>
      <c r="W1120" s="2365">
        <f>+R1120+T1120+V1120</f>
        <v>92</v>
      </c>
      <c r="X1120" s="2365">
        <f>+U1120+V1120</f>
        <v>275</v>
      </c>
      <c r="Y1120" s="2365">
        <v>31</v>
      </c>
      <c r="Z1120" s="2365">
        <f>SUM(X1120:Y1120)</f>
        <v>306</v>
      </c>
      <c r="AA1120" s="2365">
        <v>29</v>
      </c>
      <c r="AB1120" s="2475">
        <f t="shared" si="2444"/>
        <v>335</v>
      </c>
      <c r="AC1120" s="2365">
        <v>31</v>
      </c>
      <c r="AD1120" s="2476">
        <f>+Y1120+AA1120+AC1120</f>
        <v>91</v>
      </c>
      <c r="AE1120" s="2476">
        <f>+W1120+AD1120</f>
        <v>183</v>
      </c>
      <c r="AF1120" s="2476">
        <f>+AB1120+AC1120</f>
        <v>366</v>
      </c>
    </row>
    <row r="1121" spans="3:32" ht="35" customHeight="1" x14ac:dyDescent="0.25">
      <c r="C1121" s="338"/>
      <c r="D1121" s="2437"/>
      <c r="E1121" s="1907" t="s">
        <v>295</v>
      </c>
      <c r="F1121" s="3465">
        <f>+F1120*24</f>
        <v>720</v>
      </c>
      <c r="G1121" s="3465">
        <f>+G1120*24</f>
        <v>744</v>
      </c>
      <c r="H1121" s="476">
        <f>SUM(F1121:G1121)</f>
        <v>1464</v>
      </c>
      <c r="I1121" s="3465">
        <f>+I1120*24</f>
        <v>720</v>
      </c>
      <c r="J1121" s="1933">
        <f>SUM(H1121:I1121)</f>
        <v>2184</v>
      </c>
      <c r="K1121" s="3465">
        <f>+K1120*24</f>
        <v>744</v>
      </c>
      <c r="L1121" s="1989">
        <f>SUM(J1121:K1121)</f>
        <v>2928</v>
      </c>
      <c r="M1121" s="3465">
        <f>+M1120*24</f>
        <v>744</v>
      </c>
      <c r="N1121" s="1989">
        <f>SUM(L1121:M1121)</f>
        <v>3672</v>
      </c>
      <c r="O1121" s="3465">
        <f>+O1120*24</f>
        <v>720</v>
      </c>
      <c r="P1121" s="558">
        <f t="shared" ref="P1121" si="2520">+K1121+M1121+O1121</f>
        <v>2208</v>
      </c>
      <c r="Q1121" s="2143">
        <f>+N1121+O1121</f>
        <v>4392</v>
      </c>
      <c r="R1121" s="3465">
        <f>+R1120*24</f>
        <v>744</v>
      </c>
      <c r="S1121" s="2310">
        <f>SUM(Q1121:R1121)</f>
        <v>5136</v>
      </c>
      <c r="T1121" s="3465">
        <f>+T1120*24</f>
        <v>720</v>
      </c>
      <c r="U1121" s="2310">
        <f>SUM(S1121:T1121)</f>
        <v>5856</v>
      </c>
      <c r="V1121" s="3465">
        <f>+V1120*24</f>
        <v>744</v>
      </c>
      <c r="W1121" s="398">
        <f t="shared" ref="W1121" si="2521">+R1121+T1121+V1121</f>
        <v>2208</v>
      </c>
      <c r="X1121" s="1989">
        <f t="shared" ref="X1121" si="2522">+U1121+V1121</f>
        <v>6600</v>
      </c>
      <c r="Y1121" s="3465">
        <f>+Y1120*24</f>
        <v>744</v>
      </c>
      <c r="Z1121" s="2310">
        <f>+X1121+Y1121</f>
        <v>7344</v>
      </c>
      <c r="AA1121" s="3465">
        <f>+AA1120*24</f>
        <v>696</v>
      </c>
      <c r="AB1121" s="2475">
        <f t="shared" si="2444"/>
        <v>8040</v>
      </c>
      <c r="AC1121" s="3465">
        <f>+AC1120*24</f>
        <v>744</v>
      </c>
      <c r="AD1121" s="815">
        <f t="shared" ref="AD1121" si="2523">+Y1121+AA1121+AC1121</f>
        <v>2184</v>
      </c>
      <c r="AE1121" s="1290">
        <f t="shared" ref="AE1121" si="2524">+W1121+AD1121</f>
        <v>4392</v>
      </c>
      <c r="AF1121" s="814">
        <f t="shared" ref="AF1121" si="2525">+AB1121+AC1121</f>
        <v>8784</v>
      </c>
    </row>
    <row r="1122" spans="3:32" ht="35" customHeight="1" x14ac:dyDescent="0.25">
      <c r="C1122" s="338"/>
      <c r="D1122" s="2437"/>
      <c r="E1122" s="311" t="s">
        <v>1102</v>
      </c>
      <c r="F1122" s="1486">
        <f t="shared" ref="F1122:G1122" si="2526">+F1123/F1121*100</f>
        <v>0</v>
      </c>
      <c r="G1122" s="1486">
        <f t="shared" si="2526"/>
        <v>0</v>
      </c>
      <c r="H1122" s="1517">
        <f t="shared" ref="H1122:L1122" si="2527">+H1123/H1121*100</f>
        <v>0</v>
      </c>
      <c r="I1122" s="1486">
        <f t="shared" si="2527"/>
        <v>0</v>
      </c>
      <c r="J1122" s="1934">
        <f t="shared" si="2527"/>
        <v>0</v>
      </c>
      <c r="K1122" s="1486">
        <f t="shared" si="2527"/>
        <v>0</v>
      </c>
      <c r="L1122" s="1517">
        <f t="shared" si="2527"/>
        <v>0</v>
      </c>
      <c r="M1122" s="1486">
        <f t="shared" ref="M1122:O1122" si="2528">+M1123/M1121*100</f>
        <v>30.678763440860212</v>
      </c>
      <c r="N1122" s="1517">
        <f t="shared" ref="N1122:R1122" si="2529">+N1123/N1121*100</f>
        <v>6.215958605664488</v>
      </c>
      <c r="O1122" s="1486">
        <f t="shared" si="2528"/>
        <v>4.0625</v>
      </c>
      <c r="P1122" s="1934">
        <f t="shared" si="2529"/>
        <v>11.66213768115942</v>
      </c>
      <c r="Q1122" s="2299">
        <f t="shared" si="2529"/>
        <v>5.8629326047358834</v>
      </c>
      <c r="R1122" s="1486">
        <f t="shared" si="2529"/>
        <v>27.543010752688168</v>
      </c>
      <c r="S1122" s="1517">
        <f t="shared" ref="S1122:AF1122" si="2530">+S1123/S1121*100</f>
        <v>9.0035046728971952</v>
      </c>
      <c r="T1122" s="1486">
        <f t="shared" si="2530"/>
        <v>14.583333333333334</v>
      </c>
      <c r="U1122" s="1517">
        <f t="shared" si="2530"/>
        <v>9.6895491803278677</v>
      </c>
      <c r="V1122" s="1486">
        <f t="shared" si="2530"/>
        <v>0</v>
      </c>
      <c r="W1122" s="1934">
        <f t="shared" si="2530"/>
        <v>14.036231884057971</v>
      </c>
      <c r="X1122" s="1517">
        <f t="shared" si="2530"/>
        <v>8.5972727272727276</v>
      </c>
      <c r="Y1122" s="1486">
        <f t="shared" ref="Y1122" si="2531">+Y1123/Y1121*100</f>
        <v>32.93010752688172</v>
      </c>
      <c r="Z1122" s="1517">
        <f t="shared" si="2530"/>
        <v>11.062363834422657</v>
      </c>
      <c r="AA1122" s="1486">
        <f t="shared" si="2530"/>
        <v>35.701149425287355</v>
      </c>
      <c r="AB1122" s="2475">
        <f t="shared" si="2444"/>
        <v>46.76351325971001</v>
      </c>
      <c r="AC1122" s="1486">
        <f t="shared" ref="AC1122" si="2532">+AC1123/AC1121*100</f>
        <v>33.467741935483872</v>
      </c>
      <c r="AD1122" s="2523">
        <f t="shared" si="2530"/>
        <v>33.996336996336993</v>
      </c>
      <c r="AE1122" s="2538">
        <f t="shared" si="2530"/>
        <v>23.961748633879782</v>
      </c>
      <c r="AF1122" s="1517">
        <f t="shared" si="2530"/>
        <v>14.912340619307832</v>
      </c>
    </row>
    <row r="1123" spans="3:32" ht="35" customHeight="1" x14ac:dyDescent="0.25">
      <c r="C1123" s="338"/>
      <c r="D1123" s="2437"/>
      <c r="E1123" s="311" t="s">
        <v>334</v>
      </c>
      <c r="F1123" s="3333">
        <v>0</v>
      </c>
      <c r="G1123" s="3333">
        <v>0</v>
      </c>
      <c r="H1123" s="476">
        <f>SUM(F1123:G1123)</f>
        <v>0</v>
      </c>
      <c r="I1123" s="3333">
        <v>0</v>
      </c>
      <c r="J1123" s="1933">
        <f>SUM(H1123:I1123)</f>
        <v>0</v>
      </c>
      <c r="K1123" s="3333"/>
      <c r="L1123" s="1989">
        <f>SUM(J1123:K1123)</f>
        <v>0</v>
      </c>
      <c r="M1123" s="3333">
        <v>228.25</v>
      </c>
      <c r="N1123" s="1989">
        <f>SUM(L1123:M1123)</f>
        <v>228.25</v>
      </c>
      <c r="O1123" s="3333">
        <v>29.25</v>
      </c>
      <c r="P1123" s="558">
        <f t="shared" ref="P1123" si="2533">+K1123+M1123+O1123</f>
        <v>257.5</v>
      </c>
      <c r="Q1123" s="2143">
        <f>+N1123+O1123</f>
        <v>257.5</v>
      </c>
      <c r="R1123" s="3333">
        <v>204.92</v>
      </c>
      <c r="S1123" s="1989">
        <f>SUM(Q1123:R1123)</f>
        <v>462.41999999999996</v>
      </c>
      <c r="T1123" s="3333">
        <v>105</v>
      </c>
      <c r="U1123" s="1989">
        <f>SUM(S1123:T1123)</f>
        <v>567.41999999999996</v>
      </c>
      <c r="V1123" s="3333">
        <v>0</v>
      </c>
      <c r="W1123" s="398">
        <f t="shared" ref="W1123" si="2534">+R1123+T1123+V1123</f>
        <v>309.91999999999996</v>
      </c>
      <c r="X1123" s="1989">
        <f t="shared" ref="X1123" si="2535">+U1123+V1123</f>
        <v>567.41999999999996</v>
      </c>
      <c r="Y1123" s="3333">
        <v>245</v>
      </c>
      <c r="Z1123" s="1989">
        <f>+X1123+Y1123</f>
        <v>812.42</v>
      </c>
      <c r="AA1123" s="3333">
        <v>248.48</v>
      </c>
      <c r="AB1123" s="2475">
        <f t="shared" si="2444"/>
        <v>1060.8999999999999</v>
      </c>
      <c r="AC1123" s="3333">
        <v>249</v>
      </c>
      <c r="AD1123" s="815">
        <f t="shared" ref="AD1123" si="2536">+Y1123+AA1123+AC1123</f>
        <v>742.48</v>
      </c>
      <c r="AE1123" s="1290">
        <f t="shared" ref="AE1123" si="2537">+W1123+AD1123</f>
        <v>1052.4000000000001</v>
      </c>
      <c r="AF1123" s="814">
        <f t="shared" ref="AF1123" si="2538">+AB1123+AC1123</f>
        <v>1309.8999999999999</v>
      </c>
    </row>
    <row r="1124" spans="3:32" ht="35" customHeight="1" x14ac:dyDescent="0.25">
      <c r="C1124" s="338"/>
      <c r="D1124" s="2437"/>
      <c r="E1124" s="187" t="s">
        <v>1103</v>
      </c>
      <c r="F1124" s="1486" t="e">
        <f t="shared" ref="F1124:G1124" si="2539">+F1125/F1123*100</f>
        <v>#DIV/0!</v>
      </c>
      <c r="G1124" s="1486" t="e">
        <f t="shared" si="2539"/>
        <v>#DIV/0!</v>
      </c>
      <c r="H1124" s="1517" t="e">
        <f t="shared" ref="H1124:L1124" si="2540">+H1125/H1123*100</f>
        <v>#DIV/0!</v>
      </c>
      <c r="I1124" s="1486" t="e">
        <f t="shared" si="2540"/>
        <v>#DIV/0!</v>
      </c>
      <c r="J1124" s="1934" t="e">
        <f t="shared" si="2540"/>
        <v>#DIV/0!</v>
      </c>
      <c r="K1124" s="1486" t="e">
        <f t="shared" si="2540"/>
        <v>#DIV/0!</v>
      </c>
      <c r="L1124" s="1517" t="e">
        <f t="shared" si="2540"/>
        <v>#DIV/0!</v>
      </c>
      <c r="M1124" s="1486">
        <f t="shared" ref="M1124:O1124" si="2541">+M1125/M1123*100</f>
        <v>80.433734939759034</v>
      </c>
      <c r="N1124" s="1517">
        <f t="shared" ref="N1124:R1124" si="2542">+N1125/N1123*100</f>
        <v>80.433734939759034</v>
      </c>
      <c r="O1124" s="1486">
        <f t="shared" si="2541"/>
        <v>81.196581196581192</v>
      </c>
      <c r="P1124" s="1934">
        <f t="shared" si="2542"/>
        <v>80.520388349514562</v>
      </c>
      <c r="Q1124" s="2299">
        <f t="shared" si="2542"/>
        <v>80.520388349514562</v>
      </c>
      <c r="R1124" s="1486">
        <f t="shared" si="2542"/>
        <v>62.136443490142504</v>
      </c>
      <c r="S1124" s="1517">
        <f t="shared" ref="S1124:AF1124" si="2543">+S1125/S1123*100</f>
        <v>72.373599757795944</v>
      </c>
      <c r="T1124" s="1486">
        <f t="shared" si="2543"/>
        <v>56.352380952380955</v>
      </c>
      <c r="U1124" s="1517">
        <f t="shared" si="2543"/>
        <v>69.408903457756168</v>
      </c>
      <c r="V1124" s="1486" t="e">
        <f t="shared" si="2543"/>
        <v>#DIV/0!</v>
      </c>
      <c r="W1124" s="1934">
        <f t="shared" si="2543"/>
        <v>60.17681982447084</v>
      </c>
      <c r="X1124" s="1517">
        <f t="shared" si="2543"/>
        <v>69.408903457756168</v>
      </c>
      <c r="Y1124" s="1486">
        <f t="shared" ref="Y1124" si="2544">+Y1125/Y1123*100</f>
        <v>68.02448979591837</v>
      </c>
      <c r="Z1124" s="1517">
        <f t="shared" si="2543"/>
        <v>68.991408384825576</v>
      </c>
      <c r="AA1124" s="1486">
        <f t="shared" si="2543"/>
        <v>75.362202189311006</v>
      </c>
      <c r="AB1124" s="2475">
        <f t="shared" si="2444"/>
        <v>144.35361057413658</v>
      </c>
      <c r="AC1124" s="1486">
        <f t="shared" ref="AC1124" si="2545">+AC1125/AC1123*100</f>
        <v>67.337349397590344</v>
      </c>
      <c r="AD1124" s="2523">
        <f t="shared" si="2543"/>
        <v>70.249703695722431</v>
      </c>
      <c r="AE1124" s="2538">
        <f t="shared" si="2543"/>
        <v>67.283352337514231</v>
      </c>
      <c r="AF1124" s="1517">
        <f t="shared" si="2543"/>
        <v>69.885487441789451</v>
      </c>
    </row>
    <row r="1125" spans="3:32" ht="35" customHeight="1" x14ac:dyDescent="0.25">
      <c r="C1125" s="338"/>
      <c r="D1125" s="2437"/>
      <c r="E1125" s="187" t="s">
        <v>48</v>
      </c>
      <c r="F1125" s="3332">
        <v>0</v>
      </c>
      <c r="G1125" s="3332">
        <v>0</v>
      </c>
      <c r="H1125" s="501">
        <f>SUM(F1125:G1125)</f>
        <v>0</v>
      </c>
      <c r="I1125" s="3332">
        <v>0</v>
      </c>
      <c r="J1125" s="558">
        <f>SUM(H1125:I1125)</f>
        <v>0</v>
      </c>
      <c r="K1125" s="3332"/>
      <c r="L1125" s="1989">
        <f>SUM(J1125:K1125)</f>
        <v>0</v>
      </c>
      <c r="M1125" s="3332">
        <v>183.59</v>
      </c>
      <c r="N1125" s="1989">
        <f>SUM(L1125:M1125)</f>
        <v>183.59</v>
      </c>
      <c r="O1125" s="3332">
        <v>23.75</v>
      </c>
      <c r="P1125" s="558">
        <f t="shared" ref="P1125" si="2546">+K1125+M1125+O1125</f>
        <v>207.34</v>
      </c>
      <c r="Q1125" s="2143">
        <f>+N1125+O1125</f>
        <v>207.34</v>
      </c>
      <c r="R1125" s="3332">
        <v>127.33</v>
      </c>
      <c r="S1125" s="1989">
        <f>SUM(Q1125:R1125)</f>
        <v>334.67</v>
      </c>
      <c r="T1125" s="3332">
        <v>59.17</v>
      </c>
      <c r="U1125" s="1989">
        <f>SUM(S1125:T1125)</f>
        <v>393.84000000000003</v>
      </c>
      <c r="V1125" s="3332">
        <v>0</v>
      </c>
      <c r="W1125" s="398">
        <f t="shared" ref="W1125" si="2547">+R1125+T1125+V1125</f>
        <v>186.5</v>
      </c>
      <c r="X1125" s="1989">
        <f t="shared" ref="X1125" si="2548">+U1125+V1125</f>
        <v>393.84000000000003</v>
      </c>
      <c r="Y1125" s="3332">
        <v>166.66</v>
      </c>
      <c r="Z1125" s="1989">
        <f>+X1125+Y1125</f>
        <v>560.5</v>
      </c>
      <c r="AA1125" s="3332">
        <v>187.26</v>
      </c>
      <c r="AB1125" s="2475">
        <f t="shared" si="2444"/>
        <v>747.76</v>
      </c>
      <c r="AC1125" s="3332">
        <v>167.67</v>
      </c>
      <c r="AD1125" s="815">
        <f t="shared" ref="AD1125" si="2549">+Y1125+AA1125+AC1125</f>
        <v>521.58999999999992</v>
      </c>
      <c r="AE1125" s="1290">
        <f t="shared" ref="AE1125" si="2550">+W1125+AD1125</f>
        <v>708.08999999999992</v>
      </c>
      <c r="AF1125" s="814">
        <f t="shared" ref="AF1125" si="2551">+AB1125+AC1125</f>
        <v>915.43</v>
      </c>
    </row>
    <row r="1126" spans="3:32" ht="35" customHeight="1" x14ac:dyDescent="0.25">
      <c r="C1126" s="338"/>
      <c r="D1126" s="2437"/>
      <c r="E1126" s="187" t="s">
        <v>47</v>
      </c>
      <c r="F1126" s="1486" t="e">
        <f t="shared" ref="F1126:G1126" si="2552">+F1074/F1125</f>
        <v>#DIV/0!</v>
      </c>
      <c r="G1126" s="1486" t="e">
        <f t="shared" si="2552"/>
        <v>#DIV/0!</v>
      </c>
      <c r="H1126" s="1517" t="e">
        <f t="shared" ref="H1126:AF1126" si="2553">+H1074/H1125</f>
        <v>#DIV/0!</v>
      </c>
      <c r="I1126" s="1486" t="e">
        <f t="shared" si="2553"/>
        <v>#DIV/0!</v>
      </c>
      <c r="J1126" s="1934" t="e">
        <f t="shared" si="2553"/>
        <v>#DIV/0!</v>
      </c>
      <c r="K1126" s="1486" t="e">
        <f t="shared" si="2553"/>
        <v>#DIV/0!</v>
      </c>
      <c r="L1126" s="1517" t="e">
        <f t="shared" si="2553"/>
        <v>#DIV/0!</v>
      </c>
      <c r="M1126" s="1486">
        <f t="shared" si="2553"/>
        <v>67.867835740728253</v>
      </c>
      <c r="N1126" s="1517">
        <f t="shared" si="2553"/>
        <v>67.867835740728253</v>
      </c>
      <c r="O1126" s="1486">
        <f t="shared" si="2553"/>
        <v>98.356210526315778</v>
      </c>
      <c r="P1126" s="1934">
        <f t="shared" si="2553"/>
        <v>71.360161877304421</v>
      </c>
      <c r="Q1126" s="2299">
        <f t="shared" si="2553"/>
        <v>71.360161877304421</v>
      </c>
      <c r="R1126" s="1486">
        <f t="shared" si="2553"/>
        <v>92.16810432267728</v>
      </c>
      <c r="S1126" s="1517">
        <f t="shared" si="2553"/>
        <v>79.27684192502106</v>
      </c>
      <c r="T1126" s="1486">
        <f t="shared" ref="T1126" si="2554">+T1074/T1125</f>
        <v>93.68115921069969</v>
      </c>
      <c r="U1126" s="1517">
        <f t="shared" si="2553"/>
        <v>81.440927477005644</v>
      </c>
      <c r="V1126" s="1486" t="e">
        <f t="shared" ref="V1126" si="2555">+V1074/V1125</f>
        <v>#DIV/0!</v>
      </c>
      <c r="W1126" s="1934">
        <f t="shared" si="2553"/>
        <v>92.648144310475061</v>
      </c>
      <c r="X1126" s="1517">
        <f t="shared" si="2553"/>
        <v>81.440927477005644</v>
      </c>
      <c r="Y1126" s="1486">
        <f t="shared" si="2553"/>
        <v>99.561899662486482</v>
      </c>
      <c r="Z1126" s="1517">
        <f t="shared" si="2553"/>
        <v>86.829047413548452</v>
      </c>
      <c r="AA1126" s="1486">
        <f t="shared" ref="AA1126" si="2556">+AA1074/AA1125</f>
        <v>98.68282868738649</v>
      </c>
      <c r="AB1126" s="2475">
        <f t="shared" si="2444"/>
        <v>185.51187610093496</v>
      </c>
      <c r="AC1126" s="1486">
        <f t="shared" ref="AC1126" si="2557">+AC1074/AC1125</f>
        <v>96.556599941099265</v>
      </c>
      <c r="AD1126" s="2523">
        <f t="shared" si="2553"/>
        <v>98.280215897302696</v>
      </c>
      <c r="AE1126" s="2538">
        <f t="shared" si="2553"/>
        <v>96.79681498648155</v>
      </c>
      <c r="AF1126" s="1517">
        <f t="shared" si="2553"/>
        <v>91.035549072477437</v>
      </c>
    </row>
    <row r="1127" spans="3:32" ht="35" customHeight="1" x14ac:dyDescent="0.25">
      <c r="C1127" s="338"/>
      <c r="D1127" s="2437"/>
      <c r="E1127" s="311" t="s">
        <v>359</v>
      </c>
      <c r="F1127" s="3415">
        <f>+F1511</f>
        <v>423946.99999999942</v>
      </c>
      <c r="G1127" s="3415">
        <f>+G1511</f>
        <v>543130.00000000047</v>
      </c>
      <c r="H1127" s="501">
        <f>SUM(F1127:G1127)</f>
        <v>967076.99999999988</v>
      </c>
      <c r="I1127" s="3415">
        <f>+I1511</f>
        <v>654579.99999999953</v>
      </c>
      <c r="J1127" s="558">
        <f>SUM(H1127:I1127)</f>
        <v>1621656.9999999995</v>
      </c>
      <c r="K1127" s="3415">
        <f>+K1511</f>
        <v>0</v>
      </c>
      <c r="L1127" s="1989">
        <f>SUM(J1127:K1127)</f>
        <v>1621656.9999999995</v>
      </c>
      <c r="M1127" s="3415">
        <f>+M1511</f>
        <v>2386743.666666667</v>
      </c>
      <c r="N1127" s="1989">
        <f>SUM(L1127:M1127)</f>
        <v>4008400.6666666665</v>
      </c>
      <c r="O1127" s="3415">
        <f>+O1511</f>
        <v>1101299.9999999991</v>
      </c>
      <c r="P1127" s="558">
        <f t="shared" ref="P1127" si="2558">+K1127+M1127+O1127</f>
        <v>3488043.666666666</v>
      </c>
      <c r="Q1127" s="2144">
        <f t="shared" ref="Q1127" si="2559">+J1127+P1127</f>
        <v>5109700.666666666</v>
      </c>
      <c r="R1127" s="3415">
        <f>+R1511</f>
        <v>1809179.9999999984</v>
      </c>
      <c r="S1127" s="1989">
        <f>SUM(Q1127:R1127)</f>
        <v>6918880.6666666642</v>
      </c>
      <c r="T1127" s="3415">
        <f>+T1511</f>
        <v>1363380.0000000026</v>
      </c>
      <c r="U1127" s="1989">
        <f>SUM(S1127:T1127)</f>
        <v>8282260.666666667</v>
      </c>
      <c r="V1127" s="3415">
        <f>+V1511</f>
        <v>913349.99999999977</v>
      </c>
      <c r="W1127" s="398">
        <f t="shared" ref="W1127" si="2560">+R1127+T1127+V1127</f>
        <v>4085910.0000000009</v>
      </c>
      <c r="X1127" s="1989">
        <f t="shared" ref="X1127" si="2561">+U1127+V1127</f>
        <v>9195610.666666666</v>
      </c>
      <c r="Y1127" s="3415">
        <f>+Y1511</f>
        <v>1966196.6666666663</v>
      </c>
      <c r="Z1127" s="1989">
        <f>+X1127+Y1127</f>
        <v>11161807.333333332</v>
      </c>
      <c r="AA1127" s="3415">
        <f>+AA1511</f>
        <v>2128849.9999999991</v>
      </c>
      <c r="AB1127" s="2475">
        <f t="shared" si="2444"/>
        <v>13290657.333333332</v>
      </c>
      <c r="AC1127" s="3415">
        <f>+AC1511</f>
        <v>2186333</v>
      </c>
      <c r="AD1127" s="815">
        <f t="shared" ref="AD1127" si="2562">+Y1127+AA1127+AC1127</f>
        <v>6281379.6666666651</v>
      </c>
      <c r="AE1127" s="1290">
        <f t="shared" ref="AE1127" si="2563">+W1127+AD1127</f>
        <v>10367289.666666666</v>
      </c>
      <c r="AF1127" s="814">
        <f t="shared" ref="AF1127" si="2564">+AB1127+AC1127</f>
        <v>15476990.333333332</v>
      </c>
    </row>
    <row r="1128" spans="3:32" ht="35" customHeight="1" x14ac:dyDescent="0.25">
      <c r="C1128" s="338"/>
      <c r="D1128" s="2437"/>
      <c r="E1128" s="493" t="s">
        <v>360</v>
      </c>
      <c r="F1128" s="1486" t="e">
        <f t="shared" ref="F1128:G1128" si="2565">+F1127/F1020</f>
        <v>#DIV/0!</v>
      </c>
      <c r="G1128" s="1486" t="e">
        <f t="shared" si="2565"/>
        <v>#DIV/0!</v>
      </c>
      <c r="H1128" s="1517" t="e">
        <f t="shared" ref="H1128:AF1128" si="2566">+H1127/H1020</f>
        <v>#DIV/0!</v>
      </c>
      <c r="I1128" s="1486" t="e">
        <f t="shared" si="2566"/>
        <v>#DIV/0!</v>
      </c>
      <c r="J1128" s="1934" t="e">
        <f t="shared" si="2566"/>
        <v>#DIV/0!</v>
      </c>
      <c r="K1128" s="1486" t="e">
        <f t="shared" si="2566"/>
        <v>#DIV/0!</v>
      </c>
      <c r="L1128" s="1517" t="e">
        <f t="shared" si="2566"/>
        <v>#DIV/0!</v>
      </c>
      <c r="M1128" s="1486">
        <f t="shared" si="2566"/>
        <v>183.09202345227101</v>
      </c>
      <c r="N1128" s="1517">
        <f t="shared" si="2566"/>
        <v>307.4926725970567</v>
      </c>
      <c r="O1128" s="1486">
        <f t="shared" si="2566"/>
        <v>444.77561306581333</v>
      </c>
      <c r="P1128" s="1934">
        <f t="shared" si="2566"/>
        <v>224.86330942589456</v>
      </c>
      <c r="Q1128" s="2299">
        <f t="shared" si="2566"/>
        <v>329.40648451812189</v>
      </c>
      <c r="R1128" s="1486">
        <f t="shared" si="2566"/>
        <v>146.87405172686795</v>
      </c>
      <c r="S1128" s="1517">
        <f t="shared" si="2566"/>
        <v>248.61462876455207</v>
      </c>
      <c r="T1128" s="1486">
        <f t="shared" ref="T1128" si="2567">+T1127/T1020</f>
        <v>236.3520955130162</v>
      </c>
      <c r="U1128" s="1517">
        <f t="shared" si="2566"/>
        <v>246.50928966966106</v>
      </c>
      <c r="V1128" s="1486" t="e">
        <f t="shared" ref="V1128" si="2568">+V1127/V1020</f>
        <v>#DIV/0!</v>
      </c>
      <c r="W1128" s="1934">
        <f t="shared" si="2566"/>
        <v>225.91152066589476</v>
      </c>
      <c r="X1128" s="1517">
        <f t="shared" si="2566"/>
        <v>273.69380713189639</v>
      </c>
      <c r="Y1128" s="1486">
        <f t="shared" si="2566"/>
        <v>113.46247883035541</v>
      </c>
      <c r="Z1128" s="1517">
        <f t="shared" si="2566"/>
        <v>219.17175592652129</v>
      </c>
      <c r="AA1128" s="1486">
        <f t="shared" ref="AA1128" si="2569">+AA1127/AA1020</f>
        <v>110.55312462401585</v>
      </c>
      <c r="AB1128" s="2475">
        <f t="shared" si="2444"/>
        <v>329.72488055053714</v>
      </c>
      <c r="AC1128" s="1486">
        <f t="shared" ref="AC1128" si="2570">+AC1127/AC1020</f>
        <v>128.62539910293626</v>
      </c>
      <c r="AD1128" s="2523">
        <f t="shared" si="2566"/>
        <v>117.22692985184132</v>
      </c>
      <c r="AE1128" s="2538">
        <f t="shared" si="2566"/>
        <v>144.65432644012887</v>
      </c>
      <c r="AF1128" s="1517">
        <f t="shared" si="2566"/>
        <v>177.52660157169851</v>
      </c>
    </row>
    <row r="1129" spans="3:32" ht="35" customHeight="1" x14ac:dyDescent="0.25">
      <c r="C1129" s="338"/>
      <c r="D1129" s="2437"/>
      <c r="E1129" s="311" t="s">
        <v>1094</v>
      </c>
      <c r="F1129" s="3334">
        <v>0</v>
      </c>
      <c r="G1129" s="3334">
        <v>0</v>
      </c>
      <c r="H1129" s="257" t="e">
        <f>+((F1129*F1020)+(G1129*G1020))/H1020</f>
        <v>#DIV/0!</v>
      </c>
      <c r="I1129" s="3334">
        <v>0</v>
      </c>
      <c r="J1129" s="416" t="e">
        <f>+((H1129*H1020)+(I1129*I1020))/J1020</f>
        <v>#DIV/0!</v>
      </c>
      <c r="K1129" s="3334"/>
      <c r="L1129" s="257" t="e">
        <f>+((J1129*J1020)+(K1129*K1020))/L1020</f>
        <v>#DIV/0!</v>
      </c>
      <c r="M1129" s="3334">
        <v>1.0680000000000001</v>
      </c>
      <c r="N1129" s="257" t="e">
        <f>+((L1129*L1020)+(M1129*M1020))/N1020</f>
        <v>#DIV/0!</v>
      </c>
      <c r="O1129" s="3334">
        <v>0.72699999999999998</v>
      </c>
      <c r="P1129" s="416">
        <f>+((K1129*K1020)+(M1129*M1020)+(O1129*O1020))/P1020</f>
        <v>1.013567818990708</v>
      </c>
      <c r="Q1129" s="2183" t="e">
        <f>+((N1129*N1020)+(O1129*O1020))/Q1020</f>
        <v>#DIV/0!</v>
      </c>
      <c r="R1129" s="3334">
        <v>0.69</v>
      </c>
      <c r="S1129" s="257" t="e">
        <f>+((Q1129*Q1020)+(R1129*R1020))/S1020</f>
        <v>#DIV/0!</v>
      </c>
      <c r="T1129" s="3334">
        <v>0.67</v>
      </c>
      <c r="U1129" s="5001" t="e">
        <f>+((S1129*S1020)+(T1129*T1020))/U1020</f>
        <v>#DIV/0!</v>
      </c>
      <c r="V1129" s="3334">
        <v>0</v>
      </c>
      <c r="W1129" s="416">
        <f>+((R1129*R1020)+(T1129*T1020)+(V1129*V1020))/W1020</f>
        <v>0.68362122857463437</v>
      </c>
      <c r="X1129" s="257" t="e">
        <f>+((U1129*U1020)+(V1129*V1020))/X1020</f>
        <v>#DIV/0!</v>
      </c>
      <c r="Y1129" s="3334">
        <v>0.61399999999999999</v>
      </c>
      <c r="Z1129" s="257" t="e">
        <f>+((X1129*X1020)+(Y1129*Y1020))/Z1020</f>
        <v>#DIV/0!</v>
      </c>
      <c r="AA1129" s="3334">
        <v>0.72299999999999998</v>
      </c>
      <c r="AB1129" s="2475" t="e">
        <f t="shared" si="2444"/>
        <v>#DIV/0!</v>
      </c>
      <c r="AC1129" s="3334">
        <v>0.83799999999999997</v>
      </c>
      <c r="AD1129" s="2387">
        <f>+((Y1129*Y1020)+(AA1129*AA1020)+(AC1129*AC1020))/AD1020</f>
        <v>0.72422924455037363</v>
      </c>
      <c r="AE1129" s="1332">
        <f>+((W1129*W1020)+(AD1129*AD1020))/AE1020</f>
        <v>0.71398149783220588</v>
      </c>
      <c r="AF1129" s="257" t="e">
        <f>+((AB1129*AB1020)+(AC1129*AC1020))/AF1020</f>
        <v>#DIV/0!</v>
      </c>
    </row>
    <row r="1130" spans="3:32" ht="35" hidden="1" customHeight="1" x14ac:dyDescent="0.25">
      <c r="C1130" s="338"/>
      <c r="D1130" s="2437"/>
      <c r="E1130" s="493" t="s">
        <v>360</v>
      </c>
      <c r="F1130" s="3988"/>
      <c r="G1130" s="3988"/>
      <c r="H1130" s="254" t="e">
        <f>#REF!/H1020</f>
        <v>#REF!</v>
      </c>
      <c r="I1130" s="3988"/>
      <c r="J1130" s="422" t="e">
        <f>#REF!/J1020</f>
        <v>#REF!</v>
      </c>
      <c r="K1130" s="3988"/>
      <c r="L1130" s="254"/>
      <c r="M1130" s="3988"/>
      <c r="N1130" s="254"/>
      <c r="O1130" s="4924"/>
      <c r="P1130" s="245"/>
      <c r="Q1130" s="240"/>
      <c r="R1130" s="3988"/>
      <c r="S1130" s="1990"/>
      <c r="T1130" s="3988"/>
      <c r="U1130" s="1990"/>
      <c r="V1130" s="3988"/>
      <c r="W1130" s="315"/>
      <c r="X1130" s="1990"/>
      <c r="Y1130" s="3988"/>
      <c r="Z1130" s="1990"/>
      <c r="AA1130" s="3988"/>
      <c r="AB1130" s="2475">
        <f t="shared" si="2444"/>
        <v>0</v>
      </c>
      <c r="AC1130" s="3988"/>
      <c r="AD1130" s="828"/>
      <c r="AE1130" s="1078"/>
      <c r="AF1130" s="827"/>
    </row>
    <row r="1131" spans="3:32" ht="35" hidden="1" customHeight="1" x14ac:dyDescent="0.25">
      <c r="C1131" s="338"/>
      <c r="D1131" s="2437"/>
      <c r="E1131" s="187" t="s">
        <v>217</v>
      </c>
      <c r="F1131" s="3989"/>
      <c r="G1131" s="3989"/>
      <c r="H1131" s="254" t="e">
        <f>+((F1131*F1020)+(G1131*G1020))/H1020</f>
        <v>#DIV/0!</v>
      </c>
      <c r="I1131" s="3989"/>
      <c r="J1131" s="422" t="e">
        <f>+((H1131*H1020)+(I1131*I1020))/J1020</f>
        <v>#DIV/0!</v>
      </c>
      <c r="K1131" s="3989"/>
      <c r="L1131" s="254"/>
      <c r="M1131" s="3989"/>
      <c r="N1131" s="254"/>
      <c r="O1131" s="4923"/>
      <c r="P1131" s="245"/>
      <c r="Q1131" s="240"/>
      <c r="R1131" s="3989"/>
      <c r="S1131" s="1990"/>
      <c r="T1131" s="3989"/>
      <c r="U1131" s="1990"/>
      <c r="V1131" s="3989"/>
      <c r="W1131" s="315"/>
      <c r="X1131" s="1990"/>
      <c r="Y1131" s="3989"/>
      <c r="Z1131" s="1990"/>
      <c r="AA1131" s="3989"/>
      <c r="AB1131" s="2475">
        <f t="shared" si="2444"/>
        <v>0</v>
      </c>
      <c r="AC1131" s="3989"/>
      <c r="AD1131" s="828"/>
      <c r="AE1131" s="1078"/>
      <c r="AF1131" s="827"/>
    </row>
    <row r="1132" spans="3:32" ht="35" hidden="1" customHeight="1" x14ac:dyDescent="0.25">
      <c r="C1132" s="338"/>
      <c r="D1132" s="2437"/>
      <c r="E1132" s="187" t="s">
        <v>241</v>
      </c>
      <c r="F1132" s="3157">
        <v>0</v>
      </c>
      <c r="G1132" s="3157">
        <v>0</v>
      </c>
      <c r="H1132" s="257">
        <f>+((F1132*24*30)+(G1132*24*31))/(61*24)</f>
        <v>0</v>
      </c>
      <c r="I1132" s="3157">
        <v>0</v>
      </c>
      <c r="J1132" s="1265">
        <f>+((H1132*24*61)+(I1132*24*30))/(91*24)</f>
        <v>0</v>
      </c>
      <c r="K1132" s="3157">
        <v>0</v>
      </c>
      <c r="L1132" s="257">
        <f>+((J1132*24*91)+(K1132*24*31))/(122*24)</f>
        <v>0</v>
      </c>
      <c r="M1132" s="3157">
        <v>0</v>
      </c>
      <c r="N1132" s="257">
        <f>+((L1132*24*122)+(M1132*24*31))/(153*24)</f>
        <v>0</v>
      </c>
      <c r="O1132" s="4925">
        <v>0</v>
      </c>
      <c r="P1132" s="416">
        <f>+((K1132*24*31)+(M1132*24*31)+(O1132*24*30))/(92*24)</f>
        <v>0</v>
      </c>
      <c r="Q1132" s="2183">
        <f>+((N1132*24*153)+(O1132*24*30))/(183*24)</f>
        <v>0</v>
      </c>
      <c r="R1132" s="3157">
        <v>0</v>
      </c>
      <c r="S1132" s="1990">
        <f>+((Q1132*24*183)+(R1132*24*31))/(214*24)</f>
        <v>0</v>
      </c>
      <c r="T1132" s="3157">
        <v>0</v>
      </c>
      <c r="U1132" s="1990">
        <f>+((S1132*24*214)+(T1132*24*30))/(244*24)</f>
        <v>0</v>
      </c>
      <c r="V1132" s="3157">
        <v>0</v>
      </c>
      <c r="W1132" s="398">
        <f>+((R1132*24*31)+(T1132*24*30)+(V1132*24*31))/(92*24)</f>
        <v>0</v>
      </c>
      <c r="X1132" s="1989">
        <f>+((U1132*24*244)+(V1132*24*31))/(275*24)</f>
        <v>0</v>
      </c>
      <c r="Y1132" s="3157">
        <v>0</v>
      </c>
      <c r="Z1132" s="1990">
        <f t="shared" ref="Z1132:Z1134" si="2571">+((X1132*24*275)+(Y1132*24*31))/(306*24)</f>
        <v>0</v>
      </c>
      <c r="AA1132" s="3157">
        <v>0</v>
      </c>
      <c r="AB1132" s="2475">
        <f t="shared" si="2444"/>
        <v>0</v>
      </c>
      <c r="AC1132" s="3157">
        <v>0</v>
      </c>
      <c r="AD1132" s="815">
        <f>+((Y1132*24*31)+(AA1132*24*28)+(AC1132*24*31))/(90*24)</f>
        <v>0</v>
      </c>
      <c r="AE1132" s="1395">
        <f>+((W1132*24*92)+(AD1132*24*90))/(182*24)</f>
        <v>0</v>
      </c>
      <c r="AF1132" s="661">
        <f>+((AB1132*24*334)+(AC1132*24*31))/(365*24)</f>
        <v>0</v>
      </c>
    </row>
    <row r="1133" spans="3:32" ht="35" customHeight="1" x14ac:dyDescent="0.25">
      <c r="C1133" s="338"/>
      <c r="D1133" s="2437"/>
      <c r="E1133" s="311" t="s">
        <v>315</v>
      </c>
      <c r="F1133" s="3815">
        <f>+(0/F1120)/24</f>
        <v>0</v>
      </c>
      <c r="G1133" s="3815">
        <f>+(0/G1120)/24</f>
        <v>0</v>
      </c>
      <c r="H1133" s="246">
        <f>+((F1133*24*30)+(G1133*24*31))/(61*24)</f>
        <v>0</v>
      </c>
      <c r="I1133" s="3815">
        <f>+(0/I1120)/24</f>
        <v>0</v>
      </c>
      <c r="J1133" s="237">
        <f>+((H1133*24*61)+(I1133*24*30))/(91*24)</f>
        <v>0</v>
      </c>
      <c r="K1133" s="3815">
        <f>+(0/K1120)/24</f>
        <v>0</v>
      </c>
      <c r="L1133" s="246">
        <f>+((J1133*24*91)+(K1133*24*31))/(122*24)</f>
        <v>0</v>
      </c>
      <c r="M1133" s="3815">
        <f>+(4479.35/31)/24</f>
        <v>6.0206317204301074</v>
      </c>
      <c r="N1133" s="246">
        <f>+((L1133*24*122)+(M1133*24*31))/(153*24)</f>
        <v>1.2198665577342049</v>
      </c>
      <c r="O1133" s="3815">
        <f>+(597.87/30)/24</f>
        <v>0.83037499999999997</v>
      </c>
      <c r="P1133" s="245">
        <f>+((K1133*24*31)+(M1133*24*31)+(O1133*24*30))/(92*24)</f>
        <v>2.2994655797101449</v>
      </c>
      <c r="Q1133" s="240">
        <f>+((N1133*24*153)+(O1133*24*30))/(183*24)</f>
        <v>1.1560154826958107</v>
      </c>
      <c r="R1133" s="3815">
        <f>+(2882.08/31)/24</f>
        <v>3.8737634408602148</v>
      </c>
      <c r="S1133" s="1990">
        <f>+((Q1133*24*183)+(R1133*24*31))/(214*24)</f>
        <v>1.5497079439252339</v>
      </c>
      <c r="T1133" s="3815">
        <f>+(1215.79/30)/24</f>
        <v>1.6885972222222223</v>
      </c>
      <c r="U1133" s="1990">
        <f>+((S1133*24*214)+(T1133*24*30))/(244*24)</f>
        <v>1.5667844945355194</v>
      </c>
      <c r="V1133" s="3815">
        <f>+(0/31)/24</f>
        <v>0</v>
      </c>
      <c r="W1133" s="315">
        <f>+((R1133*24*31)+(T1133*24*30)+(V1133*24*31))/(92*24)</f>
        <v>1.8559193840579709</v>
      </c>
      <c r="X1133" s="1990">
        <f>+((U1133*24*244)+(V1133*24*31))/(275*24)</f>
        <v>1.3901651515151519</v>
      </c>
      <c r="Y1133" s="3815">
        <f>+(3722.46/31)/24</f>
        <v>5.0033064516129029</v>
      </c>
      <c r="Z1133" s="1990">
        <f t="shared" si="2571"/>
        <v>1.7562023420479305</v>
      </c>
      <c r="AA1133" s="3815">
        <f>+(5893.41/AA1120)/24</f>
        <v>8.4675431034482767</v>
      </c>
      <c r="AB1133" s="2475">
        <f t="shared" si="2444"/>
        <v>10.223745445496206</v>
      </c>
      <c r="AC1133" s="3815">
        <f>+(4996.2/31)/24</f>
        <v>6.7153225806451609</v>
      </c>
      <c r="AD1133" s="815">
        <f t="shared" ref="AD1133:AD1134" si="2572">+((Y1133*24*31)+(AA1133*24*28)+(AC1133*24*31))/(90*24)</f>
        <v>6.6707634099616859</v>
      </c>
      <c r="AE1133" s="1078">
        <f>+((W1133*24*92)+(AD1133*24*90))/(182*24)</f>
        <v>4.2368862100543137</v>
      </c>
      <c r="AF1133" s="661">
        <f t="shared" ref="AF1133:AF1134" si="2573">+((AB1133*24*334)+(AC1133*24*31))/(365*24)</f>
        <v>9.9257698049198151</v>
      </c>
    </row>
    <row r="1134" spans="3:32" ht="35" customHeight="1" thickBot="1" x14ac:dyDescent="0.3">
      <c r="C1134" s="338"/>
      <c r="D1134" s="2437"/>
      <c r="E1134" s="433" t="s">
        <v>316</v>
      </c>
      <c r="F1134" s="3819">
        <f>+(0/F1120)/24</f>
        <v>0</v>
      </c>
      <c r="G1134" s="3819">
        <f>+(0/G1120)/24</f>
        <v>0</v>
      </c>
      <c r="H1134" s="273">
        <f>+((F1134*24*30)+(G1134*24*31))/(61*24)</f>
        <v>0</v>
      </c>
      <c r="I1134" s="3819">
        <f>+(0/I1120)/24</f>
        <v>0</v>
      </c>
      <c r="J1134" s="1938">
        <f>+((H1134*24*61)+(I1134*24*30))/(91*24)</f>
        <v>0</v>
      </c>
      <c r="K1134" s="3819">
        <f>+(0/K1120)/24</f>
        <v>0</v>
      </c>
      <c r="L1134" s="273">
        <f>+((J1134*24*91)+(K1134*24*31))/(122*24)</f>
        <v>0</v>
      </c>
      <c r="M1134" s="3819">
        <f>+(1214.093/31)/24</f>
        <v>1.6318454301075269</v>
      </c>
      <c r="N1134" s="273">
        <f>+((L1134*24*122)+(M1134*24*31))/(153*24)</f>
        <v>0.330635348583878</v>
      </c>
      <c r="O1134" s="3819">
        <f>+(159.445/30)/24</f>
        <v>0.22145138888888891</v>
      </c>
      <c r="P1134" s="305">
        <f>+((K1134*24*31)+(M1134*24*31)+(O1134*24*30))/(92*24)</f>
        <v>0.62207336956521742</v>
      </c>
      <c r="Q1134" s="239">
        <f>+((N1134*24*153)+(O1134*24*30))/(183*24)</f>
        <v>0.31273633879781421</v>
      </c>
      <c r="R1134" s="3819">
        <f>+(738.324/31)/24</f>
        <v>0.99237096774193534</v>
      </c>
      <c r="S1134" s="1991">
        <f>+((Q1134*24*183)+(R1134*24*31))/(214*24)</f>
        <v>0.41118808411214952</v>
      </c>
      <c r="T1134" s="3819">
        <f>+(346.313/30)/24</f>
        <v>0.48099027777777775</v>
      </c>
      <c r="U1134" s="1991">
        <f>+((S1134*24*214)+(T1134*24*30))/(244*24)</f>
        <v>0.41977032103825129</v>
      </c>
      <c r="V1134" s="3819">
        <f>+(0/31)/24</f>
        <v>0</v>
      </c>
      <c r="W1134" s="788">
        <f>+((R1134*24*31)+(T1134*24*30)+(V1134*24*31))/(92*24)</f>
        <v>0.49123052536231882</v>
      </c>
      <c r="X1134" s="1991">
        <f>+((U1134*24*244)+(V1134*24*31))/(275*24)</f>
        <v>0.37245075757575752</v>
      </c>
      <c r="Y1134" s="3819">
        <f>+(905.288/31)/24</f>
        <v>1.2167849462365592</v>
      </c>
      <c r="Z1134" s="1991">
        <f t="shared" si="2571"/>
        <v>0.4579878812636165</v>
      </c>
      <c r="AA1134" s="3819">
        <f>+(1178.782/AA1120)/24</f>
        <v>1.6936522988505747</v>
      </c>
      <c r="AB1134" s="2475">
        <f t="shared" si="2444"/>
        <v>2.1516401801141911</v>
      </c>
      <c r="AC1134" s="3819">
        <f>+(1199.562/31)/24</f>
        <v>1.6123145161290322</v>
      </c>
      <c r="AD1134" s="815">
        <f t="shared" si="2572"/>
        <v>1.5013816411238825</v>
      </c>
      <c r="AE1134" s="1396">
        <f>+((W1134*24*92)+(AD1134*24*90))/(182*24)</f>
        <v>0.99075580238726801</v>
      </c>
      <c r="AF1134" s="661">
        <f t="shared" si="2573"/>
        <v>2.1058344387894246</v>
      </c>
    </row>
    <row r="1135" spans="3:32" ht="35" customHeight="1" thickBot="1" x14ac:dyDescent="0.3">
      <c r="C1135" s="338"/>
      <c r="D1135" s="431">
        <v>39</v>
      </c>
      <c r="E1135" s="434" t="s">
        <v>536</v>
      </c>
      <c r="F1135" s="3651">
        <f>+F6</f>
        <v>30</v>
      </c>
      <c r="G1135" s="3651">
        <f>+G6</f>
        <v>31</v>
      </c>
      <c r="H1135" s="3649">
        <f>SUM(F1135:G1135)</f>
        <v>61</v>
      </c>
      <c r="I1135" s="3651">
        <f>+I6</f>
        <v>30</v>
      </c>
      <c r="J1135" s="3650">
        <f>SUM(H1135:I1135)</f>
        <v>91</v>
      </c>
      <c r="K1135" s="3651">
        <f>+K6</f>
        <v>31</v>
      </c>
      <c r="L1135" s="3652">
        <f>SUM(J1135:K1135)</f>
        <v>122</v>
      </c>
      <c r="M1135" s="3651">
        <v>31</v>
      </c>
      <c r="N1135" s="2108">
        <f>SUM(L1135:M1135)</f>
        <v>153</v>
      </c>
      <c r="O1135" s="3651">
        <v>30</v>
      </c>
      <c r="P1135" s="435">
        <f>+K1135+M1135+O1135</f>
        <v>92</v>
      </c>
      <c r="Q1135" s="435">
        <f>+J1135+P1135</f>
        <v>183</v>
      </c>
      <c r="R1135" s="3651">
        <v>31</v>
      </c>
      <c r="S1135" s="435">
        <f>SUM(Q1135:R1135)</f>
        <v>214</v>
      </c>
      <c r="T1135" s="3651">
        <v>30</v>
      </c>
      <c r="U1135" s="435">
        <f>SUM(S1135:T1135)</f>
        <v>244</v>
      </c>
      <c r="V1135" s="3651">
        <v>31</v>
      </c>
      <c r="W1135" s="2199">
        <f>+R1135+T1135+V1135</f>
        <v>92</v>
      </c>
      <c r="X1135" s="435">
        <f>+U1135+V1135</f>
        <v>275</v>
      </c>
      <c r="Y1135" s="3651">
        <v>31</v>
      </c>
      <c r="Z1135" s="435">
        <f>SUM(X1135:Y1135)</f>
        <v>306</v>
      </c>
      <c r="AA1135" s="3651">
        <v>29</v>
      </c>
      <c r="AB1135" s="5147">
        <f t="shared" si="2444"/>
        <v>335</v>
      </c>
      <c r="AC1135" s="3651">
        <v>31</v>
      </c>
      <c r="AD1135" s="194">
        <f>+Y1135+AA1135+AC1135</f>
        <v>91</v>
      </c>
      <c r="AE1135" s="194">
        <f>+W1135+AD1135</f>
        <v>183</v>
      </c>
      <c r="AF1135" s="1252">
        <f>+Q1135+AE1135</f>
        <v>366</v>
      </c>
    </row>
    <row r="1136" spans="3:32" ht="35" customHeight="1" thickBot="1" x14ac:dyDescent="0.3">
      <c r="C1136" s="338"/>
      <c r="D1136" s="186">
        <v>39.01</v>
      </c>
      <c r="E1136" s="188" t="s">
        <v>187</v>
      </c>
      <c r="F1136" s="3335">
        <v>4259.41</v>
      </c>
      <c r="G1136" s="3335">
        <v>4258.04</v>
      </c>
      <c r="H1136" s="250">
        <f>+((F1136*F1141*F1135)+(G1136*G1141*G1135))/(H1141*H1135)</f>
        <v>4258.7176404055544</v>
      </c>
      <c r="I1136" s="3335">
        <v>4265</v>
      </c>
      <c r="J1136" s="249">
        <f>+((F1136*F1141*F1135)+(G1136*G1141*G1135)+(I1136*I1141*I1135))/(J1141*J1135)</f>
        <v>4260.9420814222185</v>
      </c>
      <c r="K1136" s="3335">
        <v>4268.12</v>
      </c>
      <c r="L1136" s="250">
        <f>+((J1136*J1141*J1135)+(K1136*K1141*K1135))/(L1141*L1135)</f>
        <v>4262.9416228899872</v>
      </c>
      <c r="M1136" s="3335">
        <v>4252.68</v>
      </c>
      <c r="N1136" s="77">
        <f>+((L1136*L1141*L1135)+(M1136*M1141*M1135))/(N1141*N1135)</f>
        <v>4260.5857292312339</v>
      </c>
      <c r="O1136" s="3335">
        <v>4259</v>
      </c>
      <c r="P1136" s="2641">
        <f>+((K1136*K1141*K1135)+(M1136*M1141*M1135)+(O1136*O1141*O1135))/(P1141*P1135)</f>
        <v>4259.7704030037758</v>
      </c>
      <c r="Q1136" s="2153">
        <f>+((O1136*O1141*O1135)+(N1136*N1141*N1135))/(Q1141*Q1135)</f>
        <v>4260.307267941721</v>
      </c>
      <c r="R1136" s="3335">
        <v>4251.7</v>
      </c>
      <c r="S1136" s="417">
        <f>+((Q1136*Q1141*Q1135)+(R1136*R1141*R1135))/(S1141*S1135)</f>
        <v>4258.9572570547061</v>
      </c>
      <c r="T1136" s="3335">
        <v>4257.3</v>
      </c>
      <c r="U1136" s="417">
        <f>+((S1136*S1141*S1135)+(T1136*T1141*T1135))/(U1141*U1135)</f>
        <v>4258.7374710004688</v>
      </c>
      <c r="V1136" s="3335">
        <v>4259.21</v>
      </c>
      <c r="W1136" s="423">
        <f>+((R1136*R1141*R1135)+(T1136*T1141*T1135)+(V1136*V1141*V1135))/(W1141*W1135)</f>
        <v>4256.0655551161062</v>
      </c>
      <c r="X1136" s="283">
        <f>+((U1136*U1141*U1135)+(V1136*V1141*V1135))/(X1141*X1135)</f>
        <v>4258.7943384447171</v>
      </c>
      <c r="Y1136" s="3335">
        <v>4254.6400000000003</v>
      </c>
      <c r="Z1136" s="417">
        <f>+((X1136*X1141*X1135)+(Y1136*Y1141*Y1135))/(Z1141*Z1135)</f>
        <v>4258.3636136645482</v>
      </c>
      <c r="AA1136" s="3335">
        <v>4260.71</v>
      </c>
      <c r="AB1136" s="417">
        <f>+((Z1136*Z1141*Z1135)+(AA1136*AA1141*AA1135))/(AB1141*AB1135)</f>
        <v>4258.5724399229812</v>
      </c>
      <c r="AC1136" s="3335">
        <v>4256.8</v>
      </c>
      <c r="AD1136" s="1157">
        <f>+((Y1136*Y1141*Y1135)+(AA1136*AA1141*AA1135)+(AC1136*AC1141*AC1135))/(AD1141*AD1135)</f>
        <v>4257.3198160804186</v>
      </c>
      <c r="AE1136" s="1416">
        <f>+((W1136*W1141*W1135)+(AD1136*AD1141*AD1135))/(AE1141*AE1135)</f>
        <v>4256.6769171417254</v>
      </c>
      <c r="AF1136" s="283">
        <f>+((AB1136*AB1141*AB1135)+(AC1136*AC1141*AC1135))/(AF1141*AF1135)</f>
        <v>4258.4208778002694</v>
      </c>
    </row>
    <row r="1137" spans="1:32" ht="35" customHeight="1" x14ac:dyDescent="0.25">
      <c r="C1137" s="338"/>
      <c r="D1137" s="8427">
        <v>39.020000000000003</v>
      </c>
      <c r="E1137" s="516" t="s">
        <v>402</v>
      </c>
      <c r="F1137" s="3336">
        <v>0</v>
      </c>
      <c r="G1137" s="3336">
        <v>0</v>
      </c>
      <c r="H1137" s="459">
        <f>SUM(F1137:G1137)</f>
        <v>0</v>
      </c>
      <c r="I1137" s="3336">
        <v>0</v>
      </c>
      <c r="J1137" s="270">
        <f>SUM(H1137:I1137)</f>
        <v>0</v>
      </c>
      <c r="K1137" s="3336">
        <v>0</v>
      </c>
      <c r="L1137" s="459">
        <f>SUM(J1137:K1137)</f>
        <v>0</v>
      </c>
      <c r="M1137" s="3336">
        <v>0</v>
      </c>
      <c r="N1137" s="268">
        <f>SUM(L1137:M1137)</f>
        <v>0</v>
      </c>
      <c r="O1137" s="3336">
        <v>0</v>
      </c>
      <c r="P1137" s="1154">
        <f t="shared" ref="P1137:P1139" si="2574">+K1137+M1137+O1137</f>
        <v>0</v>
      </c>
      <c r="Q1137" s="2144">
        <f t="shared" ref="Q1137:Q1139" si="2575">+J1137+P1137</f>
        <v>0</v>
      </c>
      <c r="R1137" s="3336">
        <v>0</v>
      </c>
      <c r="S1137" s="459">
        <f>SUM(Q1137:R1137)</f>
        <v>0</v>
      </c>
      <c r="T1137" s="3336">
        <v>0</v>
      </c>
      <c r="U1137" s="459">
        <f>SUM(S1137:T1137)</f>
        <v>0</v>
      </c>
      <c r="V1137" s="3336">
        <v>0</v>
      </c>
      <c r="W1137" s="398">
        <f t="shared" ref="W1137:W1139" si="2576">+R1137+T1137+V1137</f>
        <v>0</v>
      </c>
      <c r="X1137" s="210">
        <f t="shared" ref="X1137:X1139" si="2577">+U1137+V1137</f>
        <v>0</v>
      </c>
      <c r="Y1137" s="3336">
        <v>0</v>
      </c>
      <c r="Z1137" s="459">
        <f t="shared" ref="Z1137:Z1139" si="2578">SUM(X1137:Y1137)</f>
        <v>0</v>
      </c>
      <c r="AA1137" s="3336">
        <v>0</v>
      </c>
      <c r="AB1137" s="2475">
        <f t="shared" si="2444"/>
        <v>0</v>
      </c>
      <c r="AC1137" s="3336">
        <v>0</v>
      </c>
      <c r="AD1137" s="1291">
        <f t="shared" ref="AD1137:AD1139" si="2579">+Y1137+AA1137+AC1137</f>
        <v>0</v>
      </c>
      <c r="AE1137" s="1292">
        <f t="shared" ref="AE1137:AE1139" si="2580">+W1137+AD1137</f>
        <v>0</v>
      </c>
      <c r="AF1137" s="712">
        <f t="shared" ref="AF1137:AF1139" si="2581">+AB1137+AC1137</f>
        <v>0</v>
      </c>
    </row>
    <row r="1138" spans="1:32" ht="34.5" customHeight="1" x14ac:dyDescent="0.25">
      <c r="C1138" s="338"/>
      <c r="D1138" s="8425"/>
      <c r="E1138" s="516" t="s">
        <v>392</v>
      </c>
      <c r="F1138" s="3337">
        <v>12607.04</v>
      </c>
      <c r="G1138" s="3337">
        <v>14247.21</v>
      </c>
      <c r="H1138" s="296">
        <f>SUM(F1138:G1138)</f>
        <v>26854.25</v>
      </c>
      <c r="I1138" s="3337">
        <v>14966.9</v>
      </c>
      <c r="J1138" s="313">
        <f>SUM(H1138:I1138)</f>
        <v>41821.15</v>
      </c>
      <c r="K1138" s="3337">
        <v>16275.93</v>
      </c>
      <c r="L1138" s="296">
        <f>SUM(J1138:K1138)</f>
        <v>58097.08</v>
      </c>
      <c r="M1138" s="3337">
        <v>16367.85</v>
      </c>
      <c r="N1138" s="122">
        <f>SUM(L1138:M1138)</f>
        <v>74464.930000000008</v>
      </c>
      <c r="O1138" s="3337">
        <v>14901.67</v>
      </c>
      <c r="P1138" s="1154">
        <f t="shared" si="2574"/>
        <v>47545.45</v>
      </c>
      <c r="Q1138" s="2144">
        <f t="shared" si="2575"/>
        <v>89366.6</v>
      </c>
      <c r="R1138" s="3337">
        <v>16036.75</v>
      </c>
      <c r="S1138" s="296">
        <f t="shared" ref="S1138:U1139" si="2582">SUM(Q1138:R1138)</f>
        <v>105403.35</v>
      </c>
      <c r="T1138" s="3337">
        <v>15688.4</v>
      </c>
      <c r="U1138" s="296">
        <f t="shared" si="2582"/>
        <v>121091.75</v>
      </c>
      <c r="V1138" s="3337">
        <v>16198.93</v>
      </c>
      <c r="W1138" s="398">
        <f t="shared" si="2576"/>
        <v>47924.08</v>
      </c>
      <c r="X1138" s="210">
        <f t="shared" si="2577"/>
        <v>137290.68</v>
      </c>
      <c r="Y1138" s="3337">
        <v>16528.009999999998</v>
      </c>
      <c r="Z1138" s="296">
        <f t="shared" si="2578"/>
        <v>153818.69</v>
      </c>
      <c r="AA1138" s="3337">
        <v>15436.85</v>
      </c>
      <c r="AB1138" s="2475">
        <f t="shared" si="2444"/>
        <v>169255.54</v>
      </c>
      <c r="AC1138" s="3337">
        <v>15698.1</v>
      </c>
      <c r="AD1138" s="1291">
        <f t="shared" si="2579"/>
        <v>47662.96</v>
      </c>
      <c r="AE1138" s="1292">
        <f t="shared" si="2580"/>
        <v>95587.040000000008</v>
      </c>
      <c r="AF1138" s="814">
        <f t="shared" si="2581"/>
        <v>184953.64</v>
      </c>
    </row>
    <row r="1139" spans="1:32" ht="35" customHeight="1" thickBot="1" x14ac:dyDescent="0.3">
      <c r="C1139" s="338"/>
      <c r="D1139" s="8425"/>
      <c r="E1139" s="402" t="s">
        <v>393</v>
      </c>
      <c r="F1139" s="3338">
        <v>26273.8</v>
      </c>
      <c r="G1139" s="3338">
        <v>25478.17</v>
      </c>
      <c r="H1139" s="417">
        <f>SUM(F1139:G1139)</f>
        <v>51751.97</v>
      </c>
      <c r="I1139" s="3338">
        <v>28122.9</v>
      </c>
      <c r="J1139" s="316">
        <f>SUM(H1139:I1139)</f>
        <v>79874.87</v>
      </c>
      <c r="K1139" s="3338">
        <v>30714.9</v>
      </c>
      <c r="L1139" s="417">
        <f>SUM(J1139:K1139)</f>
        <v>110589.76999999999</v>
      </c>
      <c r="M1139" s="3338">
        <v>33900.54</v>
      </c>
      <c r="N1139" s="101">
        <f>SUM(L1139:M1139)</f>
        <v>144490.31</v>
      </c>
      <c r="O1139" s="3338">
        <v>31738.01</v>
      </c>
      <c r="P1139" s="1154">
        <f t="shared" si="2574"/>
        <v>96353.45</v>
      </c>
      <c r="Q1139" s="2144">
        <f t="shared" si="2575"/>
        <v>176228.32</v>
      </c>
      <c r="R1139" s="3338">
        <v>33369.800000000003</v>
      </c>
      <c r="S1139" s="432">
        <f t="shared" si="2582"/>
        <v>209598.12</v>
      </c>
      <c r="T1139" s="3338">
        <v>32474.61</v>
      </c>
      <c r="U1139" s="432">
        <f t="shared" si="2582"/>
        <v>242072.72999999998</v>
      </c>
      <c r="V1139" s="3338">
        <v>33486.29</v>
      </c>
      <c r="W1139" s="398">
        <f t="shared" si="2576"/>
        <v>99330.700000000012</v>
      </c>
      <c r="X1139" s="210">
        <f t="shared" si="2577"/>
        <v>275559.01999999996</v>
      </c>
      <c r="Y1139" s="3338">
        <v>31227.91</v>
      </c>
      <c r="Z1139" s="432">
        <f t="shared" si="2578"/>
        <v>306786.92999999993</v>
      </c>
      <c r="AA1139" s="3338">
        <v>29561.439999999999</v>
      </c>
      <c r="AB1139" s="2475">
        <f t="shared" si="2444"/>
        <v>336348.36999999994</v>
      </c>
      <c r="AC1139" s="3338">
        <v>31579</v>
      </c>
      <c r="AD1139" s="1291">
        <f t="shared" si="2579"/>
        <v>92368.35</v>
      </c>
      <c r="AE1139" s="1292">
        <f t="shared" si="2580"/>
        <v>191699.05000000002</v>
      </c>
      <c r="AF1139" s="814">
        <f t="shared" si="2581"/>
        <v>367927.36999999994</v>
      </c>
    </row>
    <row r="1140" spans="1:32" ht="35" customHeight="1" thickBot="1" x14ac:dyDescent="0.3">
      <c r="C1140" s="338"/>
      <c r="D1140" s="8425"/>
      <c r="E1140" s="513" t="s">
        <v>394</v>
      </c>
      <c r="F1140" s="2765">
        <f t="shared" ref="F1140:G1140" si="2583">SUM(F1137:F1139)</f>
        <v>38880.839999999997</v>
      </c>
      <c r="G1140" s="2765">
        <f t="shared" si="2583"/>
        <v>39725.379999999997</v>
      </c>
      <c r="H1140" s="523">
        <f t="shared" ref="H1140:W1140" si="2584">SUM(H1137:H1139)</f>
        <v>78606.22</v>
      </c>
      <c r="I1140" s="2765">
        <f t="shared" si="2584"/>
        <v>43089.8</v>
      </c>
      <c r="J1140" s="557">
        <f t="shared" si="2584"/>
        <v>121696.01999999999</v>
      </c>
      <c r="K1140" s="2765">
        <f t="shared" si="2584"/>
        <v>46990.83</v>
      </c>
      <c r="L1140" s="523">
        <f t="shared" si="2584"/>
        <v>168686.84999999998</v>
      </c>
      <c r="M1140" s="2765">
        <f t="shared" ref="M1140:O1140" si="2585">SUM(M1137:M1139)</f>
        <v>50268.39</v>
      </c>
      <c r="N1140" s="520">
        <f t="shared" si="2584"/>
        <v>218955.24</v>
      </c>
      <c r="O1140" s="2765">
        <f t="shared" si="2585"/>
        <v>46639.68</v>
      </c>
      <c r="P1140" s="1158">
        <f t="shared" si="2584"/>
        <v>143898.9</v>
      </c>
      <c r="Q1140" s="236">
        <f t="shared" si="2584"/>
        <v>265594.92000000004</v>
      </c>
      <c r="R1140" s="2765">
        <f t="shared" si="2584"/>
        <v>49406.55</v>
      </c>
      <c r="S1140" s="250">
        <f>SUM(S1137:S1139)</f>
        <v>315001.46999999997</v>
      </c>
      <c r="T1140" s="2765">
        <f t="shared" ref="T1140" si="2586">SUM(T1137:T1139)</f>
        <v>48163.01</v>
      </c>
      <c r="U1140" s="250">
        <f>SUM(U1137:U1139)</f>
        <v>363164.48</v>
      </c>
      <c r="V1140" s="2765">
        <f t="shared" ref="V1140" si="2587">SUM(V1137:V1139)</f>
        <v>49685.22</v>
      </c>
      <c r="W1140" s="1158">
        <f t="shared" si="2584"/>
        <v>147254.78000000003</v>
      </c>
      <c r="X1140" s="77">
        <f>SUM(X1137:X1139)</f>
        <v>412849.69999999995</v>
      </c>
      <c r="Y1140" s="2765">
        <f t="shared" ref="Y1140" si="2588">SUM(Y1137:Y1139)</f>
        <v>47755.92</v>
      </c>
      <c r="Z1140" s="250">
        <f>SUM(Z1137:Z1139)</f>
        <v>460605.61999999994</v>
      </c>
      <c r="AA1140" s="2765">
        <f t="shared" ref="AA1140" si="2589">SUM(AA1137:AA1139)</f>
        <v>44998.29</v>
      </c>
      <c r="AB1140" s="2475">
        <f t="shared" si="2444"/>
        <v>505603.90999999992</v>
      </c>
      <c r="AC1140" s="2765">
        <f t="shared" ref="AC1140" si="2590">SUM(AC1137:AC1139)</f>
        <v>47277.1</v>
      </c>
      <c r="AD1140" s="1417">
        <f>SUM(AD1137:AD1139)</f>
        <v>140031.31</v>
      </c>
      <c r="AE1140" s="1418">
        <f>SUM(AE1137:AE1139)</f>
        <v>287286.09000000003</v>
      </c>
      <c r="AF1140" s="1004">
        <f>SUM(AF1137:AF1139)</f>
        <v>552881.01</v>
      </c>
    </row>
    <row r="1141" spans="1:32" ht="35" customHeight="1" thickBot="1" x14ac:dyDescent="0.35">
      <c r="C1141" s="338"/>
      <c r="D1141" s="8425"/>
      <c r="E1141" s="292" t="s">
        <v>219</v>
      </c>
      <c r="F1141" s="2286">
        <f>+(F1140/F1135)/24</f>
        <v>54.001166666666656</v>
      </c>
      <c r="G1141" s="2286">
        <f>+(G1140/G1135)/24</f>
        <v>53.394327956989237</v>
      </c>
      <c r="H1141" s="1235">
        <f>+((F1141*24*$F$1135)+(G1141*24*$G$1135))/($H$1135*24)</f>
        <v>53.692773224043719</v>
      </c>
      <c r="I1141" s="2286">
        <f>+(I1140/I1135)/24</f>
        <v>59.846944444444453</v>
      </c>
      <c r="J1141" s="1238">
        <f>+((H1141*24*$H$1135)+(I1141*24*$I$1135))/($J$1135*24)</f>
        <v>55.721620879120884</v>
      </c>
      <c r="K1141" s="2286">
        <f>+(K1140/K1135)/24</f>
        <v>63.159717741935488</v>
      </c>
      <c r="L1141" s="1235">
        <f>+((J1141*$J$1135*24)+(K1141*$K$1135*24))/($L$1135*24)</f>
        <v>57.611629098360666</v>
      </c>
      <c r="M1141" s="2286">
        <f>+(M1140/M1135)/24</f>
        <v>67.565040322580643</v>
      </c>
      <c r="N1141" s="181">
        <f>+((L1141*$L$1135*24)+(M1141*$M$1135*24))/($N$1135*24)</f>
        <v>59.628333333333345</v>
      </c>
      <c r="O1141" s="2286">
        <f>+(O1140/O1135)/24</f>
        <v>64.777333333333331</v>
      </c>
      <c r="P1141" s="269">
        <f>+((K1141*24*$K$1135)+(M1141*24*$M$1135)+(O1141*24*$O$1135))/($P$1135*24)</f>
        <v>65.17160326086956</v>
      </c>
      <c r="Q1141" s="2155">
        <f>+((O1141*24*$O$1135)+(N1141*24*$N$1135))/($Q$1135*24)</f>
        <v>60.47243169398908</v>
      </c>
      <c r="R1141" s="2286">
        <f>+(R1140/R1135)/24</f>
        <v>66.406653225806451</v>
      </c>
      <c r="S1141" s="250">
        <f>+((Q1141*$Q$1135*24)+(R1141*$R$1135*24))/($S$1135*24)</f>
        <v>61.332061915887856</v>
      </c>
      <c r="T1141" s="2286">
        <f>+(T1140/T1135)/24</f>
        <v>66.89306944444445</v>
      </c>
      <c r="U1141" s="250">
        <f>+((S1141*$S$1135*24)+(T1141*$T$1135*24))/($U$1135*24)</f>
        <v>62.01579234972678</v>
      </c>
      <c r="V1141" s="2286">
        <f>+(V1140/V1135)/24</f>
        <v>66.781209677419355</v>
      </c>
      <c r="W1141" s="182">
        <f>+((R1141*24*$R$1135)+(T1141*24*$T$1135)+(V1141*24*$V$1135))/($W$1135*24)</f>
        <v>66.691476449275356</v>
      </c>
      <c r="X1141" s="181">
        <f>+((U1141*$U$1135*24)+(V1141*$V$1135*24))/($X$1135*24)</f>
        <v>62.552984848484861</v>
      </c>
      <c r="Y1141" s="2286">
        <f>+(Y1140/Y1135)/24</f>
        <v>64.188064516129032</v>
      </c>
      <c r="Z1141" s="250">
        <f>+((X1141*$X$1135*24)+(Y1141*$Y$1135*24))/($Z$1135*24)</f>
        <v>62.718630174291953</v>
      </c>
      <c r="AA1141" s="2286">
        <f>+(AA1140/AA1135)/24</f>
        <v>64.65271551724139</v>
      </c>
      <c r="AB1141" s="250">
        <f>+((Z1141*$Z$1135*24)+(AA1141*$AA$1135*24))/($AB$1135*24)</f>
        <v>62.886058457711464</v>
      </c>
      <c r="AC1141" s="2286">
        <f>+(AC1140/AC1135)/24</f>
        <v>63.544489247311823</v>
      </c>
      <c r="AD1141" s="1419">
        <f>+((Y1141*$Y$1135*24)+(AA1141*$AA$1135*24)+(AC1141*$AC$1135*24))/($AD$1135*24)</f>
        <v>64.116900183150179</v>
      </c>
      <c r="AE1141" s="1420">
        <f>+((W1141*$W$1135*24)+(AD1141*$AD$1135*24))/($AE$1135*24)</f>
        <v>65.411222677595617</v>
      </c>
      <c r="AF1141" s="1112">
        <f>+((AB1141*$AB$1135*24)+(AC1141*$AC$1135*24))/($AF$1135*24)</f>
        <v>62.941827185792363</v>
      </c>
    </row>
    <row r="1142" spans="1:32" ht="35" hidden="1" customHeight="1" x14ac:dyDescent="0.3">
      <c r="C1142" s="338"/>
      <c r="D1142" s="8425"/>
      <c r="E1142" s="354" t="s">
        <v>284</v>
      </c>
      <c r="F1142" s="298"/>
      <c r="G1142" s="298"/>
      <c r="H1142" s="2295">
        <f>+((F1142*$F$1135*24)+(G1142*$G$1135*24))/($H$1135*24)</f>
        <v>0</v>
      </c>
      <c r="I1142" s="298"/>
      <c r="J1142" s="351">
        <f>+((F1142*24*$F$1135)+(G1142*24*$G$1135)+(I1142*24*$I$1135))/($J$1135*24)</f>
        <v>0</v>
      </c>
      <c r="K1142" s="298"/>
      <c r="L1142" s="2295">
        <f>+((H1142*$H$1135*24)+(I1142*$I$1135*24))/($L$1135*24)</f>
        <v>0</v>
      </c>
      <c r="M1142" s="298"/>
      <c r="N1142" s="375">
        <f>+((L1142*$L$1135*24)+(M1142*$M$1135*24))/($N$1135*24)</f>
        <v>0</v>
      </c>
      <c r="O1142" s="298"/>
      <c r="P1142" s="1159">
        <f>+((K1142*24*$K$1135)+(M1142*24*$M$1135)+(O1142*24*$O$1135))/($P$1135*24)</f>
        <v>0</v>
      </c>
      <c r="Q1142" s="2136">
        <f>+((O1142*24*$O$1135)+(N1142*24*$N$1135))/($Q$1135*24)</f>
        <v>0</v>
      </c>
      <c r="R1142" s="298"/>
      <c r="S1142" s="2297">
        <f>+((Q1142*$Q$1135*24)+(R1142*$R$1135*24))/($S$1135*24)</f>
        <v>0</v>
      </c>
      <c r="T1142" s="298"/>
      <c r="U1142" s="2297">
        <f>+((S1142*$S$1135*24)+(T1142*$T$1135*24))/($U$1135*24)</f>
        <v>0</v>
      </c>
      <c r="V1142" s="298"/>
      <c r="W1142" s="233">
        <f t="shared" ref="W1142:W1144" si="2591">+((R1142*24*$R$1135)+(T1142*24*$T$1135)+(V1142*24*$V$1135))/($W$1135*24)</f>
        <v>0</v>
      </c>
      <c r="X1142" s="234">
        <f t="shared" ref="X1142:X1144" si="2592">+((U1142*$U$1135*24)+(V1142*$V$1135*24))/($X$1135*24)</f>
        <v>0</v>
      </c>
      <c r="Y1142" s="298"/>
      <c r="Z1142" s="2297">
        <f>+((X1142*$X$1135*24)+(Y1142*$Y$1135*24))/($Z$1135*24)</f>
        <v>0</v>
      </c>
      <c r="AA1142" s="298"/>
      <c r="AB1142" s="2475">
        <f t="shared" si="2444"/>
        <v>0</v>
      </c>
      <c r="AC1142" s="298"/>
      <c r="AD1142" s="233">
        <f>+((Y1142*24*$Y$1135)+(AA1142*24*$AA$1135)+(AC1142*24*$AC$1135))/($AD$1135*24)</f>
        <v>0</v>
      </c>
      <c r="AE1142" s="238">
        <f>+((W1142*$W$1135*24)+(AD1142*$AD$1135*24))/($AE$1135*24)</f>
        <v>0</v>
      </c>
      <c r="AF1142" s="147">
        <f>+((AB1142*$AB$1135*24)+(AC1142*$AC$1135*24))/($AF$1135*24)</f>
        <v>0</v>
      </c>
    </row>
    <row r="1143" spans="1:32" ht="35" customHeight="1" x14ac:dyDescent="0.25">
      <c r="C1143" s="338"/>
      <c r="D1143" s="8425"/>
      <c r="E1143" s="67" t="s">
        <v>407</v>
      </c>
      <c r="F1143" s="3262">
        <v>1995.8</v>
      </c>
      <c r="G1143" s="3262">
        <v>1178.3399999999999</v>
      </c>
      <c r="H1143" s="296">
        <f>SUM(F1143:G1143)</f>
        <v>3174.14</v>
      </c>
      <c r="I1143" s="3262">
        <f>573.96+480.76</f>
        <v>1054.72</v>
      </c>
      <c r="J1143" s="245">
        <f>SUM(H1143:I1143)</f>
        <v>4228.8599999999997</v>
      </c>
      <c r="K1143" s="3262">
        <v>2138.04</v>
      </c>
      <c r="L1143" s="246">
        <f>SUM(J1143:K1143)</f>
        <v>6366.9</v>
      </c>
      <c r="M1143" s="3262">
        <v>319.35000000000002</v>
      </c>
      <c r="N1143" s="68">
        <f>SUM(L1143:M1143)</f>
        <v>6686.25</v>
      </c>
      <c r="O1143" s="3262">
        <v>2566.13</v>
      </c>
      <c r="P1143" s="1160">
        <f t="shared" ref="P1143" si="2593">+K1143+M1143+O1143</f>
        <v>5023.5200000000004</v>
      </c>
      <c r="Q1143" s="2139">
        <f t="shared" ref="Q1143" si="2594">+J1143+P1143</f>
        <v>9252.380000000001</v>
      </c>
      <c r="R1143" s="3262">
        <v>3271.97</v>
      </c>
      <c r="S1143" s="459">
        <f>SUM(Q1143:R1143)</f>
        <v>12524.35</v>
      </c>
      <c r="T1143" s="3262">
        <v>3070.17</v>
      </c>
      <c r="U1143" s="459">
        <f>SUM(S1143:T1143)</f>
        <v>15594.52</v>
      </c>
      <c r="V1143" s="3262">
        <v>3286.24</v>
      </c>
      <c r="W1143" s="315">
        <f t="shared" ref="W1143" si="2595">+R1143+T1143+V1143</f>
        <v>9628.3799999999992</v>
      </c>
      <c r="X1143" s="222">
        <f t="shared" ref="X1143" si="2596">+U1143+V1143</f>
        <v>18880.760000000002</v>
      </c>
      <c r="Y1143" s="3262">
        <v>3081.08</v>
      </c>
      <c r="Z1143" s="459">
        <f>SUM(X1143:Y1143)</f>
        <v>21961.840000000004</v>
      </c>
      <c r="AA1143" s="3262">
        <v>3179.18</v>
      </c>
      <c r="AB1143" s="2475">
        <f t="shared" ref="AB1143:AB1168" si="2597">SUM(Z1143:AA1143)</f>
        <v>25141.020000000004</v>
      </c>
      <c r="AC1143" s="3262">
        <v>3094.56</v>
      </c>
      <c r="AD1143" s="1291">
        <f t="shared" ref="AD1143" si="2598">+Y1143+AA1143+AC1143</f>
        <v>9354.82</v>
      </c>
      <c r="AE1143" s="1292">
        <f t="shared" ref="AE1143" si="2599">+W1143+AD1143</f>
        <v>18983.199999999997</v>
      </c>
      <c r="AF1143" s="814">
        <f t="shared" ref="AF1143" si="2600">+AB1143+AC1143</f>
        <v>28235.580000000005</v>
      </c>
    </row>
    <row r="1144" spans="1:32" ht="35" hidden="1" customHeight="1" x14ac:dyDescent="0.3">
      <c r="C1144" s="338"/>
      <c r="D1144" s="8425"/>
      <c r="E1144" s="189"/>
      <c r="F1144" s="80"/>
      <c r="G1144" s="80"/>
      <c r="H1144" s="246">
        <f>+((F1144*24*$F$1135)+(G1144*24*$G$1135))/($H$1135*24)</f>
        <v>0</v>
      </c>
      <c r="I1144" s="80"/>
      <c r="J1144" s="245">
        <f>+((H1144*24*$H$1135)+(I1144*24*$I$1135))/($J$1135*24)</f>
        <v>0</v>
      </c>
      <c r="K1144" s="80"/>
      <c r="L1144" s="246">
        <f>+((J1144*$J$1135*24)+(K1144*$K$1135*24))/($L$1135*24)</f>
        <v>0</v>
      </c>
      <c r="M1144" s="80"/>
      <c r="N1144" s="68">
        <f>+((L1144*$L$1135*24)+(M1144*$M$1135*24))/($N$1135*24)</f>
        <v>0</v>
      </c>
      <c r="O1144" s="80"/>
      <c r="P1144" s="424">
        <f t="shared" ref="P1144" si="2601">+((K1144*24*$K$1135)+(M1144*24*$M$1135)+(O1144*24*$O$1135))/($P$1135*24)</f>
        <v>0</v>
      </c>
      <c r="Q1144" s="238">
        <f t="shared" ref="Q1144" si="2602">+((O1144*24*$O$1135)+(N1144*24*$N$1135))/($Q$1135*24)</f>
        <v>0</v>
      </c>
      <c r="R1144" s="80"/>
      <c r="S1144" s="246">
        <f>+((Q1144*$Q$1135*24)+(R1144*$R$1135*24))/($S$1135*24)</f>
        <v>0</v>
      </c>
      <c r="T1144" s="80"/>
      <c r="U1144" s="246">
        <f>+((S1144*$S$1135*24)+(T1144*$T$1135*24))/($U$1135*24)</f>
        <v>0</v>
      </c>
      <c r="V1144" s="80"/>
      <c r="W1144" s="69">
        <f t="shared" si="2591"/>
        <v>0</v>
      </c>
      <c r="X1144" s="68">
        <f t="shared" si="2592"/>
        <v>0</v>
      </c>
      <c r="Y1144" s="80"/>
      <c r="Z1144" s="246">
        <f t="shared" ref="Z1144" si="2603">+((X1144*$X$1135*24)+(Y1144*$Y$1135*24))/($Z$1135*24)</f>
        <v>0</v>
      </c>
      <c r="AA1144" s="80"/>
      <c r="AB1144" s="2475">
        <f t="shared" si="2597"/>
        <v>0</v>
      </c>
      <c r="AC1144" s="80"/>
      <c r="AD1144" s="271">
        <f t="shared" ref="AD1144" si="2604">+((Y1144*$Y$1135*24)+(AA1144*$AA$1135*24)+(AC1144*$AC$1135*24))/($AD$1135*24)</f>
        <v>0</v>
      </c>
      <c r="AE1144" s="272">
        <f t="shared" ref="AE1144" si="2605">+((W1144*$W$1135*24)+(AD1144*$AD$1135*24))/($AE$1135*24)</f>
        <v>0</v>
      </c>
      <c r="AF1144" s="147">
        <f t="shared" ref="AF1144" si="2606">+((AB1144*$AB$1135*24)+(AC1144*$AC$1135*24))/($AF$1135*24)</f>
        <v>0</v>
      </c>
    </row>
    <row r="1145" spans="1:32" ht="35" customHeight="1" thickBot="1" x14ac:dyDescent="0.35">
      <c r="C1145" s="338"/>
      <c r="D1145" s="8425"/>
      <c r="E1145" s="192" t="s">
        <v>229</v>
      </c>
      <c r="F1145" s="2766">
        <f t="shared" ref="F1145:G1145" si="2607">+F1143/F1140*100</f>
        <v>5.1331195519438371</v>
      </c>
      <c r="G1145" s="2766">
        <f t="shared" si="2607"/>
        <v>2.9662145459653249</v>
      </c>
      <c r="H1145" s="273">
        <f t="shared" ref="H1145:N1145" si="2608">+H1143/H1140*100</f>
        <v>4.0380265073171051</v>
      </c>
      <c r="I1145" s="2766">
        <f t="shared" si="2608"/>
        <v>2.4477254477857868</v>
      </c>
      <c r="J1145" s="305">
        <f t="shared" si="2608"/>
        <v>3.4749369782183508</v>
      </c>
      <c r="K1145" s="2766">
        <f t="shared" si="2608"/>
        <v>4.5499089928822283</v>
      </c>
      <c r="L1145" s="273">
        <f t="shared" si="2608"/>
        <v>3.7743902384803558</v>
      </c>
      <c r="M1145" s="2766">
        <f t="shared" ref="M1145:O1145" si="2609">+M1143/M1140*100</f>
        <v>0.63528989092350086</v>
      </c>
      <c r="N1145" s="114">
        <f t="shared" si="2608"/>
        <v>3.0537063191545455</v>
      </c>
      <c r="O1145" s="2766">
        <f t="shared" si="2609"/>
        <v>5.5020317463584654</v>
      </c>
      <c r="P1145" s="1161">
        <f t="shared" ref="P1145:U1145" si="2610">+P1143/P1140*100</f>
        <v>3.4910065330589748</v>
      </c>
      <c r="Q1145" s="2164">
        <f t="shared" si="2610"/>
        <v>3.4836434371561018</v>
      </c>
      <c r="R1145" s="2766">
        <f t="shared" si="2610"/>
        <v>6.6225429624209742</v>
      </c>
      <c r="S1145" s="2296">
        <f t="shared" si="2610"/>
        <v>3.9759655724781227</v>
      </c>
      <c r="T1145" s="2766">
        <f t="shared" si="2610"/>
        <v>6.3745392989350131</v>
      </c>
      <c r="U1145" s="2296">
        <f t="shared" si="2610"/>
        <v>4.2940653226879464</v>
      </c>
      <c r="V1145" s="2766">
        <f t="shared" ref="V1145" si="2611">+V1143/V1140*100</f>
        <v>6.6141198529462066</v>
      </c>
      <c r="W1145" s="151">
        <f t="shared" ref="W1145:AF1145" si="2612">+W1143/W1140*100</f>
        <v>6.5385857083892276</v>
      </c>
      <c r="X1145" s="150">
        <f t="shared" si="2612"/>
        <v>4.5732769092480883</v>
      </c>
      <c r="Y1145" s="2766">
        <f t="shared" si="2612"/>
        <v>6.4517236815875396</v>
      </c>
      <c r="Z1145" s="2296">
        <f t="shared" si="2612"/>
        <v>4.7680356136340691</v>
      </c>
      <c r="AA1145" s="2766">
        <f t="shared" ref="AA1145" si="2613">+AA1143/AA1140*100</f>
        <v>7.0651129187353554</v>
      </c>
      <c r="AB1145" s="2296">
        <f t="shared" si="2612"/>
        <v>4.9724734130319543</v>
      </c>
      <c r="AC1145" s="2766">
        <f t="shared" ref="AC1145" si="2614">+AC1143/AC1140*100</f>
        <v>6.5455791493133031</v>
      </c>
      <c r="AD1145" s="1421">
        <f t="shared" si="2612"/>
        <v>6.6805202350817119</v>
      </c>
      <c r="AE1145" s="1363">
        <f t="shared" si="2612"/>
        <v>6.6077685835746509</v>
      </c>
      <c r="AF1145" s="1045">
        <f t="shared" si="2612"/>
        <v>5.1069903811671891</v>
      </c>
    </row>
    <row r="1146" spans="1:32" ht="35" customHeight="1" thickBot="1" x14ac:dyDescent="0.3">
      <c r="C1146" s="338"/>
      <c r="D1146" s="8438"/>
      <c r="E1146" s="180" t="s">
        <v>189</v>
      </c>
      <c r="F1146" s="515">
        <f t="shared" ref="F1146:G1146" si="2615">+F1140-F1143-F1144</f>
        <v>36885.039999999994</v>
      </c>
      <c r="G1146" s="515">
        <f t="shared" si="2615"/>
        <v>38547.040000000001</v>
      </c>
      <c r="H1146" s="521">
        <f t="shared" ref="H1146:R1146" si="2616">+H1140-H1143-H1144</f>
        <v>75432.08</v>
      </c>
      <c r="I1146" s="515">
        <f t="shared" si="2616"/>
        <v>42035.08</v>
      </c>
      <c r="J1146" s="1992">
        <f t="shared" si="2616"/>
        <v>117467.15999999999</v>
      </c>
      <c r="K1146" s="515">
        <f t="shared" si="2616"/>
        <v>44852.79</v>
      </c>
      <c r="L1146" s="521">
        <f t="shared" si="2616"/>
        <v>162319.94999999998</v>
      </c>
      <c r="M1146" s="515">
        <f t="shared" ref="M1146:O1146" si="2617">+M1140-M1143-M1144</f>
        <v>49949.04</v>
      </c>
      <c r="N1146" s="521">
        <f t="shared" si="2616"/>
        <v>212268.99</v>
      </c>
      <c r="O1146" s="515">
        <f t="shared" si="2617"/>
        <v>44073.55</v>
      </c>
      <c r="P1146" s="1162">
        <f t="shared" si="2616"/>
        <v>138875.38</v>
      </c>
      <c r="Q1146" s="2165">
        <f t="shared" si="2616"/>
        <v>256342.54000000004</v>
      </c>
      <c r="R1146" s="515">
        <f t="shared" si="2616"/>
        <v>46134.58</v>
      </c>
      <c r="S1146" s="250">
        <f>+S1140-S1143-S1144</f>
        <v>302477.12</v>
      </c>
      <c r="T1146" s="515">
        <f t="shared" ref="T1146" si="2618">+T1140-T1143-T1144</f>
        <v>45092.840000000004</v>
      </c>
      <c r="U1146" s="250">
        <f>+U1140-U1143-U1144</f>
        <v>347569.95999999996</v>
      </c>
      <c r="V1146" s="515">
        <f t="shared" ref="V1146" si="2619">+V1140-V1143-V1144</f>
        <v>46398.98</v>
      </c>
      <c r="W1146" s="557">
        <f t="shared" ref="W1146" si="2620">+W1140-W1143-W1144</f>
        <v>137626.40000000002</v>
      </c>
      <c r="X1146" s="250">
        <f t="shared" ref="X1146:AB1146" si="2621">+X1140-X1143-X1144</f>
        <v>393968.93999999994</v>
      </c>
      <c r="Y1146" s="515">
        <f t="shared" si="2621"/>
        <v>44674.84</v>
      </c>
      <c r="Z1146" s="250">
        <f t="shared" si="2621"/>
        <v>438643.77999999991</v>
      </c>
      <c r="AA1146" s="515">
        <f t="shared" ref="AA1146" si="2622">+AA1140-AA1143-AA1144</f>
        <v>41819.11</v>
      </c>
      <c r="AB1146" s="250">
        <f t="shared" si="2621"/>
        <v>480462.8899999999</v>
      </c>
      <c r="AC1146" s="515">
        <f t="shared" ref="AC1146" si="2623">+AC1140-AC1143-AC1144</f>
        <v>44182.54</v>
      </c>
      <c r="AD1146" s="704">
        <f t="shared" ref="AD1146" si="2624">+AD1140-AD1143-AD1144</f>
        <v>130676.48999999999</v>
      </c>
      <c r="AE1146" s="775">
        <f t="shared" ref="AE1146:AF1146" si="2625">+AE1140-AE1143-AE1144</f>
        <v>268302.89</v>
      </c>
      <c r="AF1146" s="575">
        <f t="shared" si="2625"/>
        <v>524645.43000000005</v>
      </c>
    </row>
    <row r="1147" spans="1:32" ht="35" customHeight="1" thickBot="1" x14ac:dyDescent="0.35">
      <c r="C1147" s="338"/>
      <c r="D1147"/>
      <c r="E1147" s="136"/>
      <c r="F1147" s="248"/>
      <c r="G1147" s="248"/>
      <c r="H1147" s="3656"/>
      <c r="I1147" s="248"/>
      <c r="J1147" s="3657"/>
      <c r="K1147" s="248"/>
      <c r="L1147" s="3657"/>
      <c r="M1147" s="248"/>
      <c r="N1147" s="2196"/>
      <c r="O1147" s="248"/>
      <c r="P1147" s="2196"/>
      <c r="Q1147" s="2196"/>
      <c r="R1147" s="248"/>
      <c r="S1147" s="2196"/>
      <c r="T1147" s="248"/>
      <c r="U1147" s="2196"/>
      <c r="V1147" s="248"/>
      <c r="W1147" s="136"/>
      <c r="X1147" s="194"/>
      <c r="Y1147" s="248"/>
      <c r="Z1147" s="2196"/>
      <c r="AA1147" s="248"/>
      <c r="AB1147" s="5147"/>
      <c r="AC1147" s="248"/>
      <c r="AD1147" s="267"/>
      <c r="AE1147" s="267"/>
      <c r="AF1147" s="267"/>
    </row>
    <row r="1148" spans="1:32" ht="35" customHeight="1" x14ac:dyDescent="0.25">
      <c r="A1148" s="3"/>
      <c r="C1148" s="338"/>
      <c r="D1148" s="8447">
        <v>39.03</v>
      </c>
      <c r="E1148" s="971" t="s">
        <v>404</v>
      </c>
      <c r="F1148" s="178"/>
      <c r="G1148" s="178"/>
      <c r="H1148" s="3653"/>
      <c r="I1148" s="178"/>
      <c r="J1148" s="3654"/>
      <c r="K1148" s="178"/>
      <c r="L1148" s="3654"/>
      <c r="M1148" s="178"/>
      <c r="N1148" s="190"/>
      <c r="O1148" s="178"/>
      <c r="P1148" s="190"/>
      <c r="Q1148" s="190"/>
      <c r="R1148" s="178"/>
      <c r="S1148" s="190"/>
      <c r="T1148" s="178"/>
      <c r="U1148" s="190"/>
      <c r="V1148" s="178"/>
      <c r="W1148" s="190"/>
      <c r="X1148" s="196"/>
      <c r="Y1148" s="178"/>
      <c r="Z1148" s="190"/>
      <c r="AA1148" s="178"/>
      <c r="AB1148" s="5147"/>
      <c r="AC1148" s="178"/>
      <c r="AD1148" s="178"/>
      <c r="AE1148" s="178"/>
      <c r="AF1148" s="178"/>
    </row>
    <row r="1149" spans="1:32" ht="35" customHeight="1" x14ac:dyDescent="0.25">
      <c r="C1149" s="338"/>
      <c r="D1149" s="8448"/>
      <c r="E1149" s="493" t="s">
        <v>396</v>
      </c>
      <c r="F1149" s="3153">
        <v>0</v>
      </c>
      <c r="G1149" s="3153">
        <v>0</v>
      </c>
      <c r="H1149" s="1813">
        <f>SUM(F1149:G1149)</f>
        <v>0</v>
      </c>
      <c r="I1149" s="3153">
        <v>0</v>
      </c>
      <c r="J1149" s="313">
        <f>SUM(H1149:I1149)</f>
        <v>0</v>
      </c>
      <c r="K1149" s="3153">
        <v>0</v>
      </c>
      <c r="L1149" s="296">
        <f>SUM(J1149:K1149)</f>
        <v>0</v>
      </c>
      <c r="M1149" s="3153">
        <v>2802.5</v>
      </c>
      <c r="N1149" s="122">
        <f>SUM(L1149:M1149)</f>
        <v>2802.5</v>
      </c>
      <c r="O1149" s="3153">
        <v>483.8</v>
      </c>
      <c r="P1149" s="87">
        <f t="shared" ref="P1149:P1168" si="2626">+K1149+M1149+O1149</f>
        <v>3286.3</v>
      </c>
      <c r="Q1149" s="2144">
        <f t="shared" ref="Q1149:Q1168" si="2627">+J1149+P1149</f>
        <v>3286.3</v>
      </c>
      <c r="R1149" s="3153">
        <v>0</v>
      </c>
      <c r="S1149" s="296">
        <f t="shared" ref="S1149:U1168" si="2628">SUM(Q1149:R1149)</f>
        <v>3286.3</v>
      </c>
      <c r="T1149" s="3153">
        <v>0</v>
      </c>
      <c r="U1149" s="296">
        <f t="shared" si="2628"/>
        <v>3286.3</v>
      </c>
      <c r="V1149" s="3153">
        <v>0</v>
      </c>
      <c r="W1149" s="398">
        <f t="shared" ref="W1149" si="2629">+R1149+T1149+V1149</f>
        <v>0</v>
      </c>
      <c r="X1149" s="210">
        <f t="shared" ref="X1149" si="2630">+U1149+V1149</f>
        <v>3286.3</v>
      </c>
      <c r="Y1149" s="3153">
        <v>0</v>
      </c>
      <c r="Z1149" s="296">
        <f t="shared" ref="Z1149:Z1168" si="2631">SUM(X1149:Y1149)</f>
        <v>3286.3</v>
      </c>
      <c r="AA1149" s="3153">
        <v>0</v>
      </c>
      <c r="AB1149" s="2475">
        <f t="shared" si="2597"/>
        <v>3286.3</v>
      </c>
      <c r="AC1149" s="3153">
        <v>0</v>
      </c>
      <c r="AD1149" s="1291">
        <f t="shared" ref="AD1149:AD1168" si="2632">+Y1149+AA1149+AC1149</f>
        <v>0</v>
      </c>
      <c r="AE1149" s="1292">
        <f t="shared" ref="AE1149:AE1168" si="2633">+W1149+AD1149</f>
        <v>0</v>
      </c>
      <c r="AF1149" s="814">
        <f t="shared" ref="AF1149:AF1168" si="2634">+AB1149+AC1149</f>
        <v>3286.3</v>
      </c>
    </row>
    <row r="1150" spans="1:32" ht="35" customHeight="1" x14ac:dyDescent="0.25">
      <c r="C1150" s="338"/>
      <c r="D1150" s="8448"/>
      <c r="E1150" s="493" t="s">
        <v>397</v>
      </c>
      <c r="F1150" s="3153">
        <v>7424.5</v>
      </c>
      <c r="G1150" s="3153">
        <v>8416.24</v>
      </c>
      <c r="H1150" s="1813">
        <f t="shared" ref="H1150:H1168" si="2635">SUM(F1150:G1150)</f>
        <v>15840.74</v>
      </c>
      <c r="I1150" s="3153">
        <v>8746.6</v>
      </c>
      <c r="J1150" s="313">
        <f t="shared" ref="J1150:J1168" si="2636">SUM(H1150:I1150)</f>
        <v>24587.34</v>
      </c>
      <c r="K1150" s="3153">
        <v>9595.0400000000009</v>
      </c>
      <c r="L1150" s="296">
        <f t="shared" ref="L1150:N1168" si="2637">SUM(J1150:K1150)</f>
        <v>34182.380000000005</v>
      </c>
      <c r="M1150" s="3153">
        <v>9634.7000000000007</v>
      </c>
      <c r="N1150" s="122">
        <f t="shared" si="2637"/>
        <v>43817.08</v>
      </c>
      <c r="O1150" s="3153">
        <v>8899.7999999999993</v>
      </c>
      <c r="P1150" s="87">
        <f t="shared" si="2626"/>
        <v>28129.54</v>
      </c>
      <c r="Q1150" s="2144">
        <f t="shared" si="2627"/>
        <v>52716.880000000005</v>
      </c>
      <c r="R1150" s="3153">
        <v>9549.67</v>
      </c>
      <c r="S1150" s="296">
        <f t="shared" si="2628"/>
        <v>62266.55</v>
      </c>
      <c r="T1150" s="3153">
        <v>9293.86</v>
      </c>
      <c r="U1150" s="296">
        <f t="shared" si="2628"/>
        <v>71560.41</v>
      </c>
      <c r="V1150" s="3153">
        <v>9648.84</v>
      </c>
      <c r="W1150" s="398">
        <f t="shared" ref="W1150:W1168" si="2638">+R1150+T1150+V1150</f>
        <v>28492.37</v>
      </c>
      <c r="X1150" s="210">
        <f t="shared" ref="X1150:X1168" si="2639">+U1150+V1150</f>
        <v>81209.25</v>
      </c>
      <c r="Y1150" s="3153">
        <v>9792</v>
      </c>
      <c r="Z1150" s="296">
        <f t="shared" si="2631"/>
        <v>91001.25</v>
      </c>
      <c r="AA1150" s="3153">
        <v>9171.6200000000008</v>
      </c>
      <c r="AB1150" s="2475">
        <f t="shared" si="2597"/>
        <v>100172.87</v>
      </c>
      <c r="AC1150" s="3153">
        <v>9270.6200000000008</v>
      </c>
      <c r="AD1150" s="1291">
        <f t="shared" si="2632"/>
        <v>28234.240000000005</v>
      </c>
      <c r="AE1150" s="1292">
        <f t="shared" si="2633"/>
        <v>56726.61</v>
      </c>
      <c r="AF1150" s="814">
        <f t="shared" si="2634"/>
        <v>109443.48999999999</v>
      </c>
    </row>
    <row r="1151" spans="1:32" ht="35" customHeight="1" x14ac:dyDescent="0.25">
      <c r="C1151" s="338"/>
      <c r="D1151" s="8448"/>
      <c r="E1151" s="135" t="s">
        <v>398</v>
      </c>
      <c r="F1151" s="3153">
        <v>7184.88</v>
      </c>
      <c r="G1151" s="3153">
        <v>7086</v>
      </c>
      <c r="H1151" s="1813">
        <f t="shared" si="2635"/>
        <v>14270.880000000001</v>
      </c>
      <c r="I1151" s="3153">
        <v>5699.5</v>
      </c>
      <c r="J1151" s="313">
        <f t="shared" si="2636"/>
        <v>19970.38</v>
      </c>
      <c r="K1151" s="3153">
        <v>5527.44</v>
      </c>
      <c r="L1151" s="296">
        <f t="shared" si="2637"/>
        <v>25497.82</v>
      </c>
      <c r="M1151" s="3153">
        <v>8667.84</v>
      </c>
      <c r="N1151" s="122">
        <f t="shared" si="2637"/>
        <v>34165.660000000003</v>
      </c>
      <c r="O1151" s="3153">
        <v>8413.68</v>
      </c>
      <c r="P1151" s="87">
        <f t="shared" si="2626"/>
        <v>22608.959999999999</v>
      </c>
      <c r="Q1151" s="2144">
        <f t="shared" si="2627"/>
        <v>42579.34</v>
      </c>
      <c r="R1151" s="3153">
        <v>8613.84</v>
      </c>
      <c r="S1151" s="296">
        <f t="shared" si="2628"/>
        <v>51193.179999999993</v>
      </c>
      <c r="T1151" s="3153">
        <v>8206.08</v>
      </c>
      <c r="U1151" s="296">
        <f t="shared" si="2628"/>
        <v>59399.259999999995</v>
      </c>
      <c r="V1151" s="3153">
        <v>8174.4</v>
      </c>
      <c r="W1151" s="398">
        <f t="shared" si="2638"/>
        <v>24994.32</v>
      </c>
      <c r="X1151" s="210">
        <f t="shared" si="2639"/>
        <v>67573.659999999989</v>
      </c>
      <c r="Y1151" s="3153">
        <v>7104.24</v>
      </c>
      <c r="Z1151" s="296">
        <f t="shared" si="2631"/>
        <v>74677.899999999994</v>
      </c>
      <c r="AA1151" s="3153">
        <v>7101.12</v>
      </c>
      <c r="AB1151" s="2475">
        <f t="shared" si="2597"/>
        <v>81779.01999999999</v>
      </c>
      <c r="AC1151" s="3153">
        <v>8132.4</v>
      </c>
      <c r="AD1151" s="1291">
        <f t="shared" si="2632"/>
        <v>22337.760000000002</v>
      </c>
      <c r="AE1151" s="1292">
        <f t="shared" si="2633"/>
        <v>47332.08</v>
      </c>
      <c r="AF1151" s="814">
        <f t="shared" si="2634"/>
        <v>89911.419999999984</v>
      </c>
    </row>
    <row r="1152" spans="1:32" ht="35" customHeight="1" x14ac:dyDescent="0.25">
      <c r="C1152" s="338"/>
      <c r="D1152" s="8448"/>
      <c r="E1152" s="145" t="s">
        <v>190</v>
      </c>
      <c r="F1152" s="3153">
        <v>0</v>
      </c>
      <c r="G1152" s="3153">
        <v>0</v>
      </c>
      <c r="H1152" s="1813">
        <f t="shared" si="2635"/>
        <v>0</v>
      </c>
      <c r="I1152" s="3153">
        <v>0</v>
      </c>
      <c r="J1152" s="313">
        <f t="shared" si="2636"/>
        <v>0</v>
      </c>
      <c r="K1152" s="3153">
        <v>0</v>
      </c>
      <c r="L1152" s="296">
        <f t="shared" si="2637"/>
        <v>0</v>
      </c>
      <c r="M1152" s="3153">
        <v>0</v>
      </c>
      <c r="N1152" s="122">
        <f t="shared" si="2637"/>
        <v>0</v>
      </c>
      <c r="O1152" s="3153">
        <v>0</v>
      </c>
      <c r="P1152" s="87">
        <f t="shared" si="2626"/>
        <v>0</v>
      </c>
      <c r="Q1152" s="2144">
        <f t="shared" si="2627"/>
        <v>0</v>
      </c>
      <c r="R1152" s="3153">
        <v>0</v>
      </c>
      <c r="S1152" s="296">
        <f t="shared" si="2628"/>
        <v>0</v>
      </c>
      <c r="T1152" s="3153">
        <v>0</v>
      </c>
      <c r="U1152" s="296">
        <f t="shared" si="2628"/>
        <v>0</v>
      </c>
      <c r="V1152" s="3153">
        <v>0</v>
      </c>
      <c r="W1152" s="398">
        <f t="shared" si="2638"/>
        <v>0</v>
      </c>
      <c r="X1152" s="210">
        <f t="shared" si="2639"/>
        <v>0</v>
      </c>
      <c r="Y1152" s="3153">
        <v>0</v>
      </c>
      <c r="Z1152" s="296">
        <f t="shared" si="2631"/>
        <v>0</v>
      </c>
      <c r="AA1152" s="3153">
        <v>0</v>
      </c>
      <c r="AB1152" s="2475">
        <f t="shared" si="2597"/>
        <v>0</v>
      </c>
      <c r="AC1152" s="3153">
        <v>0</v>
      </c>
      <c r="AD1152" s="1291">
        <f t="shared" si="2632"/>
        <v>0</v>
      </c>
      <c r="AE1152" s="1292">
        <f t="shared" si="2633"/>
        <v>0</v>
      </c>
      <c r="AF1152" s="814">
        <f t="shared" si="2634"/>
        <v>0</v>
      </c>
    </row>
    <row r="1153" spans="3:32" ht="35" customHeight="1" x14ac:dyDescent="0.25">
      <c r="C1153" s="338"/>
      <c r="D1153" s="8448"/>
      <c r="E1153" s="145" t="s">
        <v>191</v>
      </c>
      <c r="F1153" s="3153">
        <v>0</v>
      </c>
      <c r="G1153" s="3153">
        <v>0</v>
      </c>
      <c r="H1153" s="1813">
        <f t="shared" si="2635"/>
        <v>0</v>
      </c>
      <c r="I1153" s="3153">
        <v>0</v>
      </c>
      <c r="J1153" s="313">
        <f t="shared" si="2636"/>
        <v>0</v>
      </c>
      <c r="K1153" s="3153">
        <v>0</v>
      </c>
      <c r="L1153" s="296">
        <f t="shared" si="2637"/>
        <v>0</v>
      </c>
      <c r="M1153" s="3153">
        <v>0</v>
      </c>
      <c r="N1153" s="122">
        <f t="shared" si="2637"/>
        <v>0</v>
      </c>
      <c r="O1153" s="3153">
        <v>0</v>
      </c>
      <c r="P1153" s="87">
        <f t="shared" si="2626"/>
        <v>0</v>
      </c>
      <c r="Q1153" s="2144">
        <f t="shared" si="2627"/>
        <v>0</v>
      </c>
      <c r="R1153" s="3153">
        <v>0</v>
      </c>
      <c r="S1153" s="296">
        <f t="shared" si="2628"/>
        <v>0</v>
      </c>
      <c r="T1153" s="3153">
        <v>0</v>
      </c>
      <c r="U1153" s="296">
        <f t="shared" si="2628"/>
        <v>0</v>
      </c>
      <c r="V1153" s="3153">
        <v>0</v>
      </c>
      <c r="W1153" s="398">
        <f t="shared" si="2638"/>
        <v>0</v>
      </c>
      <c r="X1153" s="210">
        <f t="shared" si="2639"/>
        <v>0</v>
      </c>
      <c r="Y1153" s="3153">
        <v>0</v>
      </c>
      <c r="Z1153" s="296">
        <f t="shared" si="2631"/>
        <v>0</v>
      </c>
      <c r="AA1153" s="3153">
        <v>0</v>
      </c>
      <c r="AB1153" s="2475">
        <f t="shared" si="2597"/>
        <v>0</v>
      </c>
      <c r="AC1153" s="3153">
        <v>0</v>
      </c>
      <c r="AD1153" s="1291">
        <f t="shared" si="2632"/>
        <v>0</v>
      </c>
      <c r="AE1153" s="1292">
        <f t="shared" si="2633"/>
        <v>0</v>
      </c>
      <c r="AF1153" s="814">
        <f t="shared" si="2634"/>
        <v>0</v>
      </c>
    </row>
    <row r="1154" spans="3:32" ht="35" customHeight="1" x14ac:dyDescent="0.25">
      <c r="C1154" s="338"/>
      <c r="D1154" s="8448"/>
      <c r="E1154" s="145" t="s">
        <v>285</v>
      </c>
      <c r="F1154" s="3153">
        <v>3274.32</v>
      </c>
      <c r="G1154" s="3153">
        <v>4033.2</v>
      </c>
      <c r="H1154" s="1813">
        <f t="shared" si="2635"/>
        <v>7307.52</v>
      </c>
      <c r="I1154" s="3153">
        <v>3974.9</v>
      </c>
      <c r="J1154" s="313">
        <f t="shared" si="2636"/>
        <v>11282.42</v>
      </c>
      <c r="K1154" s="3153">
        <v>4226.3999999999996</v>
      </c>
      <c r="L1154" s="296">
        <f t="shared" si="2637"/>
        <v>15508.82</v>
      </c>
      <c r="M1154" s="3153">
        <v>4474.8</v>
      </c>
      <c r="N1154" s="122">
        <f t="shared" si="2637"/>
        <v>19983.62</v>
      </c>
      <c r="O1154" s="3153">
        <v>3549.6</v>
      </c>
      <c r="P1154" s="87">
        <f t="shared" si="2626"/>
        <v>12250.800000000001</v>
      </c>
      <c r="Q1154" s="2144">
        <f t="shared" si="2627"/>
        <v>23533.22</v>
      </c>
      <c r="R1154" s="3153">
        <v>3773.52</v>
      </c>
      <c r="S1154" s="296">
        <f t="shared" si="2628"/>
        <v>27306.74</v>
      </c>
      <c r="T1154" s="3153">
        <v>3970.8</v>
      </c>
      <c r="U1154" s="296">
        <f t="shared" si="2628"/>
        <v>31277.54</v>
      </c>
      <c r="V1154" s="3153">
        <v>4242.72</v>
      </c>
      <c r="W1154" s="398">
        <f t="shared" si="2638"/>
        <v>11987.04</v>
      </c>
      <c r="X1154" s="210">
        <f t="shared" si="2639"/>
        <v>35520.26</v>
      </c>
      <c r="Y1154" s="3153">
        <v>3917.28</v>
      </c>
      <c r="Z1154" s="296">
        <f t="shared" si="2631"/>
        <v>39437.54</v>
      </c>
      <c r="AA1154" s="3153">
        <v>3719.52</v>
      </c>
      <c r="AB1154" s="2475">
        <f t="shared" si="2597"/>
        <v>43157.06</v>
      </c>
      <c r="AC1154" s="3153">
        <v>3886.8</v>
      </c>
      <c r="AD1154" s="1291">
        <f t="shared" si="2632"/>
        <v>11523.6</v>
      </c>
      <c r="AE1154" s="1292">
        <f t="shared" si="2633"/>
        <v>23510.639999999999</v>
      </c>
      <c r="AF1154" s="814">
        <f t="shared" si="2634"/>
        <v>47043.86</v>
      </c>
    </row>
    <row r="1155" spans="3:32" ht="35" customHeight="1" x14ac:dyDescent="0.25">
      <c r="C1155" s="338"/>
      <c r="D1155" s="8448"/>
      <c r="E1155" s="145" t="s">
        <v>587</v>
      </c>
      <c r="F1155" s="3153">
        <v>0</v>
      </c>
      <c r="G1155" s="3153">
        <v>0</v>
      </c>
      <c r="H1155" s="1813">
        <f t="shared" ref="H1155" si="2640">SUM(F1155:G1155)</f>
        <v>0</v>
      </c>
      <c r="I1155" s="3153">
        <v>0</v>
      </c>
      <c r="J1155" s="313">
        <f t="shared" ref="J1155" si="2641">SUM(H1155:I1155)</f>
        <v>0</v>
      </c>
      <c r="K1155" s="3153">
        <v>0</v>
      </c>
      <c r="L1155" s="296">
        <f t="shared" ref="L1155" si="2642">SUM(J1155:K1155)</f>
        <v>0</v>
      </c>
      <c r="M1155" s="3153">
        <v>0</v>
      </c>
      <c r="N1155" s="122">
        <f t="shared" ref="N1155" si="2643">SUM(L1155:M1155)</f>
        <v>0</v>
      </c>
      <c r="O1155" s="3153">
        <v>0</v>
      </c>
      <c r="P1155" s="87">
        <f t="shared" ref="P1155" si="2644">+K1155+M1155+O1155</f>
        <v>0</v>
      </c>
      <c r="Q1155" s="2144">
        <f t="shared" ref="Q1155" si="2645">+J1155+P1155</f>
        <v>0</v>
      </c>
      <c r="R1155" s="3153">
        <v>0</v>
      </c>
      <c r="S1155" s="296">
        <f t="shared" ref="S1155" si="2646">SUM(Q1155:R1155)</f>
        <v>0</v>
      </c>
      <c r="T1155" s="3153">
        <v>0</v>
      </c>
      <c r="U1155" s="296">
        <f t="shared" ref="U1155" si="2647">SUM(S1155:T1155)</f>
        <v>0</v>
      </c>
      <c r="V1155" s="3153">
        <v>0</v>
      </c>
      <c r="W1155" s="398">
        <f t="shared" ref="W1155" si="2648">+R1155+T1155+V1155</f>
        <v>0</v>
      </c>
      <c r="X1155" s="210">
        <f t="shared" ref="X1155" si="2649">+U1155+V1155</f>
        <v>0</v>
      </c>
      <c r="Y1155" s="3153">
        <v>0</v>
      </c>
      <c r="Z1155" s="296">
        <f t="shared" ref="Z1155" si="2650">SUM(X1155:Y1155)</f>
        <v>0</v>
      </c>
      <c r="AA1155" s="3153">
        <v>0</v>
      </c>
      <c r="AB1155" s="2475">
        <f t="shared" si="2597"/>
        <v>0</v>
      </c>
      <c r="AC1155" s="3153">
        <v>0</v>
      </c>
      <c r="AD1155" s="1291">
        <f t="shared" si="2632"/>
        <v>0</v>
      </c>
      <c r="AE1155" s="1292">
        <f t="shared" si="2633"/>
        <v>0</v>
      </c>
      <c r="AF1155" s="814">
        <f t="shared" si="2634"/>
        <v>0</v>
      </c>
    </row>
    <row r="1156" spans="3:32" ht="35" customHeight="1" x14ac:dyDescent="0.25">
      <c r="C1156" s="338"/>
      <c r="D1156" s="8448"/>
      <c r="E1156" s="145" t="s">
        <v>399</v>
      </c>
      <c r="F1156" s="3153">
        <v>0</v>
      </c>
      <c r="G1156" s="3153">
        <v>0</v>
      </c>
      <c r="H1156" s="1813">
        <f t="shared" si="2635"/>
        <v>0</v>
      </c>
      <c r="I1156" s="3153">
        <v>0</v>
      </c>
      <c r="J1156" s="313">
        <f t="shared" si="2636"/>
        <v>0</v>
      </c>
      <c r="K1156" s="3153">
        <v>0</v>
      </c>
      <c r="L1156" s="296">
        <f t="shared" si="2637"/>
        <v>0</v>
      </c>
      <c r="M1156" s="3153">
        <v>0</v>
      </c>
      <c r="N1156" s="122">
        <f t="shared" si="2637"/>
        <v>0</v>
      </c>
      <c r="O1156" s="3153">
        <v>0</v>
      </c>
      <c r="P1156" s="87">
        <f t="shared" si="2626"/>
        <v>0</v>
      </c>
      <c r="Q1156" s="2144">
        <f t="shared" si="2627"/>
        <v>0</v>
      </c>
      <c r="R1156" s="3153">
        <v>0</v>
      </c>
      <c r="S1156" s="296">
        <f t="shared" si="2628"/>
        <v>0</v>
      </c>
      <c r="T1156" s="3153">
        <v>0</v>
      </c>
      <c r="U1156" s="296">
        <f t="shared" si="2628"/>
        <v>0</v>
      </c>
      <c r="V1156" s="3153">
        <v>0</v>
      </c>
      <c r="W1156" s="398">
        <f t="shared" si="2638"/>
        <v>0</v>
      </c>
      <c r="X1156" s="210">
        <f t="shared" si="2639"/>
        <v>0</v>
      </c>
      <c r="Y1156" s="3153">
        <v>0</v>
      </c>
      <c r="Z1156" s="296">
        <f t="shared" si="2631"/>
        <v>0</v>
      </c>
      <c r="AA1156" s="3153">
        <v>0</v>
      </c>
      <c r="AB1156" s="2475">
        <f t="shared" si="2597"/>
        <v>0</v>
      </c>
      <c r="AC1156" s="3153">
        <v>0</v>
      </c>
      <c r="AD1156" s="1291">
        <f t="shared" si="2632"/>
        <v>0</v>
      </c>
      <c r="AE1156" s="1292">
        <f t="shared" si="2633"/>
        <v>0</v>
      </c>
      <c r="AF1156" s="814">
        <f t="shared" si="2634"/>
        <v>0</v>
      </c>
    </row>
    <row r="1157" spans="3:32" ht="35" customHeight="1" x14ac:dyDescent="0.25">
      <c r="C1157" s="338"/>
      <c r="D1157" s="8448"/>
      <c r="E1157" s="145" t="s">
        <v>400</v>
      </c>
      <c r="F1157" s="3153">
        <v>3002.93</v>
      </c>
      <c r="G1157" s="3153">
        <v>3075.1</v>
      </c>
      <c r="H1157" s="1813">
        <f t="shared" si="2635"/>
        <v>6078.03</v>
      </c>
      <c r="I1157" s="3153">
        <v>2777.8</v>
      </c>
      <c r="J1157" s="313">
        <f t="shared" si="2636"/>
        <v>8855.83</v>
      </c>
      <c r="K1157" s="3153">
        <v>2952.8</v>
      </c>
      <c r="L1157" s="296">
        <f t="shared" si="2637"/>
        <v>11808.630000000001</v>
      </c>
      <c r="M1157" s="3153">
        <v>2798.8</v>
      </c>
      <c r="N1157" s="122">
        <f t="shared" si="2637"/>
        <v>14607.43</v>
      </c>
      <c r="O1157" s="3153">
        <v>2844.5</v>
      </c>
      <c r="P1157" s="87">
        <f t="shared" si="2626"/>
        <v>8596.1</v>
      </c>
      <c r="Q1157" s="2144">
        <f t="shared" si="2627"/>
        <v>17451.93</v>
      </c>
      <c r="R1157" s="3153">
        <v>3150.78</v>
      </c>
      <c r="S1157" s="296">
        <f t="shared" si="2628"/>
        <v>20602.71</v>
      </c>
      <c r="T1157" s="3153">
        <v>3026.45</v>
      </c>
      <c r="U1157" s="296">
        <f t="shared" si="2628"/>
        <v>23629.16</v>
      </c>
      <c r="V1157" s="3153">
        <v>3061.71</v>
      </c>
      <c r="W1157" s="398">
        <f t="shared" si="2638"/>
        <v>9238.9399999999987</v>
      </c>
      <c r="X1157" s="210">
        <f t="shared" si="2639"/>
        <v>26690.87</v>
      </c>
      <c r="Y1157" s="3153">
        <v>3175.16</v>
      </c>
      <c r="Z1157" s="296">
        <f t="shared" si="2631"/>
        <v>29866.03</v>
      </c>
      <c r="AA1157" s="3153">
        <v>2935.76</v>
      </c>
      <c r="AB1157" s="2475">
        <f t="shared" si="2597"/>
        <v>32801.79</v>
      </c>
      <c r="AC1157" s="3153">
        <v>3130.86</v>
      </c>
      <c r="AD1157" s="1291">
        <f t="shared" si="2632"/>
        <v>9241.7800000000007</v>
      </c>
      <c r="AE1157" s="1292">
        <f t="shared" si="2633"/>
        <v>18480.72</v>
      </c>
      <c r="AF1157" s="814">
        <f t="shared" si="2634"/>
        <v>35932.65</v>
      </c>
    </row>
    <row r="1158" spans="3:32" ht="35" customHeight="1" x14ac:dyDescent="0.25">
      <c r="C1158" s="338"/>
      <c r="D1158" s="8448"/>
      <c r="E1158" s="145" t="s">
        <v>286</v>
      </c>
      <c r="F1158" s="3153">
        <v>9582.93</v>
      </c>
      <c r="G1158" s="3153">
        <v>10242.66</v>
      </c>
      <c r="H1158" s="1813">
        <f t="shared" si="2635"/>
        <v>19825.59</v>
      </c>
      <c r="I1158" s="3153">
        <v>10738.4</v>
      </c>
      <c r="J1158" s="313">
        <f t="shared" si="2636"/>
        <v>30563.989999999998</v>
      </c>
      <c r="K1158" s="3153">
        <v>12069.28</v>
      </c>
      <c r="L1158" s="296">
        <f t="shared" si="2637"/>
        <v>42633.27</v>
      </c>
      <c r="M1158" s="3153">
        <v>10614.1</v>
      </c>
      <c r="N1158" s="122">
        <f t="shared" si="2637"/>
        <v>53247.369999999995</v>
      </c>
      <c r="O1158" s="3153">
        <v>10660.88</v>
      </c>
      <c r="P1158" s="87">
        <f t="shared" si="2626"/>
        <v>33344.26</v>
      </c>
      <c r="Q1158" s="2144">
        <f t="shared" si="2627"/>
        <v>63908.25</v>
      </c>
      <c r="R1158" s="3153">
        <v>11243.17</v>
      </c>
      <c r="S1158" s="296">
        <f t="shared" si="2628"/>
        <v>75151.42</v>
      </c>
      <c r="T1158" s="3153">
        <v>10730.78</v>
      </c>
      <c r="U1158" s="296">
        <f t="shared" si="2628"/>
        <v>85882.2</v>
      </c>
      <c r="V1158" s="3153">
        <v>11081.76</v>
      </c>
      <c r="W1158" s="398">
        <f t="shared" si="2638"/>
        <v>33055.71</v>
      </c>
      <c r="X1158" s="210">
        <f t="shared" si="2639"/>
        <v>96963.959999999992</v>
      </c>
      <c r="Y1158" s="3153">
        <v>11196.29</v>
      </c>
      <c r="Z1158" s="296">
        <f t="shared" si="2631"/>
        <v>108160.25</v>
      </c>
      <c r="AA1158" s="3153">
        <v>9879.7999999999993</v>
      </c>
      <c r="AB1158" s="2475">
        <f t="shared" si="2597"/>
        <v>118040.05</v>
      </c>
      <c r="AC1158" s="3153">
        <v>10378.719999999999</v>
      </c>
      <c r="AD1158" s="1291">
        <f t="shared" si="2632"/>
        <v>31454.809999999998</v>
      </c>
      <c r="AE1158" s="1292">
        <f t="shared" si="2633"/>
        <v>64510.52</v>
      </c>
      <c r="AF1158" s="814">
        <f t="shared" si="2634"/>
        <v>128418.77</v>
      </c>
    </row>
    <row r="1159" spans="3:32" ht="35" customHeight="1" x14ac:dyDescent="0.25">
      <c r="C1159" s="338"/>
      <c r="D1159" s="8448"/>
      <c r="E1159" s="145" t="s">
        <v>192</v>
      </c>
      <c r="F1159" s="3153">
        <v>1120.32</v>
      </c>
      <c r="G1159" s="3153">
        <v>1557.12</v>
      </c>
      <c r="H1159" s="1813">
        <f t="shared" si="2635"/>
        <v>2677.4399999999996</v>
      </c>
      <c r="I1159" s="3153">
        <v>2017.2</v>
      </c>
      <c r="J1159" s="313">
        <f t="shared" si="2636"/>
        <v>4694.6399999999994</v>
      </c>
      <c r="K1159" s="3153">
        <v>2443.6799999999998</v>
      </c>
      <c r="L1159" s="296">
        <f t="shared" si="2637"/>
        <v>7138.32</v>
      </c>
      <c r="M1159" s="3153">
        <v>2263.6799999999998</v>
      </c>
      <c r="N1159" s="122">
        <f t="shared" si="2637"/>
        <v>9402</v>
      </c>
      <c r="O1159" s="3153">
        <v>1984.32</v>
      </c>
      <c r="P1159" s="87">
        <f t="shared" si="2626"/>
        <v>6691.6799999999994</v>
      </c>
      <c r="Q1159" s="2144">
        <f t="shared" si="2627"/>
        <v>11386.32</v>
      </c>
      <c r="R1159" s="3153">
        <v>2201.2800000000002</v>
      </c>
      <c r="S1159" s="296">
        <f t="shared" si="2628"/>
        <v>13587.6</v>
      </c>
      <c r="T1159" s="3153">
        <v>2170.8000000000002</v>
      </c>
      <c r="U1159" s="296">
        <f t="shared" si="2628"/>
        <v>15758.400000000001</v>
      </c>
      <c r="V1159" s="3153">
        <v>2222.88</v>
      </c>
      <c r="W1159" s="398">
        <f t="shared" si="2638"/>
        <v>6594.96</v>
      </c>
      <c r="X1159" s="210">
        <f t="shared" si="2639"/>
        <v>17981.280000000002</v>
      </c>
      <c r="Y1159" s="3153">
        <v>2142.96</v>
      </c>
      <c r="Z1159" s="296">
        <f t="shared" si="2631"/>
        <v>20124.240000000002</v>
      </c>
      <c r="AA1159" s="3153">
        <v>1931.76</v>
      </c>
      <c r="AB1159" s="2475">
        <f t="shared" si="2597"/>
        <v>22056</v>
      </c>
      <c r="AC1159" s="3153">
        <v>1880.4</v>
      </c>
      <c r="AD1159" s="1291">
        <f t="shared" si="2632"/>
        <v>5955.1200000000008</v>
      </c>
      <c r="AE1159" s="1292">
        <f t="shared" si="2633"/>
        <v>12550.080000000002</v>
      </c>
      <c r="AF1159" s="814">
        <f t="shared" si="2634"/>
        <v>23936.400000000001</v>
      </c>
    </row>
    <row r="1160" spans="3:32" ht="35" customHeight="1" x14ac:dyDescent="0.25">
      <c r="C1160" s="338"/>
      <c r="D1160" s="8448"/>
      <c r="E1160" s="145" t="s">
        <v>193</v>
      </c>
      <c r="F1160" s="3153">
        <v>386.88</v>
      </c>
      <c r="G1160" s="3153">
        <v>572.4</v>
      </c>
      <c r="H1160" s="1813">
        <f t="shared" si="2635"/>
        <v>959.28</v>
      </c>
      <c r="I1160" s="3153">
        <v>813.1</v>
      </c>
      <c r="J1160" s="313">
        <f t="shared" si="2636"/>
        <v>1772.38</v>
      </c>
      <c r="K1160" s="3153">
        <v>1084.08</v>
      </c>
      <c r="L1160" s="296">
        <f t="shared" si="2637"/>
        <v>2856.46</v>
      </c>
      <c r="M1160" s="3153">
        <v>823.68</v>
      </c>
      <c r="N1160" s="122">
        <f t="shared" si="2637"/>
        <v>3680.14</v>
      </c>
      <c r="O1160" s="3153">
        <v>720</v>
      </c>
      <c r="P1160" s="87">
        <f t="shared" si="2626"/>
        <v>2627.7599999999998</v>
      </c>
      <c r="Q1160" s="2144">
        <f t="shared" si="2627"/>
        <v>4400.1399999999994</v>
      </c>
      <c r="R1160" s="3153">
        <v>755.04</v>
      </c>
      <c r="S1160" s="296">
        <f t="shared" si="2628"/>
        <v>5155.1799999999994</v>
      </c>
      <c r="T1160" s="3153">
        <v>720</v>
      </c>
      <c r="U1160" s="296">
        <f t="shared" si="2628"/>
        <v>5875.1799999999994</v>
      </c>
      <c r="V1160" s="3153">
        <v>744</v>
      </c>
      <c r="W1160" s="398">
        <f t="shared" si="2638"/>
        <v>2219.04</v>
      </c>
      <c r="X1160" s="210">
        <f t="shared" si="2639"/>
        <v>6619.1799999999994</v>
      </c>
      <c r="Y1160" s="3153">
        <v>732.24</v>
      </c>
      <c r="Z1160" s="296">
        <f t="shared" si="2631"/>
        <v>7351.4199999999992</v>
      </c>
      <c r="AA1160" s="3153">
        <v>737.76</v>
      </c>
      <c r="AB1160" s="2475">
        <f t="shared" si="2597"/>
        <v>8089.1799999999994</v>
      </c>
      <c r="AC1160" s="3153">
        <v>717.84</v>
      </c>
      <c r="AD1160" s="1291">
        <f t="shared" si="2632"/>
        <v>2187.84</v>
      </c>
      <c r="AE1160" s="1292">
        <f t="shared" si="2633"/>
        <v>4406.88</v>
      </c>
      <c r="AF1160" s="814">
        <f t="shared" si="2634"/>
        <v>8807.0199999999986</v>
      </c>
    </row>
    <row r="1161" spans="3:32" ht="35" customHeight="1" x14ac:dyDescent="0.25">
      <c r="C1161" s="338"/>
      <c r="D1161" s="8448"/>
      <c r="E1161" s="145" t="s">
        <v>194</v>
      </c>
      <c r="F1161" s="3153">
        <v>19.940000000000001</v>
      </c>
      <c r="G1161" s="3153">
        <v>397.93</v>
      </c>
      <c r="H1161" s="1813">
        <f t="shared" si="2635"/>
        <v>417.87</v>
      </c>
      <c r="I1161" s="3153">
        <v>1291.5999999999999</v>
      </c>
      <c r="J1161" s="313">
        <f t="shared" si="2636"/>
        <v>1709.4699999999998</v>
      </c>
      <c r="K1161" s="3153">
        <v>841.31</v>
      </c>
      <c r="L1161" s="296">
        <f t="shared" si="2637"/>
        <v>2550.7799999999997</v>
      </c>
      <c r="M1161" s="3153">
        <v>0</v>
      </c>
      <c r="N1161" s="122">
        <f t="shared" si="2637"/>
        <v>2550.7799999999997</v>
      </c>
      <c r="O1161" s="3153">
        <v>0</v>
      </c>
      <c r="P1161" s="87">
        <f t="shared" si="2626"/>
        <v>841.31</v>
      </c>
      <c r="Q1161" s="2144">
        <f t="shared" si="2627"/>
        <v>2550.7799999999997</v>
      </c>
      <c r="R1161" s="3153">
        <v>0</v>
      </c>
      <c r="S1161" s="296">
        <f t="shared" si="2628"/>
        <v>2550.7799999999997</v>
      </c>
      <c r="T1161" s="3153">
        <v>0</v>
      </c>
      <c r="U1161" s="296">
        <f t="shared" si="2628"/>
        <v>2550.7799999999997</v>
      </c>
      <c r="V1161" s="3153">
        <v>0</v>
      </c>
      <c r="W1161" s="398">
        <f t="shared" si="2638"/>
        <v>0</v>
      </c>
      <c r="X1161" s="210">
        <f t="shared" si="2639"/>
        <v>2550.7799999999997</v>
      </c>
      <c r="Y1161" s="3153">
        <v>0</v>
      </c>
      <c r="Z1161" s="296">
        <f t="shared" si="2631"/>
        <v>2550.7799999999997</v>
      </c>
      <c r="AA1161" s="3153">
        <v>0</v>
      </c>
      <c r="AB1161" s="2475">
        <f t="shared" si="2597"/>
        <v>2550.7799999999997</v>
      </c>
      <c r="AC1161" s="3153">
        <v>0</v>
      </c>
      <c r="AD1161" s="1291">
        <f t="shared" si="2632"/>
        <v>0</v>
      </c>
      <c r="AE1161" s="1292">
        <f t="shared" si="2633"/>
        <v>0</v>
      </c>
      <c r="AF1161" s="814">
        <f t="shared" si="2634"/>
        <v>2550.7799999999997</v>
      </c>
    </row>
    <row r="1162" spans="3:32" ht="35" customHeight="1" x14ac:dyDescent="0.25">
      <c r="C1162" s="338"/>
      <c r="D1162" s="8448"/>
      <c r="E1162" s="145" t="s">
        <v>318</v>
      </c>
      <c r="F1162" s="3153">
        <v>0</v>
      </c>
      <c r="G1162" s="3153">
        <v>1082.0899999999999</v>
      </c>
      <c r="H1162" s="1813">
        <f t="shared" si="2635"/>
        <v>1082.0899999999999</v>
      </c>
      <c r="I1162" s="3153">
        <v>1408.3</v>
      </c>
      <c r="J1162" s="313">
        <f t="shared" si="2636"/>
        <v>2490.39</v>
      </c>
      <c r="K1162" s="3153">
        <v>981.39</v>
      </c>
      <c r="L1162" s="296">
        <f t="shared" si="2637"/>
        <v>3471.7799999999997</v>
      </c>
      <c r="M1162" s="3153">
        <v>0</v>
      </c>
      <c r="N1162" s="122">
        <f t="shared" si="2637"/>
        <v>3471.7799999999997</v>
      </c>
      <c r="O1162" s="3153">
        <v>0</v>
      </c>
      <c r="P1162" s="87">
        <f t="shared" si="2626"/>
        <v>981.39</v>
      </c>
      <c r="Q1162" s="2144">
        <f t="shared" si="2627"/>
        <v>3471.7799999999997</v>
      </c>
      <c r="R1162" s="3153">
        <v>0</v>
      </c>
      <c r="S1162" s="296">
        <f t="shared" si="2628"/>
        <v>3471.7799999999997</v>
      </c>
      <c r="T1162" s="3153">
        <v>0</v>
      </c>
      <c r="U1162" s="296">
        <f t="shared" si="2628"/>
        <v>3471.7799999999997</v>
      </c>
      <c r="V1162" s="3153">
        <v>0</v>
      </c>
      <c r="W1162" s="398">
        <f t="shared" si="2638"/>
        <v>0</v>
      </c>
      <c r="X1162" s="210">
        <f t="shared" si="2639"/>
        <v>3471.7799999999997</v>
      </c>
      <c r="Y1162" s="3153">
        <v>0</v>
      </c>
      <c r="Z1162" s="296">
        <f t="shared" si="2631"/>
        <v>3471.7799999999997</v>
      </c>
      <c r="AA1162" s="3153">
        <v>0</v>
      </c>
      <c r="AB1162" s="2475">
        <f t="shared" si="2597"/>
        <v>3471.7799999999997</v>
      </c>
      <c r="AC1162" s="3153">
        <v>0</v>
      </c>
      <c r="AD1162" s="1291">
        <f t="shared" si="2632"/>
        <v>0</v>
      </c>
      <c r="AE1162" s="1292">
        <f t="shared" si="2633"/>
        <v>0</v>
      </c>
      <c r="AF1162" s="814">
        <f t="shared" si="2634"/>
        <v>3471.7799999999997</v>
      </c>
    </row>
    <row r="1163" spans="3:32" ht="35" customHeight="1" x14ac:dyDescent="0.25">
      <c r="C1163" s="338"/>
      <c r="D1163" s="8448"/>
      <c r="E1163" s="145" t="s">
        <v>401</v>
      </c>
      <c r="F1163" s="3153">
        <v>0</v>
      </c>
      <c r="G1163" s="3153">
        <v>0</v>
      </c>
      <c r="H1163" s="1813">
        <f t="shared" si="2635"/>
        <v>0</v>
      </c>
      <c r="I1163" s="3153">
        <v>0</v>
      </c>
      <c r="J1163" s="313">
        <f t="shared" si="2636"/>
        <v>0</v>
      </c>
      <c r="K1163" s="3153">
        <v>0</v>
      </c>
      <c r="L1163" s="296">
        <f t="shared" si="2637"/>
        <v>0</v>
      </c>
      <c r="M1163" s="3153">
        <v>0</v>
      </c>
      <c r="N1163" s="122">
        <f t="shared" si="2637"/>
        <v>0</v>
      </c>
      <c r="O1163" s="3153">
        <v>0</v>
      </c>
      <c r="P1163" s="87">
        <f t="shared" si="2626"/>
        <v>0</v>
      </c>
      <c r="Q1163" s="2144">
        <f t="shared" si="2627"/>
        <v>0</v>
      </c>
      <c r="R1163" s="3153">
        <v>0</v>
      </c>
      <c r="S1163" s="296">
        <f t="shared" si="2628"/>
        <v>0</v>
      </c>
      <c r="T1163" s="3153">
        <v>0</v>
      </c>
      <c r="U1163" s="296">
        <f t="shared" si="2628"/>
        <v>0</v>
      </c>
      <c r="V1163" s="3153">
        <v>0</v>
      </c>
      <c r="W1163" s="398">
        <f t="shared" si="2638"/>
        <v>0</v>
      </c>
      <c r="X1163" s="210">
        <f t="shared" si="2639"/>
        <v>0</v>
      </c>
      <c r="Y1163" s="3153">
        <v>0</v>
      </c>
      <c r="Z1163" s="296">
        <f t="shared" si="2631"/>
        <v>0</v>
      </c>
      <c r="AA1163" s="3153">
        <v>0</v>
      </c>
      <c r="AB1163" s="2475">
        <f t="shared" si="2597"/>
        <v>0</v>
      </c>
      <c r="AC1163" s="3153">
        <v>0</v>
      </c>
      <c r="AD1163" s="1291">
        <f t="shared" si="2632"/>
        <v>0</v>
      </c>
      <c r="AE1163" s="1292">
        <f t="shared" si="2633"/>
        <v>0</v>
      </c>
      <c r="AF1163" s="814">
        <f t="shared" si="2634"/>
        <v>0</v>
      </c>
    </row>
    <row r="1164" spans="3:32" ht="35" customHeight="1" x14ac:dyDescent="0.25">
      <c r="C1164" s="338"/>
      <c r="D1164" s="8448"/>
      <c r="E1164" s="145" t="s">
        <v>287</v>
      </c>
      <c r="F1164" s="3153">
        <v>3661.68</v>
      </c>
      <c r="G1164" s="3153">
        <v>976.56</v>
      </c>
      <c r="H1164" s="1813">
        <f t="shared" si="2635"/>
        <v>4638.24</v>
      </c>
      <c r="I1164" s="3153">
        <v>3351.1</v>
      </c>
      <c r="J1164" s="313">
        <f t="shared" si="2636"/>
        <v>7989.34</v>
      </c>
      <c r="K1164" s="3153">
        <v>3651.6</v>
      </c>
      <c r="L1164" s="296">
        <f t="shared" si="2637"/>
        <v>11640.94</v>
      </c>
      <c r="M1164" s="3153">
        <v>5387.52</v>
      </c>
      <c r="N1164" s="122">
        <f t="shared" si="2637"/>
        <v>17028.46</v>
      </c>
      <c r="O1164" s="3153">
        <v>5001.12</v>
      </c>
      <c r="P1164" s="87">
        <f t="shared" si="2626"/>
        <v>14040.240000000002</v>
      </c>
      <c r="Q1164" s="2144">
        <f t="shared" si="2627"/>
        <v>22029.58</v>
      </c>
      <c r="R1164" s="3153">
        <v>5239.92</v>
      </c>
      <c r="S1164" s="296">
        <f t="shared" si="2628"/>
        <v>27269.5</v>
      </c>
      <c r="T1164" s="3153">
        <v>5190.96</v>
      </c>
      <c r="U1164" s="296">
        <f t="shared" si="2628"/>
        <v>32460.46</v>
      </c>
      <c r="V1164" s="3153">
        <v>5523.6</v>
      </c>
      <c r="W1164" s="398">
        <f t="shared" si="2638"/>
        <v>15954.480000000001</v>
      </c>
      <c r="X1164" s="210">
        <f t="shared" si="2639"/>
        <v>37984.06</v>
      </c>
      <c r="Y1164" s="3153">
        <v>4943.28</v>
      </c>
      <c r="Z1164" s="296">
        <f t="shared" si="2631"/>
        <v>42927.34</v>
      </c>
      <c r="AA1164" s="3153">
        <v>4865.76</v>
      </c>
      <c r="AB1164" s="2475">
        <f t="shared" si="2597"/>
        <v>47793.1</v>
      </c>
      <c r="AC1164" s="3153">
        <v>5209.68</v>
      </c>
      <c r="AD1164" s="1291">
        <f t="shared" si="2632"/>
        <v>15018.720000000001</v>
      </c>
      <c r="AE1164" s="1292">
        <f t="shared" si="2633"/>
        <v>30973.200000000004</v>
      </c>
      <c r="AF1164" s="814">
        <f t="shared" si="2634"/>
        <v>53002.78</v>
      </c>
    </row>
    <row r="1165" spans="3:32" ht="35" customHeight="1" x14ac:dyDescent="0.25">
      <c r="C1165" s="338"/>
      <c r="D1165" s="8448"/>
      <c r="E1165" s="145" t="s">
        <v>195</v>
      </c>
      <c r="F1165" s="3153">
        <v>0</v>
      </c>
      <c r="G1165" s="3153">
        <v>0</v>
      </c>
      <c r="H1165" s="1813">
        <f t="shared" si="2635"/>
        <v>0</v>
      </c>
      <c r="I1165" s="3153">
        <v>0</v>
      </c>
      <c r="J1165" s="313">
        <f t="shared" si="2636"/>
        <v>0</v>
      </c>
      <c r="K1165" s="3153">
        <v>0</v>
      </c>
      <c r="L1165" s="296">
        <f t="shared" si="2637"/>
        <v>0</v>
      </c>
      <c r="M1165" s="3153">
        <v>0</v>
      </c>
      <c r="N1165" s="122">
        <f t="shared" si="2637"/>
        <v>0</v>
      </c>
      <c r="O1165" s="3153">
        <v>0</v>
      </c>
      <c r="P1165" s="87">
        <f t="shared" si="2626"/>
        <v>0</v>
      </c>
      <c r="Q1165" s="2144">
        <f t="shared" si="2627"/>
        <v>0</v>
      </c>
      <c r="R1165" s="3153">
        <v>0</v>
      </c>
      <c r="S1165" s="296">
        <f t="shared" si="2628"/>
        <v>0</v>
      </c>
      <c r="T1165" s="3153">
        <v>0</v>
      </c>
      <c r="U1165" s="296">
        <f t="shared" si="2628"/>
        <v>0</v>
      </c>
      <c r="V1165" s="3153">
        <v>0</v>
      </c>
      <c r="W1165" s="398">
        <f t="shared" si="2638"/>
        <v>0</v>
      </c>
      <c r="X1165" s="210">
        <f t="shared" si="2639"/>
        <v>0</v>
      </c>
      <c r="Y1165" s="3153">
        <v>0</v>
      </c>
      <c r="Z1165" s="296">
        <f t="shared" si="2631"/>
        <v>0</v>
      </c>
      <c r="AA1165" s="3153">
        <v>0</v>
      </c>
      <c r="AB1165" s="2475">
        <f t="shared" si="2597"/>
        <v>0</v>
      </c>
      <c r="AC1165" s="3153">
        <v>0</v>
      </c>
      <c r="AD1165" s="1291">
        <f t="shared" si="2632"/>
        <v>0</v>
      </c>
      <c r="AE1165" s="1292">
        <f t="shared" si="2633"/>
        <v>0</v>
      </c>
      <c r="AF1165" s="814">
        <f t="shared" si="2634"/>
        <v>0</v>
      </c>
    </row>
    <row r="1166" spans="3:32" ht="35" customHeight="1" x14ac:dyDescent="0.25">
      <c r="C1166" s="338"/>
      <c r="D1166" s="8448"/>
      <c r="E1166" s="145" t="s">
        <v>196</v>
      </c>
      <c r="F1166" s="3153">
        <v>767.76</v>
      </c>
      <c r="G1166" s="3153">
        <v>757.44</v>
      </c>
      <c r="H1166" s="1813">
        <f t="shared" si="2635"/>
        <v>1525.2</v>
      </c>
      <c r="I1166" s="3153">
        <v>876.7</v>
      </c>
      <c r="J1166" s="313">
        <f t="shared" si="2636"/>
        <v>2401.9</v>
      </c>
      <c r="K1166" s="3153">
        <v>1048.56</v>
      </c>
      <c r="L1166" s="296">
        <f t="shared" si="2637"/>
        <v>3450.46</v>
      </c>
      <c r="M1166" s="3153">
        <v>1426.08</v>
      </c>
      <c r="N1166" s="122">
        <f t="shared" si="2637"/>
        <v>4876.54</v>
      </c>
      <c r="O1166" s="3153">
        <v>1057.92</v>
      </c>
      <c r="P1166" s="87">
        <f t="shared" si="2626"/>
        <v>3532.56</v>
      </c>
      <c r="Q1166" s="2144">
        <f t="shared" si="2627"/>
        <v>5934.46</v>
      </c>
      <c r="R1166" s="3153">
        <v>1143.5999999999999</v>
      </c>
      <c r="S1166" s="296">
        <f t="shared" si="2628"/>
        <v>7078.0599999999995</v>
      </c>
      <c r="T1166" s="3153">
        <v>1122.48</v>
      </c>
      <c r="U1166" s="296">
        <f t="shared" si="2628"/>
        <v>8200.5399999999991</v>
      </c>
      <c r="V1166" s="3153">
        <v>1243.68</v>
      </c>
      <c r="W1166" s="398">
        <f t="shared" si="2638"/>
        <v>3509.76</v>
      </c>
      <c r="X1166" s="210">
        <f t="shared" si="2639"/>
        <v>9444.2199999999993</v>
      </c>
      <c r="Y1166" s="3153">
        <v>1139.04</v>
      </c>
      <c r="Z1166" s="296">
        <f t="shared" si="2631"/>
        <v>10583.259999999998</v>
      </c>
      <c r="AA1166" s="3153">
        <v>1049.52</v>
      </c>
      <c r="AB1166" s="2475">
        <f t="shared" si="2597"/>
        <v>11632.779999999999</v>
      </c>
      <c r="AC1166" s="3153">
        <v>1033.68</v>
      </c>
      <c r="AD1166" s="1291">
        <f t="shared" si="2632"/>
        <v>3222.24</v>
      </c>
      <c r="AE1166" s="1292">
        <f t="shared" si="2633"/>
        <v>6732</v>
      </c>
      <c r="AF1166" s="814">
        <f t="shared" si="2634"/>
        <v>12666.46</v>
      </c>
    </row>
    <row r="1167" spans="3:32" ht="35" hidden="1" customHeight="1" x14ac:dyDescent="0.25">
      <c r="C1167" s="338"/>
      <c r="D1167" s="8448"/>
      <c r="E1167" s="145"/>
      <c r="F1167" s="3153"/>
      <c r="G1167" s="3153"/>
      <c r="H1167" s="1813">
        <f t="shared" si="2635"/>
        <v>0</v>
      </c>
      <c r="I1167" s="3153"/>
      <c r="J1167" s="313">
        <f t="shared" si="2636"/>
        <v>0</v>
      </c>
      <c r="K1167" s="3153"/>
      <c r="L1167" s="296">
        <f t="shared" si="2637"/>
        <v>0</v>
      </c>
      <c r="M1167" s="3153"/>
      <c r="N1167" s="122">
        <f t="shared" si="2637"/>
        <v>0</v>
      </c>
      <c r="O1167" s="3153"/>
      <c r="P1167" s="87">
        <f t="shared" si="2626"/>
        <v>0</v>
      </c>
      <c r="Q1167" s="2144">
        <f t="shared" si="2627"/>
        <v>0</v>
      </c>
      <c r="R1167" s="3153"/>
      <c r="S1167" s="296">
        <f t="shared" si="2628"/>
        <v>0</v>
      </c>
      <c r="T1167" s="3153"/>
      <c r="U1167" s="296">
        <f t="shared" si="2628"/>
        <v>0</v>
      </c>
      <c r="V1167" s="3153"/>
      <c r="W1167" s="398">
        <f t="shared" si="2638"/>
        <v>0</v>
      </c>
      <c r="X1167" s="210">
        <f t="shared" si="2639"/>
        <v>0</v>
      </c>
      <c r="Y1167" s="3153"/>
      <c r="Z1167" s="296">
        <f t="shared" si="2631"/>
        <v>0</v>
      </c>
      <c r="AA1167" s="3153"/>
      <c r="AB1167" s="2475">
        <f t="shared" si="2597"/>
        <v>0</v>
      </c>
      <c r="AC1167" s="3153"/>
      <c r="AD1167" s="1291">
        <f t="shared" si="2632"/>
        <v>0</v>
      </c>
      <c r="AE1167" s="1292">
        <f t="shared" si="2633"/>
        <v>0</v>
      </c>
      <c r="AF1167" s="814">
        <f t="shared" si="2634"/>
        <v>0</v>
      </c>
    </row>
    <row r="1168" spans="3:32" ht="35" customHeight="1" thickBot="1" x14ac:dyDescent="0.3">
      <c r="C1168" s="338"/>
      <c r="D1168" s="8448"/>
      <c r="E1168" s="4593" t="s">
        <v>395</v>
      </c>
      <c r="F1168" s="3282">
        <v>458.9</v>
      </c>
      <c r="G1168" s="3282">
        <v>350.29</v>
      </c>
      <c r="H1168" s="1814">
        <f t="shared" si="2635"/>
        <v>809.19</v>
      </c>
      <c r="I1168" s="3282">
        <f>77.7+262.1</f>
        <v>339.8</v>
      </c>
      <c r="J1168" s="401">
        <f t="shared" si="2636"/>
        <v>1148.99</v>
      </c>
      <c r="K1168" s="3282">
        <v>431.21</v>
      </c>
      <c r="L1168" s="1482">
        <f t="shared" si="2637"/>
        <v>1580.2</v>
      </c>
      <c r="M1168" s="3282">
        <v>1055.3399999999999</v>
      </c>
      <c r="N1168" s="95">
        <f t="shared" si="2637"/>
        <v>2635.54</v>
      </c>
      <c r="O1168" s="3282">
        <v>457.92</v>
      </c>
      <c r="P1168" s="133">
        <f t="shared" si="2626"/>
        <v>1944.47</v>
      </c>
      <c r="Q1168" s="2159">
        <f t="shared" si="2627"/>
        <v>3093.46</v>
      </c>
      <c r="R1168" s="3282">
        <v>463.76</v>
      </c>
      <c r="S1168" s="1482">
        <f t="shared" si="2628"/>
        <v>3557.2200000000003</v>
      </c>
      <c r="T1168" s="3282">
        <v>660.63</v>
      </c>
      <c r="U1168" s="1482">
        <f t="shared" si="2628"/>
        <v>4217.8500000000004</v>
      </c>
      <c r="V1168" s="3282">
        <v>455.39</v>
      </c>
      <c r="W1168" s="398">
        <f t="shared" si="2638"/>
        <v>1579.7799999999997</v>
      </c>
      <c r="X1168" s="210">
        <f t="shared" si="2639"/>
        <v>4673.2400000000007</v>
      </c>
      <c r="Y1168" s="3282">
        <v>532.35</v>
      </c>
      <c r="Z1168" s="1482">
        <f t="shared" si="2631"/>
        <v>5205.5900000000011</v>
      </c>
      <c r="AA1168" s="3282">
        <v>426.48</v>
      </c>
      <c r="AB1168" s="2475">
        <f t="shared" si="2597"/>
        <v>5632.0700000000015</v>
      </c>
      <c r="AC1168" s="3282">
        <v>541.49</v>
      </c>
      <c r="AD1168" s="1291">
        <f t="shared" si="2632"/>
        <v>1500.3200000000002</v>
      </c>
      <c r="AE1168" s="1292">
        <f t="shared" si="2633"/>
        <v>3080.1</v>
      </c>
      <c r="AF1168" s="814">
        <f t="shared" si="2634"/>
        <v>6173.5600000000013</v>
      </c>
    </row>
    <row r="1169" spans="2:32" ht="35" customHeight="1" thickBot="1" x14ac:dyDescent="0.3">
      <c r="C1169" s="338"/>
      <c r="D1169" s="8449"/>
      <c r="E1169" s="514" t="s">
        <v>197</v>
      </c>
      <c r="F1169" s="522">
        <f t="shared" ref="F1169:G1169" si="2651">SUM(F1149:F1168)</f>
        <v>36885.040000000001</v>
      </c>
      <c r="G1169" s="522">
        <f t="shared" si="2651"/>
        <v>38547.03</v>
      </c>
      <c r="H1169" s="523">
        <f t="shared" ref="H1169:J1169" si="2652">SUM(H1149:H1168)</f>
        <v>75432.069999999992</v>
      </c>
      <c r="I1169" s="522">
        <f t="shared" ref="I1169" si="2653">SUM(I1149:I1168)</f>
        <v>42034.999999999993</v>
      </c>
      <c r="J1169" s="557">
        <f t="shared" si="2652"/>
        <v>117467.06999999999</v>
      </c>
      <c r="K1169" s="522">
        <f t="shared" ref="K1169" si="2654">SUM(K1149:K1168)</f>
        <v>44852.789999999994</v>
      </c>
      <c r="L1169" s="523">
        <f t="shared" ref="L1169:U1169" si="2655">SUM(L1149:L1168)</f>
        <v>162319.86000000002</v>
      </c>
      <c r="M1169" s="522">
        <f t="shared" ref="M1169" si="2656">SUM(M1149:M1168)</f>
        <v>49949.039999999994</v>
      </c>
      <c r="N1169" s="250">
        <f t="shared" si="2655"/>
        <v>212268.90000000002</v>
      </c>
      <c r="O1169" s="522">
        <f t="shared" si="2655"/>
        <v>44073.539999999994</v>
      </c>
      <c r="P1169" s="76">
        <f t="shared" si="2655"/>
        <v>138875.37</v>
      </c>
      <c r="Q1169" s="236">
        <f t="shared" si="2655"/>
        <v>256342.44</v>
      </c>
      <c r="R1169" s="522">
        <f t="shared" si="2655"/>
        <v>46134.58</v>
      </c>
      <c r="S1169" s="250">
        <f t="shared" si="2655"/>
        <v>302477.01999999996</v>
      </c>
      <c r="T1169" s="522">
        <f t="shared" ref="T1169" si="2657">SUM(T1149:T1168)</f>
        <v>45092.840000000004</v>
      </c>
      <c r="U1169" s="250">
        <f t="shared" si="2655"/>
        <v>347569.86000000004</v>
      </c>
      <c r="V1169" s="522">
        <f t="shared" ref="V1169" si="2658">SUM(V1149:V1168)</f>
        <v>46398.979999999996</v>
      </c>
      <c r="W1169" s="76">
        <f t="shared" ref="W1169:AB1169" si="2659">SUM(W1149:W1168)</f>
        <v>137626.40000000002</v>
      </c>
      <c r="X1169" s="77">
        <f t="shared" si="2659"/>
        <v>393968.84</v>
      </c>
      <c r="Y1169" s="522">
        <f t="shared" si="2659"/>
        <v>44674.84</v>
      </c>
      <c r="Z1169" s="250">
        <f t="shared" si="2659"/>
        <v>438643.68000000011</v>
      </c>
      <c r="AA1169" s="522">
        <f t="shared" ref="AA1169" si="2660">SUM(AA1149:AA1168)</f>
        <v>41819.100000000013</v>
      </c>
      <c r="AB1169" s="77">
        <f t="shared" si="2659"/>
        <v>480462.78000000009</v>
      </c>
      <c r="AC1169" s="522">
        <f t="shared" ref="AC1169" si="2661">SUM(AC1149:AC1168)</f>
        <v>44182.49</v>
      </c>
      <c r="AD1169" s="704">
        <f>SUM(AD1149:AD1168)</f>
        <v>130676.43000000001</v>
      </c>
      <c r="AE1169" s="775">
        <f>SUM(AE1149:AE1168)</f>
        <v>268302.82999999996</v>
      </c>
      <c r="AF1169" s="575">
        <f>SUM(AF1149:AF1168)</f>
        <v>524645.27000000014</v>
      </c>
    </row>
    <row r="1170" spans="2:32" ht="35" customHeight="1" thickBot="1" x14ac:dyDescent="0.35">
      <c r="C1170" s="338"/>
      <c r="D1170" s="400"/>
      <c r="E1170" s="191"/>
      <c r="F1170" s="303"/>
      <c r="G1170" s="303"/>
      <c r="H1170" s="3658"/>
      <c r="I1170" s="303"/>
      <c r="J1170" s="3658"/>
      <c r="K1170" s="303"/>
      <c r="L1170" s="3658"/>
      <c r="M1170" s="303"/>
      <c r="N1170" s="2197"/>
      <c r="O1170" s="303"/>
      <c r="P1170" s="376"/>
      <c r="Q1170" s="2197"/>
      <c r="R1170" s="303"/>
      <c r="S1170" s="2197"/>
      <c r="T1170" s="303"/>
      <c r="U1170" s="2197"/>
      <c r="V1170" s="303"/>
      <c r="W1170" s="376"/>
      <c r="X1170" s="376"/>
      <c r="Y1170" s="303"/>
      <c r="Z1170" s="2197"/>
      <c r="AA1170" s="303"/>
      <c r="AB1170" s="411"/>
      <c r="AC1170" s="303"/>
      <c r="AD1170" s="410"/>
      <c r="AE1170" s="410"/>
      <c r="AF1170" s="410"/>
    </row>
    <row r="1171" spans="2:32" ht="35" customHeight="1" thickBot="1" x14ac:dyDescent="0.4">
      <c r="C1171" s="602"/>
      <c r="D1171" s="2369">
        <v>40</v>
      </c>
      <c r="E1171" s="2372" t="s">
        <v>537</v>
      </c>
      <c r="F1171" s="403">
        <f>+F6</f>
        <v>30</v>
      </c>
      <c r="G1171" s="403">
        <f>+G6</f>
        <v>31</v>
      </c>
      <c r="H1171" s="3659">
        <f>SUM(F1171:G1171)</f>
        <v>61</v>
      </c>
      <c r="I1171" s="403">
        <f>+I6</f>
        <v>30</v>
      </c>
      <c r="J1171" s="3660">
        <f>SUM(H1171:I1171)</f>
        <v>91</v>
      </c>
      <c r="K1171" s="403">
        <f>+K6</f>
        <v>31</v>
      </c>
      <c r="L1171" s="3660">
        <f>SUM(J1171:K1171)</f>
        <v>122</v>
      </c>
      <c r="M1171" s="403">
        <v>31</v>
      </c>
      <c r="N1171" s="403">
        <f>SUM(L1171:M1171)</f>
        <v>153</v>
      </c>
      <c r="O1171" s="403">
        <v>30</v>
      </c>
      <c r="P1171" s="403">
        <f>+K1171+M1171+O1171</f>
        <v>92</v>
      </c>
      <c r="Q1171" s="403">
        <f>+J1171+P1171</f>
        <v>183</v>
      </c>
      <c r="R1171" s="403">
        <v>31</v>
      </c>
      <c r="S1171" s="2108">
        <f>SUM(Q1171:R1171)</f>
        <v>214</v>
      </c>
      <c r="T1171" s="403">
        <v>30</v>
      </c>
      <c r="U1171" s="2108">
        <f>SUM(S1171:T1171)</f>
        <v>244</v>
      </c>
      <c r="V1171" s="403">
        <v>31</v>
      </c>
      <c r="W1171" s="403">
        <f>+R1171+T1171+V1171</f>
        <v>92</v>
      </c>
      <c r="X1171" s="404">
        <f>+U1171+V1171</f>
        <v>275</v>
      </c>
      <c r="Y1171" s="403">
        <v>31</v>
      </c>
      <c r="Z1171" s="2108">
        <f>SUM(X1171:Y1171)</f>
        <v>306</v>
      </c>
      <c r="AA1171" s="403">
        <v>29</v>
      </c>
      <c r="AB1171" s="2511">
        <f>SUM(Z1171:AA1171)</f>
        <v>335</v>
      </c>
      <c r="AC1171" s="403">
        <v>31</v>
      </c>
      <c r="AD1171" s="193">
        <f>+Y1171+AA1171+AC1171</f>
        <v>91</v>
      </c>
      <c r="AE1171" s="193">
        <f>+W1171+AD1171</f>
        <v>183</v>
      </c>
      <c r="AF1171" s="2514">
        <f>+AB1171+AC1171</f>
        <v>366</v>
      </c>
    </row>
    <row r="1172" spans="2:32" ht="35" customHeight="1" thickBot="1" x14ac:dyDescent="0.3">
      <c r="C1172" s="602"/>
      <c r="D1172" s="2370">
        <v>40.01</v>
      </c>
      <c r="E1172" s="402" t="s">
        <v>187</v>
      </c>
      <c r="F1172" s="3427">
        <v>883.05</v>
      </c>
      <c r="G1172" s="3427">
        <v>884.49</v>
      </c>
      <c r="H1172" s="417">
        <f>+((F1172*F1176*F1171)+(G1172*G1176*G1171))/(H1176*H1171)</f>
        <v>883.79460210639002</v>
      </c>
      <c r="I1172" s="3427">
        <v>886.1</v>
      </c>
      <c r="J1172" s="316">
        <f>+((F1172*F1176*F1171)+(G1172*G1176*G1171)+(I1172*I1176*I1171))/(J1176*J1171)</f>
        <v>884.58615979470892</v>
      </c>
      <c r="K1172" s="3427">
        <v>892.95</v>
      </c>
      <c r="L1172" s="417">
        <f>+((J1172*J1176*J1171)+(K1172*K1176*K1171))/(L1176*L1171)</f>
        <v>886.91177986838159</v>
      </c>
      <c r="M1172" s="3427">
        <v>932.38</v>
      </c>
      <c r="N1172" s="101">
        <f>+((L1172*L1176*L1171)+(M1172*M1176*M1171))/(N1176*N1171)</f>
        <v>897.51548409054317</v>
      </c>
      <c r="O1172" s="3427">
        <v>868.2</v>
      </c>
      <c r="P1172" s="316">
        <f>+((K1172*K1176*K1171)+(M1172*M1176*M1171)+(O1172*O1176*O1171))/(P1176*P1171)</f>
        <v>899.79048416544151</v>
      </c>
      <c r="Q1172" s="2153">
        <f>+((O1172*O1176*O1171)+(N1172*N1176*N1171))/(Q1176*Q1171)</f>
        <v>892.74372495165426</v>
      </c>
      <c r="R1172" s="3427">
        <v>887.78</v>
      </c>
      <c r="S1172" s="417">
        <f>+((Q1172*Q1176*Q1171)+(R1172*R1176*R1171))/(S1176*S1171)</f>
        <v>892.01606639016745</v>
      </c>
      <c r="T1172" s="3427">
        <v>890.79</v>
      </c>
      <c r="U1172" s="417">
        <f>+((S1172*S1176*S1171)+(T1172*T1176*T1171))/(U1176*U1171)</f>
        <v>891.85481351093506</v>
      </c>
      <c r="V1172" s="3427">
        <v>910.48</v>
      </c>
      <c r="W1172" s="103">
        <f>+((R1172*R1176*R1171)+(T1172*T1176*T1171)+(V1172*V1176*V1171))/(W1176*W1171)</f>
        <v>896.97965910382993</v>
      </c>
      <c r="X1172" s="101">
        <f>+((U1172*U1176*U1171)+(V1172*V1176*V1171))/(X1176*X1171)</f>
        <v>894.24263411433787</v>
      </c>
      <c r="Y1172" s="3427">
        <v>906.07</v>
      </c>
      <c r="Z1172" s="417">
        <f>+((X1172*X1176*X1171)+(Y1172*Y1176*Y1171))/(Z1176*Z1171)</f>
        <v>895.5333989093557</v>
      </c>
      <c r="AA1172" s="3427">
        <v>914.43</v>
      </c>
      <c r="AB1172" s="283">
        <f>+((Z1172*Z1176*Z1171)+(AA1172*AA1176*AA1171))/(AB1176*AB1171)</f>
        <v>897.33467274926795</v>
      </c>
      <c r="AC1172" s="3427">
        <v>904.66</v>
      </c>
      <c r="AD1172" s="1312">
        <f>+((Y1172*Y1176*Y1171)+(AA1172*AA1176*AA1171)+(AC1172*AC1176*AC1171))/(AD1176*AD1171)</f>
        <v>908.36521943389323</v>
      </c>
      <c r="AE1172" s="775">
        <f>+((W1172*W1176*W1171)+(AD1172*AD1176*AD1171))/(AE1176*AE1171)</f>
        <v>902.70943980278332</v>
      </c>
      <c r="AF1172" s="1199">
        <f>+((AB1172*AB1176*AB1171)+(AC1172*AC1176*AC1171))/(AF1176*AF1171)</f>
        <v>897.96938895161315</v>
      </c>
    </row>
    <row r="1173" spans="2:32" ht="35" hidden="1" customHeight="1" x14ac:dyDescent="0.25">
      <c r="C1173" s="602"/>
      <c r="D1173" s="2371"/>
      <c r="E1173" s="516" t="s">
        <v>405</v>
      </c>
      <c r="F1173" s="3428"/>
      <c r="G1173" s="3428"/>
      <c r="H1173" s="459">
        <f>SUM(F1173:G1173)</f>
        <v>0</v>
      </c>
      <c r="I1173" s="3428"/>
      <c r="J1173" s="270">
        <f>SUM(H1173:I1173)</f>
        <v>0</v>
      </c>
      <c r="K1173" s="3428"/>
      <c r="L1173" s="459">
        <f>SUM(J1173:K1173)</f>
        <v>0</v>
      </c>
      <c r="M1173" s="3428"/>
      <c r="N1173" s="105">
        <f>SUM(L1173:M1173)</f>
        <v>0</v>
      </c>
      <c r="O1173" s="3428"/>
      <c r="P1173" s="87">
        <f t="shared" ref="P1173:P1174" si="2662">+K1173+M1173+O1173</f>
        <v>0</v>
      </c>
      <c r="Q1173" s="2144">
        <f t="shared" ref="Q1173:Q1174" si="2663">+J1173+P1173</f>
        <v>0</v>
      </c>
      <c r="R1173" s="3428"/>
      <c r="S1173" s="459">
        <f>SUM(Q1173:R1173)</f>
        <v>0</v>
      </c>
      <c r="T1173" s="3428"/>
      <c r="U1173" s="459">
        <f>SUM(S1173:T1173)</f>
        <v>0</v>
      </c>
      <c r="V1173" s="3428"/>
      <c r="W1173" s="398">
        <f t="shared" ref="W1173:W1174" si="2664">+R1173+T1173+V1173</f>
        <v>0</v>
      </c>
      <c r="X1173" s="210">
        <f t="shared" ref="X1173:X1174" si="2665">+U1173+V1173</f>
        <v>0</v>
      </c>
      <c r="Y1173" s="3428"/>
      <c r="Z1173" s="459">
        <f t="shared" ref="Z1173:AB1174" si="2666">SUM(X1173:Y1173)</f>
        <v>0</v>
      </c>
      <c r="AA1173" s="3428"/>
      <c r="AB1173" s="122">
        <f t="shared" si="2666"/>
        <v>0</v>
      </c>
      <c r="AC1173" s="3428"/>
      <c r="AD1173" s="1422">
        <f t="shared" ref="AD1173:AD1174" si="2667">+Y1173+AA1173+AC1173</f>
        <v>0</v>
      </c>
      <c r="AE1173" s="1423">
        <f t="shared" ref="AE1173:AE1174" si="2668">+W1173+AD1173</f>
        <v>0</v>
      </c>
      <c r="AF1173" s="1424">
        <f t="shared" ref="AF1173:AF1174" si="2669">+AB1173+AC1173</f>
        <v>0</v>
      </c>
    </row>
    <row r="1174" spans="2:32" ht="35" customHeight="1" thickBot="1" x14ac:dyDescent="0.3">
      <c r="C1174" s="602"/>
      <c r="D1174" s="2371"/>
      <c r="E1174" s="402" t="s">
        <v>406</v>
      </c>
      <c r="F1174" s="3427">
        <v>271901.03999999998</v>
      </c>
      <c r="G1174" s="3427">
        <v>291139.92</v>
      </c>
      <c r="H1174" s="417">
        <f>SUM(F1174:G1174)</f>
        <v>563040.96</v>
      </c>
      <c r="I1174" s="3427">
        <v>294403.20000000001</v>
      </c>
      <c r="J1174" s="316">
        <f>SUM(H1174:I1174)</f>
        <v>857444.15999999992</v>
      </c>
      <c r="K1174" s="3427">
        <v>330244.56</v>
      </c>
      <c r="L1174" s="417">
        <f>SUM(J1174:K1174)</f>
        <v>1187688.72</v>
      </c>
      <c r="M1174" s="3427">
        <v>361224</v>
      </c>
      <c r="N1174" s="101">
        <f>SUM(L1174:M1174)</f>
        <v>1548912.72</v>
      </c>
      <c r="O1174" s="3427">
        <v>301137.59999999998</v>
      </c>
      <c r="P1174" s="133">
        <f t="shared" si="2662"/>
        <v>992606.16</v>
      </c>
      <c r="Q1174" s="2159">
        <f t="shared" si="2663"/>
        <v>1850050.3199999998</v>
      </c>
      <c r="R1174" s="3427">
        <v>317796</v>
      </c>
      <c r="S1174" s="432">
        <f>SUM(Q1174:R1174)</f>
        <v>2167846.3199999998</v>
      </c>
      <c r="T1174" s="3427">
        <v>328293.59999999998</v>
      </c>
      <c r="U1174" s="432">
        <f>SUM(S1174:T1174)</f>
        <v>2496139.92</v>
      </c>
      <c r="V1174" s="3427">
        <v>367075.2</v>
      </c>
      <c r="W1174" s="1210">
        <f t="shared" si="2664"/>
        <v>1013164.8</v>
      </c>
      <c r="X1174" s="213">
        <f t="shared" si="2665"/>
        <v>2863215.12</v>
      </c>
      <c r="Y1174" s="3427">
        <v>350752.32</v>
      </c>
      <c r="Z1174" s="432">
        <f t="shared" si="2666"/>
        <v>3213967.44</v>
      </c>
      <c r="AA1174" s="3427">
        <v>338644.32</v>
      </c>
      <c r="AB1174" s="122">
        <f t="shared" si="2666"/>
        <v>3552611.76</v>
      </c>
      <c r="AC1174" s="3427">
        <v>337024.56</v>
      </c>
      <c r="AD1174" s="1019">
        <f t="shared" si="2667"/>
        <v>1026421.2</v>
      </c>
      <c r="AE1174" s="1292">
        <f t="shared" si="2668"/>
        <v>2039586</v>
      </c>
      <c r="AF1174" s="814">
        <f t="shared" si="2669"/>
        <v>3889636.32</v>
      </c>
    </row>
    <row r="1175" spans="2:32" ht="35" customHeight="1" thickBot="1" x14ac:dyDescent="0.3">
      <c r="C1175" s="602"/>
      <c r="D1175" s="2371"/>
      <c r="E1175" s="513" t="s">
        <v>394</v>
      </c>
      <c r="F1175" s="522">
        <f t="shared" ref="F1175:G1175" si="2670">SUM(F1173:F1174)</f>
        <v>271901.03999999998</v>
      </c>
      <c r="G1175" s="522">
        <f t="shared" si="2670"/>
        <v>291139.92</v>
      </c>
      <c r="H1175" s="521">
        <f t="shared" ref="H1175:L1175" si="2671">SUM(H1173:H1174)</f>
        <v>563040.96</v>
      </c>
      <c r="I1175" s="522">
        <f t="shared" si="2671"/>
        <v>294403.20000000001</v>
      </c>
      <c r="J1175" s="316">
        <f t="shared" si="2671"/>
        <v>857444.15999999992</v>
      </c>
      <c r="K1175" s="522">
        <f t="shared" si="2671"/>
        <v>330244.56</v>
      </c>
      <c r="L1175" s="417">
        <f t="shared" si="2671"/>
        <v>1187688.72</v>
      </c>
      <c r="M1175" s="522">
        <f t="shared" ref="M1175:O1175" si="2672">SUM(M1173:M1174)</f>
        <v>361224</v>
      </c>
      <c r="N1175" s="101">
        <f t="shared" ref="N1175:U1175" si="2673">SUM(N1173:N1174)</f>
        <v>1548912.72</v>
      </c>
      <c r="O1175" s="522">
        <f t="shared" si="2672"/>
        <v>301137.59999999998</v>
      </c>
      <c r="P1175" s="249">
        <f t="shared" si="2673"/>
        <v>992606.16</v>
      </c>
      <c r="Q1175" s="236">
        <f t="shared" si="2673"/>
        <v>1850050.3199999998</v>
      </c>
      <c r="R1175" s="522">
        <f t="shared" si="2673"/>
        <v>317796</v>
      </c>
      <c r="S1175" s="250">
        <f t="shared" si="2673"/>
        <v>2167846.3199999998</v>
      </c>
      <c r="T1175" s="522">
        <f t="shared" si="2673"/>
        <v>328293.59999999998</v>
      </c>
      <c r="U1175" s="250">
        <f t="shared" si="2673"/>
        <v>2496139.92</v>
      </c>
      <c r="V1175" s="522">
        <f t="shared" ref="V1175" si="2674">SUM(V1173:V1174)</f>
        <v>367075.2</v>
      </c>
      <c r="W1175" s="76">
        <f>SUM(W1173:W1174)</f>
        <v>1013164.8</v>
      </c>
      <c r="X1175" s="77">
        <f>SUM(X1173:X1174)</f>
        <v>2863215.12</v>
      </c>
      <c r="Y1175" s="522">
        <f t="shared" ref="Y1175" si="2675">SUM(Y1173:Y1174)</f>
        <v>350752.32</v>
      </c>
      <c r="Z1175" s="250">
        <f t="shared" ref="Z1175:AC1175" si="2676">SUM(Z1173:Z1174)</f>
        <v>3213967.44</v>
      </c>
      <c r="AA1175" s="522">
        <f t="shared" si="2676"/>
        <v>338644.32</v>
      </c>
      <c r="AB1175" s="77">
        <f t="shared" si="2676"/>
        <v>3552611.76</v>
      </c>
      <c r="AC1175" s="522">
        <f t="shared" si="2676"/>
        <v>337024.56</v>
      </c>
      <c r="AD1175" s="573">
        <f>SUM(AD1173:AD1174)</f>
        <v>1026421.2</v>
      </c>
      <c r="AE1175" s="775">
        <f>SUM(AE1173:AE1174)</f>
        <v>2039586</v>
      </c>
      <c r="AF1175" s="572">
        <f>SUM(AF1173:AF1174)</f>
        <v>3889636.32</v>
      </c>
    </row>
    <row r="1176" spans="2:32" ht="35" customHeight="1" thickBot="1" x14ac:dyDescent="0.35">
      <c r="C1176" s="602"/>
      <c r="D1176" s="8441">
        <v>40.020000000000003</v>
      </c>
      <c r="E1176" s="292" t="s">
        <v>219</v>
      </c>
      <c r="F1176" s="2286">
        <f>+(F1175/F1135)/24</f>
        <v>377.64033333333327</v>
      </c>
      <c r="G1176" s="2286">
        <f>+(G1175/G1135)/24</f>
        <v>391.31709677419354</v>
      </c>
      <c r="H1176" s="260">
        <f>+((F1176*24*$F$1135)+(G1176*24*$G$1135))/($H$1135*24)</f>
        <v>384.59081967213115</v>
      </c>
      <c r="I1176" s="2286">
        <f>+(I1175/I1135)/24</f>
        <v>408.89333333333337</v>
      </c>
      <c r="J1176" s="259">
        <f>+((H1176*24*$H$1135)+(I1176*24*$I$1135))/($J$1135*24)</f>
        <v>392.60263736263732</v>
      </c>
      <c r="K1176" s="2286">
        <f>+(K1175/K1135)/24</f>
        <v>443.87709677419349</v>
      </c>
      <c r="L1176" s="260">
        <f>+((J1176*$J$1135*24)+(K1176*$K$1135*24))/($L$1135*24)</f>
        <v>405.63139344262288</v>
      </c>
      <c r="M1176" s="2286">
        <f>+(M1175/M1135)/24</f>
        <v>485.51612903225805</v>
      </c>
      <c r="N1176" s="520">
        <f>+((L1176*$L$1135*24)+(M1176*$M$1135*24))/($N$1135*24)</f>
        <v>421.81718954248356</v>
      </c>
      <c r="O1176" s="2286">
        <f>+(O1175/O1135)/24</f>
        <v>418.24666666666667</v>
      </c>
      <c r="P1176" s="259">
        <f>+((K1176*24*$K$1135)+(M1176*24*$M$1135)+(O1176*24*$O$1135))/($P$1135*24)</f>
        <v>449.54989130434785</v>
      </c>
      <c r="Q1176" s="2155">
        <f>+((O1176*24*$O$1135)+(N1176*24*$N$1135))/($Q$1135*24)</f>
        <v>421.23185792349722</v>
      </c>
      <c r="R1176" s="2286">
        <f>+(R1175/R1135)/24</f>
        <v>427.14516129032262</v>
      </c>
      <c r="S1176" s="260">
        <f>+((Q1176*$Q$1135*24)+(R1176*$R$1135*24))/($S$1135*24)</f>
        <v>422.08845794392522</v>
      </c>
      <c r="T1176" s="2286">
        <f>+(T1175/T1135)/24</f>
        <v>455.96333333333331</v>
      </c>
      <c r="U1176" s="260">
        <f>+((S1176*$S$1135*24)+(T1176*$T$1135*24))/($U$1135*24)</f>
        <v>426.25340163934425</v>
      </c>
      <c r="V1176" s="2286">
        <f>+(V1175/V1135)/24</f>
        <v>493.38064516129037</v>
      </c>
      <c r="W1176" s="182">
        <f>+((R1176*24*$R$1135)+(T1176*24*$T$1135)+(V1176*24*$V$1135))/($W$1135*24)</f>
        <v>458.8608695652174</v>
      </c>
      <c r="X1176" s="181">
        <f>+((U1176*$U$1135*24)+(V1176*$V$1135*24))/($X$1135*24)</f>
        <v>433.82047272727277</v>
      </c>
      <c r="Y1176" s="2286">
        <f>+(Y1175/Y1135)/24</f>
        <v>471.44129032258064</v>
      </c>
      <c r="Z1176" s="260">
        <f>+((X1176*$X$1135*24)+(Y1176*$Y$1135*24))/($Z$1135*24)</f>
        <v>437.63173202614382</v>
      </c>
      <c r="AA1176" s="2286">
        <f>+(AA1175/AA1135)/24</f>
        <v>486.55793103448281</v>
      </c>
      <c r="AB1176" s="425">
        <f>+((Z1176*$Z$1135*24)+(AA1176*$AA$1135*24))/(AB$1135*24)</f>
        <v>441.86713432835819</v>
      </c>
      <c r="AC1176" s="2286">
        <f>+(AC1175/AC1135)/24</f>
        <v>452.99</v>
      </c>
      <c r="AD1176" s="1113">
        <f>+((Y1176*24*$Y$1135)+(AA1176*24*$AA$1135)+(AC1176*24*$AC$1135))/($AD$1135*24)</f>
        <v>469.97307692307692</v>
      </c>
      <c r="AE1176" s="1115">
        <f>+((W1176*24*$W$1135)+(AD1176*24*$AD$1135))/($AE$1135*24)</f>
        <v>464.3866120218579</v>
      </c>
      <c r="AF1176" s="1112">
        <f>+((AB1176*$AB$1135*24)+(AC1176*$AC$1135*24))/($AF$1135*24)</f>
        <v>442.80923497267759</v>
      </c>
    </row>
    <row r="1177" spans="2:32" ht="35" hidden="1" customHeight="1" x14ac:dyDescent="0.3">
      <c r="C1177" s="602"/>
      <c r="D1177" s="8442"/>
      <c r="E1177" s="2373" t="s">
        <v>284</v>
      </c>
      <c r="F1177" s="110">
        <v>0</v>
      </c>
      <c r="G1177" s="110">
        <v>0</v>
      </c>
      <c r="H1177" s="3562">
        <v>0</v>
      </c>
      <c r="I1177" s="110">
        <v>0</v>
      </c>
      <c r="J1177" s="270">
        <v>0</v>
      </c>
      <c r="K1177" s="110">
        <v>0</v>
      </c>
      <c r="L1177" s="2297">
        <v>0</v>
      </c>
      <c r="M1177" s="110">
        <v>0</v>
      </c>
      <c r="N1177" s="220">
        <v>0</v>
      </c>
      <c r="O1177" s="110">
        <v>0</v>
      </c>
      <c r="P1177" s="270">
        <f>+((K1177*24*$K$1135)+(M1177*24*$M$1135)+(O1177*24*$O$1135))/($P$1135*24)</f>
        <v>0</v>
      </c>
      <c r="Q1177" s="2148">
        <f>+((O1177*24*$O$1135)+(N1177*24*$N$1135))/($Q$1135*24)</f>
        <v>0</v>
      </c>
      <c r="R1177" s="110">
        <v>0</v>
      </c>
      <c r="S1177" s="2297">
        <f>+((Q1177*$Q$1135*24)+(R1177*$R$1135*24))/($S$1135*24)</f>
        <v>0</v>
      </c>
      <c r="T1177" s="110">
        <v>0</v>
      </c>
      <c r="U1177" s="2297">
        <f>+((S1177*$S$1135*24)+(T1177*$T$1135*24))/($U$1135*24)</f>
        <v>0</v>
      </c>
      <c r="V1177" s="110">
        <v>0</v>
      </c>
      <c r="W1177" s="106">
        <f t="shared" ref="W1177:W1179" si="2677">+((R1177*24*$R$1135)+(T1177*24*$T$1135)+(V1177*24*$V$1135))/($W$1135*24)</f>
        <v>0</v>
      </c>
      <c r="X1177" s="105">
        <f t="shared" ref="X1177:X1179" si="2678">+((U1177*$U$1135*24)+(V1177*$V$1135*24))/($X$1135*24)</f>
        <v>0</v>
      </c>
      <c r="Y1177" s="110">
        <v>0</v>
      </c>
      <c r="Z1177" s="2297">
        <f>+((X1177*$X$1135*24)+(Y1177*$Y$1135*24))/($Z$1135*24)</f>
        <v>0</v>
      </c>
      <c r="AA1177" s="110">
        <v>0</v>
      </c>
      <c r="AB1177" s="214">
        <f>+((Z1177*$Z$1135*24)+(AA1177*AA$1135*24))/(AB$1135*24)</f>
        <v>0</v>
      </c>
      <c r="AC1177" s="110">
        <v>0</v>
      </c>
      <c r="AD1177" s="1425">
        <f t="shared" ref="AD1177:AD1179" si="2679">+((Y1177*24*$Y$1135)+(AA1177*24*$AA$1135)+(AC1177*24*$AC$1135))/($AD$1135*24)</f>
        <v>0</v>
      </c>
      <c r="AE1177" s="1426">
        <f t="shared" ref="AE1177:AE1179" si="2680">+((W1177*24*$W$1135)+(AD1177*24*$AD$1135))/($AE$1135*24)</f>
        <v>0</v>
      </c>
      <c r="AF1177" s="776">
        <f t="shared" ref="AF1177:AF1179" si="2681">+((AB1177*$AB$1135*24)+(AC1177*$AC$1135*24))/(AF$1135*24)</f>
        <v>0</v>
      </c>
    </row>
    <row r="1178" spans="2:32" ht="35" customHeight="1" x14ac:dyDescent="0.25">
      <c r="C1178" s="602"/>
      <c r="D1178" s="8442"/>
      <c r="E1178" s="311" t="s">
        <v>422</v>
      </c>
      <c r="F1178" s="3429">
        <v>12841.97</v>
      </c>
      <c r="G1178" s="3429">
        <v>10316.33</v>
      </c>
      <c r="H1178" s="296">
        <f>SUM(F1178:G1178)</f>
        <v>23158.3</v>
      </c>
      <c r="I1178" s="3429">
        <v>13525.5</v>
      </c>
      <c r="J1178" s="313">
        <f>SUM(H1178:I1178)</f>
        <v>36683.800000000003</v>
      </c>
      <c r="K1178" s="3429">
        <v>17436.37</v>
      </c>
      <c r="L1178" s="296">
        <f>SUM(J1178:K1178)</f>
        <v>54120.17</v>
      </c>
      <c r="M1178" s="3429">
        <v>16020.02</v>
      </c>
      <c r="N1178" s="122">
        <f>SUM(L1178:M1178)</f>
        <v>70140.19</v>
      </c>
      <c r="O1178" s="3429">
        <v>17108.84</v>
      </c>
      <c r="P1178" s="87">
        <f t="shared" ref="P1178" si="2682">+K1178+M1178+O1178</f>
        <v>50565.229999999996</v>
      </c>
      <c r="Q1178" s="2144">
        <f t="shared" ref="Q1178" si="2683">+J1178+P1178</f>
        <v>87249.03</v>
      </c>
      <c r="R1178" s="3429">
        <v>15102.14</v>
      </c>
      <c r="S1178" s="296">
        <f>SUM(Q1178:R1178)</f>
        <v>102351.17</v>
      </c>
      <c r="T1178" s="3429">
        <v>16797.580000000002</v>
      </c>
      <c r="U1178" s="296">
        <f>SUM(S1178:T1178)</f>
        <v>119148.75</v>
      </c>
      <c r="V1178" s="3429">
        <v>15757.32</v>
      </c>
      <c r="W1178" s="398">
        <f t="shared" ref="W1178" si="2684">+R1178+T1178+V1178</f>
        <v>47657.04</v>
      </c>
      <c r="X1178" s="210">
        <f t="shared" ref="X1178" si="2685">+U1178+V1178</f>
        <v>134906.07</v>
      </c>
      <c r="Y1178" s="3429">
        <v>16585.55</v>
      </c>
      <c r="Z1178" s="296">
        <f>SUM(X1178:Y1178)</f>
        <v>151491.62</v>
      </c>
      <c r="AA1178" s="3429">
        <v>13583.94</v>
      </c>
      <c r="AB1178" s="122">
        <f>SUM(Z1178:AA1178)</f>
        <v>165075.56</v>
      </c>
      <c r="AC1178" s="3429">
        <v>14987.41</v>
      </c>
      <c r="AD1178" s="1422">
        <f t="shared" ref="AD1178" si="2686">+Y1178+AA1178+AC1178</f>
        <v>45156.899999999994</v>
      </c>
      <c r="AE1178" s="1423">
        <f t="shared" ref="AE1178" si="2687">+W1178+AD1178</f>
        <v>92813.94</v>
      </c>
      <c r="AF1178" s="1424">
        <f t="shared" ref="AF1178" si="2688">+AB1178+AC1178</f>
        <v>180062.97</v>
      </c>
    </row>
    <row r="1179" spans="2:32" ht="35" hidden="1" customHeight="1" x14ac:dyDescent="0.3">
      <c r="C1179" s="602"/>
      <c r="D1179" s="8442"/>
      <c r="E1179" s="189" t="s">
        <v>188</v>
      </c>
      <c r="F1179" s="112"/>
      <c r="G1179" s="112"/>
      <c r="H1179" s="296">
        <f>+((F1179*24*$F$1135)+(G1179*24*$G$1135))/($H$1135*24)</f>
        <v>0</v>
      </c>
      <c r="I1179" s="112"/>
      <c r="J1179" s="313">
        <f>+((H1179*24*$H$1135)+(I1179*24*$I$1135))/($J$1135*24)</f>
        <v>0</v>
      </c>
      <c r="K1179" s="112"/>
      <c r="L1179" s="296">
        <f>+((J1179*$J$1135*24)+(K1179*$K$1135*24))/($L$1135*24)</f>
        <v>0</v>
      </c>
      <c r="M1179" s="112"/>
      <c r="N1179" s="122">
        <f>+((L1179*$L$1135*24)+(M1179*$M$1135*24))/($N$1135*24)</f>
        <v>0</v>
      </c>
      <c r="O1179" s="112"/>
      <c r="P1179" s="304">
        <f t="shared" ref="P1179" si="2689">+((K1179*24*$K$1135)+(M1179*24*$M$1135)+(O1179*24*$O$1135))/($P$1135*24)</f>
        <v>0</v>
      </c>
      <c r="Q1179" s="241">
        <f t="shared" ref="Q1179" si="2690">+((O1179*24*$O$1135)+(N1179*24*$N$1135))/($Q$1135*24)</f>
        <v>0</v>
      </c>
      <c r="R1179" s="112"/>
      <c r="S1179" s="296">
        <f>+((Q1179*$Q$1135*24)+(R1179*$R$1135*24))/($S$1135*24)</f>
        <v>0</v>
      </c>
      <c r="T1179" s="112"/>
      <c r="U1179" s="296">
        <f>+((S1179*$S$1135*24)+(T1179*$T$1135*24))/($U$1135*24)</f>
        <v>0</v>
      </c>
      <c r="V1179" s="112"/>
      <c r="W1179" s="74">
        <f t="shared" si="2677"/>
        <v>0</v>
      </c>
      <c r="X1179" s="122">
        <f t="shared" si="2678"/>
        <v>0</v>
      </c>
      <c r="Y1179" s="112"/>
      <c r="Z1179" s="296">
        <f t="shared" ref="Z1179" si="2691">+((X1179*$X$1135*24)+(Y1179*$Y$1135*24))/($Z$1135*24)</f>
        <v>0</v>
      </c>
      <c r="AA1179" s="112"/>
      <c r="AB1179" s="86">
        <f>+((Z1179*$Z$1135*24)+(AA1179*AA$1135*24))/(AB$1135*24)</f>
        <v>0</v>
      </c>
      <c r="AC1179" s="112"/>
      <c r="AD1179" s="1070">
        <f t="shared" si="2679"/>
        <v>0</v>
      </c>
      <c r="AE1179" s="1164">
        <f t="shared" si="2680"/>
        <v>0</v>
      </c>
      <c r="AF1179" s="714">
        <f t="shared" si="2681"/>
        <v>0</v>
      </c>
    </row>
    <row r="1180" spans="2:32" ht="35" customHeight="1" thickBot="1" x14ac:dyDescent="0.3">
      <c r="C1180" s="602"/>
      <c r="D1180" s="8442"/>
      <c r="E1180" s="218" t="s">
        <v>229</v>
      </c>
      <c r="F1180" s="215">
        <f t="shared" ref="F1180:G1180" si="2692">+F1178/F1175*100</f>
        <v>4.723030849753278</v>
      </c>
      <c r="G1180" s="215">
        <f t="shared" si="2692"/>
        <v>3.5434268169064551</v>
      </c>
      <c r="H1180" s="273">
        <f t="shared" ref="H1180:R1180" si="2693">+H1178/H1175*100</f>
        <v>4.1130755389448037</v>
      </c>
      <c r="I1180" s="215">
        <f t="shared" si="2693"/>
        <v>4.5942095738089801</v>
      </c>
      <c r="J1180" s="305">
        <f t="shared" si="2693"/>
        <v>4.2782727682231823</v>
      </c>
      <c r="K1180" s="215">
        <f t="shared" si="2693"/>
        <v>5.2798356466492589</v>
      </c>
      <c r="L1180" s="273">
        <f t="shared" si="2693"/>
        <v>4.5567638294990287</v>
      </c>
      <c r="M1180" s="215">
        <f t="shared" ref="M1180:O1180" si="2694">+M1178/M1175*100</f>
        <v>4.4349268044205266</v>
      </c>
      <c r="N1180" s="114">
        <f t="shared" si="2693"/>
        <v>4.5283500544820887</v>
      </c>
      <c r="O1180" s="215">
        <f t="shared" si="2694"/>
        <v>5.6814027872972357</v>
      </c>
      <c r="P1180" s="305">
        <f t="shared" si="2693"/>
        <v>5.0941886155532217</v>
      </c>
      <c r="Q1180" s="239">
        <f t="shared" si="2693"/>
        <v>4.7160355076179776</v>
      </c>
      <c r="R1180" s="215">
        <f t="shared" si="2693"/>
        <v>4.7521491774597537</v>
      </c>
      <c r="S1180" s="2296">
        <f>+S1178/S1175*100</f>
        <v>4.7213296005226058</v>
      </c>
      <c r="T1180" s="215">
        <f t="shared" ref="T1180" si="2695">+T1178/T1175*100</f>
        <v>5.1166334037581001</v>
      </c>
      <c r="U1180" s="2296">
        <f>+U1178/U1175*100</f>
        <v>4.7733201590718517</v>
      </c>
      <c r="V1180" s="215">
        <f t="shared" ref="V1180" si="2696">+V1178/V1175*100</f>
        <v>4.2926680963464703</v>
      </c>
      <c r="W1180" s="305">
        <f t="shared" ref="W1180" si="2697">+W1178/W1175*100</f>
        <v>4.7037796812522501</v>
      </c>
      <c r="X1180" s="221">
        <f t="shared" ref="X1180:AB1180" si="2698">+X1178/X1175*100</f>
        <v>4.7116987144158422</v>
      </c>
      <c r="Y1180" s="215">
        <f t="shared" si="2698"/>
        <v>4.7285645893945905</v>
      </c>
      <c r="Z1180" s="2296">
        <f t="shared" si="2698"/>
        <v>4.713539350604</v>
      </c>
      <c r="AA1180" s="215">
        <f t="shared" ref="AA1180" si="2699">+AA1178/AA1175*100</f>
        <v>4.0112705862008848</v>
      </c>
      <c r="AB1180" s="221">
        <f t="shared" si="2698"/>
        <v>4.646597240335657</v>
      </c>
      <c r="AC1180" s="215">
        <f t="shared" ref="AC1180" si="2700">+AC1178/AC1175*100</f>
        <v>4.4469785822137116</v>
      </c>
      <c r="AD1180" s="1421">
        <f t="shared" ref="AD1180:AF1180" si="2701">+AD1178/AD1175*100</f>
        <v>4.3994512194409081</v>
      </c>
      <c r="AE1180" s="1363">
        <f t="shared" si="2701"/>
        <v>4.5506264506620466</v>
      </c>
      <c r="AF1180" s="1045">
        <f t="shared" si="2701"/>
        <v>4.6293009213776575</v>
      </c>
    </row>
    <row r="1181" spans="2:32" ht="35" customHeight="1" thickBot="1" x14ac:dyDescent="0.3">
      <c r="C1181" s="602"/>
      <c r="D1181" s="8443"/>
      <c r="E1181" s="397" t="s">
        <v>189</v>
      </c>
      <c r="F1181" s="522">
        <f t="shared" ref="F1181:G1181" si="2702">+F1175-F1178</f>
        <v>259059.06999999998</v>
      </c>
      <c r="G1181" s="522">
        <f t="shared" si="2702"/>
        <v>280823.58999999997</v>
      </c>
      <c r="H1181" s="523">
        <f t="shared" ref="H1181:AF1181" si="2703">+H1175-H1178</f>
        <v>539882.65999999992</v>
      </c>
      <c r="I1181" s="522">
        <f t="shared" si="2703"/>
        <v>280877.7</v>
      </c>
      <c r="J1181" s="557">
        <f t="shared" si="2703"/>
        <v>820760.35999999987</v>
      </c>
      <c r="K1181" s="522">
        <f t="shared" si="2703"/>
        <v>312808.19</v>
      </c>
      <c r="L1181" s="523">
        <f t="shared" si="2703"/>
        <v>1133568.55</v>
      </c>
      <c r="M1181" s="522">
        <f t="shared" ref="M1181:O1181" si="2704">+M1175-M1178</f>
        <v>345203.98</v>
      </c>
      <c r="N1181" s="523">
        <f t="shared" si="2703"/>
        <v>1478772.53</v>
      </c>
      <c r="O1181" s="522">
        <f t="shared" si="2704"/>
        <v>284028.75999999995</v>
      </c>
      <c r="P1181" s="557">
        <f t="shared" si="2703"/>
        <v>942040.93</v>
      </c>
      <c r="Q1181" s="763">
        <f t="shared" si="2703"/>
        <v>1762801.2899999998</v>
      </c>
      <c r="R1181" s="522">
        <f t="shared" si="2703"/>
        <v>302693.86</v>
      </c>
      <c r="S1181" s="523">
        <f t="shared" si="2703"/>
        <v>2065495.15</v>
      </c>
      <c r="T1181" s="522">
        <f t="shared" si="2703"/>
        <v>311496.01999999996</v>
      </c>
      <c r="U1181" s="523">
        <f t="shared" si="2703"/>
        <v>2376991.17</v>
      </c>
      <c r="V1181" s="522">
        <f t="shared" ref="V1181" si="2705">+V1175-V1178</f>
        <v>351317.88</v>
      </c>
      <c r="W1181" s="557">
        <f t="shared" si="2703"/>
        <v>965507.76</v>
      </c>
      <c r="X1181" s="523">
        <f t="shared" si="2703"/>
        <v>2728309.0500000003</v>
      </c>
      <c r="Y1181" s="522">
        <f t="shared" si="2703"/>
        <v>334166.77</v>
      </c>
      <c r="Z1181" s="523">
        <f t="shared" si="2703"/>
        <v>3062475.82</v>
      </c>
      <c r="AA1181" s="522">
        <f t="shared" ref="AA1181" si="2706">+AA1175-AA1178</f>
        <v>325060.38</v>
      </c>
      <c r="AB1181" s="523">
        <f t="shared" si="2703"/>
        <v>3387536.1999999997</v>
      </c>
      <c r="AC1181" s="522">
        <f t="shared" ref="AC1181" si="2707">+AC1175-AC1178</f>
        <v>322037.15000000002</v>
      </c>
      <c r="AD1181" s="704">
        <f t="shared" si="2703"/>
        <v>981264.29999999993</v>
      </c>
      <c r="AE1181" s="775">
        <f t="shared" si="2703"/>
        <v>1946772.06</v>
      </c>
      <c r="AF1181" s="575">
        <f t="shared" si="2703"/>
        <v>3709573.3499999996</v>
      </c>
    </row>
    <row r="1182" spans="2:32" ht="35" customHeight="1" x14ac:dyDescent="0.25">
      <c r="B1182" s="340"/>
      <c r="D1182" s="8444">
        <v>40.03</v>
      </c>
      <c r="E1182" s="2374" t="s">
        <v>403</v>
      </c>
      <c r="F1182" s="3662"/>
      <c r="G1182" s="3662"/>
      <c r="H1182" s="3661"/>
      <c r="I1182" s="3662"/>
      <c r="J1182" s="3654"/>
      <c r="K1182" s="3662"/>
      <c r="L1182" s="3662"/>
      <c r="M1182" s="3662"/>
      <c r="N1182" s="195"/>
      <c r="O1182" s="3662"/>
      <c r="P1182" s="190"/>
      <c r="Q1182" s="190"/>
      <c r="R1182" s="3662"/>
      <c r="S1182" s="190"/>
      <c r="T1182" s="3662"/>
      <c r="U1182" s="190"/>
      <c r="V1182" s="3662"/>
      <c r="W1182" s="196"/>
      <c r="X1182" s="178"/>
      <c r="Y1182" s="3662"/>
      <c r="Z1182" s="190"/>
      <c r="AA1182" s="3662"/>
      <c r="AB1182" s="2512"/>
      <c r="AC1182" s="3662"/>
      <c r="AD1182" s="2512"/>
      <c r="AE1182" s="1428"/>
      <c r="AF1182" s="2515"/>
    </row>
    <row r="1183" spans="2:32" ht="35" hidden="1" customHeight="1" x14ac:dyDescent="0.25">
      <c r="B1183" s="340"/>
      <c r="D1183" s="8444"/>
      <c r="E1183" s="493" t="s">
        <v>399</v>
      </c>
      <c r="F1183" s="3430">
        <v>0</v>
      </c>
      <c r="G1183" s="3430">
        <v>0</v>
      </c>
      <c r="H1183" s="1813">
        <f t="shared" ref="H1183:H1193" si="2708">SUM(F1183:G1183)</f>
        <v>0</v>
      </c>
      <c r="I1183" s="3430">
        <v>0</v>
      </c>
      <c r="J1183" s="558">
        <f>SUM(H1183:I1183)</f>
        <v>0</v>
      </c>
      <c r="K1183" s="3430">
        <v>0</v>
      </c>
      <c r="L1183" s="296">
        <f>SUM(J1183:K1183)</f>
        <v>0</v>
      </c>
      <c r="M1183" s="3430">
        <v>0</v>
      </c>
      <c r="N1183" s="501">
        <f>SUM(L1183:M1183)</f>
        <v>0</v>
      </c>
      <c r="O1183" s="3430">
        <v>0</v>
      </c>
      <c r="P1183" s="87">
        <f t="shared" ref="P1183:P1193" si="2709">+K1183+M1183+O1183</f>
        <v>0</v>
      </c>
      <c r="Q1183" s="2144">
        <f t="shared" ref="Q1183:Q1193" si="2710">+J1183+P1183</f>
        <v>0</v>
      </c>
      <c r="R1183" s="3430">
        <v>0</v>
      </c>
      <c r="S1183" s="501">
        <f t="shared" ref="S1183:U1183" si="2711">SUM(Q1183:R1183)</f>
        <v>0</v>
      </c>
      <c r="T1183" s="3430">
        <v>0</v>
      </c>
      <c r="U1183" s="501">
        <f t="shared" si="2711"/>
        <v>0</v>
      </c>
      <c r="V1183" s="3430">
        <v>0</v>
      </c>
      <c r="W1183" s="398">
        <f t="shared" ref="W1183:W1193" si="2712">+R1183+T1183+V1183</f>
        <v>0</v>
      </c>
      <c r="X1183" s="210">
        <f t="shared" ref="X1183:X1193" si="2713">+U1183+V1183</f>
        <v>0</v>
      </c>
      <c r="Y1183" s="3430">
        <v>0</v>
      </c>
      <c r="Z1183" s="501">
        <f t="shared" ref="Z1183:AB1193" si="2714">SUM(X1183:Y1183)</f>
        <v>0</v>
      </c>
      <c r="AA1183" s="3430">
        <v>0</v>
      </c>
      <c r="AB1183" s="501">
        <f t="shared" si="2714"/>
        <v>0</v>
      </c>
      <c r="AC1183" s="3430">
        <v>0</v>
      </c>
      <c r="AD1183" s="874">
        <f t="shared" ref="AD1183:AD1193" si="2715">+Y1183+AA1183+AC1183</f>
        <v>0</v>
      </c>
      <c r="AE1183" s="1295">
        <f t="shared" ref="AE1183:AE1193" si="2716">+W1183+AD1183</f>
        <v>0</v>
      </c>
      <c r="AF1183" s="1427">
        <f t="shared" ref="AF1183:AF1193" si="2717">+AB1183+AC1183</f>
        <v>0</v>
      </c>
    </row>
    <row r="1184" spans="2:32" ht="35" customHeight="1" x14ac:dyDescent="0.25">
      <c r="B1184" s="340"/>
      <c r="D1184" s="8444"/>
      <c r="E1184" s="484" t="s">
        <v>285</v>
      </c>
      <c r="F1184" s="3153">
        <v>117282.24000000001</v>
      </c>
      <c r="G1184" s="3153">
        <v>123306.72</v>
      </c>
      <c r="H1184" s="1813">
        <f t="shared" si="2708"/>
        <v>240588.96000000002</v>
      </c>
      <c r="I1184" s="3153">
        <v>124044.7</v>
      </c>
      <c r="J1184" s="558">
        <f t="shared" ref="J1184:J1193" si="2718">SUM(H1184:I1184)</f>
        <v>364633.66000000003</v>
      </c>
      <c r="K1184" s="3153">
        <v>144096</v>
      </c>
      <c r="L1184" s="296">
        <f>SUM(J1184:K1184)</f>
        <v>508729.66000000003</v>
      </c>
      <c r="M1184" s="3153">
        <v>151478.39999999999</v>
      </c>
      <c r="N1184" s="501">
        <f t="shared" ref="N1184:N1193" si="2719">SUM(L1184:M1184)</f>
        <v>660208.06000000006</v>
      </c>
      <c r="O1184" s="3153">
        <v>123448.8</v>
      </c>
      <c r="P1184" s="87">
        <f t="shared" si="2709"/>
        <v>419023.2</v>
      </c>
      <c r="Q1184" s="2144">
        <f t="shared" si="2710"/>
        <v>783656.8600000001</v>
      </c>
      <c r="R1184" s="3153">
        <v>129595.44</v>
      </c>
      <c r="S1184" s="501">
        <f t="shared" ref="S1184:U1193" si="2720">SUM(Q1184:R1184)</f>
        <v>913252.3</v>
      </c>
      <c r="T1184" s="3153">
        <v>133197.6</v>
      </c>
      <c r="U1184" s="501">
        <f t="shared" si="2720"/>
        <v>1046449.9</v>
      </c>
      <c r="V1184" s="3153">
        <v>153852</v>
      </c>
      <c r="W1184" s="398">
        <f t="shared" si="2712"/>
        <v>416645.04000000004</v>
      </c>
      <c r="X1184" s="210">
        <f t="shared" si="2713"/>
        <v>1200301.8999999999</v>
      </c>
      <c r="Y1184" s="3153">
        <v>144404.64000000001</v>
      </c>
      <c r="Z1184" s="501">
        <f t="shared" si="2714"/>
        <v>1344706.54</v>
      </c>
      <c r="AA1184" s="3153">
        <v>139684.56</v>
      </c>
      <c r="AB1184" s="501">
        <f t="shared" ref="AB1184:AB1193" si="2721">SUM(Z1184:AA1184)</f>
        <v>1484391.1</v>
      </c>
      <c r="AC1184" s="3153">
        <v>138394.56</v>
      </c>
      <c r="AD1184" s="815">
        <f t="shared" si="2715"/>
        <v>422483.76</v>
      </c>
      <c r="AE1184" s="1395">
        <f t="shared" si="2716"/>
        <v>839128.8</v>
      </c>
      <c r="AF1184" s="814">
        <f t="shared" si="2717"/>
        <v>1622785.6600000001</v>
      </c>
    </row>
    <row r="1185" spans="2:32" ht="35" customHeight="1" x14ac:dyDescent="0.25">
      <c r="B1185" s="340"/>
      <c r="D1185" s="8444"/>
      <c r="E1185" s="974" t="s">
        <v>398</v>
      </c>
      <c r="F1185" s="3153">
        <v>26351.040000000001</v>
      </c>
      <c r="G1185" s="3153">
        <v>28613.759999999998</v>
      </c>
      <c r="H1185" s="1813">
        <f t="shared" ref="H1185" si="2722">SUM(F1185:G1185)</f>
        <v>54964.800000000003</v>
      </c>
      <c r="I1185" s="3153">
        <v>39272.9</v>
      </c>
      <c r="J1185" s="313">
        <f t="shared" ref="J1185" si="2723">SUM(H1185:I1185)</f>
        <v>94237.700000000012</v>
      </c>
      <c r="K1185" s="3153">
        <v>40360.080000000002</v>
      </c>
      <c r="L1185" s="296">
        <f t="shared" ref="L1185" si="2724">SUM(J1185:K1185)</f>
        <v>134597.78000000003</v>
      </c>
      <c r="M1185" s="3153">
        <v>31468.799999999999</v>
      </c>
      <c r="N1185" s="122">
        <f t="shared" si="2719"/>
        <v>166066.58000000002</v>
      </c>
      <c r="O1185" s="3153">
        <v>30501.599999999999</v>
      </c>
      <c r="P1185" s="87">
        <f t="shared" si="2709"/>
        <v>102330.48000000001</v>
      </c>
      <c r="Q1185" s="2144">
        <f t="shared" si="2710"/>
        <v>196568.18000000002</v>
      </c>
      <c r="R1185" s="3153">
        <v>31264.799999999999</v>
      </c>
      <c r="S1185" s="296">
        <f t="shared" ref="S1185" si="2725">SUM(Q1185:R1185)</f>
        <v>227832.98</v>
      </c>
      <c r="T1185" s="3153">
        <v>34372.800000000003</v>
      </c>
      <c r="U1185" s="296">
        <f t="shared" ref="U1185" si="2726">SUM(S1185:T1185)</f>
        <v>262205.78000000003</v>
      </c>
      <c r="V1185" s="3153">
        <v>38822.400000000001</v>
      </c>
      <c r="W1185" s="398">
        <f t="shared" si="2712"/>
        <v>104460</v>
      </c>
      <c r="X1185" s="210">
        <f t="shared" si="2713"/>
        <v>301028.18000000005</v>
      </c>
      <c r="Y1185" s="3153">
        <v>38235.120000000003</v>
      </c>
      <c r="Z1185" s="296">
        <f t="shared" si="2714"/>
        <v>339263.30000000005</v>
      </c>
      <c r="AA1185" s="3153">
        <v>32398.080000000002</v>
      </c>
      <c r="AB1185" s="122">
        <f t="shared" ref="AB1185" si="2727">SUM(Z1185:AA1185)</f>
        <v>371661.38000000006</v>
      </c>
      <c r="AC1185" s="3153">
        <v>30031.919999999998</v>
      </c>
      <c r="AD1185" s="1291">
        <f t="shared" si="2715"/>
        <v>100665.12000000001</v>
      </c>
      <c r="AE1185" s="1292">
        <f t="shared" si="2716"/>
        <v>205125.12</v>
      </c>
      <c r="AF1185" s="814">
        <f t="shared" si="2717"/>
        <v>401693.30000000005</v>
      </c>
    </row>
    <row r="1186" spans="2:32" ht="35" hidden="1" customHeight="1" x14ac:dyDescent="0.25">
      <c r="B1186" s="340"/>
      <c r="D1186" s="8444"/>
      <c r="E1186" s="493" t="s">
        <v>408</v>
      </c>
      <c r="F1186" s="3153"/>
      <c r="G1186" s="3153"/>
      <c r="H1186" s="1813">
        <f t="shared" si="2708"/>
        <v>0</v>
      </c>
      <c r="I1186" s="3153"/>
      <c r="J1186" s="558">
        <f t="shared" si="2718"/>
        <v>0</v>
      </c>
      <c r="K1186" s="3153"/>
      <c r="L1186" s="296">
        <f t="shared" ref="L1186:L1193" si="2728">SUM(J1186:K1186)</f>
        <v>0</v>
      </c>
      <c r="M1186" s="3153"/>
      <c r="N1186" s="501">
        <f t="shared" si="2719"/>
        <v>0</v>
      </c>
      <c r="O1186" s="3153"/>
      <c r="P1186" s="87">
        <f t="shared" si="2709"/>
        <v>0</v>
      </c>
      <c r="Q1186" s="2144">
        <f t="shared" si="2710"/>
        <v>0</v>
      </c>
      <c r="R1186" s="3153"/>
      <c r="S1186" s="501">
        <f t="shared" si="2720"/>
        <v>0</v>
      </c>
      <c r="T1186" s="3153"/>
      <c r="U1186" s="501">
        <f t="shared" si="2720"/>
        <v>0</v>
      </c>
      <c r="V1186" s="3153"/>
      <c r="W1186" s="398">
        <f t="shared" si="2712"/>
        <v>0</v>
      </c>
      <c r="X1186" s="210">
        <f t="shared" si="2713"/>
        <v>0</v>
      </c>
      <c r="Y1186" s="3153"/>
      <c r="Z1186" s="501">
        <f t="shared" si="2714"/>
        <v>0</v>
      </c>
      <c r="AA1186" s="3153"/>
      <c r="AB1186" s="501">
        <f t="shared" si="2721"/>
        <v>0</v>
      </c>
      <c r="AC1186" s="3153"/>
      <c r="AD1186" s="815">
        <f t="shared" si="2715"/>
        <v>0</v>
      </c>
      <c r="AE1186" s="1395">
        <f t="shared" si="2716"/>
        <v>0</v>
      </c>
      <c r="AF1186" s="814">
        <f t="shared" si="2717"/>
        <v>0</v>
      </c>
    </row>
    <row r="1187" spans="2:32" ht="35" customHeight="1" x14ac:dyDescent="0.25">
      <c r="B1187" s="340"/>
      <c r="D1187" s="8444"/>
      <c r="E1187" s="493" t="s">
        <v>317</v>
      </c>
      <c r="F1187" s="3153">
        <v>104387.52</v>
      </c>
      <c r="G1187" s="3153">
        <v>110129.76</v>
      </c>
      <c r="H1187" s="1813">
        <f t="shared" si="2708"/>
        <v>214517.28</v>
      </c>
      <c r="I1187" s="3153">
        <v>104236.1</v>
      </c>
      <c r="J1187" s="558">
        <f t="shared" si="2718"/>
        <v>318753.38</v>
      </c>
      <c r="K1187" s="3153">
        <v>115255.67999999999</v>
      </c>
      <c r="L1187" s="296">
        <f t="shared" si="2728"/>
        <v>434009.06</v>
      </c>
      <c r="M1187" s="3153">
        <v>138600</v>
      </c>
      <c r="N1187" s="501">
        <f t="shared" si="2719"/>
        <v>572609.06000000006</v>
      </c>
      <c r="O1187" s="3153">
        <v>115740</v>
      </c>
      <c r="P1187" s="87">
        <f t="shared" si="2709"/>
        <v>369595.68</v>
      </c>
      <c r="Q1187" s="2144">
        <f t="shared" si="2710"/>
        <v>688349.06</v>
      </c>
      <c r="R1187" s="3153">
        <v>121960.8</v>
      </c>
      <c r="S1187" s="501">
        <f t="shared" si="2720"/>
        <v>810309.8600000001</v>
      </c>
      <c r="T1187" s="3153">
        <v>125352</v>
      </c>
      <c r="U1187" s="501">
        <f t="shared" si="2720"/>
        <v>935661.8600000001</v>
      </c>
      <c r="V1187" s="3153">
        <v>138710.39999999999</v>
      </c>
      <c r="W1187" s="398">
        <f t="shared" si="2712"/>
        <v>386023.19999999995</v>
      </c>
      <c r="X1187" s="210">
        <f t="shared" si="2713"/>
        <v>1074372.26</v>
      </c>
      <c r="Y1187" s="3153">
        <v>130079.52</v>
      </c>
      <c r="Z1187" s="501">
        <f t="shared" si="2714"/>
        <v>1204451.78</v>
      </c>
      <c r="AA1187" s="3153">
        <v>127411.44</v>
      </c>
      <c r="AB1187" s="501">
        <f t="shared" si="2721"/>
        <v>1331863.22</v>
      </c>
      <c r="AC1187" s="3153">
        <v>129091.92</v>
      </c>
      <c r="AD1187" s="815">
        <f t="shared" si="2715"/>
        <v>386582.88</v>
      </c>
      <c r="AE1187" s="1395">
        <f t="shared" si="2716"/>
        <v>772606.08</v>
      </c>
      <c r="AF1187" s="814">
        <f t="shared" si="2717"/>
        <v>1460955.14</v>
      </c>
    </row>
    <row r="1188" spans="2:32" ht="35" customHeight="1" x14ac:dyDescent="0.25">
      <c r="B1188" s="340"/>
      <c r="D1188" s="8444"/>
      <c r="E1188" s="493" t="s">
        <v>194</v>
      </c>
      <c r="F1188" s="3153">
        <v>3563.75</v>
      </c>
      <c r="G1188" s="3153">
        <v>3682.6</v>
      </c>
      <c r="H1188" s="1813">
        <f t="shared" si="2708"/>
        <v>7246.35</v>
      </c>
      <c r="I1188" s="3153">
        <v>3465</v>
      </c>
      <c r="J1188" s="558">
        <f t="shared" si="2718"/>
        <v>10711.35</v>
      </c>
      <c r="K1188" s="3153">
        <v>4583.8</v>
      </c>
      <c r="L1188" s="296">
        <f t="shared" si="2728"/>
        <v>15295.150000000001</v>
      </c>
      <c r="M1188" s="3153">
        <v>4450.59</v>
      </c>
      <c r="N1188" s="501">
        <f t="shared" si="2719"/>
        <v>19745.740000000002</v>
      </c>
      <c r="O1188" s="3153">
        <v>4048.8</v>
      </c>
      <c r="P1188" s="87">
        <f t="shared" si="2709"/>
        <v>13083.189999999999</v>
      </c>
      <c r="Q1188" s="2144">
        <f t="shared" si="2710"/>
        <v>23794.54</v>
      </c>
      <c r="R1188" s="3153">
        <v>3573.83</v>
      </c>
      <c r="S1188" s="501">
        <f t="shared" si="2720"/>
        <v>27368.370000000003</v>
      </c>
      <c r="T1188" s="3153">
        <v>4589.28</v>
      </c>
      <c r="U1188" s="501">
        <f t="shared" si="2720"/>
        <v>31957.65</v>
      </c>
      <c r="V1188" s="3153">
        <v>4805.3</v>
      </c>
      <c r="W1188" s="398">
        <f t="shared" si="2712"/>
        <v>12968.41</v>
      </c>
      <c r="X1188" s="210">
        <f t="shared" si="2713"/>
        <v>36762.950000000004</v>
      </c>
      <c r="Y1188" s="3153">
        <v>4816.37</v>
      </c>
      <c r="Z1188" s="501">
        <f t="shared" si="2714"/>
        <v>41579.320000000007</v>
      </c>
      <c r="AA1188" s="3153">
        <v>5893.41</v>
      </c>
      <c r="AB1188" s="501">
        <f t="shared" si="2721"/>
        <v>47472.73000000001</v>
      </c>
      <c r="AC1188" s="3153">
        <v>5634.98</v>
      </c>
      <c r="AD1188" s="815">
        <f t="shared" si="2715"/>
        <v>16344.759999999998</v>
      </c>
      <c r="AE1188" s="1395">
        <f t="shared" si="2716"/>
        <v>29313.17</v>
      </c>
      <c r="AF1188" s="814">
        <f t="shared" si="2717"/>
        <v>53107.710000000006</v>
      </c>
    </row>
    <row r="1189" spans="2:32" ht="35" customHeight="1" x14ac:dyDescent="0.25">
      <c r="B1189" s="340"/>
      <c r="D1189" s="8444"/>
      <c r="E1189" s="493" t="s">
        <v>318</v>
      </c>
      <c r="F1189" s="3153">
        <v>2378.29</v>
      </c>
      <c r="G1189" s="3153">
        <v>7956.09</v>
      </c>
      <c r="H1189" s="1813">
        <f t="shared" si="2708"/>
        <v>10334.380000000001</v>
      </c>
      <c r="I1189" s="3153">
        <v>4285.5</v>
      </c>
      <c r="J1189" s="558">
        <f t="shared" si="2718"/>
        <v>14619.880000000001</v>
      </c>
      <c r="K1189" s="3153">
        <v>2584.11</v>
      </c>
      <c r="L1189" s="296">
        <f t="shared" si="2728"/>
        <v>17203.990000000002</v>
      </c>
      <c r="M1189" s="3153">
        <v>8765.27</v>
      </c>
      <c r="N1189" s="501">
        <f t="shared" si="2719"/>
        <v>25969.260000000002</v>
      </c>
      <c r="O1189" s="3153">
        <v>4497.45</v>
      </c>
      <c r="P1189" s="87">
        <f t="shared" si="2709"/>
        <v>15846.830000000002</v>
      </c>
      <c r="Q1189" s="2144">
        <f t="shared" si="2710"/>
        <v>30466.710000000003</v>
      </c>
      <c r="R1189" s="3153">
        <v>7953.47</v>
      </c>
      <c r="S1189" s="501">
        <f t="shared" si="2720"/>
        <v>38420.18</v>
      </c>
      <c r="T1189" s="3153">
        <v>7337.1</v>
      </c>
      <c r="U1189" s="501">
        <f t="shared" si="2720"/>
        <v>45757.279999999999</v>
      </c>
      <c r="V1189" s="3153">
        <v>9136.1</v>
      </c>
      <c r="W1189" s="398">
        <f t="shared" si="2712"/>
        <v>24426.67</v>
      </c>
      <c r="X1189" s="210">
        <f t="shared" si="2713"/>
        <v>54893.38</v>
      </c>
      <c r="Y1189" s="3153">
        <v>7089.81</v>
      </c>
      <c r="Z1189" s="501">
        <f t="shared" si="2714"/>
        <v>61983.189999999995</v>
      </c>
      <c r="AA1189" s="3153">
        <v>9164.6200000000008</v>
      </c>
      <c r="AB1189" s="501">
        <f t="shared" si="2721"/>
        <v>71147.81</v>
      </c>
      <c r="AC1189" s="3153">
        <v>8534.76</v>
      </c>
      <c r="AD1189" s="815">
        <f t="shared" si="2715"/>
        <v>24789.190000000002</v>
      </c>
      <c r="AE1189" s="1395">
        <f t="shared" si="2716"/>
        <v>49215.86</v>
      </c>
      <c r="AF1189" s="814">
        <f t="shared" si="2717"/>
        <v>79682.569999999992</v>
      </c>
    </row>
    <row r="1190" spans="2:32" ht="35" customHeight="1" x14ac:dyDescent="0.25">
      <c r="B1190" s="340"/>
      <c r="D1190" s="8444"/>
      <c r="E1190" s="4673" t="s">
        <v>401</v>
      </c>
      <c r="F1190" s="3154">
        <v>0</v>
      </c>
      <c r="G1190" s="3154">
        <v>0</v>
      </c>
      <c r="H1190" s="1813">
        <f t="shared" si="2708"/>
        <v>0</v>
      </c>
      <c r="I1190" s="3154">
        <v>0</v>
      </c>
      <c r="J1190" s="558">
        <f t="shared" si="2718"/>
        <v>0</v>
      </c>
      <c r="K1190" s="3154">
        <v>0</v>
      </c>
      <c r="L1190" s="296">
        <f t="shared" si="2728"/>
        <v>0</v>
      </c>
      <c r="M1190" s="3154">
        <v>4479.3500000000004</v>
      </c>
      <c r="N1190" s="501">
        <f t="shared" si="2719"/>
        <v>4479.3500000000004</v>
      </c>
      <c r="O1190" s="3154">
        <v>597.87</v>
      </c>
      <c r="P1190" s="87">
        <f t="shared" si="2709"/>
        <v>5077.22</v>
      </c>
      <c r="Q1190" s="2144">
        <f t="shared" si="2710"/>
        <v>5077.22</v>
      </c>
      <c r="R1190" s="3154">
        <v>2882.08</v>
      </c>
      <c r="S1190" s="501">
        <f t="shared" si="2720"/>
        <v>7959.3</v>
      </c>
      <c r="T1190" s="3154">
        <v>1215.79</v>
      </c>
      <c r="U1190" s="501">
        <f t="shared" si="2720"/>
        <v>9175.09</v>
      </c>
      <c r="V1190" s="3154">
        <v>0</v>
      </c>
      <c r="W1190" s="398">
        <f t="shared" si="2712"/>
        <v>4097.87</v>
      </c>
      <c r="X1190" s="210">
        <f t="shared" si="2713"/>
        <v>9175.09</v>
      </c>
      <c r="Y1190" s="3154">
        <v>3722.46</v>
      </c>
      <c r="Z1190" s="501">
        <f t="shared" si="2714"/>
        <v>12897.55</v>
      </c>
      <c r="AA1190" s="3154">
        <v>4870.6400000000003</v>
      </c>
      <c r="AB1190" s="501">
        <f t="shared" si="2721"/>
        <v>17768.189999999999</v>
      </c>
      <c r="AC1190" s="3154">
        <v>4996.1899999999996</v>
      </c>
      <c r="AD1190" s="815">
        <f t="shared" si="2715"/>
        <v>13589.29</v>
      </c>
      <c r="AE1190" s="1395">
        <f t="shared" si="2716"/>
        <v>17687.16</v>
      </c>
      <c r="AF1190" s="814">
        <f t="shared" si="2717"/>
        <v>22764.379999999997</v>
      </c>
    </row>
    <row r="1191" spans="2:32" ht="35" customHeight="1" x14ac:dyDescent="0.25">
      <c r="B1191" s="340"/>
      <c r="D1191" s="8444"/>
      <c r="E1191" s="4673" t="s">
        <v>287</v>
      </c>
      <c r="F1191" s="3148">
        <v>2649.12</v>
      </c>
      <c r="G1191" s="3148">
        <v>4514.3999999999996</v>
      </c>
      <c r="H1191" s="1813">
        <f t="shared" si="2708"/>
        <v>7163.5199999999995</v>
      </c>
      <c r="I1191" s="3148">
        <v>2960.4</v>
      </c>
      <c r="J1191" s="558">
        <f t="shared" si="2718"/>
        <v>10123.92</v>
      </c>
      <c r="K1191" s="3148">
        <v>2956.08</v>
      </c>
      <c r="L1191" s="296">
        <f t="shared" si="2728"/>
        <v>13080</v>
      </c>
      <c r="M1191" s="3148">
        <v>2710.56</v>
      </c>
      <c r="N1191" s="501">
        <f t="shared" si="2719"/>
        <v>15790.56</v>
      </c>
      <c r="O1191" s="3148">
        <v>2484</v>
      </c>
      <c r="P1191" s="87">
        <f t="shared" si="2709"/>
        <v>8150.6399999999994</v>
      </c>
      <c r="Q1191" s="2144">
        <f t="shared" si="2710"/>
        <v>18274.559999999998</v>
      </c>
      <c r="R1191" s="3148">
        <v>2603.2800000000002</v>
      </c>
      <c r="S1191" s="501">
        <f t="shared" si="2720"/>
        <v>20877.839999999997</v>
      </c>
      <c r="T1191" s="3148">
        <v>2476.8000000000002</v>
      </c>
      <c r="U1191" s="501">
        <f t="shared" si="2720"/>
        <v>23354.639999999996</v>
      </c>
      <c r="V1191" s="3148">
        <v>2688</v>
      </c>
      <c r="W1191" s="398">
        <f t="shared" si="2712"/>
        <v>7768.08</v>
      </c>
      <c r="X1191" s="210">
        <f t="shared" si="2713"/>
        <v>26042.639999999996</v>
      </c>
      <c r="Y1191" s="3148">
        <v>2662.08</v>
      </c>
      <c r="Z1191" s="501">
        <f t="shared" si="2714"/>
        <v>28704.719999999994</v>
      </c>
      <c r="AA1191" s="3148">
        <v>2589.84</v>
      </c>
      <c r="AB1191" s="501">
        <f t="shared" si="2721"/>
        <v>31294.559999999994</v>
      </c>
      <c r="AC1191" s="3148">
        <v>2319.6</v>
      </c>
      <c r="AD1191" s="815">
        <f t="shared" si="2715"/>
        <v>7571.52</v>
      </c>
      <c r="AE1191" s="1395">
        <f t="shared" si="2716"/>
        <v>15339.6</v>
      </c>
      <c r="AF1191" s="814">
        <f t="shared" si="2717"/>
        <v>33614.159999999996</v>
      </c>
    </row>
    <row r="1192" spans="2:32" ht="35" hidden="1" customHeight="1" x14ac:dyDescent="0.25">
      <c r="B1192" s="340"/>
      <c r="D1192" s="8444"/>
      <c r="E1192" s="4673" t="s">
        <v>1014</v>
      </c>
      <c r="F1192" s="3148"/>
      <c r="G1192" s="3148"/>
      <c r="H1192" s="1813">
        <f t="shared" si="2708"/>
        <v>0</v>
      </c>
      <c r="I1192" s="3148"/>
      <c r="J1192" s="558">
        <f t="shared" si="2718"/>
        <v>0</v>
      </c>
      <c r="K1192" s="3148"/>
      <c r="L1192" s="296">
        <f t="shared" si="2728"/>
        <v>0</v>
      </c>
      <c r="M1192" s="3148"/>
      <c r="N1192" s="501">
        <f t="shared" si="2719"/>
        <v>0</v>
      </c>
      <c r="O1192" s="3148"/>
      <c r="P1192" s="87">
        <f t="shared" ref="P1192" si="2729">+K1192+M1192+O1192</f>
        <v>0</v>
      </c>
      <c r="Q1192" s="2144">
        <f t="shared" ref="Q1192" si="2730">+J1192+P1192</f>
        <v>0</v>
      </c>
      <c r="R1192" s="3148"/>
      <c r="S1192" s="501">
        <f t="shared" si="2720"/>
        <v>0</v>
      </c>
      <c r="T1192" s="3148"/>
      <c r="U1192" s="501">
        <f t="shared" si="2720"/>
        <v>0</v>
      </c>
      <c r="V1192" s="3148"/>
      <c r="W1192" s="398">
        <f t="shared" si="2712"/>
        <v>0</v>
      </c>
      <c r="X1192" s="210">
        <f t="shared" si="2713"/>
        <v>0</v>
      </c>
      <c r="Y1192" s="3148"/>
      <c r="Z1192" s="501">
        <f t="shared" si="2714"/>
        <v>0</v>
      </c>
      <c r="AA1192" s="3148"/>
      <c r="AB1192" s="501">
        <f t="shared" si="2721"/>
        <v>0</v>
      </c>
      <c r="AC1192" s="3148"/>
      <c r="AD1192" s="815">
        <f t="shared" si="2715"/>
        <v>0</v>
      </c>
      <c r="AE1192" s="1395">
        <f t="shared" si="2716"/>
        <v>0</v>
      </c>
      <c r="AF1192" s="814">
        <f t="shared" si="2717"/>
        <v>0</v>
      </c>
    </row>
    <row r="1193" spans="2:32" ht="35" customHeight="1" thickBot="1" x14ac:dyDescent="0.3">
      <c r="B1193" s="340"/>
      <c r="D1193" s="8444"/>
      <c r="E1193" s="484" t="s">
        <v>188</v>
      </c>
      <c r="F1193" s="3159">
        <v>2447.11</v>
      </c>
      <c r="G1193" s="3159">
        <v>2620.2600000000002</v>
      </c>
      <c r="H1193" s="1813">
        <f t="shared" si="2708"/>
        <v>5067.3700000000008</v>
      </c>
      <c r="I1193" s="3159">
        <v>2613.1999999999998</v>
      </c>
      <c r="J1193" s="558">
        <f t="shared" si="2718"/>
        <v>7680.5700000000006</v>
      </c>
      <c r="K1193" s="3159">
        <v>2972.2</v>
      </c>
      <c r="L1193" s="296">
        <f t="shared" si="2728"/>
        <v>10652.77</v>
      </c>
      <c r="M1193" s="3159">
        <v>3251.02</v>
      </c>
      <c r="N1193" s="501">
        <f t="shared" si="2719"/>
        <v>13903.79</v>
      </c>
      <c r="O1193" s="3159">
        <v>2710.24</v>
      </c>
      <c r="P1193" s="87">
        <f t="shared" si="2709"/>
        <v>8933.4599999999991</v>
      </c>
      <c r="Q1193" s="2144">
        <f t="shared" si="2710"/>
        <v>16614.03</v>
      </c>
      <c r="R1193" s="3159">
        <v>2860.16</v>
      </c>
      <c r="S1193" s="501">
        <f t="shared" si="2720"/>
        <v>19474.189999999999</v>
      </c>
      <c r="T1193" s="3159">
        <v>2954.64</v>
      </c>
      <c r="U1193" s="501">
        <f t="shared" si="2720"/>
        <v>22428.829999999998</v>
      </c>
      <c r="V1193" s="3159">
        <v>3303.68</v>
      </c>
      <c r="W1193" s="398">
        <f t="shared" si="2712"/>
        <v>9118.48</v>
      </c>
      <c r="X1193" s="210">
        <f t="shared" si="2713"/>
        <v>25732.51</v>
      </c>
      <c r="Y1193" s="3159">
        <v>3156.77</v>
      </c>
      <c r="Z1193" s="501">
        <f t="shared" si="2714"/>
        <v>28889.279999999999</v>
      </c>
      <c r="AA1193" s="3159">
        <v>3047.8</v>
      </c>
      <c r="AB1193" s="501">
        <f t="shared" si="2721"/>
        <v>31937.079999999998</v>
      </c>
      <c r="AC1193" s="3159">
        <v>3033.22</v>
      </c>
      <c r="AD1193" s="1019">
        <f t="shared" si="2715"/>
        <v>9237.7899999999991</v>
      </c>
      <c r="AE1193" s="1290">
        <f t="shared" si="2716"/>
        <v>18356.269999999997</v>
      </c>
      <c r="AF1193" s="1021">
        <f t="shared" si="2717"/>
        <v>34970.299999999996</v>
      </c>
    </row>
    <row r="1194" spans="2:32" ht="35" customHeight="1" thickBot="1" x14ac:dyDescent="0.3">
      <c r="B1194" s="340"/>
      <c r="C1194" s="602"/>
      <c r="D1194" s="8444"/>
      <c r="E1194" s="603" t="s">
        <v>197</v>
      </c>
      <c r="F1194" s="1285">
        <f t="shared" ref="F1194:G1194" si="2731">SUM(F1183:F1193)</f>
        <v>259059.06999999998</v>
      </c>
      <c r="G1194" s="1285">
        <f t="shared" si="2731"/>
        <v>280823.59000000003</v>
      </c>
      <c r="H1194" s="3563">
        <f t="shared" ref="H1194:L1194" si="2732">SUM(H1183:H1193)</f>
        <v>539882.66</v>
      </c>
      <c r="I1194" s="1285">
        <f t="shared" ref="I1194" si="2733">SUM(I1183:I1193)</f>
        <v>280877.80000000005</v>
      </c>
      <c r="J1194" s="1930">
        <f t="shared" si="2732"/>
        <v>820760.46</v>
      </c>
      <c r="K1194" s="1285">
        <f t="shared" ref="K1194" si="2734">SUM(K1183:K1193)</f>
        <v>312807.95</v>
      </c>
      <c r="L1194" s="3563">
        <f t="shared" si="2732"/>
        <v>1133568.4099999999</v>
      </c>
      <c r="M1194" s="1285">
        <f t="shared" ref="M1194" si="2735">SUM(M1183:M1193)</f>
        <v>345203.99</v>
      </c>
      <c r="N1194" s="412">
        <f t="shared" ref="N1194:R1194" si="2736">SUM(N1183:N1193)</f>
        <v>1478772.4000000004</v>
      </c>
      <c r="O1194" s="1285">
        <f t="shared" si="2736"/>
        <v>284028.76</v>
      </c>
      <c r="P1194" s="413">
        <f t="shared" si="2736"/>
        <v>942040.7</v>
      </c>
      <c r="Q1194" s="2166">
        <f t="shared" si="2736"/>
        <v>1762801.1600000001</v>
      </c>
      <c r="R1194" s="1285">
        <f t="shared" si="2736"/>
        <v>302693.86</v>
      </c>
      <c r="S1194" s="2298">
        <f t="shared" ref="S1194:AF1194" si="2737">SUM(S1183:S1193)</f>
        <v>2065495.0200000003</v>
      </c>
      <c r="T1194" s="1285">
        <f t="shared" si="2737"/>
        <v>311496.01</v>
      </c>
      <c r="U1194" s="2298">
        <f t="shared" si="2737"/>
        <v>2376991.0299999998</v>
      </c>
      <c r="V1194" s="1285">
        <f t="shared" si="2737"/>
        <v>351317.87999999995</v>
      </c>
      <c r="W1194" s="413">
        <f t="shared" si="2737"/>
        <v>965507.75</v>
      </c>
      <c r="X1194" s="412">
        <f t="shared" si="2737"/>
        <v>2728308.9099999997</v>
      </c>
      <c r="Y1194" s="1285">
        <f t="shared" ref="Y1194" si="2738">SUM(Y1183:Y1193)</f>
        <v>334166.77000000008</v>
      </c>
      <c r="Z1194" s="2298">
        <f t="shared" si="2737"/>
        <v>3062475.6799999997</v>
      </c>
      <c r="AA1194" s="1285">
        <f t="shared" si="2737"/>
        <v>325060.39</v>
      </c>
      <c r="AB1194" s="412">
        <f t="shared" si="2737"/>
        <v>3387536.0700000003</v>
      </c>
      <c r="AC1194" s="1285">
        <f t="shared" si="2737"/>
        <v>322037.14999999991</v>
      </c>
      <c r="AD1194" s="1429">
        <f t="shared" si="2737"/>
        <v>981264.31</v>
      </c>
      <c r="AE1194" s="1430">
        <f t="shared" si="2737"/>
        <v>1946772.06</v>
      </c>
      <c r="AF1194" s="2513">
        <f t="shared" si="2737"/>
        <v>3709573.2199999997</v>
      </c>
    </row>
    <row r="1195" spans="2:32" ht="35" customHeight="1" thickTop="1" thickBot="1" x14ac:dyDescent="0.4">
      <c r="C1195" s="602"/>
      <c r="D1195" s="1431">
        <v>41</v>
      </c>
      <c r="E1195" s="2375" t="s">
        <v>1013</v>
      </c>
      <c r="F1195" s="163">
        <f>+F1171</f>
        <v>30</v>
      </c>
      <c r="G1195" s="163">
        <f>+G1171</f>
        <v>31</v>
      </c>
      <c r="H1195" s="3663">
        <f>SUM(F1195:G1195)</f>
        <v>61</v>
      </c>
      <c r="I1195" s="163">
        <f>+I1171</f>
        <v>30</v>
      </c>
      <c r="J1195" s="3340">
        <f>SUM(H1195:I1195)</f>
        <v>91</v>
      </c>
      <c r="K1195" s="163">
        <f>+K1171</f>
        <v>31</v>
      </c>
      <c r="L1195" s="3340">
        <f>SUM(J1195:K1195)</f>
        <v>122</v>
      </c>
      <c r="M1195" s="163">
        <v>31</v>
      </c>
      <c r="N1195" s="1926">
        <f>SUM(L1195:M1195)</f>
        <v>153</v>
      </c>
      <c r="O1195" s="163">
        <v>30</v>
      </c>
      <c r="P1195" s="2201">
        <f>+K1195+M1195+O1195</f>
        <v>92</v>
      </c>
      <c r="Q1195" s="2300">
        <f>+N1195+O1195</f>
        <v>183</v>
      </c>
      <c r="R1195" s="163">
        <v>31</v>
      </c>
      <c r="S1195" s="2301">
        <f>+Q1195+R1195</f>
        <v>214</v>
      </c>
      <c r="T1195" s="163">
        <v>30</v>
      </c>
      <c r="U1195" s="2301">
        <f>SUM(S1195:T1195)</f>
        <v>244</v>
      </c>
      <c r="V1195" s="163">
        <v>31</v>
      </c>
      <c r="W1195" s="102">
        <f>+R1195+T1195+V1195</f>
        <v>92</v>
      </c>
      <c r="X1195" s="2329">
        <f>+U1195+V1195</f>
        <v>275</v>
      </c>
      <c r="Y1195" s="163">
        <v>31</v>
      </c>
      <c r="Z1195" s="2301">
        <f>+X1195+Y1195</f>
        <v>306</v>
      </c>
      <c r="AA1195" s="163">
        <v>29</v>
      </c>
      <c r="AB1195" s="2329">
        <f>SUM(Z1195:AA1195)</f>
        <v>335</v>
      </c>
      <c r="AC1195" s="163">
        <v>31</v>
      </c>
      <c r="AD1195" s="193">
        <f>+Y1195+AA1195+AC1195</f>
        <v>91</v>
      </c>
      <c r="AE1195" s="193">
        <f>+W1195+AD1195</f>
        <v>183</v>
      </c>
      <c r="AF1195" s="2514">
        <f>+AB1195+AC1195</f>
        <v>366</v>
      </c>
    </row>
    <row r="1196" spans="2:32" ht="35" customHeight="1" x14ac:dyDescent="0.35">
      <c r="C1196" s="602"/>
      <c r="D1196" s="2032"/>
      <c r="E1196" s="2033" t="s">
        <v>187</v>
      </c>
      <c r="F1196" s="4596">
        <v>1892.08</v>
      </c>
      <c r="G1196" s="4596">
        <v>1926</v>
      </c>
      <c r="H1196" s="3554">
        <f>+((F1196*F1197)+(G1196*G1197))/H1197</f>
        <v>1909.5584501918904</v>
      </c>
      <c r="I1196" s="4596">
        <v>1932.3</v>
      </c>
      <c r="J1196" s="270">
        <f>+((H1196*H1197)+(I1196*I1197))/J1197</f>
        <v>1919.8611115697315</v>
      </c>
      <c r="K1196" s="4596">
        <v>2058</v>
      </c>
      <c r="L1196" s="459">
        <f>+((J1196*J1197)+(K1196*K1197))/L1197</f>
        <v>1967.0267098707966</v>
      </c>
      <c r="M1196" s="4596">
        <v>2044.46</v>
      </c>
      <c r="N1196" s="459">
        <f>+((L1196*L1197)+(M1196*M1197))/N1197</f>
        <v>1988.4196975428076</v>
      </c>
      <c r="O1196" s="4596">
        <v>1967.06</v>
      </c>
      <c r="P1196" s="2231">
        <f>+((K1196*K1197)+(M1196*M1197)+(O1196*O1197))/P1197</f>
        <v>2028.1044549800342</v>
      </c>
      <c r="Q1196" s="2148">
        <f>+((N1196*N1197)+(O1196*O1197))/Q1197</f>
        <v>1984.9336527777848</v>
      </c>
      <c r="R1196" s="4596">
        <v>1902.08</v>
      </c>
      <c r="S1196" s="459">
        <f>+((Q1196*Q1197)+(R1196*R1197))/S1197</f>
        <v>1971.0876497767863</v>
      </c>
      <c r="T1196" s="4596">
        <v>1899.93</v>
      </c>
      <c r="U1196" s="459">
        <f>+((S1196*S1197)+(T1196*T1197))/U1197</f>
        <v>1961.7728051628608</v>
      </c>
      <c r="V1196" s="4596">
        <v>1932.97</v>
      </c>
      <c r="W1196" s="2231">
        <f>+((R1196*R1197)+(T1196*T1197)+(V1196*V1197))/W1197</f>
        <v>1909.8663785432511</v>
      </c>
      <c r="X1196" s="459">
        <f>+((U1196*U1197)+(V1196*V1197))/X1197</f>
        <v>1959.0300552814056</v>
      </c>
      <c r="Y1196" s="4596">
        <v>1932.4</v>
      </c>
      <c r="Z1196" s="459">
        <f>+((X1196*X1197)+(Y1196*Y1197))/Z1197</f>
        <v>1956.2205568166239</v>
      </c>
      <c r="AA1196" s="4596">
        <v>1918.94</v>
      </c>
      <c r="AB1196" s="459">
        <f>+((Z1196*Z1197)+(AA1196*AA1197))/AB1197</f>
        <v>1952.9347051026705</v>
      </c>
      <c r="AC1196" s="4596">
        <v>1887.17</v>
      </c>
      <c r="AD1196" s="1422">
        <f>+((Y1196*Y1197)+(AA1196*AA1197)+(AC1196*AC1197))/AD1197</f>
        <v>1916.1103001247241</v>
      </c>
      <c r="AE1196" s="1423">
        <f>+((W1196*W1197)+(AD1196*AD1197))/AE1197</f>
        <v>1912.785438154712</v>
      </c>
      <c r="AF1196" s="1424">
        <f>+((AB1196*AB1197)+(AC1196*AC1197))/AF1197</f>
        <v>1949.0506089541659</v>
      </c>
    </row>
    <row r="1197" spans="2:32" ht="35" customHeight="1" thickBot="1" x14ac:dyDescent="0.3">
      <c r="C1197" s="602"/>
      <c r="D1197" s="600"/>
      <c r="E1197" s="2376" t="s">
        <v>1091</v>
      </c>
      <c r="F1197" s="4597">
        <v>5809.8</v>
      </c>
      <c r="G1197" s="4597">
        <v>6176.2</v>
      </c>
      <c r="H1197" s="4594">
        <f>SUM(F1197:G1197)</f>
        <v>11986</v>
      </c>
      <c r="I1197" s="4597">
        <v>9927.5509999999995</v>
      </c>
      <c r="J1197" s="1992">
        <f>SUM(H1197:I1197)</f>
        <v>21913.550999999999</v>
      </c>
      <c r="K1197" s="4597">
        <v>11361.2</v>
      </c>
      <c r="L1197" s="521">
        <f>SUM(J1197:K1197)</f>
        <v>33274.751000000004</v>
      </c>
      <c r="M1197" s="4597">
        <v>12702.4</v>
      </c>
      <c r="N1197" s="2198">
        <f>SUM(L1197:M1197)</f>
        <v>45977.151000000005</v>
      </c>
      <c r="O1197" s="4597">
        <v>8967.2999999999993</v>
      </c>
      <c r="P1197" s="134">
        <f t="shared" ref="P1197:P1198" si="2739">+K1197+M1197+O1197</f>
        <v>33030.899999999994</v>
      </c>
      <c r="Q1197" s="2145">
        <f t="shared" ref="Q1197:Q1198" si="2740">+J1197+P1197</f>
        <v>54944.450999999994</v>
      </c>
      <c r="R1197" s="4597">
        <v>11024.3</v>
      </c>
      <c r="S1197" s="2311">
        <f>SUM(Q1197:R1197)</f>
        <v>65968.750999999989</v>
      </c>
      <c r="T1197" s="4597">
        <v>9936.2999999999993</v>
      </c>
      <c r="U1197" s="2311">
        <f>SUM(S1197:T1197)</f>
        <v>75905.050999999992</v>
      </c>
      <c r="V1197" s="4597">
        <v>7988.8</v>
      </c>
      <c r="W1197" s="2364">
        <f t="shared" ref="W1197:W1202" si="2741">+R1197+T1197+V1197</f>
        <v>28949.399999999998</v>
      </c>
      <c r="X1197" s="2368">
        <f t="shared" ref="X1197:X1202" si="2742">+U1197+V1197</f>
        <v>83893.850999999995</v>
      </c>
      <c r="Y1197" s="4597">
        <v>9894.7999999999993</v>
      </c>
      <c r="Z1197" s="2311">
        <f t="shared" ref="Z1197:AB1202" si="2743">SUM(X1197:Y1197)</f>
        <v>93788.650999999998</v>
      </c>
      <c r="AA1197" s="4597">
        <v>9065.4</v>
      </c>
      <c r="AB1197" s="2458">
        <f t="shared" si="2743"/>
        <v>102854.05099999999</v>
      </c>
      <c r="AC1197" s="4597">
        <v>6455.9</v>
      </c>
      <c r="AD1197" s="1399">
        <f t="shared" ref="AD1197:AD1198" si="2744">+Y1197+AA1197+AC1197</f>
        <v>25416.1</v>
      </c>
      <c r="AE1197" s="1306">
        <f t="shared" ref="AE1197:AE1202" si="2745">+W1197+AD1197</f>
        <v>54365.5</v>
      </c>
      <c r="AF1197" s="2220">
        <f t="shared" ref="AF1197:AF1202" si="2746">+AB1197+AC1197</f>
        <v>109309.95099999999</v>
      </c>
    </row>
    <row r="1198" spans="2:32" ht="35" customHeight="1" x14ac:dyDescent="0.25">
      <c r="C1198" s="602"/>
      <c r="D1198" s="600"/>
      <c r="E1198" s="311" t="s">
        <v>422</v>
      </c>
      <c r="F1198" s="4595">
        <v>0</v>
      </c>
      <c r="G1198" s="4595">
        <v>0</v>
      </c>
      <c r="H1198" s="296">
        <f>SUM(F1198:G1198)</f>
        <v>0</v>
      </c>
      <c r="I1198" s="4595">
        <v>0</v>
      </c>
      <c r="J1198" s="270">
        <f>SUM(H1198:I1198)</f>
        <v>0</v>
      </c>
      <c r="K1198" s="4595">
        <v>0</v>
      </c>
      <c r="L1198" s="459">
        <f>SUM(J1198:K1198)</f>
        <v>0</v>
      </c>
      <c r="M1198" s="4595">
        <v>0</v>
      </c>
      <c r="N1198" s="105">
        <f>SUM(L1198:M1198)</f>
        <v>0</v>
      </c>
      <c r="O1198" s="4595">
        <v>0</v>
      </c>
      <c r="P1198" s="87">
        <f t="shared" si="2739"/>
        <v>0</v>
      </c>
      <c r="Q1198" s="2144">
        <f t="shared" si="2740"/>
        <v>0</v>
      </c>
      <c r="R1198" s="4595">
        <v>0</v>
      </c>
      <c r="S1198" s="78">
        <f>SUM(Q1198:R1198)</f>
        <v>0</v>
      </c>
      <c r="T1198" s="4595">
        <v>0</v>
      </c>
      <c r="U1198" s="78">
        <f>SUM(S1198:T1198)</f>
        <v>0</v>
      </c>
      <c r="V1198" s="4595">
        <v>0</v>
      </c>
      <c r="W1198" s="2393">
        <f t="shared" si="2741"/>
        <v>0</v>
      </c>
      <c r="X1198" s="209">
        <f t="shared" si="2742"/>
        <v>0</v>
      </c>
      <c r="Y1198" s="4595">
        <v>0</v>
      </c>
      <c r="Z1198" s="78">
        <f t="shared" si="2743"/>
        <v>0</v>
      </c>
      <c r="AA1198" s="4595">
        <v>0</v>
      </c>
      <c r="AB1198" s="789">
        <f t="shared" si="2743"/>
        <v>0</v>
      </c>
      <c r="AC1198" s="4595">
        <v>0</v>
      </c>
      <c r="AD1198" s="713">
        <f t="shared" si="2744"/>
        <v>0</v>
      </c>
      <c r="AE1198" s="1290">
        <f t="shared" si="2745"/>
        <v>0</v>
      </c>
      <c r="AF1198" s="712">
        <f t="shared" si="2746"/>
        <v>0</v>
      </c>
    </row>
    <row r="1199" spans="2:32" ht="35" customHeight="1" thickBot="1" x14ac:dyDescent="0.3">
      <c r="C1199" s="602"/>
      <c r="D1199" s="600"/>
      <c r="E1199" s="218" t="s">
        <v>229</v>
      </c>
      <c r="F1199" s="2195">
        <f t="shared" ref="F1199:G1199" si="2747">+F1198/F1197*100</f>
        <v>0</v>
      </c>
      <c r="G1199" s="2195">
        <f t="shared" si="2747"/>
        <v>0</v>
      </c>
      <c r="H1199" s="2030">
        <f t="shared" ref="H1199:L1199" si="2748">+H1198/H1197*100</f>
        <v>0</v>
      </c>
      <c r="I1199" s="2195">
        <f t="shared" si="2748"/>
        <v>0</v>
      </c>
      <c r="J1199" s="2031">
        <f t="shared" si="2748"/>
        <v>0</v>
      </c>
      <c r="K1199" s="2195">
        <f t="shared" si="2748"/>
        <v>0</v>
      </c>
      <c r="L1199" s="2030">
        <f t="shared" si="2748"/>
        <v>0</v>
      </c>
      <c r="M1199" s="2195">
        <f t="shared" ref="M1199:O1199" si="2749">+M1198/M1197*100</f>
        <v>0</v>
      </c>
      <c r="N1199" s="2030">
        <f t="shared" ref="N1199:R1199" si="2750">+N1198/N1197*100</f>
        <v>0</v>
      </c>
      <c r="O1199" s="2195">
        <f t="shared" si="2749"/>
        <v>0</v>
      </c>
      <c r="P1199" s="2230">
        <f t="shared" si="2750"/>
        <v>0</v>
      </c>
      <c r="Q1199" s="2163">
        <f t="shared" si="2750"/>
        <v>0</v>
      </c>
      <c r="R1199" s="2195">
        <f t="shared" si="2750"/>
        <v>0</v>
      </c>
      <c r="S1199" s="2327">
        <f t="shared" ref="S1199:W1199" si="2751">+S1198/S1197*100</f>
        <v>0</v>
      </c>
      <c r="T1199" s="2195">
        <f t="shared" si="2751"/>
        <v>0</v>
      </c>
      <c r="U1199" s="2327">
        <f t="shared" si="2751"/>
        <v>0</v>
      </c>
      <c r="V1199" s="2195">
        <f t="shared" si="2751"/>
        <v>0</v>
      </c>
      <c r="W1199" s="3132">
        <f t="shared" si="2751"/>
        <v>0</v>
      </c>
      <c r="X1199" s="2327">
        <f t="shared" ref="X1199:AB1199" si="2752">+X1198/X1197*100</f>
        <v>0</v>
      </c>
      <c r="Y1199" s="2195">
        <f t="shared" si="2752"/>
        <v>0</v>
      </c>
      <c r="Z1199" s="2327">
        <f t="shared" si="2752"/>
        <v>0</v>
      </c>
      <c r="AA1199" s="2195">
        <f t="shared" ref="AA1199" si="2753">+AA1198/AA1197*100</f>
        <v>0</v>
      </c>
      <c r="AB1199" s="2327">
        <f t="shared" si="2752"/>
        <v>0</v>
      </c>
      <c r="AC1199" s="2195">
        <f t="shared" ref="AC1199" si="2754">+AC1198/AC1197*100</f>
        <v>0</v>
      </c>
      <c r="AD1199" s="2524">
        <f t="shared" ref="AD1199:AF1199" si="2755">+AD1198/AD1197*100</f>
        <v>0</v>
      </c>
      <c r="AE1199" s="2163">
        <f t="shared" si="2755"/>
        <v>0</v>
      </c>
      <c r="AF1199" s="2327">
        <f t="shared" si="2755"/>
        <v>0</v>
      </c>
    </row>
    <row r="1200" spans="2:32" ht="35" customHeight="1" thickBot="1" x14ac:dyDescent="0.3">
      <c r="C1200" s="602"/>
      <c r="D1200" s="600"/>
      <c r="E1200" s="1913" t="s">
        <v>512</v>
      </c>
      <c r="F1200" s="522">
        <f>+F1197-F1198</f>
        <v>5809.8</v>
      </c>
      <c r="G1200" s="522">
        <f>+G1197-G1198</f>
        <v>6176.2</v>
      </c>
      <c r="H1200" s="523">
        <f>SUM(F1200:G1200)</f>
        <v>11986</v>
      </c>
      <c r="I1200" s="522">
        <f>+I1197-I1198</f>
        <v>9927.5509999999995</v>
      </c>
      <c r="J1200" s="557">
        <f t="shared" ref="J1200:J1207" si="2756">SUM(H1200:I1200)</f>
        <v>21913.550999999999</v>
      </c>
      <c r="K1200" s="522">
        <f>+K1197-K1198</f>
        <v>11361.2</v>
      </c>
      <c r="L1200" s="523">
        <f t="shared" ref="L1200:L1209" si="2757">SUM(J1200:K1200)</f>
        <v>33274.751000000004</v>
      </c>
      <c r="M1200" s="522">
        <f>+M1197-M1198</f>
        <v>12702.4</v>
      </c>
      <c r="N1200" s="523">
        <f t="shared" ref="N1200:N1207" si="2758">SUM(L1200:M1200)</f>
        <v>45977.151000000005</v>
      </c>
      <c r="O1200" s="522">
        <f>+O1197-O1198</f>
        <v>8967.2999999999993</v>
      </c>
      <c r="P1200" s="100">
        <f t="shared" ref="P1200" si="2759">+K1200+M1200+O1200</f>
        <v>33030.899999999994</v>
      </c>
      <c r="Q1200" s="2323">
        <f>+N1200+O1200</f>
        <v>54944.451000000001</v>
      </c>
      <c r="R1200" s="522">
        <f>+R1197-R1198</f>
        <v>11024.3</v>
      </c>
      <c r="S1200" s="523">
        <f>SUM(Q1200:R1200)</f>
        <v>65968.751000000004</v>
      </c>
      <c r="T1200" s="522">
        <f>+T1197-T1198</f>
        <v>9936.2999999999993</v>
      </c>
      <c r="U1200" s="523">
        <f t="shared" ref="U1200:U1207" si="2760">SUM(S1200:T1200)</f>
        <v>75905.051000000007</v>
      </c>
      <c r="V1200" s="522">
        <f>+V1197-V1198</f>
        <v>7988.8</v>
      </c>
      <c r="W1200" s="1209">
        <f t="shared" si="2741"/>
        <v>28949.399999999998</v>
      </c>
      <c r="X1200" s="597">
        <f t="shared" si="2742"/>
        <v>83893.85100000001</v>
      </c>
      <c r="Y1200" s="522">
        <f>+Y1197-Y1198</f>
        <v>9894.7999999999993</v>
      </c>
      <c r="Z1200" s="523">
        <f t="shared" si="2743"/>
        <v>93788.651000000013</v>
      </c>
      <c r="AA1200" s="522">
        <f>+AA1197-AA1198</f>
        <v>9065.4</v>
      </c>
      <c r="AB1200" s="482">
        <f t="shared" si="2743"/>
        <v>102854.05100000001</v>
      </c>
      <c r="AC1200" s="522">
        <f>+AC1197-AC1198</f>
        <v>6455.9</v>
      </c>
      <c r="AD1200" s="704">
        <f t="shared" ref="AD1200:AD1202" si="2761">+Y1200+AA1200+AC1200</f>
        <v>25416.1</v>
      </c>
      <c r="AE1200" s="775">
        <f t="shared" si="2745"/>
        <v>54365.5</v>
      </c>
      <c r="AF1200" s="575">
        <f t="shared" si="2746"/>
        <v>109309.951</v>
      </c>
    </row>
    <row r="1201" spans="3:35" ht="35" customHeight="1" x14ac:dyDescent="0.25">
      <c r="C1201" s="602"/>
      <c r="D1201" s="600"/>
      <c r="E1201" s="2377" t="s">
        <v>509</v>
      </c>
      <c r="F1201" s="651">
        <f>+F1200</f>
        <v>5809.8</v>
      </c>
      <c r="G1201" s="651">
        <f>+G1200</f>
        <v>6176.2</v>
      </c>
      <c r="H1201" s="644">
        <f t="shared" ref="H1201:H1202" si="2762">SUM(F1201:G1201)</f>
        <v>11986</v>
      </c>
      <c r="I1201" s="651">
        <f>+I1200</f>
        <v>9927.5509999999995</v>
      </c>
      <c r="J1201" s="2380">
        <f t="shared" si="2756"/>
        <v>21913.550999999999</v>
      </c>
      <c r="K1201" s="651">
        <f>+K1200</f>
        <v>11361.2</v>
      </c>
      <c r="L1201" s="644">
        <f t="shared" si="2757"/>
        <v>33274.751000000004</v>
      </c>
      <c r="M1201" s="651">
        <f>+M1200</f>
        <v>12702.4</v>
      </c>
      <c r="N1201" s="2218">
        <f t="shared" si="2758"/>
        <v>45977.151000000005</v>
      </c>
      <c r="O1201" s="651">
        <f>+O1200</f>
        <v>8967.2999999999993</v>
      </c>
      <c r="P1201" s="108">
        <f t="shared" ref="P1201:P1202" si="2763">+K1201+M1201+O1201</f>
        <v>33030.899999999994</v>
      </c>
      <c r="Q1201" s="2323">
        <f>+N1201+O1201</f>
        <v>54944.451000000001</v>
      </c>
      <c r="R1201" s="651">
        <f>+R1200</f>
        <v>11024.3</v>
      </c>
      <c r="S1201" s="2218">
        <f>SUM(Q1201:R1201)</f>
        <v>65968.751000000004</v>
      </c>
      <c r="T1201" s="651">
        <f>+T1200</f>
        <v>9936.2999999999993</v>
      </c>
      <c r="U1201" s="2218">
        <f t="shared" si="2760"/>
        <v>75905.051000000007</v>
      </c>
      <c r="V1201" s="651">
        <f>+V1200</f>
        <v>7988.8</v>
      </c>
      <c r="W1201" s="3118">
        <f t="shared" si="2741"/>
        <v>28949.399999999998</v>
      </c>
      <c r="X1201" s="1259">
        <f t="shared" si="2742"/>
        <v>83893.85100000001</v>
      </c>
      <c r="Y1201" s="651">
        <f>+Y1200</f>
        <v>9894.7999999999993</v>
      </c>
      <c r="Z1201" s="2218">
        <f t="shared" si="2743"/>
        <v>93788.651000000013</v>
      </c>
      <c r="AA1201" s="651">
        <f>+AA1200</f>
        <v>9065.4</v>
      </c>
      <c r="AB1201" s="3253">
        <f t="shared" si="2743"/>
        <v>102854.05100000001</v>
      </c>
      <c r="AC1201" s="651">
        <f>+AC1200</f>
        <v>6455.9</v>
      </c>
      <c r="AD1201" s="3254">
        <f t="shared" si="2761"/>
        <v>25416.1</v>
      </c>
      <c r="AE1201" s="3249">
        <f t="shared" si="2745"/>
        <v>54365.5</v>
      </c>
      <c r="AF1201" s="3250">
        <f t="shared" si="2746"/>
        <v>109309.951</v>
      </c>
    </row>
    <row r="1202" spans="3:35" ht="35" customHeight="1" thickBot="1" x14ac:dyDescent="0.3">
      <c r="C1202" s="602"/>
      <c r="D1202" s="600"/>
      <c r="E1202" s="2377" t="s">
        <v>188</v>
      </c>
      <c r="F1202" s="3431">
        <v>0</v>
      </c>
      <c r="G1202" s="3431">
        <v>0</v>
      </c>
      <c r="H1202" s="1982">
        <f t="shared" si="2762"/>
        <v>0</v>
      </c>
      <c r="I1202" s="3431">
        <v>0</v>
      </c>
      <c r="J1202" s="2381">
        <f t="shared" si="2756"/>
        <v>0</v>
      </c>
      <c r="K1202" s="3431">
        <v>0</v>
      </c>
      <c r="L1202" s="1982">
        <f t="shared" si="2757"/>
        <v>0</v>
      </c>
      <c r="M1202" s="3431">
        <v>0</v>
      </c>
      <c r="N1202" s="2971">
        <f t="shared" si="2758"/>
        <v>0</v>
      </c>
      <c r="O1202" s="3431">
        <v>0</v>
      </c>
      <c r="P1202" s="87">
        <f t="shared" si="2763"/>
        <v>0</v>
      </c>
      <c r="Q1202" s="2144">
        <f>+N1202+O1202</f>
        <v>0</v>
      </c>
      <c r="R1202" s="3431">
        <v>0</v>
      </c>
      <c r="S1202" s="2971">
        <f>SUM(Q1202:R1202)</f>
        <v>0</v>
      </c>
      <c r="T1202" s="3431">
        <v>0</v>
      </c>
      <c r="U1202" s="2971">
        <f t="shared" si="2760"/>
        <v>0</v>
      </c>
      <c r="V1202" s="3431">
        <v>0</v>
      </c>
      <c r="W1202" s="2393">
        <f t="shared" si="2741"/>
        <v>0</v>
      </c>
      <c r="X1202" s="3136">
        <f t="shared" si="2742"/>
        <v>0</v>
      </c>
      <c r="Y1202" s="3431">
        <v>0</v>
      </c>
      <c r="Z1202" s="2971">
        <f t="shared" si="2743"/>
        <v>0</v>
      </c>
      <c r="AA1202" s="3431">
        <v>0</v>
      </c>
      <c r="AB1202" s="3247">
        <f t="shared" si="2743"/>
        <v>0</v>
      </c>
      <c r="AC1202" s="3431">
        <v>0</v>
      </c>
      <c r="AD1202" s="3257">
        <f t="shared" si="2761"/>
        <v>0</v>
      </c>
      <c r="AE1202" s="3251">
        <f t="shared" si="2745"/>
        <v>0</v>
      </c>
      <c r="AF1202" s="3252">
        <f t="shared" si="2746"/>
        <v>0</v>
      </c>
    </row>
    <row r="1203" spans="3:35" ht="35" customHeight="1" thickBot="1" x14ac:dyDescent="0.3">
      <c r="C1203" s="602"/>
      <c r="D1203" s="600"/>
      <c r="E1203" s="603" t="s">
        <v>197</v>
      </c>
      <c r="F1203" s="2734">
        <f t="shared" ref="F1203:G1203" si="2764">SUM(F1201:F1202)</f>
        <v>5809.8</v>
      </c>
      <c r="G1203" s="2734">
        <f t="shared" si="2764"/>
        <v>6176.2</v>
      </c>
      <c r="H1203" s="2312">
        <f t="shared" ref="H1203:W1203" si="2765">SUM(H1201:H1202)</f>
        <v>11986</v>
      </c>
      <c r="I1203" s="2734">
        <f t="shared" si="2765"/>
        <v>9927.5509999999995</v>
      </c>
      <c r="J1203" s="2088">
        <f t="shared" si="2765"/>
        <v>21913.550999999999</v>
      </c>
      <c r="K1203" s="2734">
        <f t="shared" si="2765"/>
        <v>11361.2</v>
      </c>
      <c r="L1203" s="2312">
        <f t="shared" si="2765"/>
        <v>33274.751000000004</v>
      </c>
      <c r="M1203" s="2734">
        <f t="shared" ref="M1203:O1203" si="2766">SUM(M1201:M1202)</f>
        <v>12702.4</v>
      </c>
      <c r="N1203" s="2735">
        <f>SUM(N1201:N1202)</f>
        <v>45977.151000000005</v>
      </c>
      <c r="O1203" s="2734">
        <f t="shared" si="2766"/>
        <v>8967.2999999999993</v>
      </c>
      <c r="P1203" s="2088">
        <f t="shared" si="2765"/>
        <v>33030.899999999994</v>
      </c>
      <c r="Q1203" s="3033">
        <f t="shared" si="2765"/>
        <v>54944.451000000001</v>
      </c>
      <c r="R1203" s="2734">
        <f t="shared" si="2765"/>
        <v>11024.3</v>
      </c>
      <c r="S1203" s="2328">
        <f>SUM(S1201:S1202)</f>
        <v>65968.751000000004</v>
      </c>
      <c r="T1203" s="2734">
        <f t="shared" ref="T1203" si="2767">SUM(T1201:T1202)</f>
        <v>9936.2999999999993</v>
      </c>
      <c r="U1203" s="2328">
        <f>SUM(U1201:U1202)</f>
        <v>75905.051000000007</v>
      </c>
      <c r="V1203" s="2734">
        <f t="shared" ref="V1203" si="2768">SUM(V1201:V1202)</f>
        <v>7988.8</v>
      </c>
      <c r="W1203" s="2088">
        <f t="shared" si="2765"/>
        <v>28949.399999999998</v>
      </c>
      <c r="X1203" s="2328">
        <f>SUM(X1201:X1202)</f>
        <v>83893.85100000001</v>
      </c>
      <c r="Y1203" s="2734">
        <f t="shared" ref="Y1203" si="2769">SUM(Y1201:Y1202)</f>
        <v>9894.7999999999993</v>
      </c>
      <c r="Z1203" s="2328">
        <f>SUM(Z1201:Z1202)</f>
        <v>93788.651000000013</v>
      </c>
      <c r="AA1203" s="2734">
        <f t="shared" ref="AA1203" si="2770">SUM(AA1201:AA1202)</f>
        <v>9065.4</v>
      </c>
      <c r="AB1203" s="3248">
        <f>SUM(AB1201:AB1202)</f>
        <v>102854.05100000001</v>
      </c>
      <c r="AC1203" s="2734">
        <f t="shared" ref="AC1203" si="2771">SUM(AC1201:AC1202)</f>
        <v>6455.9</v>
      </c>
      <c r="AD1203" s="3255">
        <f t="shared" ref="AD1203:AE1203" si="2772">SUM(AD1201:AD1202)</f>
        <v>25416.1</v>
      </c>
      <c r="AE1203" s="3256">
        <f t="shared" si="2772"/>
        <v>54365.5</v>
      </c>
      <c r="AF1203" s="3248">
        <f>SUM(AF1201:AF1202)</f>
        <v>109309.951</v>
      </c>
    </row>
    <row r="1204" spans="3:35" ht="35" customHeight="1" thickTop="1" thickBot="1" x14ac:dyDescent="0.4">
      <c r="C1204" s="601"/>
      <c r="D1204" s="1431">
        <v>42</v>
      </c>
      <c r="E1204" s="2375" t="s">
        <v>538</v>
      </c>
      <c r="F1204" s="5462">
        <f>+F6</f>
        <v>30</v>
      </c>
      <c r="G1204" s="5462">
        <f>+G6</f>
        <v>31</v>
      </c>
      <c r="H1204" s="3664">
        <f>SUM(F1204:G1204)</f>
        <v>61</v>
      </c>
      <c r="I1204" s="5462">
        <f>+I6</f>
        <v>30</v>
      </c>
      <c r="J1204" s="3664">
        <f t="shared" si="2756"/>
        <v>91</v>
      </c>
      <c r="K1204" s="5462">
        <f>+K6</f>
        <v>31</v>
      </c>
      <c r="L1204" s="3664">
        <f t="shared" si="2757"/>
        <v>122</v>
      </c>
      <c r="M1204" s="3665">
        <v>31</v>
      </c>
      <c r="N1204" s="2200">
        <f t="shared" si="2758"/>
        <v>153</v>
      </c>
      <c r="O1204" s="3665">
        <v>30</v>
      </c>
      <c r="P1204" s="2201">
        <f>+K1204+M1204+O1204</f>
        <v>92</v>
      </c>
      <c r="Q1204" s="2199">
        <f>+N1204+O1204</f>
        <v>183</v>
      </c>
      <c r="R1204" s="3665">
        <v>31</v>
      </c>
      <c r="S1204" s="2199">
        <f>+Q1204+R1204</f>
        <v>214</v>
      </c>
      <c r="T1204" s="3665">
        <v>30</v>
      </c>
      <c r="U1204" s="2199">
        <f t="shared" si="2760"/>
        <v>244</v>
      </c>
      <c r="V1204" s="3665">
        <v>31</v>
      </c>
      <c r="W1204" s="102">
        <f>+R1204+T1204+V1204</f>
        <v>92</v>
      </c>
      <c r="X1204" s="183">
        <f>+U1204+V1204</f>
        <v>275</v>
      </c>
      <c r="Y1204" s="3665">
        <v>31</v>
      </c>
      <c r="Z1204" s="2199">
        <f>+X1204+Y1204</f>
        <v>306</v>
      </c>
      <c r="AA1204" s="3665">
        <v>29</v>
      </c>
      <c r="AB1204" s="2329">
        <f>SUM(Z1204:AA1204)</f>
        <v>335</v>
      </c>
      <c r="AC1204" s="3665">
        <v>31</v>
      </c>
      <c r="AD1204" s="193">
        <f>+Y1204+AA1204+AC1204</f>
        <v>91</v>
      </c>
      <c r="AE1204" s="193">
        <f>+W1204+AD1204</f>
        <v>183</v>
      </c>
      <c r="AF1204" s="2514">
        <f>+AB1204+AC1204</f>
        <v>366</v>
      </c>
    </row>
    <row r="1205" spans="3:35" ht="35" customHeight="1" thickBot="1" x14ac:dyDescent="0.3">
      <c r="C1205" s="602"/>
      <c r="D1205" s="600"/>
      <c r="E1205" s="5461" t="s">
        <v>512</v>
      </c>
      <c r="F1205" s="4597">
        <v>4767.1139999999996</v>
      </c>
      <c r="G1205" s="3339">
        <v>4928.0060000000003</v>
      </c>
      <c r="H1205" s="523">
        <f>SUM(F1205:G1205)</f>
        <v>9695.119999999999</v>
      </c>
      <c r="I1205" s="3339">
        <v>2559.2080000000001</v>
      </c>
      <c r="J1205" s="557">
        <f t="shared" si="2756"/>
        <v>12254.328</v>
      </c>
      <c r="K1205" s="3339">
        <v>3149.9070000000002</v>
      </c>
      <c r="L1205" s="523">
        <f t="shared" si="2757"/>
        <v>15404.235000000001</v>
      </c>
      <c r="M1205" s="3339">
        <v>5609.1030000000001</v>
      </c>
      <c r="N1205" s="523">
        <f t="shared" si="2758"/>
        <v>21013.338</v>
      </c>
      <c r="O1205" s="3339">
        <v>4767.9480000000003</v>
      </c>
      <c r="P1205" s="778">
        <f t="shared" ref="P1205:P1207" si="2773">+K1205+M1205+O1205</f>
        <v>13526.958000000001</v>
      </c>
      <c r="Q1205" s="3034">
        <f>+N1205+O1205</f>
        <v>25781.286</v>
      </c>
      <c r="R1205" s="3339">
        <v>5242.9610000000002</v>
      </c>
      <c r="S1205" s="250">
        <f>SUM(Q1205:R1205)</f>
        <v>31024.246999999999</v>
      </c>
      <c r="T1205" s="3339">
        <v>4818.0780000000004</v>
      </c>
      <c r="U1205" s="250">
        <f t="shared" si="2760"/>
        <v>35842.324999999997</v>
      </c>
      <c r="V1205" s="3339">
        <v>4956.3490000000002</v>
      </c>
      <c r="W1205" s="1209">
        <f t="shared" ref="W1205:W1214" si="2774">+R1205+T1205+V1205</f>
        <v>15017.388000000001</v>
      </c>
      <c r="X1205" s="597">
        <f t="shared" ref="X1205:X1214" si="2775">+U1205+V1205</f>
        <v>40798.673999999999</v>
      </c>
      <c r="Y1205" s="3339">
        <v>5021.759</v>
      </c>
      <c r="Z1205" s="250">
        <f>SUM(X1205:Y1205)</f>
        <v>45820.432999999997</v>
      </c>
      <c r="AA1205" s="3339">
        <v>8027.97</v>
      </c>
      <c r="AB1205" s="77">
        <f>SUM(Z1205:AA1205)</f>
        <v>53848.402999999998</v>
      </c>
      <c r="AC1205" s="3339">
        <v>5688.0649999999996</v>
      </c>
      <c r="AD1205" s="704">
        <f t="shared" ref="AD1205:AD1214" si="2776">+Y1205+AA1205+AC1205</f>
        <v>18737.793999999998</v>
      </c>
      <c r="AE1205" s="1294">
        <f t="shared" ref="AE1205:AE1214" si="2777">+W1205+AD1205</f>
        <v>33755.182000000001</v>
      </c>
      <c r="AF1205" s="575">
        <f t="shared" ref="AF1205:AF1214" si="2778">+AB1205+AC1205</f>
        <v>59536.468000000001</v>
      </c>
    </row>
    <row r="1206" spans="3:35" ht="35" customHeight="1" x14ac:dyDescent="0.25">
      <c r="C1206" s="602"/>
      <c r="D1206" s="600"/>
      <c r="E1206" s="493" t="s">
        <v>509</v>
      </c>
      <c r="F1206" s="3319">
        <v>2334.4259999999999</v>
      </c>
      <c r="G1206" s="3161">
        <v>663.75300000000004</v>
      </c>
      <c r="H1206" s="1813">
        <f t="shared" ref="H1206:H1214" si="2779">SUM(F1206:G1206)</f>
        <v>2998.1790000000001</v>
      </c>
      <c r="I1206" s="3161">
        <v>939.14700000000005</v>
      </c>
      <c r="J1206" s="558">
        <f t="shared" si="2756"/>
        <v>3937.326</v>
      </c>
      <c r="K1206" s="3161">
        <v>1234.3520000000001</v>
      </c>
      <c r="L1206" s="296">
        <f t="shared" si="2757"/>
        <v>5171.6779999999999</v>
      </c>
      <c r="M1206" s="3161">
        <v>96.375</v>
      </c>
      <c r="N1206" s="789">
        <f t="shared" si="2758"/>
        <v>5268.0529999999999</v>
      </c>
      <c r="O1206" s="3161">
        <v>1406.9390000000001</v>
      </c>
      <c r="P1206" s="108">
        <f t="shared" si="2773"/>
        <v>2737.6660000000002</v>
      </c>
      <c r="Q1206" s="2323">
        <f>+N1206+O1206</f>
        <v>6674.9920000000002</v>
      </c>
      <c r="R1206" s="3161">
        <v>510.86</v>
      </c>
      <c r="S1206" s="789">
        <f>SUM(Q1206:R1206)</f>
        <v>7185.8519999999999</v>
      </c>
      <c r="T1206" s="3161">
        <v>338.84300000000002</v>
      </c>
      <c r="U1206" s="789">
        <f t="shared" si="2760"/>
        <v>7524.6949999999997</v>
      </c>
      <c r="V1206" s="3161">
        <v>294.58</v>
      </c>
      <c r="W1206" s="398">
        <f t="shared" si="2774"/>
        <v>1144.2829999999999</v>
      </c>
      <c r="X1206" s="210">
        <f t="shared" si="2775"/>
        <v>7819.2749999999996</v>
      </c>
      <c r="Y1206" s="3161">
        <v>537.553</v>
      </c>
      <c r="Z1206" s="789">
        <f>SUM(X1206:Y1206)</f>
        <v>8356.8279999999995</v>
      </c>
      <c r="AA1206" s="3161">
        <v>232.92099999999999</v>
      </c>
      <c r="AB1206" s="501">
        <f t="shared" ref="AB1206:AB1214" si="2780">SUM(Z1206:AA1206)</f>
        <v>8589.7489999999998</v>
      </c>
      <c r="AC1206" s="3161">
        <v>320.99</v>
      </c>
      <c r="AD1206" s="713">
        <f t="shared" si="2776"/>
        <v>1091.4639999999999</v>
      </c>
      <c r="AE1206" s="1290">
        <f t="shared" si="2777"/>
        <v>2235.7469999999998</v>
      </c>
      <c r="AF1206" s="712">
        <f t="shared" si="2778"/>
        <v>8910.7389999999996</v>
      </c>
    </row>
    <row r="1207" spans="3:35" ht="35" customHeight="1" x14ac:dyDescent="0.25">
      <c r="C1207" s="602"/>
      <c r="D1207" s="600"/>
      <c r="E1207" s="493" t="s">
        <v>1147</v>
      </c>
      <c r="F1207" s="3319">
        <v>69.691999999999993</v>
      </c>
      <c r="G1207" s="3161">
        <v>69.978999999999999</v>
      </c>
      <c r="H1207" s="1813">
        <f t="shared" si="2779"/>
        <v>139.67099999999999</v>
      </c>
      <c r="I1207" s="3161">
        <v>70.084999999999994</v>
      </c>
      <c r="J1207" s="558">
        <f t="shared" si="2756"/>
        <v>209.75599999999997</v>
      </c>
      <c r="K1207" s="3161">
        <v>75.37</v>
      </c>
      <c r="L1207" s="296">
        <f t="shared" si="2757"/>
        <v>285.12599999999998</v>
      </c>
      <c r="M1207" s="3161">
        <v>79.317999999999998</v>
      </c>
      <c r="N1207" s="501">
        <f t="shared" si="2758"/>
        <v>364.44399999999996</v>
      </c>
      <c r="O1207" s="3161">
        <v>71.641999999999996</v>
      </c>
      <c r="P1207" s="87">
        <f t="shared" si="2773"/>
        <v>226.32999999999998</v>
      </c>
      <c r="Q1207" s="2144">
        <f>+N1207+O1207</f>
        <v>436.08599999999996</v>
      </c>
      <c r="R1207" s="3161">
        <v>75.263999999999996</v>
      </c>
      <c r="S1207" s="501">
        <f>SUM(Q1207:R1207)</f>
        <v>511.34999999999997</v>
      </c>
      <c r="T1207" s="3161">
        <v>74.426000000000002</v>
      </c>
      <c r="U1207" s="501">
        <f t="shared" si="2760"/>
        <v>585.77599999999995</v>
      </c>
      <c r="V1207" s="3161">
        <v>78.647000000000006</v>
      </c>
      <c r="W1207" s="398">
        <f t="shared" si="2774"/>
        <v>228.33699999999999</v>
      </c>
      <c r="X1207" s="210">
        <f t="shared" si="2775"/>
        <v>664.423</v>
      </c>
      <c r="Y1207" s="3161">
        <v>70.19</v>
      </c>
      <c r="Z1207" s="501">
        <f t="shared" ref="Z1207:Z1214" si="2781">SUM(X1207:Y1207)</f>
        <v>734.61300000000006</v>
      </c>
      <c r="AA1207" s="3161">
        <v>72.727000000000004</v>
      </c>
      <c r="AB1207" s="501">
        <f t="shared" si="2780"/>
        <v>807.34</v>
      </c>
      <c r="AC1207" s="3161">
        <v>75.263999999999996</v>
      </c>
      <c r="AD1207" s="815">
        <f t="shared" si="2776"/>
        <v>218.18099999999998</v>
      </c>
      <c r="AE1207" s="1290">
        <f t="shared" si="2777"/>
        <v>446.51799999999997</v>
      </c>
      <c r="AF1207" s="712">
        <f t="shared" si="2778"/>
        <v>882.60400000000004</v>
      </c>
    </row>
    <row r="1208" spans="3:35" ht="35" customHeight="1" x14ac:dyDescent="0.25">
      <c r="C1208" s="602"/>
      <c r="D1208" s="600"/>
      <c r="E1208" s="493" t="s">
        <v>192</v>
      </c>
      <c r="F1208" s="3319">
        <v>0</v>
      </c>
      <c r="G1208" s="3161">
        <v>0</v>
      </c>
      <c r="H1208" s="1813">
        <f t="shared" si="2779"/>
        <v>0</v>
      </c>
      <c r="I1208" s="3161">
        <v>0</v>
      </c>
      <c r="J1208" s="558">
        <f t="shared" ref="J1208:J1214" si="2782">SUM(H1208:I1208)</f>
        <v>0</v>
      </c>
      <c r="K1208" s="3161">
        <v>458.66800000000001</v>
      </c>
      <c r="L1208" s="296">
        <f t="shared" si="2757"/>
        <v>458.66800000000001</v>
      </c>
      <c r="M1208" s="3161">
        <v>0</v>
      </c>
      <c r="N1208" s="501">
        <f t="shared" ref="N1208:N1214" si="2783">SUM(L1208:M1208)</f>
        <v>458.66800000000001</v>
      </c>
      <c r="O1208" s="3161">
        <v>0</v>
      </c>
      <c r="P1208" s="87">
        <f t="shared" ref="P1208:P1214" si="2784">+K1208+M1208+O1208</f>
        <v>458.66800000000001</v>
      </c>
      <c r="Q1208" s="2144">
        <f t="shared" ref="Q1208:Q1214" si="2785">+N1208+O1208</f>
        <v>458.66800000000001</v>
      </c>
      <c r="R1208" s="3161">
        <v>0</v>
      </c>
      <c r="S1208" s="501">
        <f t="shared" ref="S1208:U1214" si="2786">SUM(Q1208:R1208)</f>
        <v>458.66800000000001</v>
      </c>
      <c r="T1208" s="3161">
        <v>0</v>
      </c>
      <c r="U1208" s="501">
        <f t="shared" si="2786"/>
        <v>458.66800000000001</v>
      </c>
      <c r="V1208" s="3161">
        <v>0</v>
      </c>
      <c r="W1208" s="398">
        <f t="shared" si="2774"/>
        <v>0</v>
      </c>
      <c r="X1208" s="210">
        <f t="shared" si="2775"/>
        <v>458.66800000000001</v>
      </c>
      <c r="Y1208" s="3161">
        <v>0</v>
      </c>
      <c r="Z1208" s="501">
        <f t="shared" si="2781"/>
        <v>458.66800000000001</v>
      </c>
      <c r="AA1208" s="3161">
        <v>0</v>
      </c>
      <c r="AB1208" s="501">
        <f t="shared" si="2780"/>
        <v>458.66800000000001</v>
      </c>
      <c r="AC1208" s="3161">
        <v>0</v>
      </c>
      <c r="AD1208" s="815">
        <f t="shared" si="2776"/>
        <v>0</v>
      </c>
      <c r="AE1208" s="1290">
        <f t="shared" si="2777"/>
        <v>0</v>
      </c>
      <c r="AF1208" s="712">
        <f t="shared" si="2778"/>
        <v>458.66800000000001</v>
      </c>
    </row>
    <row r="1209" spans="3:35" ht="35" customHeight="1" x14ac:dyDescent="0.25">
      <c r="C1209" s="602"/>
      <c r="D1209" s="600"/>
      <c r="E1209" s="974" t="s">
        <v>510</v>
      </c>
      <c r="F1209" s="3262">
        <v>437.154</v>
      </c>
      <c r="G1209" s="3153">
        <v>400.21100000000001</v>
      </c>
      <c r="H1209" s="1813">
        <f t="shared" si="2779"/>
        <v>837.36500000000001</v>
      </c>
      <c r="I1209" s="3153">
        <v>228.858</v>
      </c>
      <c r="J1209" s="558">
        <f t="shared" si="2782"/>
        <v>1066.223</v>
      </c>
      <c r="K1209" s="3153">
        <v>0</v>
      </c>
      <c r="L1209" s="296">
        <f t="shared" si="2757"/>
        <v>1066.223</v>
      </c>
      <c r="M1209" s="3153">
        <v>481.02300000000002</v>
      </c>
      <c r="N1209" s="501">
        <f t="shared" si="2783"/>
        <v>1547.2460000000001</v>
      </c>
      <c r="O1209" s="3153">
        <v>433.95699999999999</v>
      </c>
      <c r="P1209" s="87">
        <f t="shared" si="2784"/>
        <v>914.98</v>
      </c>
      <c r="Q1209" s="2144">
        <f t="shared" si="2785"/>
        <v>1981.203</v>
      </c>
      <c r="R1209" s="3153">
        <v>597.04</v>
      </c>
      <c r="S1209" s="501">
        <f t="shared" si="2786"/>
        <v>2578.2429999999999</v>
      </c>
      <c r="T1209" s="3153">
        <v>605.49699999999996</v>
      </c>
      <c r="U1209" s="501">
        <f t="shared" ref="U1209:U1214" si="2787">SUM(S1209:T1209)</f>
        <v>3183.74</v>
      </c>
      <c r="V1209" s="3153">
        <v>619.02700000000004</v>
      </c>
      <c r="W1209" s="398">
        <f t="shared" si="2774"/>
        <v>1821.5639999999999</v>
      </c>
      <c r="X1209" s="210">
        <f t="shared" si="2775"/>
        <v>3802.7669999999998</v>
      </c>
      <c r="Y1209" s="3153">
        <v>476.95600000000002</v>
      </c>
      <c r="Z1209" s="501">
        <f t="shared" si="2781"/>
        <v>4279.723</v>
      </c>
      <c r="AA1209" s="3153">
        <v>441.43799999999999</v>
      </c>
      <c r="AB1209" s="501">
        <f t="shared" si="2780"/>
        <v>4721.1610000000001</v>
      </c>
      <c r="AC1209" s="3153">
        <v>466.80799999999999</v>
      </c>
      <c r="AD1209" s="815">
        <f t="shared" si="2776"/>
        <v>1385.202</v>
      </c>
      <c r="AE1209" s="1290">
        <f t="shared" si="2777"/>
        <v>3206.7659999999996</v>
      </c>
      <c r="AF1209" s="712">
        <f t="shared" si="2778"/>
        <v>5187.9690000000001</v>
      </c>
    </row>
    <row r="1210" spans="3:35" ht="35" customHeight="1" x14ac:dyDescent="0.25">
      <c r="C1210" s="602"/>
      <c r="D1210" s="600"/>
      <c r="E1210" s="493" t="s">
        <v>401</v>
      </c>
      <c r="F1210" s="3262">
        <v>0</v>
      </c>
      <c r="G1210" s="3153">
        <v>0</v>
      </c>
      <c r="H1210" s="1813">
        <f t="shared" si="2779"/>
        <v>0</v>
      </c>
      <c r="I1210" s="3153">
        <v>0</v>
      </c>
      <c r="J1210" s="558">
        <f t="shared" si="2782"/>
        <v>0</v>
      </c>
      <c r="K1210" s="3153">
        <v>0</v>
      </c>
      <c r="L1210" s="296">
        <f t="shared" ref="L1210:L1214" si="2788">SUM(J1210:K1210)</f>
        <v>0</v>
      </c>
      <c r="M1210" s="3153">
        <v>1214.0930000000001</v>
      </c>
      <c r="N1210" s="501">
        <f t="shared" si="2783"/>
        <v>1214.0930000000001</v>
      </c>
      <c r="O1210" s="3153">
        <v>159.44499999999999</v>
      </c>
      <c r="P1210" s="87">
        <f t="shared" si="2784"/>
        <v>1373.538</v>
      </c>
      <c r="Q1210" s="2144">
        <f t="shared" si="2785"/>
        <v>1373.538</v>
      </c>
      <c r="R1210" s="3153">
        <v>738.32399999999996</v>
      </c>
      <c r="S1210" s="501">
        <f t="shared" si="2786"/>
        <v>2111.8620000000001</v>
      </c>
      <c r="T1210" s="3153">
        <v>346.31299999999999</v>
      </c>
      <c r="U1210" s="501">
        <f t="shared" si="2787"/>
        <v>2458.1750000000002</v>
      </c>
      <c r="V1210" s="3153">
        <v>0</v>
      </c>
      <c r="W1210" s="398">
        <f t="shared" si="2774"/>
        <v>1084.6369999999999</v>
      </c>
      <c r="X1210" s="210">
        <f t="shared" si="2775"/>
        <v>2458.1750000000002</v>
      </c>
      <c r="Y1210" s="3153">
        <v>905.28800000000001</v>
      </c>
      <c r="Z1210" s="501">
        <f t="shared" si="2781"/>
        <v>3363.4630000000002</v>
      </c>
      <c r="AA1210" s="3153">
        <v>1178.7819999999999</v>
      </c>
      <c r="AB1210" s="501">
        <f t="shared" si="2780"/>
        <v>4542.2449999999999</v>
      </c>
      <c r="AC1210" s="3153">
        <v>1199.5619999999999</v>
      </c>
      <c r="AD1210" s="815">
        <f t="shared" si="2776"/>
        <v>3283.6319999999996</v>
      </c>
      <c r="AE1210" s="1290">
        <f t="shared" si="2777"/>
        <v>4368.2689999999993</v>
      </c>
      <c r="AF1210" s="712">
        <f t="shared" si="2778"/>
        <v>5741.8069999999998</v>
      </c>
      <c r="AI1210" s="4756">
        <f>+I1205-I1215</f>
        <v>0</v>
      </c>
    </row>
    <row r="1211" spans="3:35" ht="35" customHeight="1" x14ac:dyDescent="0.25">
      <c r="C1211" s="602"/>
      <c r="D1211" s="600"/>
      <c r="E1211" s="493" t="s">
        <v>318</v>
      </c>
      <c r="F1211" s="3262">
        <v>708.97</v>
      </c>
      <c r="G1211" s="3153">
        <v>1671.6</v>
      </c>
      <c r="H1211" s="1813">
        <f t="shared" si="2779"/>
        <v>2380.5699999999997</v>
      </c>
      <c r="I1211" s="3153">
        <v>580.27499999999998</v>
      </c>
      <c r="J1211" s="558">
        <f t="shared" si="2782"/>
        <v>2960.8449999999998</v>
      </c>
      <c r="K1211" s="3153">
        <v>319.14299999999997</v>
      </c>
      <c r="L1211" s="296">
        <f t="shared" si="2788"/>
        <v>3279.9879999999998</v>
      </c>
      <c r="M1211" s="3153">
        <v>2374.7310000000002</v>
      </c>
      <c r="N1211" s="501">
        <f t="shared" si="2783"/>
        <v>5654.7190000000001</v>
      </c>
      <c r="O1211" s="3153">
        <v>1340.309</v>
      </c>
      <c r="P1211" s="87">
        <f t="shared" si="2784"/>
        <v>4034.183</v>
      </c>
      <c r="Q1211" s="2144">
        <f t="shared" si="2785"/>
        <v>6995.0280000000002</v>
      </c>
      <c r="R1211" s="3153">
        <v>2203.7359999999999</v>
      </c>
      <c r="S1211" s="501">
        <f t="shared" si="2786"/>
        <v>9198.7639999999992</v>
      </c>
      <c r="T1211" s="3153">
        <v>2008.4190000000001</v>
      </c>
      <c r="U1211" s="501">
        <f t="shared" si="2787"/>
        <v>11207.182999999999</v>
      </c>
      <c r="V1211" s="3153">
        <v>2503.5329999999999</v>
      </c>
      <c r="W1211" s="398">
        <f t="shared" si="2774"/>
        <v>6715.6880000000001</v>
      </c>
      <c r="X1211" s="210">
        <f t="shared" si="2775"/>
        <v>13710.715999999999</v>
      </c>
      <c r="Y1211" s="3153">
        <v>1702.345</v>
      </c>
      <c r="Z1211" s="501">
        <f t="shared" si="2781"/>
        <v>15413.060999999998</v>
      </c>
      <c r="AA1211" s="3153">
        <v>2230.5749999999998</v>
      </c>
      <c r="AB1211" s="501">
        <f t="shared" si="2780"/>
        <v>17643.635999999999</v>
      </c>
      <c r="AC1211" s="3153">
        <v>2052.7220000000002</v>
      </c>
      <c r="AD1211" s="815">
        <f t="shared" si="2776"/>
        <v>5985.6419999999998</v>
      </c>
      <c r="AE1211" s="1290">
        <f t="shared" si="2777"/>
        <v>12701.33</v>
      </c>
      <c r="AF1211" s="712">
        <f t="shared" si="2778"/>
        <v>19696.358</v>
      </c>
    </row>
    <row r="1212" spans="3:35" ht="35" customHeight="1" x14ac:dyDescent="0.25">
      <c r="C1212" s="602"/>
      <c r="D1212" s="600"/>
      <c r="E1212" s="493" t="s">
        <v>56</v>
      </c>
      <c r="F1212" s="3262">
        <v>901.55899999999997</v>
      </c>
      <c r="G1212" s="3153">
        <v>774.11</v>
      </c>
      <c r="H1212" s="1813">
        <f t="shared" si="2779"/>
        <v>1675.6689999999999</v>
      </c>
      <c r="I1212" s="3153">
        <v>463.98700000000002</v>
      </c>
      <c r="J1212" s="558">
        <f t="shared" si="2782"/>
        <v>2139.6559999999999</v>
      </c>
      <c r="K1212" s="3153">
        <v>875.32299999999998</v>
      </c>
      <c r="L1212" s="296">
        <f t="shared" si="2788"/>
        <v>3014.9789999999998</v>
      </c>
      <c r="M1212" s="3153">
        <v>1204.9269999999999</v>
      </c>
      <c r="N1212" s="501">
        <f t="shared" si="2783"/>
        <v>4219.9059999999999</v>
      </c>
      <c r="O1212" s="3153">
        <v>1209.973</v>
      </c>
      <c r="P1212" s="87">
        <f t="shared" si="2784"/>
        <v>3290.223</v>
      </c>
      <c r="Q1212" s="2144">
        <f t="shared" si="2785"/>
        <v>5429.8789999999999</v>
      </c>
      <c r="R1212" s="3153">
        <v>960.44299999999998</v>
      </c>
      <c r="S1212" s="501">
        <f t="shared" si="2786"/>
        <v>6390.3220000000001</v>
      </c>
      <c r="T1212" s="3153">
        <v>1292.3610000000001</v>
      </c>
      <c r="U1212" s="501">
        <f t="shared" si="2787"/>
        <v>7682.683</v>
      </c>
      <c r="V1212" s="3153">
        <v>1303.2670000000001</v>
      </c>
      <c r="W1212" s="398">
        <f t="shared" si="2774"/>
        <v>3556.0709999999999</v>
      </c>
      <c r="X1212" s="210">
        <f t="shared" si="2775"/>
        <v>8985.9500000000007</v>
      </c>
      <c r="Y1212" s="3153">
        <v>1172.134</v>
      </c>
      <c r="Z1212" s="501">
        <f t="shared" si="2781"/>
        <v>10158.084000000001</v>
      </c>
      <c r="AA1212" s="3153">
        <v>1451.796</v>
      </c>
      <c r="AB1212" s="501">
        <f t="shared" si="2780"/>
        <v>11609.880000000001</v>
      </c>
      <c r="AC1212" s="3153">
        <v>1415.425</v>
      </c>
      <c r="AD1212" s="815">
        <f t="shared" si="2776"/>
        <v>4039.3550000000005</v>
      </c>
      <c r="AE1212" s="1290">
        <f t="shared" si="2777"/>
        <v>7595.4260000000004</v>
      </c>
      <c r="AF1212" s="712">
        <f t="shared" si="2778"/>
        <v>13025.305</v>
      </c>
    </row>
    <row r="1213" spans="3:35" ht="35" customHeight="1" x14ac:dyDescent="0.25">
      <c r="C1213" s="602"/>
      <c r="D1213" s="600"/>
      <c r="E1213" s="493" t="s">
        <v>287</v>
      </c>
      <c r="F1213" s="3323">
        <v>163.25299999999999</v>
      </c>
      <c r="G1213" s="3117">
        <v>1191.059</v>
      </c>
      <c r="H1213" s="1813">
        <f t="shared" si="2779"/>
        <v>1354.3119999999999</v>
      </c>
      <c r="I1213" s="3117">
        <v>129.07599999999999</v>
      </c>
      <c r="J1213" s="558">
        <f t="shared" si="2782"/>
        <v>1483.3879999999999</v>
      </c>
      <c r="K1213" s="3153">
        <v>30.074000000000002</v>
      </c>
      <c r="L1213" s="296">
        <f t="shared" si="2788"/>
        <v>1513.462</v>
      </c>
      <c r="M1213" s="3117">
        <v>0</v>
      </c>
      <c r="N1213" s="501">
        <f t="shared" si="2783"/>
        <v>1513.462</v>
      </c>
      <c r="O1213" s="3117">
        <v>0</v>
      </c>
      <c r="P1213" s="87">
        <f t="shared" si="2784"/>
        <v>30.074000000000002</v>
      </c>
      <c r="Q1213" s="2144">
        <f t="shared" si="2785"/>
        <v>1513.462</v>
      </c>
      <c r="R1213" s="3117">
        <v>0</v>
      </c>
      <c r="S1213" s="501">
        <f t="shared" si="2786"/>
        <v>1513.462</v>
      </c>
      <c r="T1213" s="3117">
        <v>0</v>
      </c>
      <c r="U1213" s="501">
        <f t="shared" si="2787"/>
        <v>1513.462</v>
      </c>
      <c r="V1213" s="3117">
        <v>0</v>
      </c>
      <c r="W1213" s="398">
        <f t="shared" si="2774"/>
        <v>0</v>
      </c>
      <c r="X1213" s="210">
        <f t="shared" si="2775"/>
        <v>1513.462</v>
      </c>
      <c r="Y1213" s="3117">
        <v>0</v>
      </c>
      <c r="Z1213" s="501">
        <f t="shared" si="2781"/>
        <v>1513.462</v>
      </c>
      <c r="AA1213" s="3117">
        <v>0</v>
      </c>
      <c r="AB1213" s="501">
        <f t="shared" si="2780"/>
        <v>1513.462</v>
      </c>
      <c r="AC1213" s="3117">
        <v>0</v>
      </c>
      <c r="AD1213" s="815">
        <f t="shared" si="2776"/>
        <v>0</v>
      </c>
      <c r="AE1213" s="1290">
        <f t="shared" si="2777"/>
        <v>0</v>
      </c>
      <c r="AF1213" s="712">
        <f t="shared" si="2778"/>
        <v>1513.462</v>
      </c>
    </row>
    <row r="1214" spans="3:35" ht="35" customHeight="1" thickBot="1" x14ac:dyDescent="0.3">
      <c r="C1214" s="602"/>
      <c r="D1214" s="600"/>
      <c r="E1214" s="493" t="s">
        <v>511</v>
      </c>
      <c r="F1214" s="3262">
        <v>152.06100000000001</v>
      </c>
      <c r="G1214" s="3153">
        <v>157.29400000000001</v>
      </c>
      <c r="H1214" s="1813">
        <f t="shared" si="2779"/>
        <v>309.35500000000002</v>
      </c>
      <c r="I1214" s="3153">
        <v>147.78</v>
      </c>
      <c r="J1214" s="558">
        <f t="shared" si="2782"/>
        <v>457.13499999999999</v>
      </c>
      <c r="K1214" s="3153">
        <v>156.977</v>
      </c>
      <c r="L1214" s="579">
        <f t="shared" si="2788"/>
        <v>614.11199999999997</v>
      </c>
      <c r="M1214" s="3153">
        <v>158.63499999999999</v>
      </c>
      <c r="N1214" s="501">
        <f t="shared" si="2783"/>
        <v>772.74699999999996</v>
      </c>
      <c r="O1214" s="3153">
        <v>145.684</v>
      </c>
      <c r="P1214" s="87">
        <f t="shared" si="2784"/>
        <v>461.29599999999994</v>
      </c>
      <c r="Q1214" s="2144">
        <f t="shared" si="2785"/>
        <v>918.43099999999993</v>
      </c>
      <c r="R1214" s="3153">
        <v>157.29400000000001</v>
      </c>
      <c r="S1214" s="501">
        <f t="shared" si="2786"/>
        <v>1075.7249999999999</v>
      </c>
      <c r="T1214" s="3153">
        <v>152.22</v>
      </c>
      <c r="U1214" s="501">
        <f t="shared" si="2787"/>
        <v>1227.9449999999999</v>
      </c>
      <c r="V1214" s="3153">
        <v>157.29400000000001</v>
      </c>
      <c r="W1214" s="398">
        <f t="shared" si="2774"/>
        <v>466.80799999999999</v>
      </c>
      <c r="X1214" s="2368">
        <f t="shared" si="2775"/>
        <v>1385.239</v>
      </c>
      <c r="Y1214" s="3153">
        <v>157.29400000000001</v>
      </c>
      <c r="Z1214" s="501">
        <f t="shared" si="2781"/>
        <v>1542.5330000000001</v>
      </c>
      <c r="AA1214" s="3153">
        <v>147.14599999999999</v>
      </c>
      <c r="AB1214" s="501">
        <f t="shared" si="2780"/>
        <v>1689.6790000000001</v>
      </c>
      <c r="AC1214" s="3153">
        <v>157.29400000000001</v>
      </c>
      <c r="AD1214" s="815">
        <f t="shared" si="2776"/>
        <v>461.73400000000004</v>
      </c>
      <c r="AE1214" s="1290">
        <f t="shared" si="2777"/>
        <v>928.54200000000003</v>
      </c>
      <c r="AF1214" s="712">
        <f t="shared" si="2778"/>
        <v>1846.9730000000002</v>
      </c>
    </row>
    <row r="1215" spans="3:35" ht="35" customHeight="1" thickBot="1" x14ac:dyDescent="0.3">
      <c r="C1215" s="539"/>
      <c r="D1215" s="604"/>
      <c r="E1215" s="2378" t="s">
        <v>197</v>
      </c>
      <c r="F1215" s="5463">
        <f t="shared" ref="F1215:G1215" si="2789">SUM(F1206:F1214)</f>
        <v>4767.1149999999998</v>
      </c>
      <c r="G1215" s="517">
        <f t="shared" si="2789"/>
        <v>4928.0060000000003</v>
      </c>
      <c r="H1215" s="2312">
        <f t="shared" ref="H1215:N1215" si="2790">SUM(H1206:H1214)</f>
        <v>9695.1209999999992</v>
      </c>
      <c r="I1215" s="517">
        <f t="shared" si="2790"/>
        <v>2559.2080000000005</v>
      </c>
      <c r="J1215" s="1939">
        <f t="shared" si="2790"/>
        <v>12254.329</v>
      </c>
      <c r="K1215" s="517">
        <f t="shared" si="2790"/>
        <v>3149.9070000000002</v>
      </c>
      <c r="L1215" s="2312">
        <f t="shared" si="2790"/>
        <v>15404.235999999997</v>
      </c>
      <c r="M1215" s="517">
        <f t="shared" ref="M1215:O1215" si="2791">SUM(M1206:M1214)</f>
        <v>5609.1020000000008</v>
      </c>
      <c r="N1215" s="524">
        <f t="shared" si="2790"/>
        <v>21013.337999999996</v>
      </c>
      <c r="O1215" s="517">
        <f t="shared" si="2791"/>
        <v>4767.9490000000005</v>
      </c>
      <c r="P1215" s="1939">
        <f>SUM(P1206:P1214)</f>
        <v>13526.958000000002</v>
      </c>
      <c r="Q1215" s="2246">
        <f>SUM(Q1206:Q1214)</f>
        <v>25781.287</v>
      </c>
      <c r="R1215" s="517">
        <f t="shared" ref="R1215" si="2792">SUM(R1206:R1214)</f>
        <v>5242.9610000000002</v>
      </c>
      <c r="S1215" s="2312">
        <f t="shared" ref="S1215:V1215" si="2793">SUM(S1206:S1214)</f>
        <v>31024.247999999996</v>
      </c>
      <c r="T1215" s="517">
        <f t="shared" si="2793"/>
        <v>4818.0790000000006</v>
      </c>
      <c r="U1215" s="2312">
        <f t="shared" si="2793"/>
        <v>35842.326999999997</v>
      </c>
      <c r="V1215" s="517">
        <f t="shared" si="2793"/>
        <v>4956.348</v>
      </c>
      <c r="W1215" s="413">
        <f>SUM(W1206:W1214)</f>
        <v>15017.387999999999</v>
      </c>
      <c r="X1215" s="412">
        <f t="shared" ref="X1215:Y1215" si="2794">SUM(X1206:X1214)</f>
        <v>40798.675000000003</v>
      </c>
      <c r="Y1215" s="517">
        <f t="shared" si="2794"/>
        <v>5021.76</v>
      </c>
      <c r="Z1215" s="2312">
        <f t="shared" ref="Z1215:AC1215" si="2795">SUM(Z1206:Z1214)</f>
        <v>45820.434999999998</v>
      </c>
      <c r="AA1215" s="517">
        <f t="shared" si="2795"/>
        <v>5755.3849999999993</v>
      </c>
      <c r="AB1215" s="412">
        <f t="shared" si="2795"/>
        <v>51575.820000000007</v>
      </c>
      <c r="AC1215" s="517">
        <f t="shared" si="2795"/>
        <v>5688.0649999999996</v>
      </c>
      <c r="AD1215" s="1429">
        <f>SUM(AD1206:AD1214)</f>
        <v>16465.21</v>
      </c>
      <c r="AE1215" s="1430">
        <f>SUM(AE1206:AE1214)</f>
        <v>31482.597999999998</v>
      </c>
      <c r="AF1215" s="1432">
        <f>SUM(AF1206:AF1214)</f>
        <v>57263.885000000002</v>
      </c>
    </row>
    <row r="1216" spans="3:35" ht="35" customHeight="1" thickTop="1" thickBot="1" x14ac:dyDescent="0.3">
      <c r="D1216" s="7"/>
      <c r="E1216" s="7"/>
      <c r="F1216" s="3666"/>
      <c r="G1216" s="3666"/>
      <c r="H1216" s="3666"/>
      <c r="I1216" s="3666"/>
      <c r="J1216" s="3666"/>
      <c r="K1216" s="3666"/>
      <c r="L1216" s="3666"/>
      <c r="M1216" s="3666"/>
      <c r="N1216" s="2972"/>
      <c r="O1216" s="3666"/>
      <c r="P1216" s="2202"/>
      <c r="Q1216" s="2202"/>
      <c r="R1216" s="3666"/>
      <c r="S1216" s="2202"/>
      <c r="T1216" s="3666"/>
      <c r="U1216" s="2202"/>
      <c r="V1216" s="3666"/>
      <c r="W1216" s="359"/>
      <c r="X1216" s="7"/>
      <c r="Y1216" s="3666"/>
      <c r="Z1216" s="2202"/>
      <c r="AA1216" s="3666"/>
      <c r="AB1216" s="7"/>
      <c r="AC1216" s="3666"/>
      <c r="AD1216" s="7"/>
      <c r="AE1216" s="1471"/>
      <c r="AF1216" s="7"/>
    </row>
    <row r="1217" spans="1:32" ht="35" customHeight="1" thickTop="1" thickBot="1" x14ac:dyDescent="0.3">
      <c r="C1217" s="329"/>
      <c r="D1217" s="379"/>
      <c r="E1217" s="380" t="s">
        <v>1</v>
      </c>
      <c r="F1217" s="3668" t="s">
        <v>9</v>
      </c>
      <c r="G1217" s="3668" t="s">
        <v>51</v>
      </c>
      <c r="H1217" s="3667" t="s">
        <v>52</v>
      </c>
      <c r="I1217" s="3668" t="s">
        <v>1073</v>
      </c>
      <c r="J1217" s="3667" t="s">
        <v>60</v>
      </c>
      <c r="K1217" s="3668" t="s">
        <v>2117</v>
      </c>
      <c r="L1217" s="3667" t="s">
        <v>62</v>
      </c>
      <c r="M1217" s="3668" t="s">
        <v>63</v>
      </c>
      <c r="N1217" s="383" t="s">
        <v>64</v>
      </c>
      <c r="O1217" s="3668" t="s">
        <v>65</v>
      </c>
      <c r="P1217" s="382" t="s">
        <v>66</v>
      </c>
      <c r="Q1217" s="2167" t="s">
        <v>82</v>
      </c>
      <c r="R1217" s="3668" t="s">
        <v>100</v>
      </c>
      <c r="S1217" s="2302" t="s">
        <v>101</v>
      </c>
      <c r="T1217" s="3668" t="s">
        <v>104</v>
      </c>
      <c r="U1217" s="2302" t="s">
        <v>105</v>
      </c>
      <c r="V1217" s="3668" t="s">
        <v>106</v>
      </c>
      <c r="W1217" s="1211" t="s">
        <v>107</v>
      </c>
      <c r="X1217" s="381" t="s">
        <v>108</v>
      </c>
      <c r="Y1217" s="3668" t="s">
        <v>109</v>
      </c>
      <c r="Z1217" s="2302" t="s">
        <v>110</v>
      </c>
      <c r="AA1217" s="3668" t="s">
        <v>112</v>
      </c>
      <c r="AB1217" s="71" t="s">
        <v>113</v>
      </c>
      <c r="AC1217" s="3668" t="s">
        <v>114</v>
      </c>
      <c r="AD1217" s="913" t="s">
        <v>115</v>
      </c>
      <c r="AE1217" s="1359" t="s">
        <v>116</v>
      </c>
      <c r="AF1217" s="2653" t="s">
        <v>117</v>
      </c>
    </row>
    <row r="1218" spans="1:32" ht="35" customHeight="1" thickBot="1" x14ac:dyDescent="0.3">
      <c r="C1218" s="338"/>
      <c r="D1218" s="590">
        <v>50</v>
      </c>
      <c r="E1218" s="405" t="s">
        <v>356</v>
      </c>
      <c r="F1218" s="3608">
        <f>+F6</f>
        <v>30</v>
      </c>
      <c r="G1218" s="3608">
        <f>+G6</f>
        <v>31</v>
      </c>
      <c r="H1218" s="3608">
        <f>SUM(F1218:G1218)</f>
        <v>61</v>
      </c>
      <c r="I1218" s="3608">
        <f>+I6</f>
        <v>30</v>
      </c>
      <c r="J1218" s="3608">
        <f>SUM(H1218:I1218)</f>
        <v>91</v>
      </c>
      <c r="K1218" s="3608">
        <f>+K6</f>
        <v>31</v>
      </c>
      <c r="L1218" s="3608">
        <f>SUM(J1218:K1218)</f>
        <v>122</v>
      </c>
      <c r="M1218" s="3608">
        <v>31</v>
      </c>
      <c r="N1218" s="538">
        <f>SUM(L1218:M1218)</f>
        <v>153</v>
      </c>
      <c r="O1218" s="3608">
        <v>30</v>
      </c>
      <c r="P1218" s="538">
        <f>+K1218+M1218+O1218</f>
        <v>92</v>
      </c>
      <c r="Q1218" s="538">
        <f>+N1218+O1218</f>
        <v>183</v>
      </c>
      <c r="R1218" s="3608">
        <v>31</v>
      </c>
      <c r="S1218" s="538">
        <f>SUM(Q1218:R1218)</f>
        <v>214</v>
      </c>
      <c r="T1218" s="3608">
        <v>30</v>
      </c>
      <c r="U1218" s="538">
        <f>SUM(S1218:T1218)</f>
        <v>244</v>
      </c>
      <c r="V1218" s="3608">
        <v>31</v>
      </c>
      <c r="W1218" s="538">
        <f>+R1218+T1218+V1218</f>
        <v>92</v>
      </c>
      <c r="X1218" s="538">
        <f>+U1218+V1218</f>
        <v>275</v>
      </c>
      <c r="Y1218" s="3608">
        <v>31</v>
      </c>
      <c r="Z1218" s="538">
        <f>+X1218+Y1218</f>
        <v>306</v>
      </c>
      <c r="AA1218" s="3608">
        <v>29</v>
      </c>
      <c r="AB1218" s="538">
        <f>SUM(Z1218:AA1218)</f>
        <v>335</v>
      </c>
      <c r="AC1218" s="3608">
        <v>31</v>
      </c>
      <c r="AD1218" s="193">
        <f>+Y1218+AA1218+AC1218</f>
        <v>91</v>
      </c>
      <c r="AE1218" s="193">
        <f>+W1218+AD1218</f>
        <v>183</v>
      </c>
      <c r="AF1218" s="2514">
        <f>+AB1218+AC1218</f>
        <v>366</v>
      </c>
    </row>
    <row r="1219" spans="1:32" ht="35" customHeight="1" x14ac:dyDescent="0.25">
      <c r="C1219" s="338"/>
      <c r="D1219" s="591"/>
      <c r="E1219" s="447" t="s">
        <v>361</v>
      </c>
      <c r="F1219" s="3327">
        <v>457</v>
      </c>
      <c r="G1219" s="3327">
        <v>490</v>
      </c>
      <c r="H1219" s="448">
        <f>SUM(F1219:G1219)</f>
        <v>947</v>
      </c>
      <c r="I1219" s="3327">
        <v>470</v>
      </c>
      <c r="J1219" s="449">
        <f>SUM(H1219:I1219)</f>
        <v>1417</v>
      </c>
      <c r="K1219" s="3327">
        <v>104</v>
      </c>
      <c r="L1219" s="448">
        <f>SUM(J1219:K1219)</f>
        <v>1521</v>
      </c>
      <c r="M1219" s="3327">
        <v>616</v>
      </c>
      <c r="N1219" s="448">
        <f>SUM(L1219:M1219)</f>
        <v>2137</v>
      </c>
      <c r="O1219" s="3327">
        <v>343</v>
      </c>
      <c r="P1219" s="361">
        <f>+K1219+M1219+O1219</f>
        <v>1063</v>
      </c>
      <c r="Q1219" s="362">
        <f>+N1219+O1219</f>
        <v>2480</v>
      </c>
      <c r="R1219" s="3327">
        <v>445</v>
      </c>
      <c r="S1219" s="360">
        <f>SUM(Q1219:R1219)</f>
        <v>2925</v>
      </c>
      <c r="T1219" s="3327">
        <v>418</v>
      </c>
      <c r="U1219" s="360">
        <f>SUM(S1219:T1219)</f>
        <v>3343</v>
      </c>
      <c r="V1219" s="3327">
        <v>483</v>
      </c>
      <c r="W1219" s="361">
        <f>+R1219+T1219+V1219</f>
        <v>1346</v>
      </c>
      <c r="X1219" s="360">
        <f>+U1219+V1219</f>
        <v>3826</v>
      </c>
      <c r="Y1219" s="3327">
        <v>487</v>
      </c>
      <c r="Z1219" s="360">
        <f>SUM(X1219:Y1219)</f>
        <v>4313</v>
      </c>
      <c r="AA1219" s="3327">
        <v>440</v>
      </c>
      <c r="AB1219" s="448">
        <f>SUM(Z1219:AA1219)</f>
        <v>4753</v>
      </c>
      <c r="AC1219" s="3327">
        <v>542</v>
      </c>
      <c r="AD1219" s="449">
        <f>+Y1219+AA1219+AC1219</f>
        <v>1469</v>
      </c>
      <c r="AE1219" s="1433">
        <f>+W1219+AD1219</f>
        <v>2815</v>
      </c>
      <c r="AF1219" s="2654">
        <f>+AB1219+AC1219</f>
        <v>5295</v>
      </c>
    </row>
    <row r="1220" spans="1:32" ht="35" customHeight="1" x14ac:dyDescent="0.25">
      <c r="C1220" s="338"/>
      <c r="D1220" s="591"/>
      <c r="E1220" s="447" t="s">
        <v>347</v>
      </c>
      <c r="F1220" s="3327">
        <v>0</v>
      </c>
      <c r="G1220" s="3327">
        <v>74</v>
      </c>
      <c r="H1220" s="448">
        <f>SUM(F1220:G1220)</f>
        <v>74</v>
      </c>
      <c r="I1220" s="3327">
        <v>504</v>
      </c>
      <c r="J1220" s="449">
        <f>SUM(H1220:I1220)</f>
        <v>578</v>
      </c>
      <c r="K1220" s="3327">
        <v>527</v>
      </c>
      <c r="L1220" s="448">
        <f>SUM(J1220:K1220)</f>
        <v>1105</v>
      </c>
      <c r="M1220" s="3327">
        <v>249</v>
      </c>
      <c r="N1220" s="448">
        <f>SUM(L1220:M1220)</f>
        <v>1354</v>
      </c>
      <c r="O1220" s="3327">
        <v>296</v>
      </c>
      <c r="P1220" s="361">
        <f>+K1220+M1220+O1220</f>
        <v>1072</v>
      </c>
      <c r="Q1220" s="362">
        <f>+N1220+O1220</f>
        <v>1650</v>
      </c>
      <c r="R1220" s="3327">
        <v>370</v>
      </c>
      <c r="S1220" s="360">
        <f>SUM(Q1220:R1220)</f>
        <v>2020</v>
      </c>
      <c r="T1220" s="3327">
        <v>420</v>
      </c>
      <c r="U1220" s="360">
        <f>SUM(S1220:T1220)</f>
        <v>2440</v>
      </c>
      <c r="V1220" s="3327">
        <v>372</v>
      </c>
      <c r="W1220" s="361">
        <f>+R1220+T1220+V1220</f>
        <v>1162</v>
      </c>
      <c r="X1220" s="360">
        <f>+U1220+V1220</f>
        <v>2812</v>
      </c>
      <c r="Y1220" s="3327">
        <v>414</v>
      </c>
      <c r="Z1220" s="360">
        <f>SUM(X1220:Y1220)</f>
        <v>3226</v>
      </c>
      <c r="AA1220" s="3327">
        <v>453</v>
      </c>
      <c r="AB1220" s="448">
        <f>SUM(Z1220:AA1220)</f>
        <v>3679</v>
      </c>
      <c r="AC1220" s="3327">
        <v>186</v>
      </c>
      <c r="AD1220" s="449">
        <f>+Y1220+AA1220+AC1220</f>
        <v>1053</v>
      </c>
      <c r="AE1220" s="1433">
        <f>+W1220+AD1220</f>
        <v>2215</v>
      </c>
      <c r="AF1220" s="2654">
        <f>+AB1220+AC1220</f>
        <v>3865</v>
      </c>
    </row>
    <row r="1221" spans="1:32" ht="35" customHeight="1" thickBot="1" x14ac:dyDescent="0.35">
      <c r="C1221" s="338"/>
      <c r="D1221" s="591"/>
      <c r="E1221" s="453" t="s">
        <v>349</v>
      </c>
      <c r="F1221" s="3328">
        <v>411</v>
      </c>
      <c r="G1221" s="3328">
        <v>334</v>
      </c>
      <c r="H1221" s="465">
        <f>SUM(F1221:G1221)</f>
        <v>745</v>
      </c>
      <c r="I1221" s="3328">
        <v>0</v>
      </c>
      <c r="J1221" s="467">
        <f>SUM(H1221:I1221)</f>
        <v>745</v>
      </c>
      <c r="K1221" s="3328">
        <v>446</v>
      </c>
      <c r="L1221" s="465">
        <f>SUM(J1221:K1221)</f>
        <v>1191</v>
      </c>
      <c r="M1221" s="3328">
        <v>544</v>
      </c>
      <c r="N1221" s="465">
        <f>SUM(L1221:M1221)</f>
        <v>1735</v>
      </c>
      <c r="O1221" s="3328">
        <v>406</v>
      </c>
      <c r="P1221" s="361">
        <f>+K1221+M1221+O1221</f>
        <v>1396</v>
      </c>
      <c r="Q1221" s="362">
        <f>+N1221+O1221</f>
        <v>2141</v>
      </c>
      <c r="R1221" s="3328">
        <v>375</v>
      </c>
      <c r="S1221" s="391">
        <f>SUM(Q1221:R1221)</f>
        <v>2516</v>
      </c>
      <c r="T1221" s="3328">
        <v>377</v>
      </c>
      <c r="U1221" s="391">
        <f>SUM(S1221:T1221)</f>
        <v>2893</v>
      </c>
      <c r="V1221" s="3328">
        <v>582</v>
      </c>
      <c r="W1221" s="3119">
        <f>+R1221+T1221+V1221</f>
        <v>1334</v>
      </c>
      <c r="X1221" s="2081">
        <f>+U1221+V1221</f>
        <v>3475</v>
      </c>
      <c r="Y1221" s="3328">
        <v>493</v>
      </c>
      <c r="Z1221" s="391">
        <f>SUM(X1221:Y1221)</f>
        <v>3968</v>
      </c>
      <c r="AA1221" s="3328">
        <v>435</v>
      </c>
      <c r="AB1221" s="465">
        <f>SUM(Z1221:AA1221)</f>
        <v>4403</v>
      </c>
      <c r="AC1221" s="3328">
        <v>519</v>
      </c>
      <c r="AD1221" s="2525">
        <f>+Y1221+AA1221+AC1221</f>
        <v>1447</v>
      </c>
      <c r="AE1221" s="1437">
        <f>+W1221+AD1221</f>
        <v>2781</v>
      </c>
      <c r="AF1221" s="2655">
        <f>+AB1221+AC1221</f>
        <v>4922</v>
      </c>
    </row>
    <row r="1222" spans="1:32" ht="35" customHeight="1" thickBot="1" x14ac:dyDescent="0.3">
      <c r="C1222" s="338"/>
      <c r="D1222" s="591"/>
      <c r="E1222" s="180" t="s">
        <v>348</v>
      </c>
      <c r="F1222" s="454">
        <f>SUM(F1219:F1221)</f>
        <v>868</v>
      </c>
      <c r="G1222" s="454">
        <f>SUM(G1219:G1221)</f>
        <v>898</v>
      </c>
      <c r="H1222" s="455">
        <f>SUM(H1219:H1221)</f>
        <v>1766</v>
      </c>
      <c r="I1222" s="454">
        <f>SUM(I1219:I1221)</f>
        <v>974</v>
      </c>
      <c r="J1222" s="456">
        <f>+H1222+I1222</f>
        <v>2740</v>
      </c>
      <c r="K1222" s="454">
        <f>SUM(K1219:K1221)</f>
        <v>1077</v>
      </c>
      <c r="L1222" s="455">
        <f>+J1222+K1222</f>
        <v>3817</v>
      </c>
      <c r="M1222" s="454">
        <f>SUM(M1219:M1221)</f>
        <v>1409</v>
      </c>
      <c r="N1222" s="455">
        <f>+L1222+M1222</f>
        <v>5226</v>
      </c>
      <c r="O1222" s="454">
        <f>SUM(O1219:O1221)</f>
        <v>1045</v>
      </c>
      <c r="P1222" s="456">
        <f>+K1222+M1222+O1222</f>
        <v>3531</v>
      </c>
      <c r="Q1222" s="2168">
        <f>+J1222+P1222</f>
        <v>6271</v>
      </c>
      <c r="R1222" s="454">
        <f>SUM(R1219:R1221)</f>
        <v>1190</v>
      </c>
      <c r="S1222" s="455">
        <f>+Q1222+R1222</f>
        <v>7461</v>
      </c>
      <c r="T1222" s="454">
        <f>SUM(T1219:T1221)</f>
        <v>1215</v>
      </c>
      <c r="U1222" s="455">
        <f>+S1222+T1222</f>
        <v>8676</v>
      </c>
      <c r="V1222" s="454">
        <f>SUM(V1219:V1221)</f>
        <v>1437</v>
      </c>
      <c r="W1222" s="76">
        <f>+V1222+T1222+R1222</f>
        <v>3842</v>
      </c>
      <c r="X1222" s="455">
        <f>+V1222+U1222</f>
        <v>10113</v>
      </c>
      <c r="Y1222" s="454">
        <f>SUM(Y1219:Y1221)</f>
        <v>1394</v>
      </c>
      <c r="Z1222" s="455">
        <f>+X1222+Y1222</f>
        <v>11507</v>
      </c>
      <c r="AA1222" s="454">
        <f>SUM(AA1219:AA1221)</f>
        <v>1328</v>
      </c>
      <c r="AB1222" s="455">
        <f>+Z1222+AA1222</f>
        <v>12835</v>
      </c>
      <c r="AC1222" s="454">
        <f>SUM(AC1219:AC1221)</f>
        <v>1247</v>
      </c>
      <c r="AD1222" s="456">
        <f>+Y1222+AA1222+AC1222</f>
        <v>3969</v>
      </c>
      <c r="AE1222" s="1359">
        <f>+W1222+AD1222</f>
        <v>7811</v>
      </c>
      <c r="AF1222" s="2656">
        <f>+AB1222+AC1222</f>
        <v>14082</v>
      </c>
    </row>
    <row r="1223" spans="1:32" ht="35" customHeight="1" x14ac:dyDescent="0.25">
      <c r="C1223" s="338"/>
      <c r="D1223" s="591"/>
      <c r="E1223" s="548" t="s">
        <v>1382</v>
      </c>
      <c r="F1223" s="3341">
        <v>11</v>
      </c>
      <c r="G1223" s="3341">
        <v>9</v>
      </c>
      <c r="H1223" s="360">
        <v>193</v>
      </c>
      <c r="I1223" s="3341">
        <v>7</v>
      </c>
      <c r="J1223" s="361">
        <f t="shared" ref="J1223:J1226" si="2796">+H1223+I1223</f>
        <v>200</v>
      </c>
      <c r="K1223" s="3341">
        <v>10</v>
      </c>
      <c r="L1223" s="360">
        <f t="shared" ref="L1223:L1226" si="2797">+J1223+K1223</f>
        <v>210</v>
      </c>
      <c r="M1223" s="3341">
        <v>16</v>
      </c>
      <c r="N1223" s="360">
        <f t="shared" ref="N1223:N1226" si="2798">+L1223+M1223</f>
        <v>226</v>
      </c>
      <c r="O1223" s="3341">
        <f>10+2</f>
        <v>12</v>
      </c>
      <c r="P1223" s="458">
        <f t="shared" ref="P1223:P1226" si="2799">+K1223+M1223+O1223</f>
        <v>38</v>
      </c>
      <c r="Q1223" s="362">
        <f t="shared" ref="Q1223:Q1226" si="2800">+N1223+O1223</f>
        <v>238</v>
      </c>
      <c r="R1223" s="3341">
        <v>11</v>
      </c>
      <c r="S1223" s="472">
        <f t="shared" ref="S1223:S1233" si="2801">SUM(Q1223:R1223)</f>
        <v>249</v>
      </c>
      <c r="T1223" s="3341">
        <v>17</v>
      </c>
      <c r="U1223" s="472">
        <f t="shared" ref="U1223:U1226" si="2802">SUM(S1223:T1223)</f>
        <v>266</v>
      </c>
      <c r="V1223" s="3341">
        <v>17</v>
      </c>
      <c r="W1223" s="449">
        <f t="shared" ref="W1223:W1226" si="2803">+R1223+T1223+V1223</f>
        <v>45</v>
      </c>
      <c r="X1223" s="448">
        <f t="shared" ref="X1223:X1226" si="2804">+U1223+V1223</f>
        <v>283</v>
      </c>
      <c r="Y1223" s="3341">
        <v>16</v>
      </c>
      <c r="Z1223" s="472">
        <f t="shared" ref="Z1223:Z1226" si="2805">SUM(X1223:Y1223)</f>
        <v>299</v>
      </c>
      <c r="AA1223" s="3341">
        <v>26</v>
      </c>
      <c r="AB1223" s="471">
        <f t="shared" ref="AB1223:AB1226" si="2806">SUM(Z1223:AA1223)</f>
        <v>325</v>
      </c>
      <c r="AC1223" s="3341">
        <v>28</v>
      </c>
      <c r="AD1223" s="2526">
        <f t="shared" ref="AD1223:AD1224" si="2807">+Y1223+AA1223+AC1223</f>
        <v>70</v>
      </c>
      <c r="AE1223" s="1435">
        <f t="shared" ref="AE1223:AE1224" si="2808">+W1223+AD1223</f>
        <v>115</v>
      </c>
      <c r="AF1223" s="2657">
        <f t="shared" ref="AF1223:AF1224" si="2809">+AB1223+AC1223</f>
        <v>353</v>
      </c>
    </row>
    <row r="1224" spans="1:32" ht="35" customHeight="1" x14ac:dyDescent="0.25">
      <c r="A1224" s="14"/>
      <c r="C1224" s="338"/>
      <c r="D1224" s="591"/>
      <c r="E1224" s="468" t="s">
        <v>350</v>
      </c>
      <c r="F1224" s="3327">
        <v>9</v>
      </c>
      <c r="G1224" s="3327">
        <v>6</v>
      </c>
      <c r="H1224" s="360">
        <f t="shared" ref="H1224:H1226" si="2810">SUM(F1224:G1224)</f>
        <v>15</v>
      </c>
      <c r="I1224" s="3327">
        <v>5</v>
      </c>
      <c r="J1224" s="361">
        <f t="shared" si="2796"/>
        <v>20</v>
      </c>
      <c r="K1224" s="3327">
        <v>6</v>
      </c>
      <c r="L1224" s="360">
        <f t="shared" si="2797"/>
        <v>26</v>
      </c>
      <c r="M1224" s="3327">
        <v>14</v>
      </c>
      <c r="N1224" s="360">
        <f t="shared" si="2798"/>
        <v>40</v>
      </c>
      <c r="O1224" s="3327">
        <v>9</v>
      </c>
      <c r="P1224" s="361">
        <f t="shared" si="2799"/>
        <v>29</v>
      </c>
      <c r="Q1224" s="362">
        <f t="shared" si="2800"/>
        <v>49</v>
      </c>
      <c r="R1224" s="3327">
        <v>5</v>
      </c>
      <c r="S1224" s="472">
        <f t="shared" si="2801"/>
        <v>54</v>
      </c>
      <c r="T1224" s="3327">
        <v>6</v>
      </c>
      <c r="U1224" s="472">
        <f t="shared" si="2802"/>
        <v>60</v>
      </c>
      <c r="V1224" s="3327">
        <v>10</v>
      </c>
      <c r="W1224" s="449">
        <f t="shared" si="2803"/>
        <v>21</v>
      </c>
      <c r="X1224" s="448">
        <f t="shared" si="2804"/>
        <v>70</v>
      </c>
      <c r="Y1224" s="3327">
        <v>10</v>
      </c>
      <c r="Z1224" s="472">
        <f t="shared" si="2805"/>
        <v>80</v>
      </c>
      <c r="AA1224" s="3327">
        <v>19</v>
      </c>
      <c r="AB1224" s="471">
        <f t="shared" si="2806"/>
        <v>99</v>
      </c>
      <c r="AC1224" s="3327">
        <v>6</v>
      </c>
      <c r="AD1224" s="449">
        <f t="shared" si="2807"/>
        <v>35</v>
      </c>
      <c r="AE1224" s="1433">
        <f t="shared" si="2808"/>
        <v>56</v>
      </c>
      <c r="AF1224" s="2654">
        <f t="shared" si="2809"/>
        <v>105</v>
      </c>
    </row>
    <row r="1225" spans="1:32" ht="35" customHeight="1" x14ac:dyDescent="0.25">
      <c r="C1225" s="338"/>
      <c r="D1225" s="591"/>
      <c r="E1225" s="469" t="s">
        <v>623</v>
      </c>
      <c r="F1225" s="3328">
        <v>0</v>
      </c>
      <c r="G1225" s="3328">
        <v>0</v>
      </c>
      <c r="H1225" s="451">
        <f t="shared" si="2810"/>
        <v>0</v>
      </c>
      <c r="I1225" s="3328">
        <v>0</v>
      </c>
      <c r="J1225" s="452">
        <f>SUM(H1225:I1225)</f>
        <v>0</v>
      </c>
      <c r="K1225" s="3328">
        <v>0</v>
      </c>
      <c r="L1225" s="451">
        <f>SUM(J1225:K1225)</f>
        <v>0</v>
      </c>
      <c r="M1225" s="3328">
        <v>0</v>
      </c>
      <c r="N1225" s="252">
        <f>SUM(L1225:M1225)</f>
        <v>0</v>
      </c>
      <c r="O1225" s="3328">
        <v>0</v>
      </c>
      <c r="P1225" s="361">
        <f t="shared" ref="P1225" si="2811">+K1225+M1225+O1225</f>
        <v>0</v>
      </c>
      <c r="Q1225" s="362">
        <f t="shared" si="2800"/>
        <v>0</v>
      </c>
      <c r="R1225" s="3328">
        <v>0</v>
      </c>
      <c r="S1225" s="472">
        <f t="shared" si="2801"/>
        <v>0</v>
      </c>
      <c r="T1225" s="3328">
        <v>0</v>
      </c>
      <c r="U1225" s="472">
        <f>SUM(S1225:T1225)</f>
        <v>0</v>
      </c>
      <c r="V1225" s="3328">
        <v>0</v>
      </c>
      <c r="W1225" s="449">
        <f t="shared" si="2803"/>
        <v>0</v>
      </c>
      <c r="X1225" s="448">
        <f t="shared" si="2804"/>
        <v>0</v>
      </c>
      <c r="Y1225" s="3328">
        <v>0</v>
      </c>
      <c r="Z1225" s="472">
        <f t="shared" si="2805"/>
        <v>0</v>
      </c>
      <c r="AA1225" s="3328">
        <v>0</v>
      </c>
      <c r="AB1225" s="471">
        <f t="shared" si="2806"/>
        <v>0</v>
      </c>
      <c r="AC1225" s="3328">
        <v>0</v>
      </c>
      <c r="AD1225" s="449">
        <f t="shared" ref="AD1225:AD1226" si="2812">+Y1225+AA1225+AC1225</f>
        <v>0</v>
      </c>
      <c r="AE1225" s="1433">
        <f t="shared" ref="AE1225:AE1226" si="2813">+W1225+AD1225</f>
        <v>0</v>
      </c>
      <c r="AF1225" s="2654">
        <f t="shared" ref="AF1225:AF1226" si="2814">+AB1225+AC1225</f>
        <v>0</v>
      </c>
    </row>
    <row r="1226" spans="1:32" ht="35" customHeight="1" thickBot="1" x14ac:dyDescent="0.3">
      <c r="C1226" s="338"/>
      <c r="D1226" s="591"/>
      <c r="E1226" s="578" t="s">
        <v>484</v>
      </c>
      <c r="F1226" s="2433">
        <f>+F1222-F1223+F1225-F1239</f>
        <v>0</v>
      </c>
      <c r="G1226" s="2433">
        <f>+G1222-G1223+G1225-G1239</f>
        <v>2</v>
      </c>
      <c r="H1226" s="391">
        <f t="shared" si="2810"/>
        <v>2</v>
      </c>
      <c r="I1226" s="2433">
        <f>+I1222-I1223+I1225-I1239</f>
        <v>-1</v>
      </c>
      <c r="J1226" s="392">
        <f t="shared" si="2796"/>
        <v>1</v>
      </c>
      <c r="K1226" s="2433">
        <f>+K1222-K1223+K1225-K1239</f>
        <v>-10</v>
      </c>
      <c r="L1226" s="391">
        <f t="shared" si="2797"/>
        <v>-9</v>
      </c>
      <c r="M1226" s="2433">
        <f>+M1222-M1223+M1225-M1239</f>
        <v>-2</v>
      </c>
      <c r="N1226" s="451">
        <f t="shared" si="2798"/>
        <v>-11</v>
      </c>
      <c r="O1226" s="2433">
        <f>+O1222-O1223+O1225-O1239</f>
        <v>0</v>
      </c>
      <c r="P1226" s="407">
        <f t="shared" si="2799"/>
        <v>-12</v>
      </c>
      <c r="Q1226" s="2154">
        <f t="shared" si="2800"/>
        <v>-11</v>
      </c>
      <c r="R1226" s="2433">
        <f>+R1222-R1223+R1225-R1239</f>
        <v>0</v>
      </c>
      <c r="S1226" s="391">
        <f t="shared" si="2801"/>
        <v>-11</v>
      </c>
      <c r="T1226" s="2433">
        <f>+T1222-T1223+T1225-T1239</f>
        <v>0</v>
      </c>
      <c r="U1226" s="391">
        <f t="shared" si="2802"/>
        <v>-11</v>
      </c>
      <c r="V1226" s="2433">
        <f>+V1222-V1223+V1225-V1239</f>
        <v>1</v>
      </c>
      <c r="W1226" s="467">
        <f t="shared" si="2803"/>
        <v>1</v>
      </c>
      <c r="X1226" s="465">
        <f t="shared" si="2804"/>
        <v>-10</v>
      </c>
      <c r="Y1226" s="2433">
        <f>+Y1222-Y1223+Y1225-Y1239</f>
        <v>0</v>
      </c>
      <c r="Z1226" s="391">
        <f t="shared" si="2805"/>
        <v>-10</v>
      </c>
      <c r="AA1226" s="2433">
        <f>+AA1222-AA1223+AA1225-AA1239</f>
        <v>0</v>
      </c>
      <c r="AB1226" s="3160">
        <f t="shared" si="2806"/>
        <v>-10</v>
      </c>
      <c r="AC1226" s="2433">
        <f>+AC1222-AC1223+AC1225-AC1239</f>
        <v>-2</v>
      </c>
      <c r="AD1226" s="449">
        <f t="shared" si="2812"/>
        <v>-2</v>
      </c>
      <c r="AE1226" s="1433">
        <f t="shared" si="2813"/>
        <v>-1</v>
      </c>
      <c r="AF1226" s="2654">
        <f t="shared" si="2814"/>
        <v>-12</v>
      </c>
    </row>
    <row r="1227" spans="1:32" ht="71.25" hidden="1" customHeight="1" x14ac:dyDescent="0.25">
      <c r="C1227" s="338"/>
      <c r="D1227" s="591"/>
      <c r="E1227" s="576" t="s">
        <v>464</v>
      </c>
      <c r="F1227" s="3795"/>
      <c r="G1227" s="3795"/>
      <c r="H1227" s="2835"/>
      <c r="I1227" s="3795"/>
      <c r="J1227" s="2861"/>
      <c r="K1227" s="3795"/>
      <c r="L1227" s="2835"/>
      <c r="M1227" s="3795"/>
      <c r="N1227" s="2835"/>
      <c r="O1227" s="3795"/>
      <c r="P1227" s="361"/>
      <c r="Q1227" s="3035"/>
      <c r="R1227" s="3795"/>
      <c r="S1227" s="3100"/>
      <c r="T1227" s="3795"/>
      <c r="U1227" s="3100" t="s">
        <v>1311</v>
      </c>
      <c r="V1227" s="3795"/>
      <c r="W1227" s="361" t="s">
        <v>127</v>
      </c>
      <c r="X1227" s="3100" t="s">
        <v>1311</v>
      </c>
      <c r="Y1227" s="3795"/>
      <c r="Z1227" s="3100" t="s">
        <v>1311</v>
      </c>
      <c r="AA1227" s="3795"/>
      <c r="AB1227" s="3100" t="s">
        <v>1311</v>
      </c>
      <c r="AC1227" s="3795"/>
      <c r="AD1227" s="458" t="s">
        <v>127</v>
      </c>
      <c r="AE1227" s="1438" t="s">
        <v>127</v>
      </c>
      <c r="AF1227" s="3280" t="s">
        <v>1311</v>
      </c>
    </row>
    <row r="1228" spans="1:32" ht="99.75" hidden="1" customHeight="1" x14ac:dyDescent="0.25">
      <c r="C1228" s="338"/>
      <c r="D1228" s="591"/>
      <c r="E1228" s="577" t="s">
        <v>465</v>
      </c>
      <c r="F1228" s="3748" t="s">
        <v>127</v>
      </c>
      <c r="G1228" s="3748" t="s">
        <v>127</v>
      </c>
      <c r="H1228" s="2941"/>
      <c r="I1228" s="3748" t="s">
        <v>127</v>
      </c>
      <c r="J1228" s="2862" t="s">
        <v>127</v>
      </c>
      <c r="K1228" s="3748" t="s">
        <v>127</v>
      </c>
      <c r="L1228" s="2941" t="s">
        <v>127</v>
      </c>
      <c r="M1228" s="3748" t="s">
        <v>127</v>
      </c>
      <c r="N1228" s="2941"/>
      <c r="O1228" s="3748" t="s">
        <v>127</v>
      </c>
      <c r="P1228" s="3058"/>
      <c r="Q1228" s="3035"/>
      <c r="R1228" s="3748" t="s">
        <v>127</v>
      </c>
      <c r="S1228" s="3100"/>
      <c r="T1228" s="3748" t="s">
        <v>127</v>
      </c>
      <c r="U1228" s="3100" t="s">
        <v>1374</v>
      </c>
      <c r="V1228" s="3748" t="s">
        <v>127</v>
      </c>
      <c r="W1228" s="361" t="s">
        <v>127</v>
      </c>
      <c r="X1228" s="3100" t="s">
        <v>1374</v>
      </c>
      <c r="Y1228" s="3748" t="s">
        <v>127</v>
      </c>
      <c r="Z1228" s="3100" t="s">
        <v>1374</v>
      </c>
      <c r="AA1228" s="3748" t="s">
        <v>127</v>
      </c>
      <c r="AB1228" s="3100" t="s">
        <v>1374</v>
      </c>
      <c r="AC1228" s="3748" t="s">
        <v>127</v>
      </c>
      <c r="AD1228" s="251" t="s">
        <v>127</v>
      </c>
      <c r="AE1228" s="258" t="s">
        <v>127</v>
      </c>
      <c r="AF1228" s="3278" t="s">
        <v>1374</v>
      </c>
    </row>
    <row r="1229" spans="1:32" ht="138.75" hidden="1" customHeight="1" thickBot="1" x14ac:dyDescent="0.3">
      <c r="C1229" s="338"/>
      <c r="D1229" s="591"/>
      <c r="E1229" s="578" t="s">
        <v>466</v>
      </c>
      <c r="F1229" s="3796"/>
      <c r="G1229" s="3796"/>
      <c r="H1229" s="2836"/>
      <c r="I1229" s="3796"/>
      <c r="J1229" s="2863"/>
      <c r="K1229" s="3796"/>
      <c r="L1229" s="2942"/>
      <c r="M1229" s="3796"/>
      <c r="N1229" s="2942"/>
      <c r="O1229" s="3796"/>
      <c r="P1229" s="361"/>
      <c r="Q1229" s="3036"/>
      <c r="R1229" s="3796"/>
      <c r="S1229" s="2836"/>
      <c r="T1229" s="3796"/>
      <c r="U1229" s="2836" t="s">
        <v>1337</v>
      </c>
      <c r="V1229" s="3796"/>
      <c r="W1229" s="392" t="s">
        <v>127</v>
      </c>
      <c r="X1229" s="2836" t="s">
        <v>1337</v>
      </c>
      <c r="Y1229" s="3796"/>
      <c r="Z1229" s="2836" t="s">
        <v>1337</v>
      </c>
      <c r="AA1229" s="3796"/>
      <c r="AB1229" s="2836" t="s">
        <v>1337</v>
      </c>
      <c r="AC1229" s="3796"/>
      <c r="AD1229" s="392" t="s">
        <v>127</v>
      </c>
      <c r="AE1229" s="2154" t="s">
        <v>127</v>
      </c>
      <c r="AF1229" s="3279" t="s">
        <v>1337</v>
      </c>
    </row>
    <row r="1230" spans="1:32" ht="35" customHeight="1" x14ac:dyDescent="0.25">
      <c r="B1230" s="300">
        <f>507/30</f>
        <v>16.899999999999999</v>
      </c>
      <c r="C1230" s="338"/>
      <c r="D1230" s="591"/>
      <c r="E1230" s="126" t="s">
        <v>1879</v>
      </c>
      <c r="F1230" s="3342">
        <v>137124</v>
      </c>
      <c r="G1230" s="3342">
        <v>146436</v>
      </c>
      <c r="H1230" s="360">
        <f t="shared" ref="H1230:H1243" si="2815">SUM(F1230:G1230)</f>
        <v>283560</v>
      </c>
      <c r="I1230" s="3342">
        <v>162254</v>
      </c>
      <c r="J1230" s="361">
        <f t="shared" ref="J1230:J1257" si="2816">+H1230+I1230</f>
        <v>445814</v>
      </c>
      <c r="K1230" s="3342">
        <v>179882</v>
      </c>
      <c r="L1230" s="360">
        <f t="shared" ref="L1230:L1243" si="2817">+J1230+K1230</f>
        <v>625696</v>
      </c>
      <c r="M1230" s="3342">
        <v>221040</v>
      </c>
      <c r="N1230" s="457">
        <f t="shared" ref="N1230:N1254" si="2818">+L1230+M1230</f>
        <v>846736</v>
      </c>
      <c r="O1230" s="3342">
        <v>159000</v>
      </c>
      <c r="P1230" s="270">
        <f t="shared" ref="P1230:P1243" si="2819">+K1230+M1230+O1230</f>
        <v>559922</v>
      </c>
      <c r="Q1230" s="362">
        <f t="shared" ref="Q1230:Q1233" si="2820">+N1230+O1230</f>
        <v>1005736</v>
      </c>
      <c r="R1230" s="3342">
        <v>184426</v>
      </c>
      <c r="S1230" s="363">
        <f t="shared" ref="S1230:U1257" si="2821">+Q1230+R1230</f>
        <v>1190162</v>
      </c>
      <c r="T1230" s="3342">
        <v>189503</v>
      </c>
      <c r="U1230" s="363">
        <f t="shared" si="2821"/>
        <v>1379665</v>
      </c>
      <c r="V1230" s="3342">
        <v>231162</v>
      </c>
      <c r="W1230" s="361">
        <f t="shared" ref="W1230" si="2822">+R1230+T1230+V1230</f>
        <v>605091</v>
      </c>
      <c r="X1230" s="360">
        <f t="shared" ref="X1230" si="2823">+U1230+V1230</f>
        <v>1610827</v>
      </c>
      <c r="Y1230" s="3342">
        <v>227879</v>
      </c>
      <c r="Z1230" s="363">
        <f t="shared" ref="Z1230:AB1256" si="2824">+X1230+Y1230</f>
        <v>1838706</v>
      </c>
      <c r="AA1230" s="3342">
        <v>216900</v>
      </c>
      <c r="AB1230" s="296">
        <f t="shared" si="2824"/>
        <v>2055606</v>
      </c>
      <c r="AC1230" s="3342">
        <v>200958</v>
      </c>
      <c r="AD1230" s="74">
        <f t="shared" ref="AD1230:AD1232" si="2825">+AC1230+AA1230+Y1230</f>
        <v>645737</v>
      </c>
      <c r="AE1230" s="1389">
        <f t="shared" ref="AE1230:AE1239" si="2826">+W1230+AD1230</f>
        <v>1250828</v>
      </c>
      <c r="AF1230" s="2658">
        <f t="shared" ref="AF1230:AF1239" si="2827">+AB1230+AC1230</f>
        <v>2256564</v>
      </c>
    </row>
    <row r="1231" spans="1:32" ht="35" customHeight="1" x14ac:dyDescent="0.25">
      <c r="B1231" s="300"/>
      <c r="C1231" s="338"/>
      <c r="D1231" s="591"/>
      <c r="E1231" s="126" t="s">
        <v>2123</v>
      </c>
      <c r="F1231" s="3342">
        <v>2943</v>
      </c>
      <c r="G1231" s="3342">
        <v>1322</v>
      </c>
      <c r="H1231" s="363">
        <f>SUM(F1231:G1231)</f>
        <v>4265</v>
      </c>
      <c r="I1231" s="3342">
        <v>1115</v>
      </c>
      <c r="J1231" s="304">
        <f t="shared" si="2816"/>
        <v>5380</v>
      </c>
      <c r="K1231" s="3342">
        <v>451</v>
      </c>
      <c r="L1231" s="360">
        <f t="shared" si="2817"/>
        <v>5831</v>
      </c>
      <c r="M1231" s="3342">
        <v>5400</v>
      </c>
      <c r="N1231" s="252">
        <f t="shared" si="2818"/>
        <v>11231</v>
      </c>
      <c r="O1231" s="3342">
        <v>7924</v>
      </c>
      <c r="P1231" s="313">
        <f t="shared" ref="P1231:P1232" si="2828">+K1231+M1231+O1231</f>
        <v>13775</v>
      </c>
      <c r="Q1231" s="362">
        <f t="shared" si="2820"/>
        <v>19155</v>
      </c>
      <c r="R1231" s="3342">
        <v>7221</v>
      </c>
      <c r="S1231" s="296">
        <f t="shared" si="2821"/>
        <v>26376</v>
      </c>
      <c r="T1231" s="3342">
        <v>6537</v>
      </c>
      <c r="U1231" s="296">
        <f t="shared" si="2821"/>
        <v>32913</v>
      </c>
      <c r="V1231" s="3342">
        <v>3117</v>
      </c>
      <c r="W1231" s="74">
        <f t="shared" ref="W1231:W1243" si="2829">+V1231+T1231+R1231</f>
        <v>16875</v>
      </c>
      <c r="X1231" s="296">
        <f t="shared" ref="X1231:X1243" si="2830">+V1231+U1231</f>
        <v>36030</v>
      </c>
      <c r="Y1231" s="3342">
        <v>4690</v>
      </c>
      <c r="Z1231" s="296">
        <f t="shared" si="2824"/>
        <v>40720</v>
      </c>
      <c r="AA1231" s="3342">
        <v>3230</v>
      </c>
      <c r="AB1231" s="296">
        <f t="shared" si="2824"/>
        <v>43950</v>
      </c>
      <c r="AC1231" s="3342">
        <v>4615</v>
      </c>
      <c r="AD1231" s="74">
        <f t="shared" si="2825"/>
        <v>12535</v>
      </c>
      <c r="AE1231" s="1389">
        <f t="shared" si="2826"/>
        <v>29410</v>
      </c>
      <c r="AF1231" s="2658">
        <f t="shared" si="2827"/>
        <v>48565</v>
      </c>
    </row>
    <row r="1232" spans="1:32" ht="35" customHeight="1" x14ac:dyDescent="0.25">
      <c r="B1232" s="300"/>
      <c r="C1232" s="338"/>
      <c r="D1232" s="591"/>
      <c r="E1232" s="126" t="s">
        <v>2124</v>
      </c>
      <c r="F1232" s="3321">
        <f>5129.55*0.8</f>
        <v>4103.6400000000003</v>
      </c>
      <c r="G1232" s="3342">
        <f>2617.5*0.8</f>
        <v>2094</v>
      </c>
      <c r="H1232" s="360">
        <f>SUM(F1232:G1232)</f>
        <v>6197.64</v>
      </c>
      <c r="I1232" s="3321">
        <v>2001.6</v>
      </c>
      <c r="J1232" s="361">
        <f t="shared" si="2816"/>
        <v>8199.24</v>
      </c>
      <c r="K1232" s="3342">
        <v>856</v>
      </c>
      <c r="L1232" s="360">
        <f t="shared" si="2817"/>
        <v>9055.24</v>
      </c>
      <c r="M1232" s="3342">
        <v>0</v>
      </c>
      <c r="N1232" s="360">
        <f t="shared" si="2818"/>
        <v>9055.24</v>
      </c>
      <c r="O1232" s="3342">
        <v>0</v>
      </c>
      <c r="P1232" s="304">
        <f t="shared" si="2828"/>
        <v>856</v>
      </c>
      <c r="Q1232" s="362">
        <f t="shared" si="2820"/>
        <v>9055.24</v>
      </c>
      <c r="R1232" s="3342">
        <v>0</v>
      </c>
      <c r="S1232" s="363">
        <f t="shared" si="2821"/>
        <v>9055.24</v>
      </c>
      <c r="T1232" s="3342">
        <v>0</v>
      </c>
      <c r="U1232" s="363">
        <f t="shared" si="2821"/>
        <v>9055.24</v>
      </c>
      <c r="V1232" s="3342">
        <v>0</v>
      </c>
      <c r="W1232" s="79">
        <f t="shared" si="2829"/>
        <v>0</v>
      </c>
      <c r="X1232" s="363">
        <f t="shared" si="2830"/>
        <v>9055.24</v>
      </c>
      <c r="Y1232" s="3342">
        <v>0</v>
      </c>
      <c r="Z1232" s="363">
        <f t="shared" si="2824"/>
        <v>9055.24</v>
      </c>
      <c r="AA1232" s="3342">
        <v>0</v>
      </c>
      <c r="AB1232" s="363">
        <f t="shared" si="2824"/>
        <v>9055.24</v>
      </c>
      <c r="AC1232" s="3342">
        <v>0</v>
      </c>
      <c r="AD1232" s="74">
        <f t="shared" si="2825"/>
        <v>0</v>
      </c>
      <c r="AE1232" s="1389">
        <f t="shared" si="2826"/>
        <v>0</v>
      </c>
      <c r="AF1232" s="2659">
        <f t="shared" si="2827"/>
        <v>9055.24</v>
      </c>
    </row>
    <row r="1233" spans="1:78" ht="35" customHeight="1" x14ac:dyDescent="0.25">
      <c r="C1233" s="338"/>
      <c r="D1233" s="3961"/>
      <c r="E1233" s="1744" t="s">
        <v>353</v>
      </c>
      <c r="F1233" s="504">
        <f>SUM(F1231:F1232)</f>
        <v>7046.64</v>
      </c>
      <c r="G1233" s="285">
        <f>SUM(G1231:G1232)</f>
        <v>3416</v>
      </c>
      <c r="H1233" s="360">
        <f>SUM(H1231:H1232)</f>
        <v>10462.64</v>
      </c>
      <c r="I1233" s="504">
        <f>SUM(I1231:I1232)</f>
        <v>3116.6</v>
      </c>
      <c r="J1233" s="361">
        <f t="shared" si="2816"/>
        <v>13579.24</v>
      </c>
      <c r="K1233" s="285">
        <f>SUM(K1231:K1232)</f>
        <v>1307</v>
      </c>
      <c r="L1233" s="360">
        <f t="shared" si="2817"/>
        <v>14886.24</v>
      </c>
      <c r="M1233" s="285">
        <f>SUM(M1231:M1232)</f>
        <v>5400</v>
      </c>
      <c r="N1233" s="360">
        <f t="shared" si="2818"/>
        <v>20286.239999999998</v>
      </c>
      <c r="O1233" s="285">
        <f>SUM(O1231:O1232)</f>
        <v>7924</v>
      </c>
      <c r="P1233" s="313">
        <f t="shared" si="2819"/>
        <v>14631</v>
      </c>
      <c r="Q1233" s="362">
        <f t="shared" si="2820"/>
        <v>28210.239999999998</v>
      </c>
      <c r="R1233" s="285">
        <f>SUM(R1231:R1232)</f>
        <v>7221</v>
      </c>
      <c r="S1233" s="363">
        <f t="shared" si="2801"/>
        <v>35431.24</v>
      </c>
      <c r="T1233" s="285">
        <f>SUM(T1231:T1232)</f>
        <v>6537</v>
      </c>
      <c r="U1233" s="363">
        <f t="shared" ref="U1233:U1254" si="2831">+S1233+T1233</f>
        <v>41968.24</v>
      </c>
      <c r="V1233" s="285">
        <f>SUM(V1231:V1232)</f>
        <v>3117</v>
      </c>
      <c r="W1233" s="79">
        <f t="shared" si="2829"/>
        <v>16875</v>
      </c>
      <c r="X1233" s="363">
        <f t="shared" si="2830"/>
        <v>45085.24</v>
      </c>
      <c r="Y1233" s="285">
        <f>SUM(Y1231:Y1232)</f>
        <v>4690</v>
      </c>
      <c r="Z1233" s="363">
        <f t="shared" si="2824"/>
        <v>49775.24</v>
      </c>
      <c r="AA1233" s="285">
        <f>SUM(AA1231:AA1232)</f>
        <v>3230</v>
      </c>
      <c r="AB1233" s="363">
        <f t="shared" si="2824"/>
        <v>53005.24</v>
      </c>
      <c r="AC1233" s="285">
        <f>SUM(AC1231:AC1232)</f>
        <v>4615</v>
      </c>
      <c r="AD1233" s="361">
        <f t="shared" ref="AD1233" si="2832">+Y1233+AA1233+AC1233</f>
        <v>12535</v>
      </c>
      <c r="AE1233" s="1389">
        <f t="shared" ref="AE1233" si="2833">+W1233+AD1233</f>
        <v>29410</v>
      </c>
      <c r="AF1233" s="2660">
        <f t="shared" ref="AF1233" si="2834">+AB1233+AC1233</f>
        <v>57620.24</v>
      </c>
    </row>
    <row r="1234" spans="1:78" ht="35" customHeight="1" x14ac:dyDescent="0.25">
      <c r="B1234" s="2">
        <f>519/31</f>
        <v>16.741935483870968</v>
      </c>
      <c r="C1234" s="338"/>
      <c r="D1234" s="591"/>
      <c r="E1234" s="469" t="s">
        <v>354</v>
      </c>
      <c r="F1234" s="3399">
        <v>91.29</v>
      </c>
      <c r="G1234" s="3399">
        <v>91.16</v>
      </c>
      <c r="H1234" s="246">
        <f>+((F1230*F1234)+(G1230*G1234))/H1230</f>
        <v>91.222865425306807</v>
      </c>
      <c r="I1234" s="3399">
        <v>90.46</v>
      </c>
      <c r="J1234" s="245">
        <f>+((H1230*H1234)+(I1230*I1234))/J1230</f>
        <v>90.94522056283563</v>
      </c>
      <c r="K1234" s="3399">
        <v>90.23</v>
      </c>
      <c r="L1234" s="254">
        <f>+((J1230*J1234)+(K1230*K1234))/L1230</f>
        <v>90.739601052268199</v>
      </c>
      <c r="M1234" s="3399">
        <v>92.254018724606951</v>
      </c>
      <c r="N1234" s="254">
        <f>+((L1230*L1234)+(M1230*M1234))/N1230</f>
        <v>91.134939011553925</v>
      </c>
      <c r="O1234" s="3399">
        <v>92.86</v>
      </c>
      <c r="P1234" s="253">
        <f>+((K1230*K1234)+(M1230*M1234)+(O1230*O1234))/P1230</f>
        <v>91.775856563748377</v>
      </c>
      <c r="Q1234" s="2140">
        <f>+((N1230*N1234)+(O1230*O1234))/Q1230</f>
        <v>91.407659384656725</v>
      </c>
      <c r="R1234" s="3399">
        <v>93.03</v>
      </c>
      <c r="S1234" s="254">
        <f>+((Q1230*Q1234)+(R1230*R1234))/S1230</f>
        <v>91.659055236923308</v>
      </c>
      <c r="T1234" s="3399">
        <v>93.23</v>
      </c>
      <c r="U1234" s="254">
        <f>+((S1230*S1234)+(T1230*T1234))/U1230</f>
        <v>91.874831345933345</v>
      </c>
      <c r="V1234" s="3399">
        <v>91.04</v>
      </c>
      <c r="W1234" s="253">
        <f>+((R1230*R1234)+(T1230*T1234)+(V1230*V1234))/W1230</f>
        <v>92.332399506851047</v>
      </c>
      <c r="X1234" s="254">
        <f>+((U1230*U1234)+(V1230*V1234))/X1230</f>
        <v>91.755028732996863</v>
      </c>
      <c r="Y1234" s="3399">
        <v>91.32</v>
      </c>
      <c r="Z1234" s="254">
        <f>+((X1230*X1234)+(Y1230*Y1234))/Z1230</f>
        <v>91.701113690218634</v>
      </c>
      <c r="AA1234" s="3399">
        <v>91.009</v>
      </c>
      <c r="AB1234" s="254">
        <f>+((Z1230*Z1234)+(AA1230*AA1234))/AB1230</f>
        <v>91.628084394036179</v>
      </c>
      <c r="AC1234" s="3399">
        <v>91.17</v>
      </c>
      <c r="AD1234" s="253">
        <f>+((Y1230*Y1234)+(AA1230*AA1234)+(AC1230*AC1234))/AD1230</f>
        <v>91.168855493800095</v>
      </c>
      <c r="AE1234" s="1080">
        <f>+((W1230*W1234)+(AD1230*AD1234))/AE1230</f>
        <v>91.731722658910741</v>
      </c>
      <c r="AF1234" s="2601">
        <f>+((AB1230*AB1234)+(AC1230*AC1234))/AF1230</f>
        <v>91.587289750650612</v>
      </c>
    </row>
    <row r="1235" spans="1:78" ht="35" customHeight="1" thickBot="1" x14ac:dyDescent="0.3">
      <c r="C1235" s="338"/>
      <c r="D1235" s="591"/>
      <c r="E1235" s="127" t="s">
        <v>346</v>
      </c>
      <c r="F1235" s="3343">
        <v>131608</v>
      </c>
      <c r="G1235" s="3343">
        <v>136603</v>
      </c>
      <c r="H1235" s="406">
        <f t="shared" ref="H1235" si="2835">SUM(F1235:G1235)</f>
        <v>268211</v>
      </c>
      <c r="I1235" s="3343">
        <v>149590</v>
      </c>
      <c r="J1235" s="407">
        <f t="shared" ref="J1235" si="2836">+H1235+I1235</f>
        <v>417801</v>
      </c>
      <c r="K1235" s="3343">
        <v>163478</v>
      </c>
      <c r="L1235" s="417">
        <f t="shared" ref="L1235:L1237" si="2837">+J1235+K1235</f>
        <v>581279</v>
      </c>
      <c r="M1235" s="3343">
        <v>208900</v>
      </c>
      <c r="N1235" s="417">
        <f t="shared" ref="N1235:N1237" si="2838">+L1235+M1235</f>
        <v>790179</v>
      </c>
      <c r="O1235" s="3343">
        <v>155000</v>
      </c>
      <c r="P1235" s="316">
        <f t="shared" si="2819"/>
        <v>527378</v>
      </c>
      <c r="Q1235" s="2154">
        <f t="shared" ref="Q1235:Q1239" si="2839">+N1235+O1235</f>
        <v>945179</v>
      </c>
      <c r="R1235" s="3343">
        <v>178280</v>
      </c>
      <c r="S1235" s="417">
        <f t="shared" si="2821"/>
        <v>1123459</v>
      </c>
      <c r="T1235" s="3343">
        <v>182777</v>
      </c>
      <c r="U1235" s="417">
        <f t="shared" si="2831"/>
        <v>1306236</v>
      </c>
      <c r="V1235" s="3343">
        <v>213280</v>
      </c>
      <c r="W1235" s="103">
        <f t="shared" si="2829"/>
        <v>574337</v>
      </c>
      <c r="X1235" s="417">
        <f t="shared" si="2830"/>
        <v>1519516</v>
      </c>
      <c r="Y1235" s="3343">
        <v>212375</v>
      </c>
      <c r="Z1235" s="417">
        <f t="shared" si="2824"/>
        <v>1731891</v>
      </c>
      <c r="AA1235" s="3343">
        <v>200520</v>
      </c>
      <c r="AB1235" s="417">
        <f t="shared" si="2824"/>
        <v>1932411</v>
      </c>
      <c r="AC1235" s="3343">
        <v>187422</v>
      </c>
      <c r="AD1235" s="407">
        <f t="shared" ref="AD1235" si="2840">+Y1235+AA1235+AC1235</f>
        <v>600317</v>
      </c>
      <c r="AE1235" s="1446">
        <f t="shared" ref="AE1235" si="2841">+W1235+AD1235</f>
        <v>1174654</v>
      </c>
      <c r="AF1235" s="2661">
        <f t="shared" ref="AF1235" si="2842">+AB1235+AC1235</f>
        <v>2119833</v>
      </c>
    </row>
    <row r="1236" spans="1:78" ht="35" customHeight="1" x14ac:dyDescent="0.25">
      <c r="A1236" s="2">
        <f>142.67/AF1235*AF1243</f>
        <v>139.28433362591767</v>
      </c>
      <c r="B1236" s="340"/>
      <c r="C1236" s="8453" t="s">
        <v>432</v>
      </c>
      <c r="D1236" s="591"/>
      <c r="E1236" s="126" t="s">
        <v>433</v>
      </c>
      <c r="F1236" s="3342">
        <v>339</v>
      </c>
      <c r="G1236" s="3342">
        <v>346</v>
      </c>
      <c r="H1236" s="360">
        <f>SUM(F1236:G1236)</f>
        <v>685</v>
      </c>
      <c r="I1236" s="3342">
        <v>329</v>
      </c>
      <c r="J1236" s="361">
        <f>SUM(H1236:I1236)</f>
        <v>1014</v>
      </c>
      <c r="K1236" s="3342">
        <v>104</v>
      </c>
      <c r="L1236" s="360">
        <f t="shared" si="2837"/>
        <v>1118</v>
      </c>
      <c r="M1236" s="3342">
        <v>543</v>
      </c>
      <c r="N1236" s="360">
        <f t="shared" si="2838"/>
        <v>1661</v>
      </c>
      <c r="O1236" s="3342">
        <v>498</v>
      </c>
      <c r="P1236" s="304">
        <f t="shared" si="2819"/>
        <v>1145</v>
      </c>
      <c r="Q1236" s="362">
        <f t="shared" si="2839"/>
        <v>2159</v>
      </c>
      <c r="R1236" s="3342">
        <v>530</v>
      </c>
      <c r="S1236" s="360">
        <f t="shared" ref="S1236:S1237" si="2843">SUM(Q1236:R1236)</f>
        <v>2689</v>
      </c>
      <c r="T1236" s="3342">
        <v>499</v>
      </c>
      <c r="U1236" s="360">
        <f t="shared" ref="U1236:U1237" si="2844">SUM(S1236:T1236)</f>
        <v>3188</v>
      </c>
      <c r="V1236" s="3342">
        <v>531</v>
      </c>
      <c r="W1236" s="449">
        <f t="shared" ref="W1236:W1237" si="2845">+R1236+T1236+V1236</f>
        <v>1560</v>
      </c>
      <c r="X1236" s="448">
        <f t="shared" ref="X1236:X1237" si="2846">+U1236+V1236</f>
        <v>3719</v>
      </c>
      <c r="Y1236" s="3342">
        <v>528</v>
      </c>
      <c r="Z1236" s="360">
        <f t="shared" ref="Z1236:Z1237" si="2847">SUM(X1236:Y1236)</f>
        <v>4247</v>
      </c>
      <c r="AA1236" s="3342">
        <v>519</v>
      </c>
      <c r="AB1236" s="448">
        <f t="shared" ref="AB1236:AB1237" si="2848">SUM(Z1236:AA1236)</f>
        <v>4766</v>
      </c>
      <c r="AC1236" s="3342">
        <v>527</v>
      </c>
      <c r="AD1236" s="449">
        <f t="shared" ref="AD1236:AD1239" si="2849">+Y1236+AA1236+AC1236</f>
        <v>1574</v>
      </c>
      <c r="AE1236" s="1389">
        <f t="shared" si="2826"/>
        <v>3134</v>
      </c>
      <c r="AF1236" s="2654">
        <f t="shared" si="2827"/>
        <v>5293</v>
      </c>
    </row>
    <row r="1237" spans="1:78" ht="35" customHeight="1" x14ac:dyDescent="0.25">
      <c r="B1237" s="340"/>
      <c r="C1237" s="8454"/>
      <c r="D1237" s="591"/>
      <c r="E1237" s="450" t="s">
        <v>434</v>
      </c>
      <c r="F1237" s="3328">
        <v>373</v>
      </c>
      <c r="G1237" s="3328">
        <v>302</v>
      </c>
      <c r="H1237" s="252">
        <f>SUM(F1237:G1237)</f>
        <v>675</v>
      </c>
      <c r="I1237" s="3328">
        <v>346</v>
      </c>
      <c r="J1237" s="361">
        <f>SUM(H1237:I1237)</f>
        <v>1021</v>
      </c>
      <c r="K1237" s="3328">
        <v>527</v>
      </c>
      <c r="L1237" s="252">
        <f t="shared" si="2837"/>
        <v>1548</v>
      </c>
      <c r="M1237" s="3328">
        <v>565</v>
      </c>
      <c r="N1237" s="252">
        <f t="shared" si="2838"/>
        <v>2113</v>
      </c>
      <c r="O1237" s="3328">
        <v>390</v>
      </c>
      <c r="P1237" s="313">
        <f t="shared" ref="P1237" si="2850">+K1237+M1237+O1237</f>
        <v>1482</v>
      </c>
      <c r="Q1237" s="362">
        <f t="shared" si="2839"/>
        <v>2503</v>
      </c>
      <c r="R1237" s="3328">
        <v>510</v>
      </c>
      <c r="S1237" s="252">
        <f t="shared" si="2843"/>
        <v>3013</v>
      </c>
      <c r="T1237" s="3328">
        <v>478</v>
      </c>
      <c r="U1237" s="252">
        <f t="shared" si="2844"/>
        <v>3491</v>
      </c>
      <c r="V1237" s="3328">
        <v>562</v>
      </c>
      <c r="W1237" s="497">
        <f t="shared" si="2845"/>
        <v>1550</v>
      </c>
      <c r="X1237" s="357">
        <f t="shared" si="2846"/>
        <v>4053</v>
      </c>
      <c r="Y1237" s="3328">
        <v>520</v>
      </c>
      <c r="Z1237" s="252">
        <f t="shared" si="2847"/>
        <v>4573</v>
      </c>
      <c r="AA1237" s="3328">
        <v>505</v>
      </c>
      <c r="AB1237" s="357">
        <f t="shared" si="2848"/>
        <v>5078</v>
      </c>
      <c r="AC1237" s="3328">
        <v>502</v>
      </c>
      <c r="AD1237" s="497">
        <f t="shared" si="2849"/>
        <v>1527</v>
      </c>
      <c r="AE1237" s="1321">
        <f t="shared" si="2826"/>
        <v>3077</v>
      </c>
      <c r="AF1237" s="2662">
        <f t="shared" si="2827"/>
        <v>5580</v>
      </c>
    </row>
    <row r="1238" spans="1:78" ht="35" customHeight="1" thickBot="1" x14ac:dyDescent="0.3">
      <c r="B1238" s="340"/>
      <c r="C1238" s="8455"/>
      <c r="D1238" s="591"/>
      <c r="E1238" s="450" t="s">
        <v>435</v>
      </c>
      <c r="F1238" s="3328">
        <v>145</v>
      </c>
      <c r="G1238" s="3328">
        <v>239</v>
      </c>
      <c r="H1238" s="451">
        <f>SUM(F1238:G1238)</f>
        <v>384</v>
      </c>
      <c r="I1238" s="3328">
        <v>293</v>
      </c>
      <c r="J1238" s="361">
        <f>SUM(H1238:I1238)</f>
        <v>677</v>
      </c>
      <c r="K1238" s="3328">
        <v>446</v>
      </c>
      <c r="L1238" s="451">
        <f t="shared" ref="L1238" si="2851">+J1238+K1238</f>
        <v>1123</v>
      </c>
      <c r="M1238" s="3328">
        <v>287</v>
      </c>
      <c r="N1238" s="451">
        <f t="shared" ref="N1238" si="2852">+L1238+M1238</f>
        <v>1410</v>
      </c>
      <c r="O1238" s="3328">
        <v>145</v>
      </c>
      <c r="P1238" s="304">
        <f t="shared" ref="P1238" si="2853">+K1238+M1238+O1238</f>
        <v>878</v>
      </c>
      <c r="Q1238" s="2181">
        <f t="shared" si="2839"/>
        <v>1555</v>
      </c>
      <c r="R1238" s="3328">
        <v>139</v>
      </c>
      <c r="S1238" s="360">
        <f t="shared" ref="S1238" si="2854">SUM(Q1238:R1238)</f>
        <v>1694</v>
      </c>
      <c r="T1238" s="3328">
        <v>221</v>
      </c>
      <c r="U1238" s="360">
        <f t="shared" ref="U1238" si="2855">SUM(S1238:T1238)</f>
        <v>1915</v>
      </c>
      <c r="V1238" s="3328">
        <v>326</v>
      </c>
      <c r="W1238" s="449">
        <f t="shared" ref="W1238" si="2856">+R1238+T1238+V1238</f>
        <v>686</v>
      </c>
      <c r="X1238" s="448">
        <f t="shared" ref="X1238" si="2857">+U1238+V1238</f>
        <v>2241</v>
      </c>
      <c r="Y1238" s="3328">
        <v>330</v>
      </c>
      <c r="Z1238" s="360">
        <f t="shared" ref="Z1238" si="2858">SUM(X1238:Y1238)</f>
        <v>2571</v>
      </c>
      <c r="AA1238" s="3328">
        <v>278</v>
      </c>
      <c r="AB1238" s="448">
        <f t="shared" ref="AB1238" si="2859">SUM(Z1238:AA1238)</f>
        <v>2849</v>
      </c>
      <c r="AC1238" s="3328">
        <v>192</v>
      </c>
      <c r="AD1238" s="2525">
        <f t="shared" ref="AD1238" si="2860">+Y1238+AA1238+AC1238</f>
        <v>800</v>
      </c>
      <c r="AE1238" s="2539">
        <f t="shared" ref="AE1238" si="2861">+W1238+AD1238</f>
        <v>1486</v>
      </c>
      <c r="AF1238" s="2655">
        <f t="shared" ref="AF1238" si="2862">+AB1238+AC1238</f>
        <v>3041</v>
      </c>
    </row>
    <row r="1239" spans="1:78" ht="35" customHeight="1" thickBot="1" x14ac:dyDescent="0.3">
      <c r="C1239" s="338"/>
      <c r="D1239" s="3447"/>
      <c r="E1239" s="180" t="s">
        <v>351</v>
      </c>
      <c r="F1239" s="454">
        <f>SUM(F1236:F1238)</f>
        <v>857</v>
      </c>
      <c r="G1239" s="454">
        <f>SUM(G1236:G1238)</f>
        <v>887</v>
      </c>
      <c r="H1239" s="455">
        <f>SUM(F1239:G1239)</f>
        <v>1744</v>
      </c>
      <c r="I1239" s="454">
        <f>SUM(I1236:I1238)</f>
        <v>968</v>
      </c>
      <c r="J1239" s="456">
        <f>SUM(J1236:J1238)</f>
        <v>2712</v>
      </c>
      <c r="K1239" s="454">
        <f>SUM(K1236:K1238)</f>
        <v>1077</v>
      </c>
      <c r="L1239" s="455">
        <f t="shared" si="2817"/>
        <v>3789</v>
      </c>
      <c r="M1239" s="454">
        <f>SUM(M1236:M1238)</f>
        <v>1395</v>
      </c>
      <c r="N1239" s="455">
        <f t="shared" si="2818"/>
        <v>5184</v>
      </c>
      <c r="O1239" s="454">
        <f>SUM(O1236:O1238)</f>
        <v>1033</v>
      </c>
      <c r="P1239" s="249">
        <f t="shared" ref="P1239" si="2863">+K1239+M1239+O1239</f>
        <v>3505</v>
      </c>
      <c r="Q1239" s="2168">
        <f t="shared" si="2839"/>
        <v>6217</v>
      </c>
      <c r="R1239" s="454">
        <f>SUM(R1236:R1238)</f>
        <v>1179</v>
      </c>
      <c r="S1239" s="250">
        <f t="shared" si="2821"/>
        <v>7396</v>
      </c>
      <c r="T1239" s="454">
        <f>SUM(T1236:T1238)</f>
        <v>1198</v>
      </c>
      <c r="U1239" s="250">
        <f t="shared" si="2831"/>
        <v>8594</v>
      </c>
      <c r="V1239" s="454">
        <f>SUM(V1236:V1238)</f>
        <v>1419</v>
      </c>
      <c r="W1239" s="76">
        <f t="shared" ref="W1239" si="2864">+V1239+T1239+R1239</f>
        <v>3796</v>
      </c>
      <c r="X1239" s="250">
        <f t="shared" ref="X1239" si="2865">+V1239+U1239</f>
        <v>10013</v>
      </c>
      <c r="Y1239" s="454">
        <f>SUM(Y1236:Y1238)</f>
        <v>1378</v>
      </c>
      <c r="Z1239" s="250">
        <f t="shared" ref="Z1239:AB1239" si="2866">+X1239+Y1239</f>
        <v>11391</v>
      </c>
      <c r="AA1239" s="454">
        <f>SUM(AA1236:AA1238)</f>
        <v>1302</v>
      </c>
      <c r="AB1239" s="250">
        <f t="shared" si="2866"/>
        <v>12693</v>
      </c>
      <c r="AC1239" s="454">
        <f>SUM(AC1236:AC1238)</f>
        <v>1221</v>
      </c>
      <c r="AD1239" s="456">
        <f t="shared" si="2849"/>
        <v>3901</v>
      </c>
      <c r="AE1239" s="775">
        <f t="shared" si="2826"/>
        <v>7697</v>
      </c>
      <c r="AF1239" s="2663">
        <f t="shared" si="2827"/>
        <v>13914</v>
      </c>
    </row>
    <row r="1240" spans="1:78" ht="35" customHeight="1" thickBot="1" x14ac:dyDescent="0.3">
      <c r="C1240" s="338"/>
      <c r="D1240" s="591"/>
      <c r="E1240" s="397" t="s">
        <v>1236</v>
      </c>
      <c r="F1240" s="2747">
        <f t="shared" ref="F1240:G1240" si="2867">+F1239/F1218</f>
        <v>28.566666666666666</v>
      </c>
      <c r="G1240" s="2747">
        <f t="shared" si="2867"/>
        <v>28.612903225806452</v>
      </c>
      <c r="H1240" s="226">
        <f t="shared" ref="H1240:AB1240" si="2868">+H1239/H1218</f>
        <v>28.590163934426229</v>
      </c>
      <c r="I1240" s="2747">
        <f t="shared" si="2868"/>
        <v>32.266666666666666</v>
      </c>
      <c r="J1240" s="344">
        <f t="shared" si="2868"/>
        <v>29.802197802197803</v>
      </c>
      <c r="K1240" s="2747">
        <f t="shared" si="2868"/>
        <v>34.741935483870968</v>
      </c>
      <c r="L1240" s="226">
        <f t="shared" si="2868"/>
        <v>31.057377049180328</v>
      </c>
      <c r="M1240" s="2747">
        <f t="shared" ref="M1240:O1240" si="2869">+M1239/M1218</f>
        <v>45</v>
      </c>
      <c r="N1240" s="226">
        <f t="shared" si="2868"/>
        <v>33.882352941176471</v>
      </c>
      <c r="O1240" s="2747">
        <f t="shared" si="2869"/>
        <v>34.43333333333333</v>
      </c>
      <c r="P1240" s="344">
        <f t="shared" si="2868"/>
        <v>38.097826086956523</v>
      </c>
      <c r="Q1240" s="2162">
        <f t="shared" si="2868"/>
        <v>33.972677595628419</v>
      </c>
      <c r="R1240" s="2747">
        <f t="shared" si="2868"/>
        <v>38.032258064516128</v>
      </c>
      <c r="S1240" s="226">
        <f t="shared" si="2868"/>
        <v>34.560747663551403</v>
      </c>
      <c r="T1240" s="2747">
        <f t="shared" si="2868"/>
        <v>39.93333333333333</v>
      </c>
      <c r="U1240" s="226">
        <f t="shared" si="2868"/>
        <v>35.221311475409834</v>
      </c>
      <c r="V1240" s="2747">
        <f>+V1239/V1218</f>
        <v>45.774193548387096</v>
      </c>
      <c r="W1240" s="344">
        <f t="shared" si="2868"/>
        <v>41.260869565217391</v>
      </c>
      <c r="X1240" s="226">
        <f t="shared" si="2868"/>
        <v>36.410909090909094</v>
      </c>
      <c r="Y1240" s="2747">
        <f>+Y1239/Y1218</f>
        <v>44.451612903225808</v>
      </c>
      <c r="Z1240" s="226">
        <f t="shared" si="2868"/>
        <v>37.225490196078432</v>
      </c>
      <c r="AA1240" s="2747">
        <f>+AA1239/AA1218</f>
        <v>44.896551724137929</v>
      </c>
      <c r="AB1240" s="226">
        <f t="shared" si="2868"/>
        <v>37.889552238805969</v>
      </c>
      <c r="AC1240" s="2747">
        <f>+AC1239/AC1218</f>
        <v>39.387096774193552</v>
      </c>
      <c r="AD1240" s="259">
        <f t="shared" ref="AD1240:AF1240" si="2870">+AD1239/AD1218</f>
        <v>42.868131868131869</v>
      </c>
      <c r="AE1240" s="775">
        <f t="shared" si="2870"/>
        <v>42.060109289617486</v>
      </c>
      <c r="AF1240" s="2663">
        <f t="shared" si="2870"/>
        <v>38.016393442622949</v>
      </c>
      <c r="AI1240" s="5197">
        <f>+F1242+129292</f>
        <v>131608</v>
      </c>
    </row>
    <row r="1241" spans="1:78" ht="35" customHeight="1" thickBot="1" x14ac:dyDescent="0.3">
      <c r="C1241" s="338"/>
      <c r="D1241" s="3961"/>
      <c r="E1241" s="162" t="s">
        <v>436</v>
      </c>
      <c r="F1241" s="2748">
        <f t="shared" ref="F1241:G1241" si="2871">+F1243/F1239</f>
        <v>150.86581096849474</v>
      </c>
      <c r="G1241" s="2748">
        <f t="shared" si="2871"/>
        <v>151.41262683201805</v>
      </c>
      <c r="H1241" s="226">
        <f t="shared" ref="H1241:AF1241" si="2872">+H1243/H1239</f>
        <v>151.14392201834863</v>
      </c>
      <c r="I1241" s="2748">
        <f t="shared" si="2872"/>
        <v>152.25413223140495</v>
      </c>
      <c r="J1241" s="344">
        <f t="shared" si="2872"/>
        <v>151.54019174041298</v>
      </c>
      <c r="K1241" s="2748">
        <f t="shared" si="2872"/>
        <v>149.42384401114208</v>
      </c>
      <c r="L1241" s="226">
        <f t="shared" si="2872"/>
        <v>150.93863288466613</v>
      </c>
      <c r="M1241" s="2748">
        <f t="shared" ref="M1241:O1241" si="2873">+M1243/M1239</f>
        <v>144.91039426523298</v>
      </c>
      <c r="N1241" s="226">
        <f t="shared" si="2872"/>
        <v>149.31645061728395</v>
      </c>
      <c r="O1241" s="2748">
        <f t="shared" si="2873"/>
        <v>145.2169578896418</v>
      </c>
      <c r="P1241" s="344">
        <f t="shared" si="2872"/>
        <v>146.38761697574893</v>
      </c>
      <c r="Q1241" s="2162">
        <f t="shared" si="2872"/>
        <v>148.6352899308348</v>
      </c>
      <c r="R1241" s="2748">
        <f t="shared" si="2872"/>
        <v>146.84406276505513</v>
      </c>
      <c r="S1241" s="226">
        <f t="shared" si="2872"/>
        <v>148.34974952677121</v>
      </c>
      <c r="T1241" s="2748">
        <f t="shared" si="2872"/>
        <v>146.94407345575959</v>
      </c>
      <c r="U1241" s="226">
        <f t="shared" si="2872"/>
        <v>148.15379887130555</v>
      </c>
      <c r="V1241" s="2748">
        <f t="shared" ref="V1241" si="2874">+V1243/V1239</f>
        <v>145.88090204369274</v>
      </c>
      <c r="W1241" s="344">
        <f t="shared" si="2872"/>
        <v>146.51558219178082</v>
      </c>
      <c r="X1241" s="226">
        <f t="shared" si="2872"/>
        <v>147.83169354838708</v>
      </c>
      <c r="Y1241" s="2748">
        <f t="shared" si="2872"/>
        <v>151.19375544267052</v>
      </c>
      <c r="Z1241" s="226">
        <f t="shared" si="2872"/>
        <v>148.23841124572027</v>
      </c>
      <c r="AA1241" s="2748">
        <f t="shared" ref="AA1241" si="2875">+AA1243/AA1239</f>
        <v>151.30568356374809</v>
      </c>
      <c r="AB1241" s="226">
        <f t="shared" si="2872"/>
        <v>148.55304045536909</v>
      </c>
      <c r="AC1241" s="2748">
        <f t="shared" ref="AC1241" si="2876">+AC1243/AC1239</f>
        <v>150.65030835380836</v>
      </c>
      <c r="AD1241" s="344">
        <f t="shared" si="2872"/>
        <v>151.06101550884389</v>
      </c>
      <c r="AE1241" s="2540">
        <f t="shared" si="2872"/>
        <v>148.81930252046254</v>
      </c>
      <c r="AF1241" s="2664">
        <f t="shared" si="2872"/>
        <v>148.7370827224378</v>
      </c>
    </row>
    <row r="1242" spans="1:78" ht="35" customHeight="1" thickBot="1" x14ac:dyDescent="0.3">
      <c r="C1242" s="338"/>
      <c r="D1242" s="591"/>
      <c r="E1242" s="397" t="s">
        <v>323</v>
      </c>
      <c r="F1242" s="3344">
        <f>575+804+333+304+300</f>
        <v>2316</v>
      </c>
      <c r="G1242" s="3344">
        <f>610+852+295+270+273</f>
        <v>2300</v>
      </c>
      <c r="H1242" s="250">
        <f t="shared" si="2815"/>
        <v>4616</v>
      </c>
      <c r="I1242" s="3344">
        <f>675+732+238+264+299</f>
        <v>2208</v>
      </c>
      <c r="J1242" s="427">
        <f t="shared" si="2816"/>
        <v>6824</v>
      </c>
      <c r="K1242" s="3344">
        <f>700+616+284+324+625</f>
        <v>2549</v>
      </c>
      <c r="L1242" s="432">
        <f t="shared" si="2817"/>
        <v>9373</v>
      </c>
      <c r="M1242" s="3344">
        <v>6750</v>
      </c>
      <c r="N1242" s="432">
        <f t="shared" si="2818"/>
        <v>16123</v>
      </c>
      <c r="O1242" s="3344">
        <f>1132+2712+419+375+352</f>
        <v>4990</v>
      </c>
      <c r="P1242" s="427">
        <f t="shared" ref="P1242" si="2877">+K1242+M1242+O1242</f>
        <v>14289</v>
      </c>
      <c r="Q1242" s="236">
        <f t="shared" ref="Q1242" si="2878">+J1242+P1242</f>
        <v>21113</v>
      </c>
      <c r="R1242" s="3344">
        <f>856+2930+485+460+420</f>
        <v>5151</v>
      </c>
      <c r="S1242" s="432">
        <f t="shared" si="2821"/>
        <v>26264</v>
      </c>
      <c r="T1242" s="3344">
        <f>998+3988+563+599+590</f>
        <v>6738</v>
      </c>
      <c r="U1242" s="432">
        <f t="shared" si="2831"/>
        <v>33002</v>
      </c>
      <c r="V1242" s="3344">
        <f>1697+3018+550+530+480</f>
        <v>6275</v>
      </c>
      <c r="W1242" s="131">
        <f t="shared" ref="W1242" si="2879">+V1242+T1242+R1242</f>
        <v>18164</v>
      </c>
      <c r="X1242" s="432">
        <f t="shared" ref="X1242" si="2880">+V1242+U1242</f>
        <v>39277</v>
      </c>
      <c r="Y1242" s="3344">
        <f>850+2066+320+374+420</f>
        <v>4030</v>
      </c>
      <c r="Z1242" s="432">
        <f t="shared" si="2824"/>
        <v>43307</v>
      </c>
      <c r="AA1242" s="3344">
        <f>906+1550+350+356+358</f>
        <v>3520</v>
      </c>
      <c r="AB1242" s="432">
        <f t="shared" ref="AB1242:AB1243" si="2881">+Z1242+AA1242</f>
        <v>46827</v>
      </c>
      <c r="AC1242" s="3344">
        <f>1005+1264+422+412+375</f>
        <v>3478</v>
      </c>
      <c r="AD1242" s="304">
        <f t="shared" ref="AD1242" si="2882">+Y1242+AA1242+AC1242</f>
        <v>11028</v>
      </c>
      <c r="AE1242" s="1292">
        <f t="shared" ref="AE1242" si="2883">+W1242+AD1242</f>
        <v>29192</v>
      </c>
      <c r="AF1242" s="2660">
        <f t="shared" ref="AF1242" si="2884">+AB1242+AC1242</f>
        <v>50305</v>
      </c>
    </row>
    <row r="1243" spans="1:78" ht="35" customHeight="1" thickBot="1" x14ac:dyDescent="0.3">
      <c r="C1243" s="338"/>
      <c r="D1243" s="591"/>
      <c r="E1243" s="1509" t="s">
        <v>296</v>
      </c>
      <c r="F1243" s="1510">
        <f>+F1247+F1250+F1255</f>
        <v>129292</v>
      </c>
      <c r="G1243" s="1510">
        <f>+G1247+G1250+G1255</f>
        <v>134303</v>
      </c>
      <c r="H1243" s="464">
        <f t="shared" si="2815"/>
        <v>263595</v>
      </c>
      <c r="I1243" s="1510">
        <f>+I1247+I1250+I1255</f>
        <v>147382</v>
      </c>
      <c r="J1243" s="463">
        <f t="shared" si="2816"/>
        <v>410977</v>
      </c>
      <c r="K1243" s="1510">
        <f>+K1247+K1250+K1255</f>
        <v>160929.48000000001</v>
      </c>
      <c r="L1243" s="464">
        <f t="shared" si="2817"/>
        <v>571906.48</v>
      </c>
      <c r="M1243" s="1510">
        <f>+M1247+M1250+M1255</f>
        <v>202150</v>
      </c>
      <c r="N1243" s="464">
        <f t="shared" si="2818"/>
        <v>774056.48</v>
      </c>
      <c r="O1243" s="1510">
        <f>+O1247+O1250+O1255</f>
        <v>150009.11749999999</v>
      </c>
      <c r="P1243" s="463">
        <f t="shared" si="2819"/>
        <v>513088.59749999997</v>
      </c>
      <c r="Q1243" s="362">
        <f t="shared" ref="Q1243" si="2885">+N1243+O1243</f>
        <v>924065.59749999992</v>
      </c>
      <c r="R1243" s="1510">
        <f>+R1247+R1250+R1255</f>
        <v>173129.15</v>
      </c>
      <c r="S1243" s="464">
        <f t="shared" si="2821"/>
        <v>1097194.7474999998</v>
      </c>
      <c r="T1243" s="1510">
        <f>+T1247+T1250+T1255</f>
        <v>176039</v>
      </c>
      <c r="U1243" s="464">
        <f t="shared" si="2831"/>
        <v>1273233.7474999998</v>
      </c>
      <c r="V1243" s="1510">
        <f>+V1247+V1250+V1255</f>
        <v>207005</v>
      </c>
      <c r="W1243" s="2394">
        <f t="shared" si="2829"/>
        <v>556173.15</v>
      </c>
      <c r="X1243" s="1381">
        <f t="shared" si="2830"/>
        <v>1480238.7474999998</v>
      </c>
      <c r="Y1243" s="1510">
        <f>+Y1247+Y1250+Y1255</f>
        <v>208344.995</v>
      </c>
      <c r="Z1243" s="464">
        <f t="shared" si="2824"/>
        <v>1688583.7424999997</v>
      </c>
      <c r="AA1243" s="1510">
        <f>+AA1247+AA1250+AA1255</f>
        <v>197000</v>
      </c>
      <c r="AB1243" s="464">
        <f t="shared" si="2881"/>
        <v>1885583.7424999997</v>
      </c>
      <c r="AC1243" s="1510">
        <f>+AC1247+AC1250+AC1255</f>
        <v>183944.02650000001</v>
      </c>
      <c r="AD1243" s="466">
        <f>+Y1243+AA1243+AC1243</f>
        <v>589289.02150000003</v>
      </c>
      <c r="AE1243" s="1380">
        <f>+W1243+AD1243</f>
        <v>1145462.1715000002</v>
      </c>
      <c r="AF1243" s="2665">
        <f>+AB1243+AC1243</f>
        <v>2069527.7689999996</v>
      </c>
    </row>
    <row r="1244" spans="1:78" ht="35" customHeight="1" thickBot="1" x14ac:dyDescent="0.3">
      <c r="C1244" s="338"/>
      <c r="D1244" s="591"/>
      <c r="E1244" s="1504" t="s">
        <v>387</v>
      </c>
      <c r="F1244" s="3922">
        <f t="shared" ref="F1244:G1244" si="2886">+F1243/F1235*100</f>
        <v>98.240228557534493</v>
      </c>
      <c r="G1244" s="3922">
        <f t="shared" si="2886"/>
        <v>98.316288807712866</v>
      </c>
      <c r="H1244" s="526">
        <f t="shared" ref="H1244:AE1244" si="2887">+H1243/H1235*100</f>
        <v>98.278966932750706</v>
      </c>
      <c r="I1244" s="3922">
        <f t="shared" si="2887"/>
        <v>98.523965505715623</v>
      </c>
      <c r="J1244" s="574">
        <f t="shared" si="2887"/>
        <v>98.366686532583685</v>
      </c>
      <c r="K1244" s="3922">
        <f t="shared" si="2887"/>
        <v>98.441062405950646</v>
      </c>
      <c r="L1244" s="526">
        <f t="shared" si="2887"/>
        <v>98.387603887289927</v>
      </c>
      <c r="M1244" s="3922">
        <f t="shared" ref="M1244:O1244" si="2888">+M1243/M1235*100</f>
        <v>96.768788894207759</v>
      </c>
      <c r="N1244" s="526">
        <f t="shared" si="2887"/>
        <v>97.959636993643201</v>
      </c>
      <c r="O1244" s="3922">
        <f t="shared" si="2888"/>
        <v>96.780075806451606</v>
      </c>
      <c r="P1244" s="574">
        <f t="shared" si="2887"/>
        <v>97.290481874480918</v>
      </c>
      <c r="Q1244" s="2170">
        <f t="shared" si="2887"/>
        <v>97.766200635011984</v>
      </c>
      <c r="R1244" s="3922">
        <f t="shared" si="2887"/>
        <v>97.11080884002692</v>
      </c>
      <c r="S1244" s="526">
        <f t="shared" si="2887"/>
        <v>97.66219750787522</v>
      </c>
      <c r="T1244" s="3922">
        <f t="shared" si="2887"/>
        <v>96.313540543941528</v>
      </c>
      <c r="U1244" s="526">
        <f t="shared" si="2887"/>
        <v>97.473484691893333</v>
      </c>
      <c r="V1244" s="3922">
        <f t="shared" ref="V1244" si="2889">+V1243/V1235*100</f>
        <v>97.057858214553633</v>
      </c>
      <c r="W1244" s="574">
        <f t="shared" si="2887"/>
        <v>96.837422976405847</v>
      </c>
      <c r="X1244" s="526">
        <f t="shared" si="2887"/>
        <v>97.41514715870052</v>
      </c>
      <c r="Y1244" s="3922">
        <f t="shared" si="2887"/>
        <v>98.102410829899938</v>
      </c>
      <c r="Z1244" s="526">
        <f t="shared" si="2887"/>
        <v>97.499423606912899</v>
      </c>
      <c r="AA1244" s="3922">
        <f t="shared" ref="AA1244" si="2890">+AA1243/AA1235*100</f>
        <v>98.244564133253547</v>
      </c>
      <c r="AB1244" s="526">
        <f t="shared" si="2887"/>
        <v>97.576744414102365</v>
      </c>
      <c r="AC1244" s="3922">
        <f t="shared" ref="AC1244" si="2891">+AC1243/AC1235*100</f>
        <v>98.144308832474309</v>
      </c>
      <c r="AD1244" s="2527">
        <f t="shared" si="2887"/>
        <v>98.162974145326558</v>
      </c>
      <c r="AE1244" s="949">
        <f t="shared" si="2887"/>
        <v>97.514857268608466</v>
      </c>
      <c r="AF1244" s="2666">
        <f t="shared" ref="AF1244" si="2892">+AF1243/AF1235*100</f>
        <v>97.626924809643</v>
      </c>
    </row>
    <row r="1245" spans="1:78" ht="35" customHeight="1" x14ac:dyDescent="0.25">
      <c r="C1245" s="338"/>
      <c r="D1245" s="1503"/>
      <c r="E1245" s="576" t="s">
        <v>641</v>
      </c>
      <c r="F1245" s="3345">
        <v>50674</v>
      </c>
      <c r="G1245" s="3345">
        <v>51855</v>
      </c>
      <c r="H1245" s="1520">
        <f>SUM(F1245:G1245)</f>
        <v>102529</v>
      </c>
      <c r="I1245" s="3345">
        <v>49889</v>
      </c>
      <c r="J1245" s="442">
        <f t="shared" ref="J1245:J1246" si="2893">+H1245+I1245</f>
        <v>152418</v>
      </c>
      <c r="K1245" s="3345">
        <v>63399</v>
      </c>
      <c r="L1245" s="457">
        <f t="shared" ref="L1245:N1246" si="2894">+J1245+K1245</f>
        <v>215817</v>
      </c>
      <c r="M1245" s="3345">
        <v>77918</v>
      </c>
      <c r="N1245" s="457">
        <f t="shared" si="2894"/>
        <v>293735</v>
      </c>
      <c r="O1245" s="3345">
        <v>71459</v>
      </c>
      <c r="P1245" s="270">
        <f t="shared" ref="P1245:P1246" si="2895">+K1245+M1245+O1245</f>
        <v>212776</v>
      </c>
      <c r="Q1245" s="2148">
        <f t="shared" ref="Q1245:Q1246" si="2896">+J1245+P1245</f>
        <v>365194</v>
      </c>
      <c r="R1245" s="3345">
        <v>77692</v>
      </c>
      <c r="S1245" s="363">
        <f t="shared" ref="S1245:U1249" si="2897">SUM(Q1245:R1245)</f>
        <v>442886</v>
      </c>
      <c r="T1245" s="3345">
        <v>73050</v>
      </c>
      <c r="U1245" s="363">
        <f t="shared" si="2897"/>
        <v>515936</v>
      </c>
      <c r="V1245" s="3345">
        <v>77560</v>
      </c>
      <c r="W1245" s="106">
        <f t="shared" ref="W1245:W1257" si="2898">+V1245+T1245+R1245</f>
        <v>228302</v>
      </c>
      <c r="X1245" s="459">
        <f t="shared" ref="X1245:X1257" si="2899">+V1245+U1245</f>
        <v>593496</v>
      </c>
      <c r="Y1245" s="3345">
        <v>79533</v>
      </c>
      <c r="Z1245" s="363">
        <f t="shared" si="2824"/>
        <v>673029</v>
      </c>
      <c r="AA1245" s="3345">
        <v>78158</v>
      </c>
      <c r="AB1245" s="296">
        <f t="shared" si="2824"/>
        <v>751187</v>
      </c>
      <c r="AC1245" s="3345">
        <v>79242</v>
      </c>
      <c r="AD1245" s="106">
        <f t="shared" ref="AD1245:AD1246" si="2900">+AC1245+AA1245+Y1245</f>
        <v>236933</v>
      </c>
      <c r="AE1245" s="1389">
        <f t="shared" ref="AE1245:AE1249" si="2901">+W1245+AD1245</f>
        <v>465235</v>
      </c>
      <c r="AF1245" s="2659">
        <f>+AB1245+AC1245</f>
        <v>830429</v>
      </c>
      <c r="BY1245" s="14"/>
    </row>
    <row r="1246" spans="1:78" ht="35" customHeight="1" thickBot="1" x14ac:dyDescent="0.35">
      <c r="C1246" s="338"/>
      <c r="D1246" s="1503"/>
      <c r="E1246" s="1505" t="s">
        <v>642</v>
      </c>
      <c r="F1246" s="3346">
        <v>278.5</v>
      </c>
      <c r="G1246" s="3346">
        <v>183.02500000000001</v>
      </c>
      <c r="H1246" s="1521">
        <f>SUM(F1246:G1246)</f>
        <v>461.52499999999998</v>
      </c>
      <c r="I1246" s="3346">
        <v>0</v>
      </c>
      <c r="J1246" s="443">
        <f t="shared" si="2893"/>
        <v>461.52499999999998</v>
      </c>
      <c r="K1246" s="3346">
        <v>162</v>
      </c>
      <c r="L1246" s="391">
        <f t="shared" si="2894"/>
        <v>623.52499999999998</v>
      </c>
      <c r="M1246" s="3346">
        <v>1552</v>
      </c>
      <c r="N1246" s="391">
        <f t="shared" si="2894"/>
        <v>2175.5250000000001</v>
      </c>
      <c r="O1246" s="3346">
        <v>409.76749999999987</v>
      </c>
      <c r="P1246" s="313">
        <f t="shared" si="2895"/>
        <v>2123.7674999999999</v>
      </c>
      <c r="Q1246" s="2133">
        <f t="shared" si="2896"/>
        <v>2585.2925</v>
      </c>
      <c r="R1246" s="3346">
        <v>352.45</v>
      </c>
      <c r="S1246" s="360">
        <f t="shared" si="2897"/>
        <v>2937.7424999999998</v>
      </c>
      <c r="T1246" s="3346">
        <f>324.41-9.705</f>
        <v>314.70500000000004</v>
      </c>
      <c r="U1246" s="363">
        <f t="shared" si="2897"/>
        <v>3252.4474999999998</v>
      </c>
      <c r="V1246" s="3346">
        <f>614/2</f>
        <v>307</v>
      </c>
      <c r="W1246" s="131">
        <f t="shared" si="2898"/>
        <v>974.15499999999997</v>
      </c>
      <c r="X1246" s="432">
        <f t="shared" si="2899"/>
        <v>3559.4474999999998</v>
      </c>
      <c r="Y1246" s="3346">
        <v>464.51749999999998</v>
      </c>
      <c r="Z1246" s="363">
        <f t="shared" si="2824"/>
        <v>4023.9649999999997</v>
      </c>
      <c r="AA1246" s="3346">
        <v>727.5</v>
      </c>
      <c r="AB1246" s="296">
        <f t="shared" si="2824"/>
        <v>4751.4650000000001</v>
      </c>
      <c r="AC1246" s="3346">
        <v>287.11</v>
      </c>
      <c r="AD1246" s="131">
        <f t="shared" si="2900"/>
        <v>1479.1275000000001</v>
      </c>
      <c r="AE1246" s="1389">
        <f t="shared" si="2901"/>
        <v>2453.2825000000003</v>
      </c>
      <c r="AF1246" s="2659">
        <f>+AB1246+AC1246</f>
        <v>5038.5749999999998</v>
      </c>
      <c r="AI1246" s="4756">
        <f>+AA1246*2</f>
        <v>1455</v>
      </c>
      <c r="BZ1246" s="4598"/>
    </row>
    <row r="1247" spans="1:78" ht="35" customHeight="1" thickBot="1" x14ac:dyDescent="0.3">
      <c r="C1247" s="338"/>
      <c r="D1247" s="1503"/>
      <c r="E1247" s="1506" t="s">
        <v>643</v>
      </c>
      <c r="F1247" s="596">
        <f t="shared" ref="F1247:G1247" si="2902">SUM(F1245:F1246)</f>
        <v>50952.5</v>
      </c>
      <c r="G1247" s="596">
        <f t="shared" si="2902"/>
        <v>52038.025000000001</v>
      </c>
      <c r="H1247" s="464">
        <f t="shared" ref="H1247:O1247" si="2903">SUM(H1245:H1246)</f>
        <v>102990.52499999999</v>
      </c>
      <c r="I1247" s="596">
        <f t="shared" ref="I1247" si="2904">SUM(I1245:I1246)</f>
        <v>49889</v>
      </c>
      <c r="J1247" s="463">
        <f>SUM(J1245:J1246)</f>
        <v>152879.52499999999</v>
      </c>
      <c r="K1247" s="596">
        <f t="shared" ref="K1247" si="2905">SUM(K1245:K1246)</f>
        <v>63561</v>
      </c>
      <c r="L1247" s="464">
        <f t="shared" si="2903"/>
        <v>216440.52499999999</v>
      </c>
      <c r="M1247" s="596">
        <f t="shared" ref="M1247" si="2906">SUM(M1245:M1246)</f>
        <v>79470</v>
      </c>
      <c r="N1247" s="464">
        <f t="shared" si="2903"/>
        <v>295910.52500000002</v>
      </c>
      <c r="O1247" s="596">
        <f t="shared" si="2903"/>
        <v>71868.767500000002</v>
      </c>
      <c r="P1247" s="463">
        <f>SUM(P1245:P1246)</f>
        <v>214899.76749999999</v>
      </c>
      <c r="Q1247" s="2169">
        <f>SUM(Q1245:Q1246)</f>
        <v>367779.29249999998</v>
      </c>
      <c r="R1247" s="596">
        <f t="shared" ref="R1247" si="2907">SUM(R1245:R1246)</f>
        <v>78044.45</v>
      </c>
      <c r="S1247" s="464">
        <f>SUM(S1245:S1246)</f>
        <v>445823.74249999999</v>
      </c>
      <c r="T1247" s="596">
        <f t="shared" ref="T1247" si="2908">SUM(T1245:T1246)</f>
        <v>73364.705000000002</v>
      </c>
      <c r="U1247" s="464">
        <f>SUM(U1245:U1246)</f>
        <v>519188.44750000001</v>
      </c>
      <c r="V1247" s="596">
        <f t="shared" ref="V1247" si="2909">SUM(V1245:V1246)</f>
        <v>77867</v>
      </c>
      <c r="W1247" s="463">
        <f>SUM(W1245:W1246)</f>
        <v>229276.155</v>
      </c>
      <c r="X1247" s="464">
        <f>SUM(X1245:X1246)</f>
        <v>597055.44750000001</v>
      </c>
      <c r="Y1247" s="596">
        <f t="shared" ref="Y1247" si="2910">SUM(Y1245:Y1246)</f>
        <v>79997.517500000002</v>
      </c>
      <c r="Z1247" s="464">
        <f>SUM(Z1245:Z1246)</f>
        <v>677052.96499999997</v>
      </c>
      <c r="AA1247" s="596">
        <f t="shared" ref="AA1247" si="2911">SUM(AA1245:AA1246)</f>
        <v>78885.5</v>
      </c>
      <c r="AB1247" s="464">
        <f>SUM(AB1245:AB1246)</f>
        <v>755938.46499999997</v>
      </c>
      <c r="AC1247" s="596">
        <f t="shared" ref="AC1247" si="2912">SUM(AC1245:AC1246)</f>
        <v>79529.11</v>
      </c>
      <c r="AD1247" s="466">
        <f>SUM(AD1245:AD1246)</f>
        <v>238412.1275</v>
      </c>
      <c r="AE1247" s="1380">
        <f>SUM(AE1245:AE1246)</f>
        <v>467688.28249999997</v>
      </c>
      <c r="AF1247" s="2665">
        <f>SUM(AF1245:AF1246)</f>
        <v>835467.57499999995</v>
      </c>
    </row>
    <row r="1248" spans="1:78" ht="35" customHeight="1" x14ac:dyDescent="0.25">
      <c r="C1248" s="338"/>
      <c r="D1248" s="1503"/>
      <c r="E1248" s="1511" t="s">
        <v>644</v>
      </c>
      <c r="F1248" s="3347">
        <v>56294</v>
      </c>
      <c r="G1248" s="3347">
        <v>45727</v>
      </c>
      <c r="H1248" s="1520">
        <f>SUM(F1248:G1248)</f>
        <v>102021</v>
      </c>
      <c r="I1248" s="3347">
        <v>52502</v>
      </c>
      <c r="J1248" s="442">
        <f t="shared" ref="J1248:J1249" si="2913">+H1248+I1248</f>
        <v>154523</v>
      </c>
      <c r="K1248" s="3347">
        <v>40885</v>
      </c>
      <c r="L1248" s="252">
        <f t="shared" ref="L1248:N1249" si="2914">+J1248+K1248</f>
        <v>195408</v>
      </c>
      <c r="M1248" s="3347">
        <v>81894</v>
      </c>
      <c r="N1248" s="252">
        <f t="shared" si="2914"/>
        <v>277302</v>
      </c>
      <c r="O1248" s="3347">
        <v>57002</v>
      </c>
      <c r="P1248" s="270">
        <f t="shared" ref="P1248:P1249" si="2915">+K1248+M1248+O1248</f>
        <v>179781</v>
      </c>
      <c r="Q1248" s="2148">
        <f t="shared" ref="Q1248:Q1249" si="2916">+J1248+P1248</f>
        <v>334304</v>
      </c>
      <c r="R1248" s="3347">
        <v>74744</v>
      </c>
      <c r="S1248" s="363">
        <f t="shared" si="2897"/>
        <v>409048</v>
      </c>
      <c r="T1248" s="3347">
        <v>70578</v>
      </c>
      <c r="U1248" s="363">
        <f t="shared" si="2897"/>
        <v>479626</v>
      </c>
      <c r="V1248" s="3347">
        <v>82109</v>
      </c>
      <c r="W1248" s="106">
        <f t="shared" si="2898"/>
        <v>227431</v>
      </c>
      <c r="X1248" s="459">
        <f t="shared" si="2899"/>
        <v>561735</v>
      </c>
      <c r="Y1248" s="3347">
        <v>78817</v>
      </c>
      <c r="Z1248" s="363">
        <f t="shared" si="2824"/>
        <v>640552</v>
      </c>
      <c r="AA1248" s="3347">
        <v>76365</v>
      </c>
      <c r="AB1248" s="296">
        <f t="shared" si="2824"/>
        <v>716917</v>
      </c>
      <c r="AC1248" s="3347">
        <v>75683</v>
      </c>
      <c r="AD1248" s="106">
        <f t="shared" ref="AD1248:AD1249" si="2917">+AC1248+AA1248+Y1248</f>
        <v>230865</v>
      </c>
      <c r="AE1248" s="1389">
        <f t="shared" si="2901"/>
        <v>458296</v>
      </c>
      <c r="AF1248" s="2659">
        <f>+AB1248+AC1248</f>
        <v>792600</v>
      </c>
    </row>
    <row r="1249" spans="3:78" ht="35" customHeight="1" thickBot="1" x14ac:dyDescent="0.3">
      <c r="C1249" s="338"/>
      <c r="D1249" s="1503"/>
      <c r="E1249" s="1505" t="s">
        <v>645</v>
      </c>
      <c r="F1249" s="3346">
        <v>277.5</v>
      </c>
      <c r="G1249" s="3346">
        <v>183.02500000000001</v>
      </c>
      <c r="H1249" s="1521">
        <f>SUM(F1249:G1249)</f>
        <v>460.52499999999998</v>
      </c>
      <c r="I1249" s="3346">
        <f>454-158</f>
        <v>296</v>
      </c>
      <c r="J1249" s="443">
        <f t="shared" si="2913"/>
        <v>756.52499999999998</v>
      </c>
      <c r="K1249" s="3346">
        <v>162</v>
      </c>
      <c r="L1249" s="252">
        <f t="shared" si="2914"/>
        <v>918.52499999999998</v>
      </c>
      <c r="M1249" s="3346">
        <v>0</v>
      </c>
      <c r="N1249" s="252">
        <f t="shared" si="2914"/>
        <v>918.52499999999998</v>
      </c>
      <c r="O1249" s="3346">
        <v>314.34999999999997</v>
      </c>
      <c r="P1249" s="313">
        <f t="shared" si="2915"/>
        <v>476.34999999999997</v>
      </c>
      <c r="Q1249" s="2133">
        <f t="shared" si="2916"/>
        <v>1232.875</v>
      </c>
      <c r="R1249" s="3346">
        <v>360.69999999999993</v>
      </c>
      <c r="S1249" s="360">
        <f t="shared" si="2897"/>
        <v>1593.5749999999998</v>
      </c>
      <c r="T1249" s="3346">
        <f>345-9.705</f>
        <v>335.29500000000002</v>
      </c>
      <c r="U1249" s="363">
        <f t="shared" si="2897"/>
        <v>1928.87</v>
      </c>
      <c r="V1249" s="3346">
        <v>307</v>
      </c>
      <c r="W1249" s="131">
        <f t="shared" si="2898"/>
        <v>1002.995</v>
      </c>
      <c r="X1249" s="432">
        <f t="shared" si="2899"/>
        <v>2235.87</v>
      </c>
      <c r="Y1249" s="3346">
        <v>406.47749999999996</v>
      </c>
      <c r="Z1249" s="363">
        <f t="shared" si="2824"/>
        <v>2642.3474999999999</v>
      </c>
      <c r="AA1249" s="3346">
        <v>727.5</v>
      </c>
      <c r="AB1249" s="296">
        <f t="shared" si="2824"/>
        <v>3369.8474999999999</v>
      </c>
      <c r="AC1249" s="3346">
        <v>369.37649999999996</v>
      </c>
      <c r="AD1249" s="131">
        <f t="shared" si="2917"/>
        <v>1503.3539999999998</v>
      </c>
      <c r="AE1249" s="1389">
        <f t="shared" si="2901"/>
        <v>2506.3489999999997</v>
      </c>
      <c r="AF1249" s="2659">
        <f>+AB1249+AC1249</f>
        <v>3739.2239999999997</v>
      </c>
      <c r="BY1249" s="14"/>
      <c r="BZ1249" s="14"/>
    </row>
    <row r="1250" spans="3:78" ht="35" customHeight="1" thickBot="1" x14ac:dyDescent="0.3">
      <c r="C1250" s="338"/>
      <c r="D1250" s="1503"/>
      <c r="E1250" s="1506" t="s">
        <v>646</v>
      </c>
      <c r="F1250" s="596">
        <f t="shared" ref="F1250:G1250" si="2918">SUM(F1248:F1249)</f>
        <v>56571.5</v>
      </c>
      <c r="G1250" s="596">
        <f t="shared" si="2918"/>
        <v>45910.025000000001</v>
      </c>
      <c r="H1250" s="464">
        <f t="shared" ref="H1250:O1250" si="2919">SUM(H1248:H1249)</f>
        <v>102481.52499999999</v>
      </c>
      <c r="I1250" s="596">
        <f t="shared" si="2919"/>
        <v>52798</v>
      </c>
      <c r="J1250" s="463">
        <f t="shared" ref="J1250:J1252" si="2920">+H1250+I1250</f>
        <v>155279.52499999999</v>
      </c>
      <c r="K1250" s="596">
        <f t="shared" ref="K1250" si="2921">SUM(K1248:K1249)</f>
        <v>41047</v>
      </c>
      <c r="L1250" s="464">
        <f t="shared" si="2919"/>
        <v>196326.52499999999</v>
      </c>
      <c r="M1250" s="596">
        <f t="shared" ref="M1250" si="2922">SUM(M1248:M1249)</f>
        <v>81894</v>
      </c>
      <c r="N1250" s="464">
        <f t="shared" si="2919"/>
        <v>278220.52500000002</v>
      </c>
      <c r="O1250" s="596">
        <f t="shared" si="2919"/>
        <v>57316.35</v>
      </c>
      <c r="P1250" s="463">
        <f>SUM(P1248:P1249)</f>
        <v>180257.35</v>
      </c>
      <c r="Q1250" s="2169">
        <f t="shared" ref="Q1250:Q1254" si="2923">+J1250+P1250</f>
        <v>335536.875</v>
      </c>
      <c r="R1250" s="596">
        <f t="shared" ref="R1250" si="2924">SUM(R1248:R1249)</f>
        <v>75104.7</v>
      </c>
      <c r="S1250" s="464">
        <f>SUM(S1248:S1249)</f>
        <v>410641.57500000001</v>
      </c>
      <c r="T1250" s="596">
        <f t="shared" ref="T1250" si="2925">SUM(T1248:T1249)</f>
        <v>70913.294999999998</v>
      </c>
      <c r="U1250" s="464">
        <f>SUM(U1248:U1249)</f>
        <v>481554.87</v>
      </c>
      <c r="V1250" s="596">
        <f t="shared" ref="V1250" si="2926">SUM(V1248:V1249)</f>
        <v>82416</v>
      </c>
      <c r="W1250" s="2394">
        <f>SUM(W1248:W1249)</f>
        <v>228433.995</v>
      </c>
      <c r="X1250" s="464">
        <f>SUM(X1248:X1249)</f>
        <v>563970.87</v>
      </c>
      <c r="Y1250" s="596">
        <f t="shared" ref="Y1250" si="2927">SUM(Y1248:Y1249)</f>
        <v>79223.477499999994</v>
      </c>
      <c r="Z1250" s="464">
        <f>SUM(Z1248:Z1249)</f>
        <v>643194.34750000003</v>
      </c>
      <c r="AA1250" s="596">
        <f t="shared" ref="AA1250" si="2928">SUM(AA1248:AA1249)</f>
        <v>77092.5</v>
      </c>
      <c r="AB1250" s="230">
        <f>SUM(AB1248:AB1249)</f>
        <v>720286.84750000003</v>
      </c>
      <c r="AC1250" s="596">
        <f t="shared" ref="AC1250" si="2929">SUM(AC1248:AC1249)</f>
        <v>76052.376499999998</v>
      </c>
      <c r="AD1250" s="466">
        <f>SUM(AD1248:AD1249)</f>
        <v>232368.35399999999</v>
      </c>
      <c r="AE1250" s="1380">
        <f>SUM(AE1248:AE1249)</f>
        <v>460802.34899999999</v>
      </c>
      <c r="AF1250" s="2665">
        <f t="shared" ref="AF1250:AF1257" si="2930">+AB1250+AC1250</f>
        <v>796339.22400000005</v>
      </c>
      <c r="AH1250" s="4756">
        <f>+T1245+T1248</f>
        <v>143628</v>
      </c>
    </row>
    <row r="1251" spans="3:78" ht="35" customHeight="1" x14ac:dyDescent="0.25">
      <c r="C1251" s="338"/>
      <c r="D1251" s="1503"/>
      <c r="E1251" s="1511" t="s">
        <v>1149</v>
      </c>
      <c r="F1251" s="5198">
        <v>21712.58</v>
      </c>
      <c r="G1251" s="5198">
        <v>36223</v>
      </c>
      <c r="H1251" s="1520">
        <f>SUM(F1251:G1251)</f>
        <v>57935.58</v>
      </c>
      <c r="I1251" s="5198">
        <v>44537</v>
      </c>
      <c r="J1251" s="442">
        <f t="shared" si="2920"/>
        <v>102472.58</v>
      </c>
      <c r="K1251" s="5198">
        <v>56069</v>
      </c>
      <c r="L1251" s="296">
        <f t="shared" ref="L1251:N1257" si="2931">+J1251+K1251</f>
        <v>158541.58000000002</v>
      </c>
      <c r="M1251" s="3348">
        <v>40786</v>
      </c>
      <c r="N1251" s="2080">
        <f>+L1251+M1251</f>
        <v>199327.58000000002</v>
      </c>
      <c r="O1251" s="3348">
        <v>20264</v>
      </c>
      <c r="P1251" s="270">
        <f t="shared" ref="P1251:P1254" si="2932">+K1251+M1251+O1251</f>
        <v>117119</v>
      </c>
      <c r="Q1251" s="2148">
        <f t="shared" si="2923"/>
        <v>219591.58000000002</v>
      </c>
      <c r="R1251" s="3348">
        <v>2703</v>
      </c>
      <c r="S1251" s="1521">
        <f t="shared" ref="S1251:S1252" si="2933">+Q1251+R1251</f>
        <v>222294.58000000002</v>
      </c>
      <c r="T1251" s="3348">
        <v>31761</v>
      </c>
      <c r="U1251" s="1521">
        <f t="shared" ref="U1251:U1252" si="2934">+S1251+T1251</f>
        <v>254055.58000000002</v>
      </c>
      <c r="V1251" s="3348">
        <v>46722</v>
      </c>
      <c r="W1251" s="106">
        <f t="shared" si="2898"/>
        <v>81186</v>
      </c>
      <c r="X1251" s="459">
        <f t="shared" si="2899"/>
        <v>300777.58</v>
      </c>
      <c r="Y1251" s="3348">
        <v>29641</v>
      </c>
      <c r="Z1251" s="1521">
        <f t="shared" si="2824"/>
        <v>330418.58</v>
      </c>
      <c r="AA1251" s="3348">
        <v>19842</v>
      </c>
      <c r="AB1251" s="1521">
        <f t="shared" ref="AB1251:AB1254" si="2935">+Z1251+AA1251</f>
        <v>350260.58</v>
      </c>
      <c r="AC1251" s="3348">
        <v>8025</v>
      </c>
      <c r="AD1251" s="106">
        <f t="shared" ref="AD1251:AD1254" si="2936">+AC1251+AA1251+Y1251</f>
        <v>57508</v>
      </c>
      <c r="AE1251" s="1385">
        <f t="shared" ref="AE1251:AE1257" si="2937">+W1251+AD1251</f>
        <v>138694</v>
      </c>
      <c r="AF1251" s="2659">
        <f t="shared" si="2930"/>
        <v>358285.58</v>
      </c>
    </row>
    <row r="1252" spans="3:78" ht="35" customHeight="1" x14ac:dyDescent="0.25">
      <c r="C1252" s="338"/>
      <c r="D1252" s="1503"/>
      <c r="E1252" s="2330" t="s">
        <v>1150</v>
      </c>
      <c r="F1252" s="3330"/>
      <c r="G1252" s="3330"/>
      <c r="H1252" s="1521">
        <f>SUM(F1252:G1252)</f>
        <v>0</v>
      </c>
      <c r="I1252" s="3330">
        <v>0</v>
      </c>
      <c r="J1252" s="442">
        <f t="shared" si="2920"/>
        <v>0</v>
      </c>
      <c r="K1252" s="3330"/>
      <c r="L1252" s="252">
        <f t="shared" si="2931"/>
        <v>0</v>
      </c>
      <c r="M1252" s="3349">
        <v>0</v>
      </c>
      <c r="N1252" s="2080">
        <f>+L1252+M1252</f>
        <v>0</v>
      </c>
      <c r="O1252" s="3349">
        <v>560</v>
      </c>
      <c r="P1252" s="304">
        <f t="shared" si="2932"/>
        <v>560</v>
      </c>
      <c r="Q1252" s="241">
        <f t="shared" si="2923"/>
        <v>560</v>
      </c>
      <c r="R1252" s="3330">
        <v>17277</v>
      </c>
      <c r="S1252" s="1521">
        <f t="shared" si="2933"/>
        <v>17837</v>
      </c>
      <c r="T1252" s="3330">
        <v>0</v>
      </c>
      <c r="U1252" s="1521">
        <f t="shared" si="2934"/>
        <v>17837</v>
      </c>
      <c r="V1252" s="3330">
        <v>0</v>
      </c>
      <c r="W1252" s="74">
        <f t="shared" si="2898"/>
        <v>17277</v>
      </c>
      <c r="X1252" s="363">
        <f t="shared" si="2899"/>
        <v>17837</v>
      </c>
      <c r="Y1252" s="3330">
        <v>19483</v>
      </c>
      <c r="Z1252" s="1521">
        <f t="shared" si="2824"/>
        <v>37320</v>
      </c>
      <c r="AA1252" s="3330">
        <v>21180</v>
      </c>
      <c r="AB1252" s="1521">
        <f t="shared" si="2935"/>
        <v>58500</v>
      </c>
      <c r="AC1252" s="3330">
        <v>20096</v>
      </c>
      <c r="AD1252" s="74">
        <f t="shared" si="2936"/>
        <v>60759</v>
      </c>
      <c r="AE1252" s="1385">
        <f t="shared" si="2937"/>
        <v>78036</v>
      </c>
      <c r="AF1252" s="2659">
        <f t="shared" si="2930"/>
        <v>78596</v>
      </c>
    </row>
    <row r="1253" spans="3:78" ht="35" customHeight="1" x14ac:dyDescent="0.3">
      <c r="C1253" s="338"/>
      <c r="D1253" s="1503"/>
      <c r="E1253" s="577" t="s">
        <v>1151</v>
      </c>
      <c r="F1253" s="3349">
        <v>55.42</v>
      </c>
      <c r="G1253" s="3349">
        <v>131.94999999999999</v>
      </c>
      <c r="H1253" s="1521">
        <f>SUM(F1253:G1253)</f>
        <v>187.37</v>
      </c>
      <c r="I1253" s="3349">
        <v>158</v>
      </c>
      <c r="J1253" s="442">
        <f t="shared" si="2816"/>
        <v>345.37</v>
      </c>
      <c r="K1253" s="3349">
        <v>252.48</v>
      </c>
      <c r="L1253" s="363">
        <f t="shared" si="2931"/>
        <v>597.85</v>
      </c>
      <c r="M1253" s="3349">
        <v>0</v>
      </c>
      <c r="N1253" s="243">
        <f t="shared" si="2818"/>
        <v>597.85</v>
      </c>
      <c r="O1253" s="3349">
        <v>0</v>
      </c>
      <c r="P1253" s="304">
        <f t="shared" si="2932"/>
        <v>252.48</v>
      </c>
      <c r="Q1253" s="241">
        <f t="shared" si="2923"/>
        <v>597.85</v>
      </c>
      <c r="R1253" s="3349">
        <v>0</v>
      </c>
      <c r="S1253" s="243">
        <f t="shared" si="2821"/>
        <v>597.85</v>
      </c>
      <c r="T1253" s="3349">
        <v>0</v>
      </c>
      <c r="U1253" s="243">
        <f t="shared" si="2831"/>
        <v>597.85</v>
      </c>
      <c r="V1253" s="3349">
        <v>0</v>
      </c>
      <c r="W1253" s="74">
        <f t="shared" si="2898"/>
        <v>0</v>
      </c>
      <c r="X1253" s="363">
        <f t="shared" si="2899"/>
        <v>597.85</v>
      </c>
      <c r="Y1253" s="3349">
        <v>0</v>
      </c>
      <c r="Z1253" s="243">
        <f t="shared" si="2824"/>
        <v>597.85</v>
      </c>
      <c r="AA1253" s="3349">
        <v>0</v>
      </c>
      <c r="AB1253" s="1521">
        <f t="shared" si="2935"/>
        <v>597.85</v>
      </c>
      <c r="AC1253" s="3349">
        <v>0</v>
      </c>
      <c r="AD1253" s="74">
        <f t="shared" si="2936"/>
        <v>0</v>
      </c>
      <c r="AE1253" s="1385">
        <f t="shared" si="2937"/>
        <v>0</v>
      </c>
      <c r="AF1253" s="2659">
        <f t="shared" si="2930"/>
        <v>597.85</v>
      </c>
      <c r="AI1253" s="5464">
        <f>498-131.95</f>
        <v>366.05</v>
      </c>
    </row>
    <row r="1254" spans="3:78" ht="35" customHeight="1" thickBot="1" x14ac:dyDescent="0.3">
      <c r="C1254" s="338"/>
      <c r="D1254" s="1503"/>
      <c r="E1254" s="2331" t="s">
        <v>1152</v>
      </c>
      <c r="F1254" s="3349"/>
      <c r="G1254" s="3349"/>
      <c r="H1254" s="1521">
        <f>SUM(F1254:G1254)</f>
        <v>0</v>
      </c>
      <c r="I1254" s="3349">
        <v>0</v>
      </c>
      <c r="J1254" s="442">
        <f t="shared" si="2816"/>
        <v>0</v>
      </c>
      <c r="K1254" s="3349"/>
      <c r="L1254" s="360">
        <f t="shared" si="2931"/>
        <v>0</v>
      </c>
      <c r="M1254" s="3349">
        <v>0</v>
      </c>
      <c r="N1254" s="243">
        <f t="shared" si="2818"/>
        <v>0</v>
      </c>
      <c r="O1254" s="3349">
        <v>0</v>
      </c>
      <c r="P1254" s="304">
        <f t="shared" si="2932"/>
        <v>0</v>
      </c>
      <c r="Q1254" s="241">
        <f t="shared" si="2923"/>
        <v>0</v>
      </c>
      <c r="R1254" s="3349">
        <v>0</v>
      </c>
      <c r="S1254" s="243">
        <f t="shared" si="2821"/>
        <v>0</v>
      </c>
      <c r="T1254" s="3349">
        <v>0</v>
      </c>
      <c r="U1254" s="243">
        <f t="shared" si="2831"/>
        <v>0</v>
      </c>
      <c r="V1254" s="3349">
        <v>0</v>
      </c>
      <c r="W1254" s="79">
        <f t="shared" si="2898"/>
        <v>0</v>
      </c>
      <c r="X1254" s="363">
        <f t="shared" si="2899"/>
        <v>0</v>
      </c>
      <c r="Y1254" s="3349">
        <v>0</v>
      </c>
      <c r="Z1254" s="243">
        <f t="shared" si="2824"/>
        <v>0</v>
      </c>
      <c r="AA1254" s="3349">
        <v>0</v>
      </c>
      <c r="AB1254" s="1521">
        <f t="shared" si="2935"/>
        <v>0</v>
      </c>
      <c r="AC1254" s="3349">
        <v>241.54</v>
      </c>
      <c r="AD1254" s="79">
        <f t="shared" si="2936"/>
        <v>241.54</v>
      </c>
      <c r="AE1254" s="1385">
        <f t="shared" si="2937"/>
        <v>241.54</v>
      </c>
      <c r="AF1254" s="2659">
        <f t="shared" si="2930"/>
        <v>241.54</v>
      </c>
      <c r="AI1254" s="4756">
        <f>+AI1253/2</f>
        <v>183.02500000000001</v>
      </c>
    </row>
    <row r="1255" spans="3:78" ht="35" customHeight="1" thickBot="1" x14ac:dyDescent="0.3">
      <c r="C1255" s="338"/>
      <c r="D1255" s="1503"/>
      <c r="E1255" s="1507" t="s">
        <v>647</v>
      </c>
      <c r="F1255" s="596">
        <f t="shared" ref="F1255:G1255" si="2938">SUM(F1251:F1254)</f>
        <v>21768</v>
      </c>
      <c r="G1255" s="596">
        <f t="shared" si="2938"/>
        <v>36354.949999999997</v>
      </c>
      <c r="H1255" s="461">
        <f t="shared" ref="H1255:U1255" si="2939">SUM(H1251:H1254)</f>
        <v>58122.950000000004</v>
      </c>
      <c r="I1255" s="596">
        <f t="shared" si="2939"/>
        <v>44695</v>
      </c>
      <c r="J1255" s="462">
        <f t="shared" si="2939"/>
        <v>102817.95</v>
      </c>
      <c r="K1255" s="596">
        <f t="shared" si="2939"/>
        <v>56321.48</v>
      </c>
      <c r="L1255" s="464">
        <f t="shared" si="2939"/>
        <v>159139.43000000002</v>
      </c>
      <c r="M1255" s="460">
        <f t="shared" ref="M1255:O1255" si="2940">SUM(M1251:M1254)</f>
        <v>40786</v>
      </c>
      <c r="N1255" s="461">
        <f>SUM(N1251:N1254)</f>
        <v>199925.43000000002</v>
      </c>
      <c r="O1255" s="460">
        <f t="shared" si="2940"/>
        <v>20824</v>
      </c>
      <c r="P1255" s="462">
        <f t="shared" si="2939"/>
        <v>117931.48</v>
      </c>
      <c r="Q1255" s="2332">
        <f t="shared" si="2939"/>
        <v>220749.43000000002</v>
      </c>
      <c r="R1255" s="596">
        <f t="shared" si="2939"/>
        <v>19980</v>
      </c>
      <c r="S1255" s="461">
        <f t="shared" si="2939"/>
        <v>240729.43000000002</v>
      </c>
      <c r="T1255" s="596">
        <f t="shared" si="2939"/>
        <v>31761</v>
      </c>
      <c r="U1255" s="461">
        <f t="shared" si="2939"/>
        <v>272490.43</v>
      </c>
      <c r="V1255" s="596">
        <f t="shared" ref="V1255" si="2941">SUM(V1251:V1254)</f>
        <v>46722</v>
      </c>
      <c r="W1255" s="2394">
        <f t="shared" ref="W1255:AB1255" si="2942">SUM(W1251:W1254)</f>
        <v>98463</v>
      </c>
      <c r="X1255" s="464">
        <f t="shared" si="2942"/>
        <v>319212.43</v>
      </c>
      <c r="Y1255" s="596">
        <f t="shared" si="2942"/>
        <v>49124</v>
      </c>
      <c r="Z1255" s="461">
        <f t="shared" si="2942"/>
        <v>368336.43</v>
      </c>
      <c r="AA1255" s="596">
        <f t="shared" ref="AA1255" si="2943">SUM(AA1251:AA1254)</f>
        <v>41022</v>
      </c>
      <c r="AB1255" s="464">
        <f t="shared" si="2942"/>
        <v>409358.43</v>
      </c>
      <c r="AC1255" s="596">
        <f t="shared" ref="AC1255" si="2944">SUM(AC1251:AC1254)</f>
        <v>28362.54</v>
      </c>
      <c r="AD1255" s="466">
        <f>SUM(AD1251:AD1254)</f>
        <v>118508.54</v>
      </c>
      <c r="AE1255" s="1380">
        <f>SUM(AE1251:AE1254)</f>
        <v>216971.54</v>
      </c>
      <c r="AF1255" s="2665">
        <f t="shared" ref="AF1255" si="2945">+AB1255+AC1255</f>
        <v>437720.97</v>
      </c>
    </row>
    <row r="1256" spans="3:78" ht="35" customHeight="1" x14ac:dyDescent="0.25">
      <c r="C1256" s="338"/>
      <c r="D1256" s="1503"/>
      <c r="E1256" s="1511" t="s">
        <v>648</v>
      </c>
      <c r="F1256" s="1519">
        <f>+F1245+F1248+F1251+F1252</f>
        <v>128680.58</v>
      </c>
      <c r="G1256" s="1519">
        <f>+G1245+G1248+G1251+G1252</f>
        <v>133805</v>
      </c>
      <c r="H1256" s="1520">
        <f>SUM(F1256:G1256)</f>
        <v>262485.58</v>
      </c>
      <c r="I1256" s="1519">
        <f>+I1245+I1248+I1251+I1252</f>
        <v>146928</v>
      </c>
      <c r="J1256" s="442">
        <f t="shared" si="2816"/>
        <v>409413.58</v>
      </c>
      <c r="K1256" s="1519">
        <f>+K1245+K1248+K1251+K1252</f>
        <v>160353</v>
      </c>
      <c r="L1256" s="296">
        <f t="shared" si="2931"/>
        <v>569766.58000000007</v>
      </c>
      <c r="M1256" s="1519">
        <f>+M1245+M1248+M1251+M1252</f>
        <v>200598</v>
      </c>
      <c r="N1256" s="252">
        <f t="shared" si="2931"/>
        <v>770364.58000000007</v>
      </c>
      <c r="O1256" s="1519">
        <f>+O1245+O1248+O1251+O1252</f>
        <v>149285</v>
      </c>
      <c r="P1256" s="270">
        <f t="shared" ref="P1256:P1257" si="2946">+K1256+M1256+O1256</f>
        <v>510236</v>
      </c>
      <c r="Q1256" s="2148">
        <f t="shared" ref="Q1256:Q1257" si="2947">+J1256+P1256</f>
        <v>919649.58000000007</v>
      </c>
      <c r="R1256" s="1519">
        <f>+R1245+R1248+R1251+R1252</f>
        <v>172416</v>
      </c>
      <c r="S1256" s="1521">
        <f t="shared" ref="S1256:U1256" si="2948">+Q1256+R1256</f>
        <v>1092065.58</v>
      </c>
      <c r="T1256" s="1519">
        <f>+T1245+T1248+T1251+T1252</f>
        <v>175389</v>
      </c>
      <c r="U1256" s="1521">
        <f t="shared" si="2948"/>
        <v>1267454.58</v>
      </c>
      <c r="V1256" s="1519">
        <f>+V1245+V1248+V1251+V1252</f>
        <v>206391</v>
      </c>
      <c r="W1256" s="106">
        <f t="shared" si="2898"/>
        <v>554196</v>
      </c>
      <c r="X1256" s="459">
        <f t="shared" si="2899"/>
        <v>1473845.58</v>
      </c>
      <c r="Y1256" s="1519">
        <f>+Y1245+Y1248+Y1251+Y1252</f>
        <v>207474</v>
      </c>
      <c r="Z1256" s="1521">
        <f t="shared" si="2824"/>
        <v>1681319.58</v>
      </c>
      <c r="AA1256" s="1519">
        <f>+AA1245+AA1248+AA1251+AA1252</f>
        <v>195545</v>
      </c>
      <c r="AB1256" s="296">
        <f t="shared" si="2824"/>
        <v>1876864.58</v>
      </c>
      <c r="AC1256" s="1519">
        <f>+AC1245+AC1248+AC1251+AC1252</f>
        <v>183046</v>
      </c>
      <c r="AD1256" s="106">
        <f t="shared" ref="AD1256:AD1257" si="2949">+AC1256+AA1256+Y1256</f>
        <v>586065</v>
      </c>
      <c r="AE1256" s="1385">
        <f t="shared" si="2937"/>
        <v>1140261</v>
      </c>
      <c r="AF1256" s="2659">
        <f t="shared" si="2930"/>
        <v>2059910.58</v>
      </c>
    </row>
    <row r="1257" spans="3:78" ht="35" customHeight="1" thickBot="1" x14ac:dyDescent="0.3">
      <c r="C1257" s="338"/>
      <c r="D1257" s="1503"/>
      <c r="E1257" s="1505" t="s">
        <v>649</v>
      </c>
      <c r="F1257" s="1508">
        <f>+F1246+F1249+F1253+F1254</f>
        <v>611.41999999999996</v>
      </c>
      <c r="G1257" s="1508">
        <f>+G1246+G1249+G1253+G1254</f>
        <v>498</v>
      </c>
      <c r="H1257" s="1521">
        <f>SUM(F1257:G1257)</f>
        <v>1109.42</v>
      </c>
      <c r="I1257" s="1508">
        <f>+I1246+I1249+I1253+I1254</f>
        <v>454</v>
      </c>
      <c r="J1257" s="443">
        <f t="shared" si="2816"/>
        <v>1563.42</v>
      </c>
      <c r="K1257" s="1508">
        <f>+K1246+K1249+K1253+K1254</f>
        <v>576.48</v>
      </c>
      <c r="L1257" s="296">
        <f t="shared" si="2931"/>
        <v>2139.9</v>
      </c>
      <c r="M1257" s="1508">
        <f>+M1246+M1249+M1253+M1254</f>
        <v>1552</v>
      </c>
      <c r="N1257" s="252">
        <f t="shared" si="2931"/>
        <v>3691.9</v>
      </c>
      <c r="O1257" s="1508">
        <f>+O1246+O1249+O1253+O1254</f>
        <v>724.11749999999984</v>
      </c>
      <c r="P1257" s="401">
        <f t="shared" si="2946"/>
        <v>2852.5974999999999</v>
      </c>
      <c r="Q1257" s="2134">
        <f t="shared" si="2947"/>
        <v>4416.0174999999999</v>
      </c>
      <c r="R1257" s="1508">
        <f>+R1246+R1249+R1253+R1254</f>
        <v>713.14999999999986</v>
      </c>
      <c r="S1257" s="428">
        <f t="shared" si="2821"/>
        <v>5129.1674999999996</v>
      </c>
      <c r="T1257" s="1508">
        <f>+T1246+T1249+T1253+T1254</f>
        <v>650</v>
      </c>
      <c r="U1257" s="428">
        <f t="shared" si="2821"/>
        <v>5779.1674999999996</v>
      </c>
      <c r="V1257" s="1508">
        <f>+V1246+V1249+V1253+V1254</f>
        <v>614</v>
      </c>
      <c r="W1257" s="131">
        <f t="shared" si="2898"/>
        <v>1977.1499999999999</v>
      </c>
      <c r="X1257" s="363">
        <f t="shared" si="2899"/>
        <v>6393.1674999999996</v>
      </c>
      <c r="Y1257" s="1508">
        <f>+Y1246+Y1249+Y1253+Y1254</f>
        <v>870.99499999999989</v>
      </c>
      <c r="Z1257" s="428">
        <f t="shared" ref="Z1257:AB1257" si="2950">+X1257+Y1257</f>
        <v>7264.1624999999995</v>
      </c>
      <c r="AA1257" s="1508">
        <f>+AA1246+AA1249+AA1253+AA1254</f>
        <v>1455</v>
      </c>
      <c r="AB1257" s="296">
        <f t="shared" si="2950"/>
        <v>8719.1624999999985</v>
      </c>
      <c r="AC1257" s="1508">
        <f>+AC1246+AC1249+AC1253+AC1254</f>
        <v>898.02649999999994</v>
      </c>
      <c r="AD1257" s="131">
        <f t="shared" si="2949"/>
        <v>3224.0214999999998</v>
      </c>
      <c r="AE1257" s="1385">
        <f t="shared" si="2937"/>
        <v>5201.1714999999995</v>
      </c>
      <c r="AF1257" s="2659">
        <f t="shared" si="2930"/>
        <v>9617.1889999999985</v>
      </c>
    </row>
    <row r="1258" spans="3:78" ht="35" customHeight="1" thickBot="1" x14ac:dyDescent="0.3">
      <c r="C1258" s="338"/>
      <c r="D1258" s="1503"/>
      <c r="E1258" s="1507" t="s">
        <v>650</v>
      </c>
      <c r="F1258" s="1512">
        <f t="shared" ref="F1258:G1258" si="2951">SUM(F1256:F1257)</f>
        <v>129292</v>
      </c>
      <c r="G1258" s="1512">
        <f t="shared" si="2951"/>
        <v>134303</v>
      </c>
      <c r="H1258" s="464">
        <f t="shared" ref="H1258:S1258" si="2952">SUM(H1256:H1257)</f>
        <v>263595</v>
      </c>
      <c r="I1258" s="1512">
        <f t="shared" ref="I1258" si="2953">SUM(I1256:I1257)</f>
        <v>147382</v>
      </c>
      <c r="J1258" s="463">
        <f t="shared" si="2952"/>
        <v>410977</v>
      </c>
      <c r="K1258" s="1512">
        <f t="shared" ref="K1258" si="2954">SUM(K1256:K1257)</f>
        <v>160929.48000000001</v>
      </c>
      <c r="L1258" s="464">
        <f t="shared" si="2952"/>
        <v>571906.4800000001</v>
      </c>
      <c r="M1258" s="1512">
        <f t="shared" ref="M1258" si="2955">SUM(M1256:M1257)</f>
        <v>202150</v>
      </c>
      <c r="N1258" s="464">
        <f t="shared" si="2952"/>
        <v>774056.4800000001</v>
      </c>
      <c r="O1258" s="1512">
        <f t="shared" si="2952"/>
        <v>150009.11749999999</v>
      </c>
      <c r="P1258" s="463">
        <f t="shared" si="2952"/>
        <v>513088.59749999997</v>
      </c>
      <c r="Q1258" s="2169">
        <f t="shared" si="2952"/>
        <v>924065.59750000003</v>
      </c>
      <c r="R1258" s="1512">
        <f t="shared" si="2952"/>
        <v>173129.15</v>
      </c>
      <c r="S1258" s="464">
        <f t="shared" si="2952"/>
        <v>1097194.7475000001</v>
      </c>
      <c r="T1258" s="1512">
        <f t="shared" ref="T1258" si="2956">SUM(T1256:T1257)</f>
        <v>176039</v>
      </c>
      <c r="U1258" s="464">
        <f t="shared" ref="U1258:V1258" si="2957">SUM(U1256:U1257)</f>
        <v>1273233.7475000001</v>
      </c>
      <c r="V1258" s="1512">
        <f t="shared" si="2957"/>
        <v>207005</v>
      </c>
      <c r="W1258" s="2394">
        <f>SUM(W1256:W1257)</f>
        <v>556173.15</v>
      </c>
      <c r="X1258" s="464">
        <f>SUM(X1256:X1257)</f>
        <v>1480238.7475000001</v>
      </c>
      <c r="Y1258" s="1512">
        <f t="shared" ref="Y1258" si="2958">SUM(Y1256:Y1257)</f>
        <v>208344.995</v>
      </c>
      <c r="Z1258" s="464">
        <f>SUM(Z1256:Z1257)</f>
        <v>1688583.7425000002</v>
      </c>
      <c r="AA1258" s="1512">
        <f t="shared" ref="AA1258" si="2959">SUM(AA1256:AA1257)</f>
        <v>197000</v>
      </c>
      <c r="AB1258" s="464">
        <f>SUM(AB1256:AB1257)</f>
        <v>1885583.7425000002</v>
      </c>
      <c r="AC1258" s="1512">
        <f t="shared" ref="AC1258" si="2960">SUM(AC1256:AC1257)</f>
        <v>183944.02650000001</v>
      </c>
      <c r="AD1258" s="466">
        <f>SUM(AD1256:AD1257)</f>
        <v>589289.02150000003</v>
      </c>
      <c r="AE1258" s="1380">
        <f>SUM(AE1256:AE1257)</f>
        <v>1145462.1714999999</v>
      </c>
      <c r="AF1258" s="2665">
        <f>SUM(AF1256:AF1257)</f>
        <v>2069527.7690000001</v>
      </c>
    </row>
    <row r="1259" spans="3:78" ht="35" customHeight="1" x14ac:dyDescent="0.25">
      <c r="C1259" s="338"/>
      <c r="D1259" s="591"/>
      <c r="E1259" s="140" t="s">
        <v>293</v>
      </c>
      <c r="F1259" s="3670"/>
      <c r="G1259" s="3670"/>
      <c r="H1259" s="3669"/>
      <c r="I1259" s="3670"/>
      <c r="J1259" s="3669"/>
      <c r="K1259" s="3670"/>
      <c r="L1259" s="3669"/>
      <c r="M1259" s="3670"/>
      <c r="N1259" s="477"/>
      <c r="O1259" s="3670"/>
      <c r="P1259" s="477"/>
      <c r="Q1259" s="477"/>
      <c r="R1259" s="3670"/>
      <c r="S1259" s="477"/>
      <c r="T1259" s="3670"/>
      <c r="U1259" s="477"/>
      <c r="V1259" s="3670"/>
      <c r="W1259" s="478"/>
      <c r="X1259" s="2379"/>
      <c r="Y1259" s="3670"/>
      <c r="Z1259" s="477"/>
      <c r="AA1259" s="3670"/>
      <c r="AB1259" s="2379"/>
      <c r="AC1259" s="3670"/>
      <c r="AD1259" s="190"/>
      <c r="AE1259" s="1439"/>
      <c r="AF1259" s="1439"/>
    </row>
    <row r="1260" spans="3:78" ht="35" customHeight="1" x14ac:dyDescent="0.25">
      <c r="C1260" s="338"/>
      <c r="D1260" s="591"/>
      <c r="E1260" s="494" t="s">
        <v>288</v>
      </c>
      <c r="F1260" s="3349">
        <v>131</v>
      </c>
      <c r="G1260" s="3349">
        <v>103</v>
      </c>
      <c r="H1260" s="243">
        <f t="shared" ref="H1260:H1285" si="2961">SUM(F1260:G1260)</f>
        <v>234</v>
      </c>
      <c r="I1260" s="3349">
        <v>157.96</v>
      </c>
      <c r="J1260" s="442">
        <f t="shared" ref="J1260:J1285" si="2962">+H1260+I1260</f>
        <v>391.96000000000004</v>
      </c>
      <c r="K1260" s="3349">
        <v>260</v>
      </c>
      <c r="L1260" s="441">
        <f t="shared" ref="L1260:L1285" si="2963">+J1260+K1260</f>
        <v>651.96</v>
      </c>
      <c r="M1260" s="3349">
        <v>361</v>
      </c>
      <c r="N1260" s="441">
        <f t="shared" ref="N1260:N1285" si="2964">+L1260+M1260</f>
        <v>1012.96</v>
      </c>
      <c r="O1260" s="3349">
        <v>206</v>
      </c>
      <c r="P1260" s="442">
        <f t="shared" ref="P1260:P1285" si="2965">+K1260+M1260+O1260</f>
        <v>827</v>
      </c>
      <c r="Q1260" s="2171">
        <f t="shared" ref="Q1260:Q1285" si="2966">+J1260+P1260</f>
        <v>1218.96</v>
      </c>
      <c r="R1260" s="3349">
        <v>190</v>
      </c>
      <c r="S1260" s="243">
        <f t="shared" ref="S1260:S1271" si="2967">+Q1260+R1260</f>
        <v>1408.96</v>
      </c>
      <c r="T1260" s="3349">
        <v>199</v>
      </c>
      <c r="U1260" s="243">
        <f t="shared" ref="U1260:U1285" si="2968">+S1260+T1260</f>
        <v>1607.96</v>
      </c>
      <c r="V1260" s="3349">
        <v>390</v>
      </c>
      <c r="W1260" s="440">
        <f t="shared" ref="W1260:W1285" si="2969">+V1260+T1260+R1260</f>
        <v>779</v>
      </c>
      <c r="X1260" s="243">
        <f t="shared" ref="X1260:X1285" si="2970">+V1260+U1260</f>
        <v>1997.96</v>
      </c>
      <c r="Y1260" s="3349">
        <v>491</v>
      </c>
      <c r="Z1260" s="243">
        <f t="shared" ref="Z1260:AB1271" si="2971">+X1260+Y1260</f>
        <v>2488.96</v>
      </c>
      <c r="AA1260" s="3349">
        <v>537</v>
      </c>
      <c r="AB1260" s="243">
        <f t="shared" si="2971"/>
        <v>3025.96</v>
      </c>
      <c r="AC1260" s="3349">
        <v>388</v>
      </c>
      <c r="AD1260" s="2528">
        <f t="shared" ref="AD1260:AD1298" si="2972">+Y1260+AA1260+AC1260</f>
        <v>1416</v>
      </c>
      <c r="AE1260" s="1405">
        <f t="shared" ref="AE1260:AE1298" si="2973">+W1260+AD1260</f>
        <v>2195</v>
      </c>
      <c r="AF1260" s="2667">
        <f t="shared" ref="AF1260:AF1298" si="2974">+AB1260+AC1260</f>
        <v>3413.96</v>
      </c>
    </row>
    <row r="1261" spans="3:78" ht="35" customHeight="1" x14ac:dyDescent="0.25">
      <c r="C1261" s="338"/>
      <c r="D1261" s="591"/>
      <c r="E1261" s="494" t="s">
        <v>289</v>
      </c>
      <c r="F1261" s="3349">
        <v>2173</v>
      </c>
      <c r="G1261" s="3349">
        <v>2322</v>
      </c>
      <c r="H1261" s="441">
        <f t="shared" si="2961"/>
        <v>4495</v>
      </c>
      <c r="I1261" s="3349">
        <v>2499</v>
      </c>
      <c r="J1261" s="442">
        <f t="shared" si="2962"/>
        <v>6994</v>
      </c>
      <c r="K1261" s="3349">
        <v>2600</v>
      </c>
      <c r="L1261" s="441">
        <f t="shared" si="2963"/>
        <v>9594</v>
      </c>
      <c r="M1261" s="3349">
        <v>3388</v>
      </c>
      <c r="N1261" s="441">
        <f t="shared" si="2964"/>
        <v>12982</v>
      </c>
      <c r="O1261" s="3349">
        <v>2517</v>
      </c>
      <c r="P1261" s="443">
        <f t="shared" si="2965"/>
        <v>8505</v>
      </c>
      <c r="Q1261" s="2151">
        <f t="shared" si="2966"/>
        <v>15499</v>
      </c>
      <c r="R1261" s="3349">
        <v>3105</v>
      </c>
      <c r="S1261" s="243">
        <f t="shared" si="2967"/>
        <v>18604</v>
      </c>
      <c r="T1261" s="3349">
        <v>2963</v>
      </c>
      <c r="U1261" s="243">
        <f t="shared" si="2968"/>
        <v>21567</v>
      </c>
      <c r="V1261" s="3349">
        <v>3473</v>
      </c>
      <c r="W1261" s="440">
        <f t="shared" si="2969"/>
        <v>9541</v>
      </c>
      <c r="X1261" s="243">
        <f t="shared" si="2970"/>
        <v>25040</v>
      </c>
      <c r="Y1261" s="3349">
        <v>3593</v>
      </c>
      <c r="Z1261" s="243">
        <f t="shared" si="2971"/>
        <v>28633</v>
      </c>
      <c r="AA1261" s="3349">
        <v>3727</v>
      </c>
      <c r="AB1261" s="243">
        <f t="shared" si="2971"/>
        <v>32360</v>
      </c>
      <c r="AC1261" s="3349">
        <v>3380</v>
      </c>
      <c r="AD1261" s="2528">
        <f t="shared" si="2972"/>
        <v>10700</v>
      </c>
      <c r="AE1261" s="1405">
        <f t="shared" ref="AE1261:AE1271" si="2975">+W1261+AD1261</f>
        <v>20241</v>
      </c>
      <c r="AF1261" s="2667">
        <f t="shared" ref="AF1261:AF1271" si="2976">+AB1261+AC1261</f>
        <v>35740</v>
      </c>
    </row>
    <row r="1262" spans="3:78" ht="35" customHeight="1" x14ac:dyDescent="0.25">
      <c r="C1262" s="338"/>
      <c r="D1262" s="591"/>
      <c r="E1262" s="494" t="s">
        <v>290</v>
      </c>
      <c r="F1262" s="3349">
        <v>361</v>
      </c>
      <c r="G1262" s="3349">
        <v>307</v>
      </c>
      <c r="H1262" s="243">
        <f t="shared" si="2961"/>
        <v>668</v>
      </c>
      <c r="I1262" s="3349">
        <v>343</v>
      </c>
      <c r="J1262" s="442">
        <f t="shared" si="2962"/>
        <v>1011</v>
      </c>
      <c r="K1262" s="3349">
        <v>395</v>
      </c>
      <c r="L1262" s="441">
        <f t="shared" si="2963"/>
        <v>1406</v>
      </c>
      <c r="M1262" s="3349">
        <v>563</v>
      </c>
      <c r="N1262" s="441">
        <f t="shared" si="2964"/>
        <v>1969</v>
      </c>
      <c r="O1262" s="3349">
        <v>398</v>
      </c>
      <c r="P1262" s="443">
        <f t="shared" si="2965"/>
        <v>1356</v>
      </c>
      <c r="Q1262" s="2171">
        <f t="shared" si="2966"/>
        <v>2367</v>
      </c>
      <c r="R1262" s="3349">
        <v>358</v>
      </c>
      <c r="S1262" s="243">
        <f t="shared" si="2967"/>
        <v>2725</v>
      </c>
      <c r="T1262" s="3349">
        <v>490</v>
      </c>
      <c r="U1262" s="243">
        <f t="shared" si="2968"/>
        <v>3215</v>
      </c>
      <c r="V1262" s="3349">
        <v>523</v>
      </c>
      <c r="W1262" s="440">
        <f t="shared" si="2969"/>
        <v>1371</v>
      </c>
      <c r="X1262" s="243">
        <f t="shared" si="2970"/>
        <v>3738</v>
      </c>
      <c r="Y1262" s="3349">
        <v>493</v>
      </c>
      <c r="Z1262" s="243">
        <f t="shared" si="2971"/>
        <v>4231</v>
      </c>
      <c r="AA1262" s="3349">
        <v>436</v>
      </c>
      <c r="AB1262" s="243">
        <f t="shared" si="2971"/>
        <v>4667</v>
      </c>
      <c r="AC1262" s="3349">
        <v>428</v>
      </c>
      <c r="AD1262" s="2528">
        <f t="shared" si="2972"/>
        <v>1357</v>
      </c>
      <c r="AE1262" s="1405">
        <f t="shared" si="2975"/>
        <v>2728</v>
      </c>
      <c r="AF1262" s="2667">
        <f t="shared" si="2976"/>
        <v>5095</v>
      </c>
    </row>
    <row r="1263" spans="3:78" ht="35" hidden="1" customHeight="1" x14ac:dyDescent="0.25">
      <c r="C1263" s="338"/>
      <c r="D1263" s="591"/>
      <c r="E1263" s="494" t="s">
        <v>550</v>
      </c>
      <c r="F1263" s="3350"/>
      <c r="G1263" s="3350"/>
      <c r="H1263" s="243">
        <f>SUM(F1263:G1263)</f>
        <v>0</v>
      </c>
      <c r="I1263" s="3350"/>
      <c r="J1263" s="443">
        <f>SUM(H1263:I1263)</f>
        <v>0</v>
      </c>
      <c r="K1263" s="3350"/>
      <c r="L1263" s="441">
        <f t="shared" si="2963"/>
        <v>0</v>
      </c>
      <c r="M1263" s="3350"/>
      <c r="N1263" s="441">
        <f t="shared" si="2964"/>
        <v>0</v>
      </c>
      <c r="O1263" s="3350"/>
      <c r="P1263" s="443">
        <f>+K1263+M1263+O1263</f>
        <v>0</v>
      </c>
      <c r="Q1263" s="2171">
        <f t="shared" si="2966"/>
        <v>0</v>
      </c>
      <c r="R1263" s="3350"/>
      <c r="S1263" s="243">
        <f t="shared" si="2967"/>
        <v>0</v>
      </c>
      <c r="T1263" s="3350"/>
      <c r="U1263" s="243">
        <f t="shared" si="2968"/>
        <v>0</v>
      </c>
      <c r="V1263" s="3350"/>
      <c r="W1263" s="440">
        <f t="shared" si="2969"/>
        <v>0</v>
      </c>
      <c r="X1263" s="243">
        <f t="shared" si="2970"/>
        <v>0</v>
      </c>
      <c r="Y1263" s="3350"/>
      <c r="Z1263" s="243">
        <f t="shared" si="2971"/>
        <v>0</v>
      </c>
      <c r="AA1263" s="3350"/>
      <c r="AB1263" s="243">
        <f t="shared" si="2971"/>
        <v>0</v>
      </c>
      <c r="AC1263" s="3350"/>
      <c r="AD1263" s="2528">
        <f t="shared" si="2972"/>
        <v>0</v>
      </c>
      <c r="AE1263" s="1405">
        <f t="shared" si="2975"/>
        <v>0</v>
      </c>
      <c r="AF1263" s="2667">
        <f t="shared" si="2976"/>
        <v>0</v>
      </c>
    </row>
    <row r="1264" spans="3:78" ht="35" customHeight="1" x14ac:dyDescent="0.25">
      <c r="C1264" s="338"/>
      <c r="D1264" s="591"/>
      <c r="E1264" s="494" t="s">
        <v>291</v>
      </c>
      <c r="F1264" s="3330">
        <v>206</v>
      </c>
      <c r="G1264" s="3330">
        <v>185</v>
      </c>
      <c r="H1264" s="243">
        <f t="shared" si="2961"/>
        <v>391</v>
      </c>
      <c r="I1264" s="3330">
        <v>213.5</v>
      </c>
      <c r="J1264" s="442">
        <f t="shared" si="2962"/>
        <v>604.5</v>
      </c>
      <c r="K1264" s="3330">
        <v>219</v>
      </c>
      <c r="L1264" s="441">
        <f t="shared" si="2963"/>
        <v>823.5</v>
      </c>
      <c r="M1264" s="3330">
        <v>323</v>
      </c>
      <c r="N1264" s="441">
        <f t="shared" si="2964"/>
        <v>1146.5</v>
      </c>
      <c r="O1264" s="3330">
        <v>242</v>
      </c>
      <c r="P1264" s="442">
        <f t="shared" si="2965"/>
        <v>784</v>
      </c>
      <c r="Q1264" s="2171">
        <f t="shared" si="2966"/>
        <v>1388.5</v>
      </c>
      <c r="R1264" s="3330">
        <v>236</v>
      </c>
      <c r="S1264" s="243">
        <f t="shared" si="2967"/>
        <v>1624.5</v>
      </c>
      <c r="T1264" s="3330">
        <v>193</v>
      </c>
      <c r="U1264" s="243">
        <f t="shared" si="2968"/>
        <v>1817.5</v>
      </c>
      <c r="V1264" s="3330">
        <v>259</v>
      </c>
      <c r="W1264" s="440">
        <f t="shared" si="2969"/>
        <v>688</v>
      </c>
      <c r="X1264" s="243">
        <f t="shared" si="2970"/>
        <v>2076.5</v>
      </c>
      <c r="Y1264" s="3330">
        <v>218</v>
      </c>
      <c r="Z1264" s="243">
        <f t="shared" si="2971"/>
        <v>2294.5</v>
      </c>
      <c r="AA1264" s="3330">
        <v>267</v>
      </c>
      <c r="AB1264" s="243">
        <f t="shared" si="2971"/>
        <v>2561.5</v>
      </c>
      <c r="AC1264" s="3330">
        <v>230</v>
      </c>
      <c r="AD1264" s="2528">
        <f t="shared" si="2972"/>
        <v>715</v>
      </c>
      <c r="AE1264" s="1405">
        <f t="shared" si="2975"/>
        <v>1403</v>
      </c>
      <c r="AF1264" s="2667">
        <f t="shared" si="2976"/>
        <v>2791.5</v>
      </c>
    </row>
    <row r="1265" spans="1:32" ht="35" customHeight="1" x14ac:dyDescent="0.25">
      <c r="C1265" s="338"/>
      <c r="D1265" s="591"/>
      <c r="E1265" s="494" t="s">
        <v>292</v>
      </c>
      <c r="F1265" s="3351">
        <f>44+4.8</f>
        <v>48.8</v>
      </c>
      <c r="G1265" s="3351">
        <f>49.32+6</f>
        <v>55.32</v>
      </c>
      <c r="H1265" s="2919">
        <f t="shared" si="2961"/>
        <v>104.12</v>
      </c>
      <c r="I1265" s="3351">
        <f>61+6.58</f>
        <v>67.58</v>
      </c>
      <c r="J1265" s="2920">
        <f t="shared" si="2962"/>
        <v>171.7</v>
      </c>
      <c r="K1265" s="3351">
        <f>81+6</f>
        <v>87</v>
      </c>
      <c r="L1265" s="441">
        <f t="shared" si="2963"/>
        <v>258.7</v>
      </c>
      <c r="M1265" s="3351">
        <v>80.989999999999995</v>
      </c>
      <c r="N1265" s="244">
        <f t="shared" si="2964"/>
        <v>339.69</v>
      </c>
      <c r="O1265" s="3351">
        <v>66</v>
      </c>
      <c r="P1265" s="474">
        <f t="shared" si="2965"/>
        <v>233.99</v>
      </c>
      <c r="Q1265" s="2172">
        <f t="shared" si="2966"/>
        <v>405.69</v>
      </c>
      <c r="R1265" s="3351">
        <f>75.16+11.08</f>
        <v>86.24</v>
      </c>
      <c r="S1265" s="244">
        <f t="shared" si="2967"/>
        <v>491.93</v>
      </c>
      <c r="T1265" s="3351">
        <f>76.86+9.6</f>
        <v>86.46</v>
      </c>
      <c r="U1265" s="244">
        <f t="shared" si="2968"/>
        <v>578.39</v>
      </c>
      <c r="V1265" s="3351">
        <v>96</v>
      </c>
      <c r="W1265" s="440">
        <f t="shared" si="2969"/>
        <v>268.7</v>
      </c>
      <c r="X1265" s="243">
        <f t="shared" si="2970"/>
        <v>674.39</v>
      </c>
      <c r="Y1265" s="3351">
        <f>92+12</f>
        <v>104</v>
      </c>
      <c r="Z1265" s="244">
        <f t="shared" si="2971"/>
        <v>778.39</v>
      </c>
      <c r="AA1265" s="3351">
        <f>106+20</f>
        <v>126</v>
      </c>
      <c r="AB1265" s="243">
        <f t="shared" si="2971"/>
        <v>904.39</v>
      </c>
      <c r="AC1265" s="3351">
        <f>78.2+8.57</f>
        <v>86.77000000000001</v>
      </c>
      <c r="AD1265" s="2528">
        <f t="shared" si="2972"/>
        <v>316.77</v>
      </c>
      <c r="AE1265" s="1405">
        <f t="shared" si="2975"/>
        <v>585.47</v>
      </c>
      <c r="AF1265" s="2667">
        <f t="shared" si="2976"/>
        <v>991.16</v>
      </c>
    </row>
    <row r="1266" spans="1:32" ht="35" customHeight="1" x14ac:dyDescent="0.25">
      <c r="C1266" s="338"/>
      <c r="D1266" s="591"/>
      <c r="E1266" s="582" t="s">
        <v>539</v>
      </c>
      <c r="F1266" s="3352">
        <v>2655</v>
      </c>
      <c r="G1266" s="3352">
        <v>3943.5</v>
      </c>
      <c r="H1266" s="263">
        <f t="shared" si="2961"/>
        <v>6598.5</v>
      </c>
      <c r="I1266" s="3352">
        <v>3915</v>
      </c>
      <c r="J1266" s="446">
        <f t="shared" ref="J1266:J1268" si="2977">SUM(H1266:I1266)</f>
        <v>10513.5</v>
      </c>
      <c r="K1266" s="3352">
        <v>2958</v>
      </c>
      <c r="L1266" s="263">
        <f t="shared" ref="L1266:L1268" si="2978">SUM(J1266:K1266)</f>
        <v>13471.5</v>
      </c>
      <c r="M1266" s="3352">
        <v>4725</v>
      </c>
      <c r="N1266" s="243">
        <f t="shared" ref="N1266:N1268" si="2979">SUM(L1266:M1266)</f>
        <v>18196.5</v>
      </c>
      <c r="O1266" s="3352">
        <v>3343</v>
      </c>
      <c r="P1266" s="443">
        <f t="shared" si="2965"/>
        <v>11026</v>
      </c>
      <c r="Q1266" s="2151">
        <f t="shared" si="2966"/>
        <v>21539.5</v>
      </c>
      <c r="R1266" s="3352">
        <v>3841</v>
      </c>
      <c r="S1266" s="243">
        <f t="shared" si="2967"/>
        <v>25380.5</v>
      </c>
      <c r="T1266" s="3352">
        <v>3788.88</v>
      </c>
      <c r="U1266" s="243">
        <f t="shared" si="2968"/>
        <v>29169.38</v>
      </c>
      <c r="V1266" s="3352">
        <v>4466</v>
      </c>
      <c r="W1266" s="440">
        <f t="shared" si="2969"/>
        <v>12095.880000000001</v>
      </c>
      <c r="X1266" s="243">
        <f t="shared" si="2970"/>
        <v>33635.380000000005</v>
      </c>
      <c r="Y1266" s="3352">
        <v>3956</v>
      </c>
      <c r="Z1266" s="243">
        <f t="shared" si="2971"/>
        <v>37591.380000000005</v>
      </c>
      <c r="AA1266" s="3352">
        <v>3681</v>
      </c>
      <c r="AB1266" s="243">
        <f t="shared" si="2971"/>
        <v>41272.380000000005</v>
      </c>
      <c r="AC1266" s="3352">
        <v>2853</v>
      </c>
      <c r="AD1266" s="2528">
        <f t="shared" si="2972"/>
        <v>10490</v>
      </c>
      <c r="AE1266" s="1405">
        <f t="shared" si="2975"/>
        <v>22585.88</v>
      </c>
      <c r="AF1266" s="2667">
        <f t="shared" si="2976"/>
        <v>44125.380000000005</v>
      </c>
    </row>
    <row r="1267" spans="1:32" ht="35" customHeight="1" x14ac:dyDescent="0.25">
      <c r="C1267" s="338"/>
      <c r="D1267" s="591"/>
      <c r="E1267" s="582" t="s">
        <v>1197</v>
      </c>
      <c r="F1267" s="3352">
        <v>57</v>
      </c>
      <c r="G1267" s="3352">
        <v>130</v>
      </c>
      <c r="H1267" s="263">
        <f t="shared" si="2961"/>
        <v>187</v>
      </c>
      <c r="I1267" s="3352">
        <v>145</v>
      </c>
      <c r="J1267" s="446">
        <f t="shared" si="2977"/>
        <v>332</v>
      </c>
      <c r="K1267" s="3352">
        <v>235</v>
      </c>
      <c r="L1267" s="263">
        <f t="shared" si="2978"/>
        <v>567</v>
      </c>
      <c r="M1267" s="3352">
        <v>243</v>
      </c>
      <c r="N1267" s="243">
        <f t="shared" si="2979"/>
        <v>810</v>
      </c>
      <c r="O1267" s="3352">
        <v>262</v>
      </c>
      <c r="P1267" s="443">
        <f t="shared" si="2965"/>
        <v>740</v>
      </c>
      <c r="Q1267" s="2151">
        <f t="shared" si="2966"/>
        <v>1072</v>
      </c>
      <c r="R1267" s="3352">
        <v>256</v>
      </c>
      <c r="S1267" s="243">
        <f t="shared" si="2967"/>
        <v>1328</v>
      </c>
      <c r="T1267" s="3352">
        <v>257</v>
      </c>
      <c r="U1267" s="243">
        <f t="shared" si="2968"/>
        <v>1585</v>
      </c>
      <c r="V1267" s="3352">
        <v>73.709999999999994</v>
      </c>
      <c r="W1267" s="440">
        <f t="shared" si="2969"/>
        <v>586.71</v>
      </c>
      <c r="X1267" s="243">
        <f t="shared" si="2970"/>
        <v>1658.71</v>
      </c>
      <c r="Y1267" s="3352">
        <v>274</v>
      </c>
      <c r="Z1267" s="243">
        <f t="shared" si="2971"/>
        <v>1932.71</v>
      </c>
      <c r="AA1267" s="3352">
        <v>322</v>
      </c>
      <c r="AB1267" s="243">
        <f t="shared" si="2971"/>
        <v>2254.71</v>
      </c>
      <c r="AC1267" s="3352">
        <v>246</v>
      </c>
      <c r="AD1267" s="2528">
        <f t="shared" si="2972"/>
        <v>842</v>
      </c>
      <c r="AE1267" s="1405">
        <f t="shared" si="2975"/>
        <v>1428.71</v>
      </c>
      <c r="AF1267" s="2667">
        <f t="shared" si="2976"/>
        <v>2500.71</v>
      </c>
    </row>
    <row r="1268" spans="1:32" ht="35" customHeight="1" x14ac:dyDescent="0.25">
      <c r="C1268" s="338"/>
      <c r="D1268" s="591"/>
      <c r="E1268" s="582" t="s">
        <v>540</v>
      </c>
      <c r="F1268" s="3352">
        <v>69</v>
      </c>
      <c r="G1268" s="3352">
        <v>216</v>
      </c>
      <c r="H1268" s="263">
        <f t="shared" si="2961"/>
        <v>285</v>
      </c>
      <c r="I1268" s="3352">
        <v>261</v>
      </c>
      <c r="J1268" s="446">
        <f t="shared" si="2977"/>
        <v>546</v>
      </c>
      <c r="K1268" s="3352">
        <v>2342</v>
      </c>
      <c r="L1268" s="263">
        <f t="shared" si="2978"/>
        <v>2888</v>
      </c>
      <c r="M1268" s="3352">
        <v>1385</v>
      </c>
      <c r="N1268" s="243">
        <f t="shared" si="2979"/>
        <v>4273</v>
      </c>
      <c r="O1268" s="3352">
        <v>1879</v>
      </c>
      <c r="P1268" s="443">
        <f t="shared" si="2965"/>
        <v>5606</v>
      </c>
      <c r="Q1268" s="2151">
        <f t="shared" si="2966"/>
        <v>6152</v>
      </c>
      <c r="R1268" s="3352">
        <v>460</v>
      </c>
      <c r="S1268" s="243">
        <f t="shared" si="2967"/>
        <v>6612</v>
      </c>
      <c r="T1268" s="3352">
        <v>1867</v>
      </c>
      <c r="U1268" s="243">
        <f t="shared" si="2968"/>
        <v>8479</v>
      </c>
      <c r="V1268" s="3352">
        <v>3335</v>
      </c>
      <c r="W1268" s="440">
        <f t="shared" si="2969"/>
        <v>5662</v>
      </c>
      <c r="X1268" s="243">
        <f t="shared" si="2970"/>
        <v>11814</v>
      </c>
      <c r="Y1268" s="3352">
        <v>3700</v>
      </c>
      <c r="Z1268" s="243">
        <f t="shared" si="2971"/>
        <v>15514</v>
      </c>
      <c r="AA1268" s="3352">
        <v>2797</v>
      </c>
      <c r="AB1268" s="243">
        <f t="shared" si="2971"/>
        <v>18311</v>
      </c>
      <c r="AC1268" s="3352">
        <v>405</v>
      </c>
      <c r="AD1268" s="2528">
        <f t="shared" si="2972"/>
        <v>6902</v>
      </c>
      <c r="AE1268" s="1405">
        <f t="shared" si="2975"/>
        <v>12564</v>
      </c>
      <c r="AF1268" s="2667">
        <f t="shared" si="2976"/>
        <v>18716</v>
      </c>
    </row>
    <row r="1269" spans="1:32" ht="35" customHeight="1" x14ac:dyDescent="0.25">
      <c r="C1269" s="338"/>
      <c r="D1269" s="591"/>
      <c r="E1269" s="582" t="s">
        <v>68</v>
      </c>
      <c r="F1269" s="3352">
        <v>0</v>
      </c>
      <c r="G1269" s="3352">
        <v>0</v>
      </c>
      <c r="H1269" s="263">
        <f>SUM(F1269:G1269)</f>
        <v>0</v>
      </c>
      <c r="I1269" s="3352">
        <v>1104.3</v>
      </c>
      <c r="J1269" s="446">
        <f>SUM(H1269:I1269)</f>
        <v>1104.3</v>
      </c>
      <c r="K1269" s="3352">
        <v>1000.1</v>
      </c>
      <c r="L1269" s="263">
        <f>SUM(J1269:K1269)</f>
        <v>2104.4</v>
      </c>
      <c r="M1269" s="3352">
        <v>0</v>
      </c>
      <c r="N1269" s="243">
        <f>SUM(L1269:M1269)</f>
        <v>2104.4</v>
      </c>
      <c r="O1269" s="3352">
        <v>0</v>
      </c>
      <c r="P1269" s="443">
        <f>+K1269+M1269+O1269</f>
        <v>1000.1</v>
      </c>
      <c r="Q1269" s="2151">
        <f t="shared" si="2966"/>
        <v>2104.4</v>
      </c>
      <c r="R1269" s="3352">
        <v>0</v>
      </c>
      <c r="S1269" s="243">
        <f t="shared" si="2967"/>
        <v>2104.4</v>
      </c>
      <c r="T1269" s="3352">
        <v>0</v>
      </c>
      <c r="U1269" s="243">
        <f t="shared" si="2968"/>
        <v>2104.4</v>
      </c>
      <c r="V1269" s="3352">
        <v>0</v>
      </c>
      <c r="W1269" s="440">
        <f t="shared" si="2969"/>
        <v>0</v>
      </c>
      <c r="X1269" s="243">
        <f t="shared" si="2970"/>
        <v>2104.4</v>
      </c>
      <c r="Y1269" s="3352">
        <v>0</v>
      </c>
      <c r="Z1269" s="243">
        <f t="shared" si="2971"/>
        <v>2104.4</v>
      </c>
      <c r="AA1269" s="3352">
        <v>0</v>
      </c>
      <c r="AB1269" s="243">
        <f t="shared" si="2971"/>
        <v>2104.4</v>
      </c>
      <c r="AC1269" s="3352">
        <v>0</v>
      </c>
      <c r="AD1269" s="2528">
        <f t="shared" si="2972"/>
        <v>0</v>
      </c>
      <c r="AE1269" s="1405">
        <f t="shared" si="2975"/>
        <v>0</v>
      </c>
      <c r="AF1269" s="2667">
        <f t="shared" si="2976"/>
        <v>2104.4</v>
      </c>
    </row>
    <row r="1270" spans="1:32" ht="35" customHeight="1" x14ac:dyDescent="0.25">
      <c r="C1270" s="338"/>
      <c r="D1270" s="591"/>
      <c r="E1270" s="582" t="s">
        <v>541</v>
      </c>
      <c r="F1270" s="3352">
        <v>4239</v>
      </c>
      <c r="G1270" s="3352">
        <v>6486</v>
      </c>
      <c r="H1270" s="263">
        <f>SUM(F1270:G1270)</f>
        <v>10725</v>
      </c>
      <c r="I1270" s="3352">
        <v>2610.8000000000002</v>
      </c>
      <c r="J1270" s="446">
        <f>SUM(H1270:I1270)</f>
        <v>13335.8</v>
      </c>
      <c r="K1270" s="3352">
        <v>1017.5</v>
      </c>
      <c r="L1270" s="263">
        <f>SUM(J1270:K1270)</f>
        <v>14353.3</v>
      </c>
      <c r="M1270" s="3352">
        <v>4800</v>
      </c>
      <c r="N1270" s="263">
        <f>SUM(L1270:M1270)</f>
        <v>19153.3</v>
      </c>
      <c r="O1270" s="3352">
        <v>3851</v>
      </c>
      <c r="P1270" s="446">
        <f>+K1270+M1270+O1270</f>
        <v>9668.5</v>
      </c>
      <c r="Q1270" s="2151">
        <f t="shared" si="2966"/>
        <v>23004.3</v>
      </c>
      <c r="R1270" s="3352">
        <v>4839</v>
      </c>
      <c r="S1270" s="243">
        <f t="shared" si="2967"/>
        <v>27843.3</v>
      </c>
      <c r="T1270" s="3352">
        <v>5953</v>
      </c>
      <c r="U1270" s="243">
        <f t="shared" si="2968"/>
        <v>33796.300000000003</v>
      </c>
      <c r="V1270" s="3352">
        <v>9024</v>
      </c>
      <c r="W1270" s="440">
        <f t="shared" si="2969"/>
        <v>19816</v>
      </c>
      <c r="X1270" s="243">
        <f t="shared" si="2970"/>
        <v>42820.3</v>
      </c>
      <c r="Y1270" s="3352">
        <v>6850</v>
      </c>
      <c r="Z1270" s="243">
        <f t="shared" si="2971"/>
        <v>49670.3</v>
      </c>
      <c r="AA1270" s="3352">
        <v>7838</v>
      </c>
      <c r="AB1270" s="243">
        <f t="shared" si="2971"/>
        <v>57508.3</v>
      </c>
      <c r="AC1270" s="3352">
        <v>8474</v>
      </c>
      <c r="AD1270" s="2528">
        <f t="shared" si="2972"/>
        <v>23162</v>
      </c>
      <c r="AE1270" s="1405">
        <f t="shared" si="2975"/>
        <v>42978</v>
      </c>
      <c r="AF1270" s="2667">
        <f t="shared" si="2976"/>
        <v>65982.3</v>
      </c>
    </row>
    <row r="1271" spans="1:32" ht="35" customHeight="1" thickBot="1" x14ac:dyDescent="0.3">
      <c r="A1271" s="2">
        <v>0.30037246185269734</v>
      </c>
      <c r="C1271" s="338"/>
      <c r="D1271" s="591"/>
      <c r="E1271" s="495" t="s">
        <v>477</v>
      </c>
      <c r="F1271" s="3962">
        <v>9592.2199999999993</v>
      </c>
      <c r="G1271" s="3962">
        <v>8205.5</v>
      </c>
      <c r="H1271" s="261">
        <f t="shared" si="2961"/>
        <v>17797.72</v>
      </c>
      <c r="I1271" s="3962">
        <v>9220.91</v>
      </c>
      <c r="J1271" s="1174">
        <f t="shared" si="2962"/>
        <v>27018.63</v>
      </c>
      <c r="K1271" s="3962">
        <v>10559.1</v>
      </c>
      <c r="L1271" s="261">
        <f t="shared" si="2963"/>
        <v>37577.730000000003</v>
      </c>
      <c r="M1271" s="3962">
        <v>14829</v>
      </c>
      <c r="N1271" s="261">
        <f t="shared" si="2964"/>
        <v>52406.73</v>
      </c>
      <c r="O1271" s="3962">
        <v>11769</v>
      </c>
      <c r="P1271" s="1174">
        <f t="shared" si="2965"/>
        <v>37157.1</v>
      </c>
      <c r="Q1271" s="2173">
        <f t="shared" si="2966"/>
        <v>64175.729999999996</v>
      </c>
      <c r="R1271" s="3962">
        <v>13001</v>
      </c>
      <c r="S1271" s="263">
        <f t="shared" si="2967"/>
        <v>77176.73</v>
      </c>
      <c r="T1271" s="3962">
        <v>12375.67</v>
      </c>
      <c r="U1271" s="263">
        <f t="shared" si="2968"/>
        <v>89552.4</v>
      </c>
      <c r="V1271" s="3962">
        <v>13947</v>
      </c>
      <c r="W1271" s="440">
        <f t="shared" si="2969"/>
        <v>39323.67</v>
      </c>
      <c r="X1271" s="243">
        <f t="shared" si="2970"/>
        <v>103499.4</v>
      </c>
      <c r="Y1271" s="3962">
        <v>14986</v>
      </c>
      <c r="Z1271" s="263">
        <f t="shared" si="2971"/>
        <v>118485.4</v>
      </c>
      <c r="AA1271" s="3962">
        <v>13698</v>
      </c>
      <c r="AB1271" s="243">
        <f t="shared" si="2971"/>
        <v>132183.4</v>
      </c>
      <c r="AC1271" s="3962">
        <v>13721</v>
      </c>
      <c r="AD1271" s="2528">
        <f t="shared" si="2972"/>
        <v>42405</v>
      </c>
      <c r="AE1271" s="1405">
        <f t="shared" si="2975"/>
        <v>81728.67</v>
      </c>
      <c r="AF1271" s="2667">
        <f t="shared" si="2976"/>
        <v>145904.4</v>
      </c>
    </row>
    <row r="1272" spans="1:32" ht="35" customHeight="1" x14ac:dyDescent="0.25">
      <c r="A1272" s="2">
        <v>18.563018142496695</v>
      </c>
      <c r="C1272" s="338"/>
      <c r="D1272" s="591"/>
      <c r="E1272" s="140" t="s">
        <v>352</v>
      </c>
      <c r="F1272" s="3671"/>
      <c r="G1272" s="3671"/>
      <c r="H1272" s="3671"/>
      <c r="I1272" s="3671"/>
      <c r="J1272" s="3671"/>
      <c r="K1272" s="3671"/>
      <c r="L1272" s="3671"/>
      <c r="M1272" s="3671"/>
      <c r="N1272" s="2203"/>
      <c r="O1272" s="3671"/>
      <c r="P1272" s="2203"/>
      <c r="Q1272" s="2203"/>
      <c r="R1272" s="3671"/>
      <c r="S1272" s="2203"/>
      <c r="T1272" s="3671"/>
      <c r="U1272" s="2203"/>
      <c r="V1272" s="3671"/>
      <c r="W1272" s="478"/>
      <c r="X1272" s="2379"/>
      <c r="Y1272" s="3671"/>
      <c r="Z1272" s="2203"/>
      <c r="AA1272" s="3671"/>
      <c r="AB1272" s="2379"/>
      <c r="AC1272" s="3671"/>
      <c r="AD1272" s="190"/>
      <c r="AE1272" s="1439"/>
      <c r="AF1272" s="1439"/>
    </row>
    <row r="1273" spans="1:32" ht="35" customHeight="1" x14ac:dyDescent="0.25">
      <c r="A1273" s="2">
        <v>4.9501381713324522</v>
      </c>
      <c r="C1273" s="338"/>
      <c r="D1273" s="591"/>
      <c r="E1273" s="494" t="s">
        <v>288</v>
      </c>
      <c r="F1273" s="878">
        <f t="shared" ref="F1273:G1273" si="2980">+F1260/F1243*1000</f>
        <v>1.0132104074498036</v>
      </c>
      <c r="G1273" s="878">
        <f t="shared" si="2980"/>
        <v>0.76692255571357304</v>
      </c>
      <c r="H1273" s="244">
        <f t="shared" ref="H1273:K1273" si="2981">+H1260/H1243*1000</f>
        <v>0.88772548796449102</v>
      </c>
      <c r="I1273" s="878">
        <f t="shared" si="2981"/>
        <v>1.0717726723751884</v>
      </c>
      <c r="J1273" s="474">
        <f t="shared" si="2981"/>
        <v>0.9537273375395704</v>
      </c>
      <c r="K1273" s="878">
        <f t="shared" si="2981"/>
        <v>1.6156144915151653</v>
      </c>
      <c r="L1273" s="244">
        <f t="shared" ref="L1273:M1273" si="2982">+L1260/L1243*1000</f>
        <v>1.1399765919770659</v>
      </c>
      <c r="M1273" s="878">
        <f t="shared" si="2982"/>
        <v>1.7858026218154837</v>
      </c>
      <c r="N1273" s="244">
        <f t="shared" ref="N1273:O1273" si="2983">+N1260/N1243*1000</f>
        <v>1.3086383567255973</v>
      </c>
      <c r="O1273" s="878">
        <f t="shared" si="2983"/>
        <v>1.3732498626291834</v>
      </c>
      <c r="P1273" s="474">
        <f t="shared" ref="P1273:R1273" si="2984">+P1260/P1243*1000</f>
        <v>1.6118074033013372</v>
      </c>
      <c r="Q1273" s="2172">
        <f t="shared" si="2984"/>
        <v>1.3191271304740897</v>
      </c>
      <c r="R1273" s="878">
        <f t="shared" si="2984"/>
        <v>1.0974466171641228</v>
      </c>
      <c r="S1273" s="244">
        <f>+S1260/$S$1243*1000</f>
        <v>1.2841475984189401</v>
      </c>
      <c r="T1273" s="878">
        <f t="shared" ref="T1273" si="2985">+T1260/T1243*1000</f>
        <v>1.1304313248768738</v>
      </c>
      <c r="U1273" s="244">
        <f>+U1260/$U$1243*1000</f>
        <v>1.2628945809496779</v>
      </c>
      <c r="V1273" s="878">
        <f t="shared" ref="V1273" si="2986">+V1260/V1243*1000</f>
        <v>1.8840124634670659</v>
      </c>
      <c r="W1273" s="474">
        <f t="shared" ref="W1273:W1284" si="2987">+W1260/$W$1243*1000</f>
        <v>1.4006429472548252</v>
      </c>
      <c r="X1273" s="244">
        <f>+X1260/$X$1243*1000</f>
        <v>1.3497552360214786</v>
      </c>
      <c r="Y1273" s="878">
        <f t="shared" ref="Y1273" si="2988">+Y1260/Y1243*1000</f>
        <v>2.3566680831473779</v>
      </c>
      <c r="Z1273" s="244">
        <f>+Z1260/$Z$1243*1000</f>
        <v>1.473992634984759</v>
      </c>
      <c r="AA1273" s="878">
        <f t="shared" ref="AA1273" si="2989">+AA1260/AA1243*1000</f>
        <v>2.7258883248730963</v>
      </c>
      <c r="AB1273" s="244">
        <f>+AB1260/$AB$1243*1000</f>
        <v>1.6047868528968292</v>
      </c>
      <c r="AC1273" s="878">
        <f t="shared" ref="AC1273" si="2990">+AC1260/AC1243*1000</f>
        <v>2.109337320611496</v>
      </c>
      <c r="AD1273" s="474">
        <f>+AD1260/$AD$1243*1000</f>
        <v>2.4028956052764339</v>
      </c>
      <c r="AE1273" s="1366">
        <f t="shared" ref="AE1273:AE1280" si="2991">+AE1260/$AE$1243*1000</f>
        <v>1.9162570834841399</v>
      </c>
      <c r="AF1273" s="1255">
        <f t="shared" ref="AF1273:AF1284" si="2992">+AF1260/$AF$1243*1000</f>
        <v>1.649632370794248</v>
      </c>
    </row>
    <row r="1274" spans="1:32" ht="35" customHeight="1" x14ac:dyDescent="0.25">
      <c r="A1274" s="2">
        <f>SUM(A1271:A1273)</f>
        <v>23.813528775681842</v>
      </c>
      <c r="C1274" s="338"/>
      <c r="D1274" s="591"/>
      <c r="E1274" s="494" t="s">
        <v>289</v>
      </c>
      <c r="F1274" s="498">
        <f t="shared" ref="F1274:G1274" si="2993">+F1261/F1243*1000</f>
        <v>16.806917674720786</v>
      </c>
      <c r="G1274" s="498">
        <f t="shared" si="2993"/>
        <v>17.289263828805016</v>
      </c>
      <c r="H1274" s="235">
        <f t="shared" ref="H1274:K1274" si="2994">+H1261/H1243*1000</f>
        <v>17.05267550598456</v>
      </c>
      <c r="I1274" s="498">
        <f t="shared" si="2994"/>
        <v>16.955937631461101</v>
      </c>
      <c r="J1274" s="445">
        <f t="shared" si="2994"/>
        <v>17.017983974772314</v>
      </c>
      <c r="K1274" s="498">
        <f t="shared" si="2994"/>
        <v>16.156144915151653</v>
      </c>
      <c r="L1274" s="235">
        <f t="shared" ref="L1274:M1274" si="2995">+L1261/L1243*1000</f>
        <v>16.775470003417343</v>
      </c>
      <c r="M1274" s="498">
        <f t="shared" si="2995"/>
        <v>16.759831808063321</v>
      </c>
      <c r="N1274" s="235">
        <f t="shared" ref="N1274:O1274" si="2996">+N1261/N1243*1000</f>
        <v>16.771385984650628</v>
      </c>
      <c r="O1274" s="498">
        <f t="shared" si="2996"/>
        <v>16.778980117658516</v>
      </c>
      <c r="P1274" s="445">
        <f t="shared" ref="P1274:R1274" si="2997">+P1261/P1243*1000</f>
        <v>16.576084601061517</v>
      </c>
      <c r="Q1274" s="2175">
        <f t="shared" si="2997"/>
        <v>16.772618785864932</v>
      </c>
      <c r="R1274" s="498">
        <f t="shared" si="2997"/>
        <v>17.934588138392638</v>
      </c>
      <c r="S1274" s="244">
        <f>+S1261/$S$1243*1000</f>
        <v>16.955968885551016</v>
      </c>
      <c r="T1274" s="498">
        <f t="shared" ref="T1274" si="2998">+T1261/T1243*1000</f>
        <v>16.831497565880287</v>
      </c>
      <c r="U1274" s="244">
        <f>+U1261/$U$1243*1000</f>
        <v>16.938759314498927</v>
      </c>
      <c r="V1274" s="498">
        <f t="shared" ref="V1274" si="2999">+V1261/V1243*1000</f>
        <v>16.777372527233641</v>
      </c>
      <c r="W1274" s="474">
        <f t="shared" si="2987"/>
        <v>17.154729601743629</v>
      </c>
      <c r="X1274" s="244">
        <f t="shared" ref="X1274:X1284" si="3000">+X1261/$X$1243*1000</f>
        <v>16.916190068859148</v>
      </c>
      <c r="Y1274" s="498">
        <f t="shared" ref="Y1274" si="3001">+Y1261/Y1243*1000</f>
        <v>17.245434669548938</v>
      </c>
      <c r="Z1274" s="244">
        <f t="shared" ref="Z1274:Z1284" si="3002">+Z1261/$Z$1243*1000</f>
        <v>16.95681373646768</v>
      </c>
      <c r="AA1274" s="498">
        <f t="shared" ref="AA1274" si="3003">+AA1261/AA1243*1000</f>
        <v>18.918781725888323</v>
      </c>
      <c r="AB1274" s="244">
        <f>+AB1261/$AB$1243*1000</f>
        <v>17.161794128058997</v>
      </c>
      <c r="AC1274" s="498">
        <f t="shared" ref="AC1274" si="3004">+AC1261/AC1243*1000</f>
        <v>18.375155009450658</v>
      </c>
      <c r="AD1274" s="474">
        <f t="shared" ref="AD1274:AD1284" si="3005">+AD1261/$AD$1243*1000</f>
        <v>18.15747385343068</v>
      </c>
      <c r="AE1274" s="1366">
        <f t="shared" si="2991"/>
        <v>17.67059664091229</v>
      </c>
      <c r="AF1274" s="1255">
        <f t="shared" si="2992"/>
        <v>17.269640221966988</v>
      </c>
    </row>
    <row r="1275" spans="1:32" ht="35" customHeight="1" x14ac:dyDescent="0.25">
      <c r="C1275" s="338"/>
      <c r="D1275" s="591"/>
      <c r="E1275" s="494" t="s">
        <v>290</v>
      </c>
      <c r="F1275" s="498">
        <f t="shared" ref="F1275:G1275" si="3006">+F1262/F1243*1000</f>
        <v>2.7921294434303747</v>
      </c>
      <c r="G1275" s="498">
        <f t="shared" si="3006"/>
        <v>2.2858759670297757</v>
      </c>
      <c r="H1275" s="235">
        <f t="shared" ref="H1275:K1275" si="3007">+H1262/H1243*1000</f>
        <v>2.5341907092319658</v>
      </c>
      <c r="I1275" s="498">
        <f t="shared" si="3007"/>
        <v>2.3272855572593669</v>
      </c>
      <c r="J1275" s="445">
        <f t="shared" si="3007"/>
        <v>2.4599916783664293</v>
      </c>
      <c r="K1275" s="498">
        <f t="shared" si="3007"/>
        <v>2.4544912467249631</v>
      </c>
      <c r="L1275" s="235">
        <f t="shared" ref="L1275:M1275" si="3008">+L1262/L1243*1000</f>
        <v>2.4584439050244717</v>
      </c>
      <c r="M1275" s="498">
        <f t="shared" si="3008"/>
        <v>2.7850605985654218</v>
      </c>
      <c r="N1275" s="235">
        <f t="shared" ref="N1275:O1275" si="3009">+N1262/N1243*1000</f>
        <v>2.5437420277135332</v>
      </c>
      <c r="O1275" s="498">
        <f t="shared" si="3009"/>
        <v>2.653172064691335</v>
      </c>
      <c r="P1275" s="445">
        <f t="shared" ref="P1275:R1275" si="3010">+P1262/P1243*1000</f>
        <v>2.6428184266948165</v>
      </c>
      <c r="Q1275" s="2175">
        <f t="shared" si="3010"/>
        <v>2.5615064627487119</v>
      </c>
      <c r="R1275" s="498">
        <f t="shared" si="3010"/>
        <v>2.0678204681302947</v>
      </c>
      <c r="S1275" s="244">
        <f>+S1262/$S$1243*1000</f>
        <v>2.4836064939328382</v>
      </c>
      <c r="T1275" s="498">
        <f t="shared" ref="T1275" si="3011">+T1262/T1243*1000</f>
        <v>2.783474116530996</v>
      </c>
      <c r="U1275" s="244">
        <f>+U1262/$U$1243*1000</f>
        <v>2.5250665922990709</v>
      </c>
      <c r="V1275" s="498">
        <f t="shared" ref="V1275" si="3012">+V1262/V1243*1000</f>
        <v>2.5265090215212194</v>
      </c>
      <c r="W1275" s="474">
        <f t="shared" si="2987"/>
        <v>2.4650596671198528</v>
      </c>
      <c r="X1275" s="244">
        <f t="shared" si="3000"/>
        <v>2.5252683098001394</v>
      </c>
      <c r="Y1275" s="498">
        <f t="shared" ref="Y1275" si="3013">+Y1262/Y1243*1000</f>
        <v>2.3662675458078559</v>
      </c>
      <c r="Z1275" s="244">
        <f t="shared" si="3002"/>
        <v>2.505650086228993</v>
      </c>
      <c r="AA1275" s="498">
        <f t="shared" ref="AA1275" si="3014">+AA1262/AA1243*1000</f>
        <v>2.2131979695431472</v>
      </c>
      <c r="AB1275" s="244">
        <f>+AB1262/$AB$1243*1000</f>
        <v>2.4750955870102391</v>
      </c>
      <c r="AC1275" s="498">
        <f t="shared" ref="AC1275" si="3015">+AC1262/AC1243*1000</f>
        <v>2.3267947763446397</v>
      </c>
      <c r="AD1275" s="474">
        <f t="shared" si="3005"/>
        <v>2.3027749550565826</v>
      </c>
      <c r="AE1275" s="1366">
        <f t="shared" si="2991"/>
        <v>2.3815714458973734</v>
      </c>
      <c r="AF1275" s="1255">
        <f t="shared" si="2992"/>
        <v>2.4619142957728539</v>
      </c>
    </row>
    <row r="1276" spans="1:32" ht="35" hidden="1" customHeight="1" x14ac:dyDescent="0.25">
      <c r="C1276" s="338"/>
      <c r="D1276" s="591"/>
      <c r="E1276" s="494" t="s">
        <v>550</v>
      </c>
      <c r="F1276" s="377">
        <f t="shared" ref="F1276:G1276" si="3016">+F1263/F1243*1000</f>
        <v>0</v>
      </c>
      <c r="G1276" s="377">
        <f t="shared" si="3016"/>
        <v>0</v>
      </c>
      <c r="H1276" s="263">
        <f t="shared" ref="H1276:L1276" si="3017">+H1263/H1243*1000</f>
        <v>0</v>
      </c>
      <c r="I1276" s="377">
        <f t="shared" si="3017"/>
        <v>0</v>
      </c>
      <c r="J1276" s="446">
        <f t="shared" si="3017"/>
        <v>0</v>
      </c>
      <c r="K1276" s="377">
        <f t="shared" si="3017"/>
        <v>0</v>
      </c>
      <c r="L1276" s="263">
        <f t="shared" si="3017"/>
        <v>0</v>
      </c>
      <c r="M1276" s="377">
        <f t="shared" ref="M1276:O1276" si="3018">+M1263/M1243*1000</f>
        <v>0</v>
      </c>
      <c r="N1276" s="263">
        <f t="shared" ref="N1276" si="3019">+N1263/N1243*1000</f>
        <v>0</v>
      </c>
      <c r="O1276" s="377">
        <f t="shared" si="3018"/>
        <v>0</v>
      </c>
      <c r="P1276" s="446">
        <f t="shared" ref="P1276:R1276" si="3020">+P1263/P1243*1000</f>
        <v>0</v>
      </c>
      <c r="Q1276" s="2174">
        <f t="shared" si="3020"/>
        <v>0</v>
      </c>
      <c r="R1276" s="377">
        <f t="shared" si="3020"/>
        <v>0</v>
      </c>
      <c r="S1276" s="263">
        <f t="shared" ref="S1276:V1276" si="3021">+S1263/S1243*1000</f>
        <v>0</v>
      </c>
      <c r="T1276" s="377">
        <f t="shared" si="3021"/>
        <v>0</v>
      </c>
      <c r="U1276" s="263">
        <f t="shared" si="3021"/>
        <v>0</v>
      </c>
      <c r="V1276" s="377">
        <f t="shared" si="3021"/>
        <v>0</v>
      </c>
      <c r="W1276" s="474">
        <f t="shared" si="2987"/>
        <v>0</v>
      </c>
      <c r="X1276" s="244">
        <f t="shared" si="3000"/>
        <v>0</v>
      </c>
      <c r="Y1276" s="377">
        <f t="shared" ref="Y1276" si="3022">+Y1263/Y1243*1000</f>
        <v>0</v>
      </c>
      <c r="Z1276" s="263">
        <f t="shared" si="3002"/>
        <v>0</v>
      </c>
      <c r="AA1276" s="377">
        <f t="shared" ref="AA1276" si="3023">+AA1263/AA1243*1000</f>
        <v>0</v>
      </c>
      <c r="AB1276" s="244">
        <f t="shared" ref="AB1276:AB1284" si="3024">+AB1263/$Z$1243*1000</f>
        <v>0</v>
      </c>
      <c r="AC1276" s="377">
        <f t="shared" ref="AC1276" si="3025">+AC1263/AC1243*1000</f>
        <v>0</v>
      </c>
      <c r="AD1276" s="474">
        <f t="shared" si="3005"/>
        <v>0</v>
      </c>
      <c r="AE1276" s="1366">
        <f t="shared" si="2991"/>
        <v>0</v>
      </c>
      <c r="AF1276" s="1255">
        <f t="shared" si="2992"/>
        <v>0</v>
      </c>
    </row>
    <row r="1277" spans="1:32" ht="35" customHeight="1" x14ac:dyDescent="0.25">
      <c r="C1277" s="338"/>
      <c r="D1277" s="591"/>
      <c r="E1277" s="494" t="s">
        <v>291</v>
      </c>
      <c r="F1277" s="498">
        <f t="shared" ref="F1277:G1277" si="3026">+F1264/F1243*1000</f>
        <v>1.5932927017912941</v>
      </c>
      <c r="G1277" s="498">
        <f t="shared" si="3026"/>
        <v>1.377482260262243</v>
      </c>
      <c r="H1277" s="235">
        <f t="shared" ref="H1277:K1277" si="3027">+H1264/H1243*1000</f>
        <v>1.4833361786073331</v>
      </c>
      <c r="I1277" s="498">
        <f t="shared" si="3027"/>
        <v>1.4486165203349122</v>
      </c>
      <c r="J1277" s="445">
        <f t="shared" si="3027"/>
        <v>1.4708852320202832</v>
      </c>
      <c r="K1277" s="498">
        <f t="shared" si="3027"/>
        <v>1.3608445140070047</v>
      </c>
      <c r="L1277" s="235">
        <f t="shared" ref="L1277:M1277" si="3028">+L1264/L1243*1000</f>
        <v>1.4399207366910758</v>
      </c>
      <c r="M1277" s="498">
        <f t="shared" si="3028"/>
        <v>1.5978233984664851</v>
      </c>
      <c r="N1277" s="235">
        <f t="shared" ref="N1277:O1277" si="3029">+N1264/N1243*1000</f>
        <v>1.4811580674319786</v>
      </c>
      <c r="O1277" s="498">
        <f t="shared" si="3029"/>
        <v>1.6132352755158368</v>
      </c>
      <c r="P1277" s="445">
        <f t="shared" ref="P1277:R1277" si="3030">+P1264/P1243*1000</f>
        <v>1.5280012142542303</v>
      </c>
      <c r="Q1277" s="2175">
        <f t="shared" si="3030"/>
        <v>1.5025989537501423</v>
      </c>
      <c r="R1277" s="498">
        <f t="shared" si="3030"/>
        <v>1.3631442192143841</v>
      </c>
      <c r="S1277" s="244">
        <f t="shared" ref="S1277:S1284" si="3031">+S1264/$S$1243*1000</f>
        <v>1.480594036474824</v>
      </c>
      <c r="T1277" s="498">
        <f t="shared" ref="T1277" si="3032">+T1264/T1243*1000</f>
        <v>1.0963479683479227</v>
      </c>
      <c r="U1277" s="244">
        <f t="shared" ref="U1277:U1284" si="3033">+U1264/$U$1243*1000</f>
        <v>1.4274676614319008</v>
      </c>
      <c r="V1277" s="498">
        <f t="shared" ref="V1277" si="3034">+V1264/V1243*1000</f>
        <v>1.251177507789667</v>
      </c>
      <c r="W1277" s="474">
        <f t="shared" si="2987"/>
        <v>1.237024836599897</v>
      </c>
      <c r="X1277" s="244">
        <f t="shared" si="3000"/>
        <v>1.4028142443285152</v>
      </c>
      <c r="Y1277" s="498">
        <f t="shared" ref="Y1277" si="3035">+Y1264/Y1243*1000</f>
        <v>1.0463414299921148</v>
      </c>
      <c r="Z1277" s="244">
        <f t="shared" si="3002"/>
        <v>1.358831038253941</v>
      </c>
      <c r="AA1277" s="498">
        <f t="shared" ref="AA1277" si="3036">+AA1264/AA1243*1000</f>
        <v>1.3553299492385789</v>
      </c>
      <c r="AB1277" s="244">
        <f t="shared" si="3024"/>
        <v>1.5169517125680845</v>
      </c>
      <c r="AC1277" s="498">
        <f t="shared" ref="AC1277" si="3037">+AC1264/AC1243*1000</f>
        <v>1.2503803704655774</v>
      </c>
      <c r="AD1277" s="474">
        <f t="shared" si="3005"/>
        <v>1.2133265238507416</v>
      </c>
      <c r="AE1277" s="1366">
        <f t="shared" si="2991"/>
        <v>1.2248331153203866</v>
      </c>
      <c r="AF1277" s="1255">
        <f t="shared" si="2992"/>
        <v>1.3488584409518984</v>
      </c>
    </row>
    <row r="1278" spans="1:32" ht="35" customHeight="1" x14ac:dyDescent="0.25">
      <c r="C1278" s="338"/>
      <c r="D1278" s="591"/>
      <c r="E1278" s="494" t="s">
        <v>292</v>
      </c>
      <c r="F1278" s="498">
        <f t="shared" ref="F1278:G1278" si="3038">+F1265/F1243*1000</f>
        <v>0.37744021285152984</v>
      </c>
      <c r="G1278" s="498">
        <f t="shared" si="3038"/>
        <v>0.41190442506868796</v>
      </c>
      <c r="H1278" s="235">
        <f t="shared" ref="H1278:K1278" si="3039">+H1265/H1243*1000</f>
        <v>0.39499990515753336</v>
      </c>
      <c r="I1278" s="498">
        <f t="shared" si="3039"/>
        <v>0.4585363205818892</v>
      </c>
      <c r="J1278" s="445">
        <f t="shared" si="3039"/>
        <v>0.41778493686994644</v>
      </c>
      <c r="K1278" s="498">
        <f t="shared" si="3039"/>
        <v>0.54060946446853619</v>
      </c>
      <c r="L1278" s="235">
        <f t="shared" ref="L1278:M1278" si="3040">+L1265/L1243*1000</f>
        <v>0.45234668437399067</v>
      </c>
      <c r="M1278" s="498">
        <f t="shared" si="3040"/>
        <v>0.40064308681672023</v>
      </c>
      <c r="N1278" s="235">
        <f t="shared" ref="N1278:O1278" si="3041">+N1265/N1243*1000</f>
        <v>0.43884394585780101</v>
      </c>
      <c r="O1278" s="498">
        <f t="shared" si="3041"/>
        <v>0.43997325695886452</v>
      </c>
      <c r="P1278" s="1942">
        <f t="shared" ref="P1278:R1278" si="3042">+P1265/P1243*1000</f>
        <v>0.45604209709610632</v>
      </c>
      <c r="Q1278" s="3082">
        <f t="shared" si="3042"/>
        <v>0.43902727371040351</v>
      </c>
      <c r="R1278" s="498">
        <f t="shared" si="3042"/>
        <v>0.49812524349596815</v>
      </c>
      <c r="S1278" s="3113">
        <f t="shared" si="3031"/>
        <v>0.4483524926827086</v>
      </c>
      <c r="T1278" s="498">
        <f t="shared" ref="T1278" si="3043">+T1265/T1243*1000</f>
        <v>0.49114116758218346</v>
      </c>
      <c r="U1278" s="3113">
        <f t="shared" si="3033"/>
        <v>0.45426851207460639</v>
      </c>
      <c r="V1278" s="498">
        <f t="shared" ref="V1278" si="3044">+V1265/V1243*1000</f>
        <v>0.46375691408420089</v>
      </c>
      <c r="W1278" s="474">
        <f t="shared" si="2987"/>
        <v>0.4831229267360353</v>
      </c>
      <c r="X1278" s="244">
        <f t="shared" si="3000"/>
        <v>0.45559542414288817</v>
      </c>
      <c r="Y1278" s="498">
        <f t="shared" ref="Y1278" si="3045">+Y1265/Y1243*1000</f>
        <v>0.49917205834486211</v>
      </c>
      <c r="Z1278" s="3113">
        <f t="shared" si="3002"/>
        <v>0.46097210366811292</v>
      </c>
      <c r="AA1278" s="498">
        <f t="shared" ref="AA1278" si="3046">+AA1265/AA1243*1000</f>
        <v>0.63959390862944154</v>
      </c>
      <c r="AB1278" s="244">
        <f t="shared" si="3024"/>
        <v>0.53559084885006836</v>
      </c>
      <c r="AC1278" s="498">
        <f t="shared" ref="AC1278" si="3047">+AC1265/AC1243*1000</f>
        <v>0.47171958584912249</v>
      </c>
      <c r="AD1278" s="474">
        <f t="shared" si="3005"/>
        <v>0.53754607407020893</v>
      </c>
      <c r="AE1278" s="1366">
        <f t="shared" si="2991"/>
        <v>0.5111212003040817</v>
      </c>
      <c r="AF1278" s="1255">
        <f t="shared" si="2992"/>
        <v>0.47893051489660882</v>
      </c>
    </row>
    <row r="1279" spans="1:32" ht="35" customHeight="1" x14ac:dyDescent="0.25">
      <c r="C1279" s="338"/>
      <c r="D1279" s="591"/>
      <c r="E1279" s="582" t="s">
        <v>539</v>
      </c>
      <c r="F1279" s="498">
        <f t="shared" ref="F1279:G1279" si="3048">+F1266/F1243*1000</f>
        <v>20.534913219688764</v>
      </c>
      <c r="G1279" s="498">
        <f t="shared" si="3048"/>
        <v>29.362709693752187</v>
      </c>
      <c r="H1279" s="235">
        <f t="shared" ref="H1279:K1279" si="3049">+H1266/H1243*1000</f>
        <v>25.032720650998691</v>
      </c>
      <c r="I1279" s="498">
        <f t="shared" si="3049"/>
        <v>26.563623780380237</v>
      </c>
      <c r="J1279" s="445">
        <f t="shared" si="3049"/>
        <v>25.581723551439616</v>
      </c>
      <c r="K1279" s="498">
        <f t="shared" si="3049"/>
        <v>18.380721791930227</v>
      </c>
      <c r="L1279" s="235">
        <f t="shared" ref="L1279:M1279" si="3050">+L1266/L1243*1000</f>
        <v>23.555424656143082</v>
      </c>
      <c r="M1279" s="498">
        <f t="shared" si="3050"/>
        <v>23.37373237694781</v>
      </c>
      <c r="N1279" s="235">
        <f t="shared" ref="N1279:O1279" si="3051">+N1266/N1243*1000</f>
        <v>23.507974508526818</v>
      </c>
      <c r="O1279" s="498">
        <f t="shared" si="3051"/>
        <v>22.285312091113397</v>
      </c>
      <c r="P1279" s="445">
        <f t="shared" ref="P1279:R1279" si="3052">+P1266/P1243*1000</f>
        <v>21.489466056590743</v>
      </c>
      <c r="Q1279" s="2175">
        <f t="shared" si="3052"/>
        <v>23.309492376162183</v>
      </c>
      <c r="R1279" s="498">
        <f t="shared" si="3052"/>
        <v>22.185749771196821</v>
      </c>
      <c r="S1279" s="244">
        <f t="shared" si="3031"/>
        <v>23.132174172206383</v>
      </c>
      <c r="T1279" s="498">
        <f t="shared" ref="T1279" si="3053">+T1266/T1243*1000</f>
        <v>21.52295798090196</v>
      </c>
      <c r="U1279" s="244">
        <f t="shared" si="3033"/>
        <v>22.909681790381548</v>
      </c>
      <c r="V1279" s="498">
        <f t="shared" ref="V1279" si="3054">+V1266/V1243*1000</f>
        <v>21.574358107292095</v>
      </c>
      <c r="W1279" s="474">
        <f t="shared" si="2987"/>
        <v>21.74840694844762</v>
      </c>
      <c r="X1279" s="244">
        <f t="shared" si="3000"/>
        <v>22.722942536673468</v>
      </c>
      <c r="Y1279" s="498">
        <f t="shared" ref="Y1279" si="3055">+Y1266/Y1243*1000</f>
        <v>18.987737142425715</v>
      </c>
      <c r="Z1279" s="244">
        <f t="shared" si="3002"/>
        <v>22.262076232206773</v>
      </c>
      <c r="AA1279" s="498">
        <f t="shared" ref="AA1279" si="3056">+AA1266/AA1243*1000</f>
        <v>18.685279187817258</v>
      </c>
      <c r="AB1279" s="244">
        <f t="shared" si="3024"/>
        <v>24.4420095735939</v>
      </c>
      <c r="AC1279" s="498">
        <f t="shared" ref="AC1279" si="3057">+AC1266/AC1243*1000</f>
        <v>15.510153030166489</v>
      </c>
      <c r="AD1279" s="474">
        <f t="shared" si="3005"/>
        <v>17.801112217054936</v>
      </c>
      <c r="AE1279" s="1366">
        <f t="shared" si="2991"/>
        <v>19.717700472311055</v>
      </c>
      <c r="AF1279" s="1255">
        <f t="shared" si="2992"/>
        <v>21.321472782808556</v>
      </c>
    </row>
    <row r="1280" spans="1:32" ht="35" customHeight="1" x14ac:dyDescent="0.25">
      <c r="C1280" s="338"/>
      <c r="D1280" s="591"/>
      <c r="E1280" s="582" t="s">
        <v>1197</v>
      </c>
      <c r="F1280" s="498">
        <f t="shared" ref="F1280:G1280" si="3058">+F1267/F1243*1000</f>
        <v>0.44086254369953287</v>
      </c>
      <c r="G1280" s="498">
        <f t="shared" si="3058"/>
        <v>0.96796050721130578</v>
      </c>
      <c r="H1280" s="235">
        <f t="shared" ref="H1280:K1280" si="3059">+H1267/H1243*1000</f>
        <v>0.70942165063828977</v>
      </c>
      <c r="I1280" s="498">
        <f t="shared" si="3059"/>
        <v>0.98383791779186047</v>
      </c>
      <c r="J1280" s="445">
        <f t="shared" si="3059"/>
        <v>0.80783109517077589</v>
      </c>
      <c r="K1280" s="498">
        <f t="shared" si="3059"/>
        <v>1.4602669442540919</v>
      </c>
      <c r="L1280" s="235">
        <f t="shared" ref="L1280:M1280" si="3060">+L1267/L1243*1000</f>
        <v>0.99142083509877355</v>
      </c>
      <c r="M1280" s="498">
        <f t="shared" si="3060"/>
        <v>1.202077665100173</v>
      </c>
      <c r="N1280" s="235">
        <f t="shared" ref="N1280:O1280" si="3061">+N1267/N1243*1000</f>
        <v>1.04643526787606</v>
      </c>
      <c r="O1280" s="498">
        <f t="shared" si="3061"/>
        <v>1.7465605048973107</v>
      </c>
      <c r="P1280" s="445">
        <f t="shared" ref="P1280:R1280" si="3062">+P1267/P1243*1000</f>
        <v>1.442246044066493</v>
      </c>
      <c r="Q1280" s="2175">
        <f t="shared" si="3062"/>
        <v>1.1600908018870382</v>
      </c>
      <c r="R1280" s="498">
        <f t="shared" si="3062"/>
        <v>1.4786649157579761</v>
      </c>
      <c r="S1280" s="244">
        <f t="shared" si="3031"/>
        <v>1.2103594216303886</v>
      </c>
      <c r="T1280" s="498">
        <f t="shared" ref="T1280" si="3063">+T1267/T1243*1000</f>
        <v>1.4599037713234</v>
      </c>
      <c r="U1280" s="244">
        <f t="shared" si="3033"/>
        <v>1.244861757012139</v>
      </c>
      <c r="V1280" s="498">
        <f t="shared" ref="V1280" si="3064">+V1267/V1243*1000</f>
        <v>0.35607835559527545</v>
      </c>
      <c r="W1280" s="474">
        <f t="shared" si="2987"/>
        <v>1.0549052934324501</v>
      </c>
      <c r="X1280" s="244">
        <f t="shared" si="3000"/>
        <v>1.1205692343896707</v>
      </c>
      <c r="Y1280" s="498">
        <f t="shared" ref="Y1280" si="3065">+Y1267/Y1243*1000</f>
        <v>1.3151263844855021</v>
      </c>
      <c r="Z1280" s="244">
        <f t="shared" si="3002"/>
        <v>1.1445745634969597</v>
      </c>
      <c r="AA1280" s="498">
        <f t="shared" ref="AA1280" si="3066">+AA1267/AA1243*1000</f>
        <v>1.6345177664974619</v>
      </c>
      <c r="AB1280" s="244">
        <f t="shared" si="3024"/>
        <v>1.3352669122952903</v>
      </c>
      <c r="AC1280" s="498">
        <f t="shared" ref="AC1280" si="3067">+AC1267/AC1243*1000</f>
        <v>1.3373633527588349</v>
      </c>
      <c r="AD1280" s="474">
        <f t="shared" si="3005"/>
        <v>1.4288404658494049</v>
      </c>
      <c r="AE1280" s="1366">
        <f t="shared" si="2991"/>
        <v>1.2472782039838841</v>
      </c>
      <c r="AF1280" s="1255">
        <f t="shared" si="2992"/>
        <v>1.2083481253350605</v>
      </c>
    </row>
    <row r="1281" spans="3:32" ht="35" customHeight="1" x14ac:dyDescent="0.25">
      <c r="C1281" s="338"/>
      <c r="D1281" s="591"/>
      <c r="E1281" s="582" t="s">
        <v>540</v>
      </c>
      <c r="F1281" s="498">
        <f t="shared" ref="F1281:G1281" si="3068">+F1268/F1243*1000</f>
        <v>0.53367571079417131</v>
      </c>
      <c r="G1281" s="498">
        <f t="shared" si="3068"/>
        <v>1.6083036119818619</v>
      </c>
      <c r="H1281" s="235">
        <f t="shared" ref="H1281:K1281" si="3069">+H1268/H1243*1000</f>
        <v>1.0812041199567519</v>
      </c>
      <c r="I1281" s="498">
        <f t="shared" si="3069"/>
        <v>1.770908252025349</v>
      </c>
      <c r="J1281" s="445">
        <f t="shared" si="3069"/>
        <v>1.3285414998892884</v>
      </c>
      <c r="K1281" s="498">
        <f t="shared" si="3069"/>
        <v>14.552958227417374</v>
      </c>
      <c r="L1281" s="235">
        <f t="shared" ref="L1281:M1281" si="3070">+L1268/L1243*1000</f>
        <v>5.0497766697799964</v>
      </c>
      <c r="M1281" s="498">
        <f t="shared" si="3070"/>
        <v>6.8513480089042798</v>
      </c>
      <c r="N1281" s="235">
        <f t="shared" ref="N1281:O1281" si="3071">+N1268/N1243*1000</f>
        <v>5.5202690118943263</v>
      </c>
      <c r="O1281" s="498">
        <f t="shared" si="3071"/>
        <v>12.525905300389491</v>
      </c>
      <c r="P1281" s="445">
        <f t="shared" ref="P1281:R1281" si="3072">+P1268/P1243*1000</f>
        <v>10.925988274373999</v>
      </c>
      <c r="Q1281" s="2175">
        <f t="shared" si="3072"/>
        <v>6.6575360197845699</v>
      </c>
      <c r="R1281" s="498">
        <f t="shared" si="3072"/>
        <v>2.6569760205026132</v>
      </c>
      <c r="S1281" s="244">
        <f t="shared" si="3031"/>
        <v>6.026277481792266</v>
      </c>
      <c r="T1281" s="498">
        <f t="shared" ref="T1281" si="3073">+T1268/T1243*1000</f>
        <v>10.605604439925242</v>
      </c>
      <c r="U1281" s="244">
        <f t="shared" si="3033"/>
        <v>6.6594213487103637</v>
      </c>
      <c r="V1281" s="498">
        <f t="shared" ref="V1281" si="3074">+V1268/V1243*1000</f>
        <v>16.110721963237602</v>
      </c>
      <c r="W1281" s="474">
        <f t="shared" si="2987"/>
        <v>10.180282884925314</v>
      </c>
      <c r="X1281" s="244">
        <f t="shared" si="3000"/>
        <v>7.9811449470248395</v>
      </c>
      <c r="Y1281" s="498">
        <f t="shared" ref="Y1281" si="3075">+Y1268/Y1243*1000</f>
        <v>17.759005921884519</v>
      </c>
      <c r="Z1281" s="244">
        <f t="shared" si="3002"/>
        <v>9.1875810535940907</v>
      </c>
      <c r="AA1281" s="498">
        <f t="shared" ref="AA1281" si="3076">+AA1268/AA1243*1000</f>
        <v>14.197969543147208</v>
      </c>
      <c r="AB1281" s="244">
        <f t="shared" si="3024"/>
        <v>10.843998754180829</v>
      </c>
      <c r="AC1281" s="498">
        <f t="shared" ref="AC1281" si="3077">+AC1268/AC1243*1000</f>
        <v>2.2017567392980819</v>
      </c>
      <c r="AD1281" s="474">
        <f t="shared" si="3005"/>
        <v>11.712419115549396</v>
      </c>
      <c r="AE1281" s="1366">
        <f>+AE1268/$AE$1243*1000</f>
        <v>10.968498404052271</v>
      </c>
      <c r="AF1281" s="1255">
        <f t="shared" si="2992"/>
        <v>9.0436090205465618</v>
      </c>
    </row>
    <row r="1282" spans="3:32" ht="35" customHeight="1" x14ac:dyDescent="0.25">
      <c r="C1282" s="338"/>
      <c r="D1282" s="591"/>
      <c r="E1282" s="582" t="s">
        <v>68</v>
      </c>
      <c r="F1282" s="498">
        <f t="shared" ref="F1282:G1282" si="3078">+F1269/F1243*1000</f>
        <v>0</v>
      </c>
      <c r="G1282" s="498">
        <f t="shared" si="3078"/>
        <v>0</v>
      </c>
      <c r="H1282" s="235">
        <f t="shared" ref="H1282:K1282" si="3079">+H1269/H1243*1000</f>
        <v>0</v>
      </c>
      <c r="I1282" s="498">
        <f t="shared" si="3079"/>
        <v>7.4927738801210459</v>
      </c>
      <c r="J1282" s="445">
        <f t="shared" si="3079"/>
        <v>2.6870116819189391</v>
      </c>
      <c r="K1282" s="498">
        <f t="shared" si="3079"/>
        <v>6.2145232806319886</v>
      </c>
      <c r="L1282" s="235">
        <f t="shared" ref="L1282:M1282" si="3080">+L1269/L1243*1000</f>
        <v>3.6796225844477233</v>
      </c>
      <c r="M1282" s="498">
        <f t="shared" si="3080"/>
        <v>0</v>
      </c>
      <c r="N1282" s="235">
        <f t="shared" ref="N1282:O1282" si="3081">+N1269/N1243*1000</f>
        <v>2.7186646638498528</v>
      </c>
      <c r="O1282" s="498">
        <f t="shared" si="3081"/>
        <v>0</v>
      </c>
      <c r="P1282" s="445">
        <f t="shared" ref="P1282:R1282" si="3082">+P1269/P1243*1000</f>
        <v>1.949176038744459</v>
      </c>
      <c r="Q1282" s="2175">
        <f t="shared" si="3082"/>
        <v>2.2773275032566076</v>
      </c>
      <c r="R1282" s="498">
        <f t="shared" si="3082"/>
        <v>0</v>
      </c>
      <c r="S1282" s="244">
        <f t="shared" si="3031"/>
        <v>1.9179822039751429</v>
      </c>
      <c r="T1282" s="498">
        <f t="shared" ref="T1282" si="3083">+T1269/T1243*1000</f>
        <v>0</v>
      </c>
      <c r="U1282" s="244">
        <f t="shared" si="3033"/>
        <v>1.6527994204771896</v>
      </c>
      <c r="V1282" s="498">
        <f t="shared" ref="V1282" si="3084">+V1269/V1243*1000</f>
        <v>0</v>
      </c>
      <c r="W1282" s="474">
        <f t="shared" si="2987"/>
        <v>0</v>
      </c>
      <c r="X1282" s="244">
        <f t="shared" si="3000"/>
        <v>1.4216625551480508</v>
      </c>
      <c r="Y1282" s="498">
        <f t="shared" ref="Y1282" si="3085">+Y1269/Y1243*1000</f>
        <v>0</v>
      </c>
      <c r="Z1282" s="244">
        <f t="shared" si="3002"/>
        <v>1.2462514869913244</v>
      </c>
      <c r="AA1282" s="498">
        <f t="shared" ref="AA1282" si="3086">+AA1269/AA1243*1000</f>
        <v>0</v>
      </c>
      <c r="AB1282" s="244">
        <f t="shared" si="3024"/>
        <v>1.2462514869913244</v>
      </c>
      <c r="AC1282" s="498">
        <f t="shared" ref="AC1282" si="3087">+AC1269/AC1243*1000</f>
        <v>0</v>
      </c>
      <c r="AD1282" s="474">
        <f t="shared" si="3005"/>
        <v>0</v>
      </c>
      <c r="AE1282" s="1366">
        <f>+AE1269/$AE$1243*1000</f>
        <v>0</v>
      </c>
      <c r="AF1282" s="1255">
        <f t="shared" si="2992"/>
        <v>1.0168503324876141</v>
      </c>
    </row>
    <row r="1283" spans="3:32" ht="35" customHeight="1" x14ac:dyDescent="0.25">
      <c r="C1283" s="338"/>
      <c r="D1283" s="591"/>
      <c r="E1283" s="582" t="s">
        <v>541</v>
      </c>
      <c r="F1283" s="377">
        <f t="shared" ref="F1283:G1283" si="3088">+F1270/F1243*1000</f>
        <v>32.786251276181048</v>
      </c>
      <c r="G1283" s="377">
        <f t="shared" si="3088"/>
        <v>48.293783459788685</v>
      </c>
      <c r="H1283" s="263">
        <f t="shared" ref="H1283:I1283" si="3089">+H1270/H1243*1000</f>
        <v>40.687418198372505</v>
      </c>
      <c r="I1283" s="377">
        <f t="shared" si="3089"/>
        <v>17.714510591524068</v>
      </c>
      <c r="J1283" s="446">
        <f t="shared" ref="J1283:K1283" si="3090">+J1270/J1243*1000</f>
        <v>32.449017828248294</v>
      </c>
      <c r="K1283" s="377">
        <f t="shared" si="3090"/>
        <v>6.3226451735256957</v>
      </c>
      <c r="L1283" s="263">
        <f t="shared" ref="L1283:M1283" si="3091">+L1270/L1243*1000</f>
        <v>25.097285136548898</v>
      </c>
      <c r="M1283" s="377">
        <f t="shared" si="3091"/>
        <v>23.744744001978727</v>
      </c>
      <c r="N1283" s="263">
        <f t="shared" ref="N1283:O1283" si="3092">+N1270/N1243*1000</f>
        <v>24.744060020013009</v>
      </c>
      <c r="O1283" s="377">
        <f t="shared" si="3092"/>
        <v>25.671772917402837</v>
      </c>
      <c r="P1283" s="445">
        <f t="shared" ref="P1283:R1283" si="3093">+P1270/P1243*1000</f>
        <v>18.843724158184983</v>
      </c>
      <c r="Q1283" s="2175">
        <f t="shared" si="3093"/>
        <v>24.894661225606338</v>
      </c>
      <c r="R1283" s="377">
        <f t="shared" si="3093"/>
        <v>27.950232528722058</v>
      </c>
      <c r="S1283" s="244">
        <f t="shared" si="3031"/>
        <v>25.37680759358539</v>
      </c>
      <c r="T1283" s="377">
        <f t="shared" ref="T1283" si="3094">+T1270/T1243*1000</f>
        <v>33.816370236140855</v>
      </c>
      <c r="U1283" s="244">
        <f t="shared" si="3033"/>
        <v>26.543672806630511</v>
      </c>
      <c r="V1283" s="377">
        <f t="shared" ref="V1283" si="3095">+V1270/V1243*1000</f>
        <v>43.593149923914879</v>
      </c>
      <c r="W1283" s="443">
        <f t="shared" si="2987"/>
        <v>35.629192096022614</v>
      </c>
      <c r="X1283" s="244">
        <f t="shared" si="3000"/>
        <v>28.927968594471619</v>
      </c>
      <c r="Y1283" s="377">
        <f t="shared" ref="Y1283" si="3096">+Y1270/Y1243*1000</f>
        <v>32.878159612137551</v>
      </c>
      <c r="Z1283" s="244">
        <f t="shared" si="3002"/>
        <v>29.415360784216489</v>
      </c>
      <c r="AA1283" s="377">
        <f t="shared" ref="AA1283" si="3097">+AA1270/AA1243*1000</f>
        <v>39.786802030456855</v>
      </c>
      <c r="AB1283" s="244">
        <f t="shared" si="3024"/>
        <v>34.057120504344795</v>
      </c>
      <c r="AC1283" s="377">
        <f t="shared" ref="AC1283" si="3098">+AC1270/AC1243*1000</f>
        <v>46.068361997066539</v>
      </c>
      <c r="AD1283" s="474">
        <f t="shared" si="3005"/>
        <v>39.304991532071156</v>
      </c>
      <c r="AE1283" s="1405">
        <f>+AE1270/$AE$1243*1000</f>
        <v>37.520226393613378</v>
      </c>
      <c r="AF1283" s="1255">
        <f t="shared" si="2992"/>
        <v>31.882780694401021</v>
      </c>
    </row>
    <row r="1284" spans="3:32" ht="35" customHeight="1" thickBot="1" x14ac:dyDescent="0.3">
      <c r="C1284" s="338"/>
      <c r="D1284" s="591"/>
      <c r="E1284" s="495" t="s">
        <v>477</v>
      </c>
      <c r="F1284" s="499">
        <f t="shared" ref="F1284:G1284" si="3099">+F1271/F1243*1000</f>
        <v>74.190359805711097</v>
      </c>
      <c r="G1284" s="499">
        <f t="shared" si="3099"/>
        <v>61.096922630172074</v>
      </c>
      <c r="H1284" s="480">
        <f t="shared" ref="H1284:K1284" si="3100">+H1271/H1243*1000</f>
        <v>67.519186631005908</v>
      </c>
      <c r="I1284" s="499">
        <f t="shared" si="3100"/>
        <v>62.564695824456173</v>
      </c>
      <c r="J1284" s="479">
        <f t="shared" si="3100"/>
        <v>65.742438141307176</v>
      </c>
      <c r="K1284" s="499">
        <f t="shared" si="3100"/>
        <v>65.613211451376088</v>
      </c>
      <c r="L1284" s="480">
        <f t="shared" ref="L1284:M1284" si="3101">+L1271/L1243*1000</f>
        <v>65.706074881333763</v>
      </c>
      <c r="M1284" s="499">
        <f t="shared" si="3101"/>
        <v>73.356418501113026</v>
      </c>
      <c r="N1284" s="480">
        <f t="shared" ref="N1284:O1284" si="3102">+N1271/N1243*1000</f>
        <v>67.704013019825126</v>
      </c>
      <c r="O1284" s="499">
        <f t="shared" si="3102"/>
        <v>78.455231229528437</v>
      </c>
      <c r="P1284" s="479">
        <f t="shared" ref="P1284:R1284" si="3103">+P1271/P1243*1000</f>
        <v>72.418487140517669</v>
      </c>
      <c r="Q1284" s="2177">
        <f t="shared" si="3103"/>
        <v>69.44932283338251</v>
      </c>
      <c r="R1284" s="499">
        <f t="shared" si="3103"/>
        <v>75.094228788161914</v>
      </c>
      <c r="S1284" s="480">
        <f t="shared" si="3031"/>
        <v>70.340046902202303</v>
      </c>
      <c r="T1284" s="499">
        <f t="shared" ref="T1284" si="3104">+T1271/T1243*1000</f>
        <v>70.30072881577378</v>
      </c>
      <c r="U1284" s="480">
        <f t="shared" si="3033"/>
        <v>70.334610731011907</v>
      </c>
      <c r="V1284" s="499">
        <f t="shared" ref="V1284" si="3105">+V1271/V1243*1000</f>
        <v>67.375184174295299</v>
      </c>
      <c r="W1284" s="479">
        <f t="shared" si="2987"/>
        <v>70.704006477119577</v>
      </c>
      <c r="X1284" s="480">
        <f t="shared" si="3000"/>
        <v>69.920747700194909</v>
      </c>
      <c r="Y1284" s="499">
        <f t="shared" ref="Y1284" si="3106">+Y1271/Y1243*1000</f>
        <v>71.928773714962531</v>
      </c>
      <c r="Z1284" s="480">
        <f t="shared" si="3002"/>
        <v>70.168506907794068</v>
      </c>
      <c r="AA1284" s="499">
        <f t="shared" ref="AA1284" si="3107">+AA1271/AA1243*1000</f>
        <v>69.532994923857871</v>
      </c>
      <c r="AB1284" s="480">
        <f t="shared" si="3024"/>
        <v>78.280630491146638</v>
      </c>
      <c r="AC1284" s="499">
        <f t="shared" ref="AC1284" si="3108">+AC1271/AC1243*1000</f>
        <v>74.593343752861685</v>
      </c>
      <c r="AD1284" s="479">
        <f t="shared" si="3005"/>
        <v>71.959596145301674</v>
      </c>
      <c r="AE1284" s="1448">
        <f>+AE1271/$AE$1243*1000</f>
        <v>71.349951166850886</v>
      </c>
      <c r="AF1284" s="870">
        <f t="shared" si="2992"/>
        <v>70.501300917794083</v>
      </c>
    </row>
    <row r="1285" spans="3:32" ht="35" customHeight="1" x14ac:dyDescent="0.25">
      <c r="C1285" s="338"/>
      <c r="D1285" s="591"/>
      <c r="E1285" s="386" t="s">
        <v>294</v>
      </c>
      <c r="F1285" s="3348">
        <v>5776</v>
      </c>
      <c r="G1285" s="3348">
        <v>7350</v>
      </c>
      <c r="H1285" s="1745">
        <f t="shared" si="2961"/>
        <v>13126</v>
      </c>
      <c r="I1285" s="3348">
        <v>7740</v>
      </c>
      <c r="J1285" s="442">
        <f t="shared" si="2962"/>
        <v>20866</v>
      </c>
      <c r="K1285" s="3348">
        <v>10020</v>
      </c>
      <c r="L1285" s="441">
        <f t="shared" si="2963"/>
        <v>30886</v>
      </c>
      <c r="M1285" s="3348">
        <v>5000</v>
      </c>
      <c r="N1285" s="441">
        <f t="shared" si="2964"/>
        <v>35886</v>
      </c>
      <c r="O1285" s="3348">
        <v>4200</v>
      </c>
      <c r="P1285" s="442">
        <f t="shared" si="2965"/>
        <v>19220</v>
      </c>
      <c r="Q1285" s="2171">
        <f t="shared" si="2966"/>
        <v>40086</v>
      </c>
      <c r="R1285" s="3348">
        <v>4100</v>
      </c>
      <c r="S1285" s="243">
        <f>SUM(Q1285:R1285)</f>
        <v>44186</v>
      </c>
      <c r="T1285" s="3348">
        <v>5000</v>
      </c>
      <c r="U1285" s="243">
        <f t="shared" si="2968"/>
        <v>49186</v>
      </c>
      <c r="V1285" s="3348">
        <v>6500</v>
      </c>
      <c r="W1285" s="443">
        <f t="shared" si="2969"/>
        <v>15600</v>
      </c>
      <c r="X1285" s="243">
        <f t="shared" si="2970"/>
        <v>55686</v>
      </c>
      <c r="Y1285" s="3348">
        <v>6000</v>
      </c>
      <c r="Z1285" s="243">
        <f t="shared" ref="Z1285" si="3109">+X1285+Y1285</f>
        <v>61686</v>
      </c>
      <c r="AA1285" s="3348">
        <v>6000</v>
      </c>
      <c r="AB1285" s="476">
        <f t="shared" ref="AB1285" si="3110">+Z1285+AA1285</f>
        <v>67686</v>
      </c>
      <c r="AC1285" s="3348">
        <v>6000</v>
      </c>
      <c r="AD1285" s="443">
        <f t="shared" si="2972"/>
        <v>18000</v>
      </c>
      <c r="AE1285" s="1385">
        <f t="shared" si="2973"/>
        <v>33600</v>
      </c>
      <c r="AF1285" s="821">
        <f t="shared" si="2974"/>
        <v>73686</v>
      </c>
    </row>
    <row r="1286" spans="3:32" ht="35" customHeight="1" x14ac:dyDescent="0.25">
      <c r="C1286" s="338">
        <v>1540.3</v>
      </c>
      <c r="D1286" s="591"/>
      <c r="E1286" s="473" t="s">
        <v>478</v>
      </c>
      <c r="F1286" s="377">
        <f>+F1230/F1243*1000</f>
        <v>1060.5760603904339</v>
      </c>
      <c r="G1286" s="377">
        <f>+G1230/G1243*1000</f>
        <v>1090.3404987230367</v>
      </c>
      <c r="H1286" s="527">
        <f t="shared" ref="H1286" si="3111">+H1230/H1243*1000</f>
        <v>1075.7411938769703</v>
      </c>
      <c r="I1286" s="377">
        <f>+I1230/I1243*1000</f>
        <v>1100.9078449200038</v>
      </c>
      <c r="J1286" s="584">
        <f t="shared" ref="J1286:AD1286" si="3112">+J1230/J1243*1000</f>
        <v>1084.7663007905553</v>
      </c>
      <c r="K1286" s="377">
        <f>+K1230/K1243*1000</f>
        <v>1117.7690998566577</v>
      </c>
      <c r="L1286" s="527">
        <f t="shared" ref="L1286:N1286" si="3113">+L1230/L1243*1000</f>
        <v>1094.0529997142189</v>
      </c>
      <c r="M1286" s="377">
        <f>+M1230/M1243*1000</f>
        <v>1093.4454612911204</v>
      </c>
      <c r="N1286" s="527">
        <f t="shared" si="3113"/>
        <v>1093.8943370127204</v>
      </c>
      <c r="O1286" s="377">
        <f>+O1230/O1243*1000</f>
        <v>1059.9355735827191</v>
      </c>
      <c r="P1286" s="446">
        <f t="shared" si="3112"/>
        <v>1091.2774182240526</v>
      </c>
      <c r="Q1286" s="2174">
        <f t="shared" si="3112"/>
        <v>1088.3816070211403</v>
      </c>
      <c r="R1286" s="377">
        <f>+R1230/R1243*1000</f>
        <v>1065.250999037424</v>
      </c>
      <c r="S1286" s="263">
        <f t="shared" si="3112"/>
        <v>1084.7317695530621</v>
      </c>
      <c r="T1286" s="377">
        <f>+T1230/T1243*1000</f>
        <v>1076.4830520509661</v>
      </c>
      <c r="U1286" s="263">
        <f t="shared" ref="U1286" si="3114">+U1230/U1243*1000</f>
        <v>1083.5912908442604</v>
      </c>
      <c r="V1286" s="377">
        <f>+V1230/V1243*1000</f>
        <v>1116.6976643076255</v>
      </c>
      <c r="W1286" s="302">
        <f t="shared" si="3112"/>
        <v>1087.9543537835295</v>
      </c>
      <c r="X1286" s="229">
        <f t="shared" si="3112"/>
        <v>1088.2210742831539</v>
      </c>
      <c r="Y1286" s="377">
        <f>+Y1230/Y1243*1000</f>
        <v>1093.7579758035465</v>
      </c>
      <c r="Z1286" s="263">
        <f t="shared" si="3112"/>
        <v>1088.9042418931142</v>
      </c>
      <c r="AA1286" s="377">
        <f>+AA1230/AA1243*1000</f>
        <v>1101.0152284263959</v>
      </c>
      <c r="AB1286" s="229">
        <f t="shared" ref="AB1286" si="3115">+AB1230/AB1243*1000</f>
        <v>1090.1695605810519</v>
      </c>
      <c r="AC1286" s="377">
        <f>+AC1230/AC1243*1000</f>
        <v>1092.4953847305283</v>
      </c>
      <c r="AD1286" s="446">
        <f t="shared" si="3112"/>
        <v>1095.7899713731558</v>
      </c>
      <c r="AE1286" s="1403">
        <f>+AE1230/$AE$1243*1000</f>
        <v>1091.9854283463778</v>
      </c>
      <c r="AF1286" s="1441">
        <f>+AF1230/$AF$1243*1000</f>
        <v>1090.3762847745584</v>
      </c>
    </row>
    <row r="1287" spans="3:32" ht="35" customHeight="1" x14ac:dyDescent="0.25">
      <c r="C1287" s="338"/>
      <c r="D1287" s="591"/>
      <c r="E1287" s="481" t="s">
        <v>996</v>
      </c>
      <c r="F1287" s="505">
        <f t="shared" ref="F1287:G1287" si="3116">+F1231/F1243*1000</f>
        <v>22.762429229960091</v>
      </c>
      <c r="G1287" s="505">
        <f t="shared" si="3116"/>
        <v>9.8434137733334328</v>
      </c>
      <c r="H1287" s="528">
        <f t="shared" ref="H1287:I1287" si="3117">+H1231/H1243*1000</f>
        <v>16.180124812686127</v>
      </c>
      <c r="I1287" s="505">
        <f t="shared" si="3117"/>
        <v>7.5653743333649972</v>
      </c>
      <c r="J1287" s="1940">
        <f t="shared" ref="J1287:T1287" si="3118">+J1231/J1243*1000</f>
        <v>13.090756903671007</v>
      </c>
      <c r="K1287" s="505">
        <f t="shared" si="3118"/>
        <v>2.8024697525897677</v>
      </c>
      <c r="L1287" s="528">
        <f t="shared" si="3118"/>
        <v>10.195722909102201</v>
      </c>
      <c r="M1287" s="505">
        <f t="shared" ref="M1287:O1287" si="3119">+M1231/M1243*1000</f>
        <v>26.71283700222607</v>
      </c>
      <c r="N1287" s="528">
        <f t="shared" si="3118"/>
        <v>14.509277152488925</v>
      </c>
      <c r="O1287" s="505">
        <f t="shared" si="3119"/>
        <v>52.823455880940038</v>
      </c>
      <c r="P1287" s="1940">
        <f t="shared" si="3118"/>
        <v>26.847215212183702</v>
      </c>
      <c r="Q1287" s="2232">
        <f t="shared" si="3118"/>
        <v>20.729047863942366</v>
      </c>
      <c r="R1287" s="505">
        <f t="shared" si="3118"/>
        <v>41.708747487063853</v>
      </c>
      <c r="S1287" s="528">
        <f t="shared" si="3118"/>
        <v>24.039488030815608</v>
      </c>
      <c r="T1287" s="505">
        <f t="shared" si="3118"/>
        <v>37.133816938292085</v>
      </c>
      <c r="U1287" s="528">
        <f t="shared" ref="U1287:AD1287" si="3120">+U1231/U1243*1000</f>
        <v>25.849927450183301</v>
      </c>
      <c r="V1287" s="505">
        <f t="shared" si="3120"/>
        <v>15.057607304171396</v>
      </c>
      <c r="W1287" s="1940">
        <f t="shared" si="3120"/>
        <v>30.341270519801252</v>
      </c>
      <c r="X1287" s="528">
        <f t="shared" si="3120"/>
        <v>24.340668058346449</v>
      </c>
      <c r="Y1287" s="505">
        <f t="shared" ref="Y1287" si="3121">+Y1231/Y1243*1000</f>
        <v>22.510739938821185</v>
      </c>
      <c r="Z1287" s="528">
        <f t="shared" si="3120"/>
        <v>24.114883363565255</v>
      </c>
      <c r="AA1287" s="505">
        <f t="shared" si="3120"/>
        <v>16.395939086294419</v>
      </c>
      <c r="AB1287" s="528">
        <f t="shared" ref="AB1287:AC1287" si="3122">+AB1231/AB1243*1000</f>
        <v>23.308431765395326</v>
      </c>
      <c r="AC1287" s="505">
        <f t="shared" si="3122"/>
        <v>25.089153955211479</v>
      </c>
      <c r="AD1287" s="1940">
        <f t="shared" si="3120"/>
        <v>21.271395771285381</v>
      </c>
      <c r="AE1287" s="1403">
        <f>+AE1231/$AE$1243*1000</f>
        <v>25.675225888505036</v>
      </c>
      <c r="AF1287" s="2547">
        <f>+AF1231/$AF$1243*1000</f>
        <v>23.466706138215635</v>
      </c>
    </row>
    <row r="1288" spans="3:32" ht="35" customHeight="1" thickBot="1" x14ac:dyDescent="0.3">
      <c r="C1288" s="338">
        <v>542.29999999999995</v>
      </c>
      <c r="D1288" s="591"/>
      <c r="E1288" s="481" t="s">
        <v>995</v>
      </c>
      <c r="F1288" s="505">
        <f t="shared" ref="F1288:G1288" si="3123">+F1232/F1243*1000</f>
        <v>31.73931875135353</v>
      </c>
      <c r="G1288" s="505">
        <f t="shared" si="3123"/>
        <v>15.591610016157494</v>
      </c>
      <c r="H1288" s="1746">
        <f t="shared" ref="H1288:I1288" si="3124">+H1232/H1243*1000</f>
        <v>23.511978603539522</v>
      </c>
      <c r="I1288" s="505">
        <f t="shared" si="3124"/>
        <v>13.581034318980608</v>
      </c>
      <c r="J1288" s="1941">
        <f t="shared" ref="J1288:T1288" si="3125">+J1232/J1243*1000</f>
        <v>19.95060550833745</v>
      </c>
      <c r="K1288" s="505">
        <f t="shared" si="3125"/>
        <v>5.3191000182191601</v>
      </c>
      <c r="L1288" s="1746">
        <f t="shared" si="3125"/>
        <v>15.833427870934422</v>
      </c>
      <c r="M1288" s="505">
        <f t="shared" ref="M1288:O1288" si="3126">+M1232/M1243*1000</f>
        <v>0</v>
      </c>
      <c r="N1288" s="1746">
        <f t="shared" si="3125"/>
        <v>11.698422833434584</v>
      </c>
      <c r="O1288" s="505">
        <f t="shared" si="3126"/>
        <v>0</v>
      </c>
      <c r="P1288" s="1941">
        <f t="shared" si="3125"/>
        <v>1.6683278563796187</v>
      </c>
      <c r="Q1288" s="2233">
        <f t="shared" si="3125"/>
        <v>9.7993476052981183</v>
      </c>
      <c r="R1288" s="505">
        <f t="shared" si="3125"/>
        <v>0</v>
      </c>
      <c r="S1288" s="1746">
        <f t="shared" si="3125"/>
        <v>8.2530836213285834</v>
      </c>
      <c r="T1288" s="505">
        <f t="shared" si="3125"/>
        <v>0</v>
      </c>
      <c r="U1288" s="1746">
        <f t="shared" ref="U1288:AD1288" si="3127">+U1232/U1243*1000</f>
        <v>7.1120012470451748</v>
      </c>
      <c r="V1288" s="505">
        <f t="shared" si="3127"/>
        <v>0</v>
      </c>
      <c r="W1288" s="1941">
        <f t="shared" si="3127"/>
        <v>0</v>
      </c>
      <c r="X1288" s="1746">
        <f t="shared" si="3127"/>
        <v>6.1174185686555953</v>
      </c>
      <c r="Y1288" s="505">
        <f t="shared" ref="Y1288" si="3128">+Y1232/Y1243*1000</f>
        <v>0</v>
      </c>
      <c r="Z1288" s="1746">
        <f t="shared" si="3127"/>
        <v>5.3626241755670589</v>
      </c>
      <c r="AA1288" s="505">
        <f t="shared" si="3127"/>
        <v>0</v>
      </c>
      <c r="AB1288" s="1746">
        <f t="shared" ref="AB1288:AC1288" si="3129">+AB1232/AB1243*1000</f>
        <v>4.8023536668777789</v>
      </c>
      <c r="AC1288" s="505">
        <f t="shared" si="3129"/>
        <v>0</v>
      </c>
      <c r="AD1288" s="1941">
        <f t="shared" si="3127"/>
        <v>0</v>
      </c>
      <c r="AE1288" s="1403">
        <f>+AE1232/$AE$1243*1000</f>
        <v>0</v>
      </c>
      <c r="AF1288" s="2547">
        <f>+AF1232/$AF$1243*1000</f>
        <v>4.3755102664679448</v>
      </c>
    </row>
    <row r="1289" spans="3:32" ht="35" customHeight="1" thickBot="1" x14ac:dyDescent="0.3">
      <c r="C1289" s="338">
        <f>SUM(C1286:C1288)</f>
        <v>2082.6</v>
      </c>
      <c r="D1289" s="591"/>
      <c r="E1289" s="496" t="s">
        <v>479</v>
      </c>
      <c r="F1289" s="500">
        <f t="shared" ref="F1289:G1289" si="3130">SUM(F1286:F1288)</f>
        <v>1115.0778083717476</v>
      </c>
      <c r="G1289" s="500">
        <f t="shared" si="3130"/>
        <v>1115.7755225125277</v>
      </c>
      <c r="H1289" s="230">
        <f t="shared" ref="H1289:AF1289" si="3131">SUM(H1286:H1288)</f>
        <v>1115.4332972931959</v>
      </c>
      <c r="I1289" s="500">
        <f t="shared" si="3131"/>
        <v>1122.0542535723494</v>
      </c>
      <c r="J1289" s="466">
        <f t="shared" si="3131"/>
        <v>1117.8076632025638</v>
      </c>
      <c r="K1289" s="500">
        <f t="shared" si="3131"/>
        <v>1125.8906696274667</v>
      </c>
      <c r="L1289" s="230">
        <f t="shared" si="3131"/>
        <v>1120.0821504942555</v>
      </c>
      <c r="M1289" s="500">
        <f t="shared" ref="M1289:O1289" si="3132">SUM(M1286:M1288)</f>
        <v>1120.1582982933464</v>
      </c>
      <c r="N1289" s="230">
        <f t="shared" si="3131"/>
        <v>1120.1020369986438</v>
      </c>
      <c r="O1289" s="500">
        <f t="shared" si="3132"/>
        <v>1112.7590294636591</v>
      </c>
      <c r="P1289" s="466">
        <f t="shared" si="3131"/>
        <v>1119.7929612926159</v>
      </c>
      <c r="Q1289" s="2178">
        <f t="shared" si="3131"/>
        <v>1118.910002490381</v>
      </c>
      <c r="R1289" s="500">
        <f t="shared" si="3131"/>
        <v>1106.9597465244879</v>
      </c>
      <c r="S1289" s="230">
        <f t="shared" si="3131"/>
        <v>1117.0243412052064</v>
      </c>
      <c r="T1289" s="500">
        <f t="shared" si="3131"/>
        <v>1113.6168689892581</v>
      </c>
      <c r="U1289" s="230">
        <f t="shared" si="3131"/>
        <v>1116.5532195414887</v>
      </c>
      <c r="V1289" s="500">
        <f t="shared" ref="V1289" si="3133">SUM(V1286:V1288)</f>
        <v>1131.7552716117968</v>
      </c>
      <c r="W1289" s="466">
        <f t="shared" si="3131"/>
        <v>1118.2956243033309</v>
      </c>
      <c r="X1289" s="230">
        <f t="shared" si="3131"/>
        <v>1118.679160910156</v>
      </c>
      <c r="Y1289" s="500">
        <f t="shared" si="3131"/>
        <v>1116.2687157423677</v>
      </c>
      <c r="Z1289" s="230">
        <f t="shared" si="3131"/>
        <v>1118.3817494322466</v>
      </c>
      <c r="AA1289" s="500">
        <f t="shared" ref="AA1289" si="3134">SUM(AA1286:AA1288)</f>
        <v>1117.4111675126903</v>
      </c>
      <c r="AB1289" s="230">
        <f t="shared" si="3131"/>
        <v>1118.280346013325</v>
      </c>
      <c r="AC1289" s="500">
        <f t="shared" ref="AC1289" si="3135">SUM(AC1286:AC1288)</f>
        <v>1117.5845386857397</v>
      </c>
      <c r="AD1289" s="466">
        <f t="shared" si="3131"/>
        <v>1117.0613671444412</v>
      </c>
      <c r="AE1289" s="1380">
        <f t="shared" si="3131"/>
        <v>1117.6606542348829</v>
      </c>
      <c r="AF1289" s="679">
        <f t="shared" si="3131"/>
        <v>1118.2185011792419</v>
      </c>
    </row>
    <row r="1290" spans="3:32" ht="35" customHeight="1" x14ac:dyDescent="0.25">
      <c r="C1290" s="338"/>
      <c r="D1290" s="591"/>
      <c r="E1290" s="562" t="s">
        <v>624</v>
      </c>
      <c r="F1290" s="3353">
        <v>17185</v>
      </c>
      <c r="G1290" s="3353">
        <v>17320</v>
      </c>
      <c r="H1290" s="559">
        <f>SUM(F1290:G1290)</f>
        <v>34505</v>
      </c>
      <c r="I1290" s="3353">
        <v>18558</v>
      </c>
      <c r="J1290" s="561">
        <f>SUM(H1290:I1290)</f>
        <v>53063</v>
      </c>
      <c r="K1290" s="3353">
        <v>20495</v>
      </c>
      <c r="L1290" s="559">
        <f>SUM(J1290:K1290)</f>
        <v>73558</v>
      </c>
      <c r="M1290" s="3353">
        <v>27575</v>
      </c>
      <c r="N1290" s="559">
        <f>SUM(L1290:M1290)</f>
        <v>101133</v>
      </c>
      <c r="O1290" s="3353">
        <v>21235</v>
      </c>
      <c r="P1290" s="561">
        <f>+K1290+M1290+O1290</f>
        <v>69305</v>
      </c>
      <c r="Q1290" s="2179">
        <f>+N1290+O1290</f>
        <v>122368</v>
      </c>
      <c r="R1290" s="3353">
        <v>23119</v>
      </c>
      <c r="S1290" s="559">
        <f>SUM(Q1290:R1290)</f>
        <v>145487</v>
      </c>
      <c r="T1290" s="3353">
        <v>22684</v>
      </c>
      <c r="U1290" s="559">
        <f>SUM(S1290:T1290)</f>
        <v>168171</v>
      </c>
      <c r="V1290" s="3353">
        <v>25807</v>
      </c>
      <c r="W1290" s="443">
        <f t="shared" ref="W1290" si="3136">+V1290+T1290+R1290</f>
        <v>71610</v>
      </c>
      <c r="X1290" s="243">
        <f t="shared" ref="X1290" si="3137">+V1290+U1290</f>
        <v>193978</v>
      </c>
      <c r="Y1290" s="3353">
        <v>26335</v>
      </c>
      <c r="Z1290" s="559">
        <f>SUM(X1290:Y1290)</f>
        <v>220313</v>
      </c>
      <c r="AA1290" s="3353">
        <v>24263</v>
      </c>
      <c r="AB1290" s="243">
        <f t="shared" ref="AB1290" si="3138">+Z1290+AA1290</f>
        <v>244576</v>
      </c>
      <c r="AC1290" s="3353">
        <v>22391</v>
      </c>
      <c r="AD1290" s="561">
        <f t="shared" ref="AD1290" si="3139">+Y1290+AA1290+AC1290</f>
        <v>72989</v>
      </c>
      <c r="AE1290" s="1409">
        <f t="shared" ref="AE1290" si="3140">+W1290+AD1290</f>
        <v>144599</v>
      </c>
      <c r="AF1290" s="1357">
        <f t="shared" ref="AF1290" si="3141">+AB1290+AC1290</f>
        <v>266967</v>
      </c>
    </row>
    <row r="1291" spans="3:32" ht="35" customHeight="1" x14ac:dyDescent="0.25">
      <c r="C1291" s="338"/>
      <c r="D1291" s="591"/>
      <c r="E1291" s="386" t="s">
        <v>625</v>
      </c>
      <c r="F1291" s="563">
        <f t="shared" ref="F1291:G1291" si="3142">+F1290/F1235*1000</f>
        <v>130.57716856118168</v>
      </c>
      <c r="G1291" s="563">
        <f t="shared" si="3142"/>
        <v>126.79077326266628</v>
      </c>
      <c r="H1291" s="243">
        <f t="shared" ref="H1291:M1291" si="3143">+H1290/H1235*1000</f>
        <v>128.64871314002781</v>
      </c>
      <c r="I1291" s="563">
        <f t="shared" si="3143"/>
        <v>124.05909485928204</v>
      </c>
      <c r="J1291" s="443">
        <f t="shared" ref="J1291:K1291" si="3144">+J1290/J1235*1000</f>
        <v>127.00544038908477</v>
      </c>
      <c r="K1291" s="563">
        <f t="shared" si="3144"/>
        <v>125.36855112002837</v>
      </c>
      <c r="L1291" s="243">
        <f t="shared" si="3143"/>
        <v>126.54508420225055</v>
      </c>
      <c r="M1291" s="563">
        <f t="shared" si="3143"/>
        <v>132.00095739588318</v>
      </c>
      <c r="N1291" s="243">
        <f t="shared" ref="N1291:Y1291" si="3145">+N1290/N1235*1000</f>
        <v>127.98745600680353</v>
      </c>
      <c r="O1291" s="563">
        <f t="shared" si="3145"/>
        <v>137</v>
      </c>
      <c r="P1291" s="443">
        <f t="shared" si="3145"/>
        <v>131.41427970070805</v>
      </c>
      <c r="Q1291" s="2151">
        <f t="shared" si="3145"/>
        <v>129.46542400963204</v>
      </c>
      <c r="R1291" s="563">
        <f t="shared" si="3145"/>
        <v>129.67803455238951</v>
      </c>
      <c r="S1291" s="243">
        <f t="shared" si="3145"/>
        <v>129.49916285329505</v>
      </c>
      <c r="T1291" s="563">
        <f t="shared" ref="T1291" si="3146">+T1290/T1235*1000</f>
        <v>124.10751899856109</v>
      </c>
      <c r="U1291" s="243">
        <f t="shared" si="3145"/>
        <v>128.74472913011127</v>
      </c>
      <c r="V1291" s="563">
        <f t="shared" ref="V1291" si="3147">+V1290/V1235*1000</f>
        <v>121.00056264066016</v>
      </c>
      <c r="W1291" s="443">
        <f t="shared" si="3145"/>
        <v>124.68289523398283</v>
      </c>
      <c r="X1291" s="243">
        <f t="shared" si="3145"/>
        <v>127.65775417962035</v>
      </c>
      <c r="Y1291" s="563">
        <f t="shared" si="3145"/>
        <v>124.00235432607417</v>
      </c>
      <c r="Z1291" s="243">
        <f t="shared" ref="Z1291:AA1291" si="3148">+Z1290/Z1235*1000</f>
        <v>127.20950683385965</v>
      </c>
      <c r="AA1291" s="563">
        <f t="shared" si="3148"/>
        <v>121.00039896269699</v>
      </c>
      <c r="AB1291" s="243">
        <f t="shared" ref="AB1291:AC1291" si="3149">+AB1290/AB1235*1000</f>
        <v>126.56520791901929</v>
      </c>
      <c r="AC1291" s="563">
        <f t="shared" si="3149"/>
        <v>119.46836550671746</v>
      </c>
      <c r="AD1291" s="443">
        <f t="shared" ref="AD1291:AF1291" si="3150">+AD1290/AD1235*1000</f>
        <v>121.58409640240073</v>
      </c>
      <c r="AE1291" s="1385">
        <f t="shared" si="3150"/>
        <v>123.09922751720933</v>
      </c>
      <c r="AF1291" s="1386">
        <f t="shared" si="3150"/>
        <v>125.93775075678131</v>
      </c>
    </row>
    <row r="1292" spans="3:32" ht="35" customHeight="1" x14ac:dyDescent="0.25">
      <c r="C1292" s="338"/>
      <c r="D1292" s="591"/>
      <c r="E1292" s="386" t="s">
        <v>443</v>
      </c>
      <c r="F1292" s="563">
        <f t="shared" ref="F1292:G1292" si="3151">+F1290/F1243*1000</f>
        <v>132.91618971011354</v>
      </c>
      <c r="G1292" s="563">
        <f t="shared" si="3151"/>
        <v>128.9621229607678</v>
      </c>
      <c r="H1292" s="243">
        <f t="shared" ref="H1292:AF1292" si="3152">+H1290/H1243*1000</f>
        <v>130.90157248809729</v>
      </c>
      <c r="I1292" s="563">
        <f t="shared" si="3152"/>
        <v>125.9176832991817</v>
      </c>
      <c r="J1292" s="443">
        <f t="shared" ref="J1292:K1292" si="3153">+J1290/J1243*1000</f>
        <v>129.11428133447859</v>
      </c>
      <c r="K1292" s="563">
        <f t="shared" si="3153"/>
        <v>127.35391924462813</v>
      </c>
      <c r="L1292" s="243">
        <f t="shared" ref="L1292:M1292" si="3154">+L1290/L1243*1000</f>
        <v>128.61893084337845</v>
      </c>
      <c r="M1292" s="563">
        <f t="shared" si="3154"/>
        <v>136.40860746970071</v>
      </c>
      <c r="N1292" s="243">
        <f t="shared" ref="N1292:O1292" si="3155">+N1290/N1243*1000</f>
        <v>130.65325672359208</v>
      </c>
      <c r="O1292" s="563">
        <f t="shared" si="3155"/>
        <v>141.55806229578013</v>
      </c>
      <c r="P1292" s="443">
        <f t="shared" si="3152"/>
        <v>135.07413795138959</v>
      </c>
      <c r="Q1292" s="2151">
        <f t="shared" si="3152"/>
        <v>132.42349929600104</v>
      </c>
      <c r="R1292" s="563">
        <f t="shared" si="3152"/>
        <v>133.53614916956505</v>
      </c>
      <c r="S1292" s="243">
        <f t="shared" si="3152"/>
        <v>132.59906714965385</v>
      </c>
      <c r="T1292" s="563">
        <f t="shared" si="3152"/>
        <v>128.85780991712065</v>
      </c>
      <c r="U1292" s="243">
        <f t="shared" si="3152"/>
        <v>132.08179592333656</v>
      </c>
      <c r="V1292" s="563">
        <f t="shared" ref="V1292" si="3156">+V1290/V1243*1000</f>
        <v>124.66848626844762</v>
      </c>
      <c r="W1292" s="443">
        <f t="shared" si="3152"/>
        <v>128.75486707691661</v>
      </c>
      <c r="X1292" s="243">
        <f t="shared" si="3152"/>
        <v>131.04507656458307</v>
      </c>
      <c r="Y1292" s="563">
        <f t="shared" si="3152"/>
        <v>126.4009245818456</v>
      </c>
      <c r="Z1292" s="243">
        <f t="shared" ref="Z1292:AA1292" si="3157">+Z1290/Z1243*1000</f>
        <v>130.47206037517563</v>
      </c>
      <c r="AA1292" s="563">
        <f t="shared" si="3157"/>
        <v>123.16243654822335</v>
      </c>
      <c r="AB1292" s="243">
        <f t="shared" ref="AB1292" si="3158">+AB1290/AB1243*1000</f>
        <v>129.70837332089482</v>
      </c>
      <c r="AC1292" s="563"/>
      <c r="AD1292" s="443">
        <f t="shared" si="3152"/>
        <v>123.8594260829955</v>
      </c>
      <c r="AE1292" s="1385">
        <f t="shared" si="3152"/>
        <v>126.23638178347296</v>
      </c>
      <c r="AF1292" s="1386">
        <f t="shared" si="3152"/>
        <v>128.9989938762692</v>
      </c>
    </row>
    <row r="1293" spans="3:32" ht="35" customHeight="1" x14ac:dyDescent="0.25">
      <c r="C1293" s="338"/>
      <c r="D1293" s="591"/>
      <c r="E1293" s="386" t="s">
        <v>355</v>
      </c>
      <c r="F1293" s="3321">
        <v>6811177</v>
      </c>
      <c r="G1293" s="3321">
        <v>7007483</v>
      </c>
      <c r="H1293" s="363">
        <f>SUM(F1293:G1293)</f>
        <v>13818660</v>
      </c>
      <c r="I1293" s="3321">
        <v>7597293</v>
      </c>
      <c r="J1293" s="304">
        <f>SUM(H1293:I1293)</f>
        <v>21415953</v>
      </c>
      <c r="K1293" s="3321">
        <v>8496965</v>
      </c>
      <c r="L1293" s="296">
        <f>SUM(J1293:K1293)</f>
        <v>29912918</v>
      </c>
      <c r="M1293" s="3321">
        <v>10284304</v>
      </c>
      <c r="N1293" s="296">
        <f>SUM(L1293:M1293)</f>
        <v>40197222</v>
      </c>
      <c r="O1293" s="3321">
        <v>7713259</v>
      </c>
      <c r="P1293" s="313">
        <f>+K1293+M1293+O1293</f>
        <v>26494528</v>
      </c>
      <c r="Q1293" s="2133">
        <f>+J1293+P1293</f>
        <v>47910481</v>
      </c>
      <c r="R1293" s="3321">
        <v>8850537</v>
      </c>
      <c r="S1293" s="363">
        <f>SUM(Q1293:R1293)</f>
        <v>56761018</v>
      </c>
      <c r="T1293" s="3321">
        <v>8898007</v>
      </c>
      <c r="U1293" s="363">
        <f>SUM(S1293:T1293)</f>
        <v>65659025</v>
      </c>
      <c r="V1293" s="3321">
        <v>10621463</v>
      </c>
      <c r="W1293" s="74">
        <f>+R1293+T1293+V1293</f>
        <v>28370007</v>
      </c>
      <c r="X1293" s="122">
        <f>+U1293+V1293</f>
        <v>76280488</v>
      </c>
      <c r="Y1293" s="3321">
        <v>10557203</v>
      </c>
      <c r="Z1293" s="363">
        <f>SUM(X1293:Y1293)</f>
        <v>86837691</v>
      </c>
      <c r="AA1293" s="3321">
        <v>10033143</v>
      </c>
      <c r="AB1293" s="296">
        <f>SUM(Z1293:AA1293)</f>
        <v>96870834</v>
      </c>
      <c r="AC1293" s="3321">
        <v>9558557</v>
      </c>
      <c r="AD1293" s="304">
        <f t="shared" ref="AD1293" si="3159">+Y1293+AA1293+AC1293</f>
        <v>30148903</v>
      </c>
      <c r="AE1293" s="1409">
        <f t="shared" ref="AE1293" si="3160">+W1293+AD1293</f>
        <v>58518910</v>
      </c>
      <c r="AF1293" s="821">
        <f t="shared" si="2974"/>
        <v>106429391</v>
      </c>
    </row>
    <row r="1294" spans="3:32" ht="35" customHeight="1" x14ac:dyDescent="0.25">
      <c r="C1294" s="338"/>
      <c r="D1294" s="591"/>
      <c r="E1294" s="473" t="s">
        <v>557</v>
      </c>
      <c r="F1294" s="498">
        <f t="shared" ref="F1294:G1294" si="3161">+F1293/F1243</f>
        <v>52.680575751013208</v>
      </c>
      <c r="G1294" s="498">
        <f t="shared" si="3161"/>
        <v>52.176667684266171</v>
      </c>
      <c r="H1294" s="244">
        <f t="shared" ref="H1294:AF1294" si="3162">+H1293/H1243</f>
        <v>52.423832015023045</v>
      </c>
      <c r="I1294" s="498">
        <f t="shared" si="3162"/>
        <v>51.548309834308121</v>
      </c>
      <c r="J1294" s="445">
        <f t="shared" si="3162"/>
        <v>52.109857729264654</v>
      </c>
      <c r="K1294" s="498">
        <f t="shared" si="3162"/>
        <v>52.799306876527531</v>
      </c>
      <c r="L1294" s="244">
        <f t="shared" si="3162"/>
        <v>52.303862687479956</v>
      </c>
      <c r="M1294" s="498">
        <f t="shared" ref="M1294:O1294" si="3163">+M1293/M1243</f>
        <v>50.87461785802622</v>
      </c>
      <c r="N1294" s="244">
        <f t="shared" ref="N1294" si="3164">+N1293/N1243</f>
        <v>51.930605890670925</v>
      </c>
      <c r="O1294" s="498">
        <f t="shared" si="3163"/>
        <v>51.418601272685976</v>
      </c>
      <c r="P1294" s="445">
        <f t="shared" si="3162"/>
        <v>51.637335401903961</v>
      </c>
      <c r="Q1294" s="2175">
        <f t="shared" si="3162"/>
        <v>51.847489106421371</v>
      </c>
      <c r="R1294" s="498">
        <f t="shared" si="3162"/>
        <v>51.121009951241604</v>
      </c>
      <c r="S1294" s="244">
        <f t="shared" si="3162"/>
        <v>51.732856112674753</v>
      </c>
      <c r="T1294" s="498">
        <f t="shared" si="3162"/>
        <v>50.545657496350238</v>
      </c>
      <c r="U1294" s="244">
        <f t="shared" si="3162"/>
        <v>51.568712444923634</v>
      </c>
      <c r="V1294" s="498">
        <f t="shared" ref="V1294" si="3165">+V1293/V1243</f>
        <v>51.310176082703315</v>
      </c>
      <c r="W1294" s="445">
        <f t="shared" si="3162"/>
        <v>51.009307083594379</v>
      </c>
      <c r="X1294" s="244">
        <f t="shared" si="3162"/>
        <v>51.532557250532321</v>
      </c>
      <c r="Y1294" s="498">
        <f t="shared" si="3162"/>
        <v>50.67173799879378</v>
      </c>
      <c r="Z1294" s="244">
        <f t="shared" si="3162"/>
        <v>51.426345531098242</v>
      </c>
      <c r="AA1294" s="498">
        <f t="shared" ref="AA1294" si="3166">+AA1293/AA1243</f>
        <v>50.929659898477155</v>
      </c>
      <c r="AB1294" s="244">
        <f t="shared" si="3162"/>
        <v>51.3744533412045</v>
      </c>
      <c r="AC1294" s="498">
        <f t="shared" ref="AC1294" si="3167">+AC1293/AC1243</f>
        <v>51.964487142505817</v>
      </c>
      <c r="AD1294" s="445">
        <f t="shared" si="3162"/>
        <v>51.161487657207267</v>
      </c>
      <c r="AE1294" s="1444">
        <f t="shared" si="3162"/>
        <v>51.087597177799942</v>
      </c>
      <c r="AF1294" s="1440">
        <f t="shared" si="3162"/>
        <v>51.426896799469823</v>
      </c>
    </row>
    <row r="1295" spans="3:32" ht="35" hidden="1" customHeight="1" x14ac:dyDescent="0.25">
      <c r="C1295" s="338"/>
      <c r="D1295" s="591"/>
      <c r="E1295" s="525" t="s">
        <v>362</v>
      </c>
      <c r="F1295" s="564">
        <f>+F1294*F1243</f>
        <v>6811177</v>
      </c>
      <c r="G1295" s="564">
        <f>+G1294*G1243</f>
        <v>7007483</v>
      </c>
      <c r="H1295" s="560">
        <f>SUM(F1295:G1295)</f>
        <v>13818660</v>
      </c>
      <c r="I1295" s="564">
        <f>+I1294*I1243</f>
        <v>7597292.9999999991</v>
      </c>
      <c r="J1295" s="301">
        <f>SUM(H1295:I1295)</f>
        <v>21415953</v>
      </c>
      <c r="K1295" s="564">
        <f>+K1294*K1243</f>
        <v>8496965</v>
      </c>
      <c r="L1295" s="275">
        <f>+H1295+I1295</f>
        <v>21415953</v>
      </c>
      <c r="M1295" s="564">
        <f>+M1294*M1243</f>
        <v>10284304</v>
      </c>
      <c r="N1295" s="275">
        <f>+J1295+K1295</f>
        <v>29912918</v>
      </c>
      <c r="O1295" s="564">
        <f>+O1294*O1243</f>
        <v>7713259</v>
      </c>
      <c r="P1295" s="301">
        <f>+K1295+M1295+O1295</f>
        <v>26494528</v>
      </c>
      <c r="Q1295" s="2180">
        <f>+J1295+P1295</f>
        <v>47910481</v>
      </c>
      <c r="R1295" s="564">
        <f>+R1294*R1243</f>
        <v>8850537</v>
      </c>
      <c r="S1295" s="275">
        <f>SUM(Q1295:R1295)</f>
        <v>56761018</v>
      </c>
      <c r="T1295" s="564">
        <f>+T1294*T1243</f>
        <v>8898007</v>
      </c>
      <c r="U1295" s="275">
        <f>SUM(S1295:T1295)</f>
        <v>65659025</v>
      </c>
      <c r="V1295" s="564">
        <f>+V1294*V1243</f>
        <v>10621463</v>
      </c>
      <c r="W1295" s="302">
        <f>+R1295+T1295+V1295</f>
        <v>28370007</v>
      </c>
      <c r="X1295" s="228">
        <f>+U1295+V1295</f>
        <v>76280488</v>
      </c>
      <c r="Y1295" s="564">
        <f>+Y1294*Y1243</f>
        <v>10557203</v>
      </c>
      <c r="Z1295" s="275">
        <f>SUM(X1295:Y1295)</f>
        <v>86837691</v>
      </c>
      <c r="AA1295" s="564">
        <f>+AA1294*AA1243</f>
        <v>10033143</v>
      </c>
      <c r="AB1295" s="501">
        <f>SUM(Z1295:AA1295)</f>
        <v>96870834</v>
      </c>
      <c r="AC1295" s="564">
        <f>+AC1294*AC1243</f>
        <v>9558557</v>
      </c>
      <c r="AD1295" s="302">
        <f>+Y1295+AA1295+AC1295</f>
        <v>30148903</v>
      </c>
      <c r="AE1295" s="1442">
        <f>+W1295+AD1295</f>
        <v>58518910</v>
      </c>
      <c r="AF1295" s="1443">
        <f>+AB1295+AC1295</f>
        <v>106429391</v>
      </c>
    </row>
    <row r="1296" spans="3:32" ht="35" customHeight="1" x14ac:dyDescent="0.25">
      <c r="C1296" s="338"/>
      <c r="D1296" s="591"/>
      <c r="E1296" s="125" t="s">
        <v>331</v>
      </c>
      <c r="F1296" s="3820">
        <f>+((1120.32+386.88)/F1218)/24</f>
        <v>2.0933333333333333</v>
      </c>
      <c r="G1296" s="3820">
        <f>+((1557.12+572.4)/G1218)/24</f>
        <v>2.8622580645161286</v>
      </c>
      <c r="H1296" s="235">
        <f t="shared" ref="H1296:H1297" si="3168">+((F1296*24*$F$1135)+(G1296*24*$G$1135))/($H$1135*24)</f>
        <v>2.4840983606557376</v>
      </c>
      <c r="I1296" s="3820">
        <f>+((2017.2+813.1)/I1218)/24</f>
        <v>3.9309722222222221</v>
      </c>
      <c r="J1296" s="445">
        <f t="shared" ref="J1296:J1297" si="3169">+((H1296*24*$H$1135)+(I1296*24*$I$1135))/($J$1135*24)</f>
        <v>2.9610897435897439</v>
      </c>
      <c r="K1296" s="3820">
        <f>+((2443.68+1084.08)/K1218)/24</f>
        <v>4.7416129032258061</v>
      </c>
      <c r="L1296" s="235">
        <f t="shared" ref="L1296:L1297" si="3170">+((J1296*$J$1135*24)+(K1296*$K$1135*24))/($L$1135*24)</f>
        <v>3.4135177595628412</v>
      </c>
      <c r="M1296" s="3820">
        <f>+((2263.68+823.68)/31)/24</f>
        <v>4.1496774193548385</v>
      </c>
      <c r="N1296" s="444">
        <f>+((L1296*$L$1135*24)+(M1296*$M$1135*24))/($N$1135*24)</f>
        <v>3.5626742919389978</v>
      </c>
      <c r="O1296" s="3820">
        <f>+((1984.32+720)/30)/24</f>
        <v>3.7559999999999998</v>
      </c>
      <c r="P1296" s="445">
        <f t="shared" ref="P1296" si="3171">+((K1296*24*$K$1135)+(M1296*24*$M$1135)+(O1296*24*$O$1135))/($P$1135*24)</f>
        <v>4.2207608695652166</v>
      </c>
      <c r="Q1296" s="2175">
        <f t="shared" ref="Q1296" si="3172">+((O1296*24*$O$1135)+(N1296*24*$N$1135))/($Q$1135*24)</f>
        <v>3.5943670309653917</v>
      </c>
      <c r="R1296" s="3820">
        <f>+((2201.28+755.04)/31)/24</f>
        <v>3.9735483870967747</v>
      </c>
      <c r="S1296" s="235">
        <f t="shared" ref="S1296:S1297" si="3173">+((Q1296*$Q$1135*24)+(R1296*$R$1135*24))/($S$1135*24)</f>
        <v>3.6492951713395643</v>
      </c>
      <c r="T1296" s="3820">
        <f>+((2170.8+720)/30)/24</f>
        <v>4.0149999999999997</v>
      </c>
      <c r="U1296" s="235">
        <f>+((S1296*$S$1135*24)+(T1296*$T$1135*24))/($U$1135*24)</f>
        <v>3.6942588797814211</v>
      </c>
      <c r="V1296" s="3820">
        <f>+((2222.88+744)/31)/24</f>
        <v>3.987741935483871</v>
      </c>
      <c r="W1296" s="445">
        <f>+((R1296*24*$R$1135)+(T1296*24*$T$1135)+(V1296*24*$V$1135))/($W$1135*24)</f>
        <v>3.9918478260869565</v>
      </c>
      <c r="X1296" s="235">
        <f>+((U1296*$U$1135*24)+(V1296*$V$1135*24))/($X$1135*24)</f>
        <v>3.7273424242424245</v>
      </c>
      <c r="Y1296" s="3820">
        <f>+((2142.96+732.24)/31)/24</f>
        <v>3.8645161290322574</v>
      </c>
      <c r="Z1296" s="235">
        <f>+((X1296*$X$1135*24)+(Y1296*$Y$1135*24))/($Z$1135*24)</f>
        <v>3.7412391067538127</v>
      </c>
      <c r="AA1296" s="3820">
        <f>+((1931.76+737.76)/AA1218)/24</f>
        <v>3.8355172413793106</v>
      </c>
      <c r="AB1296" s="231">
        <f>+((Z1296*$Z$1135*24)+(AA1296*$AA$1135*24))/($AB$1135*24)</f>
        <v>3.749400497512438</v>
      </c>
      <c r="AC1296" s="3820">
        <f>+((1880.4+717.84)/31)/24</f>
        <v>3.4922580645161294</v>
      </c>
      <c r="AD1296" s="445">
        <f>+((Y1296*24*$Y$1135)+(AA1296*24*$AA$1135)+(AC1296*24*$AC$1135))/($AD$1135*24)</f>
        <v>3.7284615384615383</v>
      </c>
      <c r="AE1296" s="1444">
        <f>+((W1296*$W$1135*24)+(AD1296*$AD$1135*24))/($AE$1135*24)</f>
        <v>3.8608743169398907</v>
      </c>
      <c r="AF1296" s="866">
        <f>+((AB1296*$AB$1135*24)+(AC1296*$AC$1135*24))/($AF$1135*24)</f>
        <v>3.7276206739526412</v>
      </c>
    </row>
    <row r="1297" spans="2:32" ht="35" customHeight="1" x14ac:dyDescent="0.25">
      <c r="C1297" s="338"/>
      <c r="D1297" s="591"/>
      <c r="E1297" s="125" t="s">
        <v>629</v>
      </c>
      <c r="F1297" s="3820">
        <f>+((437.154)/F1218)/24</f>
        <v>0.60715833333333336</v>
      </c>
      <c r="G1297" s="3820">
        <f>+((400.211)/G1218)/24</f>
        <v>0.53791801075268819</v>
      </c>
      <c r="H1297" s="235">
        <f t="shared" si="3168"/>
        <v>0.57197062841530055</v>
      </c>
      <c r="I1297" s="3820">
        <f>+((228.858)/I1218)/24</f>
        <v>0.31785833333333335</v>
      </c>
      <c r="J1297" s="445">
        <f t="shared" si="3169"/>
        <v>0.4881973443223443</v>
      </c>
      <c r="K1297" s="3820">
        <f>+((458.668)/K1218)/24</f>
        <v>0.61648924731182797</v>
      </c>
      <c r="L1297" s="235">
        <f t="shared" si="3170"/>
        <v>0.52079610655737707</v>
      </c>
      <c r="M1297" s="3820">
        <f>+((481.023)/31)/24</f>
        <v>0.64653629032258064</v>
      </c>
      <c r="N1297" s="444">
        <f>+((L1297*$L$1135*24)+(M1297*$M$1135*24))/($N$1135*24)</f>
        <v>0.54627287581699357</v>
      </c>
      <c r="O1297" s="3820">
        <f>+((433.957)/30)/24</f>
        <v>0.60271805555555558</v>
      </c>
      <c r="P1297" s="445">
        <f t="shared" ref="P1297" si="3174">+((K1297*24*$K$1135)+(M1297*24*$M$1135)+(O1297*24*$O$1135))/($P$1135*24)</f>
        <v>0.62212318840579717</v>
      </c>
      <c r="Q1297" s="2175">
        <f t="shared" ref="Q1297" si="3175">+((O1297*24*$O$1135)+(N1297*24*$N$1135))/($Q$1135*24)</f>
        <v>0.55552618397085607</v>
      </c>
      <c r="R1297" s="3820">
        <f>+((597.04)/31)/24</f>
        <v>0.8024731182795698</v>
      </c>
      <c r="S1297" s="235">
        <f t="shared" si="3173"/>
        <v>0.59129887071651077</v>
      </c>
      <c r="T1297" s="3820">
        <f>+((605.497)/30)/24</f>
        <v>0.84096805555555543</v>
      </c>
      <c r="U1297" s="235">
        <f>+((S1297*$S$1135*24)+(T1297*$T$1135*24))/($U$1135*24)</f>
        <v>0.62199590163934404</v>
      </c>
      <c r="V1297" s="3820">
        <f>+((619.027)/31)/24</f>
        <v>0.83202553763440867</v>
      </c>
      <c r="W1297" s="445">
        <f>+((R1297*24*$R$1135)+(T1297*24*$T$1135)+(V1297*24*$V$1135))/($W$1135*24)</f>
        <v>0.82498369565217389</v>
      </c>
      <c r="X1297" s="235">
        <f>+((U1297*$U$1135*24)+(V1297*$V$1135*24))/($X$1135*24)</f>
        <v>0.64567196969696949</v>
      </c>
      <c r="Y1297" s="3820">
        <f>+((476.956)/31)/24</f>
        <v>0.6410698924731183</v>
      </c>
      <c r="Z1297" s="235">
        <f>+((X1297*$X$1135*24)+(Y1297*$Y$1135*24))/($Z$1135*24)</f>
        <v>0.6452057461873637</v>
      </c>
      <c r="AA1297" s="3820">
        <f>+((441.438)/AA1218)/24</f>
        <v>0.63424999999999998</v>
      </c>
      <c r="AB1297" s="231">
        <f>+((Z1297*$Z$1135*24)+(AA1297*$AA$1135*24))/($AB$1135*24)</f>
        <v>0.64425733830845755</v>
      </c>
      <c r="AC1297" s="3820">
        <f>+((466.808)/31)/24</f>
        <v>0.62743010752688166</v>
      </c>
      <c r="AD1297" s="445">
        <f>+((Y1297*24*$Y$1135)+(AA1297*24*$AA$1135)+(AC1297*24*$AC$1135))/($AD$1135*24)</f>
        <v>0.63424999999999998</v>
      </c>
      <c r="AE1297" s="1444">
        <f>+((W1297*$W$1135*24)+(AD1297*$AD$1135*24))/($AE$1135*24)</f>
        <v>0.73013797814207637</v>
      </c>
      <c r="AF1297" s="866">
        <f>+((AB1297*$AB$1135*24)+(AC1297*$AC$1135*24))/($AF$1135*24)</f>
        <v>0.64283208105646616</v>
      </c>
    </row>
    <row r="1298" spans="2:32" ht="35" customHeight="1" x14ac:dyDescent="0.25">
      <c r="C1298" s="338"/>
      <c r="D1298" s="591"/>
      <c r="E1298" s="125" t="s">
        <v>332</v>
      </c>
      <c r="F1298" s="3413">
        <f>+F1507</f>
        <v>16006660.000000006</v>
      </c>
      <c r="G1298" s="3413">
        <f>+G1507</f>
        <v>16895070</v>
      </c>
      <c r="H1298" s="263">
        <f>SUM(F1298:G1298)</f>
        <v>32901730.000000007</v>
      </c>
      <c r="I1298" s="3413">
        <f>+I1507</f>
        <v>16837500</v>
      </c>
      <c r="J1298" s="442">
        <f t="shared" ref="J1298" si="3176">+H1298+I1298</f>
        <v>49739230.000000007</v>
      </c>
      <c r="K1298" s="3413">
        <f>+K1507</f>
        <v>0</v>
      </c>
      <c r="L1298" s="441">
        <f t="shared" ref="L1298:N1298" si="3177">+J1298+K1298</f>
        <v>49739230.000000007</v>
      </c>
      <c r="M1298" s="3413">
        <f>+M1507</f>
        <v>21356379.999999996</v>
      </c>
      <c r="N1298" s="243">
        <f t="shared" si="3177"/>
        <v>71095610</v>
      </c>
      <c r="O1298" s="3413">
        <f>+O1507</f>
        <v>17287460</v>
      </c>
      <c r="P1298" s="446">
        <f t="shared" ref="P1298" si="3178">+K1298+M1298+O1298</f>
        <v>38643840</v>
      </c>
      <c r="Q1298" s="2174">
        <f t="shared" ref="Q1298" si="3179">+J1298+P1298</f>
        <v>88383070</v>
      </c>
      <c r="R1298" s="3413">
        <f>+R1507</f>
        <v>18763560</v>
      </c>
      <c r="S1298" s="263">
        <f t="shared" ref="S1298" si="3180">+Q1298+R1298</f>
        <v>107146630</v>
      </c>
      <c r="T1298" s="3413">
        <f>+T1507</f>
        <v>17962650</v>
      </c>
      <c r="U1298" s="263">
        <f t="shared" ref="U1298" si="3181">+S1298+T1298</f>
        <v>125109280</v>
      </c>
      <c r="V1298" s="3413">
        <f>+V1507</f>
        <v>19265660</v>
      </c>
      <c r="W1298" s="446">
        <f t="shared" ref="W1298" si="3182">+R1298+T1298+V1298</f>
        <v>55991870</v>
      </c>
      <c r="X1298" s="243">
        <f t="shared" ref="X1298" si="3183">+V1298+U1298</f>
        <v>144374940</v>
      </c>
      <c r="Y1298" s="3413">
        <f>+Y1507</f>
        <v>20108920</v>
      </c>
      <c r="Z1298" s="263">
        <f t="shared" ref="Z1298" si="3184">+X1298+Y1298</f>
        <v>164483860</v>
      </c>
      <c r="AA1298" s="3413">
        <f>+AA1507</f>
        <v>20294420.000000007</v>
      </c>
      <c r="AB1298" s="475">
        <f t="shared" ref="AB1298" si="3185">+Z1298+AA1298</f>
        <v>184778280</v>
      </c>
      <c r="AC1298" s="3413">
        <f>+AC1507</f>
        <v>19347840</v>
      </c>
      <c r="AD1298" s="446">
        <f t="shared" si="2972"/>
        <v>59751180.000000007</v>
      </c>
      <c r="AE1298" s="1410">
        <f t="shared" si="2973"/>
        <v>115743050</v>
      </c>
      <c r="AF1298" s="686">
        <f t="shared" si="2974"/>
        <v>204126120</v>
      </c>
    </row>
    <row r="1299" spans="2:32" ht="35" customHeight="1" x14ac:dyDescent="0.25">
      <c r="C1299" s="338"/>
      <c r="D1299" s="591"/>
      <c r="E1299" s="125" t="s">
        <v>333</v>
      </c>
      <c r="F1299" s="518">
        <f t="shared" ref="F1299:G1299" si="3186">+F1298/F1243</f>
        <v>123.80240076725556</v>
      </c>
      <c r="G1299" s="518">
        <f t="shared" si="3186"/>
        <v>125.79815789669628</v>
      </c>
      <c r="H1299" s="527">
        <f t="shared" ref="H1299:AF1299" si="3187">+H1298/H1243</f>
        <v>124.81924922703392</v>
      </c>
      <c r="I1299" s="518">
        <f t="shared" si="3187"/>
        <v>114.24393752289967</v>
      </c>
      <c r="J1299" s="584">
        <f t="shared" si="3187"/>
        <v>121.02679712003349</v>
      </c>
      <c r="K1299" s="518">
        <f t="shared" si="3187"/>
        <v>0</v>
      </c>
      <c r="L1299" s="527">
        <f t="shared" si="3187"/>
        <v>86.970915244744234</v>
      </c>
      <c r="M1299" s="518">
        <f t="shared" ref="M1299:O1299" si="3188">+M1298/M1243</f>
        <v>105.6462033143705</v>
      </c>
      <c r="N1299" s="527">
        <f t="shared" ref="N1299" si="3189">+N1298/N1243</f>
        <v>91.848090981681338</v>
      </c>
      <c r="O1299" s="518">
        <f t="shared" si="3188"/>
        <v>115.24272849615292</v>
      </c>
      <c r="P1299" s="584">
        <f t="shared" si="3187"/>
        <v>75.316115361538522</v>
      </c>
      <c r="Q1299" s="2176">
        <f t="shared" si="3187"/>
        <v>95.645882975315516</v>
      </c>
      <c r="R1299" s="518">
        <f t="shared" si="3187"/>
        <v>108.37897604187394</v>
      </c>
      <c r="S1299" s="527">
        <f t="shared" si="3187"/>
        <v>97.655070117805153</v>
      </c>
      <c r="T1299" s="518">
        <f t="shared" si="3187"/>
        <v>102.0379006924602</v>
      </c>
      <c r="U1299" s="527">
        <f t="shared" si="3187"/>
        <v>98.261046132065403</v>
      </c>
      <c r="V1299" s="518">
        <f t="shared" ref="V1299" si="3190">+V1298/V1243</f>
        <v>93.06857322286902</v>
      </c>
      <c r="W1299" s="446">
        <f t="shared" si="3187"/>
        <v>100.67345034545447</v>
      </c>
      <c r="X1299" s="263">
        <f t="shared" si="3187"/>
        <v>97.534901206874409</v>
      </c>
      <c r="Y1299" s="518">
        <f t="shared" si="3187"/>
        <v>96.51741334127081</v>
      </c>
      <c r="Z1299" s="527">
        <f t="shared" si="3187"/>
        <v>97.409359014955712</v>
      </c>
      <c r="AA1299" s="518">
        <f t="shared" ref="AA1299" si="3191">+AA1298/AA1243</f>
        <v>103.01736040609141</v>
      </c>
      <c r="AB1299" s="263">
        <f t="shared" si="3187"/>
        <v>97.995265781731803</v>
      </c>
      <c r="AC1299" s="518">
        <f t="shared" ref="AC1299" si="3192">+AC1298/AC1243</f>
        <v>105.18330150829877</v>
      </c>
      <c r="AD1299" s="446">
        <f t="shared" si="3187"/>
        <v>101.39537276276918</v>
      </c>
      <c r="AE1299" s="1409">
        <f t="shared" si="3187"/>
        <v>101.04484711916126</v>
      </c>
      <c r="AF1299" s="686">
        <f t="shared" si="3187"/>
        <v>98.634153673924459</v>
      </c>
    </row>
    <row r="1300" spans="2:32" ht="35" customHeight="1" x14ac:dyDescent="0.25">
      <c r="C1300" s="338"/>
      <c r="D1300" s="591"/>
      <c r="E1300" s="450" t="s">
        <v>1113</v>
      </c>
      <c r="F1300" s="3944">
        <v>3.5999999999999997E-2</v>
      </c>
      <c r="G1300" s="3944">
        <v>4.9000000000000002E-2</v>
      </c>
      <c r="H1300" s="1925">
        <f>+((F1300*F1235)+(G1300*G1235))/H1235</f>
        <v>4.2621052082129372E-2</v>
      </c>
      <c r="I1300" s="3944">
        <v>5.8000000000000003E-2</v>
      </c>
      <c r="J1300" s="2234">
        <f>+((H1300*H1235)+(I1300*I1235))/J1235</f>
        <v>4.8127350102082099E-2</v>
      </c>
      <c r="K1300" s="3944">
        <v>6.4000000000000001E-2</v>
      </c>
      <c r="L1300" s="1925">
        <f>+((J1300*J1235)+(K1300*K1235))/L1235</f>
        <v>5.2591349420846104E-2</v>
      </c>
      <c r="M1300" s="3944">
        <v>4.5999999999999999E-2</v>
      </c>
      <c r="N1300" s="1925">
        <f>+((L1300*L1235)+(M1300*M1235))/N1235</f>
        <v>5.0848791223254482E-2</v>
      </c>
      <c r="O1300" s="3944">
        <v>5.5E-2</v>
      </c>
      <c r="P1300" s="2234">
        <f>+((K1300*K1235)+(M1300*M1235)+(O1300*O1235))/P1235</f>
        <v>5.4224848211339868E-2</v>
      </c>
      <c r="Q1300" s="2235">
        <f>+((N1300*N1235)+(O1300*O1235))/Q1235</f>
        <v>5.1529548371260898E-2</v>
      </c>
      <c r="R1300" s="3944">
        <v>5.1999999999999998E-2</v>
      </c>
      <c r="S1300" s="1925">
        <f>+((Q1300*Q1235)+(R1300*R1235))/S1235</f>
        <v>5.1604203624698364E-2</v>
      </c>
      <c r="T1300" s="3944">
        <v>5.0999999999999997E-2</v>
      </c>
      <c r="U1300" s="1925">
        <f>+((S1300*S1235)+(T1300*T1235))/U1235</f>
        <v>5.1519659540848667E-2</v>
      </c>
      <c r="V1300" s="3944">
        <v>4.3999999999999997E-2</v>
      </c>
      <c r="W1300" s="2234">
        <f>+((R1300*R1235)+(T1300*T1235)+(V1300*V1235))/W1235</f>
        <v>4.8710960638092264E-2</v>
      </c>
      <c r="X1300" s="1925">
        <f>+((U1300*U1235)+(V1300*V1235))/X1235</f>
        <v>5.0464196494146824E-2</v>
      </c>
      <c r="Y1300" s="3944">
        <v>4.2999999999999997E-2</v>
      </c>
      <c r="Z1300" s="1925">
        <f>+((X1300*X1235)+(Y1300*Y1235))/Z1235</f>
        <v>4.9548891356326702E-2</v>
      </c>
      <c r="AA1300" s="3944">
        <v>4.1000000000000002E-2</v>
      </c>
      <c r="AB1300" s="1925">
        <f>+((Z1300*Z1235)+(AA1300*AA1235))/AB1235</f>
        <v>4.8661800724587069E-2</v>
      </c>
      <c r="AC1300" s="3944">
        <v>4.2999999999999997E-2</v>
      </c>
      <c r="AD1300" s="2234">
        <f>+((Y1300*Y1235)+(AA1300*AA1235)+(AC1300*AC1235))/AD1235</f>
        <v>4.2331952951523942E-2</v>
      </c>
      <c r="AE1300" s="1469">
        <f>+((W1300*W1235)+(AD1300*AD1235))/AE1235</f>
        <v>4.5450914056394474E-2</v>
      </c>
      <c r="AF1300" s="1470">
        <f>+((AB1300*AB1235)+(AC1300*AC1235))/AF1235</f>
        <v>4.8161220718801911E-2</v>
      </c>
    </row>
    <row r="1301" spans="2:32" ht="35" customHeight="1" thickBot="1" x14ac:dyDescent="0.3">
      <c r="C1301" s="341"/>
      <c r="D1301"/>
      <c r="E1301" s="3945" t="s">
        <v>1114</v>
      </c>
      <c r="F1301" s="3327">
        <v>4.2999999999999997E-2</v>
      </c>
      <c r="G1301" s="3327">
        <v>4.5999999999999999E-2</v>
      </c>
      <c r="H1301" s="3946">
        <f>+((F1301*F1243)+(G1301*G1243))/H1243</f>
        <v>4.4528515336026857E-2</v>
      </c>
      <c r="I1301" s="3327">
        <v>4.1000000000000002E-2</v>
      </c>
      <c r="J1301" s="3947">
        <f>+((H1301*H1243)+(I1301*I1243))/J1243</f>
        <v>4.3263141246347114E-2</v>
      </c>
      <c r="K1301" s="3327">
        <v>5.5E-2</v>
      </c>
      <c r="L1301" s="3946">
        <f>+((J1301*J1243)+(K1301*K1243))/L1243</f>
        <v>4.6565790616675651E-2</v>
      </c>
      <c r="M1301" s="3327">
        <v>0.04</v>
      </c>
      <c r="N1301" s="3946">
        <f>+((L1301*L1243)+(M1301*M1243))/N1243</f>
        <v>4.4851090711106767E-2</v>
      </c>
      <c r="O1301" s="3327">
        <v>4.7E-2</v>
      </c>
      <c r="P1301" s="3947">
        <f>+((K1301*K1243)+(M1301*M1243)+(O1301*O1243))/P1243</f>
        <v>4.6751282408882607E-2</v>
      </c>
      <c r="Q1301" s="3948">
        <f>+((N1301*N1243)+(O1301*O1243))/Q1243</f>
        <v>4.5199936060275205E-2</v>
      </c>
      <c r="R1301" s="3327">
        <v>4.7E-2</v>
      </c>
      <c r="S1301" s="3946">
        <f>+((Q1301*Q1243)+(R1301*R1243))/S1243</f>
        <v>4.548397272791356E-2</v>
      </c>
      <c r="T1301" s="3327">
        <v>4.5999999999999999E-2</v>
      </c>
      <c r="U1301" s="3946">
        <f>+((S1301*S1243)+(T1301*T1243))/U1243</f>
        <v>4.5555319348382264E-2</v>
      </c>
      <c r="V1301" s="3327">
        <v>0.04</v>
      </c>
      <c r="W1301" s="3947">
        <f>+((R1301*R1243)+(T1301*T1243)+(V1301*V1243))/W1243</f>
        <v>4.4078114971929157E-2</v>
      </c>
      <c r="X1301" s="3946">
        <f>+((U1301*U1243)+(V1301*V1243))/X1243</f>
        <v>4.4778431914747598E-2</v>
      </c>
      <c r="Y1301" s="3327">
        <v>3.5999999999999997E-2</v>
      </c>
      <c r="Z1301" s="3946">
        <f>+((X1301*X1243)+(Y1301*Y1243))/Z1243</f>
        <v>4.3695309824114341E-2</v>
      </c>
      <c r="AA1301" s="3327">
        <v>3.6999999999999998E-2</v>
      </c>
      <c r="AB1301" s="3946">
        <f>+((Z1301*Z1243)+(AA1301*AA1243))/AB1243</f>
        <v>4.2995804410686365E-2</v>
      </c>
      <c r="AC1301" s="3327">
        <v>0.04</v>
      </c>
      <c r="AD1301" s="3947">
        <f>+((Y1301*Y1243)+(AA1301*AA1243)+(AC1301*AC1243))/AD1243</f>
        <v>3.7582883902411199E-2</v>
      </c>
      <c r="AE1301" s="3949">
        <f>+((W1301*W1243)+(AD1301*AD1243))/AE1243</f>
        <v>4.0736609284002002E-2</v>
      </c>
      <c r="AF1301" s="3950">
        <f>+((AB1301*AB1243)+(AC1301*AC1243))/AF1243</f>
        <v>4.2729530947646838E-2</v>
      </c>
    </row>
    <row r="1302" spans="2:32" ht="34.5" customHeight="1" thickTop="1" x14ac:dyDescent="0.25">
      <c r="D1302" s="3943"/>
      <c r="E1302" s="3945" t="s">
        <v>1296</v>
      </c>
      <c r="F1302" s="3323">
        <v>16.600000000000001</v>
      </c>
      <c r="G1302" s="3323">
        <v>23.8</v>
      </c>
      <c r="H1302" s="3946">
        <f>+((F1302*$F$1218)+(G1302*$G$1218))/$H$1218</f>
        <v>20.259016393442625</v>
      </c>
      <c r="I1302" s="3323">
        <v>31.35</v>
      </c>
      <c r="J1302" s="3947">
        <f>+((H1302*H$1218)+(I1302*I$1218))/J$1218</f>
        <v>23.915384615384617</v>
      </c>
      <c r="K1302" s="3323">
        <v>20.9</v>
      </c>
      <c r="L1302" s="3946">
        <f>+((J1302*J1218)+(K1302*K1218))/L1218</f>
        <v>23.149180327868855</v>
      </c>
      <c r="M1302" s="3323">
        <v>28.5</v>
      </c>
      <c r="N1302" s="3946">
        <f>+((L1302*L1218)+(M1302*M1218))/N1218</f>
        <v>24.233333333333334</v>
      </c>
      <c r="O1302" s="3323">
        <v>19.5</v>
      </c>
      <c r="P1302" s="3947">
        <f>+((K1302*K1218)+(M1302*M1218)+(O1302*O1218))/P1218</f>
        <v>23.004347826086956</v>
      </c>
      <c r="Q1302" s="3948">
        <f>+((N1302*N1218)+(O1302*O1218))/Q1218</f>
        <v>23.45737704918033</v>
      </c>
      <c r="R1302" s="3323">
        <v>9</v>
      </c>
      <c r="S1302" s="3946">
        <f>+((Q1302*Q1218)+(R1302*R1218))/S1218</f>
        <v>21.363084112149537</v>
      </c>
      <c r="T1302" s="3323">
        <v>6.2</v>
      </c>
      <c r="U1302" s="3946">
        <f>+((S1302*S1218)+(T1302*T1218))/U1218</f>
        <v>19.498770491803281</v>
      </c>
      <c r="V1302" s="3323">
        <v>9</v>
      </c>
      <c r="W1302" s="3947">
        <f>+((R1302*R1218)+(T1302*T1218)+(V1302*V1218))/W1218</f>
        <v>8.0869565217391308</v>
      </c>
      <c r="X1302" s="3946">
        <f>+((U1302*U1218)+(V1302*V1218))/X1218</f>
        <v>18.315272727272731</v>
      </c>
      <c r="Y1302" s="3323">
        <v>27.1</v>
      </c>
      <c r="Z1302" s="3946">
        <f>+((X1302*X1218)+(Y1302*Y1218))/Z1218</f>
        <v>19.205228758169937</v>
      </c>
      <c r="AA1302" s="3323">
        <v>26.6</v>
      </c>
      <c r="AB1302" s="3946">
        <f>+((Z1302*Z1218)+(AA1302*AA1218))/AB1218</f>
        <v>19.845373134328362</v>
      </c>
      <c r="AC1302" s="3323">
        <v>22.8</v>
      </c>
      <c r="AD1302" s="3947">
        <f>+((Y1302*Y1218)+(AA1302*AA1218)+(AC1302*AC1218))/AD1218</f>
        <v>25.475824175824179</v>
      </c>
      <c r="AE1302" s="3949">
        <f>+((W1302*W1218)+(AD1302*AD1218))/AE1218</f>
        <v>16.733879781420764</v>
      </c>
      <c r="AF1302" s="3950">
        <f>+((AB1302*AB1218)+(AC1302*AC1218))/AF1218</f>
        <v>20.095628415300553</v>
      </c>
    </row>
    <row r="1303" spans="2:32" ht="35" customHeight="1" x14ac:dyDescent="0.25">
      <c r="D1303" s="3943"/>
      <c r="E1303" s="3945" t="s">
        <v>1207</v>
      </c>
      <c r="F1303" s="3162">
        <v>9.8000000000000007</v>
      </c>
      <c r="G1303" s="3162">
        <v>8.9</v>
      </c>
      <c r="H1303" s="3946">
        <f>+((F1303*$F$1218)+(G1303*$G$1218))/$H$1218</f>
        <v>9.3426229508196741</v>
      </c>
      <c r="I1303" s="3162">
        <v>9</v>
      </c>
      <c r="J1303" s="3947">
        <f>+((H1303*H$1218)+(I1303*I$1218))/J$1218</f>
        <v>9.2296703296703306</v>
      </c>
      <c r="K1303" s="3162">
        <v>10.5</v>
      </c>
      <c r="L1303" s="3946">
        <f>+((J1303*J1218)+(K1303*K1218))/L1218</f>
        <v>9.5524590163934437</v>
      </c>
      <c r="M1303" s="3162">
        <v>10.15</v>
      </c>
      <c r="N1303" s="3946">
        <f>+((L1303*L1218)+(M1303*M1218))/N1218</f>
        <v>9.6735294117647079</v>
      </c>
      <c r="O1303" s="3162">
        <v>11.3</v>
      </c>
      <c r="P1303" s="3947">
        <f>+((K1303*K1218)+(M1303*M1218)+(O1303*O1218))/P1218</f>
        <v>10.642934782608696</v>
      </c>
      <c r="Q1303" s="3948">
        <f>+((N1303*N1218)+(O1303*O1218))/Q1218</f>
        <v>9.9401639344262325</v>
      </c>
      <c r="R1303" s="3162">
        <v>8.99</v>
      </c>
      <c r="S1303" s="3946">
        <f>+((Q1303*Q1218)+(R1303*R1218))/S1218</f>
        <v>9.8025233644859853</v>
      </c>
      <c r="T1303" s="3162">
        <v>10.19</v>
      </c>
      <c r="U1303" s="3946">
        <f>+((S1303*S1218)+(T1303*T1218))/U1218</f>
        <v>9.8501639344262308</v>
      </c>
      <c r="V1303" s="3162">
        <v>10.18</v>
      </c>
      <c r="W1303" s="3947">
        <f>+((R1303*R1218)+(T1303*T1218)+(V1303*V1218))/W1218</f>
        <v>9.7822826086956525</v>
      </c>
      <c r="X1303" s="3946">
        <f>+((U1303*U1218)+(V1303*V1218))/X1218</f>
        <v>9.8873454545454553</v>
      </c>
      <c r="Y1303" s="3162">
        <v>9.0399999999999991</v>
      </c>
      <c r="Z1303" s="3946">
        <f>+((X1303*X1218)+(Y1303*Y1218))/Z1218</f>
        <v>9.8015032679738567</v>
      </c>
      <c r="AA1303" s="3162">
        <v>8.59</v>
      </c>
      <c r="AB1303" s="3946">
        <f>+((Z1303*Z1218)+(AA1303*AA1218))/AB1218</f>
        <v>9.696626865671643</v>
      </c>
      <c r="AC1303" s="3162">
        <v>8.6999999999999993</v>
      </c>
      <c r="AD1303" s="3947">
        <f>+((Y1303*Y1218)+(AA1303*AA1218)+(AC1303*AC1218))/AD1218</f>
        <v>8.7807692307692307</v>
      </c>
      <c r="AE1303" s="3949">
        <f>+((W1303*W1218)+(AD1303*AD1218))/AE1218</f>
        <v>9.2842622950819678</v>
      </c>
      <c r="AF1303" s="3950">
        <f>+((AB1303*AB1218)+(AC1303*AC1218))/AF1218</f>
        <v>9.6122131147540983</v>
      </c>
    </row>
    <row r="1304" spans="2:32" ht="35" customHeight="1" thickBot="1" x14ac:dyDescent="0.3">
      <c r="D1304" s="175"/>
      <c r="E1304" s="385"/>
      <c r="F1304" s="540">
        <f>+F6</f>
        <v>30</v>
      </c>
      <c r="G1304" s="540">
        <f>+G6</f>
        <v>31</v>
      </c>
      <c r="H1304" s="3672">
        <f>SUM(F1304:G1304)</f>
        <v>61</v>
      </c>
      <c r="I1304" s="540">
        <f>+I6</f>
        <v>30</v>
      </c>
      <c r="J1304" s="3672">
        <f>SUM(H1304:I1304)</f>
        <v>91</v>
      </c>
      <c r="K1304" s="540">
        <f>+K6</f>
        <v>31</v>
      </c>
      <c r="L1304" s="3672">
        <f>SUM(J1304:K1304)</f>
        <v>122</v>
      </c>
      <c r="M1304" s="540">
        <v>31</v>
      </c>
      <c r="N1304" s="1244">
        <f>SUM(L1304:M1304)</f>
        <v>153</v>
      </c>
      <c r="O1304" s="540">
        <v>30</v>
      </c>
      <c r="P1304" s="540">
        <f>+K1304+M1304+O1304</f>
        <v>92</v>
      </c>
      <c r="Q1304" s="540">
        <f>+J1304+P1304</f>
        <v>183</v>
      </c>
      <c r="R1304" s="540">
        <v>31</v>
      </c>
      <c r="S1304" s="540">
        <f>SUM(Q1304:R1304)</f>
        <v>214</v>
      </c>
      <c r="T1304" s="540">
        <v>30</v>
      </c>
      <c r="U1304" s="540">
        <f>SUM(S1304:T1304)</f>
        <v>244</v>
      </c>
      <c r="V1304" s="540">
        <v>31</v>
      </c>
      <c r="W1304" s="540">
        <f>+R1304+T1304+V1304</f>
        <v>92</v>
      </c>
      <c r="X1304" s="540">
        <f>+U1304+V1304</f>
        <v>275</v>
      </c>
      <c r="Y1304" s="540">
        <v>31</v>
      </c>
      <c r="Z1304" s="540">
        <f>SUM(X1304:Y1304)</f>
        <v>306</v>
      </c>
      <c r="AA1304" s="540">
        <v>29</v>
      </c>
      <c r="AB1304" s="2201">
        <f>SUM(Z1304:AA1304)</f>
        <v>335</v>
      </c>
      <c r="AC1304" s="540">
        <v>31</v>
      </c>
      <c r="AD1304" s="175">
        <f>+Y1304+AA1304+AC1304</f>
        <v>91</v>
      </c>
      <c r="AE1304" s="175">
        <f>+W1304+AD1304</f>
        <v>183</v>
      </c>
      <c r="AF1304" s="175">
        <f>+AB1304+AC1304</f>
        <v>366</v>
      </c>
    </row>
    <row r="1305" spans="2:32" ht="35" customHeight="1" thickTop="1" thickBot="1" x14ac:dyDescent="0.3">
      <c r="C1305" s="546"/>
      <c r="D1305" s="541"/>
      <c r="E1305" s="380" t="s">
        <v>1</v>
      </c>
      <c r="F1305" s="2122" t="s">
        <v>9</v>
      </c>
      <c r="G1305" s="2122" t="s">
        <v>51</v>
      </c>
      <c r="H1305" s="3667" t="s">
        <v>52</v>
      </c>
      <c r="I1305" s="2122" t="s">
        <v>1073</v>
      </c>
      <c r="J1305" s="3667" t="s">
        <v>60</v>
      </c>
      <c r="K1305" s="2122" t="s">
        <v>2117</v>
      </c>
      <c r="L1305" s="3667" t="s">
        <v>62</v>
      </c>
      <c r="M1305" s="2122" t="s">
        <v>63</v>
      </c>
      <c r="N1305" s="383" t="s">
        <v>64</v>
      </c>
      <c r="O1305" s="2122" t="s">
        <v>65</v>
      </c>
      <c r="P1305" s="2640" t="s">
        <v>66</v>
      </c>
      <c r="Q1305" s="2642" t="s">
        <v>82</v>
      </c>
      <c r="R1305" s="2122" t="s">
        <v>100</v>
      </c>
      <c r="S1305" s="2302" t="s">
        <v>101</v>
      </c>
      <c r="T1305" s="2122" t="s">
        <v>104</v>
      </c>
      <c r="U1305" s="2302" t="s">
        <v>105</v>
      </c>
      <c r="V1305" s="2122" t="s">
        <v>106</v>
      </c>
      <c r="W1305" s="384" t="s">
        <v>107</v>
      </c>
      <c r="X1305" s="381" t="s">
        <v>108</v>
      </c>
      <c r="Y1305" s="2122" t="s">
        <v>109</v>
      </c>
      <c r="Z1305" s="2302" t="s">
        <v>110</v>
      </c>
      <c r="AA1305" s="2122" t="s">
        <v>112</v>
      </c>
      <c r="AB1305" s="381" t="s">
        <v>113</v>
      </c>
      <c r="AC1305" s="2122" t="s">
        <v>114</v>
      </c>
      <c r="AD1305" s="1449" t="s">
        <v>115</v>
      </c>
      <c r="AE1305" s="1450" t="s">
        <v>116</v>
      </c>
      <c r="AF1305" s="1451" t="s">
        <v>117</v>
      </c>
    </row>
    <row r="1306" spans="2:32" ht="35" customHeight="1" thickBot="1" x14ac:dyDescent="0.3">
      <c r="C1306" s="508"/>
      <c r="D1306" s="542">
        <v>51</v>
      </c>
      <c r="E1306" s="502" t="s">
        <v>297</v>
      </c>
      <c r="F1306" s="318"/>
      <c r="G1306" s="318"/>
      <c r="H1306" s="3673"/>
      <c r="I1306" s="318"/>
      <c r="J1306" s="3673"/>
      <c r="K1306" s="318"/>
      <c r="L1306" s="3673"/>
      <c r="M1306" s="318"/>
      <c r="N1306" s="318"/>
      <c r="O1306" s="318"/>
      <c r="P1306" s="318"/>
      <c r="Q1306" s="318"/>
      <c r="R1306" s="318"/>
      <c r="S1306" s="318"/>
      <c r="T1306" s="318"/>
      <c r="U1306" s="318"/>
      <c r="V1306" s="318"/>
      <c r="W1306" s="318"/>
      <c r="X1306" s="318"/>
      <c r="Y1306" s="318"/>
      <c r="Z1306" s="318"/>
      <c r="AA1306" s="318"/>
      <c r="AB1306" s="318"/>
      <c r="AC1306" s="318"/>
      <c r="AD1306" s="318"/>
      <c r="AE1306" s="318"/>
      <c r="AF1306" s="2109"/>
    </row>
    <row r="1307" spans="2:32" ht="35" customHeight="1" x14ac:dyDescent="0.25">
      <c r="C1307" s="508"/>
      <c r="D1307" s="543"/>
      <c r="E1307" s="386" t="s">
        <v>298</v>
      </c>
      <c r="F1307" s="3782">
        <f>+F39</f>
        <v>143766</v>
      </c>
      <c r="G1307" s="3782">
        <f>+G39</f>
        <v>152132</v>
      </c>
      <c r="H1307" s="360">
        <f>SUM(F1307:G1307)</f>
        <v>295898</v>
      </c>
      <c r="I1307" s="3782">
        <f>+I39</f>
        <v>167381</v>
      </c>
      <c r="J1307" s="361">
        <f>+H1307+I1307</f>
        <v>463279</v>
      </c>
      <c r="K1307" s="3782">
        <f>+K39</f>
        <v>190559</v>
      </c>
      <c r="L1307" s="360">
        <f>+J1307+K1307</f>
        <v>653838</v>
      </c>
      <c r="M1307" s="3782">
        <f>+M39</f>
        <v>229309</v>
      </c>
      <c r="N1307" s="360">
        <f>+L1307+M1307</f>
        <v>883147</v>
      </c>
      <c r="O1307" s="3782">
        <f>+O39</f>
        <v>166018</v>
      </c>
      <c r="P1307" s="251">
        <f>+K1307+M1307+O1307</f>
        <v>585886</v>
      </c>
      <c r="Q1307" s="3085">
        <f>+J1307+P1307</f>
        <v>1049165</v>
      </c>
      <c r="R1307" s="3782">
        <f>+R39</f>
        <v>195036</v>
      </c>
      <c r="S1307" s="360">
        <f>+Q1307+R1307</f>
        <v>1244201</v>
      </c>
      <c r="T1307" s="3782">
        <f>+T39</f>
        <v>211077</v>
      </c>
      <c r="U1307" s="360">
        <f>+S1307+T1307</f>
        <v>1455278</v>
      </c>
      <c r="V1307" s="3782">
        <f>+V39</f>
        <v>250305</v>
      </c>
      <c r="W1307" s="361">
        <f>+R1307+T1307+V1307</f>
        <v>656418</v>
      </c>
      <c r="X1307" s="360">
        <f>+U1307+V1307</f>
        <v>1705583</v>
      </c>
      <c r="Y1307" s="3782">
        <f>+Y39</f>
        <v>240311</v>
      </c>
      <c r="Z1307" s="360">
        <f>+X1307+Y1307</f>
        <v>1945894</v>
      </c>
      <c r="AA1307" s="3782">
        <f>+AA39</f>
        <v>234647</v>
      </c>
      <c r="AB1307" s="360">
        <f>+Z1307+AA1307</f>
        <v>2180541</v>
      </c>
      <c r="AC1307" s="3782">
        <f>+AC39</f>
        <v>219210</v>
      </c>
      <c r="AD1307" s="1388">
        <f>+Y1307+AA1307+AC1307</f>
        <v>694168</v>
      </c>
      <c r="AE1307" s="1394">
        <f>+W1307+AD1307</f>
        <v>1350586</v>
      </c>
      <c r="AF1307" s="1390">
        <f>+AB1307+AC1307</f>
        <v>2399751</v>
      </c>
    </row>
    <row r="1308" spans="2:32" ht="35" customHeight="1" x14ac:dyDescent="0.25">
      <c r="B1308" s="2">
        <f>+Q1307+Q1308-1000000</f>
        <v>49165</v>
      </c>
      <c r="C1308" s="508"/>
      <c r="D1308" s="543"/>
      <c r="E1308" s="299" t="s">
        <v>90</v>
      </c>
      <c r="F1308" s="3354"/>
      <c r="G1308" s="3354"/>
      <c r="H1308" s="3625"/>
      <c r="I1308" s="3354"/>
      <c r="J1308" s="3625"/>
      <c r="K1308" s="3354"/>
      <c r="L1308" s="3625"/>
      <c r="M1308" s="3354"/>
      <c r="N1308" s="39"/>
      <c r="O1308" s="3354"/>
      <c r="P1308" s="39"/>
      <c r="Q1308" s="39"/>
      <c r="R1308" s="3354"/>
      <c r="S1308" s="39"/>
      <c r="T1308" s="3354"/>
      <c r="U1308" s="39"/>
      <c r="V1308" s="3354"/>
      <c r="W1308" s="39"/>
      <c r="X1308" s="39"/>
      <c r="Y1308" s="3354"/>
      <c r="Z1308" s="39"/>
      <c r="AA1308" s="3354"/>
      <c r="AB1308" s="39"/>
      <c r="AC1308" s="3354"/>
      <c r="AD1308" s="39"/>
      <c r="AE1308" s="566"/>
      <c r="AF1308" s="2550"/>
    </row>
    <row r="1309" spans="2:32" ht="35" customHeight="1" x14ac:dyDescent="0.25">
      <c r="C1309" s="508"/>
      <c r="D1309" s="543"/>
      <c r="E1309" s="393" t="s">
        <v>58</v>
      </c>
      <c r="F1309" s="3342">
        <v>140356</v>
      </c>
      <c r="G1309" s="3342">
        <v>148888</v>
      </c>
      <c r="H1309" s="360">
        <f t="shared" ref="H1309:H1314" si="3193">SUM(F1309:G1309)</f>
        <v>289244</v>
      </c>
      <c r="I1309" s="3342">
        <v>164243</v>
      </c>
      <c r="J1309" s="361">
        <f t="shared" ref="J1309:J1314" si="3194">+H1309+I1309</f>
        <v>453487</v>
      </c>
      <c r="K1309" s="3342">
        <v>180924</v>
      </c>
      <c r="L1309" s="360">
        <f t="shared" ref="L1309:L1314" si="3195">+J1309+K1309</f>
        <v>634411</v>
      </c>
      <c r="M1309" s="3342">
        <v>223086</v>
      </c>
      <c r="N1309" s="360">
        <f t="shared" ref="N1309:N1314" si="3196">+L1309+M1309</f>
        <v>857497</v>
      </c>
      <c r="O1309" s="3342">
        <v>160689</v>
      </c>
      <c r="P1309" s="361">
        <f t="shared" ref="P1309:P1314" si="3197">+K1309+M1309+O1309</f>
        <v>564699</v>
      </c>
      <c r="Q1309" s="3085">
        <f t="shared" ref="Q1309:Q1314" si="3198">+J1309+P1309</f>
        <v>1018186</v>
      </c>
      <c r="R1309" s="3342">
        <v>186285</v>
      </c>
      <c r="S1309" s="360">
        <f t="shared" ref="S1309:S1314" si="3199">+Q1309+R1309</f>
        <v>1204471</v>
      </c>
      <c r="T1309" s="3342">
        <v>195488</v>
      </c>
      <c r="U1309" s="360">
        <f t="shared" ref="U1309:U1314" si="3200">+S1309+T1309</f>
        <v>1399959</v>
      </c>
      <c r="V1309" s="3342">
        <v>235224</v>
      </c>
      <c r="W1309" s="361">
        <f t="shared" ref="W1309:W1314" si="3201">+R1309+T1309+V1309</f>
        <v>616997</v>
      </c>
      <c r="X1309" s="360">
        <f t="shared" ref="X1309:X1314" si="3202">+U1309+V1309</f>
        <v>1635183</v>
      </c>
      <c r="Y1309" s="3342">
        <v>230405</v>
      </c>
      <c r="Z1309" s="360">
        <f t="shared" ref="Z1309:Z1314" si="3203">+X1309+Y1309</f>
        <v>1865588</v>
      </c>
      <c r="AA1309" s="3342">
        <v>223877</v>
      </c>
      <c r="AB1309" s="360">
        <f t="shared" ref="AB1309:AB1314" si="3204">+Z1309+AA1309</f>
        <v>2089465</v>
      </c>
      <c r="AC1309" s="3342">
        <v>202998</v>
      </c>
      <c r="AD1309" s="1388">
        <f t="shared" ref="AD1309:AD1311" si="3205">+Y1309+AA1309+AC1309</f>
        <v>657280</v>
      </c>
      <c r="AE1309" s="1394">
        <f t="shared" ref="AE1309:AE1311" si="3206">+W1309+AD1309</f>
        <v>1274277</v>
      </c>
      <c r="AF1309" s="1390">
        <f t="shared" ref="AF1309:AF1311" si="3207">+AB1309+AC1309</f>
        <v>2292463</v>
      </c>
    </row>
    <row r="1310" spans="2:32" ht="35" customHeight="1" x14ac:dyDescent="0.25">
      <c r="C1310" s="508"/>
      <c r="D1310" s="543"/>
      <c r="E1310" s="60" t="s">
        <v>299</v>
      </c>
      <c r="F1310" s="3327">
        <v>3410</v>
      </c>
      <c r="G1310" s="3327">
        <v>3244</v>
      </c>
      <c r="H1310" s="360">
        <f t="shared" si="3193"/>
        <v>6654</v>
      </c>
      <c r="I1310" s="3327">
        <v>3138</v>
      </c>
      <c r="J1310" s="361">
        <f t="shared" si="3194"/>
        <v>9792</v>
      </c>
      <c r="K1310" s="3327">
        <v>9515</v>
      </c>
      <c r="L1310" s="360">
        <f t="shared" si="3195"/>
        <v>19307</v>
      </c>
      <c r="M1310" s="3327">
        <v>5785</v>
      </c>
      <c r="N1310" s="360">
        <f t="shared" si="3196"/>
        <v>25092</v>
      </c>
      <c r="O1310" s="3327">
        <v>5329</v>
      </c>
      <c r="P1310" s="361">
        <f t="shared" si="3197"/>
        <v>20629</v>
      </c>
      <c r="Q1310" s="3085">
        <f t="shared" si="3198"/>
        <v>30421</v>
      </c>
      <c r="R1310" s="3327">
        <v>8751</v>
      </c>
      <c r="S1310" s="360">
        <f t="shared" si="3199"/>
        <v>39172</v>
      </c>
      <c r="T1310" s="3327">
        <v>15317</v>
      </c>
      <c r="U1310" s="360">
        <f t="shared" si="3200"/>
        <v>54489</v>
      </c>
      <c r="V1310" s="3327">
        <v>14083</v>
      </c>
      <c r="W1310" s="361">
        <f t="shared" si="3201"/>
        <v>38151</v>
      </c>
      <c r="X1310" s="360">
        <f t="shared" si="3202"/>
        <v>68572</v>
      </c>
      <c r="Y1310" s="3327">
        <v>9506</v>
      </c>
      <c r="Z1310" s="360">
        <f t="shared" si="3203"/>
        <v>78078</v>
      </c>
      <c r="AA1310" s="3327">
        <v>10530</v>
      </c>
      <c r="AB1310" s="360">
        <f t="shared" si="3204"/>
        <v>88608</v>
      </c>
      <c r="AC1310" s="3327">
        <v>14801</v>
      </c>
      <c r="AD1310" s="1388">
        <f t="shared" si="3205"/>
        <v>34837</v>
      </c>
      <c r="AE1310" s="1394">
        <f t="shared" si="3206"/>
        <v>72988</v>
      </c>
      <c r="AF1310" s="1390">
        <f t="shared" si="3207"/>
        <v>103409</v>
      </c>
    </row>
    <row r="1311" spans="2:32" ht="35" customHeight="1" x14ac:dyDescent="0.25">
      <c r="C1311" s="508"/>
      <c r="D1311" s="543"/>
      <c r="E1311" s="60" t="s">
        <v>1857</v>
      </c>
      <c r="F1311" s="3327">
        <v>0</v>
      </c>
      <c r="G1311" s="3327">
        <v>0</v>
      </c>
      <c r="H1311" s="360">
        <f t="shared" si="3193"/>
        <v>0</v>
      </c>
      <c r="I1311" s="3327">
        <v>0</v>
      </c>
      <c r="J1311" s="361">
        <f t="shared" si="3194"/>
        <v>0</v>
      </c>
      <c r="K1311" s="3327">
        <v>120</v>
      </c>
      <c r="L1311" s="360">
        <f t="shared" si="3195"/>
        <v>120</v>
      </c>
      <c r="M1311" s="3327">
        <v>438</v>
      </c>
      <c r="N1311" s="360">
        <f t="shared" si="3196"/>
        <v>558</v>
      </c>
      <c r="O1311" s="3327">
        <v>0</v>
      </c>
      <c r="P1311" s="361">
        <f t="shared" si="3197"/>
        <v>558</v>
      </c>
      <c r="Q1311" s="3086">
        <f t="shared" si="3198"/>
        <v>558</v>
      </c>
      <c r="R1311" s="3327">
        <v>0</v>
      </c>
      <c r="S1311" s="252">
        <f t="shared" si="3199"/>
        <v>558</v>
      </c>
      <c r="T1311" s="3327">
        <v>272</v>
      </c>
      <c r="U1311" s="252">
        <f t="shared" si="3200"/>
        <v>830</v>
      </c>
      <c r="V1311" s="3327">
        <v>998</v>
      </c>
      <c r="W1311" s="251">
        <f t="shared" si="3201"/>
        <v>1270</v>
      </c>
      <c r="X1311" s="252">
        <f t="shared" si="3202"/>
        <v>1828</v>
      </c>
      <c r="Y1311" s="3327">
        <v>400</v>
      </c>
      <c r="Z1311" s="252">
        <f t="shared" si="3203"/>
        <v>2228</v>
      </c>
      <c r="AA1311" s="3327">
        <v>240</v>
      </c>
      <c r="AB1311" s="360">
        <f t="shared" si="3204"/>
        <v>2468</v>
      </c>
      <c r="AC1311" s="3327">
        <v>1411</v>
      </c>
      <c r="AD1311" s="1388">
        <f t="shared" si="3205"/>
        <v>2051</v>
      </c>
      <c r="AE1311" s="1394">
        <f t="shared" si="3206"/>
        <v>3321</v>
      </c>
      <c r="AF1311" s="1390">
        <f t="shared" si="3207"/>
        <v>3879</v>
      </c>
    </row>
    <row r="1312" spans="2:32" ht="35" hidden="1" customHeight="1" thickBot="1" x14ac:dyDescent="0.3">
      <c r="C1312" s="508"/>
      <c r="D1312" s="543"/>
      <c r="E1312" s="1172" t="s">
        <v>300</v>
      </c>
      <c r="F1312" s="3328"/>
      <c r="G1312" s="3328"/>
      <c r="H1312" s="360">
        <f t="shared" si="3193"/>
        <v>0</v>
      </c>
      <c r="I1312" s="3328"/>
      <c r="J1312" s="361">
        <f t="shared" si="3194"/>
        <v>0</v>
      </c>
      <c r="K1312" s="3328"/>
      <c r="L1312" s="360">
        <f t="shared" si="3195"/>
        <v>0</v>
      </c>
      <c r="M1312" s="3328"/>
      <c r="N1312" s="360">
        <f t="shared" si="3196"/>
        <v>0</v>
      </c>
      <c r="O1312" s="3328"/>
      <c r="P1312" s="361">
        <f t="shared" ref="P1312:P1313" si="3208">+K1312+M1312+O1312</f>
        <v>0</v>
      </c>
      <c r="Q1312" s="3086">
        <f t="shared" ref="Q1312:Q1313" si="3209">+J1312+P1312</f>
        <v>0</v>
      </c>
      <c r="R1312" s="3328"/>
      <c r="S1312" s="252">
        <f t="shared" si="3199"/>
        <v>0</v>
      </c>
      <c r="T1312" s="3328"/>
      <c r="U1312" s="252">
        <f t="shared" si="3200"/>
        <v>0</v>
      </c>
      <c r="V1312" s="3328"/>
      <c r="W1312" s="251">
        <f t="shared" ref="W1312:W1313" si="3210">+R1312+T1312+V1312</f>
        <v>0</v>
      </c>
      <c r="X1312" s="252">
        <f t="shared" ref="X1312:X1313" si="3211">+U1312+V1312</f>
        <v>0</v>
      </c>
      <c r="Y1312" s="3328"/>
      <c r="Z1312" s="252">
        <f t="shared" si="3203"/>
        <v>0</v>
      </c>
      <c r="AA1312" s="3328"/>
      <c r="AB1312" s="360">
        <f t="shared" si="3204"/>
        <v>0</v>
      </c>
      <c r="AC1312" s="3328"/>
      <c r="AD1312" s="1388">
        <f t="shared" ref="AD1312:AD1313" si="3212">+Y1312+AA1312+AC1312</f>
        <v>0</v>
      </c>
      <c r="AE1312" s="1394">
        <f t="shared" ref="AE1312:AE1313" si="3213">+W1312+AD1312</f>
        <v>0</v>
      </c>
      <c r="AF1312" s="1390">
        <f t="shared" ref="AF1312:AF1313" si="3214">+AB1312+AC1312</f>
        <v>0</v>
      </c>
    </row>
    <row r="1313" spans="1:32" ht="35" hidden="1" customHeight="1" x14ac:dyDescent="0.25">
      <c r="C1313" s="508"/>
      <c r="D1313" s="543"/>
      <c r="E1313" s="60"/>
      <c r="F1313" s="3328"/>
      <c r="G1313" s="3328"/>
      <c r="H1313" s="360">
        <f t="shared" si="3193"/>
        <v>0</v>
      </c>
      <c r="I1313" s="3328"/>
      <c r="J1313" s="361">
        <f t="shared" si="3194"/>
        <v>0</v>
      </c>
      <c r="K1313" s="3328"/>
      <c r="L1313" s="360">
        <f t="shared" si="3195"/>
        <v>0</v>
      </c>
      <c r="M1313" s="3328">
        <v>0</v>
      </c>
      <c r="N1313" s="360">
        <f t="shared" si="3196"/>
        <v>0</v>
      </c>
      <c r="O1313" s="3328">
        <v>0</v>
      </c>
      <c r="P1313" s="361">
        <f t="shared" si="3208"/>
        <v>0</v>
      </c>
      <c r="Q1313" s="3086">
        <f t="shared" si="3209"/>
        <v>0</v>
      </c>
      <c r="R1313" s="3328">
        <v>0</v>
      </c>
      <c r="S1313" s="252">
        <f t="shared" si="3199"/>
        <v>0</v>
      </c>
      <c r="T1313" s="3328">
        <v>0</v>
      </c>
      <c r="U1313" s="252">
        <f t="shared" si="3200"/>
        <v>0</v>
      </c>
      <c r="V1313" s="3328">
        <v>0</v>
      </c>
      <c r="W1313" s="251">
        <f t="shared" si="3210"/>
        <v>0</v>
      </c>
      <c r="X1313" s="252">
        <f t="shared" si="3211"/>
        <v>0</v>
      </c>
      <c r="Y1313" s="3328">
        <v>0</v>
      </c>
      <c r="Z1313" s="252">
        <f t="shared" si="3203"/>
        <v>0</v>
      </c>
      <c r="AA1313" s="3328">
        <v>0</v>
      </c>
      <c r="AB1313" s="360">
        <f t="shared" si="3204"/>
        <v>0</v>
      </c>
      <c r="AC1313" s="3328">
        <v>0</v>
      </c>
      <c r="AD1313" s="1388">
        <f t="shared" si="3212"/>
        <v>0</v>
      </c>
      <c r="AE1313" s="1394">
        <f t="shared" si="3213"/>
        <v>0</v>
      </c>
      <c r="AF1313" s="1390">
        <f t="shared" si="3214"/>
        <v>0</v>
      </c>
    </row>
    <row r="1314" spans="1:32" ht="35" customHeight="1" x14ac:dyDescent="0.25">
      <c r="C1314" s="508"/>
      <c r="D1314" s="9"/>
      <c r="E1314" s="5163" t="s">
        <v>1858</v>
      </c>
      <c r="F1314" s="3262">
        <v>0</v>
      </c>
      <c r="G1314" s="3262">
        <v>0</v>
      </c>
      <c r="H1314" s="252">
        <f t="shared" si="3193"/>
        <v>0</v>
      </c>
      <c r="I1314" s="3262">
        <v>0</v>
      </c>
      <c r="J1314" s="251">
        <f t="shared" si="3194"/>
        <v>0</v>
      </c>
      <c r="K1314" s="3262">
        <v>0</v>
      </c>
      <c r="L1314" s="252">
        <f t="shared" si="3195"/>
        <v>0</v>
      </c>
      <c r="M1314" s="3327">
        <v>0</v>
      </c>
      <c r="N1314" s="252">
        <f t="shared" si="3196"/>
        <v>0</v>
      </c>
      <c r="O1314" s="3327">
        <v>0</v>
      </c>
      <c r="P1314" s="251">
        <f t="shared" si="3197"/>
        <v>0</v>
      </c>
      <c r="Q1314" s="3086">
        <f t="shared" si="3198"/>
        <v>0</v>
      </c>
      <c r="R1314" s="3262">
        <v>0</v>
      </c>
      <c r="S1314" s="252">
        <f t="shared" si="3199"/>
        <v>0</v>
      </c>
      <c r="T1314" s="3262">
        <v>0</v>
      </c>
      <c r="U1314" s="252">
        <f t="shared" si="3200"/>
        <v>0</v>
      </c>
      <c r="V1314" s="3262">
        <v>0</v>
      </c>
      <c r="W1314" s="251">
        <f t="shared" si="3201"/>
        <v>0</v>
      </c>
      <c r="X1314" s="252">
        <f t="shared" si="3202"/>
        <v>0</v>
      </c>
      <c r="Y1314" s="3262">
        <v>0</v>
      </c>
      <c r="Z1314" s="252">
        <f t="shared" si="3203"/>
        <v>0</v>
      </c>
      <c r="AA1314" s="3262">
        <v>0</v>
      </c>
      <c r="AB1314" s="360">
        <f t="shared" si="3204"/>
        <v>0</v>
      </c>
      <c r="AC1314" s="3262">
        <v>0</v>
      </c>
      <c r="AD1314" s="1388">
        <f t="shared" ref="AD1314" si="3215">+Y1314+AA1314+AC1314</f>
        <v>0</v>
      </c>
      <c r="AE1314" s="1394">
        <f t="shared" ref="AE1314" si="3216">+W1314+AD1314</f>
        <v>0</v>
      </c>
      <c r="AF1314" s="1390">
        <f t="shared" ref="AF1314" si="3217">+AB1314+AC1314</f>
        <v>0</v>
      </c>
    </row>
    <row r="1315" spans="1:32" ht="35" customHeight="1" x14ac:dyDescent="0.25">
      <c r="C1315" s="508"/>
      <c r="D1315" s="543"/>
      <c r="E1315" s="1910" t="s">
        <v>530</v>
      </c>
      <c r="F1315" s="3394"/>
      <c r="G1315" s="3394"/>
      <c r="H1315" s="3394"/>
      <c r="I1315" s="3394"/>
      <c r="J1315" s="3674"/>
      <c r="K1315" s="3394"/>
      <c r="L1315" s="3674"/>
      <c r="M1315" s="3394"/>
      <c r="N1315" s="2204"/>
      <c r="O1315" s="3394"/>
      <c r="P1315" s="2204"/>
      <c r="Q1315" s="2204"/>
      <c r="R1315" s="3394"/>
      <c r="S1315" s="2204"/>
      <c r="T1315" s="3394"/>
      <c r="U1315" s="2204"/>
      <c r="V1315" s="3394"/>
      <c r="W1315" s="66"/>
      <c r="X1315" s="2459"/>
      <c r="Y1315" s="3394"/>
      <c r="Z1315" s="2204"/>
      <c r="AA1315" s="3394"/>
      <c r="AB1315" s="2459"/>
      <c r="AC1315" s="3394"/>
      <c r="AD1315" s="877"/>
      <c r="AE1315" s="719"/>
      <c r="AF1315" s="877"/>
    </row>
    <row r="1316" spans="1:32" ht="35" customHeight="1" x14ac:dyDescent="0.25">
      <c r="A1316" s="2">
        <v>59395</v>
      </c>
      <c r="C1316" s="508"/>
      <c r="D1316" s="543"/>
      <c r="E1316" s="387" t="s">
        <v>93</v>
      </c>
      <c r="F1316" s="3327">
        <v>0</v>
      </c>
      <c r="G1316" s="3327">
        <v>0</v>
      </c>
      <c r="H1316" s="360">
        <f t="shared" ref="H1316:H1318" si="3218">SUM(F1316:G1316)</f>
        <v>0</v>
      </c>
      <c r="I1316" s="3327">
        <v>0</v>
      </c>
      <c r="J1316" s="361">
        <f t="shared" ref="J1316:J1318" si="3219">+H1316+I1316</f>
        <v>0</v>
      </c>
      <c r="K1316" s="3327">
        <v>0</v>
      </c>
      <c r="L1316" s="360">
        <f t="shared" ref="L1316:L1318" si="3220">+J1316+K1316</f>
        <v>0</v>
      </c>
      <c r="M1316" s="3327">
        <v>0</v>
      </c>
      <c r="N1316" s="360">
        <f t="shared" ref="N1316:N1318" si="3221">+L1316+M1316</f>
        <v>0</v>
      </c>
      <c r="O1316" s="3327">
        <v>0</v>
      </c>
      <c r="P1316" s="304">
        <f t="shared" ref="P1316:P1319" si="3222">+K1316+M1316+O1316</f>
        <v>0</v>
      </c>
      <c r="Q1316" s="2128">
        <f t="shared" ref="Q1316:Q1319" si="3223">+J1316+P1316</f>
        <v>0</v>
      </c>
      <c r="R1316" s="3327">
        <v>0</v>
      </c>
      <c r="S1316" s="360">
        <f t="shared" ref="S1316:S1319" si="3224">+Q1316+R1316</f>
        <v>0</v>
      </c>
      <c r="T1316" s="3327">
        <v>0</v>
      </c>
      <c r="U1316" s="360">
        <f t="shared" ref="U1316:U1319" si="3225">+S1316+T1316</f>
        <v>0</v>
      </c>
      <c r="V1316" s="3327">
        <v>0</v>
      </c>
      <c r="W1316" s="361">
        <f t="shared" ref="W1316:W1319" si="3226">+R1316+T1316+V1316</f>
        <v>0</v>
      </c>
      <c r="X1316" s="360">
        <f t="shared" ref="X1316:X1324" si="3227">+U1316+V1316</f>
        <v>0</v>
      </c>
      <c r="Y1316" s="3327">
        <v>0</v>
      </c>
      <c r="Z1316" s="360">
        <f t="shared" ref="Z1316:Z1324" si="3228">+X1316+Y1316</f>
        <v>0</v>
      </c>
      <c r="AA1316" s="3327">
        <v>0</v>
      </c>
      <c r="AB1316" s="360">
        <f t="shared" ref="AB1316:AB1319" si="3229">+Z1316+AA1316</f>
        <v>0</v>
      </c>
      <c r="AC1316" s="3327">
        <v>0</v>
      </c>
      <c r="AD1316" s="1388">
        <f t="shared" ref="AD1316:AD1319" si="3230">+Y1316+AA1316+AC1316</f>
        <v>0</v>
      </c>
      <c r="AE1316" s="1394">
        <f t="shared" ref="AE1316:AE1319" si="3231">+W1316+AD1316</f>
        <v>0</v>
      </c>
      <c r="AF1316" s="2647">
        <f t="shared" ref="AF1316:AF1319" si="3232">+AB1316+AC1316</f>
        <v>0</v>
      </c>
    </row>
    <row r="1317" spans="1:32" ht="35" customHeight="1" x14ac:dyDescent="0.25">
      <c r="C1317" s="508"/>
      <c r="D1317" s="543"/>
      <c r="E1317" s="387" t="s">
        <v>94</v>
      </c>
      <c r="F1317" s="3412">
        <f t="shared" ref="F1317:F1319" si="3233">+F42</f>
        <v>3047</v>
      </c>
      <c r="G1317" s="3412">
        <f t="shared" ref="G1317:I1317" si="3234">+G42</f>
        <v>2899</v>
      </c>
      <c r="H1317" s="360">
        <f t="shared" si="3218"/>
        <v>5946</v>
      </c>
      <c r="I1317" s="3412">
        <f t="shared" si="3234"/>
        <v>2804</v>
      </c>
      <c r="J1317" s="361">
        <f t="shared" si="3219"/>
        <v>8750</v>
      </c>
      <c r="K1317" s="3412">
        <f t="shared" ref="K1317" si="3235">+K42</f>
        <v>8503</v>
      </c>
      <c r="L1317" s="363">
        <f t="shared" si="3220"/>
        <v>17253</v>
      </c>
      <c r="M1317" s="3412">
        <f>+M42</f>
        <v>5056</v>
      </c>
      <c r="N1317" s="363">
        <f t="shared" si="3221"/>
        <v>22309</v>
      </c>
      <c r="O1317" s="3412">
        <f>+O42</f>
        <v>4657</v>
      </c>
      <c r="P1317" s="304">
        <f t="shared" si="3222"/>
        <v>18216</v>
      </c>
      <c r="Q1317" s="2128">
        <f t="shared" si="3223"/>
        <v>26966</v>
      </c>
      <c r="R1317" s="3412">
        <f>+R42</f>
        <v>6703</v>
      </c>
      <c r="S1317" s="363">
        <f t="shared" si="3224"/>
        <v>33669</v>
      </c>
      <c r="T1317" s="3412">
        <f>+T42</f>
        <v>13729</v>
      </c>
      <c r="U1317" s="363">
        <f t="shared" si="3225"/>
        <v>47398</v>
      </c>
      <c r="V1317" s="3412">
        <f>+V42</f>
        <v>12623</v>
      </c>
      <c r="W1317" s="361">
        <f t="shared" si="3226"/>
        <v>33055</v>
      </c>
      <c r="X1317" s="360">
        <f t="shared" si="3227"/>
        <v>60021</v>
      </c>
      <c r="Y1317" s="3412">
        <f>+Y42</f>
        <v>8529</v>
      </c>
      <c r="Z1317" s="363">
        <f t="shared" si="3228"/>
        <v>68550</v>
      </c>
      <c r="AA1317" s="3412">
        <f>+AA42</f>
        <v>9429</v>
      </c>
      <c r="AB1317" s="360">
        <f t="shared" si="3229"/>
        <v>77979</v>
      </c>
      <c r="AC1317" s="3412">
        <f>+AC42</f>
        <v>13226</v>
      </c>
      <c r="AD1317" s="1388">
        <f t="shared" si="3230"/>
        <v>31184</v>
      </c>
      <c r="AE1317" s="1394">
        <f t="shared" si="3231"/>
        <v>64239</v>
      </c>
      <c r="AF1317" s="2647">
        <f t="shared" si="3232"/>
        <v>91205</v>
      </c>
    </row>
    <row r="1318" spans="1:32" ht="35" customHeight="1" x14ac:dyDescent="0.25">
      <c r="C1318" s="508"/>
      <c r="D1318" s="543"/>
      <c r="E1318" s="387" t="s">
        <v>437</v>
      </c>
      <c r="F1318" s="3412">
        <f t="shared" si="3233"/>
        <v>201</v>
      </c>
      <c r="G1318" s="3412">
        <f t="shared" ref="G1318:I1318" si="3236">+G43</f>
        <v>191</v>
      </c>
      <c r="H1318" s="360">
        <f t="shared" si="3218"/>
        <v>392</v>
      </c>
      <c r="I1318" s="3412">
        <f t="shared" si="3236"/>
        <v>185</v>
      </c>
      <c r="J1318" s="361">
        <f t="shared" si="3219"/>
        <v>577</v>
      </c>
      <c r="K1318" s="3412">
        <f t="shared" ref="K1318" si="3237">+K43</f>
        <v>561</v>
      </c>
      <c r="L1318" s="363">
        <f t="shared" si="3220"/>
        <v>1138</v>
      </c>
      <c r="M1318" s="3412">
        <f>+M43</f>
        <v>341</v>
      </c>
      <c r="N1318" s="363">
        <f t="shared" si="3221"/>
        <v>1479</v>
      </c>
      <c r="O1318" s="3412">
        <f>+O43</f>
        <v>313</v>
      </c>
      <c r="P1318" s="304">
        <f t="shared" si="3222"/>
        <v>1215</v>
      </c>
      <c r="Q1318" s="2128">
        <f t="shared" si="3223"/>
        <v>1792</v>
      </c>
      <c r="R1318" s="3412">
        <f>+R43</f>
        <v>518</v>
      </c>
      <c r="S1318" s="363">
        <f t="shared" si="3224"/>
        <v>2310</v>
      </c>
      <c r="T1318" s="3412">
        <f>+T43</f>
        <v>905</v>
      </c>
      <c r="U1318" s="363">
        <f t="shared" si="3225"/>
        <v>3215</v>
      </c>
      <c r="V1318" s="3412">
        <f>+V43</f>
        <v>832</v>
      </c>
      <c r="W1318" s="361">
        <f t="shared" si="3226"/>
        <v>2255</v>
      </c>
      <c r="X1318" s="360">
        <f t="shared" si="3227"/>
        <v>4047</v>
      </c>
      <c r="Y1318" s="3412">
        <f>+Y43</f>
        <v>562</v>
      </c>
      <c r="Z1318" s="363">
        <f t="shared" si="3228"/>
        <v>4609</v>
      </c>
      <c r="AA1318" s="3412">
        <f>+AA43</f>
        <v>622</v>
      </c>
      <c r="AB1318" s="360">
        <f t="shared" si="3229"/>
        <v>5231</v>
      </c>
      <c r="AC1318" s="3412">
        <f>+AC43</f>
        <v>872</v>
      </c>
      <c r="AD1318" s="1388">
        <f t="shared" si="3230"/>
        <v>2056</v>
      </c>
      <c r="AE1318" s="1394">
        <f t="shared" si="3231"/>
        <v>4311</v>
      </c>
      <c r="AF1318" s="2647">
        <f t="shared" si="3232"/>
        <v>6103</v>
      </c>
    </row>
    <row r="1319" spans="1:32" ht="34" thickBot="1" x14ac:dyDescent="0.3">
      <c r="C1319" s="508"/>
      <c r="D1319" s="543"/>
      <c r="E1319" s="1245" t="s">
        <v>507</v>
      </c>
      <c r="F1319" s="146">
        <f t="shared" si="3233"/>
        <v>2418</v>
      </c>
      <c r="G1319" s="146">
        <f t="shared" ref="G1319:I1319" si="3238">+G44</f>
        <v>4190</v>
      </c>
      <c r="H1319" s="1482">
        <f>SUM(F1319:G1319)</f>
        <v>6608</v>
      </c>
      <c r="I1319" s="146">
        <f t="shared" si="3238"/>
        <v>4452</v>
      </c>
      <c r="J1319" s="427">
        <f>SUM(H1319:I1319)</f>
        <v>11060</v>
      </c>
      <c r="K1319" s="146">
        <f t="shared" ref="K1319" si="3239">+K44</f>
        <v>2813</v>
      </c>
      <c r="L1319" s="432">
        <f>SUM(J1319:K1319)</f>
        <v>13873</v>
      </c>
      <c r="M1319" s="146">
        <f>+M44</f>
        <v>6142</v>
      </c>
      <c r="N1319" s="432">
        <f>SUM(L1319:M1319)</f>
        <v>20015</v>
      </c>
      <c r="O1319" s="146">
        <f>+O44</f>
        <v>6105</v>
      </c>
      <c r="P1319" s="427">
        <f t="shared" si="3222"/>
        <v>15060</v>
      </c>
      <c r="Q1319" s="3025">
        <f t="shared" si="3223"/>
        <v>26120</v>
      </c>
      <c r="R1319" s="146">
        <f>+R44</f>
        <v>5596</v>
      </c>
      <c r="S1319" s="406">
        <f t="shared" si="3224"/>
        <v>31716</v>
      </c>
      <c r="T1319" s="146">
        <f>+T44</f>
        <v>5686.5</v>
      </c>
      <c r="U1319" s="406">
        <f t="shared" si="3225"/>
        <v>37402.5</v>
      </c>
      <c r="V1319" s="146">
        <f>+V44</f>
        <v>2905.92</v>
      </c>
      <c r="W1319" s="427">
        <f t="shared" si="3226"/>
        <v>14188.42</v>
      </c>
      <c r="X1319" s="432">
        <f t="shared" si="3227"/>
        <v>40308.42</v>
      </c>
      <c r="Y1319" s="146">
        <f>+Y44</f>
        <v>7767.28</v>
      </c>
      <c r="Z1319" s="406">
        <f t="shared" si="3228"/>
        <v>48075.7</v>
      </c>
      <c r="AA1319" s="146">
        <f>+AA44</f>
        <v>3268</v>
      </c>
      <c r="AB1319" s="432">
        <f t="shared" si="3229"/>
        <v>51343.7</v>
      </c>
      <c r="AC1319" s="146">
        <f>+AC44</f>
        <v>6946</v>
      </c>
      <c r="AD1319" s="874">
        <f t="shared" si="3230"/>
        <v>17981.28</v>
      </c>
      <c r="AE1319" s="1295">
        <f t="shared" si="3231"/>
        <v>32169.699999999997</v>
      </c>
      <c r="AF1319" s="2648">
        <f t="shared" si="3232"/>
        <v>58289.7</v>
      </c>
    </row>
    <row r="1320" spans="1:32" ht="35" customHeight="1" thickBot="1" x14ac:dyDescent="0.3">
      <c r="C1320" s="508"/>
      <c r="D1320" s="543"/>
      <c r="E1320" s="1247" t="s">
        <v>529</v>
      </c>
      <c r="F1320" s="161">
        <f>SUM(F1316:F1319)</f>
        <v>5666</v>
      </c>
      <c r="G1320" s="161">
        <f>SUM(G1316:G1319)</f>
        <v>7280</v>
      </c>
      <c r="H1320" s="250">
        <f>SUM(F1320:G1320)</f>
        <v>12946</v>
      </c>
      <c r="I1320" s="161">
        <f>SUM(I1316:I1319)</f>
        <v>7441</v>
      </c>
      <c r="J1320" s="249">
        <f>+H1320+I1320</f>
        <v>20387</v>
      </c>
      <c r="K1320" s="161">
        <f>SUM(K1316:K1319)</f>
        <v>11877</v>
      </c>
      <c r="L1320" s="250">
        <f>+J1320+K1320</f>
        <v>32264</v>
      </c>
      <c r="M1320" s="161">
        <f>SUM(M1316:M1319)</f>
        <v>11539</v>
      </c>
      <c r="N1320" s="250">
        <f>+L1320+M1320</f>
        <v>43803</v>
      </c>
      <c r="O1320" s="161">
        <f>SUM(O1316:O1319)</f>
        <v>11075</v>
      </c>
      <c r="P1320" s="249">
        <f>+K1320+M1320+O1320</f>
        <v>34491</v>
      </c>
      <c r="Q1320" s="3087">
        <f>+J1320+P1320</f>
        <v>54878</v>
      </c>
      <c r="R1320" s="161">
        <f>SUM(R1316:R1319)</f>
        <v>12817</v>
      </c>
      <c r="S1320" s="250">
        <f>+Q1320+R1320</f>
        <v>67695</v>
      </c>
      <c r="T1320" s="161">
        <f>SUM(T1316:T1319)</f>
        <v>20320.5</v>
      </c>
      <c r="U1320" s="250">
        <f>+S1320+T1320</f>
        <v>88015.5</v>
      </c>
      <c r="V1320" s="161">
        <f>SUM(V1316:V1319)</f>
        <v>16360.92</v>
      </c>
      <c r="W1320" s="249">
        <f>+R1320+T1320+V1320</f>
        <v>49498.42</v>
      </c>
      <c r="X1320" s="250">
        <f t="shared" ref="X1320:AF1320" si="3240">SUM(X1316:X1319)</f>
        <v>104376.42</v>
      </c>
      <c r="Y1320" s="161">
        <f>SUM(Y1316:Y1319)</f>
        <v>16858.28</v>
      </c>
      <c r="Z1320" s="250">
        <f>+X1320+Y1320</f>
        <v>121234.7</v>
      </c>
      <c r="AA1320" s="161">
        <f>SUM(AA1316:AA1319)</f>
        <v>13319</v>
      </c>
      <c r="AB1320" s="250">
        <f t="shared" si="3240"/>
        <v>134553.70000000001</v>
      </c>
      <c r="AC1320" s="161">
        <f>SUM(AC1316:AC1319)</f>
        <v>21044</v>
      </c>
      <c r="AD1320" s="704">
        <f t="shared" si="3240"/>
        <v>51221.279999999999</v>
      </c>
      <c r="AE1320" s="1294">
        <f t="shared" si="3240"/>
        <v>100719.7</v>
      </c>
      <c r="AF1320" s="2621">
        <f t="shared" si="3240"/>
        <v>155597.70000000001</v>
      </c>
    </row>
    <row r="1321" spans="1:32" ht="35" customHeight="1" x14ac:dyDescent="0.25">
      <c r="C1321" s="508"/>
      <c r="D1321" s="543"/>
      <c r="E1321" s="1246" t="s">
        <v>423</v>
      </c>
      <c r="F1321" s="3321">
        <v>53267</v>
      </c>
      <c r="G1321" s="3321">
        <v>56520</v>
      </c>
      <c r="H1321" s="457">
        <f>SUM(F1321:G1321)</f>
        <v>109787</v>
      </c>
      <c r="I1321" s="3321">
        <v>62698</v>
      </c>
      <c r="J1321" s="361">
        <f>+H1321+I1321</f>
        <v>172485</v>
      </c>
      <c r="K1321" s="3321">
        <v>73739</v>
      </c>
      <c r="L1321" s="360">
        <f>+J1321+K1321</f>
        <v>246224</v>
      </c>
      <c r="M1321" s="3321">
        <v>80510</v>
      </c>
      <c r="N1321" s="363">
        <f>+L1321+M1321</f>
        <v>326734</v>
      </c>
      <c r="O1321" s="3321">
        <v>61321</v>
      </c>
      <c r="P1321" s="304">
        <f>+K1321+M1321+O1321</f>
        <v>215570</v>
      </c>
      <c r="Q1321" s="2128">
        <f>+J1321+P1321</f>
        <v>388055</v>
      </c>
      <c r="R1321" s="3321">
        <v>69274</v>
      </c>
      <c r="S1321" s="363">
        <f>+Q1321+R1321</f>
        <v>457329</v>
      </c>
      <c r="T1321" s="3321">
        <v>73392</v>
      </c>
      <c r="U1321" s="363">
        <f>+S1321+T1321</f>
        <v>530721</v>
      </c>
      <c r="V1321" s="3321">
        <v>83919</v>
      </c>
      <c r="W1321" s="361">
        <f>+R1321+T1321+V1321</f>
        <v>226585</v>
      </c>
      <c r="X1321" s="363">
        <f t="shared" si="3227"/>
        <v>614640</v>
      </c>
      <c r="Y1321" s="3321">
        <v>77620</v>
      </c>
      <c r="Z1321" s="363">
        <f t="shared" si="3228"/>
        <v>692260</v>
      </c>
      <c r="AA1321" s="3321">
        <v>82236</v>
      </c>
      <c r="AB1321" s="363">
        <f t="shared" ref="AB1321:AB1324" si="3241">+Z1321+AA1321</f>
        <v>774496</v>
      </c>
      <c r="AC1321" s="3321">
        <v>76133</v>
      </c>
      <c r="AD1321" s="1422">
        <f t="shared" ref="AD1321:AD1324" si="3242">+Y1321+AA1321+AC1321</f>
        <v>235989</v>
      </c>
      <c r="AE1321" s="1458">
        <f t="shared" ref="AE1321:AE1324" si="3243">+W1321+AD1321</f>
        <v>462574</v>
      </c>
      <c r="AF1321" s="2649">
        <f t="shared" ref="AF1321:AF1324" si="3244">+AB1321+AC1321</f>
        <v>850629</v>
      </c>
    </row>
    <row r="1322" spans="1:32" ht="35" customHeight="1" x14ac:dyDescent="0.25">
      <c r="C1322" s="508"/>
      <c r="D1322" s="543"/>
      <c r="E1322" s="56" t="s">
        <v>1251</v>
      </c>
      <c r="F1322" s="3321">
        <v>55719</v>
      </c>
      <c r="G1322" s="3321">
        <v>54330</v>
      </c>
      <c r="H1322" s="360">
        <f>SUM(F1322:G1322)</f>
        <v>110049</v>
      </c>
      <c r="I1322" s="3321">
        <v>65096</v>
      </c>
      <c r="J1322" s="361">
        <f>+H1322+I1322</f>
        <v>175145</v>
      </c>
      <c r="K1322" s="3321">
        <v>63617</v>
      </c>
      <c r="L1322" s="360">
        <f>+J1322+K1322</f>
        <v>238762</v>
      </c>
      <c r="M1322" s="3262">
        <v>74162</v>
      </c>
      <c r="N1322" s="363">
        <f>SUM(L1322:M1322)</f>
        <v>312924</v>
      </c>
      <c r="O1322" s="3262">
        <v>52687</v>
      </c>
      <c r="P1322" s="304">
        <f t="shared" ref="P1322:P1323" si="3245">+K1322+M1322+O1322</f>
        <v>190466</v>
      </c>
      <c r="Q1322" s="2128">
        <f t="shared" ref="Q1322:Q1323" si="3246">+J1322+P1322</f>
        <v>365611</v>
      </c>
      <c r="R1322" s="3262">
        <v>57374</v>
      </c>
      <c r="S1322" s="360">
        <f>+Q1322+R1322</f>
        <v>422985</v>
      </c>
      <c r="T1322" s="3262">
        <v>69190</v>
      </c>
      <c r="U1322" s="363">
        <f>+S1322+T1322</f>
        <v>492175</v>
      </c>
      <c r="V1322" s="3262">
        <v>77243</v>
      </c>
      <c r="W1322" s="361">
        <f>+R1322+T1322+V1322</f>
        <v>203807</v>
      </c>
      <c r="X1322" s="360">
        <f t="shared" si="3227"/>
        <v>569418</v>
      </c>
      <c r="Y1322" s="3262">
        <v>74753</v>
      </c>
      <c r="Z1322" s="363">
        <f t="shared" si="3228"/>
        <v>644171</v>
      </c>
      <c r="AA1322" s="3262">
        <v>81888</v>
      </c>
      <c r="AB1322" s="363">
        <f t="shared" si="3241"/>
        <v>726059</v>
      </c>
      <c r="AC1322" s="3262">
        <v>78816</v>
      </c>
      <c r="AD1322" s="713">
        <f t="shared" ref="AD1322:AD1323" si="3247">+Y1322+AA1322+AC1322</f>
        <v>235457</v>
      </c>
      <c r="AE1322" s="1290">
        <f t="shared" ref="AE1322:AE1323" si="3248">+W1322+AD1322</f>
        <v>439264</v>
      </c>
      <c r="AF1322" s="2580">
        <f t="shared" ref="AF1322:AF1323" si="3249">+AB1322+AC1322</f>
        <v>804875</v>
      </c>
    </row>
    <row r="1323" spans="1:32" ht="35" customHeight="1" x14ac:dyDescent="0.25">
      <c r="C1323" s="508"/>
      <c r="D1323" s="543"/>
      <c r="E1323" s="56" t="s">
        <v>1252</v>
      </c>
      <c r="F1323" s="3262">
        <v>0</v>
      </c>
      <c r="G1323" s="3262">
        <v>0</v>
      </c>
      <c r="H1323" s="360">
        <f>SUM(F1323:G1323)</f>
        <v>0</v>
      </c>
      <c r="I1323" s="3262">
        <v>0</v>
      </c>
      <c r="J1323" s="361">
        <f>SUM(H1323:I1323)</f>
        <v>0</v>
      </c>
      <c r="K1323" s="3262">
        <v>0</v>
      </c>
      <c r="L1323" s="360">
        <f>+J1323+K1323</f>
        <v>0</v>
      </c>
      <c r="M1323" s="3262">
        <v>13000</v>
      </c>
      <c r="N1323" s="360">
        <f>SUM(L1323:M1323)</f>
        <v>13000</v>
      </c>
      <c r="O1323" s="3262">
        <v>0</v>
      </c>
      <c r="P1323" s="361">
        <f t="shared" si="3245"/>
        <v>13000</v>
      </c>
      <c r="Q1323" s="3085">
        <f t="shared" si="3246"/>
        <v>13000</v>
      </c>
      <c r="R1323" s="3262">
        <v>14000</v>
      </c>
      <c r="S1323" s="360">
        <f>+Q1323+R1323</f>
        <v>27000</v>
      </c>
      <c r="T1323" s="3262">
        <v>20000</v>
      </c>
      <c r="U1323" s="360">
        <f>+S1323+T1323</f>
        <v>47000</v>
      </c>
      <c r="V1323" s="3262">
        <v>0</v>
      </c>
      <c r="W1323" s="361">
        <f>+R1323+T1323+V1323</f>
        <v>34000</v>
      </c>
      <c r="X1323" s="360">
        <f t="shared" si="3227"/>
        <v>47000</v>
      </c>
      <c r="Y1323" s="3262">
        <v>0</v>
      </c>
      <c r="Z1323" s="360">
        <f t="shared" si="3228"/>
        <v>47000</v>
      </c>
      <c r="AA1323" s="3262">
        <v>0</v>
      </c>
      <c r="AB1323" s="363">
        <f t="shared" si="3241"/>
        <v>47000</v>
      </c>
      <c r="AC1323" s="3262">
        <v>10000</v>
      </c>
      <c r="AD1323" s="713">
        <f t="shared" si="3247"/>
        <v>10000</v>
      </c>
      <c r="AE1323" s="1290">
        <f t="shared" si="3248"/>
        <v>44000</v>
      </c>
      <c r="AF1323" s="2580">
        <f t="shared" si="3249"/>
        <v>57000</v>
      </c>
    </row>
    <row r="1324" spans="1:32" ht="35" customHeight="1" x14ac:dyDescent="0.25">
      <c r="C1324" s="508"/>
      <c r="D1324" s="543"/>
      <c r="E1324" s="56" t="s">
        <v>1254</v>
      </c>
      <c r="F1324" s="3412">
        <f>+F47</f>
        <v>55719</v>
      </c>
      <c r="G1324" s="3412">
        <f>+G47</f>
        <v>52052</v>
      </c>
      <c r="H1324" s="360">
        <f t="shared" ref="H1324:H1373" si="3250">SUM(F1324:G1324)</f>
        <v>107771</v>
      </c>
      <c r="I1324" s="3412">
        <f>+I47</f>
        <v>61691</v>
      </c>
      <c r="J1324" s="304">
        <f t="shared" ref="J1324:J1373" si="3251">+H1324+I1324</f>
        <v>169462</v>
      </c>
      <c r="K1324" s="3412">
        <f>+K47</f>
        <v>63617</v>
      </c>
      <c r="L1324" s="363">
        <f t="shared" ref="L1324:L1373" si="3252">+J1324+K1324</f>
        <v>233079</v>
      </c>
      <c r="M1324" s="3412">
        <f>+M47</f>
        <v>72679</v>
      </c>
      <c r="N1324" s="363">
        <f t="shared" ref="N1324" si="3253">+L1324+M1324</f>
        <v>305758</v>
      </c>
      <c r="O1324" s="3412">
        <f>+O47</f>
        <v>52687</v>
      </c>
      <c r="P1324" s="304">
        <f t="shared" ref="P1324:P1373" si="3254">+K1324+M1324+O1324</f>
        <v>188983</v>
      </c>
      <c r="Q1324" s="2128">
        <f t="shared" ref="Q1324:Q1373" si="3255">+J1324+P1324</f>
        <v>358445</v>
      </c>
      <c r="R1324" s="3412">
        <f>+R47</f>
        <v>57374</v>
      </c>
      <c r="S1324" s="363">
        <f t="shared" ref="S1324:S1373" si="3256">+Q1324+R1324</f>
        <v>415819</v>
      </c>
      <c r="T1324" s="3412">
        <f>+T47</f>
        <v>69190</v>
      </c>
      <c r="U1324" s="363">
        <f t="shared" ref="U1324:U1373" si="3257">+S1324+T1324</f>
        <v>485009</v>
      </c>
      <c r="V1324" s="3412">
        <f>+V47</f>
        <v>77243</v>
      </c>
      <c r="W1324" s="361">
        <f t="shared" ref="W1324:W1373" si="3258">+R1324+T1324+V1324</f>
        <v>203807</v>
      </c>
      <c r="X1324" s="363">
        <f t="shared" si="3227"/>
        <v>562252</v>
      </c>
      <c r="Y1324" s="3412">
        <f>+Y47</f>
        <v>74753</v>
      </c>
      <c r="Z1324" s="363">
        <f t="shared" si="3228"/>
        <v>637005</v>
      </c>
      <c r="AA1324" s="3412">
        <f>+AA47</f>
        <v>81888</v>
      </c>
      <c r="AB1324" s="363">
        <f t="shared" si="3241"/>
        <v>718893</v>
      </c>
      <c r="AC1324" s="3412">
        <f>+AC47</f>
        <v>88816</v>
      </c>
      <c r="AD1324" s="713">
        <f t="shared" si="3242"/>
        <v>245457</v>
      </c>
      <c r="AE1324" s="1290">
        <f t="shared" si="3243"/>
        <v>449264</v>
      </c>
      <c r="AF1324" s="2580">
        <f t="shared" si="3244"/>
        <v>807709</v>
      </c>
    </row>
    <row r="1325" spans="1:32" ht="35" customHeight="1" x14ac:dyDescent="0.25">
      <c r="C1325" s="508"/>
      <c r="D1325" s="543"/>
      <c r="E1325" s="512" t="s">
        <v>302</v>
      </c>
      <c r="F1325" s="80">
        <f>F1344/F1307*1000</f>
        <v>428.04279175883033</v>
      </c>
      <c r="G1325" s="80">
        <f>G1344/G1307*1000</f>
        <v>430.79693949990798</v>
      </c>
      <c r="H1325" s="296">
        <f t="shared" ref="H1325:J1325" si="3259">H1344/H1307*1000</f>
        <v>429.45879999188907</v>
      </c>
      <c r="I1325" s="80">
        <f>I1344/I1307*1000</f>
        <v>420.24483065580921</v>
      </c>
      <c r="J1325" s="313">
        <f t="shared" si="3259"/>
        <v>426.12982673507753</v>
      </c>
      <c r="K1325" s="80">
        <f>K1344/K1307*1000</f>
        <v>426.53981181681269</v>
      </c>
      <c r="L1325" s="296">
        <f t="shared" ref="L1325" si="3260">L1344/L1307*1000</f>
        <v>426.24931557970018</v>
      </c>
      <c r="M1325" s="80">
        <f>M1344/M1307*1000</f>
        <v>402.87123488393388</v>
      </c>
      <c r="N1325" s="363">
        <f>+((L1325*$L$1307)+(M1325*$M$1307))/$N$1307</f>
        <v>420.17920006522132</v>
      </c>
      <c r="O1325" s="80">
        <f>O1344/O1307*1000</f>
        <v>405.73913672011469</v>
      </c>
      <c r="P1325" s="304">
        <f>+((K1325*$K$1307)+(M1325*$M$1307)+(O1325*$O$1307))/$P$1307</f>
        <v>411.38207774208632</v>
      </c>
      <c r="Q1325" s="2128">
        <f>+((N1325*$N$1307)+(O1325*$O$1307))/$Q$1307</f>
        <v>417.89423017351896</v>
      </c>
      <c r="R1325" s="80">
        <f>R1344/R1307*1000</f>
        <v>391.32262761746551</v>
      </c>
      <c r="S1325" s="363">
        <f>+((Q1325*$Q$1307)+(R1325*$R$1307))/$S$1307</f>
        <v>413.72897144432449</v>
      </c>
      <c r="T1325" s="80">
        <f>T1344/T1307*1000</f>
        <v>377.47836097727372</v>
      </c>
      <c r="U1325" s="363">
        <f>+((S1325*$S$1307)+(T1325*$T$1307))/$U$1307</f>
        <v>408.47109624415401</v>
      </c>
      <c r="V1325" s="80">
        <f>V1344/V1307*1000</f>
        <v>358.96606140508578</v>
      </c>
      <c r="W1325" s="304">
        <f>+((R1325*$R$1307)+(T1325*$T$1307)+(V1325*$V$1307))/$W$1307</f>
        <v>374.53269105966018</v>
      </c>
      <c r="X1325" s="296">
        <f>+((U1325*$U$1307)+(V1325*$V$1307))/$X$1307</f>
        <v>401.20592196334042</v>
      </c>
      <c r="Y1325" s="80">
        <f>Y1344/Y1307*1000</f>
        <v>359.39678167041876</v>
      </c>
      <c r="Z1325" s="363">
        <f>+((X1325*$X$1307)+(Y1325*$Y$1307))/$Z$1307</f>
        <v>396.04264158273782</v>
      </c>
      <c r="AA1325" s="80">
        <f>AA1344/AA1307*1000</f>
        <v>361.26181029376045</v>
      </c>
      <c r="AB1325" s="363">
        <f>+((Z1325*$Z$1307)+(AA1325*$AA$1307))/$AB$1307</f>
        <v>392.29989254960122</v>
      </c>
      <c r="AC1325" s="80">
        <f>AC1344/AC1307*1000</f>
        <v>364.39031066100995</v>
      </c>
      <c r="AD1325" s="713">
        <f>+((Y1325*$Y$1307)+(AA1325*$AA$1307)+(AC1325*$AC$1307))/$AD$1307</f>
        <v>361.60410736305909</v>
      </c>
      <c r="AE1325" s="1292">
        <f>+((W1325*$W$1307)+(AD1325*$AD$1307))/$AE$1307</f>
        <v>367.8877168873363</v>
      </c>
      <c r="AF1325" s="2580">
        <f>+((AB1325*$AB$1307)+(AC1325*$AC$1307))/$AF$1307</f>
        <v>389.75043660779806</v>
      </c>
    </row>
    <row r="1326" spans="1:32" ht="35" customHeight="1" x14ac:dyDescent="0.25">
      <c r="C1326" s="508"/>
      <c r="D1326" s="543"/>
      <c r="E1326" s="512" t="s">
        <v>319</v>
      </c>
      <c r="F1326" s="80">
        <f t="shared" ref="F1326:G1326" si="3261">F1345/F1307*1000</f>
        <v>50.310921914778177</v>
      </c>
      <c r="G1326" s="80">
        <f t="shared" si="3261"/>
        <v>53.907133278994557</v>
      </c>
      <c r="H1326" s="296">
        <f t="shared" ref="H1326:K1326" si="3262">H1345/H1307*1000</f>
        <v>52.159865899735721</v>
      </c>
      <c r="I1326" s="80">
        <f t="shared" si="3262"/>
        <v>49.438108267963507</v>
      </c>
      <c r="J1326" s="313">
        <f t="shared" si="3262"/>
        <v>51.17650487071505</v>
      </c>
      <c r="K1326" s="80">
        <f t="shared" si="3262"/>
        <v>53.411279446260735</v>
      </c>
      <c r="L1326" s="296">
        <f t="shared" ref="L1326:M1326" si="3263">L1345/L1307*1000</f>
        <v>51.82782279402543</v>
      </c>
      <c r="M1326" s="80">
        <f t="shared" si="3263"/>
        <v>44.276500268197061</v>
      </c>
      <c r="N1326" s="363">
        <f>+((L1326*$L$1307)+(M1326*$M$1307))/$N$1307</f>
        <v>49.867122913852391</v>
      </c>
      <c r="O1326" s="80">
        <f t="shared" ref="O1326" si="3264">O1345/O1307*1000</f>
        <v>50.964353262899209</v>
      </c>
      <c r="P1326" s="304">
        <f t="shared" ref="P1326:P1327" si="3265">+((K1326*$K$1307)+(M1326*$M$1307)+(O1326*$O$1307))/$P$1307</f>
        <v>49.142665979388482</v>
      </c>
      <c r="Q1326" s="2128">
        <f t="shared" ref="Q1326:Q1327" si="3266">+((N1326*$N$1307)+(O1326*$O$1307))/$Q$1307</f>
        <v>50.040746689033661</v>
      </c>
      <c r="R1326" s="80">
        <f t="shared" ref="R1326" si="3267">R1345/R1307*1000</f>
        <v>47.365614553210683</v>
      </c>
      <c r="S1326" s="363">
        <f t="shared" ref="S1326:S1327" si="3268">+((Q1326*$Q$1307)+(R1326*$R$1307))/$S$1307</f>
        <v>49.62140361565374</v>
      </c>
      <c r="T1326" s="80">
        <f t="shared" ref="T1326" si="3269">T1345/T1307*1000</f>
        <v>47.413976889950114</v>
      </c>
      <c r="U1326" s="363">
        <f>+((S1326*$S$1307)+(T1326*$T$1307))/$U$1307</f>
        <v>49.301233166446551</v>
      </c>
      <c r="V1326" s="80">
        <f t="shared" ref="V1326" si="3270">V1345/V1307*1000</f>
        <v>48.76850242703901</v>
      </c>
      <c r="W1326" s="304">
        <f t="shared" ref="W1326:W1327" si="3271">+((R1326*$R$1307)+(T1326*$T$1307)+(V1326*$V$1307))/$W$1307</f>
        <v>47.916114427087621</v>
      </c>
      <c r="X1326" s="363">
        <f t="shared" ref="X1326:X1327" si="3272">+((U1326*$U$1307)+(V1326*$V$1307))/$X$1307</f>
        <v>49.223051589984188</v>
      </c>
      <c r="Y1326" s="80">
        <f t="shared" ref="Y1326" si="3273">Y1345/Y1307*1000</f>
        <v>46.439821731006909</v>
      </c>
      <c r="Z1326" s="363">
        <f>+((X1326*$X$1307)+(Y1326*$Y$1307))/$Z$1307</f>
        <v>48.879332584405937</v>
      </c>
      <c r="AA1326" s="80">
        <f t="shared" ref="AA1326" si="3274">AA1345/AA1307*1000</f>
        <v>47.761104978968405</v>
      </c>
      <c r="AB1326" s="363">
        <f>+((Z1326*$Z$1307)+(AA1326*$AA$1307))/$AB$1307</f>
        <v>48.759000633329066</v>
      </c>
      <c r="AC1326" s="80">
        <f t="shared" ref="AC1326" si="3275">AC1345/AC1307*1000</f>
        <v>52.848866383832856</v>
      </c>
      <c r="AD1326" s="713">
        <f>+((Y1326*$Y$1307)+(AA1326*$AA$1307)+(AC1326*$AC$1307))/$AD$1307</f>
        <v>48.910350232220445</v>
      </c>
      <c r="AE1326" s="1292">
        <f>+((W1326*$W$1307)+(AD1326*$AD$1307))/$AE$1307</f>
        <v>48.42712718775406</v>
      </c>
      <c r="AF1326" s="2580">
        <f>+((AB1326*$AB$1307)+(AC1326*$AC$1307))/$AF$1307</f>
        <v>49.132597506991353</v>
      </c>
    </row>
    <row r="1327" spans="1:32" ht="35" customHeight="1" thickBot="1" x14ac:dyDescent="0.3">
      <c r="C1327" s="508"/>
      <c r="D1327" s="543"/>
      <c r="E1327" s="2419" t="s">
        <v>388</v>
      </c>
      <c r="F1327" s="146">
        <f t="shared" ref="F1327:G1327" si="3276">F1346/F1307*1000</f>
        <v>67.429016596413618</v>
      </c>
      <c r="G1327" s="146">
        <f t="shared" si="3276"/>
        <v>68.999290090184843</v>
      </c>
      <c r="H1327" s="579">
        <f t="shared" ref="H1327:K1327" si="3277">H1346/H1307*1000</f>
        <v>68.236351715793958</v>
      </c>
      <c r="I1327" s="146">
        <f t="shared" si="3277"/>
        <v>74.703819429923357</v>
      </c>
      <c r="J1327" s="314">
        <f t="shared" si="3277"/>
        <v>70.573024030875558</v>
      </c>
      <c r="K1327" s="146">
        <f t="shared" si="3277"/>
        <v>91.79834067139312</v>
      </c>
      <c r="L1327" s="579">
        <f t="shared" ref="L1327:M1327" si="3278">L1346/L1307*1000</f>
        <v>76.759074877874951</v>
      </c>
      <c r="M1327" s="146">
        <f t="shared" si="3278"/>
        <v>112.0322359785268</v>
      </c>
      <c r="N1327" s="432">
        <f>+((L1327*$L$1307)+(M1327*$M$1307))/$N$1307</f>
        <v>85.917746422735959</v>
      </c>
      <c r="O1327" s="146">
        <f t="shared" ref="O1327" si="3279">O1346/O1307*1000</f>
        <v>88.207302822585504</v>
      </c>
      <c r="P1327" s="427">
        <f t="shared" si="3265"/>
        <v>98.700088413104254</v>
      </c>
      <c r="Q1327" s="3088">
        <f t="shared" si="3266"/>
        <v>86.280041747484901</v>
      </c>
      <c r="R1327" s="146">
        <f t="shared" ref="R1327" si="3280">R1346/R1307*1000</f>
        <v>107.59552082692427</v>
      </c>
      <c r="S1327" s="432">
        <f t="shared" si="3268"/>
        <v>89.621371466507426</v>
      </c>
      <c r="T1327" s="146">
        <f t="shared" ref="T1327" si="3281">T1346/T1307*1000</f>
        <v>114.44164925595874</v>
      </c>
      <c r="U1327" s="432">
        <f>+((S1327*$S$1307)+(T1327*$T$1307))/$U$1307</f>
        <v>93.22136389061059</v>
      </c>
      <c r="V1327" s="146">
        <f t="shared" ref="V1327" si="3282">V1346/V1307*1000</f>
        <v>130.17318870977408</v>
      </c>
      <c r="W1327" s="427">
        <f t="shared" si="3271"/>
        <v>118.40625942615833</v>
      </c>
      <c r="X1327" s="417">
        <f t="shared" si="3272"/>
        <v>98.644275886896153</v>
      </c>
      <c r="Y1327" s="146">
        <f t="shared" ref="Y1327" si="3283">Y1346/Y1307*1000</f>
        <v>126.75657793442663</v>
      </c>
      <c r="Z1327" s="432">
        <f>+((X1327*$X$1307)+(Y1327*$Y$1307))/$Z$1307</f>
        <v>102.1160453755446</v>
      </c>
      <c r="AA1327" s="146">
        <f t="shared" ref="AA1327" si="3284">AA1346/AA1307*1000</f>
        <v>131.83207115369044</v>
      </c>
      <c r="AB1327" s="432">
        <f>+((Z1327*$Z$1307)+(AA1327*$AA$1307))/$AB$1307</f>
        <v>105.31377304989908</v>
      </c>
      <c r="AC1327" s="146">
        <f t="shared" ref="AC1327" si="3285">AC1346/AC1307*1000</f>
        <v>122.63582865745177</v>
      </c>
      <c r="AD1327" s="713">
        <f>+((Y1327*$Y$1307)+(AA1327*$AA$1307)+(AC1327*$AC$1307))/$AD$1307</f>
        <v>127.1709442094709</v>
      </c>
      <c r="AE1327" s="2517">
        <f>+((W1327*$W$1307)+(AD1327*$AD$1307))/$AE$1307</f>
        <v>122.91109192602322</v>
      </c>
      <c r="AF1327" s="2648">
        <f>+((AB1327*$AB$1307)+(AC1327*$AC$1307))/$AF$1307</f>
        <v>106.89609046938619</v>
      </c>
    </row>
    <row r="1328" spans="1:32" ht="35" customHeight="1" thickBot="1" x14ac:dyDescent="0.3">
      <c r="C1328" s="508"/>
      <c r="D1328" s="543"/>
      <c r="E1328" s="2420" t="s">
        <v>389</v>
      </c>
      <c r="F1328" s="161">
        <f t="shared" ref="F1328:G1328" si="3286">SUM(F1325:F1327)</f>
        <v>545.78273027002217</v>
      </c>
      <c r="G1328" s="161">
        <f t="shared" si="3286"/>
        <v>553.70336286908741</v>
      </c>
      <c r="H1328" s="250">
        <f t="shared" ref="H1328:L1328" si="3287">SUM(H1325:H1327)</f>
        <v>549.85501760741874</v>
      </c>
      <c r="I1328" s="161">
        <f t="shared" ref="I1328" si="3288">SUM(I1325:I1327)</f>
        <v>544.38675835369611</v>
      </c>
      <c r="J1328" s="249">
        <f t="shared" si="3287"/>
        <v>547.87935563666815</v>
      </c>
      <c r="K1328" s="161">
        <f t="shared" ref="K1328" si="3289">SUM(K1325:K1327)</f>
        <v>571.74943193446654</v>
      </c>
      <c r="L1328" s="250">
        <f t="shared" si="3287"/>
        <v>554.83621325160061</v>
      </c>
      <c r="M1328" s="161">
        <f t="shared" ref="M1328" si="3290">SUM(M1325:M1327)</f>
        <v>559.1799711306578</v>
      </c>
      <c r="N1328" s="250">
        <f t="shared" ref="N1328:W1328" si="3291">SUM(N1325:N1327)</f>
        <v>555.96406940180964</v>
      </c>
      <c r="O1328" s="161">
        <f t="shared" si="3291"/>
        <v>544.91079280559939</v>
      </c>
      <c r="P1328" s="249">
        <f t="shared" si="3291"/>
        <v>559.22483213457906</v>
      </c>
      <c r="Q1328" s="3087">
        <f t="shared" si="3291"/>
        <v>554.21501861003753</v>
      </c>
      <c r="R1328" s="161">
        <f t="shared" si="3291"/>
        <v>546.28376299760043</v>
      </c>
      <c r="S1328" s="250">
        <f t="shared" si="3291"/>
        <v>552.97174652648562</v>
      </c>
      <c r="T1328" s="161">
        <f t="shared" ref="T1328" si="3292">SUM(T1325:T1327)</f>
        <v>539.33398712318262</v>
      </c>
      <c r="U1328" s="250">
        <f>SUM(U1325:U1327)</f>
        <v>550.99369330121112</v>
      </c>
      <c r="V1328" s="161">
        <f t="shared" ref="V1328" si="3293">SUM(V1325:V1327)</f>
        <v>537.90775254189884</v>
      </c>
      <c r="W1328" s="249">
        <f t="shared" si="3291"/>
        <v>540.85506491290607</v>
      </c>
      <c r="X1328" s="250">
        <f>SUM(X1325:X1327)</f>
        <v>549.07324944022082</v>
      </c>
      <c r="Y1328" s="161">
        <f t="shared" ref="Y1328" si="3294">SUM(Y1325:Y1327)</f>
        <v>532.59318133585236</v>
      </c>
      <c r="Z1328" s="250">
        <f>SUM(Z1325:Z1327)</f>
        <v>547.03801954268829</v>
      </c>
      <c r="AA1328" s="161">
        <f t="shared" ref="AA1328" si="3295">SUM(AA1325:AA1327)</f>
        <v>540.85498642641926</v>
      </c>
      <c r="AB1328" s="226">
        <f>SUM(AB1325:AB1327)</f>
        <v>546.37266623282937</v>
      </c>
      <c r="AC1328" s="161">
        <f t="shared" ref="AC1328" si="3296">SUM(AC1325:AC1327)</f>
        <v>539.87500570229452</v>
      </c>
      <c r="AD1328" s="704">
        <f>SUM(AD1325:AD1327)</f>
        <v>537.68540180475043</v>
      </c>
      <c r="AE1328" s="775">
        <f>SUM(AE1325:AE1327)</f>
        <v>539.22593600111361</v>
      </c>
      <c r="AF1328" s="2621">
        <f>SUM(AF1325:AF1327)</f>
        <v>545.77912458417563</v>
      </c>
    </row>
    <row r="1329" spans="1:38" ht="35" customHeight="1" x14ac:dyDescent="0.25">
      <c r="C1329" s="508"/>
      <c r="D1329" s="543"/>
      <c r="E1329" s="1246" t="s">
        <v>301</v>
      </c>
      <c r="F1329" s="3391">
        <v>1.4570000000000001</v>
      </c>
      <c r="G1329" s="3391">
        <v>1.448</v>
      </c>
      <c r="H1329" s="529">
        <f>+((F1329*F1330)+(G1329*G1330))/H1330</f>
        <v>1.4523588412309316</v>
      </c>
      <c r="I1329" s="3391">
        <v>1.7</v>
      </c>
      <c r="J1329" s="552">
        <f>+((H1329*H1330)+(I1329*I1330))/J1330</f>
        <v>1.5330436885140646</v>
      </c>
      <c r="K1329" s="3391">
        <v>1.774</v>
      </c>
      <c r="L1329" s="529">
        <f>+((J1329*J1330)+(K1329*K1330))/L1330</f>
        <v>1.5962324940561916</v>
      </c>
      <c r="M1329" s="3391">
        <v>2.097</v>
      </c>
      <c r="N1329" s="529">
        <f>+((L1329*L1330)+(M1329*M1330))/N1330</f>
        <v>1.7017492369498344</v>
      </c>
      <c r="O1329" s="3391">
        <v>1.661</v>
      </c>
      <c r="P1329" s="552">
        <f>+((K1329*K1330)+(M1329*M1330)+(O1329*O1330))/P1330</f>
        <v>1.8498587922510554</v>
      </c>
      <c r="Q1329" s="3089">
        <f>+((N1329*N1330)+(O1329*O1330))/Q1330</f>
        <v>1.6951685064264792</v>
      </c>
      <c r="R1329" s="3391">
        <v>1.7749999999999999</v>
      </c>
      <c r="S1329" s="529">
        <f>+((Q1329*Q1330)+(R1329*R1330))/S1330</f>
        <v>1.7072046041686708</v>
      </c>
      <c r="T1329" s="3391">
        <v>2.0169999999999999</v>
      </c>
      <c r="U1329" s="529">
        <f>+((S1329*S1330)+(T1329*T1330))/U1330</f>
        <v>1.7461031994203997</v>
      </c>
      <c r="V1329" s="3391">
        <v>2.2770000000000001</v>
      </c>
      <c r="W1329" s="552">
        <f>+((R1329*R1330)+(T1329*T1330)+(V1329*V1330))/W1330</f>
        <v>2.0231343788532827</v>
      </c>
      <c r="X1329" s="529">
        <f>+((U1329*U1330)+(V1329*V1330))/X1330</f>
        <v>1.8079666527819067</v>
      </c>
      <c r="Y1329" s="3391">
        <v>2.3069999999999999</v>
      </c>
      <c r="Z1329" s="529">
        <f>+((X1329*X1330)+(Y1329*Y1330))/Z1330</f>
        <v>1.8575900298420953</v>
      </c>
      <c r="AA1329" s="3391">
        <v>2.3210000000000002</v>
      </c>
      <c r="AB1329" s="529">
        <f>+((Z1329*Z1330)+(AA1329*AA1330))/AB1330</f>
        <v>1.8983771919819747</v>
      </c>
      <c r="AC1329" s="3391">
        <v>2.258</v>
      </c>
      <c r="AD1329" s="1460">
        <f>+((Y1329*Y1330)+(AA1329*AA1330)+(AC1329*AC1330))/AD1330</f>
        <v>2.2959476224996513</v>
      </c>
      <c r="AE1329" s="1461">
        <f>+((W1329*W1330)+(AD1329*AD1330))/AE1330</f>
        <v>2.1547291089387492</v>
      </c>
      <c r="AF1329" s="2650">
        <f>+((AB1329*AB1330)+(AC1329*AC1330))/AF1330</f>
        <v>1.9264034239604753</v>
      </c>
    </row>
    <row r="1330" spans="1:38" ht="35" customHeight="1" x14ac:dyDescent="0.25">
      <c r="C1330" s="508"/>
      <c r="D1330" s="543"/>
      <c r="E1330" s="56" t="s">
        <v>651</v>
      </c>
      <c r="F1330" s="142">
        <f>+F1307/(F1329*3551)</f>
        <v>27.787275404745476</v>
      </c>
      <c r="G1330" s="142">
        <f>+G1307/(G1329*3551)</f>
        <v>29.5870278545768</v>
      </c>
      <c r="H1330" s="343">
        <f>SUM(F1330:G1330)</f>
        <v>57.374303259322275</v>
      </c>
      <c r="I1330" s="142">
        <f>+I1307/(I1329*3551)</f>
        <v>27.727235078768203</v>
      </c>
      <c r="J1330" s="306">
        <f>SUM(H1330:I1330)</f>
        <v>85.101538338090478</v>
      </c>
      <c r="K1330" s="142">
        <f>+K1307/(K1329*3551)</f>
        <v>30.249985951207989</v>
      </c>
      <c r="L1330" s="343">
        <f>SUM(J1330:K1330)</f>
        <v>115.35152428929847</v>
      </c>
      <c r="M1330" s="142">
        <f>+M1307/(M1329*3551)</f>
        <v>30.794417794150686</v>
      </c>
      <c r="N1330" s="343">
        <f>+L1330+M1330</f>
        <v>146.14594208344914</v>
      </c>
      <c r="O1330" s="142">
        <f>+O1307/(O1329*3551)</f>
        <v>28.147178864913446</v>
      </c>
      <c r="P1330" s="306">
        <f>+K1330+M1330+O1330</f>
        <v>89.191582610272121</v>
      </c>
      <c r="Q1330" s="3090">
        <f>+N1330+O1330</f>
        <v>174.2931209483626</v>
      </c>
      <c r="R1330" s="142">
        <f>+R1307/(R1329*3551)</f>
        <v>30.943237572435461</v>
      </c>
      <c r="S1330" s="343">
        <f>+Q1330+R1330</f>
        <v>205.23635852079806</v>
      </c>
      <c r="T1330" s="142">
        <f>+T1307/(T1329*3551)</f>
        <v>29.470285451722877</v>
      </c>
      <c r="U1330" s="343">
        <f>+S1330+T1330</f>
        <v>234.70664397252094</v>
      </c>
      <c r="V1330" s="142">
        <f>+V1307/(V1329*3551)</f>
        <v>30.956782943363574</v>
      </c>
      <c r="W1330" s="1934">
        <f>+R1330+T1330+V1330</f>
        <v>91.370305967521915</v>
      </c>
      <c r="X1330" s="1517">
        <f>+U1330+V1330</f>
        <v>265.66342691588449</v>
      </c>
      <c r="Y1330" s="142">
        <f>+Y1307/(Y1329*3551)</f>
        <v>29.334276674629162</v>
      </c>
      <c r="Z1330" s="343">
        <f t="shared" ref="Z1330:AB1330" si="3297">+X1330+Y1330</f>
        <v>294.99770359051365</v>
      </c>
      <c r="AA1330" s="142">
        <f>+AA1307/(AA1329*3551)</f>
        <v>28.470113157558519</v>
      </c>
      <c r="AB1330" s="363">
        <f t="shared" si="3297"/>
        <v>323.46781674807215</v>
      </c>
      <c r="AC1330" s="142">
        <f>+AC1307/(AC1329*3551)</f>
        <v>27.339196857931707</v>
      </c>
      <c r="AD1330" s="2523">
        <f>+Y1330+AA1330+AC1330</f>
        <v>85.143586690119392</v>
      </c>
      <c r="AE1330" s="1290">
        <f t="shared" ref="AE1330" si="3298">+W1330+AD1330</f>
        <v>176.51389265764129</v>
      </c>
      <c r="AF1330" s="2580">
        <f t="shared" ref="AF1330" si="3299">+AB1330+AC1330</f>
        <v>350.80701360600386</v>
      </c>
    </row>
    <row r="1331" spans="1:38" ht="35" customHeight="1" x14ac:dyDescent="0.25">
      <c r="C1331" s="508"/>
      <c r="D1331" s="543"/>
      <c r="E1331" s="56" t="s">
        <v>303</v>
      </c>
      <c r="F1331" s="80">
        <f t="shared" ref="F1331:G1331" si="3300">F1347/F1307*1000</f>
        <v>283.58582696882434</v>
      </c>
      <c r="G1331" s="80">
        <f t="shared" si="3300"/>
        <v>314.36515657455368</v>
      </c>
      <c r="H1331" s="296">
        <f t="shared" ref="H1331:K1331" si="3301">H1347/H1307*1000</f>
        <v>299.41060770941334</v>
      </c>
      <c r="I1331" s="80">
        <f t="shared" si="3301"/>
        <v>295.88185038923177</v>
      </c>
      <c r="J1331" s="313">
        <f t="shared" si="3301"/>
        <v>298.13568065895498</v>
      </c>
      <c r="K1331" s="80">
        <f t="shared" si="3301"/>
        <v>379.76164862326107</v>
      </c>
      <c r="L1331" s="296">
        <f t="shared" ref="L1331:N1331" si="3302">L1347/L1307*1000</f>
        <v>321.92530871561456</v>
      </c>
      <c r="M1331" s="80">
        <f t="shared" si="3302"/>
        <v>383.47382789162219</v>
      </c>
      <c r="N1331" s="296">
        <f t="shared" si="3302"/>
        <v>337.90637345764634</v>
      </c>
      <c r="O1331" s="80">
        <f t="shared" ref="O1331" si="3303">O1347/O1307*1000</f>
        <v>378.84446264862845</v>
      </c>
      <c r="P1331" s="3037">
        <f t="shared" ref="P1331:R1331" si="3304">P1347/P1307*1000</f>
        <v>380.95465670796023</v>
      </c>
      <c r="Q1331" s="2133">
        <f t="shared" si="3304"/>
        <v>344.38434374002179</v>
      </c>
      <c r="R1331" s="80">
        <f t="shared" si="3304"/>
        <v>388.00016407227383</v>
      </c>
      <c r="S1331" s="296">
        <f t="shared" ref="S1331:V1331" si="3305">S1347/S1307*1000</f>
        <v>351.22138625511474</v>
      </c>
      <c r="T1331" s="80">
        <f t="shared" si="3305"/>
        <v>378.23637819373971</v>
      </c>
      <c r="U1331" s="296">
        <f t="shared" si="3305"/>
        <v>355.13970526593545</v>
      </c>
      <c r="V1331" s="80">
        <f t="shared" si="3305"/>
        <v>352.82954795149919</v>
      </c>
      <c r="W1331" s="3037">
        <f t="shared" ref="W1331" si="3306">W1347/W1307*1000</f>
        <v>371.44928993415783</v>
      </c>
      <c r="X1331" s="296">
        <f t="shared" ref="X1331:AB1331" si="3307">X1347/X1307*1000</f>
        <v>354.80067519434704</v>
      </c>
      <c r="Y1331" s="80">
        <f t="shared" si="3307"/>
        <v>362.67170458281146</v>
      </c>
      <c r="Z1331" s="296">
        <f t="shared" si="3307"/>
        <v>355.77271937731444</v>
      </c>
      <c r="AA1331" s="80">
        <f t="shared" ref="AA1331" si="3308">AA1347/AA1307*1000</f>
        <v>386.07354877752539</v>
      </c>
      <c r="AB1331" s="296">
        <f t="shared" si="3307"/>
        <v>359.03337749668543</v>
      </c>
      <c r="AC1331" s="80">
        <f t="shared" ref="AC1331" si="3309">AC1347/AC1307*1000</f>
        <v>373.01218010127275</v>
      </c>
      <c r="AD1331" s="713">
        <f t="shared" ref="AD1331:AD1334" si="3310">+((Y1331*$Y$1307)+(AA1331*$AA$1307)+(AC1331*$AC$1307))/$AD$1307</f>
        <v>373.84754122921254</v>
      </c>
      <c r="AE1331" s="1292">
        <f t="shared" ref="AE1331:AE1334" si="3311">+((W1331*$W$1307)+(AD1331*$AD$1307))/$AE$1307</f>
        <v>372.68193213908631</v>
      </c>
      <c r="AF1331" s="2580">
        <f t="shared" ref="AF1331:AF1334" si="3312">+((AB1331*$AB$1307)+(AC1331*$AC$1307))/$AF$1307</f>
        <v>360.31029886017342</v>
      </c>
    </row>
    <row r="1332" spans="1:38" ht="35" customHeight="1" x14ac:dyDescent="0.25">
      <c r="C1332" s="508"/>
      <c r="D1332" s="543"/>
      <c r="E1332" s="56" t="s">
        <v>304</v>
      </c>
      <c r="F1332" s="142">
        <f t="shared" ref="F1332:G1332" si="3313">F1348/F1307*1000</f>
        <v>16.067776803973125</v>
      </c>
      <c r="G1332" s="142">
        <f t="shared" si="3313"/>
        <v>23.052349275629059</v>
      </c>
      <c r="H1332" s="254">
        <f t="shared" ref="H1332:K1332" si="3314">H1348/H1307*1000</f>
        <v>19.65880134370628</v>
      </c>
      <c r="I1332" s="142">
        <f t="shared" si="3314"/>
        <v>15.611090864554519</v>
      </c>
      <c r="J1332" s="253">
        <f t="shared" si="3314"/>
        <v>18.196378424232481</v>
      </c>
      <c r="K1332" s="142">
        <f t="shared" si="3314"/>
        <v>20.208964152834557</v>
      </c>
      <c r="L1332" s="254">
        <f t="shared" ref="L1332:N1332" si="3315">L1348/L1307*1000</f>
        <v>18.782940116664985</v>
      </c>
      <c r="M1332" s="142">
        <f t="shared" si="3315"/>
        <v>7.6272627764283136</v>
      </c>
      <c r="N1332" s="254">
        <f t="shared" si="3315"/>
        <v>15.886369992764511</v>
      </c>
      <c r="O1332" s="142">
        <f t="shared" ref="O1332" si="3316">O1348/O1307*1000</f>
        <v>0.93965714561071689</v>
      </c>
      <c r="P1332" s="2357">
        <f t="shared" ref="P1332:R1332" si="3317">P1348/P1307*1000</f>
        <v>9.8244368358349572</v>
      </c>
      <c r="Q1332" s="2140">
        <f t="shared" si="3317"/>
        <v>13.521228786701807</v>
      </c>
      <c r="R1332" s="142">
        <f t="shared" si="3317"/>
        <v>1.8047950122028753</v>
      </c>
      <c r="S1332" s="254">
        <f t="shared" ref="S1332:V1332" si="3318">S1348/S1307*1000</f>
        <v>11.68460722986077</v>
      </c>
      <c r="T1332" s="142">
        <f t="shared" si="3318"/>
        <v>8.1107842161865111</v>
      </c>
      <c r="U1332" s="254">
        <f t="shared" si="3318"/>
        <v>11.166251396640366</v>
      </c>
      <c r="V1332" s="142">
        <f t="shared" si="3318"/>
        <v>2.3930804418609295</v>
      </c>
      <c r="W1332" s="2357">
        <f t="shared" ref="W1332" si="3319">W1348/W1307*1000</f>
        <v>4.0568662041564982</v>
      </c>
      <c r="X1332" s="254">
        <f t="shared" ref="X1332:AB1332" si="3320">X1348/X1307*1000</f>
        <v>9.8787335474145799</v>
      </c>
      <c r="Y1332" s="142">
        <f t="shared" si="3320"/>
        <v>12.571209807291385</v>
      </c>
      <c r="Z1332" s="254">
        <f t="shared" si="3320"/>
        <v>10.211244805729399</v>
      </c>
      <c r="AA1332" s="142">
        <f t="shared" ref="AA1332" si="3321">AA1348/AA1307*1000</f>
        <v>6.6653313274834112</v>
      </c>
      <c r="AB1332" s="254">
        <f t="shared" si="3320"/>
        <v>9.8296707101586254</v>
      </c>
      <c r="AC1332" s="142">
        <f t="shared" ref="AC1332" si="3322">AC1348/AC1307*1000</f>
        <v>20.067515168103647</v>
      </c>
      <c r="AD1332" s="1402">
        <f t="shared" si="3310"/>
        <v>12.942111995943344</v>
      </c>
      <c r="AE1332" s="1411">
        <f t="shared" si="3311"/>
        <v>8.6236640983987698</v>
      </c>
      <c r="AF1332" s="2651">
        <f t="shared" si="3312"/>
        <v>10.7648668549362</v>
      </c>
    </row>
    <row r="1333" spans="1:38" ht="35" customHeight="1" x14ac:dyDescent="0.25">
      <c r="C1333" s="508"/>
      <c r="D1333" s="543"/>
      <c r="E1333" s="56" t="s">
        <v>305</v>
      </c>
      <c r="F1333" s="142">
        <f t="shared" ref="F1333:G1333" si="3323">F1349/F1307*1000</f>
        <v>21.931471975293185</v>
      </c>
      <c r="G1333" s="142">
        <f t="shared" si="3323"/>
        <v>24.669366076828016</v>
      </c>
      <c r="H1333" s="254">
        <f t="shared" ref="H1333:K1333" si="3324">H1349/H1307*1000</f>
        <v>23.339123616922048</v>
      </c>
      <c r="I1333" s="142">
        <f t="shared" si="3324"/>
        <v>27.972111529982495</v>
      </c>
      <c r="J1333" s="253">
        <f t="shared" si="3324"/>
        <v>25.013005122183394</v>
      </c>
      <c r="K1333" s="142">
        <f t="shared" si="3324"/>
        <v>23.352347566895293</v>
      </c>
      <c r="L1333" s="254">
        <f t="shared" ref="L1333:N1333" si="3325">L1349/L1307*1000</f>
        <v>24.52901177355859</v>
      </c>
      <c r="M1333" s="142">
        <f t="shared" si="3325"/>
        <v>24.194427606417541</v>
      </c>
      <c r="N1333" s="254">
        <f t="shared" si="3325"/>
        <v>24.442137039473611</v>
      </c>
      <c r="O1333" s="142">
        <f t="shared" ref="O1333" si="3326">O1349/O1307*1000</f>
        <v>19.558120203833319</v>
      </c>
      <c r="P1333" s="2357">
        <f t="shared" ref="P1333:R1333" si="3327">P1349/P1307*1000</f>
        <v>22.606786985864144</v>
      </c>
      <c r="Q1333" s="2140">
        <f t="shared" si="3327"/>
        <v>23.669298918663891</v>
      </c>
      <c r="R1333" s="142">
        <f t="shared" si="3327"/>
        <v>13.284726922209233</v>
      </c>
      <c r="S1333" s="254">
        <f t="shared" ref="S1333:V1333" si="3328">S1349/S1307*1000</f>
        <v>22.041454716721816</v>
      </c>
      <c r="T1333" s="142">
        <f t="shared" si="3328"/>
        <v>9.0867313823865228</v>
      </c>
      <c r="U1333" s="254">
        <f t="shared" si="3328"/>
        <v>20.162470675705947</v>
      </c>
      <c r="V1333" s="142">
        <f t="shared" si="3328"/>
        <v>9.3206288328239548</v>
      </c>
      <c r="W1333" s="2357">
        <f t="shared" ref="W1333" si="3329">W1349/W1307*1000</f>
        <v>10.423236413382936</v>
      </c>
      <c r="X1333" s="254">
        <f t="shared" ref="X1333:AB1333" si="3330">X1349/X1307*1000</f>
        <v>18.571362402181542</v>
      </c>
      <c r="Y1333" s="142">
        <f t="shared" si="3330"/>
        <v>13.703076430125963</v>
      </c>
      <c r="Z1333" s="254">
        <f t="shared" si="3330"/>
        <v>17.97014636974059</v>
      </c>
      <c r="AA1333" s="142">
        <f t="shared" ref="AA1333" si="3331">AA1349/AA1307*1000</f>
        <v>11.804966609417551</v>
      </c>
      <c r="AB1333" s="254">
        <f t="shared" si="3330"/>
        <v>17.306714251188122</v>
      </c>
      <c r="AC1333" s="142">
        <f t="shared" ref="AC1333" si="3332">AC1349/AC1307*1000</f>
        <v>22.430546051731216</v>
      </c>
      <c r="AD1333" s="1402">
        <f t="shared" si="3310"/>
        <v>15.817496629058095</v>
      </c>
      <c r="AE1333" s="1411">
        <f t="shared" si="3311"/>
        <v>13.195753546978867</v>
      </c>
      <c r="AF1333" s="2651">
        <f t="shared" si="3312"/>
        <v>17.774760798099468</v>
      </c>
    </row>
    <row r="1334" spans="1:38" ht="35" customHeight="1" x14ac:dyDescent="0.25">
      <c r="B1334" s="14">
        <f>+N1334+N1331</f>
        <v>1618.3081638730584</v>
      </c>
      <c r="C1334" s="508"/>
      <c r="D1334" s="543"/>
      <c r="E1334" s="56" t="s">
        <v>306</v>
      </c>
      <c r="F1334" s="80">
        <f t="shared" ref="F1334:G1334" si="3333">F1343/F1307*1000</f>
        <v>1344.5807770961144</v>
      </c>
      <c r="G1334" s="80">
        <f t="shared" si="3333"/>
        <v>1318.50629716299</v>
      </c>
      <c r="H1334" s="296">
        <f t="shared" ref="H1334:K1334" si="3334">H1343/H1307*1000</f>
        <v>1331.1749319022094</v>
      </c>
      <c r="I1334" s="80">
        <f t="shared" si="3334"/>
        <v>1296.897497326459</v>
      </c>
      <c r="J1334" s="313">
        <f t="shared" si="3334"/>
        <v>1318.7906207706371</v>
      </c>
      <c r="K1334" s="80">
        <f t="shared" si="3334"/>
        <v>1237.4645123032763</v>
      </c>
      <c r="L1334" s="296">
        <f t="shared" ref="L1334:N1334" si="3335">L1343/L1307*1000</f>
        <v>1295.0883858081054</v>
      </c>
      <c r="M1334" s="80">
        <f t="shared" si="3335"/>
        <v>1238.5253086446673</v>
      </c>
      <c r="N1334" s="296">
        <f t="shared" si="3335"/>
        <v>1280.4017904154121</v>
      </c>
      <c r="O1334" s="80">
        <f t="shared" ref="O1334" si="3336">O1343/O1307*1000</f>
        <v>1272.9884711296365</v>
      </c>
      <c r="P1334" s="3037">
        <f t="shared" ref="P1334:R1334" si="3337">P1343/P1307*1000</f>
        <v>1247.945846120235</v>
      </c>
      <c r="Q1334" s="2133">
        <f t="shared" si="3337"/>
        <v>1279.2287199820812</v>
      </c>
      <c r="R1334" s="80">
        <f t="shared" si="3337"/>
        <v>1259.290592505999</v>
      </c>
      <c r="S1334" s="296">
        <f t="shared" ref="S1334:V1334" si="3338">S1343/S1307*1000</f>
        <v>1276.1032984220394</v>
      </c>
      <c r="T1334" s="80">
        <f t="shared" si="3338"/>
        <v>1228.4995522960814</v>
      </c>
      <c r="U1334" s="296">
        <f t="shared" si="3338"/>
        <v>1269.1987372859344</v>
      </c>
      <c r="V1334" s="80">
        <f t="shared" si="3338"/>
        <v>1247.9415113561454</v>
      </c>
      <c r="W1334" s="3037">
        <f t="shared" ref="W1334" si="3339">W1343/W1307*1000</f>
        <v>1245.0618355986583</v>
      </c>
      <c r="X1334" s="296">
        <f t="shared" ref="X1334:AB1334" si="3340">X1343/X1307*1000</f>
        <v>1266.0791060886511</v>
      </c>
      <c r="Y1334" s="80">
        <f t="shared" si="3340"/>
        <v>1204.3352156164303</v>
      </c>
      <c r="Z1334" s="296">
        <f t="shared" si="3340"/>
        <v>1258.4539548402945</v>
      </c>
      <c r="AA1334" s="80">
        <f t="shared" ref="AA1334" si="3341">AA1343/AA1307*1000</f>
        <v>1221.8609230034901</v>
      </c>
      <c r="AB1334" s="296">
        <f t="shared" si="3340"/>
        <v>1254.5161957514213</v>
      </c>
      <c r="AC1334" s="80">
        <f t="shared" ref="AC1334" si="3342">AC1343/AC1307*1000</f>
        <v>1224.1229870900049</v>
      </c>
      <c r="AD1334" s="713">
        <f t="shared" si="3310"/>
        <v>1216.5081075474525</v>
      </c>
      <c r="AE1334" s="1292">
        <f t="shared" si="3311"/>
        <v>1230.3859213704275</v>
      </c>
      <c r="AF1334" s="2580">
        <f t="shared" si="3312"/>
        <v>1251.7398680113063</v>
      </c>
    </row>
    <row r="1335" spans="1:38" ht="35" customHeight="1" thickBot="1" x14ac:dyDescent="0.3">
      <c r="B1335" s="2">
        <f>+B1334*0.8</f>
        <v>1294.6465310984468</v>
      </c>
      <c r="C1335" s="508"/>
      <c r="D1335" s="543"/>
      <c r="E1335" s="530" t="s">
        <v>308</v>
      </c>
      <c r="F1335" s="531">
        <f t="shared" ref="F1335:G1335" si="3343">+(F1334/(F1331+F1334))*100</f>
        <v>82.582505607177183</v>
      </c>
      <c r="G1335" s="531">
        <f t="shared" si="3343"/>
        <v>80.747709450429127</v>
      </c>
      <c r="H1335" s="533">
        <f t="shared" ref="H1335:I1335" si="3344">+(H1334/(H1331+H1334))*100</f>
        <v>81.637847237334896</v>
      </c>
      <c r="I1335" s="531">
        <f t="shared" si="3344"/>
        <v>81.423550549322783</v>
      </c>
      <c r="J1335" s="2864">
        <f t="shared" ref="J1335:AC1335" si="3345">+(J1334/(J1331+J1334))*100</f>
        <v>81.561578879917988</v>
      </c>
      <c r="K1335" s="531">
        <f t="shared" si="3345"/>
        <v>76.51771546870792</v>
      </c>
      <c r="L1335" s="533">
        <f t="shared" si="3345"/>
        <v>80.091367821690866</v>
      </c>
      <c r="M1335" s="531">
        <f t="shared" ref="M1335:O1335" si="3346">+(M1334/(M1331+M1334))*100</f>
        <v>76.357951169412189</v>
      </c>
      <c r="N1335" s="533">
        <f t="shared" si="3345"/>
        <v>79.119775763292012</v>
      </c>
      <c r="O1335" s="531">
        <f t="shared" si="3346"/>
        <v>77.065207085919326</v>
      </c>
      <c r="P1335" s="2864">
        <f t="shared" ref="P1335:R1335" si="3347">+(P1334/(P1331+P1334))*100</f>
        <v>76.612773091633045</v>
      </c>
      <c r="Q1335" s="3038">
        <f t="shared" si="3347"/>
        <v>78.789013747491836</v>
      </c>
      <c r="R1335" s="531">
        <f t="shared" si="3347"/>
        <v>76.446163949937912</v>
      </c>
      <c r="S1335" s="533">
        <f t="shared" si="3345"/>
        <v>78.41725197422457</v>
      </c>
      <c r="T1335" s="531">
        <f t="shared" si="3345"/>
        <v>76.459331554349902</v>
      </c>
      <c r="U1335" s="533">
        <f t="shared" si="3345"/>
        <v>78.136347945567081</v>
      </c>
      <c r="V1335" s="531">
        <f t="shared" si="3345"/>
        <v>77.95877518524712</v>
      </c>
      <c r="W1335" s="586">
        <f t="shared" si="3345"/>
        <v>77.021544481376523</v>
      </c>
      <c r="X1335" s="585">
        <f t="shared" si="3345"/>
        <v>78.110611330255068</v>
      </c>
      <c r="Y1335" s="531">
        <f t="shared" ref="Y1335" si="3348">+(Y1334/(Y1331+Y1334))*100</f>
        <v>76.855768796687983</v>
      </c>
      <c r="Z1335" s="533">
        <f t="shared" si="3345"/>
        <v>77.960175912112717</v>
      </c>
      <c r="AA1335" s="531">
        <f t="shared" si="3345"/>
        <v>75.989472484541352</v>
      </c>
      <c r="AB1335" s="585">
        <f t="shared" si="3345"/>
        <v>77.74884742004275</v>
      </c>
      <c r="AC1335" s="531">
        <f t="shared" si="3345"/>
        <v>76.644920995807013</v>
      </c>
      <c r="AD1335" s="842">
        <f>+(AD1334/(AD1331+AD1334))*100</f>
        <v>76.492834070367593</v>
      </c>
      <c r="AE1335" s="1452">
        <f t="shared" ref="AE1335:AF1335" si="3349">+(AE1334/(AE1331+AE1334))*100</f>
        <v>76.751955238626181</v>
      </c>
      <c r="AF1335" s="2652">
        <f t="shared" si="3349"/>
        <v>77.648940072415314</v>
      </c>
    </row>
    <row r="1336" spans="1:38" s="3170" customFormat="1" ht="35" customHeight="1" x14ac:dyDescent="0.25">
      <c r="C1336" s="4232"/>
      <c r="D1336" s="4233"/>
      <c r="E1336" s="4234" t="s">
        <v>485</v>
      </c>
      <c r="F1336" s="4231"/>
      <c r="G1336" s="4231"/>
      <c r="H1336" s="4231"/>
      <c r="I1336" s="4231"/>
      <c r="J1336" s="4231"/>
      <c r="K1336" s="4231"/>
      <c r="L1336" s="4235"/>
      <c r="M1336" s="4231"/>
      <c r="N1336" s="4231"/>
      <c r="O1336" s="4231"/>
      <c r="P1336" s="4231"/>
      <c r="Q1336" s="4231"/>
      <c r="R1336" s="4231"/>
      <c r="S1336" s="4231"/>
      <c r="T1336" s="4231"/>
      <c r="U1336" s="4231"/>
      <c r="V1336" s="4231"/>
      <c r="W1336" s="4231"/>
      <c r="X1336" s="4231"/>
      <c r="Y1336" s="4231"/>
      <c r="Z1336" s="4231"/>
      <c r="AA1336" s="4231"/>
      <c r="AB1336" s="4231"/>
      <c r="AC1336" s="4231"/>
      <c r="AD1336" s="4231"/>
      <c r="AE1336" s="3620"/>
      <c r="AF1336" s="3620"/>
      <c r="AG1336" s="4756"/>
      <c r="AH1336" s="4756"/>
      <c r="AI1336" s="4756"/>
      <c r="AJ1336" s="4756"/>
      <c r="AK1336" s="4756"/>
      <c r="AL1336" s="4756"/>
    </row>
    <row r="1337" spans="1:38" ht="35" customHeight="1" thickBot="1" x14ac:dyDescent="0.3">
      <c r="B1337" s="2">
        <f>+B1334*0.2</f>
        <v>323.66163277461169</v>
      </c>
      <c r="C1337" s="508"/>
      <c r="D1337" s="7"/>
      <c r="E1337" s="53" t="s">
        <v>251</v>
      </c>
      <c r="F1337" s="3783">
        <v>1.8530730364805577</v>
      </c>
      <c r="G1337" s="3783">
        <v>1.9157846051503238</v>
      </c>
      <c r="H1337" s="1976">
        <f>+((F1337*F1325*F1307)+(G1337*G1325*G1307))/(H1325*H1307)</f>
        <v>1.8854158139324697</v>
      </c>
      <c r="I1337" s="3783">
        <v>1.9051539529121961</v>
      </c>
      <c r="J1337" s="1977">
        <f>+((H1337*$H$1325*$H$1307)+(I1337*$I$1325*$I$1307))/($J$1325*$J$1307)</f>
        <v>1.8924486451170837</v>
      </c>
      <c r="K1337" s="3783">
        <v>2.0008841387243748</v>
      </c>
      <c r="L1337" s="1976">
        <f>+((J1337*J1325*J1307)+(K1337*K1325*K1307))/(L1325*L1307)</f>
        <v>1.9240733620360935</v>
      </c>
      <c r="M1337" s="3783">
        <v>2.0580287835959061</v>
      </c>
      <c r="N1337" s="1976">
        <f>+((L1337*L1325*L1307)+(M1337*M1325*M1307))/(N1325*N1307)</f>
        <v>1.957422154087777</v>
      </c>
      <c r="O1337" s="3783">
        <v>1.9499511125885107</v>
      </c>
      <c r="P1337" s="1977">
        <f>+((K1337*$K$1325*$K$1307)+(M1337*$M$1325*$M$1307)+(O1337*$O$1325*$O$1307))/($P$1325*$P$1307)</f>
        <v>2.0085526514472685</v>
      </c>
      <c r="Q1337" s="3080">
        <f t="shared" ref="Q1337:Q1342" si="3350">+((N1337*$N$1325*$N$1307)+(O1337*$O$1325*$O$1307))/($Q$1325*$Q$1307)</f>
        <v>1.9562743360159986</v>
      </c>
      <c r="R1337" s="3783">
        <v>2.0462714866082439</v>
      </c>
      <c r="S1337" s="1976">
        <f>+((Q1337*Q1325*Q1307)+(R1337*R1325*R1307))/(S1325*S1307)</f>
        <v>1.9696179055248233</v>
      </c>
      <c r="T1337" s="3783">
        <v>1.9825865105602554</v>
      </c>
      <c r="U1337" s="1976">
        <f>+((S1337*S1325*S1307)+(T1337*T1325*T1307))/(U1325*U1307)</f>
        <v>1.9713561823596339</v>
      </c>
      <c r="V1337" s="3783">
        <v>1.9059365268408834</v>
      </c>
      <c r="W1337" s="1977">
        <f t="shared" ref="W1337:W1342" si="3351">+((R1337*$R$1325*$R$1307)+(T1337*$T$1325*$T$1307)+(V1337*$V$1325*$V$1307))/($W$1325*$W$1307)</f>
        <v>1.9743436269107344</v>
      </c>
      <c r="X1337" s="1976">
        <f t="shared" ref="X1337:X1342" si="3352">+((U1337*$U$1325*$U$1307)+(V1337*$V$1325*$V$1307))/($X$1325*$X$1307)</f>
        <v>1.9627662256628891</v>
      </c>
      <c r="Y1337" s="3783">
        <v>1.9007784661448766</v>
      </c>
      <c r="Z1337" s="1976">
        <f>+((X1337*X1325*X1307)+(Y1337*Y1325*Y1307))/(Z1325*Z1307)</f>
        <v>1.9558193000834263</v>
      </c>
      <c r="AA1337" s="3783">
        <v>1.8811765750586744</v>
      </c>
      <c r="AB1337" s="587">
        <f t="shared" ref="AB1337:AB1342" si="3353">+((Z1337*$Z$1325*$Z$1307)+(AA1337*$AA$1325*$AA$1307))/($AB$1325*$AB$1307)</f>
        <v>1.948422530336396</v>
      </c>
      <c r="AC1337" s="3783">
        <v>1.8909253147275493</v>
      </c>
      <c r="AD1337" s="1463">
        <f t="shared" ref="AD1337:AD1342" si="3354">+((Y1337*$Y$1325*$Y$1307)+(AA1337*$AA$1325*$AA$1307)+(AC1337*$AC$1325*$AC$1307))/($AD$1325*$AD$1307)</f>
        <v>1.8910233021524319</v>
      </c>
      <c r="AE1337" s="1464">
        <f t="shared" ref="AE1337:AE1342" si="3355">+((W1337*$W$1325*$W$1307)+(AD1337*$AD$1325*$AD$1307))/($AE$1325*$AE$1307)</f>
        <v>1.9322504827125624</v>
      </c>
      <c r="AF1337" s="1465">
        <f t="shared" ref="AF1337:AF1342" si="3356">+((AB1337*$AB$1325*$AB$1307)+(AC1337*$AC$1325*$AC$1307))/($AF$1325*$AF$1307)</f>
        <v>1.9435120813397024</v>
      </c>
    </row>
    <row r="1338" spans="1:38" ht="35" hidden="1" customHeight="1" x14ac:dyDescent="0.25">
      <c r="C1338" s="508"/>
      <c r="D1338" s="7"/>
      <c r="E1338" s="54" t="s">
        <v>252</v>
      </c>
      <c r="F1338" s="3399"/>
      <c r="G1338" s="3399"/>
      <c r="H1338" s="587">
        <f>+((F1338*F1325*F1307)+(G1338*G1325*G1307))/(H1325*H1307)</f>
        <v>0</v>
      </c>
      <c r="I1338" s="3399"/>
      <c r="J1338" s="588">
        <f>+((H1338*$H$1325*$H$1307)+(I1338*$I$1325*$I$1307))/($J$1325*$J$1307)</f>
        <v>0</v>
      </c>
      <c r="K1338" s="3399"/>
      <c r="L1338" s="587">
        <f>+((J1338*J1325*J1307)+(K1338*K1325*K1307))/(L1325*L1307)</f>
        <v>0</v>
      </c>
      <c r="M1338" s="3399"/>
      <c r="N1338" s="587">
        <f>+((L1338*L1325*L1307)+(M1338*M1325*M1307))/(N1325*N1307)</f>
        <v>0</v>
      </c>
      <c r="O1338" s="3399"/>
      <c r="P1338" s="588">
        <f>+((K1338*$K$1325*$K$1307)+(M1338*$M$1325*$M$1307)+(O1338*$O$1325*$O$1307))/($P$1325*$P$1307)</f>
        <v>0</v>
      </c>
      <c r="Q1338" s="3039">
        <f t="shared" si="3350"/>
        <v>0</v>
      </c>
      <c r="R1338" s="3399"/>
      <c r="S1338" s="587">
        <f>+((Q1338*Q1325*Q1307)+(R1338*R1325*R1307))/(S1325*S1307)</f>
        <v>0</v>
      </c>
      <c r="T1338" s="3399"/>
      <c r="U1338" s="587">
        <f>+((S1338*S1325*S1307)+(T1338*T1325*T1307))/(U1325*U1307)</f>
        <v>0</v>
      </c>
      <c r="V1338" s="3399"/>
      <c r="W1338" s="588">
        <f t="shared" si="3351"/>
        <v>0</v>
      </c>
      <c r="X1338" s="587">
        <f t="shared" si="3352"/>
        <v>0</v>
      </c>
      <c r="Y1338" s="3399"/>
      <c r="Z1338" s="587">
        <f>+((X1338*X1325*X1307)+(Y1338*Y1325*Y1307))/(Z1325*Z1307)</f>
        <v>0</v>
      </c>
      <c r="AA1338" s="3399"/>
      <c r="AB1338" s="587">
        <f t="shared" si="3353"/>
        <v>0</v>
      </c>
      <c r="AC1338" s="3399"/>
      <c r="AD1338" s="1463">
        <f t="shared" si="3354"/>
        <v>0</v>
      </c>
      <c r="AE1338" s="1464">
        <f t="shared" si="3355"/>
        <v>0</v>
      </c>
      <c r="AF1338" s="1465">
        <f t="shared" si="3356"/>
        <v>0</v>
      </c>
    </row>
    <row r="1339" spans="1:38" ht="35" hidden="1" customHeight="1" x14ac:dyDescent="0.25">
      <c r="C1339" s="508"/>
      <c r="D1339" s="7"/>
      <c r="E1339" s="54" t="s">
        <v>259</v>
      </c>
      <c r="F1339" s="3399"/>
      <c r="G1339" s="3399"/>
      <c r="H1339" s="587">
        <f>+((F1339*F1325*F1307)+(G1339*G1325*G1307))/(H1325*H1307)</f>
        <v>0</v>
      </c>
      <c r="I1339" s="3399"/>
      <c r="J1339" s="588">
        <f>+((H1339*$H$1325*$H$1307)+(I1339*$I$1325*$I$1307))/($J$1325*$J$1307)</f>
        <v>0</v>
      </c>
      <c r="K1339" s="3399"/>
      <c r="L1339" s="587">
        <f>+((J1339*J1325*J1307)+(K1339*K1325*K1307))/(L1325*L1307)</f>
        <v>0</v>
      </c>
      <c r="M1339" s="3399"/>
      <c r="N1339" s="587">
        <f>+((L1339*L1325*L1307)+(M1339*M1325*M1307))/(N1325*N1307)</f>
        <v>0</v>
      </c>
      <c r="O1339" s="3399"/>
      <c r="P1339" s="588">
        <f>+((K1339*$K$1325*$K$1307)+(M1339*$M$1325*$M$1307)+(O1339*$O$1325*$O$1307))/($P$1325*$P$1307)</f>
        <v>0</v>
      </c>
      <c r="Q1339" s="3039">
        <f t="shared" si="3350"/>
        <v>0</v>
      </c>
      <c r="R1339" s="3399"/>
      <c r="S1339" s="587">
        <f>+((Q1339*Q1325*Q1307)+(R1339*R1325*R1307))/(S1325*S1307)</f>
        <v>0</v>
      </c>
      <c r="T1339" s="3399"/>
      <c r="U1339" s="587">
        <f>+((S1339*S1325*S1307)+(T1339*T1325*T1307))/(U1325*U1307)</f>
        <v>0</v>
      </c>
      <c r="V1339" s="3399"/>
      <c r="W1339" s="588">
        <f t="shared" si="3351"/>
        <v>0</v>
      </c>
      <c r="X1339" s="587">
        <f t="shared" si="3352"/>
        <v>0</v>
      </c>
      <c r="Y1339" s="3399"/>
      <c r="Z1339" s="587">
        <f>+((X1339*X1325*X1307)+(Y1339*Y1325*Y1307))/(Z1325*Z1307)</f>
        <v>0</v>
      </c>
      <c r="AA1339" s="3399"/>
      <c r="AB1339" s="587">
        <f t="shared" si="3353"/>
        <v>0</v>
      </c>
      <c r="AC1339" s="3399"/>
      <c r="AD1339" s="1463">
        <f t="shared" si="3354"/>
        <v>0</v>
      </c>
      <c r="AE1339" s="1464">
        <f t="shared" si="3355"/>
        <v>0</v>
      </c>
      <c r="AF1339" s="1465">
        <f t="shared" si="3356"/>
        <v>0</v>
      </c>
    </row>
    <row r="1340" spans="1:38" ht="35" hidden="1" customHeight="1" x14ac:dyDescent="0.25">
      <c r="C1340" s="508"/>
      <c r="D1340" s="7"/>
      <c r="E1340" s="54" t="s">
        <v>258</v>
      </c>
      <c r="F1340" s="3399"/>
      <c r="G1340" s="3399"/>
      <c r="H1340" s="587">
        <f>+((F1340*F1325*F1307)+(G1340*G1325*G1307))/(H1325*H1307)</f>
        <v>0</v>
      </c>
      <c r="I1340" s="3399"/>
      <c r="J1340" s="588">
        <f>+((H1340*$H$1325*$H$1307)+(I1340*$I$1325*$I$1307))/($J$1325*$J$1307)</f>
        <v>0</v>
      </c>
      <c r="K1340" s="3399"/>
      <c r="L1340" s="587">
        <f>+((J1340*J1325*J1307)+(K1340*K1325*K1307))/(L1325*L1307)</f>
        <v>0</v>
      </c>
      <c r="M1340" s="3399"/>
      <c r="N1340" s="587">
        <f>+((L1340*L1325*L1307)+(M1340*M1325*M1307))/(N1325*N1307)</f>
        <v>0</v>
      </c>
      <c r="O1340" s="3399"/>
      <c r="P1340" s="588">
        <f>+((K1340*$K$1325*$K$1307)+(M1340*$M$1325*$M$1307)+(O1340*$O$1325*$O$1307))/($P$1325*$P$1307)</f>
        <v>0</v>
      </c>
      <c r="Q1340" s="3039">
        <f t="shared" si="3350"/>
        <v>0</v>
      </c>
      <c r="R1340" s="3399"/>
      <c r="S1340" s="587">
        <f>+((Q1340*Q1325*Q1307)+(R1340*R1325*R1307))/(S1325*S1307)</f>
        <v>0</v>
      </c>
      <c r="T1340" s="3399"/>
      <c r="U1340" s="587">
        <f>+((S1340*S1325*S1307)+(T1340*T1325*T1307))/(U1325*U1307)</f>
        <v>0</v>
      </c>
      <c r="V1340" s="3399"/>
      <c r="W1340" s="588">
        <f t="shared" si="3351"/>
        <v>0</v>
      </c>
      <c r="X1340" s="587">
        <f t="shared" si="3352"/>
        <v>0</v>
      </c>
      <c r="Y1340" s="3399"/>
      <c r="Z1340" s="587">
        <f>+((X1340*X1325*X1307)+(Y1340*Y1325*Y1307))/(Z1325*Z1307)</f>
        <v>0</v>
      </c>
      <c r="AA1340" s="3399"/>
      <c r="AB1340" s="587">
        <f t="shared" si="3353"/>
        <v>0</v>
      </c>
      <c r="AC1340" s="3399"/>
      <c r="AD1340" s="1463">
        <f t="shared" si="3354"/>
        <v>0</v>
      </c>
      <c r="AE1340" s="1464">
        <f t="shared" si="3355"/>
        <v>0</v>
      </c>
      <c r="AF1340" s="1465">
        <f t="shared" si="3356"/>
        <v>0</v>
      </c>
    </row>
    <row r="1341" spans="1:38" ht="35" hidden="1" customHeight="1" x14ac:dyDescent="0.25">
      <c r="A1341" s="2">
        <f>100-2.2</f>
        <v>97.8</v>
      </c>
      <c r="C1341" s="508"/>
      <c r="D1341" s="7"/>
      <c r="E1341" s="54" t="s">
        <v>486</v>
      </c>
      <c r="F1341" s="3399"/>
      <c r="G1341" s="3399"/>
      <c r="H1341" s="587">
        <f>+((F1341*F1325*F1307)+(G1341*G1325*G1307))/(H1325*H1307)</f>
        <v>0</v>
      </c>
      <c r="I1341" s="3399"/>
      <c r="J1341" s="588">
        <v>61.8</v>
      </c>
      <c r="K1341" s="3399"/>
      <c r="L1341" s="587">
        <v>61.8</v>
      </c>
      <c r="M1341" s="3399"/>
      <c r="N1341" s="587">
        <v>61.8</v>
      </c>
      <c r="O1341" s="3399"/>
      <c r="P1341" s="588">
        <v>62.3</v>
      </c>
      <c r="Q1341" s="3039">
        <f t="shared" si="3350"/>
        <v>52.305318857768455</v>
      </c>
      <c r="R1341" s="3399"/>
      <c r="S1341" s="587">
        <f>+((Q1341*Q1325*Q1307)+(R1341*R1325*R1307))/(S1325*S1307)</f>
        <v>44.550188242333363</v>
      </c>
      <c r="T1341" s="3399"/>
      <c r="U1341" s="587">
        <f>+((S1341*S1325*S1307)+(T1341*T1325*T1307))/(U1325*U1307)</f>
        <v>38.578801189020247</v>
      </c>
      <c r="V1341" s="3399"/>
      <c r="W1341" s="588">
        <f t="shared" si="3351"/>
        <v>0</v>
      </c>
      <c r="X1341" s="587">
        <f t="shared" si="3352"/>
        <v>33.513194698154294</v>
      </c>
      <c r="Y1341" s="3399"/>
      <c r="Z1341" s="587">
        <f>+((X1341*X1325*X1307)+(Y1341*Y1325*Y1307))/(Z1325*Z1307)</f>
        <v>29.757394015755391</v>
      </c>
      <c r="AA1341" s="3399"/>
      <c r="AB1341" s="587">
        <f t="shared" si="3353"/>
        <v>26.80856555681029</v>
      </c>
      <c r="AC1341" s="3399"/>
      <c r="AD1341" s="1463">
        <f t="shared" si="3354"/>
        <v>0</v>
      </c>
      <c r="AE1341" s="3039">
        <f t="shared" si="3355"/>
        <v>0</v>
      </c>
      <c r="AF1341" s="587">
        <f t="shared" si="3356"/>
        <v>24.519026968771648</v>
      </c>
    </row>
    <row r="1342" spans="1:38" ht="35" hidden="1" customHeight="1" thickBot="1" x14ac:dyDescent="0.3">
      <c r="C1342" s="508"/>
      <c r="D1342" s="7"/>
      <c r="E1342" s="530" t="s">
        <v>261</v>
      </c>
      <c r="F1342" s="4139"/>
      <c r="G1342" s="4139"/>
      <c r="H1342" s="585">
        <f>+((F1342*F1325*F1307)+(G1342*G1325*G1307))/(H1325*H1307)</f>
        <v>0</v>
      </c>
      <c r="I1342" s="4139"/>
      <c r="J1342" s="586">
        <v>23.5</v>
      </c>
      <c r="K1342" s="4139"/>
      <c r="L1342" s="585">
        <v>23.5</v>
      </c>
      <c r="M1342" s="4139"/>
      <c r="N1342" s="585">
        <v>23.5</v>
      </c>
      <c r="O1342" s="4139"/>
      <c r="P1342" s="586">
        <v>25.6</v>
      </c>
      <c r="Q1342" s="3039">
        <f t="shared" si="3350"/>
        <v>19.889562996077</v>
      </c>
      <c r="R1342" s="4139"/>
      <c r="S1342" s="585">
        <f>+((Q1342*Q1325*Q1307)+(R1342*R1325*R1307))/(S1325*S1307)</f>
        <v>16.940605561405079</v>
      </c>
      <c r="T1342" s="4139"/>
      <c r="U1342" s="585">
        <f>+((S1342*S1325*S1307)+(T1342*T1325*T1307))/(U1325*U1307)</f>
        <v>14.669932490970478</v>
      </c>
      <c r="V1342" s="4139"/>
      <c r="W1342" s="586">
        <f t="shared" si="3351"/>
        <v>0</v>
      </c>
      <c r="X1342" s="585">
        <f t="shared" si="3352"/>
        <v>12.743690540560285</v>
      </c>
      <c r="Y1342" s="4139"/>
      <c r="Z1342" s="585">
        <f>+((X1342*X1325*X1307)+(Y1342*Y1325*Y1307))/(Z1325*Z1307)</f>
        <v>11.315513905667499</v>
      </c>
      <c r="AA1342" s="4139"/>
      <c r="AB1342" s="587">
        <f t="shared" si="3353"/>
        <v>10.194195640534655</v>
      </c>
      <c r="AC1342" s="4139"/>
      <c r="AD1342" s="1463">
        <f t="shared" si="3354"/>
        <v>0</v>
      </c>
      <c r="AE1342" s="3039">
        <f t="shared" si="3355"/>
        <v>0</v>
      </c>
      <c r="AF1342" s="587">
        <f t="shared" si="3356"/>
        <v>9.3235782162804792</v>
      </c>
    </row>
    <row r="1343" spans="1:38" ht="35" customHeight="1" x14ac:dyDescent="0.25">
      <c r="C1343" s="508"/>
      <c r="D1343" s="543"/>
      <c r="E1343" s="3929" t="s">
        <v>1259</v>
      </c>
      <c r="F1343" s="3355">
        <v>193305</v>
      </c>
      <c r="G1343" s="3355">
        <v>200587</v>
      </c>
      <c r="H1343" s="534">
        <f t="shared" ref="H1343:H1362" si="3357">SUM(F1343:G1343)</f>
        <v>393892</v>
      </c>
      <c r="I1343" s="3355">
        <v>217076</v>
      </c>
      <c r="J1343" s="304">
        <f>SUM(H1343:I1343)</f>
        <v>610968</v>
      </c>
      <c r="K1343" s="3355">
        <v>235810</v>
      </c>
      <c r="L1343" s="363">
        <f t="shared" ref="L1343:N1361" si="3358">SUM(J1343:K1343)</f>
        <v>846778</v>
      </c>
      <c r="M1343" s="3355">
        <v>284005</v>
      </c>
      <c r="N1343" s="363">
        <f t="shared" si="3358"/>
        <v>1130783</v>
      </c>
      <c r="O1343" s="3355">
        <v>211339</v>
      </c>
      <c r="P1343" s="270">
        <f t="shared" ref="P1343:P1349" si="3359">+K1343+M1343+O1343</f>
        <v>731154</v>
      </c>
      <c r="Q1343" s="3124">
        <f t="shared" ref="Q1343:Q1349" si="3360">+J1343+P1343</f>
        <v>1342122</v>
      </c>
      <c r="R1343" s="3355">
        <v>245607</v>
      </c>
      <c r="S1343" s="360">
        <f>SUM(Q1343:R1343)</f>
        <v>1587729</v>
      </c>
      <c r="T1343" s="3355">
        <v>259308</v>
      </c>
      <c r="U1343" s="363">
        <f>SUM(S1343:T1343)</f>
        <v>1847037</v>
      </c>
      <c r="V1343" s="3355">
        <v>312366</v>
      </c>
      <c r="W1343" s="304">
        <f>+R1343+T1343+V1343</f>
        <v>817281</v>
      </c>
      <c r="X1343" s="363">
        <f>+U1343+V1343</f>
        <v>2159403</v>
      </c>
      <c r="Y1343" s="3355">
        <v>289415</v>
      </c>
      <c r="Z1343" s="363">
        <f>SUM(X1343:Y1343)</f>
        <v>2448818</v>
      </c>
      <c r="AA1343" s="3355">
        <v>286706</v>
      </c>
      <c r="AB1343" s="459">
        <f>SUM(Z1343:AA1343)</f>
        <v>2735524</v>
      </c>
      <c r="AC1343" s="3355">
        <v>268340</v>
      </c>
      <c r="AD1343" s="1422">
        <f t="shared" ref="AD1343:AD1349" si="3361">+Y1343+AA1343+AC1343</f>
        <v>844461</v>
      </c>
      <c r="AE1343" s="1458">
        <f t="shared" ref="AE1343:AE1349" si="3362">+W1343+AD1343</f>
        <v>1661742</v>
      </c>
      <c r="AF1343" s="1424">
        <f t="shared" ref="AF1343:AF1349" si="3363">+AB1343+AC1343</f>
        <v>3003864</v>
      </c>
    </row>
    <row r="1344" spans="1:38" ht="35" customHeight="1" x14ac:dyDescent="0.25">
      <c r="C1344" s="508"/>
      <c r="D1344" s="543"/>
      <c r="E1344" s="3929" t="s">
        <v>487</v>
      </c>
      <c r="F1344" s="3355">
        <v>61538</v>
      </c>
      <c r="G1344" s="3355">
        <v>65538</v>
      </c>
      <c r="H1344" s="534">
        <f t="shared" si="3357"/>
        <v>127076</v>
      </c>
      <c r="I1344" s="3355">
        <f>70341</f>
        <v>70341</v>
      </c>
      <c r="J1344" s="313">
        <f>SUM(H1344:I1344)</f>
        <v>197417</v>
      </c>
      <c r="K1344" s="3355">
        <v>81281</v>
      </c>
      <c r="L1344" s="296">
        <f t="shared" si="3358"/>
        <v>278698</v>
      </c>
      <c r="M1344" s="3355">
        <v>92382</v>
      </c>
      <c r="N1344" s="296">
        <f t="shared" si="3358"/>
        <v>371080</v>
      </c>
      <c r="O1344" s="3355">
        <v>67360</v>
      </c>
      <c r="P1344" s="304">
        <f t="shared" si="3359"/>
        <v>241023</v>
      </c>
      <c r="Q1344" s="2128">
        <f t="shared" si="3360"/>
        <v>438440</v>
      </c>
      <c r="R1344" s="3355">
        <v>76322</v>
      </c>
      <c r="S1344" s="363">
        <f t="shared" ref="S1344:S1349" si="3364">SUM(Q1344:R1344)</f>
        <v>514762</v>
      </c>
      <c r="T1344" s="3355">
        <v>79677</v>
      </c>
      <c r="U1344" s="363">
        <f t="shared" ref="U1344:U1349" si="3365">SUM(S1344:T1344)</f>
        <v>594439</v>
      </c>
      <c r="V1344" s="3355">
        <v>89851</v>
      </c>
      <c r="W1344" s="304">
        <f t="shared" ref="W1344:W1362" si="3366">+R1344+T1344+V1344</f>
        <v>245850</v>
      </c>
      <c r="X1344" s="363">
        <f t="shared" ref="X1344:X1362" si="3367">+U1344+V1344</f>
        <v>684290</v>
      </c>
      <c r="Y1344" s="3355">
        <v>86367</v>
      </c>
      <c r="Z1344" s="363">
        <f t="shared" ref="Z1344:AB1360" si="3368">SUM(X1344:Y1344)</f>
        <v>770657</v>
      </c>
      <c r="AA1344" s="3355">
        <v>84769</v>
      </c>
      <c r="AB1344" s="296">
        <f t="shared" si="3368"/>
        <v>855426</v>
      </c>
      <c r="AC1344" s="3355">
        <v>79878</v>
      </c>
      <c r="AD1344" s="713">
        <f t="shared" si="3361"/>
        <v>251014</v>
      </c>
      <c r="AE1344" s="1290">
        <f t="shared" si="3362"/>
        <v>496864</v>
      </c>
      <c r="AF1344" s="712">
        <f t="shared" si="3363"/>
        <v>935304</v>
      </c>
    </row>
    <row r="1345" spans="3:32" ht="35" customHeight="1" x14ac:dyDescent="0.25">
      <c r="C1345" s="508"/>
      <c r="D1345" s="543"/>
      <c r="E1345" s="3929" t="s">
        <v>494</v>
      </c>
      <c r="F1345" s="3356">
        <v>7233</v>
      </c>
      <c r="G1345" s="3356">
        <v>8201</v>
      </c>
      <c r="H1345" s="535">
        <f>SUM(F1345:G1345)</f>
        <v>15434</v>
      </c>
      <c r="I1345" s="3356">
        <v>8275</v>
      </c>
      <c r="J1345" s="313">
        <f t="shared" ref="J1345:J1349" si="3369">SUM(H1345:I1345)</f>
        <v>23709</v>
      </c>
      <c r="K1345" s="3356">
        <v>10178</v>
      </c>
      <c r="L1345" s="296">
        <f t="shared" si="3358"/>
        <v>33887</v>
      </c>
      <c r="M1345" s="3356">
        <v>10153</v>
      </c>
      <c r="N1345" s="296">
        <f t="shared" si="3358"/>
        <v>44040</v>
      </c>
      <c r="O1345" s="3356">
        <v>8461</v>
      </c>
      <c r="P1345" s="304">
        <f t="shared" si="3359"/>
        <v>28792</v>
      </c>
      <c r="Q1345" s="2128">
        <f t="shared" si="3360"/>
        <v>52501</v>
      </c>
      <c r="R1345" s="3356">
        <v>9238</v>
      </c>
      <c r="S1345" s="363">
        <f t="shared" si="3364"/>
        <v>61739</v>
      </c>
      <c r="T1345" s="3356">
        <v>10008</v>
      </c>
      <c r="U1345" s="363">
        <f t="shared" si="3365"/>
        <v>71747</v>
      </c>
      <c r="V1345" s="3356">
        <v>12207</v>
      </c>
      <c r="W1345" s="304">
        <f t="shared" si="3366"/>
        <v>31453</v>
      </c>
      <c r="X1345" s="363">
        <f t="shared" si="3367"/>
        <v>83954</v>
      </c>
      <c r="Y1345" s="3356">
        <v>11160</v>
      </c>
      <c r="Z1345" s="363">
        <f t="shared" si="3368"/>
        <v>95114</v>
      </c>
      <c r="AA1345" s="3356">
        <v>11207</v>
      </c>
      <c r="AB1345" s="296">
        <f t="shared" si="3368"/>
        <v>106321</v>
      </c>
      <c r="AC1345" s="3356">
        <v>11585</v>
      </c>
      <c r="AD1345" s="713">
        <f t="shared" si="3361"/>
        <v>33952</v>
      </c>
      <c r="AE1345" s="1290">
        <f t="shared" si="3362"/>
        <v>65405</v>
      </c>
      <c r="AF1345" s="712">
        <f t="shared" si="3363"/>
        <v>117906</v>
      </c>
    </row>
    <row r="1346" spans="3:32" ht="35" customHeight="1" x14ac:dyDescent="0.25">
      <c r="C1346" s="508"/>
      <c r="D1346" s="543"/>
      <c r="E1346" s="3930" t="s">
        <v>980</v>
      </c>
      <c r="F1346" s="3357">
        <v>9694</v>
      </c>
      <c r="G1346" s="3357">
        <v>10497</v>
      </c>
      <c r="H1346" s="535">
        <f>SUM(F1346:G1346)</f>
        <v>20191</v>
      </c>
      <c r="I1346" s="3357">
        <v>12504</v>
      </c>
      <c r="J1346" s="313">
        <f t="shared" si="3369"/>
        <v>32695</v>
      </c>
      <c r="K1346" s="3357">
        <v>17493</v>
      </c>
      <c r="L1346" s="296">
        <f t="shared" si="3358"/>
        <v>50188</v>
      </c>
      <c r="M1346" s="3357">
        <v>25690</v>
      </c>
      <c r="N1346" s="296">
        <f t="shared" si="3358"/>
        <v>75878</v>
      </c>
      <c r="O1346" s="3357">
        <v>14644</v>
      </c>
      <c r="P1346" s="304">
        <f t="shared" si="3359"/>
        <v>57827</v>
      </c>
      <c r="Q1346" s="2128">
        <f t="shared" si="3360"/>
        <v>90522</v>
      </c>
      <c r="R1346" s="3357">
        <v>20985</v>
      </c>
      <c r="S1346" s="363">
        <f t="shared" si="3364"/>
        <v>111507</v>
      </c>
      <c r="T1346" s="3357">
        <v>24156</v>
      </c>
      <c r="U1346" s="363">
        <f t="shared" si="3365"/>
        <v>135663</v>
      </c>
      <c r="V1346" s="3357">
        <v>32583</v>
      </c>
      <c r="W1346" s="304">
        <f t="shared" si="3366"/>
        <v>77724</v>
      </c>
      <c r="X1346" s="363">
        <f t="shared" si="3367"/>
        <v>168246</v>
      </c>
      <c r="Y1346" s="3357">
        <v>30461</v>
      </c>
      <c r="Z1346" s="363">
        <f t="shared" si="3368"/>
        <v>198707</v>
      </c>
      <c r="AA1346" s="3357">
        <v>30934</v>
      </c>
      <c r="AB1346" s="296">
        <f t="shared" si="3368"/>
        <v>229641</v>
      </c>
      <c r="AC1346" s="3357">
        <v>26883</v>
      </c>
      <c r="AD1346" s="713">
        <f t="shared" si="3361"/>
        <v>88278</v>
      </c>
      <c r="AE1346" s="1290">
        <f t="shared" si="3362"/>
        <v>166002</v>
      </c>
      <c r="AF1346" s="712">
        <f t="shared" si="3363"/>
        <v>256524</v>
      </c>
    </row>
    <row r="1347" spans="3:32" ht="35" customHeight="1" x14ac:dyDescent="0.25">
      <c r="C1347" s="508"/>
      <c r="D1347" s="543"/>
      <c r="E1347" s="3931" t="s">
        <v>1260</v>
      </c>
      <c r="F1347" s="3356">
        <v>40770</v>
      </c>
      <c r="G1347" s="3356">
        <v>47825</v>
      </c>
      <c r="H1347" s="535">
        <f t="shared" si="3357"/>
        <v>88595</v>
      </c>
      <c r="I1347" s="3356">
        <v>49525</v>
      </c>
      <c r="J1347" s="313">
        <f t="shared" si="3369"/>
        <v>138120</v>
      </c>
      <c r="K1347" s="3356">
        <v>72367</v>
      </c>
      <c r="L1347" s="296">
        <f t="shared" si="3358"/>
        <v>210487</v>
      </c>
      <c r="M1347" s="3358">
        <v>87934</v>
      </c>
      <c r="N1347" s="296">
        <f t="shared" si="3358"/>
        <v>298421</v>
      </c>
      <c r="O1347" s="3358">
        <v>62895</v>
      </c>
      <c r="P1347" s="304">
        <f t="shared" si="3359"/>
        <v>223196</v>
      </c>
      <c r="Q1347" s="2128">
        <f t="shared" si="3360"/>
        <v>361316</v>
      </c>
      <c r="R1347" s="3358">
        <v>75674</v>
      </c>
      <c r="S1347" s="3115">
        <f t="shared" si="3364"/>
        <v>436990</v>
      </c>
      <c r="T1347" s="3356">
        <v>79837</v>
      </c>
      <c r="U1347" s="2280">
        <f t="shared" si="3365"/>
        <v>516827</v>
      </c>
      <c r="V1347" s="3358">
        <v>88315</v>
      </c>
      <c r="W1347" s="304">
        <f t="shared" si="3366"/>
        <v>243826</v>
      </c>
      <c r="X1347" s="363">
        <f t="shared" si="3367"/>
        <v>605142</v>
      </c>
      <c r="Y1347" s="3356">
        <v>87154</v>
      </c>
      <c r="Z1347" s="2280">
        <f t="shared" si="3368"/>
        <v>692296</v>
      </c>
      <c r="AA1347" s="3356">
        <v>90591</v>
      </c>
      <c r="AB1347" s="296">
        <f t="shared" si="3368"/>
        <v>782887</v>
      </c>
      <c r="AC1347" s="3356">
        <v>81768</v>
      </c>
      <c r="AD1347" s="713">
        <f t="shared" si="3361"/>
        <v>259513</v>
      </c>
      <c r="AE1347" s="1290">
        <f t="shared" si="3362"/>
        <v>503339</v>
      </c>
      <c r="AF1347" s="712">
        <f t="shared" si="3363"/>
        <v>864655</v>
      </c>
    </row>
    <row r="1348" spans="3:32" ht="35" customHeight="1" x14ac:dyDescent="0.25">
      <c r="C1348" s="508"/>
      <c r="D1348" s="543"/>
      <c r="E1348" s="3929" t="s">
        <v>981</v>
      </c>
      <c r="F1348" s="3355">
        <v>2310</v>
      </c>
      <c r="G1348" s="3355">
        <v>3507</v>
      </c>
      <c r="H1348" s="534">
        <f t="shared" ref="H1348:H1349" si="3370">SUM(F1348:G1348)</f>
        <v>5817</v>
      </c>
      <c r="I1348" s="3355">
        <v>2613</v>
      </c>
      <c r="J1348" s="313">
        <f t="shared" si="3369"/>
        <v>8430</v>
      </c>
      <c r="K1348" s="3355">
        <v>3851</v>
      </c>
      <c r="L1348" s="296">
        <f t="shared" si="3358"/>
        <v>12281</v>
      </c>
      <c r="M1348" s="3355">
        <v>1749</v>
      </c>
      <c r="N1348" s="296">
        <f t="shared" si="3358"/>
        <v>14030</v>
      </c>
      <c r="O1348" s="3355">
        <v>156</v>
      </c>
      <c r="P1348" s="304">
        <f t="shared" si="3359"/>
        <v>5756</v>
      </c>
      <c r="Q1348" s="2128">
        <f t="shared" si="3360"/>
        <v>14186</v>
      </c>
      <c r="R1348" s="3355">
        <v>352</v>
      </c>
      <c r="S1348" s="363">
        <f t="shared" si="3364"/>
        <v>14538</v>
      </c>
      <c r="T1348" s="3355">
        <v>1712</v>
      </c>
      <c r="U1348" s="363">
        <f t="shared" si="3365"/>
        <v>16250</v>
      </c>
      <c r="V1348" s="3355">
        <v>599</v>
      </c>
      <c r="W1348" s="304">
        <f t="shared" si="3366"/>
        <v>2663</v>
      </c>
      <c r="X1348" s="363">
        <f t="shared" si="3367"/>
        <v>16849</v>
      </c>
      <c r="Y1348" s="3355">
        <v>3021</v>
      </c>
      <c r="Z1348" s="363">
        <f t="shared" si="3368"/>
        <v>19870</v>
      </c>
      <c r="AA1348" s="3355">
        <v>1564</v>
      </c>
      <c r="AB1348" s="296">
        <f t="shared" si="3368"/>
        <v>21434</v>
      </c>
      <c r="AC1348" s="3355">
        <v>4399</v>
      </c>
      <c r="AD1348" s="713">
        <f t="shared" si="3361"/>
        <v>8984</v>
      </c>
      <c r="AE1348" s="1290">
        <f t="shared" si="3362"/>
        <v>11647</v>
      </c>
      <c r="AF1348" s="712">
        <f t="shared" si="3363"/>
        <v>25833</v>
      </c>
    </row>
    <row r="1349" spans="3:32" ht="35" customHeight="1" thickBot="1" x14ac:dyDescent="0.3">
      <c r="C1349" s="508"/>
      <c r="D1349" s="543"/>
      <c r="E1349" s="3932" t="s">
        <v>982</v>
      </c>
      <c r="F1349" s="3359">
        <v>3153</v>
      </c>
      <c r="G1349" s="3359">
        <v>3753</v>
      </c>
      <c r="H1349" s="536">
        <f t="shared" si="3370"/>
        <v>6906</v>
      </c>
      <c r="I1349" s="3359">
        <v>4682</v>
      </c>
      <c r="J1349" s="314">
        <f t="shared" si="3369"/>
        <v>11588</v>
      </c>
      <c r="K1349" s="3359">
        <v>4450</v>
      </c>
      <c r="L1349" s="579">
        <f t="shared" si="3358"/>
        <v>16038</v>
      </c>
      <c r="M1349" s="3359">
        <v>5548</v>
      </c>
      <c r="N1349" s="579">
        <f t="shared" si="3358"/>
        <v>21586</v>
      </c>
      <c r="O1349" s="3359">
        <v>3247</v>
      </c>
      <c r="P1349" s="314">
        <f t="shared" si="3359"/>
        <v>13245</v>
      </c>
      <c r="Q1349" s="3081">
        <f t="shared" si="3360"/>
        <v>24833</v>
      </c>
      <c r="R1349" s="3359">
        <v>2591</v>
      </c>
      <c r="S1349" s="579">
        <f t="shared" si="3364"/>
        <v>27424</v>
      </c>
      <c r="T1349" s="3359">
        <v>1918</v>
      </c>
      <c r="U1349" s="579">
        <f t="shared" si="3365"/>
        <v>29342</v>
      </c>
      <c r="V1349" s="3359">
        <v>2333</v>
      </c>
      <c r="W1349" s="314">
        <f t="shared" si="3366"/>
        <v>6842</v>
      </c>
      <c r="X1349" s="579">
        <f t="shared" si="3367"/>
        <v>31675</v>
      </c>
      <c r="Y1349" s="3359">
        <v>3293</v>
      </c>
      <c r="Z1349" s="579">
        <f t="shared" si="3368"/>
        <v>34968</v>
      </c>
      <c r="AA1349" s="3359">
        <v>2770</v>
      </c>
      <c r="AB1349" s="579">
        <f t="shared" si="3368"/>
        <v>37738</v>
      </c>
      <c r="AC1349" s="3359">
        <v>4917</v>
      </c>
      <c r="AD1349" s="2529">
        <f t="shared" si="3361"/>
        <v>10980</v>
      </c>
      <c r="AE1349" s="1296">
        <f t="shared" si="3362"/>
        <v>17822</v>
      </c>
      <c r="AF1349" s="2549">
        <f t="shared" si="3363"/>
        <v>42655</v>
      </c>
    </row>
    <row r="1350" spans="3:32" ht="35" customHeight="1" x14ac:dyDescent="0.25">
      <c r="C1350" s="508"/>
      <c r="D1350" s="543"/>
      <c r="E1350" s="3929" t="s">
        <v>1330</v>
      </c>
      <c r="F1350" s="5794">
        <v>0.79</v>
      </c>
      <c r="G1350" s="5794">
        <v>1.1399999999999999</v>
      </c>
      <c r="H1350" s="1976">
        <f>+((F1350*F1353)+(G1350*G1353))/H1353</f>
        <v>0.97195791641732876</v>
      </c>
      <c r="I1350" s="5794">
        <v>1.04</v>
      </c>
      <c r="J1350" s="245">
        <f>+((H1350*H1353)+(I1350*I1353))/J1353</f>
        <v>0.99645090896135247</v>
      </c>
      <c r="K1350" s="5794">
        <v>1.1599999999999999</v>
      </c>
      <c r="L1350" s="2838">
        <f>+((J1350*J1353)+(K1350*K1353))/L1353</f>
        <v>1.0452479486041759</v>
      </c>
      <c r="M1350" s="3360">
        <v>0.99</v>
      </c>
      <c r="N1350" s="2838">
        <f>+((L1350*L1353)+(M1350*M1353))/N1353</f>
        <v>1.0364320829437903</v>
      </c>
      <c r="O1350" s="3360">
        <v>1.18</v>
      </c>
      <c r="P1350" s="351">
        <f>+((K1350*K1353)+(M1350*M1353)+(O1350*O1353))/P1353</f>
        <v>1.118700703455314</v>
      </c>
      <c r="Q1350" s="2136">
        <f>+((N1350*N1353)+(O1350*O1353))/Q1353</f>
        <v>1.0568800756705627</v>
      </c>
      <c r="R1350" s="3360">
        <v>1.17</v>
      </c>
      <c r="S1350" s="2838">
        <f>+((Q1350*Q1353)+(R1350*R1353))/S1353</f>
        <v>1.0708651785185623</v>
      </c>
      <c r="T1350" s="3360">
        <v>0.96</v>
      </c>
      <c r="U1350" s="2838">
        <f>+((S1350*S1353)+(T1350*T1353))/U1353</f>
        <v>1.0548349355240632</v>
      </c>
      <c r="V1350" s="3360">
        <v>0.92</v>
      </c>
      <c r="W1350" s="351">
        <f>+((R1350*R1353)+(T1350*T1353)+(V1350*V1353))/W1353</f>
        <v>1.0000771999899303</v>
      </c>
      <c r="X1350" s="2838">
        <f>+((U1350*U1353)+(V1350*V1353))/X1353</f>
        <v>1.0370397085460716</v>
      </c>
      <c r="Y1350" s="3360">
        <v>0.91</v>
      </c>
      <c r="Z1350" s="2838">
        <f>+((X1350*X1353)+(Y1350*Y1353))/Z1353</f>
        <v>1.0224522824268054</v>
      </c>
      <c r="AA1350" s="3360">
        <v>0.8</v>
      </c>
      <c r="AB1350" s="3258">
        <f>+((Z1350*Z1353)+(AA1350*AA1353))/AB1353</f>
        <v>0.99956132551936661</v>
      </c>
      <c r="AC1350" s="3360">
        <v>0.73</v>
      </c>
      <c r="AD1350" s="351">
        <f>+((Y1350*Y1353)+(AA1350*AA1353)+(AC1350*AC1353))/AD1353</f>
        <v>0.81395402141821682</v>
      </c>
      <c r="AE1350" s="2136">
        <f>+((W1350*W1353)+(AD1350*AD1353))/AE1353</f>
        <v>0.90234784480010188</v>
      </c>
      <c r="AF1350" s="2838">
        <f>+((AB1350*AB1353)+(AC1350*AC1353))/AF1353</f>
        <v>0.97489035676603741</v>
      </c>
    </row>
    <row r="1351" spans="3:32" ht="35" customHeight="1" thickBot="1" x14ac:dyDescent="0.3">
      <c r="C1351" s="508"/>
      <c r="D1351" s="543"/>
      <c r="E1351" s="3929" t="s">
        <v>1331</v>
      </c>
      <c r="F1351" s="5794">
        <v>3.03</v>
      </c>
      <c r="G1351" s="5794">
        <v>3.99</v>
      </c>
      <c r="H1351" s="1976">
        <f>+((F1351*F1359)+(G1351*G1359))/H1359</f>
        <v>3.5317046964577243</v>
      </c>
      <c r="I1351" s="5794">
        <v>4.09</v>
      </c>
      <c r="J1351" s="245">
        <f>+((H1351*H1359)+(I1351*I1359))/J1359</f>
        <v>3.7399573900830774</v>
      </c>
      <c r="K1351" s="5794">
        <v>4.38</v>
      </c>
      <c r="L1351" s="399">
        <f>+((J1351*J1359)+(K1351*K1359))/L1359</f>
        <v>3.9409264007054561</v>
      </c>
      <c r="M1351" s="3361">
        <v>4.2</v>
      </c>
      <c r="N1351" s="399">
        <f>+((L1351*L1359)+(M1351*M1359))/N1359</f>
        <v>3.9766892348403813</v>
      </c>
      <c r="O1351" s="3362">
        <v>5.15</v>
      </c>
      <c r="P1351" s="352">
        <f>+((K1351*K1359)+(M1351*M1359)+(O1351*O1359))/P1359</f>
        <v>4.4950213147248093</v>
      </c>
      <c r="Q1351" s="2150">
        <f>+((N1351*N1359)+(O1351*O1359))/Q1359</f>
        <v>4.0926838580380025</v>
      </c>
      <c r="R1351" s="3361">
        <v>5.67</v>
      </c>
      <c r="S1351" s="399">
        <f>+((Q1351*Q1359)+(R1351*R1359))/S1359</f>
        <v>4.2464375579545068</v>
      </c>
      <c r="T1351" s="3361">
        <v>3.34</v>
      </c>
      <c r="U1351" s="399">
        <f>+((S1351*S1359)+(T1351*T1359))/U1359</f>
        <v>4.1369567099131386</v>
      </c>
      <c r="V1351" s="3361">
        <v>3.22</v>
      </c>
      <c r="W1351" s="352">
        <f>+((R1351*R1359)+(T1351*T1359)+(V1351*V1359))/W1359</f>
        <v>3.8403719157695626</v>
      </c>
      <c r="X1351" s="399">
        <f>+((U1351*U1359)+(V1351*V1359))/X1359</f>
        <v>4.0136647878244052</v>
      </c>
      <c r="Y1351" s="3361">
        <v>3.55</v>
      </c>
      <c r="Z1351" s="399">
        <f>+((X1351*X1359)+(Y1351*Y1359))/Z1359</f>
        <v>3.9669227455035405</v>
      </c>
      <c r="AA1351" s="3361">
        <v>3.41</v>
      </c>
      <c r="AB1351" s="3259">
        <f>+((Z1351*Z1359)+(AA1351*AA1359))/AB1359</f>
        <v>3.9001786428384286</v>
      </c>
      <c r="AC1351" s="3361">
        <v>3.66</v>
      </c>
      <c r="AD1351" s="352">
        <f>+((Y1351*Y1359)+(AA1351*AA1359)+(AC1351*AC1359))/AD1359</f>
        <v>3.5406486430495137</v>
      </c>
      <c r="AE1351" s="2150">
        <f>+((W1351*W1359)+(AD1351*AD1359))/AE1359</f>
        <v>3.6685859485389285</v>
      </c>
      <c r="AF1351" s="399">
        <f>+((AB1351*AB1359)+(AC1351*AC1359))/AF1359</f>
        <v>3.8736371330271009</v>
      </c>
    </row>
    <row r="1352" spans="3:32" ht="35" customHeight="1" thickBot="1" x14ac:dyDescent="0.3">
      <c r="C1352" s="508"/>
      <c r="D1352" s="543"/>
      <c r="E1352" s="3929" t="s">
        <v>1332</v>
      </c>
      <c r="F1352" s="5794">
        <v>4.16</v>
      </c>
      <c r="G1352" s="5794">
        <v>4.58</v>
      </c>
      <c r="H1352" s="1976">
        <f>+((F1352*F1361)+(G1352*G1361))/H1361</f>
        <v>4.3932965517241387</v>
      </c>
      <c r="I1352" s="5794">
        <v>4.76</v>
      </c>
      <c r="J1352" s="245">
        <f>+((H1352*H1361)+(I1352*I1361))/J1361</f>
        <v>4.5104164152082076</v>
      </c>
      <c r="K1352" s="5794">
        <v>6.22</v>
      </c>
      <c r="L1352" s="2893">
        <f>+((J1352*J1361)+(K1352*K1361))/L1361</f>
        <v>4.9061961814949369</v>
      </c>
      <c r="M1352" s="3362">
        <v>4.57</v>
      </c>
      <c r="N1352" s="2893">
        <f>+((L1352*L1361)+(M1352*M1361))/N1361</f>
        <v>4.8353834889254994</v>
      </c>
      <c r="O1352" s="3362">
        <v>4.7699999999999996</v>
      </c>
      <c r="P1352" s="2898">
        <f>+((K1352*K1361)+(M1352*M1361)+(O1352*O1361))/P1361</f>
        <v>5.1722559565329123</v>
      </c>
      <c r="Q1352" s="3040">
        <f>+((N1352*N1361)+(O1352*O1361))/Q1361</f>
        <v>4.8263341803206874</v>
      </c>
      <c r="R1352" s="3362">
        <v>5.26</v>
      </c>
      <c r="S1352" s="2893">
        <f>+((Q1352*Q1361)+(R1352*R1361))/S1361</f>
        <v>4.8937555128015395</v>
      </c>
      <c r="T1352" s="3362">
        <v>4.09</v>
      </c>
      <c r="U1352" s="2893">
        <f>+((S1352*S1361)+(T1352*T1361))/U1361</f>
        <v>4.769407033038517</v>
      </c>
      <c r="V1352" s="3362">
        <v>3.9</v>
      </c>
      <c r="W1352" s="2898">
        <f>+((R1352*R1361)+(T1352*T1361)+(V1352*V1361))/W1361</f>
        <v>4.3095952433710023</v>
      </c>
      <c r="X1352" s="2893">
        <f>+((U1352*U1361)+(V1352*V1361))/X1361</f>
        <v>4.6114697692512427</v>
      </c>
      <c r="Y1352" s="3362">
        <v>4.43</v>
      </c>
      <c r="Z1352" s="2893">
        <f>+((X1352*X1361)+(Y1352*Y1361))/Z1361</f>
        <v>4.5849423107179685</v>
      </c>
      <c r="AA1352" s="3362">
        <v>4.3099999999999996</v>
      </c>
      <c r="AB1352" s="3260">
        <f>+((Z1352*Z1361)+(AA1352*AA1361))/AB1361</f>
        <v>4.547757277076923</v>
      </c>
      <c r="AC1352" s="3362">
        <v>3.69</v>
      </c>
      <c r="AD1352" s="2898">
        <f>+((Y1352*Y1361)+(AA1352*AA1361)+(AC1352*AC1361))/AD1361</f>
        <v>4.1494100144853769</v>
      </c>
      <c r="AE1352" s="3040">
        <f>+((W1352*W1361)+(AD1352*AD1361))/AE1361</f>
        <v>4.2203590940318199</v>
      </c>
      <c r="AF1352" s="2893">
        <f>+((AB1352*AB1361)+(AC1352*AC1361))/AF1361</f>
        <v>4.4528013416863832</v>
      </c>
    </row>
    <row r="1353" spans="3:32" ht="35" customHeight="1" thickBot="1" x14ac:dyDescent="0.3">
      <c r="C1353" s="508"/>
      <c r="D1353" s="543"/>
      <c r="E1353" s="2894" t="s">
        <v>1333</v>
      </c>
      <c r="F1353" s="3359">
        <v>34500</v>
      </c>
      <c r="G1353" s="3359">
        <v>37357</v>
      </c>
      <c r="H1353" s="534">
        <f t="shared" si="3357"/>
        <v>71857</v>
      </c>
      <c r="I1353" s="3359">
        <v>40414</v>
      </c>
      <c r="J1353" s="443">
        <f>SUM(H1353:I1353)</f>
        <v>112271</v>
      </c>
      <c r="K1353" s="3359">
        <v>47742</v>
      </c>
      <c r="L1353" s="2944">
        <f t="shared" si="3358"/>
        <v>160013</v>
      </c>
      <c r="M1353" s="3359">
        <v>30381</v>
      </c>
      <c r="N1353" s="2944">
        <f t="shared" ref="N1353:N1362" si="3371">SUM(L1353:M1353)</f>
        <v>190394</v>
      </c>
      <c r="O1353" s="3359">
        <v>31621</v>
      </c>
      <c r="P1353" s="361">
        <f t="shared" ref="P1353:P1362" si="3372">+K1353+M1353+O1353</f>
        <v>109744</v>
      </c>
      <c r="Q1353" s="2128">
        <f>+N1353+O1353</f>
        <v>222015</v>
      </c>
      <c r="R1353" s="3359">
        <v>31320</v>
      </c>
      <c r="S1353" s="363">
        <f t="shared" ref="S1353:S1362" si="3373">SUM(Q1353:R1353)</f>
        <v>253335</v>
      </c>
      <c r="T1353" s="3359">
        <v>42822</v>
      </c>
      <c r="U1353" s="363">
        <f>SUM(S1353:T1353)</f>
        <v>296157</v>
      </c>
      <c r="V1353" s="3359">
        <v>45029</v>
      </c>
      <c r="W1353" s="3120">
        <f t="shared" si="3366"/>
        <v>119171</v>
      </c>
      <c r="X1353" s="2944">
        <f t="shared" si="3367"/>
        <v>341186</v>
      </c>
      <c r="Y1353" s="3359">
        <v>44259</v>
      </c>
      <c r="Z1353" s="363">
        <f>SUM(X1353:Y1353)</f>
        <v>385445</v>
      </c>
      <c r="AA1353" s="3359">
        <v>44213</v>
      </c>
      <c r="AB1353" s="3261">
        <f>SUM(Z1353:AA1353)</f>
        <v>429658</v>
      </c>
      <c r="AC1353" s="3359">
        <v>43285</v>
      </c>
      <c r="AD1353" s="1384">
        <f t="shared" ref="AD1353:AD1361" si="3374">+Y1353+AA1353+AC1353</f>
        <v>131757</v>
      </c>
      <c r="AE1353" s="1423">
        <f t="shared" ref="AE1353:AE1362" si="3375">+W1353+AD1353</f>
        <v>250928</v>
      </c>
      <c r="AF1353" s="712">
        <f t="shared" ref="AF1353:AF1362" si="3376">+AB1353+AC1353</f>
        <v>472943</v>
      </c>
    </row>
    <row r="1354" spans="3:32" ht="35" customHeight="1" x14ac:dyDescent="0.25">
      <c r="C1354" s="508"/>
      <c r="D1354" s="543"/>
      <c r="E1354" s="53" t="s">
        <v>1263</v>
      </c>
      <c r="F1354" s="2744">
        <f>+F1353-(F1353*F1350/100)</f>
        <v>34227.449999999997</v>
      </c>
      <c r="G1354" s="2744">
        <f>+G1353-(G1353*G1350/100)</f>
        <v>36931.1302</v>
      </c>
      <c r="H1354" s="534">
        <f t="shared" si="3357"/>
        <v>71158.580199999997</v>
      </c>
      <c r="I1354" s="2744">
        <f>+I1353-(I1353*I1350/100)</f>
        <v>39993.6944</v>
      </c>
      <c r="J1354" s="304">
        <f>SUM(H1354:I1354)</f>
        <v>111152.2746</v>
      </c>
      <c r="K1354" s="2744">
        <f>+K1353-(K1353*K1350/100)</f>
        <v>47188.192799999997</v>
      </c>
      <c r="L1354" s="363">
        <f t="shared" si="3358"/>
        <v>158340.46739999999</v>
      </c>
      <c r="M1354" s="2744">
        <f>+M1353-(M1353*M1350/100)</f>
        <v>30080.2281</v>
      </c>
      <c r="N1354" s="363">
        <f t="shared" si="3371"/>
        <v>188420.6955</v>
      </c>
      <c r="O1354" s="2744">
        <f>+O1353-(O1353*O1350/100)</f>
        <v>31247.872200000002</v>
      </c>
      <c r="P1354" s="304">
        <f t="shared" si="3372"/>
        <v>108516.2931</v>
      </c>
      <c r="Q1354" s="2128">
        <f>+N1354+O1354</f>
        <v>219668.56770000001</v>
      </c>
      <c r="R1354" s="2744">
        <f>+R1353-(R1353*R1350/100)</f>
        <v>30953.556</v>
      </c>
      <c r="S1354" s="363">
        <f t="shared" si="3373"/>
        <v>250622.12370000003</v>
      </c>
      <c r="T1354" s="2744">
        <f>+T1353-(T1353*T1350/100)</f>
        <v>42410.908799999997</v>
      </c>
      <c r="U1354" s="363">
        <f>SUM(S1354:T1354)</f>
        <v>293033.03250000003</v>
      </c>
      <c r="V1354" s="2744">
        <f>+V1353-(V1353*V1350/100)</f>
        <v>44614.733200000002</v>
      </c>
      <c r="W1354" s="304">
        <f t="shared" si="3366"/>
        <v>117979.198</v>
      </c>
      <c r="X1354" s="363">
        <f t="shared" si="3367"/>
        <v>337647.76570000005</v>
      </c>
      <c r="Y1354" s="2744">
        <f>+Y1353-(Y1353*Y1350/100)</f>
        <v>43856.2431</v>
      </c>
      <c r="Z1354" s="363">
        <f>SUM(X1354:Y1354)</f>
        <v>381504.00880000007</v>
      </c>
      <c r="AA1354" s="2744">
        <f>+AA1353-(AA1353*AA1350/100)</f>
        <v>43859.296000000002</v>
      </c>
      <c r="AB1354" s="3283">
        <f>SUM(Z1354:AA1354)</f>
        <v>425363.30480000004</v>
      </c>
      <c r="AC1354" s="2744">
        <f>+AC1353-(AC1353*AC1350/100)</f>
        <v>42969.019500000002</v>
      </c>
      <c r="AD1354" s="1384">
        <f t="shared" ref="AD1354:AD1358" si="3377">+Y1354+AA1354+AC1354</f>
        <v>130684.55859999999</v>
      </c>
      <c r="AE1354" s="1292">
        <f t="shared" ref="AE1354:AE1358" si="3378">+W1354+AD1354</f>
        <v>248663.75659999999</v>
      </c>
      <c r="AF1354" s="712">
        <f t="shared" ref="AF1354:AF1358" si="3379">+AB1354+AC1354</f>
        <v>468332.32430000004</v>
      </c>
    </row>
    <row r="1355" spans="3:32" ht="35" customHeight="1" x14ac:dyDescent="0.25">
      <c r="C1355" s="508"/>
      <c r="D1355" s="543"/>
      <c r="E1355" s="53" t="s">
        <v>1303</v>
      </c>
      <c r="F1355" s="3355">
        <v>0</v>
      </c>
      <c r="G1355" s="3355">
        <v>0</v>
      </c>
      <c r="H1355" s="534">
        <f t="shared" si="3357"/>
        <v>0</v>
      </c>
      <c r="I1355" s="3355">
        <v>0</v>
      </c>
      <c r="J1355" s="304">
        <f t="shared" ref="J1355:J1362" si="3380">SUM(H1355:I1355)</f>
        <v>0</v>
      </c>
      <c r="K1355" s="3355">
        <v>0</v>
      </c>
      <c r="L1355" s="363">
        <f t="shared" si="3358"/>
        <v>0</v>
      </c>
      <c r="M1355" s="3355">
        <v>0</v>
      </c>
      <c r="N1355" s="363">
        <f t="shared" si="3371"/>
        <v>0</v>
      </c>
      <c r="O1355" s="3355">
        <v>0</v>
      </c>
      <c r="P1355" s="304">
        <f t="shared" si="3372"/>
        <v>0</v>
      </c>
      <c r="Q1355" s="2128">
        <f t="shared" ref="Q1355:Q1362" si="3381">+N1355+O1355</f>
        <v>0</v>
      </c>
      <c r="R1355" s="3355">
        <v>0</v>
      </c>
      <c r="S1355" s="363">
        <f t="shared" si="3373"/>
        <v>0</v>
      </c>
      <c r="T1355" s="3355">
        <v>0</v>
      </c>
      <c r="U1355" s="363">
        <f t="shared" ref="U1355:U1358" si="3382">SUM(S1355:T1355)</f>
        <v>0</v>
      </c>
      <c r="V1355" s="3355">
        <v>0</v>
      </c>
      <c r="W1355" s="304">
        <f t="shared" si="3366"/>
        <v>0</v>
      </c>
      <c r="X1355" s="363">
        <f t="shared" si="3367"/>
        <v>0</v>
      </c>
      <c r="Y1355" s="3355">
        <v>0</v>
      </c>
      <c r="Z1355" s="363">
        <f t="shared" ref="Z1355:Z1358" si="3383">SUM(X1355:Y1355)</f>
        <v>0</v>
      </c>
      <c r="AA1355" s="3355">
        <v>0</v>
      </c>
      <c r="AB1355" s="3283">
        <f t="shared" ref="AB1355:AB1358" si="3384">SUM(Z1355:AA1355)</f>
        <v>0</v>
      </c>
      <c r="AC1355" s="3355">
        <v>0</v>
      </c>
      <c r="AD1355" s="1384">
        <f t="shared" si="3377"/>
        <v>0</v>
      </c>
      <c r="AE1355" s="1292">
        <f t="shared" si="3378"/>
        <v>0</v>
      </c>
      <c r="AF1355" s="712">
        <f t="shared" si="3379"/>
        <v>0</v>
      </c>
    </row>
    <row r="1356" spans="3:32" ht="35" customHeight="1" x14ac:dyDescent="0.25">
      <c r="C1356" s="508"/>
      <c r="D1356" s="543"/>
      <c r="E1356" s="53" t="s">
        <v>1304</v>
      </c>
      <c r="F1356" s="2744">
        <f>+F1355-(F1355*F1350/100)</f>
        <v>0</v>
      </c>
      <c r="G1356" s="2744">
        <f>+G1355-(G1355*G1350/100)</f>
        <v>0</v>
      </c>
      <c r="H1356" s="534">
        <f t="shared" si="3357"/>
        <v>0</v>
      </c>
      <c r="I1356" s="2744">
        <f>+I1355-(I1355*I1350/100)</f>
        <v>0</v>
      </c>
      <c r="J1356" s="304">
        <f t="shared" si="3380"/>
        <v>0</v>
      </c>
      <c r="K1356" s="2744">
        <f>+K1355-(K1355*K1350/100)</f>
        <v>0</v>
      </c>
      <c r="L1356" s="363">
        <f t="shared" si="3358"/>
        <v>0</v>
      </c>
      <c r="M1356" s="2744">
        <f>+M1355-(M1355*M1350/100)</f>
        <v>0</v>
      </c>
      <c r="N1356" s="363">
        <f t="shared" si="3371"/>
        <v>0</v>
      </c>
      <c r="O1356" s="2744">
        <f>+O1355-(O1355*O1350/100)</f>
        <v>0</v>
      </c>
      <c r="P1356" s="304">
        <f t="shared" si="3372"/>
        <v>0</v>
      </c>
      <c r="Q1356" s="2128">
        <f t="shared" si="3381"/>
        <v>0</v>
      </c>
      <c r="R1356" s="2744">
        <f>+R1355-(R1355*R1350/100)</f>
        <v>0</v>
      </c>
      <c r="S1356" s="363">
        <f t="shared" si="3373"/>
        <v>0</v>
      </c>
      <c r="T1356" s="2744">
        <f>+T1355-(T1355*T1350/100)</f>
        <v>0</v>
      </c>
      <c r="U1356" s="363">
        <f t="shared" si="3382"/>
        <v>0</v>
      </c>
      <c r="V1356" s="2744">
        <f>+V1355-(V1355*V1350/100)</f>
        <v>0</v>
      </c>
      <c r="W1356" s="304">
        <f t="shared" si="3366"/>
        <v>0</v>
      </c>
      <c r="X1356" s="363">
        <f t="shared" si="3367"/>
        <v>0</v>
      </c>
      <c r="Y1356" s="2744">
        <f>+Y1355-(Y1355*Y1350/100)</f>
        <v>0</v>
      </c>
      <c r="Z1356" s="363">
        <f t="shared" si="3383"/>
        <v>0</v>
      </c>
      <c r="AA1356" s="2744">
        <f>+AA1355-(AA1355*AA1350/100)</f>
        <v>0</v>
      </c>
      <c r="AB1356" s="3283">
        <f t="shared" si="3384"/>
        <v>0</v>
      </c>
      <c r="AC1356" s="2744">
        <f>+AC1355-(AC1355*AC1350/100)</f>
        <v>0</v>
      </c>
      <c r="AD1356" s="1384">
        <f t="shared" si="3377"/>
        <v>0</v>
      </c>
      <c r="AE1356" s="1292">
        <f t="shared" si="3378"/>
        <v>0</v>
      </c>
      <c r="AF1356" s="712">
        <f t="shared" si="3379"/>
        <v>0</v>
      </c>
    </row>
    <row r="1357" spans="3:32" ht="35" customHeight="1" x14ac:dyDescent="0.25">
      <c r="C1357" s="508"/>
      <c r="D1357" s="543"/>
      <c r="E1357" s="2894" t="s">
        <v>1261</v>
      </c>
      <c r="F1357" s="3675">
        <f>+F1353+F1355</f>
        <v>34500</v>
      </c>
      <c r="G1357" s="3675">
        <f>+G1353+G1355</f>
        <v>37357</v>
      </c>
      <c r="H1357" s="2896">
        <f t="shared" si="3357"/>
        <v>71857</v>
      </c>
      <c r="I1357" s="3675">
        <f>+I1353+I1355</f>
        <v>40414</v>
      </c>
      <c r="J1357" s="2897">
        <f t="shared" si="3380"/>
        <v>112271</v>
      </c>
      <c r="K1357" s="3675">
        <f>+K1353+K1355</f>
        <v>47742</v>
      </c>
      <c r="L1357" s="2945">
        <f t="shared" si="3358"/>
        <v>160013</v>
      </c>
      <c r="M1357" s="3675">
        <f>+M1353+M1355</f>
        <v>30381</v>
      </c>
      <c r="N1357" s="2945">
        <f t="shared" si="3371"/>
        <v>190394</v>
      </c>
      <c r="O1357" s="3675">
        <f>+O1353+O1355</f>
        <v>31621</v>
      </c>
      <c r="P1357" s="304">
        <f t="shared" si="3372"/>
        <v>109744</v>
      </c>
      <c r="Q1357" s="2128">
        <f t="shared" si="3381"/>
        <v>222015</v>
      </c>
      <c r="R1357" s="3675">
        <f>+R1353+R1355</f>
        <v>31320</v>
      </c>
      <c r="S1357" s="2945">
        <f t="shared" si="3373"/>
        <v>253335</v>
      </c>
      <c r="T1357" s="3675">
        <f>+T1353+T1355</f>
        <v>42822</v>
      </c>
      <c r="U1357" s="2945">
        <f t="shared" si="3382"/>
        <v>296157</v>
      </c>
      <c r="V1357" s="3675">
        <f>+V1353+V1355</f>
        <v>45029</v>
      </c>
      <c r="W1357" s="2897">
        <f t="shared" si="3366"/>
        <v>119171</v>
      </c>
      <c r="X1357" s="2945">
        <f t="shared" si="3367"/>
        <v>341186</v>
      </c>
      <c r="Y1357" s="3675">
        <f>+Y1353+Y1355</f>
        <v>44259</v>
      </c>
      <c r="Z1357" s="2945">
        <f t="shared" si="3383"/>
        <v>385445</v>
      </c>
      <c r="AA1357" s="3675">
        <f>+AA1353+AA1355</f>
        <v>44213</v>
      </c>
      <c r="AB1357" s="3284">
        <f t="shared" si="3384"/>
        <v>429658</v>
      </c>
      <c r="AC1357" s="3675">
        <f>+AC1353+AC1355</f>
        <v>43285</v>
      </c>
      <c r="AD1357" s="1384">
        <f t="shared" si="3377"/>
        <v>131757</v>
      </c>
      <c r="AE1357" s="1292">
        <f t="shared" si="3378"/>
        <v>250928</v>
      </c>
      <c r="AF1357" s="712">
        <f t="shared" si="3379"/>
        <v>472943</v>
      </c>
    </row>
    <row r="1358" spans="3:32" ht="35" customHeight="1" x14ac:dyDescent="0.25">
      <c r="C1358" s="508"/>
      <c r="D1358" s="543"/>
      <c r="E1358" s="53" t="s">
        <v>1262</v>
      </c>
      <c r="F1358" s="2744">
        <f>+F1357-(F1357*F1350/100)</f>
        <v>34227.449999999997</v>
      </c>
      <c r="G1358" s="2744">
        <f>+G1357-(G1357*G1350/100)</f>
        <v>36931.1302</v>
      </c>
      <c r="H1358" s="534">
        <f t="shared" si="3357"/>
        <v>71158.580199999997</v>
      </c>
      <c r="I1358" s="2744">
        <f>+I1357-(I1357*I1350/100)</f>
        <v>39993.6944</v>
      </c>
      <c r="J1358" s="304">
        <f t="shared" si="3380"/>
        <v>111152.2746</v>
      </c>
      <c r="K1358" s="2744">
        <f>+K1357-(K1357*K1350/100)</f>
        <v>47188.192799999997</v>
      </c>
      <c r="L1358" s="363">
        <f t="shared" si="3358"/>
        <v>158340.46739999999</v>
      </c>
      <c r="M1358" s="2744">
        <f>+M1357-(M1357*M1350/100)</f>
        <v>30080.2281</v>
      </c>
      <c r="N1358" s="363">
        <f t="shared" si="3371"/>
        <v>188420.6955</v>
      </c>
      <c r="O1358" s="2744">
        <f>+O1357-(O1357*O1350/100)</f>
        <v>31247.872200000002</v>
      </c>
      <c r="P1358" s="304">
        <f t="shared" si="3372"/>
        <v>108516.2931</v>
      </c>
      <c r="Q1358" s="2128">
        <f t="shared" si="3381"/>
        <v>219668.56770000001</v>
      </c>
      <c r="R1358" s="2744">
        <f>+R1357-(R1357*R1350/100)</f>
        <v>30953.556</v>
      </c>
      <c r="S1358" s="363">
        <f t="shared" si="3373"/>
        <v>250622.12370000003</v>
      </c>
      <c r="T1358" s="2744">
        <f>+T1357-(T1357*T1350/100)</f>
        <v>42410.908799999997</v>
      </c>
      <c r="U1358" s="363">
        <f t="shared" si="3382"/>
        <v>293033.03250000003</v>
      </c>
      <c r="V1358" s="2744">
        <f>+V1357-(V1357*V1350/100)</f>
        <v>44614.733200000002</v>
      </c>
      <c r="W1358" s="304">
        <f t="shared" si="3366"/>
        <v>117979.198</v>
      </c>
      <c r="X1358" s="363">
        <f t="shared" si="3367"/>
        <v>337647.76570000005</v>
      </c>
      <c r="Y1358" s="2744">
        <f>+Y1357-(Y1357*Y1350/100)</f>
        <v>43856.2431</v>
      </c>
      <c r="Z1358" s="363">
        <f t="shared" si="3383"/>
        <v>381504.00880000007</v>
      </c>
      <c r="AA1358" s="2744">
        <f>+AA1357-(AA1357*AA1350/100)</f>
        <v>43859.296000000002</v>
      </c>
      <c r="AB1358" s="3283">
        <f t="shared" si="3384"/>
        <v>425363.30480000004</v>
      </c>
      <c r="AC1358" s="2744">
        <f>+AC1357-(AC1357*AC1350/100)</f>
        <v>42969.019500000002</v>
      </c>
      <c r="AD1358" s="1384">
        <f t="shared" si="3377"/>
        <v>130684.55859999999</v>
      </c>
      <c r="AE1358" s="1292">
        <f t="shared" si="3378"/>
        <v>248663.75659999999</v>
      </c>
      <c r="AF1358" s="712">
        <f t="shared" si="3379"/>
        <v>468332.32430000004</v>
      </c>
    </row>
    <row r="1359" spans="3:32" ht="35" customHeight="1" x14ac:dyDescent="0.25">
      <c r="C1359" s="508"/>
      <c r="D1359" s="543"/>
      <c r="E1359" s="2895" t="s">
        <v>586</v>
      </c>
      <c r="F1359" s="3676">
        <v>12574</v>
      </c>
      <c r="G1359" s="3355">
        <v>13765</v>
      </c>
      <c r="H1359" s="2896">
        <f t="shared" si="3357"/>
        <v>26339</v>
      </c>
      <c r="I1359" s="3355">
        <v>15670</v>
      </c>
      <c r="J1359" s="2897">
        <f t="shared" si="3380"/>
        <v>42009</v>
      </c>
      <c r="K1359" s="3355">
        <v>19228</v>
      </c>
      <c r="L1359" s="2945">
        <f t="shared" si="3358"/>
        <v>61237</v>
      </c>
      <c r="M1359" s="3676">
        <v>9807</v>
      </c>
      <c r="N1359" s="2973">
        <f t="shared" si="3371"/>
        <v>71044</v>
      </c>
      <c r="O1359" s="3676">
        <v>7794</v>
      </c>
      <c r="P1359" s="304">
        <f t="shared" si="3372"/>
        <v>36829</v>
      </c>
      <c r="Q1359" s="2128">
        <f t="shared" si="3381"/>
        <v>78838</v>
      </c>
      <c r="R1359" s="3676">
        <v>8515</v>
      </c>
      <c r="S1359" s="2973">
        <f t="shared" si="3373"/>
        <v>87353</v>
      </c>
      <c r="T1359" s="3676">
        <v>12000</v>
      </c>
      <c r="U1359" s="2973">
        <f t="shared" ref="U1359:U1360" si="3385">SUM(S1359:T1359)</f>
        <v>99353</v>
      </c>
      <c r="V1359" s="3676">
        <v>15434</v>
      </c>
      <c r="W1359" s="2897">
        <f t="shared" si="3366"/>
        <v>35949</v>
      </c>
      <c r="X1359" s="2945">
        <f t="shared" si="3367"/>
        <v>114787</v>
      </c>
      <c r="Y1359" s="3676">
        <v>12869</v>
      </c>
      <c r="Z1359" s="2973">
        <f t="shared" ref="Z1359:Z1360" si="3386">SUM(X1359:Y1359)</f>
        <v>127656</v>
      </c>
      <c r="AA1359" s="3676">
        <v>17382</v>
      </c>
      <c r="AB1359" s="3284">
        <f t="shared" si="3368"/>
        <v>145038</v>
      </c>
      <c r="AC1359" s="3676">
        <v>18019</v>
      </c>
      <c r="AD1359" s="1384">
        <f t="shared" si="3374"/>
        <v>48270</v>
      </c>
      <c r="AE1359" s="1292">
        <f t="shared" si="3375"/>
        <v>84219</v>
      </c>
      <c r="AF1359" s="712">
        <f t="shared" si="3376"/>
        <v>163057</v>
      </c>
    </row>
    <row r="1360" spans="3:32" ht="34.5" customHeight="1" x14ac:dyDescent="0.25">
      <c r="C1360" s="508"/>
      <c r="D1360" s="543"/>
      <c r="E1360" s="54" t="s">
        <v>488</v>
      </c>
      <c r="F1360" s="532">
        <f>+F1359-(F1359*F1351/100)</f>
        <v>12193.007799999999</v>
      </c>
      <c r="G1360" s="532">
        <f>+G1359-(G1359*G1351/100)</f>
        <v>13215.7765</v>
      </c>
      <c r="H1360" s="534">
        <f t="shared" si="3357"/>
        <v>25408.784299999999</v>
      </c>
      <c r="I1360" s="532">
        <f>+I1359-(I1359*I1351/100)</f>
        <v>15029.097</v>
      </c>
      <c r="J1360" s="304">
        <f t="shared" si="3380"/>
        <v>40437.881300000001</v>
      </c>
      <c r="K1360" s="532">
        <f>+K1359-(K1359*K1351/100)</f>
        <v>18385.813600000001</v>
      </c>
      <c r="L1360" s="363">
        <f t="shared" si="3358"/>
        <v>58823.694900000002</v>
      </c>
      <c r="M1360" s="532">
        <f>+M1359-(M1359*M1351/100)</f>
        <v>9395.1059999999998</v>
      </c>
      <c r="N1360" s="296">
        <f t="shared" si="3371"/>
        <v>68218.800900000002</v>
      </c>
      <c r="O1360" s="532">
        <f>+O1359-(O1359*O1351/100)</f>
        <v>7392.6090000000004</v>
      </c>
      <c r="P1360" s="304">
        <f t="shared" si="3372"/>
        <v>35173.528600000005</v>
      </c>
      <c r="Q1360" s="2128">
        <f t="shared" si="3381"/>
        <v>75611.409899999999</v>
      </c>
      <c r="R1360" s="532">
        <f>+R1359-(R1359*R1351/100)</f>
        <v>8032.1994999999997</v>
      </c>
      <c r="S1360" s="296">
        <f t="shared" si="3373"/>
        <v>83643.609400000001</v>
      </c>
      <c r="T1360" s="532">
        <f>+T1359-(T1359*T1351/100)</f>
        <v>11599.2</v>
      </c>
      <c r="U1360" s="296">
        <f t="shared" si="3385"/>
        <v>95242.809399999998</v>
      </c>
      <c r="V1360" s="532">
        <f>+V1359-(V1359*V1351/100)</f>
        <v>14937.0252</v>
      </c>
      <c r="W1360" s="304">
        <f t="shared" si="3366"/>
        <v>34568.424700000003</v>
      </c>
      <c r="X1360" s="363">
        <f t="shared" si="3367"/>
        <v>110179.8346</v>
      </c>
      <c r="Y1360" s="532">
        <f>+Y1359-(Y1359*Y1351/100)</f>
        <v>12412.1505</v>
      </c>
      <c r="Z1360" s="296">
        <f t="shared" si="3386"/>
        <v>122591.98510000001</v>
      </c>
      <c r="AA1360" s="532">
        <f>+AA1359-(AA1359*AA1351/100)</f>
        <v>16789.273799999999</v>
      </c>
      <c r="AB1360" s="3283">
        <f t="shared" si="3368"/>
        <v>139381.25890000002</v>
      </c>
      <c r="AC1360" s="532">
        <f>+AC1359-(AC1359*AC1351/100)</f>
        <v>17359.5046</v>
      </c>
      <c r="AD1360" s="1384">
        <f t="shared" si="3374"/>
        <v>46560.928899999999</v>
      </c>
      <c r="AE1360" s="1292">
        <f t="shared" si="3375"/>
        <v>81129.353600000002</v>
      </c>
      <c r="AF1360" s="712">
        <f t="shared" si="3376"/>
        <v>156740.7635</v>
      </c>
    </row>
    <row r="1361" spans="1:32" ht="35" customHeight="1" x14ac:dyDescent="0.25">
      <c r="C1361" s="508"/>
      <c r="D1361" s="543"/>
      <c r="E1361" s="2895" t="s">
        <v>1334</v>
      </c>
      <c r="F1361" s="3150">
        <v>9024</v>
      </c>
      <c r="G1361" s="3150">
        <v>11276</v>
      </c>
      <c r="H1361" s="2901">
        <f t="shared" si="3357"/>
        <v>20300</v>
      </c>
      <c r="I1361" s="3150">
        <v>9526</v>
      </c>
      <c r="J1361" s="2902">
        <f t="shared" si="3380"/>
        <v>29826</v>
      </c>
      <c r="K1361" s="3150">
        <v>8985</v>
      </c>
      <c r="L1361" s="2945">
        <f t="shared" si="3358"/>
        <v>38811</v>
      </c>
      <c r="M1361" s="3150">
        <v>10356</v>
      </c>
      <c r="N1361" s="2973">
        <f t="shared" si="3371"/>
        <v>49167</v>
      </c>
      <c r="O1361" s="3150">
        <v>7898</v>
      </c>
      <c r="P1361" s="304">
        <f t="shared" si="3372"/>
        <v>27239</v>
      </c>
      <c r="Q1361" s="2128">
        <f t="shared" si="3381"/>
        <v>57065</v>
      </c>
      <c r="R1361" s="3150">
        <v>10505</v>
      </c>
      <c r="S1361" s="2973">
        <f t="shared" si="3373"/>
        <v>67570</v>
      </c>
      <c r="T1361" s="3150">
        <v>12367</v>
      </c>
      <c r="U1361" s="2973">
        <f t="shared" ref="U1361:U1362" si="3387">SUM(S1361:T1361)</f>
        <v>79937</v>
      </c>
      <c r="V1361" s="3150">
        <v>17745</v>
      </c>
      <c r="W1361" s="2897">
        <f t="shared" si="3366"/>
        <v>40617</v>
      </c>
      <c r="X1361" s="2945">
        <f t="shared" si="3367"/>
        <v>97682</v>
      </c>
      <c r="Y1361" s="3150">
        <v>16724</v>
      </c>
      <c r="Z1361" s="2973">
        <f t="shared" ref="Z1361:Z1362" si="3388">SUM(X1361:Y1361)</f>
        <v>114406</v>
      </c>
      <c r="AA1361" s="3150">
        <v>17893</v>
      </c>
      <c r="AB1361" s="3285">
        <f t="shared" ref="AB1361:AB1362" si="3389">SUM(Z1361:AA1361)</f>
        <v>132299</v>
      </c>
      <c r="AC1361" s="3150">
        <v>16469</v>
      </c>
      <c r="AD1361" s="1384">
        <f t="shared" si="3374"/>
        <v>51086</v>
      </c>
      <c r="AE1361" s="1292">
        <f t="shared" si="3375"/>
        <v>91703</v>
      </c>
      <c r="AF1361" s="712">
        <f t="shared" si="3376"/>
        <v>148768</v>
      </c>
    </row>
    <row r="1362" spans="1:32" ht="35" customHeight="1" thickBot="1" x14ac:dyDescent="0.3">
      <c r="C1362" s="508"/>
      <c r="D1362" s="543"/>
      <c r="E1362" s="2900" t="s">
        <v>1335</v>
      </c>
      <c r="F1362" s="531">
        <f>+F1361-(F1361*F1352/100)</f>
        <v>8648.6016</v>
      </c>
      <c r="G1362" s="531">
        <f>+G1361-(G1361*G1352/100)</f>
        <v>10759.5592</v>
      </c>
      <c r="H1362" s="2903">
        <f t="shared" si="3357"/>
        <v>19408.160799999998</v>
      </c>
      <c r="I1362" s="531">
        <f>+I1361-(I1361*I1352/100)</f>
        <v>9072.5624000000007</v>
      </c>
      <c r="J1362" s="2946">
        <f t="shared" si="3380"/>
        <v>28480.7232</v>
      </c>
      <c r="K1362" s="531">
        <f>+K1361-(K1361*K1352/100)</f>
        <v>8426.1329999999998</v>
      </c>
      <c r="L1362" s="363">
        <f t="shared" ref="L1362" si="3390">SUM(J1362:K1362)</f>
        <v>36906.856200000002</v>
      </c>
      <c r="M1362" s="531">
        <f>+M1361-(M1361*M1352/100)</f>
        <v>9882.7307999999994</v>
      </c>
      <c r="N1362" s="296">
        <f t="shared" si="3371"/>
        <v>46789.587</v>
      </c>
      <c r="O1362" s="531">
        <f>+O1361-(O1361*O1352/100)</f>
        <v>7521.2654000000002</v>
      </c>
      <c r="P1362" s="427">
        <f t="shared" si="3372"/>
        <v>25830.129199999999</v>
      </c>
      <c r="Q1362" s="3025">
        <f t="shared" si="3381"/>
        <v>54310.852400000003</v>
      </c>
      <c r="R1362" s="531">
        <f>+R1361-(R1361*R1352/100)</f>
        <v>9952.4369999999999</v>
      </c>
      <c r="S1362" s="296">
        <f t="shared" si="3373"/>
        <v>64263.289400000001</v>
      </c>
      <c r="T1362" s="531">
        <f>+T1361-(T1361*T1352/100)</f>
        <v>11861.189700000001</v>
      </c>
      <c r="U1362" s="296">
        <f t="shared" si="3387"/>
        <v>76124.479099999997</v>
      </c>
      <c r="V1362" s="531">
        <f>+V1361-(V1361*V1352/100)</f>
        <v>17052.945</v>
      </c>
      <c r="W1362" s="314">
        <f t="shared" si="3366"/>
        <v>38866.5717</v>
      </c>
      <c r="X1362" s="579">
        <f t="shared" si="3367"/>
        <v>93177.424100000004</v>
      </c>
      <c r="Y1362" s="531">
        <f>+Y1361-(Y1361*Y1352/100)</f>
        <v>15983.1268</v>
      </c>
      <c r="Z1362" s="296">
        <f t="shared" si="3388"/>
        <v>109160.5509</v>
      </c>
      <c r="AA1362" s="531">
        <f>+AA1361-(AA1361*AA1352/100)</f>
        <v>17121.811699999998</v>
      </c>
      <c r="AB1362" s="3263">
        <f t="shared" si="3389"/>
        <v>126282.36259999999</v>
      </c>
      <c r="AC1362" s="531">
        <f>+AC1361-(AC1361*AC1352/100)</f>
        <v>15861.293900000001</v>
      </c>
      <c r="AD1362" s="3286">
        <f t="shared" ref="AD1362" si="3391">+Y1362+AA1362+AC1362</f>
        <v>48966.232399999994</v>
      </c>
      <c r="AE1362" s="1292">
        <f t="shared" si="3375"/>
        <v>87832.804099999994</v>
      </c>
      <c r="AF1362" s="712">
        <f t="shared" si="3376"/>
        <v>142143.65649999998</v>
      </c>
    </row>
    <row r="1363" spans="1:32" ht="27.75" customHeight="1" thickBot="1" x14ac:dyDescent="0.3">
      <c r="C1363" s="508"/>
      <c r="D1363" s="543"/>
      <c r="E1363" s="2822" t="s">
        <v>1305</v>
      </c>
      <c r="F1363" s="2824">
        <f>+(F1356/(F1358+F1343+F1269))*100</f>
        <v>0</v>
      </c>
      <c r="G1363" s="2824">
        <f t="shared" ref="G1363" si="3392">+(G1356/(G1358+G1343+G1269))*100</f>
        <v>0</v>
      </c>
      <c r="H1363" s="2838">
        <f t="shared" ref="H1363:N1363" si="3393">+(H1356/(H1358+H1343+H1269))*100</f>
        <v>0</v>
      </c>
      <c r="I1363" s="2824">
        <f t="shared" si="3393"/>
        <v>0</v>
      </c>
      <c r="J1363" s="2865">
        <f t="shared" si="3393"/>
        <v>0</v>
      </c>
      <c r="K1363" s="2824">
        <f>+(K1356/(K1358+K1343+K1269))*100</f>
        <v>0</v>
      </c>
      <c r="L1363" s="2838">
        <f t="shared" si="3393"/>
        <v>0</v>
      </c>
      <c r="M1363" s="2824">
        <f t="shared" ref="M1363:O1363" si="3394">+(M1356/(M1358+M1343+M1269))*100</f>
        <v>0</v>
      </c>
      <c r="N1363" s="2838">
        <f t="shared" si="3393"/>
        <v>0</v>
      </c>
      <c r="O1363" s="2824">
        <f t="shared" si="3394"/>
        <v>0</v>
      </c>
      <c r="P1363" s="2865">
        <f t="shared" ref="P1363:Z1363" si="3395">+(P1356/(P1358+P1343+P1269))*100</f>
        <v>0</v>
      </c>
      <c r="Q1363" s="3041">
        <f t="shared" si="3395"/>
        <v>0</v>
      </c>
      <c r="R1363" s="2824">
        <f t="shared" si="3395"/>
        <v>0</v>
      </c>
      <c r="S1363" s="2838">
        <f t="shared" si="3395"/>
        <v>0</v>
      </c>
      <c r="T1363" s="2824">
        <f t="shared" si="3395"/>
        <v>0</v>
      </c>
      <c r="U1363" s="2838">
        <f t="shared" si="3395"/>
        <v>0</v>
      </c>
      <c r="V1363" s="2824">
        <f t="shared" ref="V1363" si="3396">+(V1356/(V1358+V1343+V1269))*100</f>
        <v>0</v>
      </c>
      <c r="W1363" s="2865">
        <f t="shared" si="3395"/>
        <v>0</v>
      </c>
      <c r="X1363" s="2838">
        <f t="shared" si="3395"/>
        <v>0</v>
      </c>
      <c r="Y1363" s="2824">
        <f t="shared" si="3395"/>
        <v>0</v>
      </c>
      <c r="Z1363" s="2838">
        <f t="shared" si="3395"/>
        <v>0</v>
      </c>
      <c r="AA1363" s="2824">
        <f t="shared" ref="AA1363" si="3397">+(AA1356/(AA1358+AA1343+AA1269))*100</f>
        <v>0</v>
      </c>
      <c r="AB1363" s="2838">
        <f t="shared" ref="AB1363:AC1363" si="3398">+(AB1356/(AB1358+AB1343+AB1269))*100</f>
        <v>0</v>
      </c>
      <c r="AC1363" s="2824">
        <f t="shared" si="3398"/>
        <v>0</v>
      </c>
      <c r="AD1363" s="3287">
        <f t="shared" ref="AD1363:AE1363" si="3399">+(AD1356/(AD1358+AD1343+AD1269))*100</f>
        <v>0</v>
      </c>
      <c r="AE1363" s="3041">
        <f t="shared" si="3399"/>
        <v>0</v>
      </c>
      <c r="AF1363" s="2838">
        <f t="shared" ref="AF1363" si="3400">+(AF1356/(AF1358+AF1343+AF1269))*100</f>
        <v>0</v>
      </c>
    </row>
    <row r="1364" spans="1:32" ht="29" thickBot="1" x14ac:dyDescent="0.3">
      <c r="C1364" s="508"/>
      <c r="D1364" s="543"/>
      <c r="E1364" s="2822" t="s">
        <v>1306</v>
      </c>
      <c r="F1364" s="2824">
        <f>+(F1354/(F1358+F1343+F1269))*100</f>
        <v>15.042887289263573</v>
      </c>
      <c r="G1364" s="2824">
        <f t="shared" ref="G1364" si="3401">+(G1354/(G1358+G1343+G1269))*100</f>
        <v>15.548762601365409</v>
      </c>
      <c r="H1364" s="2838">
        <f t="shared" ref="H1364:L1364" si="3402">+(H1354/(H1358+H1343+H1269))*100</f>
        <v>15.301256084746198</v>
      </c>
      <c r="I1364" s="2824">
        <f t="shared" si="3402"/>
        <v>15.490984865825045</v>
      </c>
      <c r="J1364" s="2865">
        <f t="shared" si="3402"/>
        <v>15.368984752969151</v>
      </c>
      <c r="K1364" s="2824">
        <f t="shared" si="3402"/>
        <v>16.615660726253491</v>
      </c>
      <c r="L1364" s="256">
        <f t="shared" si="3402"/>
        <v>15.720499655526387</v>
      </c>
      <c r="M1364" s="152">
        <f t="shared" ref="M1364:O1364" si="3403">+(M1354/(M1358+M1343+M1269))*100</f>
        <v>9.5770909959582404</v>
      </c>
      <c r="N1364" s="256">
        <f t="shared" ref="N1364" si="3404">+(N1354/(N1358+N1343+N1269))*100</f>
        <v>14.260163556229422</v>
      </c>
      <c r="O1364" s="152">
        <f t="shared" si="3403"/>
        <v>12.881106020542523</v>
      </c>
      <c r="P1364" s="255">
        <f t="shared" ref="P1364:R1364" si="3405">+(P1354/(P1358+P1343+P1269))*100</f>
        <v>12.908304371210525</v>
      </c>
      <c r="Q1364" s="238">
        <f t="shared" si="3405"/>
        <v>14.046248132831051</v>
      </c>
      <c r="R1364" s="152">
        <f t="shared" si="3405"/>
        <v>11.192324909847231</v>
      </c>
      <c r="S1364" s="256">
        <f t="shared" ref="S1364:T1364" si="3406">+(S1354/(S1358+S1343+S1269))*100</f>
        <v>13.617396371315529</v>
      </c>
      <c r="T1364" s="152">
        <f t="shared" si="3406"/>
        <v>14.056430526239527</v>
      </c>
      <c r="U1364" s="256">
        <f t="shared" ref="U1364:X1364" si="3407">+(U1354/(U1358+U1343+U1269))*100</f>
        <v>13.679233028564308</v>
      </c>
      <c r="V1364" s="152">
        <f t="shared" si="3407"/>
        <v>12.497798634696737</v>
      </c>
      <c r="W1364" s="255">
        <f t="shared" si="3407"/>
        <v>12.614585572260181</v>
      </c>
      <c r="X1364" s="256">
        <f t="shared" si="3407"/>
        <v>13.510476273506081</v>
      </c>
      <c r="Y1364" s="152">
        <f t="shared" ref="Y1364" si="3408">+(Y1354/(Y1358+Y1343+Y1269))*100</f>
        <v>13.159324126516573</v>
      </c>
      <c r="Z1364" s="256">
        <f t="shared" ref="Z1364:AA1364" si="3409">+(Z1354/(Z1358+Z1343+Z1269))*100</f>
        <v>13.46915872605601</v>
      </c>
      <c r="AA1364" s="152">
        <f t="shared" si="3409"/>
        <v>13.267967488032987</v>
      </c>
      <c r="AB1364" s="256">
        <f t="shared" ref="AB1364:AC1364" si="3410">+(AB1354/(AB1358+AB1343+AB1269))*100</f>
        <v>13.448132164067635</v>
      </c>
      <c r="AC1364" s="152">
        <f t="shared" si="3410"/>
        <v>13.802690191570246</v>
      </c>
      <c r="AD1364" s="255">
        <f t="shared" ref="AD1364:AE1364" si="3411">+(AD1354/(AD1358+AD1343+AD1269))*100</f>
        <v>13.401543743645986</v>
      </c>
      <c r="AE1364" s="238">
        <f t="shared" si="3411"/>
        <v>13.016279695605268</v>
      </c>
      <c r="AF1364" s="256">
        <f t="shared" ref="AF1364" si="3412">+(AF1354/(AF1358+AF1343+AF1269))*100</f>
        <v>13.479901754744025</v>
      </c>
    </row>
    <row r="1365" spans="1:32" ht="43.5" customHeight="1" thickBot="1" x14ac:dyDescent="0.3">
      <c r="C1365" s="508"/>
      <c r="D1365" s="543"/>
      <c r="E1365" s="2822" t="s">
        <v>1299</v>
      </c>
      <c r="F1365" s="2824">
        <f>+(F1360/(F1360+F1344+F1345))*100</f>
        <v>15.059787838220135</v>
      </c>
      <c r="G1365" s="2824">
        <f>+(G1360/(G1360+G1344+G1345))*100</f>
        <v>15.198448011651205</v>
      </c>
      <c r="H1365" s="2838">
        <f t="shared" ref="H1365:J1365" si="3413">+(H1360/(H1360+H1344+H1345))*100</f>
        <v>15.13159138563392</v>
      </c>
      <c r="I1365" s="2824">
        <f>+(I1360/(I1360+I1344+I1345))*100</f>
        <v>16.048995069117179</v>
      </c>
      <c r="J1365" s="2865">
        <f t="shared" si="3413"/>
        <v>15.460040239126089</v>
      </c>
      <c r="K1365" s="2824">
        <f>+(K1360/(K1360+K1344+K1345))*100</f>
        <v>16.737989712424621</v>
      </c>
      <c r="L1365" s="235">
        <f t="shared" ref="L1365" si="3414">+(L1360/(L1360+L1344+L1345))*100</f>
        <v>15.837996177186428</v>
      </c>
      <c r="M1365" s="2762">
        <f>+(M1360/(M1360+M1344+M1345))*100</f>
        <v>8.3937256344597753</v>
      </c>
      <c r="N1365" s="235">
        <f t="shared" ref="N1365" si="3415">+(N1360/(N1360+N1344+N1345))*100</f>
        <v>14.114075007628877</v>
      </c>
      <c r="O1365" s="2762">
        <f>+(O1360/(O1360+O1344+O1345))*100</f>
        <v>8.8838942197543673</v>
      </c>
      <c r="P1365" s="445">
        <f t="shared" ref="P1365:Q1365" si="3416">+(P1360/(P1360+P1344+P1345))*100</f>
        <v>11.532738218535084</v>
      </c>
      <c r="Q1365" s="2175">
        <f t="shared" si="3416"/>
        <v>13.345880906824823</v>
      </c>
      <c r="R1365" s="2762">
        <f>+(R1360/(R1360+R1344+R1345))*100</f>
        <v>8.5821249451456687</v>
      </c>
      <c r="S1365" s="527">
        <f t="shared" ref="S1365" si="3417">+(S1360/(S1360+S1344+S1345))*100</f>
        <v>12.670497980135442</v>
      </c>
      <c r="T1365" s="2762">
        <f>+(T1360/(T1360+T1344+T1345))*100</f>
        <v>11.452131724395317</v>
      </c>
      <c r="U1365" s="527">
        <f t="shared" ref="U1365" si="3418">+(U1360/(U1360+U1344+U1345))*100</f>
        <v>12.508432597270728</v>
      </c>
      <c r="V1365" s="2762">
        <f>+(V1360/(V1360+V1344+V1345))*100</f>
        <v>12.767231063428156</v>
      </c>
      <c r="W1365" s="3939">
        <f t="shared" ref="W1365:X1365" si="3419">+(W1360/(W1360+W1344+W1345))*100</f>
        <v>11.084191099986983</v>
      </c>
      <c r="X1365" s="3940">
        <f t="shared" si="3419"/>
        <v>12.542901303466067</v>
      </c>
      <c r="Y1365" s="2762">
        <f>+(Y1360/(Y1360+Y1344+Y1345))*100</f>
        <v>11.290018563496176</v>
      </c>
      <c r="Z1365" s="527">
        <f t="shared" ref="Z1365" si="3420">+(Z1360/(Z1360+Z1344+Z1345))*100</f>
        <v>12.403538674366327</v>
      </c>
      <c r="AA1365" s="2762">
        <f>+(AA1360/(AA1360+AA1344+AA1345))*100</f>
        <v>14.888691557453567</v>
      </c>
      <c r="AB1365" s="235">
        <f t="shared" ref="AB1365" si="3421">+(AB1360/(AB1360+AB1344+AB1345))*100</f>
        <v>12.658040312146603</v>
      </c>
      <c r="AC1365" s="2762">
        <f>+(AC1360/(AC1360+AC1344+AC1345))*100</f>
        <v>15.952127424201922</v>
      </c>
      <c r="AD1365" s="445">
        <f t="shared" ref="AD1365:AE1365" si="3422">+(AD1360/(AD1360+AD1344+AD1345))*100</f>
        <v>14.044388205352812</v>
      </c>
      <c r="AE1365" s="2175">
        <f t="shared" si="3422"/>
        <v>12.609505937660204</v>
      </c>
      <c r="AF1365" s="235">
        <f t="shared" ref="AF1365" si="3423">+(AF1360/(AF1360+AF1344+AF1345))*100</f>
        <v>12.954309235410472</v>
      </c>
    </row>
    <row r="1366" spans="1:32" ht="43.5" customHeight="1" thickBot="1" x14ac:dyDescent="0.3">
      <c r="C1366" s="508"/>
      <c r="D1366" s="543"/>
      <c r="E1366" s="2822" t="s">
        <v>1300</v>
      </c>
      <c r="F1366" s="2824">
        <f t="shared" ref="F1366:G1366" si="3424">+(F1362/(F1362+F1347))*100</f>
        <v>17.50070078874915</v>
      </c>
      <c r="G1366" s="2824">
        <f t="shared" si="3424"/>
        <v>18.365861836167916</v>
      </c>
      <c r="H1366" s="2838">
        <f t="shared" ref="H1366:L1366" si="3425">+(H1362/(H1362+H1347))*100</f>
        <v>17.969993337454248</v>
      </c>
      <c r="I1366" s="2824">
        <f t="shared" si="3425"/>
        <v>15.482832439459973</v>
      </c>
      <c r="J1366" s="2865">
        <f t="shared" si="3425"/>
        <v>17.095197819645477</v>
      </c>
      <c r="K1366" s="2824">
        <f>+(K1362/(K1362+K1347))*100</f>
        <v>10.42926878451415</v>
      </c>
      <c r="L1366" s="273">
        <f t="shared" si="3425"/>
        <v>14.918258992722713</v>
      </c>
      <c r="M1366" s="3990">
        <f t="shared" ref="M1366:O1366" si="3426">+(M1362/(M1362+M1347))*100</f>
        <v>10.103313328071275</v>
      </c>
      <c r="N1366" s="273">
        <f t="shared" ref="N1366" si="3427">+(N1362/(N1362+N1347))*100</f>
        <v>13.553925853380623</v>
      </c>
      <c r="O1366" s="3990">
        <f t="shared" si="3426"/>
        <v>10.681147824689948</v>
      </c>
      <c r="P1366" s="305">
        <f t="shared" ref="P1366:R1366" si="3428">+(P1362/(P1362+P1347))*100</f>
        <v>10.372457413597385</v>
      </c>
      <c r="Q1366" s="239">
        <f t="shared" si="3428"/>
        <v>13.067214518596876</v>
      </c>
      <c r="R1366" s="3990">
        <f t="shared" si="3428"/>
        <v>11.623089023311808</v>
      </c>
      <c r="S1366" s="273">
        <f t="shared" ref="S1366:T1366" si="3429">+(S1362/(S1362+S1347))*100</f>
        <v>12.82052223077142</v>
      </c>
      <c r="T1366" s="3990">
        <f t="shared" si="3429"/>
        <v>12.935031475326934</v>
      </c>
      <c r="U1366" s="273">
        <f t="shared" ref="U1366:X1366" si="3430">+(U1362/(U1362+U1347))*100</f>
        <v>12.838230746222958</v>
      </c>
      <c r="V1366" s="3990">
        <f t="shared" si="3430"/>
        <v>16.184186756228375</v>
      </c>
      <c r="W1366" s="305">
        <f t="shared" si="3430"/>
        <v>13.748706400833951</v>
      </c>
      <c r="X1366" s="273">
        <f t="shared" si="3430"/>
        <v>13.343094991248147</v>
      </c>
      <c r="Y1366" s="3990">
        <f t="shared" ref="Y1366" si="3431">+(Y1362/(Y1362+Y1347))*100</f>
        <v>15.496967286081118</v>
      </c>
      <c r="Z1366" s="273">
        <f t="shared" ref="Z1366:AA1366" si="3432">+(Z1362/(Z1362+Z1347))*100</f>
        <v>13.620270590765971</v>
      </c>
      <c r="AA1366" s="3990">
        <f t="shared" si="3432"/>
        <v>15.89579867962912</v>
      </c>
      <c r="AB1366" s="273">
        <f t="shared" ref="AB1366:AC1366" si="3433">+(AB1362/(AB1362+AB1347))*100</f>
        <v>13.889861206812293</v>
      </c>
      <c r="AC1366" s="3990">
        <f t="shared" si="3433"/>
        <v>16.246449468585165</v>
      </c>
      <c r="AD1366" s="305">
        <f t="shared" ref="AD1366:AE1366" si="3434">+(AD1362/(AD1362+AD1347))*100</f>
        <v>15.873429150817609</v>
      </c>
      <c r="AE1366" s="239">
        <f t="shared" si="3434"/>
        <v>14.857407523641401</v>
      </c>
      <c r="AF1366" s="273">
        <f t="shared" ref="AF1366" si="3435">+(AF1362/(AF1362+AF1347))*100</f>
        <v>14.118379636514739</v>
      </c>
    </row>
    <row r="1367" spans="1:32" ht="35" customHeight="1" thickBot="1" x14ac:dyDescent="0.3">
      <c r="C1367" s="508"/>
      <c r="D1367" s="543"/>
      <c r="E1367" s="53" t="s">
        <v>1199</v>
      </c>
      <c r="F1367" s="3150">
        <v>991.57268186624344</v>
      </c>
      <c r="G1367" s="3150">
        <v>1001.2956380014117</v>
      </c>
      <c r="H1367" s="579">
        <v>996.5716097493497</v>
      </c>
      <c r="I1367" s="5726">
        <f>+'Maj Techno Summ'!K15</f>
        <v>986.78215139234203</v>
      </c>
      <c r="J1367" s="314">
        <f>+'Maj Techno Summ'!M15</f>
        <v>992.9743360963372</v>
      </c>
      <c r="K1367" s="3150">
        <v>1026.6953904932448</v>
      </c>
      <c r="L1367" s="579">
        <v>1000.2512835450088</v>
      </c>
      <c r="M1367" s="3150">
        <v>952.65252517299939</v>
      </c>
      <c r="N1367" s="3150">
        <v>952.09921424533377</v>
      </c>
      <c r="O1367" s="3150">
        <v>946.30799382419741</v>
      </c>
      <c r="P1367" s="270">
        <v>952.73359821371878</v>
      </c>
      <c r="Q1367" s="2128">
        <v>951.45340782512733</v>
      </c>
      <c r="R1367" s="3150">
        <v>933.21256224508409</v>
      </c>
      <c r="S1367" s="4964">
        <v>948.83725446774451</v>
      </c>
      <c r="T1367" s="3150">
        <v>920.32392074816698</v>
      </c>
      <c r="U1367" s="4964">
        <v>945.08713868224334</v>
      </c>
      <c r="V1367" s="3150">
        <v>908.28266375334795</v>
      </c>
      <c r="W1367" s="1213">
        <v>920.69137743898875</v>
      </c>
      <c r="X1367" s="1213">
        <v>940.43459580649255</v>
      </c>
      <c r="Y1367" s="3150">
        <v>889.53169519890025</v>
      </c>
      <c r="Z1367" s="4964">
        <v>934.63084771748197</v>
      </c>
      <c r="AA1367" s="4964">
        <v>927.96408038321636</v>
      </c>
      <c r="AB1367" s="4964">
        <v>934.26702063022879</v>
      </c>
      <c r="AC1367" s="3150">
        <v>941.23846715257616</v>
      </c>
      <c r="AD1367" s="1384">
        <v>916.33461592520973</v>
      </c>
      <c r="AE1367" s="1292">
        <v>917.09106222667151</v>
      </c>
      <c r="AF1367" s="712">
        <v>931.68362998699263</v>
      </c>
    </row>
    <row r="1368" spans="1:32" ht="35" customHeight="1" x14ac:dyDescent="0.25">
      <c r="C1368" s="508"/>
      <c r="D1368" s="543"/>
      <c r="E1368" s="45" t="s">
        <v>321</v>
      </c>
      <c r="F1368" s="3678"/>
      <c r="G1368" s="3678"/>
      <c r="H1368" s="3677"/>
      <c r="I1368" s="3678"/>
      <c r="J1368" s="3677"/>
      <c r="K1368" s="3678"/>
      <c r="L1368" s="3677"/>
      <c r="M1368" s="3678"/>
      <c r="N1368" s="41"/>
      <c r="O1368" s="3678"/>
      <c r="P1368" s="224"/>
      <c r="Q1368" s="2643"/>
      <c r="R1368" s="3678"/>
      <c r="S1368" s="41"/>
      <c r="T1368" s="3678"/>
      <c r="U1368" s="41"/>
      <c r="V1368" s="3678"/>
      <c r="W1368" s="41"/>
      <c r="X1368" s="415"/>
      <c r="Y1368" s="3678"/>
      <c r="Z1368" s="41"/>
      <c r="AA1368" s="3678"/>
      <c r="AB1368" s="415"/>
      <c r="AC1368" s="3678"/>
      <c r="AD1368" s="415"/>
      <c r="AE1368" s="1042"/>
      <c r="AF1368" s="1454"/>
    </row>
    <row r="1369" spans="1:32" ht="35" customHeight="1" x14ac:dyDescent="0.25">
      <c r="C1369" s="508"/>
      <c r="D1369" s="543"/>
      <c r="E1369" s="387" t="s">
        <v>94</v>
      </c>
      <c r="F1369" s="3412">
        <f>+F138</f>
        <v>0</v>
      </c>
      <c r="G1369" s="3412">
        <f>+G138</f>
        <v>0</v>
      </c>
      <c r="H1369" s="363">
        <f t="shared" ref="H1369:H1372" si="3436">SUM(F1369:G1369)</f>
        <v>0</v>
      </c>
      <c r="I1369" s="3412">
        <f>+I138</f>
        <v>0</v>
      </c>
      <c r="J1369" s="304">
        <f t="shared" ref="J1369:J1372" si="3437">+H1369+I1369</f>
        <v>0</v>
      </c>
      <c r="K1369" s="3412">
        <f>+K138</f>
        <v>0</v>
      </c>
      <c r="L1369" s="363">
        <f t="shared" ref="L1369:L1372" si="3438">+J1369+K1369</f>
        <v>0</v>
      </c>
      <c r="M1369" s="3412">
        <f>+M138</f>
        <v>19437.500000000018</v>
      </c>
      <c r="N1369" s="363">
        <f t="shared" ref="N1369:N1371" si="3439">SUM(L1369:M1369)</f>
        <v>19437.500000000018</v>
      </c>
      <c r="O1369" s="3412">
        <f>+O138</f>
        <v>3697.0200000000004</v>
      </c>
      <c r="P1369" s="304">
        <f t="shared" ref="P1369:P1372" si="3440">+K1369+M1369+O1369</f>
        <v>23134.520000000019</v>
      </c>
      <c r="Q1369" s="2128">
        <f t="shared" ref="Q1369:Q1372" si="3441">+J1369+P1369</f>
        <v>23134.520000000019</v>
      </c>
      <c r="R1369" s="3412">
        <f>+R138</f>
        <v>11090.620000000006</v>
      </c>
      <c r="S1369" s="363">
        <f t="shared" ref="S1369:S1372" si="3442">+Q1369+R1369</f>
        <v>34225.140000000029</v>
      </c>
      <c r="T1369" s="3412">
        <f>+T138</f>
        <v>10093.960000000001</v>
      </c>
      <c r="U1369" s="363">
        <f t="shared" si="3257"/>
        <v>44319.100000000028</v>
      </c>
      <c r="V1369" s="3412">
        <f>+V138</f>
        <v>14848.460000000003</v>
      </c>
      <c r="W1369" s="304">
        <f t="shared" ref="W1369:W1372" si="3443">+R1369+T1369+V1369</f>
        <v>36033.040000000008</v>
      </c>
      <c r="X1369" s="363">
        <f t="shared" ref="X1369:X1373" si="3444">+U1369+V1369</f>
        <v>59167.560000000027</v>
      </c>
      <c r="Y1369" s="3412">
        <f>+Y138</f>
        <v>7454.7000000000016</v>
      </c>
      <c r="Z1369" s="363">
        <f t="shared" ref="Z1369:Z1373" si="3445">+X1369+Y1369</f>
        <v>66622.260000000024</v>
      </c>
      <c r="AA1369" s="3412">
        <f>+AA138</f>
        <v>5674.7200000000012</v>
      </c>
      <c r="AB1369" s="363">
        <f t="shared" ref="AB1369:AB1371" si="3446">+Z1369+AA1369</f>
        <v>72296.980000000025</v>
      </c>
      <c r="AC1369" s="3412">
        <f>+AC138</f>
        <v>3696.5999999999995</v>
      </c>
      <c r="AD1369" s="713">
        <f t="shared" ref="AD1369:AD1371" si="3447">+Y1369+AA1369+AC1369</f>
        <v>16826.02</v>
      </c>
      <c r="AE1369" s="1290">
        <f t="shared" ref="AE1369:AE1371" si="3448">+W1369+AD1369</f>
        <v>52859.060000000012</v>
      </c>
      <c r="AF1369" s="712">
        <f t="shared" ref="AF1369:AF1371" si="3449">+AB1369+AC1369</f>
        <v>75993.580000000031</v>
      </c>
    </row>
    <row r="1370" spans="1:32" ht="35" customHeight="1" x14ac:dyDescent="0.25">
      <c r="C1370" s="508"/>
      <c r="D1370" s="543"/>
      <c r="E1370" s="387" t="s">
        <v>437</v>
      </c>
      <c r="F1370" s="3412">
        <f>+F141</f>
        <v>0</v>
      </c>
      <c r="G1370" s="3412">
        <f>+G141</f>
        <v>0</v>
      </c>
      <c r="H1370" s="363">
        <f t="shared" si="3436"/>
        <v>0</v>
      </c>
      <c r="I1370" s="3412">
        <f>+I141</f>
        <v>0</v>
      </c>
      <c r="J1370" s="304">
        <f t="shared" si="3437"/>
        <v>0</v>
      </c>
      <c r="K1370" s="3412">
        <f>+K141</f>
        <v>0</v>
      </c>
      <c r="L1370" s="363">
        <f t="shared" si="3438"/>
        <v>0</v>
      </c>
      <c r="M1370" s="3412">
        <f>+M141</f>
        <v>0</v>
      </c>
      <c r="N1370" s="363">
        <f t="shared" si="3439"/>
        <v>0</v>
      </c>
      <c r="O1370" s="3412">
        <f>+O141</f>
        <v>0</v>
      </c>
      <c r="P1370" s="304">
        <f t="shared" ref="P1370" si="3450">+K1370+M1370+O1370</f>
        <v>0</v>
      </c>
      <c r="Q1370" s="2128">
        <f t="shared" ref="Q1370" si="3451">+J1370+P1370</f>
        <v>0</v>
      </c>
      <c r="R1370" s="3412">
        <f>+R141</f>
        <v>0</v>
      </c>
      <c r="S1370" s="363">
        <f t="shared" si="3442"/>
        <v>0</v>
      </c>
      <c r="T1370" s="3412">
        <f>+T141</f>
        <v>0</v>
      </c>
      <c r="U1370" s="363">
        <f t="shared" si="3257"/>
        <v>0</v>
      </c>
      <c r="V1370" s="3412">
        <f>+V141</f>
        <v>0</v>
      </c>
      <c r="W1370" s="304">
        <f t="shared" si="3443"/>
        <v>0</v>
      </c>
      <c r="X1370" s="363">
        <f t="shared" si="3444"/>
        <v>0</v>
      </c>
      <c r="Y1370" s="3412">
        <f>+Y141</f>
        <v>0</v>
      </c>
      <c r="Z1370" s="363">
        <f t="shared" si="3445"/>
        <v>0</v>
      </c>
      <c r="AA1370" s="3412">
        <f>+AA141</f>
        <v>0</v>
      </c>
      <c r="AB1370" s="363">
        <f t="shared" si="3446"/>
        <v>0</v>
      </c>
      <c r="AC1370" s="3412">
        <f>+AC141</f>
        <v>0</v>
      </c>
      <c r="AD1370" s="713">
        <f t="shared" si="3447"/>
        <v>0</v>
      </c>
      <c r="AE1370" s="1290">
        <f t="shared" si="3448"/>
        <v>0</v>
      </c>
      <c r="AF1370" s="712">
        <f t="shared" si="3449"/>
        <v>0</v>
      </c>
    </row>
    <row r="1371" spans="1:32" ht="35" customHeight="1" x14ac:dyDescent="0.25">
      <c r="C1371" s="508"/>
      <c r="D1371" s="543"/>
      <c r="E1371" s="387" t="s">
        <v>1375</v>
      </c>
      <c r="F1371" s="3412">
        <f>+F146</f>
        <v>0</v>
      </c>
      <c r="G1371" s="3412">
        <f>+G146</f>
        <v>0</v>
      </c>
      <c r="H1371" s="363">
        <f t="shared" si="3436"/>
        <v>0</v>
      </c>
      <c r="I1371" s="3412">
        <f>+I146</f>
        <v>0</v>
      </c>
      <c r="J1371" s="304">
        <f t="shared" si="3437"/>
        <v>0</v>
      </c>
      <c r="K1371" s="3412">
        <f>+K146</f>
        <v>0</v>
      </c>
      <c r="L1371" s="363">
        <f t="shared" si="3438"/>
        <v>0</v>
      </c>
      <c r="M1371" s="3412">
        <f>+M146</f>
        <v>7398.0699999999979</v>
      </c>
      <c r="N1371" s="363">
        <f t="shared" si="3439"/>
        <v>7398.0699999999979</v>
      </c>
      <c r="O1371" s="3412">
        <f>+O146</f>
        <v>6100.7999999999965</v>
      </c>
      <c r="P1371" s="304">
        <f t="shared" si="3440"/>
        <v>13498.869999999995</v>
      </c>
      <c r="Q1371" s="2128">
        <f t="shared" si="3441"/>
        <v>13498.869999999995</v>
      </c>
      <c r="R1371" s="3412">
        <f>+R146</f>
        <v>5690.19</v>
      </c>
      <c r="S1371" s="363">
        <f t="shared" si="3442"/>
        <v>19189.059999999994</v>
      </c>
      <c r="T1371" s="3412">
        <f>+T146</f>
        <v>4736.9799999999996</v>
      </c>
      <c r="U1371" s="363">
        <f t="shared" si="3257"/>
        <v>23926.039999999994</v>
      </c>
      <c r="V1371" s="3412">
        <f>+V146</f>
        <v>2905.92</v>
      </c>
      <c r="W1371" s="304">
        <f t="shared" si="3443"/>
        <v>13333.089999999998</v>
      </c>
      <c r="X1371" s="363">
        <f t="shared" si="3444"/>
        <v>26831.959999999992</v>
      </c>
      <c r="Y1371" s="3412">
        <f>+Y146</f>
        <v>4388.32</v>
      </c>
      <c r="Z1371" s="363">
        <f t="shared" si="3445"/>
        <v>31220.279999999992</v>
      </c>
      <c r="AA1371" s="3412">
        <f>+AA146</f>
        <v>2867.8199999999993</v>
      </c>
      <c r="AB1371" s="363">
        <f t="shared" si="3446"/>
        <v>34088.099999999991</v>
      </c>
      <c r="AC1371" s="3412">
        <f>+AC146</f>
        <v>2033.0399999999997</v>
      </c>
      <c r="AD1371" s="713">
        <f t="shared" si="3447"/>
        <v>9289.1799999999985</v>
      </c>
      <c r="AE1371" s="1290">
        <f t="shared" si="3448"/>
        <v>22622.269999999997</v>
      </c>
      <c r="AF1371" s="712">
        <f t="shared" si="3449"/>
        <v>36121.139999999992</v>
      </c>
    </row>
    <row r="1372" spans="1:32" ht="35" customHeight="1" x14ac:dyDescent="0.25">
      <c r="C1372" s="508"/>
      <c r="D1372" s="543"/>
      <c r="E1372" s="388" t="s">
        <v>514</v>
      </c>
      <c r="F1372" s="504">
        <f>SUM(F1369:F1371)</f>
        <v>0</v>
      </c>
      <c r="G1372" s="504">
        <f>SUM(G1369:G1371)</f>
        <v>0</v>
      </c>
      <c r="H1372" s="363">
        <f t="shared" si="3436"/>
        <v>0</v>
      </c>
      <c r="I1372" s="504">
        <f>SUM(I1369:I1371)</f>
        <v>0</v>
      </c>
      <c r="J1372" s="304">
        <f t="shared" si="3437"/>
        <v>0</v>
      </c>
      <c r="K1372" s="504">
        <f>SUM(K1369:K1371)</f>
        <v>0</v>
      </c>
      <c r="L1372" s="363">
        <f t="shared" si="3438"/>
        <v>0</v>
      </c>
      <c r="M1372" s="504">
        <f>SUM(M1369:M1371)</f>
        <v>26835.570000000014</v>
      </c>
      <c r="N1372" s="363">
        <f>SUM(N1369:N1371)</f>
        <v>26835.570000000014</v>
      </c>
      <c r="O1372" s="504">
        <f>SUM(O1369:O1371)</f>
        <v>9797.8199999999961</v>
      </c>
      <c r="P1372" s="304">
        <f t="shared" si="3440"/>
        <v>36633.390000000014</v>
      </c>
      <c r="Q1372" s="2128">
        <f t="shared" si="3441"/>
        <v>36633.390000000014</v>
      </c>
      <c r="R1372" s="504">
        <f>SUM(R1369:R1371)</f>
        <v>16780.810000000005</v>
      </c>
      <c r="S1372" s="363">
        <f t="shared" si="3442"/>
        <v>53414.200000000019</v>
      </c>
      <c r="T1372" s="504">
        <f>SUM(T1369:T1371)</f>
        <v>14830.94</v>
      </c>
      <c r="U1372" s="363">
        <f t="shared" si="3257"/>
        <v>68245.140000000014</v>
      </c>
      <c r="V1372" s="504">
        <f>SUM(V1369:V1371)</f>
        <v>17754.380000000005</v>
      </c>
      <c r="W1372" s="304">
        <f t="shared" si="3443"/>
        <v>49366.130000000012</v>
      </c>
      <c r="X1372" s="296">
        <f t="shared" ref="X1372:AF1372" si="3452">SUM(X1369:X1371)</f>
        <v>85999.520000000019</v>
      </c>
      <c r="Y1372" s="504">
        <f>SUM(Y1369:Y1371)</f>
        <v>11843.02</v>
      </c>
      <c r="Z1372" s="363">
        <f t="shared" si="3452"/>
        <v>97842.540000000008</v>
      </c>
      <c r="AA1372" s="504">
        <f>SUM(AA1369:AA1371)</f>
        <v>8542.5400000000009</v>
      </c>
      <c r="AB1372" s="296">
        <f t="shared" si="3452"/>
        <v>106385.08000000002</v>
      </c>
      <c r="AC1372" s="504">
        <f>SUM(AC1369:AC1371)</f>
        <v>5729.6399999999994</v>
      </c>
      <c r="AD1372" s="815">
        <f t="shared" si="3452"/>
        <v>26115.199999999997</v>
      </c>
      <c r="AE1372" s="850">
        <f t="shared" si="3452"/>
        <v>75481.330000000016</v>
      </c>
      <c r="AF1372" s="814">
        <f t="shared" si="3452"/>
        <v>112114.72000000003</v>
      </c>
    </row>
    <row r="1373" spans="1:32" ht="35" customHeight="1" x14ac:dyDescent="0.25">
      <c r="A1373" s="2" t="s">
        <v>489</v>
      </c>
      <c r="B1373" s="2" t="s">
        <v>490</v>
      </c>
      <c r="C1373" s="508"/>
      <c r="D1373" s="544"/>
      <c r="E1373" s="54" t="s">
        <v>307</v>
      </c>
      <c r="F1373" s="3412">
        <f>+F151</f>
        <v>0</v>
      </c>
      <c r="G1373" s="3412">
        <f>+G151</f>
        <v>0</v>
      </c>
      <c r="H1373" s="363">
        <f t="shared" si="3250"/>
        <v>0</v>
      </c>
      <c r="I1373" s="3412">
        <f>+I151</f>
        <v>0</v>
      </c>
      <c r="J1373" s="304">
        <f t="shared" si="3251"/>
        <v>0</v>
      </c>
      <c r="K1373" s="3412">
        <f>+K151</f>
        <v>0</v>
      </c>
      <c r="L1373" s="363">
        <f t="shared" si="3252"/>
        <v>0</v>
      </c>
      <c r="M1373" s="3412">
        <f>+M151</f>
        <v>81345.81</v>
      </c>
      <c r="N1373" s="363">
        <f>SUM(L1373:M1373)</f>
        <v>81345.81</v>
      </c>
      <c r="O1373" s="3412">
        <f>+O151</f>
        <v>66038.7</v>
      </c>
      <c r="P1373" s="304">
        <f t="shared" si="3254"/>
        <v>147384.51</v>
      </c>
      <c r="Q1373" s="2128">
        <f t="shared" si="3255"/>
        <v>147384.51</v>
      </c>
      <c r="R1373" s="3412">
        <f>+R151</f>
        <v>74659.72</v>
      </c>
      <c r="S1373" s="363">
        <f t="shared" si="3256"/>
        <v>222044.23</v>
      </c>
      <c r="T1373" s="3412">
        <f>+T151</f>
        <v>73530.73</v>
      </c>
      <c r="U1373" s="363">
        <f t="shared" si="3257"/>
        <v>295574.96000000002</v>
      </c>
      <c r="V1373" s="3412">
        <f>+V151</f>
        <v>76736.610000000015</v>
      </c>
      <c r="W1373" s="304">
        <f t="shared" si="3258"/>
        <v>224927.06000000003</v>
      </c>
      <c r="X1373" s="363">
        <f t="shared" si="3444"/>
        <v>372311.57000000007</v>
      </c>
      <c r="Y1373" s="3412">
        <f>+Y151</f>
        <v>96207.049999999988</v>
      </c>
      <c r="Z1373" s="363">
        <f t="shared" si="3445"/>
        <v>468518.62000000005</v>
      </c>
      <c r="AA1373" s="3412">
        <f>+AA151</f>
        <v>77918.62000000001</v>
      </c>
      <c r="AB1373" s="363">
        <f t="shared" ref="AB1373" si="3453">+Z1373+AA1373</f>
        <v>546437.24000000011</v>
      </c>
      <c r="AC1373" s="3412">
        <f>+AC151</f>
        <v>77333.119999999981</v>
      </c>
      <c r="AD1373" s="713">
        <f t="shared" ref="AD1373" si="3454">+Y1373+AA1373+AC1373</f>
        <v>251458.78999999998</v>
      </c>
      <c r="AE1373" s="1290">
        <f t="shared" ref="AE1373" si="3455">+W1373+AD1373</f>
        <v>476385.85</v>
      </c>
      <c r="AF1373" s="712">
        <f t="shared" ref="AF1373" si="3456">+AB1373+AC1373</f>
        <v>623770.3600000001</v>
      </c>
    </row>
    <row r="1374" spans="1:32" ht="35" customHeight="1" x14ac:dyDescent="0.25">
      <c r="A1374" s="2">
        <v>1.322689075630253</v>
      </c>
      <c r="B1374" s="15">
        <v>4.9786610878661076E-2</v>
      </c>
      <c r="C1374" s="508"/>
      <c r="D1374" s="544"/>
      <c r="E1374" s="389" t="s">
        <v>27</v>
      </c>
      <c r="F1374" s="3323">
        <v>92.65</v>
      </c>
      <c r="G1374" s="3323">
        <v>95.45</v>
      </c>
      <c r="H1374" s="343">
        <f>+((F1374*F1304)+(G1374*G1304))/H1304</f>
        <v>94.072950819672144</v>
      </c>
      <c r="I1374" s="3323">
        <v>92.41</v>
      </c>
      <c r="J1374" s="306">
        <f>+((H1374*H1304)+(I1374*I1304))/J1304</f>
        <v>93.52472527472527</v>
      </c>
      <c r="K1374" s="3323">
        <v>97.6</v>
      </c>
      <c r="L1374" s="343">
        <f>+((J1374*J1304)+(K1374*K1304))/L1304</f>
        <v>94.560245901639348</v>
      </c>
      <c r="M1374" s="3323">
        <v>99.19</v>
      </c>
      <c r="N1374" s="343">
        <f>+((L1374*L1304)+(M1374*M1304))/N1304</f>
        <v>95.498300653594768</v>
      </c>
      <c r="O1374" s="3323">
        <v>93.85</v>
      </c>
      <c r="P1374" s="306">
        <f>+((K1374*K1304)+(M1374*M1304)+(O1374*O1304))/P1304</f>
        <v>96.912934782608687</v>
      </c>
      <c r="Q1374" s="3090">
        <f>+((N1374*N1304)+(O1374*O1304))/Q1304</f>
        <v>95.228087431693979</v>
      </c>
      <c r="R1374" s="3323">
        <v>96.7</v>
      </c>
      <c r="S1374" s="343">
        <f>+((Q1374*Q1304)+(R1374*R1304))/S1304</f>
        <v>95.441308411214948</v>
      </c>
      <c r="T1374" s="3323">
        <v>98.2</v>
      </c>
      <c r="U1374" s="343">
        <f>+((S1374*S1304)+(T1374*T1304))/U1304</f>
        <v>95.780491803278679</v>
      </c>
      <c r="V1374" s="3323">
        <v>99.87</v>
      </c>
      <c r="W1374" s="306">
        <f>+((R1374*R1304)+(T1374*T1304)+(V1374*V1304))/W1304</f>
        <v>98.257282608695675</v>
      </c>
      <c r="X1374" s="254">
        <f>+((U1374*U1304)+(V1374*V1304))/X1304</f>
        <v>96.241490909090913</v>
      </c>
      <c r="Y1374" s="3323">
        <v>94.83</v>
      </c>
      <c r="Z1374" s="343">
        <f>+((X1374*X1304)+(Y1374*Y1304))/Z1304</f>
        <v>96.098496732026149</v>
      </c>
      <c r="AA1374" s="3323">
        <v>98.19</v>
      </c>
      <c r="AB1374" s="254">
        <f>+((Z1374*Z1304)+(AA1374*AA1304))/AB1304</f>
        <v>96.279552238805977</v>
      </c>
      <c r="AC1374" s="3323">
        <v>94.25</v>
      </c>
      <c r="AD1374" s="813">
        <f>+((Y1374*Y1304)+(AA1374*AA1304)+(AC1374*AC1304))/AD1304</f>
        <v>95.703186813186804</v>
      </c>
      <c r="AE1374" s="1080">
        <f>+((W1374*W1304)+(AD1374*AD1304))/AE1304</f>
        <v>96.987213114754113</v>
      </c>
      <c r="AF1374" s="812">
        <f>+((AB1374*AB1304)+(AC1374*AC1304))/AF1304</f>
        <v>96.107650273224053</v>
      </c>
    </row>
    <row r="1375" spans="1:32" ht="35" customHeight="1" x14ac:dyDescent="0.3">
      <c r="A1375" s="2">
        <v>1.2251111111111115</v>
      </c>
      <c r="B1375" s="15">
        <v>5.0657777777777746E-2</v>
      </c>
      <c r="C1375" s="508"/>
      <c r="D1375" s="544"/>
      <c r="E1375" s="59" t="s">
        <v>410</v>
      </c>
      <c r="F1375" s="3327">
        <v>1085</v>
      </c>
      <c r="G1375" s="3327">
        <v>1099</v>
      </c>
      <c r="H1375" s="363">
        <f>+((F1375*F1304)+(G1375*G1304))/H1304</f>
        <v>1092.1147540983607</v>
      </c>
      <c r="I1375" s="3327">
        <v>1107</v>
      </c>
      <c r="J1375" s="304">
        <f>+((H1375*H1304)+(I1375*I1304))/J1304</f>
        <v>1097.0219780219779</v>
      </c>
      <c r="K1375" s="3327">
        <v>1122</v>
      </c>
      <c r="L1375" s="363">
        <f>+((J1375*J1304)+(K1375*K1304))/L1304</f>
        <v>1103.3688524590164</v>
      </c>
      <c r="M1375" s="3327">
        <v>1082</v>
      </c>
      <c r="N1375" s="363">
        <f>+((L1375*L1304)+(M1375*M1304))/N1304</f>
        <v>1099.0392156862745</v>
      </c>
      <c r="O1375" s="3327">
        <v>1066</v>
      </c>
      <c r="P1375" s="304">
        <f>+((K1375*K1304)+(M1375*M1304)+(O1375*O1304))/P1304</f>
        <v>1090.2608695652175</v>
      </c>
      <c r="Q1375" s="2128">
        <f>+((N1375*N1304)+(O1375*O1304))/Q1304</f>
        <v>1093.622950819672</v>
      </c>
      <c r="R1375" s="3327">
        <v>1081</v>
      </c>
      <c r="S1375" s="363">
        <f>+((Q1375*Q1304)+(R1375*R1304))/S1304</f>
        <v>1091.7943925233644</v>
      </c>
      <c r="T1375" s="3327">
        <v>1072</v>
      </c>
      <c r="U1375" s="363">
        <f>+((S1375*S1304)+(T1375*T1304))/U1304</f>
        <v>1089.360655737705</v>
      </c>
      <c r="V1375" s="3327">
        <v>1073</v>
      </c>
      <c r="W1375" s="304">
        <f>+((R1375*R1304)+(T1375*T1304)+(V1375*V1304))/W1304</f>
        <v>1075.3695652173913</v>
      </c>
      <c r="X1375" s="296">
        <f>+((U1375*U1304)+(V1375*V1304))/X1304</f>
        <v>1087.5163636363636</v>
      </c>
      <c r="Y1375" s="3327">
        <v>1090</v>
      </c>
      <c r="Z1375" s="363">
        <f>+((X1375*X1304)+(Y1375*Y1304))/Z1304</f>
        <v>1087.7679738562092</v>
      </c>
      <c r="AA1375" s="3327">
        <v>1116</v>
      </c>
      <c r="AB1375" s="296">
        <f>+((Z1375*Z1304)+(AA1375*AA1304))/AB1304</f>
        <v>1090.2119402985074</v>
      </c>
      <c r="AC1375" s="3327">
        <v>1114</v>
      </c>
      <c r="AD1375" s="815">
        <f>+((Y1375*Y1304)+(AA1375*AA1304)+(AC1375*AC1304))/AD1304</f>
        <v>1106.4615384615386</v>
      </c>
      <c r="AE1375" s="850">
        <f>+((W1375*W1304)+(AD1375*AD1304))/AE1304</f>
        <v>1090.8306010928961</v>
      </c>
      <c r="AF1375" s="814">
        <f>+((AB1375*AB1304)+(AC1375*AC1304))/AF1304</f>
        <v>1092.2267759562842</v>
      </c>
    </row>
    <row r="1376" spans="1:32" ht="35" customHeight="1" x14ac:dyDescent="0.25">
      <c r="A1376" s="2">
        <v>1.1424710743801658</v>
      </c>
      <c r="B1376" s="15">
        <v>4.7136363636363622E-2</v>
      </c>
      <c r="C1376" s="508"/>
      <c r="D1376" s="544"/>
      <c r="E1376" s="390" t="s">
        <v>42</v>
      </c>
      <c r="F1376" s="80">
        <f t="shared" ref="F1376:G1376" si="3457">F1321/F1307*1000</f>
        <v>370.51180390356552</v>
      </c>
      <c r="G1376" s="80">
        <f t="shared" si="3457"/>
        <v>371.51946993400469</v>
      </c>
      <c r="H1376" s="296">
        <f t="shared" ref="H1376:U1376" si="3458">H1321/H1307*1000</f>
        <v>371.02988191876926</v>
      </c>
      <c r="I1376" s="80">
        <f t="shared" si="3458"/>
        <v>374.58253923683094</v>
      </c>
      <c r="J1376" s="313">
        <f t="shared" si="3458"/>
        <v>372.31344395062155</v>
      </c>
      <c r="K1376" s="80">
        <f>K1321/K1307*1000</f>
        <v>386.96151847984089</v>
      </c>
      <c r="L1376" s="296">
        <f t="shared" si="3458"/>
        <v>376.58257855921494</v>
      </c>
      <c r="M1376" s="80">
        <f t="shared" ref="M1376:O1376" si="3459">M1321/M1307*1000</f>
        <v>351.09829967423866</v>
      </c>
      <c r="N1376" s="790">
        <f t="shared" si="3458"/>
        <v>369.96558896763503</v>
      </c>
      <c r="O1376" s="80">
        <f t="shared" si="3459"/>
        <v>369.36356298714594</v>
      </c>
      <c r="P1376" s="313">
        <f t="shared" si="3458"/>
        <v>367.93847267215807</v>
      </c>
      <c r="Q1376" s="3121">
        <f t="shared" si="3458"/>
        <v>369.87032544928587</v>
      </c>
      <c r="R1376" s="80">
        <f t="shared" si="3458"/>
        <v>355.18570930494883</v>
      </c>
      <c r="S1376" s="790">
        <f t="shared" si="3458"/>
        <v>367.56842342997635</v>
      </c>
      <c r="T1376" s="80">
        <f t="shared" si="3458"/>
        <v>347.70249719296748</v>
      </c>
      <c r="U1376" s="790">
        <f t="shared" si="3458"/>
        <v>364.68702199854596</v>
      </c>
      <c r="V1376" s="80">
        <f t="shared" ref="V1376" si="3460">V1321/V1307*1000</f>
        <v>335.26697429136453</v>
      </c>
      <c r="W1376" s="313">
        <f>+W1321/W1307*1000</f>
        <v>345.18401384483667</v>
      </c>
      <c r="X1376" s="296">
        <f>+X1321/X1307*1000</f>
        <v>360.36944552097435</v>
      </c>
      <c r="Y1376" s="80">
        <f t="shared" ref="Y1376" si="3461">Y1321/Y1307*1000</f>
        <v>322.99811494272006</v>
      </c>
      <c r="Z1376" s="790">
        <f>Z1321/Z1307*1000</f>
        <v>355.75421888345409</v>
      </c>
      <c r="AA1376" s="80">
        <f t="shared" ref="AA1376" si="3462">AA1321/AA1307*1000</f>
        <v>350.46687151337966</v>
      </c>
      <c r="AB1376" s="1248">
        <f>AB1321/AB1307*1000</f>
        <v>355.18524989899299</v>
      </c>
      <c r="AC1376" s="80">
        <f t="shared" ref="AC1376" si="3463">AC1321/AC1307*1000</f>
        <v>347.30623602937823</v>
      </c>
      <c r="AD1376" s="815">
        <f>+AD1321/AD1307*1000</f>
        <v>339.95949107420682</v>
      </c>
      <c r="AE1376" s="850">
        <f>+AE1321/AE1307*1000</f>
        <v>342.49873758501866</v>
      </c>
      <c r="AF1376" s="814">
        <f>+AF1321/AF1307*1000</f>
        <v>354.4655257983016</v>
      </c>
    </row>
    <row r="1377" spans="1:32" ht="34.5" customHeight="1" x14ac:dyDescent="0.25">
      <c r="A1377" s="2">
        <v>1.1100000000000001</v>
      </c>
      <c r="B1377" s="15">
        <v>4.1000000000000002E-2</v>
      </c>
      <c r="C1377" s="508"/>
      <c r="D1377" s="544"/>
      <c r="E1377" s="589" t="s">
        <v>491</v>
      </c>
      <c r="F1377" s="3162">
        <v>0.92</v>
      </c>
      <c r="G1377" s="3162">
        <v>0.91</v>
      </c>
      <c r="H1377" s="256">
        <f>+((F1377*F1307)+(G1377*G1307))/H1307</f>
        <v>0.91485863371837584</v>
      </c>
      <c r="I1377" s="3162">
        <v>0.86</v>
      </c>
      <c r="J1377" s="255">
        <f>+((H1377*H1307)+(I1377*I1307))/J1307</f>
        <v>0.89503841097912917</v>
      </c>
      <c r="K1377" s="3162">
        <v>0.78</v>
      </c>
      <c r="L1377" s="256">
        <f>+((J1377*J1307)+(K1377*K1307))/L1307</f>
        <v>0.86151083295862285</v>
      </c>
      <c r="M1377" s="3162">
        <v>0.79</v>
      </c>
      <c r="N1377" s="256">
        <f>+((L1377*L1307)+(M1377*M1307))/N1307</f>
        <v>0.84294305478023479</v>
      </c>
      <c r="O1377" s="3162">
        <v>0.87</v>
      </c>
      <c r="P1377" s="255">
        <f>+((K1377*K1307)+(M1377*M1307)+(O1377*O1307))/P1307</f>
        <v>0.80941649058007881</v>
      </c>
      <c r="Q1377" s="349">
        <f>+((N1377*N1307)+(O1377*O1307))/Q1307</f>
        <v>0.84722449757664431</v>
      </c>
      <c r="R1377" s="3162">
        <v>0.82</v>
      </c>
      <c r="S1377" s="256">
        <f>+((Q1377*Q1307)+(R1377*R1307))/S1307</f>
        <v>0.84295689362088611</v>
      </c>
      <c r="T1377" s="3162">
        <v>0.77</v>
      </c>
      <c r="U1377" s="256">
        <f>+((S1377*S1307)+(T1377*T1307))/U1307</f>
        <v>0.83237505136475654</v>
      </c>
      <c r="V1377" s="3162">
        <v>0.72</v>
      </c>
      <c r="W1377" s="255">
        <f>+((R1377*R1307)+(T1377*T1307)+(V1377*V1307))/W1307</f>
        <v>0.76579010630421473</v>
      </c>
      <c r="X1377" s="256">
        <f>+((U1377*U1307)+(V1377*V1307))/X1307</f>
        <v>0.815883307936348</v>
      </c>
      <c r="Y1377" s="3162">
        <v>0.74</v>
      </c>
      <c r="Z1377" s="256">
        <f>+((X1377*X1307)+(Y1377*Y1307))/Z1307</f>
        <v>0.80651198883392416</v>
      </c>
      <c r="AA1377" s="3162">
        <v>0.72</v>
      </c>
      <c r="AB1377" s="256">
        <f>+((Z1377*Z1307)+(AA1377*AA1307))/AB1307</f>
        <v>0.79720247406492251</v>
      </c>
      <c r="AC1377" s="3162">
        <v>0.82</v>
      </c>
      <c r="AD1377" s="858">
        <f>+((Y1377*$Y$1307)+(AA1377*$AA$1307)+(AC1377*$AC$1307))/$AD$1307</f>
        <v>0.75850252388470796</v>
      </c>
      <c r="AE1377" s="859">
        <f>+((W1377*$W$1307)+(AD1377*$AD$1307))/$AE$1307</f>
        <v>0.76204446810495585</v>
      </c>
      <c r="AF1377" s="840">
        <f>+((AB1377*$AB$1307)+(AC1377*$AC$1307))/$AF$1307</f>
        <v>0.79928495914784492</v>
      </c>
    </row>
    <row r="1378" spans="1:32" ht="35" customHeight="1" x14ac:dyDescent="0.25">
      <c r="C1378" s="508"/>
      <c r="D1378" s="544"/>
      <c r="E1378" s="589" t="s">
        <v>492</v>
      </c>
      <c r="F1378" s="3322">
        <v>0.04</v>
      </c>
      <c r="G1378" s="3322">
        <v>4.2999999999999997E-2</v>
      </c>
      <c r="H1378" s="529">
        <f>+((F1378*F1307)+(G1378*G1307))/H1307</f>
        <v>4.1542409884487215E-2</v>
      </c>
      <c r="I1378" s="3322">
        <v>3.5000000000000003E-2</v>
      </c>
      <c r="J1378" s="552">
        <f>+((H1378*H1307)+(I1378*I1307))/J1307</f>
        <v>3.9178661238692014E-2</v>
      </c>
      <c r="K1378" s="3322">
        <v>4.1000000000000002E-2</v>
      </c>
      <c r="L1378" s="529">
        <f>+((J1378*J1307)+(K1378*K1307))/L1307</f>
        <v>3.9709484612396345E-2</v>
      </c>
      <c r="M1378" s="3322">
        <v>4.0500000000000001E-2</v>
      </c>
      <c r="N1378" s="529">
        <f>+((L1378*L1307)+(M1378*M1307))/N1307</f>
        <v>3.9914741826672123E-2</v>
      </c>
      <c r="O1378" s="3322">
        <v>0.04</v>
      </c>
      <c r="P1378" s="552">
        <f>+((K1378*K1307)+(M1378*M1307)+(O1378*O1307))/P1307</f>
        <v>4.0520943494126847E-2</v>
      </c>
      <c r="Q1378" s="3122">
        <f>+((N1378*N1307)+(O1378*O1307))/Q1307</f>
        <v>3.9928232928090439E-2</v>
      </c>
      <c r="R1378" s="3322">
        <v>0.04</v>
      </c>
      <c r="S1378" s="529">
        <f>+((Q1378*Q1307)+(R1378*R1307))/S1307</f>
        <v>3.9939482848832308E-2</v>
      </c>
      <c r="T1378" s="3322">
        <v>0.04</v>
      </c>
      <c r="U1378" s="529">
        <f>+((S1378*S1307)+(T1378*T1307))/U1307</f>
        <v>3.9948260401105502E-2</v>
      </c>
      <c r="V1378" s="3322">
        <v>0.03</v>
      </c>
      <c r="W1378" s="255">
        <f>+((R1378*R1307)+(T1378*T1307)+(V1378*V1307))/W1307</f>
        <v>3.6186804749412722E-2</v>
      </c>
      <c r="X1378" s="529">
        <f>+((U1378*U1307)+(V1378*V1307))/X1307</f>
        <v>3.8488290807307535E-2</v>
      </c>
      <c r="Y1378" s="3322">
        <v>3.9E-2</v>
      </c>
      <c r="Z1378" s="529">
        <f>+((X1378*X1307)+(Y1378*Y1307))/Z1307</f>
        <v>3.8551485075754392E-2</v>
      </c>
      <c r="AA1378" s="3322">
        <v>3.9E-2</v>
      </c>
      <c r="AB1378" s="529">
        <f>+((Z1378*Z1307)+(AA1378*AA1307))/AB1307</f>
        <v>3.8599749557563928E-2</v>
      </c>
      <c r="AC1378" s="3322">
        <v>3.9E-2</v>
      </c>
      <c r="AD1378" s="1460">
        <f>+((Y1378*$Y$1307)+(AA1378*$AA$1307)+(AC1378*$AC$1307))/$AD$1307</f>
        <v>3.9000000000000007E-2</v>
      </c>
      <c r="AE1378" s="1461">
        <f>+((W1378*$W$1307)+(AD1378*$AD$1307))/$AE$1307</f>
        <v>3.7632717946135978E-2</v>
      </c>
      <c r="AF1378" s="1462">
        <f>+((AB1378*$AB$1307)+(AC1378*$AC$1307))/$AF$1307</f>
        <v>3.8636311225622992E-2</v>
      </c>
    </row>
    <row r="1379" spans="1:32" ht="35" customHeight="1" x14ac:dyDescent="0.25">
      <c r="C1379" s="508"/>
      <c r="D1379" s="544"/>
      <c r="E1379" s="390" t="s">
        <v>26</v>
      </c>
      <c r="F1379" s="3162">
        <v>271.89999999999998</v>
      </c>
      <c r="G1379" s="3162">
        <v>291.10000000000002</v>
      </c>
      <c r="H1379" s="256">
        <f t="shared" ref="H1379:H1385" si="3464">SUM(F1379:G1379)</f>
        <v>563</v>
      </c>
      <c r="I1379" s="3162">
        <v>294.39999999999998</v>
      </c>
      <c r="J1379" s="255">
        <f t="shared" ref="J1379:J1385" si="3465">+H1379+I1379</f>
        <v>857.4</v>
      </c>
      <c r="K1379" s="3162">
        <v>330.2</v>
      </c>
      <c r="L1379" s="256">
        <f t="shared" ref="L1379:L1385" si="3466">+J1379+K1379</f>
        <v>1187.5999999999999</v>
      </c>
      <c r="M1379" s="3162">
        <v>361.2</v>
      </c>
      <c r="N1379" s="256">
        <f t="shared" ref="N1379:N1385" si="3467">+L1379+M1379</f>
        <v>1548.8</v>
      </c>
      <c r="O1379" s="3162">
        <v>301.10000000000002</v>
      </c>
      <c r="P1379" s="255">
        <f t="shared" ref="P1379:P1385" si="3468">+K1379+M1379+O1379</f>
        <v>992.5</v>
      </c>
      <c r="Q1379" s="349">
        <f t="shared" ref="Q1379:Q1385" si="3469">+J1379+P1379</f>
        <v>1849.9</v>
      </c>
      <c r="R1379" s="3162">
        <v>317.8</v>
      </c>
      <c r="S1379" s="256">
        <f t="shared" ref="S1379:S1385" si="3470">+Q1379+R1379</f>
        <v>2167.7000000000003</v>
      </c>
      <c r="T1379" s="3162">
        <v>328.3</v>
      </c>
      <c r="U1379" s="256">
        <f t="shared" ref="U1379:U1385" si="3471">+S1379+T1379</f>
        <v>2496.0000000000005</v>
      </c>
      <c r="V1379" s="3162">
        <v>367.1</v>
      </c>
      <c r="W1379" s="255">
        <f t="shared" ref="W1379" si="3472">+R1379+T1379+V1379</f>
        <v>1013.2</v>
      </c>
      <c r="X1379" s="246">
        <f>+U1379+V1379</f>
        <v>2863.1000000000004</v>
      </c>
      <c r="Y1379" s="3162">
        <v>350.8</v>
      </c>
      <c r="Z1379" s="363">
        <f>SUM(X1379:Y1379)</f>
        <v>3213.9000000000005</v>
      </c>
      <c r="AA1379" s="3162">
        <v>338.6</v>
      </c>
      <c r="AB1379" s="246">
        <f>SUM(Z1379:AA1379)</f>
        <v>3552.5000000000005</v>
      </c>
      <c r="AC1379" s="3162">
        <v>337</v>
      </c>
      <c r="AD1379" s="1402">
        <f t="shared" ref="AD1379" si="3473">+Y1379+AA1379+AC1379</f>
        <v>1026.4000000000001</v>
      </c>
      <c r="AE1379" s="1453">
        <f t="shared" ref="AE1379" si="3474">+W1379+AD1379</f>
        <v>2039.6000000000001</v>
      </c>
      <c r="AF1379" s="1412">
        <f t="shared" ref="AF1379" si="3475">+AB1379+AC1379</f>
        <v>3889.5000000000005</v>
      </c>
    </row>
    <row r="1380" spans="1:32" ht="35" customHeight="1" x14ac:dyDescent="0.25">
      <c r="C1380" s="508"/>
      <c r="D1380" s="544"/>
      <c r="E1380" s="390" t="s">
        <v>32</v>
      </c>
      <c r="F1380" s="80">
        <f t="shared" ref="F1380:G1380" si="3476">+(F1379*1000000)/F1307</f>
        <v>1891.2677545455811</v>
      </c>
      <c r="G1380" s="80">
        <f t="shared" si="3476"/>
        <v>1913.469881418768</v>
      </c>
      <c r="H1380" s="296">
        <f t="shared" ref="H1380:U1380" si="3477">+(H1379*1000000)/H1307</f>
        <v>1902.6826811941953</v>
      </c>
      <c r="I1380" s="80">
        <f t="shared" si="3477"/>
        <v>1758.861519527306</v>
      </c>
      <c r="J1380" s="313">
        <f t="shared" si="3477"/>
        <v>1850.7206240731828</v>
      </c>
      <c r="K1380" s="80">
        <f t="shared" si="3477"/>
        <v>1732.7966666491743</v>
      </c>
      <c r="L1380" s="296">
        <f t="shared" si="3477"/>
        <v>1816.3520627433707</v>
      </c>
      <c r="M1380" s="80">
        <f t="shared" ref="M1380:O1380" si="3478">+(M1379*1000000)/M1307</f>
        <v>1575.1671325591233</v>
      </c>
      <c r="N1380" s="296">
        <f t="shared" si="3477"/>
        <v>1753.7284279966982</v>
      </c>
      <c r="O1380" s="80">
        <f t="shared" si="3478"/>
        <v>1813.6587598935055</v>
      </c>
      <c r="P1380" s="313">
        <f t="shared" si="3477"/>
        <v>1694.0155593408956</v>
      </c>
      <c r="Q1380" s="3121">
        <f t="shared" si="3477"/>
        <v>1763.2116969208846</v>
      </c>
      <c r="R1380" s="80">
        <f t="shared" si="3477"/>
        <v>1629.4427695399825</v>
      </c>
      <c r="S1380" s="296">
        <f t="shared" si="3477"/>
        <v>1742.2426119252439</v>
      </c>
      <c r="T1380" s="80">
        <f t="shared" si="3477"/>
        <v>1555.3565760362333</v>
      </c>
      <c r="U1380" s="296">
        <f t="shared" si="3477"/>
        <v>1715.1362145239607</v>
      </c>
      <c r="V1380" s="80">
        <f t="shared" ref="V1380" si="3479">+(V1379*1000000)/V1307</f>
        <v>1466.6107349034178</v>
      </c>
      <c r="W1380" s="313">
        <f>+W1379*1000000/W1307</f>
        <v>1543.528666185266</v>
      </c>
      <c r="X1380" s="296">
        <f>+X1379*1000000/X1307</f>
        <v>1678.6635420263924</v>
      </c>
      <c r="Y1380" s="80">
        <f t="shared" ref="Y1380" si="3480">+(Y1379*1000000)/Y1307</f>
        <v>1459.7750415087116</v>
      </c>
      <c r="Z1380" s="296">
        <f>+(Z1379*1000000)/Z1307</f>
        <v>1651.6315893877058</v>
      </c>
      <c r="AA1380" s="80">
        <f t="shared" ref="AA1380" si="3481">+(AA1379*1000000)/AA1307</f>
        <v>1443.0186620753727</v>
      </c>
      <c r="AB1380" s="296">
        <f>+(AB1379*1000000)/AB1307</f>
        <v>1629.1828495772381</v>
      </c>
      <c r="AC1380" s="80">
        <f t="shared" ref="AC1380" si="3482">+(AC1379*1000000)/AC1307</f>
        <v>1537.3386250627252</v>
      </c>
      <c r="AD1380" s="815">
        <f>+AD1379*1000000/AD1307</f>
        <v>1478.6046029203308</v>
      </c>
      <c r="AE1380" s="850">
        <f>+AE1379*1000000/AE1307</f>
        <v>1510.1592938176468</v>
      </c>
      <c r="AF1380" s="814">
        <f>+AF1379*1000000/AF1307</f>
        <v>1620.7931572900691</v>
      </c>
    </row>
    <row r="1381" spans="1:32" ht="35" customHeight="1" x14ac:dyDescent="0.25">
      <c r="C1381" s="508"/>
      <c r="D1381" s="544"/>
      <c r="E1381" s="390" t="s">
        <v>25</v>
      </c>
      <c r="F1381" s="3262">
        <v>883.05</v>
      </c>
      <c r="G1381" s="3262">
        <v>884.49</v>
      </c>
      <c r="H1381" s="363">
        <f>+((F1381*F1379)+(G1381*G1379))/H1379</f>
        <v>883.79455417406746</v>
      </c>
      <c r="I1381" s="3262">
        <v>886.1</v>
      </c>
      <c r="J1381" s="304">
        <f>+((H1381*H1379)+(I1381*I1379))/J1379</f>
        <v>884.58616048518775</v>
      </c>
      <c r="K1381" s="3262">
        <v>892.95</v>
      </c>
      <c r="L1381" s="363">
        <f>+((J1381*J1379)+(K1381*K1379))/L1379</f>
        <v>886.9116402829236</v>
      </c>
      <c r="M1381" s="3262">
        <v>932.38</v>
      </c>
      <c r="N1381" s="363">
        <f>+((L1381*L1379)+(M1381*M1379))/N1379</f>
        <v>897.51544421487597</v>
      </c>
      <c r="O1381" s="3262">
        <v>868.2</v>
      </c>
      <c r="P1381" s="304">
        <f>+((K1381*K1379)+(M1381*M1379)+(O1381*O1379))/P1379</f>
        <v>899.79120000000012</v>
      </c>
      <c r="Q1381" s="2128">
        <f>+((N1381*N1379)+(O1381*O1379))/Q1379</f>
        <v>892.7438996702524</v>
      </c>
      <c r="R1381" s="3262">
        <v>888</v>
      </c>
      <c r="S1381" s="363">
        <f>+((Q1381*Q1379)+(R1381*R1379))/S1379</f>
        <v>892.04841075794604</v>
      </c>
      <c r="T1381" s="3262">
        <v>890.79</v>
      </c>
      <c r="U1381" s="363">
        <f>+((S1381*S1379)+(T1381*T1379))/U1379</f>
        <v>891.88289142628173</v>
      </c>
      <c r="V1381" s="3262">
        <v>910.48</v>
      </c>
      <c r="W1381" s="304">
        <f>+((R1381*R1379)+(T1381*T1379)+(V1381*V1379))/W1379</f>
        <v>897.04891926569292</v>
      </c>
      <c r="X1381" s="296">
        <f>+((U1381*U1379)+(V1381*V1379))/X1379</f>
        <v>894.26736928504056</v>
      </c>
      <c r="Y1381" s="3262">
        <v>906</v>
      </c>
      <c r="Z1381" s="363">
        <f>+((X1381*X1379)+(Y1381*Y1379))/Z1379</f>
        <v>895.54799620398865</v>
      </c>
      <c r="AA1381" s="3262">
        <v>914.43</v>
      </c>
      <c r="AB1381" s="254">
        <f>+((Z1381*Z1379)+(AA1381*AA1379))/AB1379</f>
        <v>897.34769964813495</v>
      </c>
      <c r="AC1381" s="3262">
        <v>904.66</v>
      </c>
      <c r="AD1381" s="1402">
        <f>+((Y1381*Y1379)+(AA1381*AA1379)+(AC1381*AC1379))/AD1379</f>
        <v>908.34101519875276</v>
      </c>
      <c r="AE1381" s="1080">
        <f>+((W1381*W1379)+(AD1381*AD1379))/AE1379</f>
        <v>902.73150764855848</v>
      </c>
      <c r="AF1381" s="812">
        <f>+((AB1381*AB1379)+(AC1381*AC1379))/AF1379</f>
        <v>897.98126314436286</v>
      </c>
    </row>
    <row r="1382" spans="1:32" ht="35" customHeight="1" x14ac:dyDescent="0.25">
      <c r="C1382" s="508"/>
      <c r="D1382" s="544"/>
      <c r="E1382" s="125" t="s">
        <v>442</v>
      </c>
      <c r="F1382" s="3812">
        <f>+(3274.32/F1218)/24</f>
        <v>4.5476666666666672</v>
      </c>
      <c r="G1382" s="3812">
        <f>+(4033.2/G1218)/24</f>
        <v>5.4209677419354838</v>
      </c>
      <c r="H1382" s="256">
        <f>+((F1382*F1304)+(G1382*G1304))/H1304</f>
        <v>4.9914754098360659</v>
      </c>
      <c r="I1382" s="3812">
        <f>+(3974.9/I1218)/24</f>
        <v>5.5206944444444446</v>
      </c>
      <c r="J1382" s="255">
        <f>+((H1382*H1304)+(I1382*I1304))/J1304</f>
        <v>5.1659432234432234</v>
      </c>
      <c r="K1382" s="3812">
        <f>+(4226.4/K1218)/24</f>
        <v>5.6806451612903217</v>
      </c>
      <c r="L1382" s="256">
        <f>+((J1382*J1304)+(K1382*K1304))/L1304</f>
        <v>5.2967281420765024</v>
      </c>
      <c r="M1382" s="3812">
        <f>+(4474.8/31)/24</f>
        <v>6.0145161290322582</v>
      </c>
      <c r="N1382" s="256">
        <f>+((L1382*L1304)+(M1382*M1304))/N1304</f>
        <v>5.4421623093681921</v>
      </c>
      <c r="O1382" s="3812">
        <f>+(3549.6/30)/24</f>
        <v>4.93</v>
      </c>
      <c r="P1382" s="255">
        <f>+((K1382*K1304)+(M1382*M1304)+(O1382*O1304))/P1304</f>
        <v>5.5483695652173903</v>
      </c>
      <c r="Q1382" s="349">
        <f>+((N1382*N1304)+(O1382*O1304))/Q1304</f>
        <v>5.3582012750455377</v>
      </c>
      <c r="R1382" s="3812">
        <f>+(3773.52/31)/24</f>
        <v>5.0719354838709672</v>
      </c>
      <c r="S1382" s="256">
        <f>+((Q1382*Q1304)+(R1382*R1304))/S1304</f>
        <v>5.3167328660436137</v>
      </c>
      <c r="T1382" s="3812">
        <f>+(3970.8/30)/24</f>
        <v>5.5150000000000006</v>
      </c>
      <c r="U1382" s="256">
        <f>+((S1382*S1304)+(T1382*T1304))/U1304</f>
        <v>5.3411099726775957</v>
      </c>
      <c r="V1382" s="3812">
        <f>+(4242.72/31)/24</f>
        <v>5.7025806451612908</v>
      </c>
      <c r="W1382" s="255">
        <f>+((R1382*R1304)+(T1382*T1304)+(V1382*V1304))/W1304</f>
        <v>5.4289130434782615</v>
      </c>
      <c r="X1382" s="256">
        <f>+((U1382*U1304)+(V1382*V1304))/X1304</f>
        <v>5.381857575757576</v>
      </c>
      <c r="Y1382" s="3812">
        <f>+(3917.28/31)/24</f>
        <v>5.2651612903225811</v>
      </c>
      <c r="Z1382" s="256">
        <f>+((X1382*X1304)+(Y1382*Y1304))/Z1304</f>
        <v>5.3700354030501094</v>
      </c>
      <c r="AA1382" s="3812">
        <f>+(3719.52/AA1304)/24</f>
        <v>5.3441379310344823</v>
      </c>
      <c r="AB1382" s="256">
        <f>+((Z1382*Z1304)+(AA1382*AA1304))/AB1304</f>
        <v>5.3677935323383092</v>
      </c>
      <c r="AC1382" s="3812">
        <f>+(3886.8/31)/24</f>
        <v>5.2241935483870972</v>
      </c>
      <c r="AD1382" s="858">
        <f>+((Y1382*Y1304)+(AA1382*AA1304)+(AC1382*AC1304))/AD1304</f>
        <v>5.2763736263736272</v>
      </c>
      <c r="AE1382" s="852">
        <f>+((W1382*W1304)+(AD1382*AD1304))/AE1304</f>
        <v>5.3530601092896184</v>
      </c>
      <c r="AF1382" s="829">
        <f>+((AB1382*AB1304)+(AC1382*AC1304))/AF1304</f>
        <v>5.355630692167578</v>
      </c>
    </row>
    <row r="1383" spans="1:32" ht="35" customHeight="1" x14ac:dyDescent="0.25">
      <c r="C1383" s="508"/>
      <c r="D1383" s="544"/>
      <c r="E1383" s="125" t="s">
        <v>989</v>
      </c>
      <c r="F1383" s="3814">
        <f>(117282.24/F1218)/24</f>
        <v>162.89200000000002</v>
      </c>
      <c r="G1383" s="3814">
        <f>(123306.72/G1218)/24</f>
        <v>165.7348387096774</v>
      </c>
      <c r="H1383" s="256">
        <f>+((F1383*F1304)+(G1383*G1304))/H1304</f>
        <v>164.33672131147543</v>
      </c>
      <c r="I1383" s="3814">
        <f>(124044.7/I1218)/24</f>
        <v>172.28430555555553</v>
      </c>
      <c r="J1383" s="255">
        <f>+((H1383*H1304)+(I1383*I1304))/J1304</f>
        <v>166.95680402930404</v>
      </c>
      <c r="K1383" s="3814">
        <f>(144096.24/K1218)/24</f>
        <v>193.67774193548385</v>
      </c>
      <c r="L1383" s="256">
        <f>+((J1383*J1304)+(K1383*K1304))/L1304</f>
        <v>173.74655054644808</v>
      </c>
      <c r="M1383" s="3814">
        <f>+(151478.4/31)/24</f>
        <v>203.6</v>
      </c>
      <c r="N1383" s="256">
        <f>+((L1383*L1304)+(M1383*M1304))/N1304</f>
        <v>179.79528867102397</v>
      </c>
      <c r="O1383" s="3814">
        <f>(123448.8/30)/24</f>
        <v>171.45666666666668</v>
      </c>
      <c r="P1383" s="255">
        <f>+((K1383*K1304)+(M1383*M1304)+(O1383*O1304))/P1304</f>
        <v>189.77510869565214</v>
      </c>
      <c r="Q1383" s="349">
        <f>+((N1383*N1304)+(O1383*O1304))/Q1304</f>
        <v>178.42830145719492</v>
      </c>
      <c r="R1383" s="3814">
        <f>+(129595.44/31)/24</f>
        <v>174.18741935483874</v>
      </c>
      <c r="S1383" s="256">
        <f>+((Q1383*Q1304)+(R1383*R1304))/S1304</f>
        <v>177.81396806853584</v>
      </c>
      <c r="T1383" s="3814">
        <f>(133197.6/30)/24</f>
        <v>184.99666666666667</v>
      </c>
      <c r="U1383" s="256">
        <f>+((S1383*S1304)+(T1383*T1304))/U1304</f>
        <v>178.69708674863389</v>
      </c>
      <c r="V1383" s="3814">
        <f>+(153852/31)/24</f>
        <v>206.79032258064515</v>
      </c>
      <c r="W1383" s="255">
        <f>+((R1383*R1304)+(T1383*T1304)+(V1383*V1304))/W1304</f>
        <v>188.69793478260868</v>
      </c>
      <c r="X1383" s="256">
        <f>+((U1383*U1304)+(V1383*V1304))/X1304</f>
        <v>181.86396060606063</v>
      </c>
      <c r="Y1383" s="3814">
        <f>+(144404.64/31)/24</f>
        <v>194.09225806451616</v>
      </c>
      <c r="Z1383" s="363">
        <f>+((X1383*X1304)+(Y1383*Y1304))/Z1304</f>
        <v>183.10277505446626</v>
      </c>
      <c r="AA1383" s="3814">
        <f>+(139684.56/AA1304)/24</f>
        <v>200.69620689655173</v>
      </c>
      <c r="AB1383" s="256">
        <f>+((Z1383*Z1304)+(AA1383*AA1304))/AB1304</f>
        <v>184.62578855721398</v>
      </c>
      <c r="AC1383" s="3814">
        <f>+(138394.6/31)/24</f>
        <v>186.01424731182797</v>
      </c>
      <c r="AD1383" s="858">
        <f>+((Y1383*Y1304)+(AA1383*AA1304)+(AC1383*AC1304))/AD1304</f>
        <v>193.4449633699634</v>
      </c>
      <c r="AE1383" s="852">
        <f>+((W1383*W1304)+(AD1383*AD1304))/AE1304</f>
        <v>191.05847905282332</v>
      </c>
      <c r="AF1383" s="829">
        <f>+((AB1383*AB1304)+(AC1383*AC1304))/AF1304</f>
        <v>184.74339025500916</v>
      </c>
    </row>
    <row r="1384" spans="1:32" ht="35" customHeight="1" x14ac:dyDescent="0.3">
      <c r="C1384" s="508"/>
      <c r="D1384" s="544"/>
      <c r="E1384" s="390" t="s">
        <v>1115</v>
      </c>
      <c r="F1384" s="3162">
        <v>0.81699999999999995</v>
      </c>
      <c r="G1384" s="3162">
        <v>0.83</v>
      </c>
      <c r="H1384" s="529">
        <f>+((F1384*F1307)+(G1384*G1307))/H1307</f>
        <v>0.82368377616611121</v>
      </c>
      <c r="I1384" s="3162">
        <v>0.75800000000000001</v>
      </c>
      <c r="J1384" s="552">
        <f>+((H1384*H1307)+(I1384*I1307))/J1307</f>
        <v>0.79995246924639363</v>
      </c>
      <c r="K1384" s="3162">
        <v>0.77</v>
      </c>
      <c r="L1384" s="529">
        <f>+((J1384*J1307)+(K1384*K1307))/L1307</f>
        <v>0.79122291760344299</v>
      </c>
      <c r="M1384" s="3162">
        <v>0.7</v>
      </c>
      <c r="N1384" s="529">
        <f>+((L1384*L1307)+(M1384*M1307))/N1307</f>
        <v>0.7675368992930961</v>
      </c>
      <c r="O1384" s="3162">
        <v>0.73699999999999999</v>
      </c>
      <c r="P1384" s="552">
        <f>+((K1384*K1307)+(M1384*M1307)+(O1384*O1307))/P1307</f>
        <v>0.73325185445632768</v>
      </c>
      <c r="Q1384" s="3122">
        <f>+((N1384*N1307)+(O1384*O1307))/Q1307</f>
        <v>0.76270479476536102</v>
      </c>
      <c r="R1384" s="3162">
        <v>0.67200000000000004</v>
      </c>
      <c r="S1384" s="529">
        <f>+((Q1384*Q1307)+(R1384*R1307))/S1307</f>
        <v>0.74848627191265726</v>
      </c>
      <c r="T1384" s="3162">
        <v>0.64200000000000002</v>
      </c>
      <c r="U1384" s="529">
        <f>+((S1384*S1307)+(T1384*T1307))/U1307</f>
        <v>0.73304124847623631</v>
      </c>
      <c r="V1384" s="3162">
        <v>0.63200000000000001</v>
      </c>
      <c r="W1384" s="552">
        <f>+((R1384*R1307)+(T1384*T1307)+(V1384*V1307))/W1307</f>
        <v>0.64710045428370344</v>
      </c>
      <c r="X1384" s="529">
        <f>+((U1384*U1307)+(V1384*V1307))/X1307</f>
        <v>0.71821281168961004</v>
      </c>
      <c r="Y1384" s="3162">
        <v>0.61399999999999999</v>
      </c>
      <c r="Z1384" s="529">
        <f>+((X1384*X1307)+(Y1384*Y1307))/Z1307</f>
        <v>0.70534289945906614</v>
      </c>
      <c r="AA1384" s="3162">
        <v>0.61199999999999999</v>
      </c>
      <c r="AB1384" s="529">
        <f>+((Z1384*Z1307)+(AA1384*AA1307))/AB1307</f>
        <v>0.69529831358364735</v>
      </c>
      <c r="AC1384" s="3162">
        <v>0.64700000000000002</v>
      </c>
      <c r="AD1384" s="1460">
        <f>+((Y1384*$Y$1307)+(AA1384*$AA$1307)+(AC1384*$AC$1307))/$AD$1307</f>
        <v>0.62374495511173089</v>
      </c>
      <c r="AE1384" s="1461">
        <f>+((W1384*$W$1307)+(AD1384*$AD$1307))/$AE$1307</f>
        <v>0.63509630190154509</v>
      </c>
      <c r="AF1384" s="1462">
        <f>+((AB1384*$AB$1307)+(AC1384*$AC$1307))/$AF$1307</f>
        <v>0.69088640863156225</v>
      </c>
    </row>
    <row r="1385" spans="1:32" ht="35" customHeight="1" x14ac:dyDescent="0.25">
      <c r="C1385" s="508"/>
      <c r="D1385" s="544"/>
      <c r="E1385" s="61" t="s">
        <v>320</v>
      </c>
      <c r="F1385" s="3262">
        <v>9405014</v>
      </c>
      <c r="G1385" s="3262">
        <v>9828956</v>
      </c>
      <c r="H1385" s="360">
        <f t="shared" si="3464"/>
        <v>19233970</v>
      </c>
      <c r="I1385" s="3262">
        <v>10241878.000000015</v>
      </c>
      <c r="J1385" s="304">
        <f t="shared" si="3465"/>
        <v>29475848.000000015</v>
      </c>
      <c r="K1385" s="3262">
        <v>10517248</v>
      </c>
      <c r="L1385" s="360">
        <f t="shared" si="3466"/>
        <v>39993096.000000015</v>
      </c>
      <c r="M1385" s="3262">
        <v>11539324.000000013</v>
      </c>
      <c r="N1385" s="472">
        <f t="shared" si="3467"/>
        <v>51532420.00000003</v>
      </c>
      <c r="O1385" s="3262">
        <v>10104465.999999987</v>
      </c>
      <c r="P1385" s="304">
        <f t="shared" si="3468"/>
        <v>32161038</v>
      </c>
      <c r="Q1385" s="2128">
        <f t="shared" si="3469"/>
        <v>61636886.000000015</v>
      </c>
      <c r="R1385" s="3262">
        <v>11379764</v>
      </c>
      <c r="S1385" s="363">
        <f t="shared" si="3470"/>
        <v>73016650.000000015</v>
      </c>
      <c r="T1385" s="3262">
        <f>785710+11097320+34736.0000000001</f>
        <v>11917766</v>
      </c>
      <c r="U1385" s="363">
        <f t="shared" si="3471"/>
        <v>84934416.000000015</v>
      </c>
      <c r="V1385" s="3262">
        <v>11916732.000000006</v>
      </c>
      <c r="W1385" s="313">
        <f>+R1385+T1385+V1385</f>
        <v>35214262.000000007</v>
      </c>
      <c r="X1385" s="296">
        <f>+U1385+V1385</f>
        <v>96851148.000000015</v>
      </c>
      <c r="Y1385" s="3262">
        <v>11463096</v>
      </c>
      <c r="Z1385" s="363">
        <f>+X1385+Y1385</f>
        <v>108314244.00000001</v>
      </c>
      <c r="AA1385" s="3262">
        <v>10809464.000000002</v>
      </c>
      <c r="AB1385" s="296">
        <f>+Z1385+AA1385</f>
        <v>119123708.00000001</v>
      </c>
      <c r="AC1385" s="3262">
        <v>11031528</v>
      </c>
      <c r="AD1385" s="713">
        <f t="shared" ref="AD1385" si="3483">+Y1385+AA1385+AC1385</f>
        <v>33304088</v>
      </c>
      <c r="AE1385" s="1290">
        <f t="shared" ref="AE1385" si="3484">+W1385+AD1385</f>
        <v>68518350</v>
      </c>
      <c r="AF1385" s="712">
        <f t="shared" ref="AF1385" si="3485">+AB1385+AC1385</f>
        <v>130155236.00000001</v>
      </c>
    </row>
    <row r="1386" spans="1:32" ht="35" customHeight="1" thickBot="1" x14ac:dyDescent="0.3">
      <c r="C1386" s="509"/>
      <c r="D1386" s="545"/>
      <c r="E1386" s="511" t="s">
        <v>81</v>
      </c>
      <c r="F1386" s="510">
        <f t="shared" ref="F1386:G1386" si="3486">+F1385/F1307</f>
        <v>65.418902939498906</v>
      </c>
      <c r="G1386" s="510">
        <f t="shared" si="3486"/>
        <v>64.608077196119154</v>
      </c>
      <c r="H1386" s="537">
        <f t="shared" ref="H1386:AF1386" si="3487">+H1385/H1307</f>
        <v>65.002027725770361</v>
      </c>
      <c r="I1386" s="510">
        <f t="shared" si="3487"/>
        <v>61.189011895018041</v>
      </c>
      <c r="J1386" s="551">
        <f t="shared" si="3487"/>
        <v>63.624399120184627</v>
      </c>
      <c r="K1386" s="510">
        <f t="shared" si="3487"/>
        <v>55.191557470389746</v>
      </c>
      <c r="L1386" s="537">
        <f t="shared" si="3487"/>
        <v>61.166674313820877</v>
      </c>
      <c r="M1386" s="510">
        <f t="shared" ref="M1386:O1386" si="3488">+M1385/M1307</f>
        <v>50.322159182587747</v>
      </c>
      <c r="N1386" s="537">
        <f t="shared" si="3487"/>
        <v>58.350897415719047</v>
      </c>
      <c r="O1386" s="510">
        <f t="shared" si="3488"/>
        <v>60.863677432567478</v>
      </c>
      <c r="P1386" s="551">
        <f t="shared" si="3487"/>
        <v>54.892996248416928</v>
      </c>
      <c r="Q1386" s="3123">
        <f t="shared" si="3487"/>
        <v>58.748515247839961</v>
      </c>
      <c r="R1386" s="510">
        <f t="shared" si="3487"/>
        <v>58.346992350130229</v>
      </c>
      <c r="S1386" s="537">
        <f t="shared" si="3487"/>
        <v>58.685574115436346</v>
      </c>
      <c r="T1386" s="510">
        <f t="shared" si="3487"/>
        <v>56.461698811334252</v>
      </c>
      <c r="U1386" s="537">
        <f t="shared" si="3487"/>
        <v>58.363017925097481</v>
      </c>
      <c r="V1386" s="510">
        <f t="shared" ref="V1386" si="3489">+V1385/V1307</f>
        <v>47.608845208845231</v>
      </c>
      <c r="W1386" s="551">
        <f t="shared" si="3487"/>
        <v>53.646094409355022</v>
      </c>
      <c r="X1386" s="537">
        <f t="shared" si="3487"/>
        <v>56.784775645629686</v>
      </c>
      <c r="Y1386" s="510">
        <f t="shared" si="3487"/>
        <v>47.701087340987307</v>
      </c>
      <c r="Z1386" s="537">
        <f t="shared" si="3487"/>
        <v>55.662972392124139</v>
      </c>
      <c r="AA1386" s="510">
        <f t="shared" ref="AA1386" si="3490">+AA1385/AA1307</f>
        <v>46.066917539964294</v>
      </c>
      <c r="AB1386" s="414">
        <f t="shared" si="3487"/>
        <v>54.630345405108187</v>
      </c>
      <c r="AC1386" s="510">
        <f t="shared" ref="AC1386" si="3491">+AC1385/AC1307</f>
        <v>50.324018064869307</v>
      </c>
      <c r="AD1386" s="1455">
        <f t="shared" si="3487"/>
        <v>47.976985398347374</v>
      </c>
      <c r="AE1386" s="1456">
        <f t="shared" si="3487"/>
        <v>50.732311752083909</v>
      </c>
      <c r="AF1386" s="1457">
        <f t="shared" si="3487"/>
        <v>54.236975419533117</v>
      </c>
    </row>
    <row r="1387" spans="1:32" ht="35" customHeight="1" thickTop="1" x14ac:dyDescent="0.25">
      <c r="C1387" s="546"/>
      <c r="D1387" s="553"/>
      <c r="E1387" s="506" t="s">
        <v>374</v>
      </c>
      <c r="F1387" s="2781">
        <f>+F6</f>
        <v>30</v>
      </c>
      <c r="G1387" s="2781">
        <f>+G6</f>
        <v>31</v>
      </c>
      <c r="H1387" s="3679">
        <f>SUM(F1387:G1387)</f>
        <v>61</v>
      </c>
      <c r="I1387" s="2781">
        <f>+I6</f>
        <v>30</v>
      </c>
      <c r="J1387" s="3679">
        <f>SUM(H1387:I1387)</f>
        <v>91</v>
      </c>
      <c r="K1387" s="2781">
        <f>+K6</f>
        <v>31</v>
      </c>
      <c r="L1387" s="3745">
        <f>SUM(J1387:K1387)</f>
        <v>122</v>
      </c>
      <c r="M1387" s="2781">
        <v>31</v>
      </c>
      <c r="N1387" s="3746">
        <f>SUM(L1387:M1387)</f>
        <v>153</v>
      </c>
      <c r="O1387" s="2781">
        <v>30</v>
      </c>
      <c r="P1387" s="2781">
        <f>+K1387+M1387+O1387</f>
        <v>92</v>
      </c>
      <c r="Q1387" s="3043">
        <f>+N1387+O1387</f>
        <v>183</v>
      </c>
      <c r="R1387" s="2781">
        <v>31</v>
      </c>
      <c r="S1387" s="2781">
        <f>SUM(Q1387:R1387)</f>
        <v>214</v>
      </c>
      <c r="T1387" s="2781">
        <v>30</v>
      </c>
      <c r="U1387" s="2781">
        <f>SUM(S1387:T1387)</f>
        <v>244</v>
      </c>
      <c r="V1387" s="2781">
        <v>31</v>
      </c>
      <c r="W1387" s="2781">
        <f>+R1387+T1387+V1387</f>
        <v>92</v>
      </c>
      <c r="X1387" s="2781">
        <f>+U1387+V1387</f>
        <v>275</v>
      </c>
      <c r="Y1387" s="2781">
        <v>31</v>
      </c>
      <c r="Z1387" s="2781">
        <f>SUM(X1387:Y1387)</f>
        <v>306</v>
      </c>
      <c r="AA1387" s="2781">
        <v>29</v>
      </c>
      <c r="AB1387" s="2781">
        <f>SUM(Z1387:AA1387)</f>
        <v>335</v>
      </c>
      <c r="AC1387" s="2781">
        <v>31</v>
      </c>
      <c r="AD1387" s="1212">
        <f>31+28+31</f>
        <v>90</v>
      </c>
      <c r="AE1387" s="1212">
        <f>31+30+31+31+28+31</f>
        <v>182</v>
      </c>
      <c r="AF1387" s="1212">
        <f>+AB1387+AC1387</f>
        <v>366</v>
      </c>
    </row>
    <row r="1388" spans="1:32" ht="35.25" customHeight="1" x14ac:dyDescent="0.25">
      <c r="C1388" s="508"/>
      <c r="D1388" s="554"/>
      <c r="E1388" s="370" t="s">
        <v>2</v>
      </c>
      <c r="F1388" s="64" t="s">
        <v>9</v>
      </c>
      <c r="G1388" s="64" t="s">
        <v>51</v>
      </c>
      <c r="H1388" s="3681" t="s">
        <v>52</v>
      </c>
      <c r="I1388" s="64" t="s">
        <v>1073</v>
      </c>
      <c r="J1388" s="3744" t="s">
        <v>60</v>
      </c>
      <c r="K1388" s="64" t="s">
        <v>2117</v>
      </c>
      <c r="L1388" s="3747" t="s">
        <v>62</v>
      </c>
      <c r="M1388" s="64" t="s">
        <v>63</v>
      </c>
      <c r="N1388" s="378" t="s">
        <v>64</v>
      </c>
      <c r="O1388" s="64" t="s">
        <v>65</v>
      </c>
      <c r="P1388" s="81" t="s">
        <v>66</v>
      </c>
      <c r="Q1388" s="3086" t="s">
        <v>82</v>
      </c>
      <c r="R1388" s="64" t="s">
        <v>100</v>
      </c>
      <c r="S1388" s="252" t="s">
        <v>101</v>
      </c>
      <c r="T1388" s="64" t="s">
        <v>104</v>
      </c>
      <c r="U1388" s="252" t="s">
        <v>105</v>
      </c>
      <c r="V1388" s="64" t="s">
        <v>106</v>
      </c>
      <c r="W1388" s="179" t="s">
        <v>107</v>
      </c>
      <c r="X1388" s="65" t="s">
        <v>108</v>
      </c>
      <c r="Y1388" s="64" t="s">
        <v>109</v>
      </c>
      <c r="Z1388" s="252" t="s">
        <v>110</v>
      </c>
      <c r="AA1388" s="64" t="s">
        <v>112</v>
      </c>
      <c r="AB1388" s="252" t="s">
        <v>113</v>
      </c>
      <c r="AC1388" s="64" t="s">
        <v>114</v>
      </c>
      <c r="AD1388" s="659" t="s">
        <v>115</v>
      </c>
      <c r="AE1388" s="1321" t="s">
        <v>116</v>
      </c>
      <c r="AF1388" s="658" t="s">
        <v>117</v>
      </c>
    </row>
    <row r="1389" spans="1:32" ht="33" x14ac:dyDescent="0.25">
      <c r="C1389" s="508"/>
      <c r="D1389" s="554"/>
      <c r="E1389" s="2844" t="s">
        <v>375</v>
      </c>
      <c r="F1389" s="3321">
        <v>942.69</v>
      </c>
      <c r="G1389" s="3321">
        <v>972.0200000000001</v>
      </c>
      <c r="H1389" s="363">
        <f t="shared" ref="H1389:H1398" si="3492">SUM(F1389:G1389)</f>
        <v>1914.71</v>
      </c>
      <c r="I1389" s="3321">
        <v>1136.52</v>
      </c>
      <c r="J1389" s="304">
        <f t="shared" ref="J1389:J1398" si="3493">+H1389+I1389</f>
        <v>3051.23</v>
      </c>
      <c r="K1389" s="3321"/>
      <c r="L1389" s="363">
        <f t="shared" ref="L1389:L1398" si="3494">+J1389+K1389</f>
        <v>3051.23</v>
      </c>
      <c r="M1389" s="3321">
        <v>1219.7850000000003</v>
      </c>
      <c r="N1389" s="363">
        <f t="shared" ref="N1389:N1398" si="3495">+L1389+M1389</f>
        <v>4271.0150000000003</v>
      </c>
      <c r="O1389" s="3321">
        <v>1152.8579999999999</v>
      </c>
      <c r="P1389" s="304">
        <f t="shared" ref="P1389:P1398" si="3496">+K1389+M1389+O1389</f>
        <v>2372.643</v>
      </c>
      <c r="Q1389" s="2128">
        <f t="shared" ref="Q1389:Q1398" si="3497">+J1389+P1389</f>
        <v>5423.8729999999996</v>
      </c>
      <c r="R1389" s="3321">
        <v>1169.8399999999999</v>
      </c>
      <c r="S1389" s="363">
        <f t="shared" ref="S1389:S1398" si="3498">+Q1389+R1389</f>
        <v>6593.7129999999997</v>
      </c>
      <c r="T1389" s="3321">
        <v>1176.3499999999999</v>
      </c>
      <c r="U1389" s="363">
        <f t="shared" ref="U1389:U1398" si="3499">+S1389+T1389</f>
        <v>7770.0630000000001</v>
      </c>
      <c r="V1389" s="3321">
        <v>1204.6649999999997</v>
      </c>
      <c r="W1389" s="304">
        <f t="shared" ref="W1389:W1398" si="3500">+R1389+T1389+V1389</f>
        <v>3550.8549999999996</v>
      </c>
      <c r="X1389" s="363">
        <f t="shared" ref="X1389:X1398" si="3501">+U1389+V1389</f>
        <v>8974.7279999999992</v>
      </c>
      <c r="Y1389" s="3321">
        <v>1241.24</v>
      </c>
      <c r="Z1389" s="363">
        <f t="shared" ref="Z1389:Z1398" si="3502">+X1389+Y1389</f>
        <v>10215.967999999999</v>
      </c>
      <c r="AA1389" s="3321">
        <v>993.86000000000013</v>
      </c>
      <c r="AB1389" s="296">
        <f t="shared" ref="AB1389:AB1398" si="3503">+Z1389+AA1389</f>
        <v>11209.828</v>
      </c>
      <c r="AC1389" s="3321">
        <v>1006.25</v>
      </c>
      <c r="AD1389" s="713">
        <f t="shared" ref="AD1389:AD1398" si="3504">+Y1389+AA1389+AC1389</f>
        <v>3241.3500000000004</v>
      </c>
      <c r="AE1389" s="1290">
        <f t="shared" ref="AE1389:AE1398" si="3505">+W1389+AD1389</f>
        <v>6792.2049999999999</v>
      </c>
      <c r="AF1389" s="712">
        <f t="shared" ref="AF1389:AF1398" si="3506">+AB1389+AC1389</f>
        <v>12216.078</v>
      </c>
    </row>
    <row r="1390" spans="1:32" ht="34" x14ac:dyDescent="0.25">
      <c r="C1390" s="508"/>
      <c r="D1390" s="554"/>
      <c r="E1390" s="3264" t="s">
        <v>472</v>
      </c>
      <c r="F1390" s="1094">
        <v>1346.7</v>
      </c>
      <c r="G1390" s="1094">
        <v>1388.6000000000001</v>
      </c>
      <c r="H1390" s="712">
        <f t="shared" si="3492"/>
        <v>2735.3</v>
      </c>
      <c r="I1390" s="1094">
        <v>1623.6</v>
      </c>
      <c r="J1390" s="713">
        <f t="shared" si="3493"/>
        <v>4358.8999999999996</v>
      </c>
      <c r="K1390" s="1094"/>
      <c r="L1390" s="712">
        <f t="shared" si="3494"/>
        <v>4358.8999999999996</v>
      </c>
      <c r="M1390" s="1094">
        <v>1742.5500000000002</v>
      </c>
      <c r="N1390" s="363">
        <f t="shared" si="3495"/>
        <v>6101.45</v>
      </c>
      <c r="O1390" s="1094">
        <v>1646.94</v>
      </c>
      <c r="P1390" s="304">
        <f t="shared" si="3496"/>
        <v>3389.4900000000002</v>
      </c>
      <c r="Q1390" s="2128">
        <f t="shared" si="3497"/>
        <v>7748.3899999999994</v>
      </c>
      <c r="R1390" s="1094">
        <v>1671.2</v>
      </c>
      <c r="S1390" s="363">
        <f t="shared" si="3498"/>
        <v>9419.59</v>
      </c>
      <c r="T1390" s="1094">
        <v>1680.5</v>
      </c>
      <c r="U1390" s="363">
        <f t="shared" si="3499"/>
        <v>11100.09</v>
      </c>
      <c r="V1390" s="1094">
        <v>1720.9499999999998</v>
      </c>
      <c r="W1390" s="1214">
        <f t="shared" si="3500"/>
        <v>5072.6499999999996</v>
      </c>
      <c r="X1390" s="363">
        <f t="shared" si="3501"/>
        <v>12821.04</v>
      </c>
      <c r="Y1390" s="1094">
        <v>1773.2</v>
      </c>
      <c r="Z1390" s="363">
        <f t="shared" si="3502"/>
        <v>14594.240000000002</v>
      </c>
      <c r="AA1390" s="1094">
        <v>1419.8000000000002</v>
      </c>
      <c r="AB1390" s="296">
        <f t="shared" si="3503"/>
        <v>16014.04</v>
      </c>
      <c r="AC1390" s="1094">
        <v>1437.5</v>
      </c>
      <c r="AD1390" s="713">
        <f t="shared" si="3504"/>
        <v>4630.5</v>
      </c>
      <c r="AE1390" s="1290">
        <f t="shared" si="3505"/>
        <v>9703.15</v>
      </c>
      <c r="AF1390" s="712">
        <f t="shared" si="3506"/>
        <v>17451.54</v>
      </c>
    </row>
    <row r="1391" spans="1:32" ht="33" x14ac:dyDescent="0.25">
      <c r="C1391" s="508"/>
      <c r="D1391" s="554"/>
      <c r="E1391" s="3265" t="s">
        <v>379</v>
      </c>
      <c r="F1391" s="3262">
        <v>29553.159999999996</v>
      </c>
      <c r="G1391" s="3262">
        <v>29789.249000000003</v>
      </c>
      <c r="H1391" s="363">
        <f t="shared" si="3492"/>
        <v>59342.409</v>
      </c>
      <c r="I1391" s="3262">
        <v>28897.189999999995</v>
      </c>
      <c r="J1391" s="304">
        <f t="shared" si="3493"/>
        <v>88239.598999999987</v>
      </c>
      <c r="K1391" s="3262"/>
      <c r="L1391" s="363">
        <f t="shared" si="3494"/>
        <v>88239.598999999987</v>
      </c>
      <c r="M1391" s="3262">
        <v>30730.657999999996</v>
      </c>
      <c r="N1391" s="363">
        <f t="shared" si="3495"/>
        <v>118970.25699999998</v>
      </c>
      <c r="O1391" s="3262">
        <v>29181.502</v>
      </c>
      <c r="P1391" s="304">
        <f t="shared" si="3496"/>
        <v>59912.159999999996</v>
      </c>
      <c r="Q1391" s="2128">
        <f t="shared" si="3497"/>
        <v>148151.75899999999</v>
      </c>
      <c r="R1391" s="3262">
        <v>30892.994999999992</v>
      </c>
      <c r="S1391" s="363">
        <f t="shared" si="3498"/>
        <v>179044.75399999999</v>
      </c>
      <c r="T1391" s="3262">
        <v>29314.32</v>
      </c>
      <c r="U1391" s="363">
        <f t="shared" si="3499"/>
        <v>208359.07399999999</v>
      </c>
      <c r="V1391" s="3262">
        <v>30618.973000000002</v>
      </c>
      <c r="W1391" s="313">
        <f t="shared" si="3500"/>
        <v>90826.287999999986</v>
      </c>
      <c r="X1391" s="296">
        <f t="shared" si="3501"/>
        <v>238978.04699999999</v>
      </c>
      <c r="Y1391" s="3262">
        <v>30169.65</v>
      </c>
      <c r="Z1391" s="363">
        <f t="shared" si="3502"/>
        <v>269147.69699999999</v>
      </c>
      <c r="AA1391" s="3262">
        <v>28312.059999999998</v>
      </c>
      <c r="AB1391" s="296">
        <f t="shared" si="3503"/>
        <v>297459.75699999998</v>
      </c>
      <c r="AC1391" s="3262">
        <v>30644.810000000005</v>
      </c>
      <c r="AD1391" s="713">
        <f t="shared" si="3504"/>
        <v>89126.52</v>
      </c>
      <c r="AE1391" s="1290">
        <f t="shared" si="3505"/>
        <v>179952.80799999999</v>
      </c>
      <c r="AF1391" s="712">
        <f t="shared" si="3506"/>
        <v>328104.56699999998</v>
      </c>
    </row>
    <row r="1392" spans="1:32" ht="34" thickBot="1" x14ac:dyDescent="0.3">
      <c r="C1392" s="508"/>
      <c r="D1392" s="554"/>
      <c r="E1392" s="3266" t="s">
        <v>380</v>
      </c>
      <c r="F1392" s="4599">
        <v>42218.799999999996</v>
      </c>
      <c r="G1392" s="4599">
        <v>42556.070000000007</v>
      </c>
      <c r="H1392" s="579">
        <f t="shared" si="3492"/>
        <v>84774.87</v>
      </c>
      <c r="I1392" s="4599">
        <v>41281.699999999997</v>
      </c>
      <c r="J1392" s="314">
        <f t="shared" si="3493"/>
        <v>126056.56999999999</v>
      </c>
      <c r="K1392" s="4599"/>
      <c r="L1392" s="417">
        <f t="shared" si="3494"/>
        <v>126056.56999999999</v>
      </c>
      <c r="M1392" s="4599">
        <v>43900.939999999995</v>
      </c>
      <c r="N1392" s="432">
        <f t="shared" si="3495"/>
        <v>169957.50999999998</v>
      </c>
      <c r="O1392" s="4599">
        <v>41687.86</v>
      </c>
      <c r="P1392" s="427">
        <f t="shared" si="3496"/>
        <v>85588.799999999988</v>
      </c>
      <c r="Q1392" s="3025">
        <f t="shared" si="3497"/>
        <v>211645.37</v>
      </c>
      <c r="R1392" s="4599">
        <v>44132.849999999991</v>
      </c>
      <c r="S1392" s="579">
        <f t="shared" si="3498"/>
        <v>255778.21999999997</v>
      </c>
      <c r="T1392" s="4599">
        <v>41877.599999999999</v>
      </c>
      <c r="U1392" s="579">
        <f t="shared" si="3499"/>
        <v>297655.81999999995</v>
      </c>
      <c r="V1392" s="4599">
        <v>43741.39</v>
      </c>
      <c r="W1392" s="314">
        <f t="shared" si="3500"/>
        <v>129751.83999999998</v>
      </c>
      <c r="X1392" s="579">
        <f t="shared" si="3501"/>
        <v>341397.20999999996</v>
      </c>
      <c r="Y1392" s="4599">
        <v>43099.5</v>
      </c>
      <c r="Z1392" s="579">
        <f t="shared" si="3502"/>
        <v>384496.70999999996</v>
      </c>
      <c r="AA1392" s="4599">
        <v>40445.799999999996</v>
      </c>
      <c r="AB1392" s="1482">
        <f t="shared" si="3503"/>
        <v>424942.50999999995</v>
      </c>
      <c r="AC1392" s="4599">
        <v>43778.3</v>
      </c>
      <c r="AD1392" s="874">
        <f t="shared" si="3504"/>
        <v>127323.59999999999</v>
      </c>
      <c r="AE1392" s="1295">
        <f t="shared" si="3505"/>
        <v>257075.43999999997</v>
      </c>
      <c r="AF1392" s="1427">
        <f t="shared" si="3506"/>
        <v>468720.80999999994</v>
      </c>
    </row>
    <row r="1393" spans="3:38" ht="34" thickBot="1" x14ac:dyDescent="0.3">
      <c r="C1393" s="508"/>
      <c r="D1393" s="554"/>
      <c r="E1393" s="3267" t="s">
        <v>376</v>
      </c>
      <c r="F1393" s="3321">
        <v>627.12</v>
      </c>
      <c r="G1393" s="3321">
        <v>659.67999999999984</v>
      </c>
      <c r="H1393" s="363">
        <f t="shared" si="3492"/>
        <v>1286.7999999999997</v>
      </c>
      <c r="I1393" s="3321">
        <v>662.72000000000014</v>
      </c>
      <c r="J1393" s="304">
        <f t="shared" si="3493"/>
        <v>1949.52</v>
      </c>
      <c r="K1393" s="3321"/>
      <c r="L1393" s="459">
        <f t="shared" si="3494"/>
        <v>1949.52</v>
      </c>
      <c r="M1393" s="3321">
        <v>672.12</v>
      </c>
      <c r="N1393" s="459">
        <f t="shared" si="3495"/>
        <v>2621.64</v>
      </c>
      <c r="O1393" s="3321">
        <v>641.12800000000004</v>
      </c>
      <c r="P1393" s="270">
        <f t="shared" si="3496"/>
        <v>1313.248</v>
      </c>
      <c r="Q1393" s="3124">
        <f t="shared" si="3497"/>
        <v>3262.768</v>
      </c>
      <c r="R1393" s="3321">
        <v>675.44</v>
      </c>
      <c r="S1393" s="363">
        <f t="shared" si="3498"/>
        <v>3938.2080000000001</v>
      </c>
      <c r="T1393" s="3321">
        <v>673.7600000000001</v>
      </c>
      <c r="U1393" s="363">
        <f t="shared" si="3499"/>
        <v>4611.9679999999998</v>
      </c>
      <c r="V1393" s="3321">
        <v>669.04</v>
      </c>
      <c r="W1393" s="304">
        <f t="shared" si="3500"/>
        <v>2018.2400000000002</v>
      </c>
      <c r="X1393" s="363">
        <f t="shared" si="3501"/>
        <v>5281.0079999999998</v>
      </c>
      <c r="Y1393" s="3321">
        <v>627.67999999999995</v>
      </c>
      <c r="Z1393" s="363">
        <f t="shared" si="3502"/>
        <v>5908.6880000000001</v>
      </c>
      <c r="AA1393" s="3321">
        <v>673.67999999999984</v>
      </c>
      <c r="AB1393" s="459">
        <f t="shared" si="3503"/>
        <v>6582.3680000000004</v>
      </c>
      <c r="AC1393" s="3321">
        <v>687.84</v>
      </c>
      <c r="AD1393" s="1422">
        <f t="shared" si="3504"/>
        <v>1989.1999999999998</v>
      </c>
      <c r="AE1393" s="1458">
        <f t="shared" si="3505"/>
        <v>4007.44</v>
      </c>
      <c r="AF1393" s="1424">
        <f t="shared" si="3506"/>
        <v>7270.2080000000005</v>
      </c>
    </row>
    <row r="1394" spans="3:38" ht="33" x14ac:dyDescent="0.25">
      <c r="C1394" s="508"/>
      <c r="D1394" s="554"/>
      <c r="E1394" s="3264" t="s">
        <v>381</v>
      </c>
      <c r="F1394" s="1094">
        <v>783.9</v>
      </c>
      <c r="G1394" s="1094">
        <v>824.59999999999991</v>
      </c>
      <c r="H1394" s="712">
        <f t="shared" si="3492"/>
        <v>1608.5</v>
      </c>
      <c r="I1394" s="1094">
        <v>828.40000000000009</v>
      </c>
      <c r="J1394" s="713">
        <f t="shared" si="3493"/>
        <v>2436.9</v>
      </c>
      <c r="K1394" s="1094"/>
      <c r="L1394" s="712">
        <f t="shared" si="3494"/>
        <v>2436.9</v>
      </c>
      <c r="M1394" s="1094">
        <v>840.15</v>
      </c>
      <c r="N1394" s="459">
        <f t="shared" si="3495"/>
        <v>3277.05</v>
      </c>
      <c r="O1394" s="1094">
        <v>801.41</v>
      </c>
      <c r="P1394" s="270">
        <f t="shared" si="3496"/>
        <v>1641.56</v>
      </c>
      <c r="Q1394" s="3124">
        <f t="shared" si="3497"/>
        <v>4078.46</v>
      </c>
      <c r="R1394" s="1094">
        <v>844.3</v>
      </c>
      <c r="S1394" s="363">
        <f t="shared" si="3498"/>
        <v>4922.76</v>
      </c>
      <c r="T1394" s="1094">
        <v>842.20000000000016</v>
      </c>
      <c r="U1394" s="363">
        <f t="shared" si="3499"/>
        <v>5764.96</v>
      </c>
      <c r="V1394" s="1094">
        <v>836.3</v>
      </c>
      <c r="W1394" s="1214">
        <f t="shared" si="3500"/>
        <v>2522.8000000000002</v>
      </c>
      <c r="X1394" s="363">
        <f t="shared" si="3501"/>
        <v>6601.26</v>
      </c>
      <c r="Y1394" s="1094">
        <v>784.6</v>
      </c>
      <c r="Z1394" s="363">
        <f t="shared" si="3502"/>
        <v>7385.8600000000006</v>
      </c>
      <c r="AA1394" s="1094">
        <v>842.09999999999991</v>
      </c>
      <c r="AB1394" s="459">
        <f t="shared" si="3503"/>
        <v>8227.9600000000009</v>
      </c>
      <c r="AC1394" s="1094">
        <v>859.8</v>
      </c>
      <c r="AD1394" s="1422">
        <f t="shared" si="3504"/>
        <v>2486.5</v>
      </c>
      <c r="AE1394" s="1458">
        <f t="shared" si="3505"/>
        <v>5009.3</v>
      </c>
      <c r="AF1394" s="1424">
        <f t="shared" si="3506"/>
        <v>9087.76</v>
      </c>
    </row>
    <row r="1395" spans="3:38" ht="33" x14ac:dyDescent="0.25">
      <c r="C1395" s="508"/>
      <c r="D1395" s="554"/>
      <c r="E1395" s="3265" t="s">
        <v>377</v>
      </c>
      <c r="F1395" s="3262">
        <v>24253.200000000001</v>
      </c>
      <c r="G1395" s="3262">
        <v>24025.279999999999</v>
      </c>
      <c r="H1395" s="363">
        <f t="shared" si="3492"/>
        <v>48278.479999999996</v>
      </c>
      <c r="I1395" s="3262">
        <v>23097.119999999999</v>
      </c>
      <c r="J1395" s="304">
        <f t="shared" si="3493"/>
        <v>71375.599999999991</v>
      </c>
      <c r="K1395" s="3262"/>
      <c r="L1395" s="363">
        <f t="shared" si="3494"/>
        <v>71375.599999999991</v>
      </c>
      <c r="M1395" s="3262">
        <v>25344.016</v>
      </c>
      <c r="N1395" s="363">
        <f t="shared" si="3495"/>
        <v>96719.615999999995</v>
      </c>
      <c r="O1395" s="3262">
        <v>24110.383999999998</v>
      </c>
      <c r="P1395" s="304">
        <f t="shared" si="3496"/>
        <v>49454.399999999994</v>
      </c>
      <c r="Q1395" s="2128">
        <f t="shared" si="3497"/>
        <v>120829.99999999999</v>
      </c>
      <c r="R1395" s="3262">
        <v>25337.103999999996</v>
      </c>
      <c r="S1395" s="363">
        <f t="shared" si="3498"/>
        <v>146167.10399999999</v>
      </c>
      <c r="T1395" s="3262">
        <v>25006.400000000005</v>
      </c>
      <c r="U1395" s="363">
        <f t="shared" si="3499"/>
        <v>171173.50399999999</v>
      </c>
      <c r="V1395" s="3262">
        <v>26221.040000000005</v>
      </c>
      <c r="W1395" s="313">
        <f t="shared" si="3500"/>
        <v>76564.544000000009</v>
      </c>
      <c r="X1395" s="296">
        <f t="shared" si="3501"/>
        <v>197394.54399999999</v>
      </c>
      <c r="Y1395" s="3262">
        <v>25510</v>
      </c>
      <c r="Z1395" s="363">
        <f t="shared" si="3502"/>
        <v>222904.54399999999</v>
      </c>
      <c r="AA1395" s="3262">
        <v>23702.319199999998</v>
      </c>
      <c r="AB1395" s="296">
        <f t="shared" si="3503"/>
        <v>246606.86319999999</v>
      </c>
      <c r="AC1395" s="3262">
        <v>25490.800000000003</v>
      </c>
      <c r="AD1395" s="713">
        <f t="shared" si="3504"/>
        <v>74703.119200000001</v>
      </c>
      <c r="AE1395" s="1290">
        <f t="shared" si="3505"/>
        <v>151267.66320000001</v>
      </c>
      <c r="AF1395" s="712">
        <f t="shared" si="3506"/>
        <v>272097.66320000001</v>
      </c>
    </row>
    <row r="1396" spans="3:38" ht="34" thickBot="1" x14ac:dyDescent="0.3">
      <c r="C1396" s="508"/>
      <c r="D1396" s="554"/>
      <c r="E1396" s="3266" t="s">
        <v>382</v>
      </c>
      <c r="F1396" s="4599">
        <v>30316.5</v>
      </c>
      <c r="G1396" s="4599">
        <v>30031.599999999999</v>
      </c>
      <c r="H1396" s="579">
        <f t="shared" si="3492"/>
        <v>60348.1</v>
      </c>
      <c r="I1396" s="4599">
        <v>28871.399999999998</v>
      </c>
      <c r="J1396" s="314">
        <f t="shared" si="3493"/>
        <v>89219.5</v>
      </c>
      <c r="K1396" s="4599"/>
      <c r="L1396" s="417">
        <f t="shared" si="3494"/>
        <v>89219.5</v>
      </c>
      <c r="M1396" s="4599">
        <v>31680.02</v>
      </c>
      <c r="N1396" s="417">
        <f t="shared" si="3495"/>
        <v>120899.52</v>
      </c>
      <c r="O1396" s="4599">
        <v>30137.98</v>
      </c>
      <c r="P1396" s="316">
        <f t="shared" si="3496"/>
        <v>61818</v>
      </c>
      <c r="Q1396" s="3125">
        <f t="shared" si="3497"/>
        <v>151037.5</v>
      </c>
      <c r="R1396" s="4599">
        <v>31671.379999999997</v>
      </c>
      <c r="S1396" s="579">
        <f t="shared" si="3498"/>
        <v>182708.88</v>
      </c>
      <c r="T1396" s="4599">
        <v>31258.000000000004</v>
      </c>
      <c r="U1396" s="579">
        <f t="shared" si="3499"/>
        <v>213966.88</v>
      </c>
      <c r="V1396" s="4599">
        <v>32776.300000000003</v>
      </c>
      <c r="W1396" s="314">
        <f t="shared" si="3500"/>
        <v>95705.680000000008</v>
      </c>
      <c r="X1396" s="579">
        <f t="shared" si="3501"/>
        <v>246743.18</v>
      </c>
      <c r="Y1396" s="4599">
        <v>31887.5</v>
      </c>
      <c r="Z1396" s="579">
        <f t="shared" si="3502"/>
        <v>278630.68</v>
      </c>
      <c r="AA1396" s="4599">
        <v>29627.898999999998</v>
      </c>
      <c r="AB1396" s="579">
        <f t="shared" si="3503"/>
        <v>308258.57899999997</v>
      </c>
      <c r="AC1396" s="4599">
        <v>31863.500000000004</v>
      </c>
      <c r="AD1396" s="1019">
        <f t="shared" si="3504"/>
        <v>93378.899000000005</v>
      </c>
      <c r="AE1396" s="1459">
        <f t="shared" si="3505"/>
        <v>189084.57900000003</v>
      </c>
      <c r="AF1396" s="1021">
        <f t="shared" si="3506"/>
        <v>340122.07899999997</v>
      </c>
    </row>
    <row r="1397" spans="3:38" ht="33" x14ac:dyDescent="0.25">
      <c r="C1397" s="508"/>
      <c r="D1397" s="554"/>
      <c r="E1397" s="3267" t="s">
        <v>378</v>
      </c>
      <c r="F1397" s="3321">
        <v>552.27200000000005</v>
      </c>
      <c r="G1397" s="3321">
        <v>612.30399999999986</v>
      </c>
      <c r="H1397" s="363">
        <f t="shared" si="3492"/>
        <v>1164.576</v>
      </c>
      <c r="I1397" s="3321">
        <v>911.06399999999996</v>
      </c>
      <c r="J1397" s="304">
        <f t="shared" si="3493"/>
        <v>2075.64</v>
      </c>
      <c r="K1397" s="3321"/>
      <c r="L1397" s="363">
        <f t="shared" si="3494"/>
        <v>2075.64</v>
      </c>
      <c r="M1397" s="3321">
        <v>1083.5272</v>
      </c>
      <c r="N1397" s="363">
        <f t="shared" si="3495"/>
        <v>3159.1671999999999</v>
      </c>
      <c r="O1397" s="3321">
        <v>995.41680000000019</v>
      </c>
      <c r="P1397" s="304">
        <f t="shared" si="3496"/>
        <v>2078.9440000000004</v>
      </c>
      <c r="Q1397" s="2128">
        <f t="shared" si="3497"/>
        <v>4154.5840000000007</v>
      </c>
      <c r="R1397" s="3321">
        <v>1153.3815999999999</v>
      </c>
      <c r="S1397" s="363">
        <f t="shared" si="3498"/>
        <v>5307.9656000000004</v>
      </c>
      <c r="T1397" s="3321">
        <v>1027.376</v>
      </c>
      <c r="U1397" s="363">
        <f t="shared" si="3499"/>
        <v>6335.3416000000007</v>
      </c>
      <c r="V1397" s="3321">
        <v>1104.376</v>
      </c>
      <c r="W1397" s="304">
        <f t="shared" si="3500"/>
        <v>3285.1336000000001</v>
      </c>
      <c r="X1397" s="363">
        <f t="shared" si="3501"/>
        <v>7439.7176000000009</v>
      </c>
      <c r="Y1397" s="3321">
        <v>1036.22</v>
      </c>
      <c r="Z1397" s="363">
        <f t="shared" si="3502"/>
        <v>8475.9376000000011</v>
      </c>
      <c r="AA1397" s="3321">
        <v>986.88800000000003</v>
      </c>
      <c r="AB1397" s="363">
        <f t="shared" si="3503"/>
        <v>9462.8256000000019</v>
      </c>
      <c r="AC1397" s="3321">
        <v>1074.0799999999997</v>
      </c>
      <c r="AD1397" s="713">
        <f t="shared" si="3504"/>
        <v>3097.1880000000001</v>
      </c>
      <c r="AE1397" s="1290">
        <f t="shared" si="3505"/>
        <v>6382.3216000000002</v>
      </c>
      <c r="AF1397" s="712">
        <f t="shared" si="3506"/>
        <v>10536.905600000002</v>
      </c>
    </row>
    <row r="1398" spans="3:38" ht="34" thickBot="1" x14ac:dyDescent="0.3">
      <c r="C1398" s="753"/>
      <c r="D1398" s="754"/>
      <c r="E1398" s="3268" t="s">
        <v>535</v>
      </c>
      <c r="F1398" s="4600">
        <v>986.2</v>
      </c>
      <c r="G1398" s="4600">
        <v>1093.3999999999999</v>
      </c>
      <c r="H1398" s="1021">
        <f t="shared" si="3492"/>
        <v>2079.6</v>
      </c>
      <c r="I1398" s="4600">
        <v>1626.9</v>
      </c>
      <c r="J1398" s="1019">
        <f t="shared" si="3493"/>
        <v>3706.5</v>
      </c>
      <c r="K1398" s="4600"/>
      <c r="L1398" s="1021">
        <f t="shared" si="3494"/>
        <v>3706.5</v>
      </c>
      <c r="M1398" s="4600">
        <v>1934.8700000000001</v>
      </c>
      <c r="N1398" s="363">
        <f t="shared" si="3495"/>
        <v>5641.37</v>
      </c>
      <c r="O1398" s="4600">
        <v>1777.5300000000002</v>
      </c>
      <c r="P1398" s="304">
        <f t="shared" si="3496"/>
        <v>3712.4000000000005</v>
      </c>
      <c r="Q1398" s="2128">
        <f t="shared" si="3497"/>
        <v>7418.9000000000005</v>
      </c>
      <c r="R1398" s="4600">
        <v>2059.6099999999997</v>
      </c>
      <c r="S1398" s="363">
        <f t="shared" si="3498"/>
        <v>9478.51</v>
      </c>
      <c r="T1398" s="4600">
        <v>1834.6</v>
      </c>
      <c r="U1398" s="363">
        <f t="shared" si="3499"/>
        <v>11313.11</v>
      </c>
      <c r="V1398" s="4600">
        <v>1972.1000000000001</v>
      </c>
      <c r="W1398" s="1213">
        <f t="shared" si="3500"/>
        <v>5866.3099999999995</v>
      </c>
      <c r="X1398" s="363">
        <f t="shared" si="3501"/>
        <v>13285.210000000001</v>
      </c>
      <c r="Y1398" s="4600">
        <v>1850.4</v>
      </c>
      <c r="Z1398" s="363">
        <f t="shared" si="3502"/>
        <v>15135.61</v>
      </c>
      <c r="AA1398" s="4600">
        <v>1762.3</v>
      </c>
      <c r="AB1398" s="363">
        <f t="shared" si="3503"/>
        <v>16897.91</v>
      </c>
      <c r="AC1398" s="4600">
        <v>1917.9999999999998</v>
      </c>
      <c r="AD1398" s="713">
        <f t="shared" si="3504"/>
        <v>5530.7</v>
      </c>
      <c r="AE1398" s="1290">
        <f t="shared" si="3505"/>
        <v>11397.009999999998</v>
      </c>
      <c r="AF1398" s="712">
        <f t="shared" si="3506"/>
        <v>18815.91</v>
      </c>
    </row>
    <row r="1399" spans="3:38" ht="30" x14ac:dyDescent="0.25">
      <c r="C1399" s="508"/>
      <c r="D1399" s="16"/>
      <c r="E1399" s="2846" t="s">
        <v>842</v>
      </c>
      <c r="F1399" s="2205"/>
      <c r="G1399" s="2205"/>
      <c r="H1399" s="3170"/>
      <c r="I1399" s="2205"/>
      <c r="J1399" s="3170"/>
      <c r="K1399" s="2205"/>
      <c r="L1399" s="3170"/>
      <c r="M1399" s="2205"/>
      <c r="N1399" s="2205"/>
      <c r="O1399" s="2205"/>
      <c r="Q1399" s="2644"/>
      <c r="R1399" s="2205"/>
      <c r="S1399" s="2205"/>
      <c r="T1399" s="2205"/>
      <c r="U1399" s="2205"/>
      <c r="V1399" s="2205"/>
      <c r="W1399" s="2205"/>
      <c r="X1399" s="2205"/>
      <c r="Y1399" s="2205"/>
      <c r="Z1399" s="2205"/>
      <c r="AA1399" s="2205"/>
      <c r="AB1399" s="2205"/>
      <c r="AC1399" s="2205"/>
      <c r="AD1399" s="2205"/>
      <c r="AE1399" s="2205"/>
      <c r="AF1399" s="2205"/>
    </row>
    <row r="1400" spans="3:38" ht="28" x14ac:dyDescent="0.3">
      <c r="C1400" s="508"/>
      <c r="D1400" s="16"/>
      <c r="E1400" s="507" t="s">
        <v>383</v>
      </c>
      <c r="F1400" s="791"/>
      <c r="G1400" s="791"/>
      <c r="H1400" s="3687"/>
      <c r="I1400" s="791"/>
      <c r="J1400" s="3687"/>
      <c r="K1400" s="791"/>
      <c r="L1400" s="3687"/>
      <c r="M1400" s="791"/>
      <c r="N1400" s="791"/>
      <c r="O1400" s="791"/>
      <c r="P1400" s="791"/>
      <c r="Q1400" s="2645"/>
      <c r="R1400" s="791"/>
      <c r="S1400" s="791"/>
      <c r="T1400" s="791"/>
      <c r="U1400" s="791"/>
      <c r="V1400" s="791"/>
      <c r="W1400" s="791"/>
      <c r="X1400" s="791"/>
      <c r="Y1400" s="791"/>
      <c r="Z1400" s="791"/>
      <c r="AA1400" s="791"/>
      <c r="AB1400" s="791"/>
      <c r="AC1400" s="791"/>
      <c r="AD1400" s="791"/>
      <c r="AE1400" s="791"/>
      <c r="AF1400" s="791"/>
    </row>
    <row r="1401" spans="3:38" ht="28" x14ac:dyDescent="0.25">
      <c r="C1401" s="508"/>
      <c r="D1401" s="16"/>
      <c r="E1401" s="2845" t="s">
        <v>1245</v>
      </c>
      <c r="F1401" s="3812">
        <f>629.58/(F$1387*24)</f>
        <v>0.87441666666666673</v>
      </c>
      <c r="G1401" s="3812">
        <f>795.32/(G$1387*24)</f>
        <v>1.068978494623656</v>
      </c>
      <c r="H1401" s="256">
        <f>+((F1401*$F$1387)+(G1401*$G$1387))/$H$1387</f>
        <v>0.97329234972677603</v>
      </c>
      <c r="I1401" s="3812">
        <f>806.55/(I$1387*24)</f>
        <v>1.1202083333333333</v>
      </c>
      <c r="J1401" s="255">
        <f t="shared" ref="J1401:J1406" si="3507">+((H1401*$H$1387)+(I1401*$I$1387))/$J$1387</f>
        <v>1.0217261904761903</v>
      </c>
      <c r="K1401" s="3812">
        <f>795.32/(K$1387*24)</f>
        <v>1.068978494623656</v>
      </c>
      <c r="L1401" s="256">
        <f>+((J1401*$J$1387)+(K1401*$K$1387))/$L$1387</f>
        <v>1.0337329234972676</v>
      </c>
      <c r="M1401" s="3812">
        <f>1439.725/(M1387*24)</f>
        <v>1.9351142473118279</v>
      </c>
      <c r="N1401" s="256">
        <f>+((L1401*$L$1387)+(M1401*$M$1387))/$N$1387</f>
        <v>1.2163657407407407</v>
      </c>
      <c r="O1401" s="3812">
        <f>1294.01/(O1387*24)</f>
        <v>1.797236111111111</v>
      </c>
      <c r="P1401" s="255">
        <f>+((K1401*$K$1387)+(M1401*$M$1387)+(O1401*$O$1387))/$P$1387</f>
        <v>1.5983038949275363</v>
      </c>
      <c r="Q1401" s="238">
        <f>+((N1401*$N$1387)+(O1401*$O$1387))/$Q$1387</f>
        <v>1.3115903916211291</v>
      </c>
      <c r="R1401" s="3812">
        <f>1054.67/(R1387*24)</f>
        <v>1.4175672043010754</v>
      </c>
      <c r="S1401" s="256">
        <f>+((Q1401*$Q$1387)+(R1401*$R$1387))/$S$1387</f>
        <v>1.3269421728971962</v>
      </c>
      <c r="T1401" s="3812">
        <f>1272.73/(T1387*24)</f>
        <v>1.7676805555555555</v>
      </c>
      <c r="U1401" s="256">
        <f>+((S1401*$S$1387)+(T1401*$T$1387))/$U$1387</f>
        <v>1.381131318306011</v>
      </c>
      <c r="V1401" s="3812">
        <f>1017.45/(V1387*24)</f>
        <v>1.3675403225806453</v>
      </c>
      <c r="W1401" s="255">
        <f>+((R1401*$R$1387)+(T1401*$T$1387)+(V1401*$V$1387))/$W$1387</f>
        <v>1.5148777173913044</v>
      </c>
      <c r="X1401" s="256">
        <f>+((U1401*$U$1387)+(V1401*$V$1387))/$X$1387</f>
        <v>1.3795992424242425</v>
      </c>
      <c r="Y1401" s="3812">
        <f>1073.66/(Y1387*24)</f>
        <v>1.4430913978494624</v>
      </c>
      <c r="Z1401" s="256">
        <f>+((X1401*$X$1387)+(Y1401*$Y$1387))/$Z$1387</f>
        <v>1.386031454248366</v>
      </c>
      <c r="AA1401" s="3812">
        <f>999.67/(AA1387*24)</f>
        <v>1.4363074712643678</v>
      </c>
      <c r="AB1401" s="256">
        <f>+((Z1401*$Z$1387)+(AA1401*$AA$1387))/$AB$1387</f>
        <v>1.3903837064676619</v>
      </c>
      <c r="AC1401" s="3812">
        <f>912.03/(AC1387*24)</f>
        <v>1.2258467741935484</v>
      </c>
      <c r="AD1401" s="255">
        <f>+((Y1401*$Y$1387)+(AA1401*$AA$1387)+(AC1401*$AC$1387))/$AD$1387</f>
        <v>1.3821111111111111</v>
      </c>
      <c r="AE1401" s="238">
        <f>+((W1401*$W$1387)+(AD1401*$AD$1387))/$AE$1387</f>
        <v>1.4492239010989012</v>
      </c>
      <c r="AF1401" s="256">
        <f>+((AB1401*$AB$1387)+(AC1401*$AC$1387))/$AF$1387</f>
        <v>1.3764475182149363</v>
      </c>
    </row>
    <row r="1402" spans="3:38" ht="28" x14ac:dyDescent="0.25">
      <c r="C1402" s="508"/>
      <c r="D1402" s="16"/>
      <c r="E1402" s="2845" t="s">
        <v>1246</v>
      </c>
      <c r="F1402" s="3812">
        <f>1251.6/(F$1387*24)</f>
        <v>1.7383333333333333</v>
      </c>
      <c r="G1402" s="3812">
        <f>1707.65/(G$1387*24)</f>
        <v>2.2952284946236561</v>
      </c>
      <c r="H1402" s="256">
        <f t="shared" ref="H1402:H1406" si="3508">+((F1402*$F$1387)+(G1402*$G$1387))/$H$1387</f>
        <v>2.0213456284153009</v>
      </c>
      <c r="I1402" s="3812">
        <f>4732.63/(I$1387*24)</f>
        <v>6.5730972222222226</v>
      </c>
      <c r="J1402" s="255">
        <f t="shared" si="3507"/>
        <v>3.5219230769230774</v>
      </c>
      <c r="K1402" s="3812">
        <f>1707.65/(K$1387*24)</f>
        <v>2.2952284946236561</v>
      </c>
      <c r="L1402" s="256">
        <f>+((J1402*$J$1387)+(K1402*$K$1387))/$L$1387</f>
        <v>3.2102219945355195</v>
      </c>
      <c r="M1402" s="3812">
        <f>11986.261/(M1387*24)</f>
        <v>16.110565860215054</v>
      </c>
      <c r="N1402" s="256">
        <f>+((L1402*$L$1387)+(M1402*$M$1387))/$N$1387</f>
        <v>5.8240171568627455</v>
      </c>
      <c r="O1402" s="3812">
        <f>4125.04/(O1387*24)</f>
        <v>5.729222222222222</v>
      </c>
      <c r="P1402" s="255">
        <f>+((K1402*$K$1387)+(M1402*$M$1387)+(O1402*$O$1387))/$P$1387</f>
        <v>8.0701770833333342</v>
      </c>
      <c r="Q1402" s="238">
        <f>+((N1402*$N$1387)+(O1402*$O$1387))/$Q$1387</f>
        <v>5.808477003642988</v>
      </c>
      <c r="R1402" s="3812">
        <f>7151.54/(R1387*24)</f>
        <v>9.6122849462365583</v>
      </c>
      <c r="S1402" s="256">
        <f>+((Q1402*$Q$1387)+(R1402*$R$1387))/$S$1387</f>
        <v>6.3594959112149532</v>
      </c>
      <c r="T1402" s="3812">
        <f>9367.61/(T1387*24)</f>
        <v>13.010569444444446</v>
      </c>
      <c r="U1402" s="256">
        <f>+((S1402*$S$1387)+(T1402*$T$1387))/$U$1387</f>
        <v>7.1772508538251367</v>
      </c>
      <c r="V1402" s="3812">
        <f>14582.05/(V1387*24)</f>
        <v>19.599529569892471</v>
      </c>
      <c r="W1402" s="255">
        <f>+((R1402*$R$1387)+(T1402*$T$1387)+(V1402*$V$1387))/$W$1387</f>
        <v>14.0856884057971</v>
      </c>
      <c r="X1402" s="256">
        <f>+((U1402*$U$1387)+(V1402*$V$1387))/$X$1387</f>
        <v>8.5775804545454548</v>
      </c>
      <c r="Y1402" s="3812">
        <f>13359.4/(Y1387*24)</f>
        <v>17.956182795698926</v>
      </c>
      <c r="Z1402" s="256">
        <f>+((X1402*$X$1387)+(Y1402*$Y$1387))/$Z$1387</f>
        <v>9.5277002995642714</v>
      </c>
      <c r="AA1402" s="3812">
        <f>13769.07/(AA1387*24)</f>
        <v>19.783146551724137</v>
      </c>
      <c r="AB1402" s="256">
        <f>+((Z1402*$Z$1387)+(AA1402*$AA$1387))/$AB$1387</f>
        <v>10.415485199004975</v>
      </c>
      <c r="AC1402" s="3812">
        <f>11490.5/(AC1387*24)</f>
        <v>15.444220430107526</v>
      </c>
      <c r="AD1402" s="255">
        <f>+((Y1402*$Y$1387)+(AA1402*$AA$1387)+(AC1402*$AC$1387))/$AD$1387</f>
        <v>17.879152777777776</v>
      </c>
      <c r="AE1402" s="238">
        <f>+((W1402*$W$1387)+(AD1402*$AD$1387))/$AE$1387</f>
        <v>15.961577380952379</v>
      </c>
      <c r="AF1402" s="256">
        <f>+((AB1402*$AB$1387)+(AC1402*$AC$1387))/$AF$1387</f>
        <v>10.841416325136612</v>
      </c>
    </row>
    <row r="1403" spans="3:38" ht="28" x14ac:dyDescent="0.25">
      <c r="C1403" s="508"/>
      <c r="D1403" s="16"/>
      <c r="E1403" s="2845" t="s">
        <v>1247</v>
      </c>
      <c r="F1403" s="3812">
        <f>6447.7/(F$1387*24)</f>
        <v>8.9551388888888894</v>
      </c>
      <c r="G1403" s="3812">
        <f>6807.36/(G$1387*24)</f>
        <v>9.1496774193548376</v>
      </c>
      <c r="H1403" s="256">
        <f t="shared" si="3508"/>
        <v>9.0540027322404377</v>
      </c>
      <c r="I1403" s="3812">
        <f>7331.03/(I$1387*24)</f>
        <v>10.181986111111112</v>
      </c>
      <c r="J1403" s="255">
        <f t="shared" si="3507"/>
        <v>9.4258653846153848</v>
      </c>
      <c r="K1403" s="3812">
        <f>6807.36/(K$1387*24)</f>
        <v>9.1496774193548376</v>
      </c>
      <c r="L1403" s="256">
        <f>+((J1403*$J$1387)+(K1403*$K$1387))/$L$1387</f>
        <v>9.3556864754098363</v>
      </c>
      <c r="M1403" s="3812">
        <f>9984.408/(M1387*24)</f>
        <v>13.419903225806451</v>
      </c>
      <c r="N1403" s="256">
        <f>+((L1403*$L$1387)+(M1403*$M$1387))/$N$1387</f>
        <v>10.179155228758169</v>
      </c>
      <c r="O1403" s="3812">
        <f>7441.79/(O1387*24)</f>
        <v>10.335819444444445</v>
      </c>
      <c r="P1403" s="255">
        <f>+((K1403*$K$1387)+(M1403*$M$1387)+(O1403*$O$1387))/$P$1387</f>
        <v>10.975343297101448</v>
      </c>
      <c r="Q1403" s="238">
        <f>+((N1403*$N$1387)+(O1403*$O$1387))/$Q$1387</f>
        <v>10.204837887067395</v>
      </c>
      <c r="R1403" s="3812">
        <f>8402.99/(R1387*24)</f>
        <v>11.294341397849463</v>
      </c>
      <c r="S1403" s="256">
        <f>+((Q1403*$Q$1387)+(R1403*$R$1387))/$S$1387</f>
        <v>10.362663161993771</v>
      </c>
      <c r="T1403" s="3812">
        <f>8736.84/(T1387*24)</f>
        <v>12.134500000000001</v>
      </c>
      <c r="U1403" s="256">
        <f>+((S1403*$S$1387)+(T1403*$T$1387))/$U$1387</f>
        <v>10.580511953551913</v>
      </c>
      <c r="V1403" s="3812">
        <f>10767.61/(V1387*24)</f>
        <v>14.472594086021505</v>
      </c>
      <c r="W1403" s="255">
        <f>+((R1403*$R$1387)+(T1403*$T$1387)+(V1403*$V$1387))/$W$1387</f>
        <v>12.639239130434783</v>
      </c>
      <c r="X1403" s="256">
        <f>+((U1403*$U$1387)+(V1403*$V$1387))/$X$1387</f>
        <v>11.019255757575758</v>
      </c>
      <c r="Y1403" s="3812">
        <f>10437.35/(Y1387*24)</f>
        <v>14.02869623655914</v>
      </c>
      <c r="Z1403" s="256">
        <f>+((X1403*$X$1387)+(Y1403*$Y$1387))/$Z$1387</f>
        <v>11.32413371459695</v>
      </c>
      <c r="AA1403" s="3812">
        <f>9928.94/(AA1387*24)</f>
        <v>14.265718390804599</v>
      </c>
      <c r="AB1403" s="256">
        <f>+((Z1403*$Z$1387)+(AA1403*$AA$1387))/$AB$1387</f>
        <v>11.578778358208956</v>
      </c>
      <c r="AC1403" s="3812">
        <f>9169.52/(AC1387*24)</f>
        <v>12.32462365591398</v>
      </c>
      <c r="AD1403" s="255">
        <f>+((Y1403*$Y$1387)+(AA1403*$AA$1387)+(AC1403*$AC$1387))/$AD$1387</f>
        <v>13.673986111111113</v>
      </c>
      <c r="AE1403" s="238">
        <f>+((W1403*$W$1387)+(AD1403*$AD$1387))/$AE$1387</f>
        <v>13.150927197802197</v>
      </c>
      <c r="AF1403" s="256">
        <f>+((AB1403*$AB$1387)+(AC1403*$AC$1387))/$AF$1387</f>
        <v>11.641951047358834</v>
      </c>
    </row>
    <row r="1404" spans="3:38" ht="28" x14ac:dyDescent="0.25">
      <c r="C1404" s="508"/>
      <c r="D1404" s="16"/>
      <c r="E1404" s="2845" t="s">
        <v>1573</v>
      </c>
      <c r="F1404" s="3812">
        <f>154/(F$1387*24)</f>
        <v>0.21388888888888888</v>
      </c>
      <c r="G1404" s="3812">
        <f>154/(G$1387*24)</f>
        <v>0.20698924731182797</v>
      </c>
      <c r="H1404" s="256">
        <f t="shared" si="3508"/>
        <v>0.21038251366120217</v>
      </c>
      <c r="I1404" s="3812">
        <f>154/(I$1387*24)</f>
        <v>0.21388888888888888</v>
      </c>
      <c r="J1404" s="255">
        <f t="shared" si="3507"/>
        <v>0.21153846153846154</v>
      </c>
      <c r="K1404" s="3812">
        <f>154/(K$1387*24)</f>
        <v>0.20698924731182797</v>
      </c>
      <c r="L1404" s="256">
        <f>+((J1404*$J$1387)+(K1404*$K$1387))/$L$1387</f>
        <v>0.2103825136612022</v>
      </c>
      <c r="M1404" s="3812">
        <f>154/(M1387*24)</f>
        <v>0.20698924731182797</v>
      </c>
      <c r="N1404" s="256">
        <f>+((L1404*$L$1387)+(M1404*$M$1387))/$N$1387</f>
        <v>0.20969498910675383</v>
      </c>
      <c r="O1404" s="3812">
        <f>154/(O1387*24)</f>
        <v>0.21388888888888888</v>
      </c>
      <c r="P1404" s="255">
        <f>+((K1404*$K$1387)+(M1404*$M$1387)+(O1404*$O$1387))/$P$1387</f>
        <v>0.20923913043478262</v>
      </c>
      <c r="Q1404" s="238">
        <f>+((N1404*$N$1387)+(O1404*$O$1387))/$Q$1387</f>
        <v>0.2103825136612022</v>
      </c>
      <c r="R1404" s="3812">
        <f>154/(R1387*24)</f>
        <v>0.20698924731182797</v>
      </c>
      <c r="S1404" s="256">
        <f>+((Q1404*$Q$1387)+(R1404*$R$1387))/$S$1387</f>
        <v>0.20989096573208721</v>
      </c>
      <c r="T1404" s="3812">
        <f>154/(T1387*24)</f>
        <v>0.21388888888888888</v>
      </c>
      <c r="U1404" s="256">
        <f>+((S1404*$S$1387)+(T1404*$T$1387))/$U$1387</f>
        <v>0.21038251366120217</v>
      </c>
      <c r="V1404" s="3812">
        <f>154/(V1387*24)</f>
        <v>0.20698924731182797</v>
      </c>
      <c r="W1404" s="255">
        <f>+((R1404*$R$1387)+(T1404*$T$1387)+(V1404*$V$1387))/$W$1387</f>
        <v>0.20923913043478262</v>
      </c>
      <c r="X1404" s="256">
        <f>+((U1404*$U$1387)+(V1404*$V$1387))/$X$1387</f>
        <v>0.20999999999999996</v>
      </c>
      <c r="Y1404" s="3812">
        <f>154/(Y1387*24)</f>
        <v>0.20698924731182797</v>
      </c>
      <c r="Z1404" s="256">
        <f>+((X1404*$X$1387)+(Y1404*$Y$1387))/$Z$1387</f>
        <v>0.20969498910675377</v>
      </c>
      <c r="AA1404" s="3812">
        <f>154/(AA1387*24)</f>
        <v>0.22126436781609196</v>
      </c>
      <c r="AB1404" s="256">
        <f>+((Z1404*$Z$1387)+(AA1404*$AA$1387))/$AB$1387</f>
        <v>0.2106965174129353</v>
      </c>
      <c r="AC1404" s="3812">
        <f>154/(AC1387*24)</f>
        <v>0.20698924731182797</v>
      </c>
      <c r="AD1404" s="255">
        <f>+((Y1404*$Y$1387)+(AA1404*$AA$1387)+(AC1404*$AC$1387))/$AD$1387</f>
        <v>0.21388888888888888</v>
      </c>
      <c r="AE1404" s="238">
        <f>+((W1404*$W$1387)+(AD1404*$AD$1387))/$AE$1387</f>
        <v>0.21153846153846154</v>
      </c>
      <c r="AF1404" s="256">
        <f>+((AB1404*$AB$1387)+(AC1404*$AC$1387))/$AF$1387</f>
        <v>0.2103825136612022</v>
      </c>
    </row>
    <row r="1405" spans="3:38" ht="28" x14ac:dyDescent="0.25">
      <c r="C1405" s="508"/>
      <c r="D1405" s="16"/>
      <c r="E1405" s="2847" t="s">
        <v>1950</v>
      </c>
      <c r="F1405" s="3812">
        <f>0/(F$1387*24)</f>
        <v>0</v>
      </c>
      <c r="G1405" s="3812">
        <f>67.57/(G$1387*24)</f>
        <v>9.0819892473118266E-2</v>
      </c>
      <c r="H1405" s="256">
        <f t="shared" si="3508"/>
        <v>4.6154371584699448E-2</v>
      </c>
      <c r="I1405" s="3812">
        <f>58.089/(I$1387*24)</f>
        <v>8.0679166666666663E-2</v>
      </c>
      <c r="J1405" s="255">
        <f t="shared" si="3507"/>
        <v>5.7536172161172149E-2</v>
      </c>
      <c r="K1405" s="3812">
        <f>67.57/(K$1387*24)</f>
        <v>9.0819892473118266E-2</v>
      </c>
      <c r="L1405" s="256">
        <f>+((J1405*$J$1387)+(K1405*$K$1387))/$L$1387</f>
        <v>6.5993510928961732E-2</v>
      </c>
      <c r="M1405" s="3821">
        <f>0/(M1387*24)</f>
        <v>0</v>
      </c>
      <c r="N1405" s="256">
        <f>+((L1405*$L$1387)+(M1405*$M$1387))/$N$1387</f>
        <v>5.2622276688453144E-2</v>
      </c>
      <c r="O1405" s="3821">
        <f>106.83/(O1387*24)</f>
        <v>0.14837500000000001</v>
      </c>
      <c r="P1405" s="255">
        <f>+((K1405*$K$1387)+(M1405*$M$1387)+(O1405*$O$1387))/$P$1387</f>
        <v>7.8985507246376804E-2</v>
      </c>
      <c r="Q1405" s="3042">
        <f>+((N1405*$N$1387)+(O1405*$O$1387))/$Q$1387</f>
        <v>6.8319444444444433E-2</v>
      </c>
      <c r="R1405" s="3821">
        <f>723.48/(R1387*24)</f>
        <v>0.97241935483870967</v>
      </c>
      <c r="S1405" s="256">
        <f>+((Q1405*$Q$1387)+(R1405*$R$1387))/$S$1387</f>
        <v>0.19928718847352025</v>
      </c>
      <c r="T1405" s="3821">
        <f>889.112/(T1387*24)</f>
        <v>1.2348777777777777</v>
      </c>
      <c r="U1405" s="256">
        <f>+((S1405*$S$1387)+(T1405*$T$1387))/$U$1387</f>
        <v>0.32661390027322407</v>
      </c>
      <c r="V1405" s="3821">
        <f>189.07/(V1387*24)</f>
        <v>0.25412634408602147</v>
      </c>
      <c r="W1405" s="255">
        <f>+((R1405*$R$1387)+(T1405*$T$1387)+(V1405*$V$1387))/$W$1387</f>
        <v>0.81597010869565212</v>
      </c>
      <c r="X1405" s="256">
        <f>+((U1405*$U$1387)+(V1405*$V$1387))/$X$1387</f>
        <v>0.31844257575757579</v>
      </c>
      <c r="Y1405" s="3821">
        <f>0/(Y1387*24)</f>
        <v>0</v>
      </c>
      <c r="Z1405" s="256">
        <f>+((X1405*$X$1387)+(Y1405*$Y$1387))/$Z$1387</f>
        <v>0.28618205337690639</v>
      </c>
      <c r="AA1405" s="3821">
        <f>147.69/(AA1387*24)</f>
        <v>0.21219827586206896</v>
      </c>
      <c r="AB1405" s="256">
        <f>+((Z1405*$Z$1387)+(AA1405*$AA$1387))/$AB$1387</f>
        <v>0.27977748756218912</v>
      </c>
      <c r="AC1405" s="3821">
        <f>193.17/(AC1387*24)</f>
        <v>0.25963709677419355</v>
      </c>
      <c r="AD1405" s="255">
        <f>+((Y1405*$Y$1387)+(AA1405*$AA$1387)+(AC1405*$AC$1387))/$AD$1387</f>
        <v>0.15780555555555556</v>
      </c>
      <c r="AE1405" s="238">
        <f>+((W1405*$W$1387)+(AD1405*$AD$1387))/$AE$1387</f>
        <v>0.49050412087912088</v>
      </c>
      <c r="AF1405" s="256">
        <f>+((AB1405*$AB$1387)+(AC1405*$AC$1387))/$AF$1387</f>
        <v>0.27807160746812393</v>
      </c>
    </row>
    <row r="1406" spans="3:38" ht="29" thickBot="1" x14ac:dyDescent="0.3">
      <c r="C1406" s="508"/>
      <c r="D1406" s="16"/>
      <c r="E1406" s="2847" t="s">
        <v>1249</v>
      </c>
      <c r="F1406" s="3812">
        <f>0/(F$1387*24)</f>
        <v>0</v>
      </c>
      <c r="G1406" s="3812">
        <f>0/(G$1387*24)</f>
        <v>0</v>
      </c>
      <c r="H1406" s="256">
        <f t="shared" si="3508"/>
        <v>0</v>
      </c>
      <c r="I1406" s="3812">
        <f>351.16/(I$1387*24)</f>
        <v>0.48772222222222228</v>
      </c>
      <c r="J1406" s="255">
        <f t="shared" si="3507"/>
        <v>0.16078754578754581</v>
      </c>
      <c r="K1406" s="3812">
        <f>0/(K$1387*24)</f>
        <v>0</v>
      </c>
      <c r="L1406" s="4617"/>
      <c r="M1406" s="5722"/>
      <c r="N1406" s="4617"/>
      <c r="O1406" s="5722"/>
      <c r="P1406" s="5724"/>
      <c r="Q1406" s="3042"/>
      <c r="R1406" s="5722"/>
      <c r="S1406" s="4617"/>
      <c r="T1406" s="5722"/>
      <c r="U1406" s="4617"/>
      <c r="V1406" s="5722"/>
      <c r="W1406" s="5723"/>
      <c r="X1406" s="4617"/>
      <c r="Y1406" s="5722"/>
      <c r="Z1406" s="4617"/>
      <c r="AA1406" s="5722"/>
      <c r="AB1406" s="4617"/>
      <c r="AC1406" s="5722"/>
      <c r="AD1406" s="5723"/>
      <c r="AE1406" s="3042"/>
      <c r="AF1406" s="4617"/>
      <c r="AG1406" s="5717"/>
      <c r="AH1406" s="5717"/>
      <c r="AI1406" s="5717"/>
      <c r="AJ1406" s="5717"/>
      <c r="AK1406" s="5717"/>
      <c r="AL1406" s="5717"/>
    </row>
    <row r="1407" spans="3:38" ht="41.25" customHeight="1" thickBot="1" x14ac:dyDescent="0.3">
      <c r="C1407" s="508"/>
      <c r="D1407" s="16"/>
      <c r="E1407" s="2848" t="s">
        <v>1063</v>
      </c>
      <c r="F1407" s="3344">
        <v>0</v>
      </c>
      <c r="G1407" s="3344">
        <v>0</v>
      </c>
      <c r="H1407" s="260">
        <f t="shared" ref="H1407" si="3509">SUM(F1407:G1407)</f>
        <v>0</v>
      </c>
      <c r="I1407" s="3344">
        <v>501.65</v>
      </c>
      <c r="J1407" s="259">
        <f t="shared" ref="J1407" si="3510">+H1407+I1407</f>
        <v>501.65</v>
      </c>
      <c r="K1407" s="3344"/>
      <c r="L1407" s="260">
        <f t="shared" ref="L1407" si="3511">+J1407+K1407</f>
        <v>501.65</v>
      </c>
      <c r="M1407" s="3344">
        <v>0</v>
      </c>
      <c r="N1407" s="260">
        <f t="shared" ref="N1407" si="3512">+L1407+M1407</f>
        <v>501.65</v>
      </c>
      <c r="O1407" s="3344">
        <v>152.62</v>
      </c>
      <c r="P1407" s="269">
        <f t="shared" ref="P1407" si="3513">+K1407+M1407+O1407</f>
        <v>152.62</v>
      </c>
      <c r="Q1407" s="2155">
        <f>+N1407+O1407</f>
        <v>654.27</v>
      </c>
      <c r="R1407" s="3344">
        <v>1033.54</v>
      </c>
      <c r="S1407" s="260">
        <f t="shared" ref="S1407" si="3514">+Q1407+R1407</f>
        <v>1687.81</v>
      </c>
      <c r="T1407" s="3344">
        <v>1270.1600000000001</v>
      </c>
      <c r="U1407" s="260">
        <f t="shared" ref="U1407" si="3515">+S1407+T1407</f>
        <v>2957.9700000000003</v>
      </c>
      <c r="V1407" s="3344">
        <v>270.10000000000002</v>
      </c>
      <c r="W1407" s="259">
        <f t="shared" ref="W1407" si="3516">+R1407+T1407+V1407</f>
        <v>2573.7999999999997</v>
      </c>
      <c r="X1407" s="260">
        <f t="shared" ref="X1407" si="3517">+U1407+V1407</f>
        <v>3228.07</v>
      </c>
      <c r="Y1407" s="3344">
        <v>0</v>
      </c>
      <c r="Z1407" s="260">
        <f t="shared" ref="Z1407" si="3518">+X1407+Y1407</f>
        <v>3228.07</v>
      </c>
      <c r="AA1407" s="3344">
        <v>210.99</v>
      </c>
      <c r="AB1407" s="260">
        <f t="shared" ref="AB1407" si="3519">+Z1407+AA1407</f>
        <v>3439.0600000000004</v>
      </c>
      <c r="AC1407" s="3344">
        <v>275.95</v>
      </c>
      <c r="AD1407" s="259">
        <f t="shared" ref="AD1407" si="3520">+Y1407+AA1407+AC1407</f>
        <v>486.94</v>
      </c>
      <c r="AE1407" s="2155">
        <f>+W1407+AD1407</f>
        <v>3060.74</v>
      </c>
      <c r="AF1407" s="260">
        <f>+AB1407+AC1407</f>
        <v>3715.01</v>
      </c>
    </row>
    <row r="1408" spans="3:38" ht="29" thickBot="1" x14ac:dyDescent="0.3">
      <c r="C1408" s="508"/>
      <c r="D1408" s="16"/>
      <c r="E1408" s="429" t="s">
        <v>1271</v>
      </c>
      <c r="F1408" s="227">
        <f>+F1401+F1402+F1403+F1404+F1405+F1406</f>
        <v>11.781777777777778</v>
      </c>
      <c r="G1408" s="227">
        <f>+G1401+G1402+G1403+G1404+G1405+G1406</f>
        <v>12.811693548387094</v>
      </c>
      <c r="H1408" s="227">
        <f t="shared" ref="H1408:AF1408" si="3521">+H1401+H1402+H1403+H1404+H1405+H1406</f>
        <v>12.305177595628415</v>
      </c>
      <c r="I1408" s="227">
        <f t="shared" si="3521"/>
        <v>18.657581944444445</v>
      </c>
      <c r="J1408" s="227">
        <f t="shared" si="3521"/>
        <v>14.399376831501831</v>
      </c>
      <c r="K1408" s="227">
        <f>+K1401+K1402+K1403+K1404+K1405+K1406</f>
        <v>12.811693548387094</v>
      </c>
      <c r="L1408" s="227">
        <f t="shared" si="3521"/>
        <v>13.876017418032788</v>
      </c>
      <c r="M1408" s="227">
        <f t="shared" si="3521"/>
        <v>31.672572580645159</v>
      </c>
      <c r="N1408" s="227">
        <f t="shared" si="3521"/>
        <v>17.481855392156863</v>
      </c>
      <c r="O1408" s="227">
        <f t="shared" si="3521"/>
        <v>18.224541666666667</v>
      </c>
      <c r="P1408" s="227">
        <f t="shared" si="3521"/>
        <v>20.932048913043477</v>
      </c>
      <c r="Q1408" s="227">
        <f t="shared" si="3521"/>
        <v>17.60360724043716</v>
      </c>
      <c r="R1408" s="227">
        <f t="shared" si="3521"/>
        <v>23.503602150537635</v>
      </c>
      <c r="S1408" s="227">
        <f t="shared" si="3521"/>
        <v>18.458279400311525</v>
      </c>
      <c r="T1408" s="227">
        <f t="shared" si="3521"/>
        <v>28.36151666666667</v>
      </c>
      <c r="U1408" s="227">
        <f t="shared" si="3521"/>
        <v>19.675890539617484</v>
      </c>
      <c r="V1408" s="227">
        <f t="shared" si="3521"/>
        <v>35.900779569892471</v>
      </c>
      <c r="W1408" s="227">
        <f t="shared" si="3521"/>
        <v>29.265014492753622</v>
      </c>
      <c r="X1408" s="227">
        <f t="shared" si="3521"/>
        <v>21.504878030303033</v>
      </c>
      <c r="Y1408" s="227">
        <f t="shared" si="3521"/>
        <v>33.634959677419353</v>
      </c>
      <c r="Z1408" s="227">
        <f t="shared" si="3521"/>
        <v>22.733742510893247</v>
      </c>
      <c r="AA1408" s="227">
        <f t="shared" si="3521"/>
        <v>35.918635057471263</v>
      </c>
      <c r="AB1408" s="227">
        <f t="shared" si="3521"/>
        <v>23.875121268656716</v>
      </c>
      <c r="AC1408" s="227">
        <f t="shared" si="3521"/>
        <v>29.461317204301071</v>
      </c>
      <c r="AD1408" s="227">
        <f t="shared" si="3521"/>
        <v>33.30694444444444</v>
      </c>
      <c r="AE1408" s="227">
        <f t="shared" si="3521"/>
        <v>31.263771062271058</v>
      </c>
      <c r="AF1408" s="227">
        <f t="shared" si="3521"/>
        <v>24.348269011839708</v>
      </c>
      <c r="AG1408" s="227"/>
      <c r="AH1408" s="227"/>
    </row>
    <row r="1409" spans="3:32" ht="34" x14ac:dyDescent="0.4">
      <c r="C1409" s="508"/>
      <c r="D1409" s="16"/>
      <c r="E1409" s="141" t="s">
        <v>385</v>
      </c>
      <c r="F1409" s="3688"/>
      <c r="G1409" s="3688"/>
      <c r="H1409" s="3687"/>
      <c r="I1409" s="3688"/>
      <c r="J1409" s="3687"/>
      <c r="K1409" s="3688"/>
      <c r="L1409" s="3687"/>
      <c r="M1409" s="3688"/>
      <c r="N1409" s="792"/>
      <c r="O1409" s="3688"/>
      <c r="P1409" s="792"/>
      <c r="Q1409" s="2646"/>
      <c r="R1409" s="3688"/>
      <c r="S1409" s="2303"/>
      <c r="T1409" s="3688"/>
      <c r="U1409" s="2303"/>
      <c r="V1409" s="3688"/>
      <c r="W1409" s="3126"/>
      <c r="X1409" s="792"/>
      <c r="Y1409" s="3688"/>
      <c r="Z1409" s="2303"/>
      <c r="AA1409" s="3688"/>
      <c r="AB1409" s="792"/>
      <c r="AC1409" s="3688"/>
      <c r="AD1409" s="792"/>
      <c r="AE1409" s="1302"/>
      <c r="AF1409" s="2518"/>
    </row>
    <row r="1410" spans="3:32" ht="28" x14ac:dyDescent="0.25">
      <c r="C1410" s="508"/>
      <c r="D1410" s="16"/>
      <c r="E1410" s="2845" t="s">
        <v>1246</v>
      </c>
      <c r="F1410" s="3821">
        <f>4100/(F1387*24)</f>
        <v>5.6944444444444446</v>
      </c>
      <c r="G1410" s="3821">
        <f>4100/(G1387*24)</f>
        <v>5.510752688172043</v>
      </c>
      <c r="H1410" s="256">
        <f>+((F1410*$F$1387)+(G1410*$G$1387))/$H$1387</f>
        <v>5.6010928961748636</v>
      </c>
      <c r="I1410" s="3821">
        <f>4100/(I1387*24)</f>
        <v>5.6944444444444446</v>
      </c>
      <c r="J1410" s="255">
        <f>+((H1410*$H$1387)+(I1410*$I$1387))/$J$1387</f>
        <v>5.6318681318681323</v>
      </c>
      <c r="K1410" s="3821">
        <f>4100/(K1387*24)</f>
        <v>5.510752688172043</v>
      </c>
      <c r="L1410" s="256">
        <f>+((J1410*$J$1387)+(K1410*$K$1387))/$L$1387</f>
        <v>5.6010928961748636</v>
      </c>
      <c r="M1410" s="3821">
        <f>4100/(M1387*24)</f>
        <v>5.510752688172043</v>
      </c>
      <c r="N1410" s="256">
        <f>+((L1410*$L$1387)+(M1410*$M$1387))/$N$1387</f>
        <v>5.582788671023966</v>
      </c>
      <c r="O1410" s="3821">
        <f>4100/(O1387*24)</f>
        <v>5.6944444444444446</v>
      </c>
      <c r="P1410" s="255">
        <f>+((K1410*$K$1387)+(M1410*$M$1387)+(O1410*$O$1387))/$P$1387</f>
        <v>5.5706521739130439</v>
      </c>
      <c r="Q1410" s="238">
        <f>+((N1410*$N$1387)+(O1410*$O$1387))/$Q$1387</f>
        <v>5.6010928961748645</v>
      </c>
      <c r="R1410" s="3821">
        <f>4100/(R1387*24)</f>
        <v>5.510752688172043</v>
      </c>
      <c r="S1410" s="256">
        <f>+((Q1410*$Q$1387)+(R1410*$R$1387))/$S$1387</f>
        <v>5.5880062305295954</v>
      </c>
      <c r="T1410" s="3821">
        <f>4100/(T1387*24)</f>
        <v>5.6944444444444446</v>
      </c>
      <c r="U1410" s="256">
        <f>+((S1410*$S$1387)+(T1410*$T$1387))/$U$1387</f>
        <v>5.6010928961748636</v>
      </c>
      <c r="V1410" s="3821">
        <f>4100/(V1387*24)</f>
        <v>5.510752688172043</v>
      </c>
      <c r="W1410" s="255">
        <f>+((R1410*$R$1387)+(T1410*$T$1387)+(V1410*$V$1387))/$W$1387</f>
        <v>5.5706521739130439</v>
      </c>
      <c r="X1410" s="256">
        <f>+((U1410*$U$1387)+(V1410*$V$1387))/$X$1387</f>
        <v>5.5909090909090908</v>
      </c>
      <c r="Y1410" s="3821">
        <f>4100/(Y1387*24)</f>
        <v>5.510752688172043</v>
      </c>
      <c r="Z1410" s="256">
        <f>+((X1410*$X$1387)+(Y1410*$Y$1387))/$Z$1387</f>
        <v>5.5827886710239651</v>
      </c>
      <c r="AA1410" s="3821">
        <f>4100/(AA1387*24)</f>
        <v>5.8908045977011492</v>
      </c>
      <c r="AB1410" s="256">
        <f>+((Z1410*$Z$1387)+(AA1410*$AA$1387))/$AB$1387</f>
        <v>5.6094527363184072</v>
      </c>
      <c r="AC1410" s="3821">
        <f>4100/(AC1387*24)</f>
        <v>5.510752688172043</v>
      </c>
      <c r="AD1410" s="255">
        <f>+((Y1410*$Y$1387)+(AA1410*$AA$1387)+(AC1410*$AC$1387))/$AD$1387</f>
        <v>5.6944444444444446</v>
      </c>
      <c r="AE1410" s="238">
        <f>+((W1410*$W$1387)+(AD1410*$AD$1387))/$AE$1387</f>
        <v>5.6318681318681323</v>
      </c>
      <c r="AF1410" s="256">
        <f>+((AB1410*$AB$1387)+(AC1410*$AC$1387))/$AF$1387</f>
        <v>5.6010928961748636</v>
      </c>
    </row>
    <row r="1411" spans="3:32" ht="28" x14ac:dyDescent="0.25">
      <c r="C1411" s="508"/>
      <c r="D1411" s="16"/>
      <c r="E1411" s="2845" t="s">
        <v>1247</v>
      </c>
      <c r="F1411" s="3821">
        <f>4631.28/(F1387*24)</f>
        <v>6.4323333333333332</v>
      </c>
      <c r="G1411" s="3821">
        <f>5477.44/(G1387*24)</f>
        <v>7.3621505376344079</v>
      </c>
      <c r="H1411" s="256">
        <f>+((F1411*$F$1387)+(G1411*$G$1387))/$H$1387</f>
        <v>6.9048633879781409</v>
      </c>
      <c r="I1411" s="3821">
        <f>5586.96/(I1387*24)</f>
        <v>7.7596666666666669</v>
      </c>
      <c r="J1411" s="255">
        <f>+((H1411*$H$1387)+(I1411*$I$1387))/$J$1387</f>
        <v>7.1866666666666665</v>
      </c>
      <c r="K1411" s="3821">
        <f>5477.44/(K1387*24)</f>
        <v>7.3621505376344079</v>
      </c>
      <c r="L1411" s="256">
        <f>+((J1411*$J$1387)+(K1411*$K$1387))/$L$1387</f>
        <v>7.2312568306010929</v>
      </c>
      <c r="M1411" s="3821">
        <f>7299.688/(M1387*24)</f>
        <v>9.8114086021505376</v>
      </c>
      <c r="N1411" s="256">
        <f>+((L1411*$L$1387)+(M1411*$M$1387))/$N$1387</f>
        <v>7.7540326797385619</v>
      </c>
      <c r="O1411" s="3821">
        <f>6989.73/(O1387*24)</f>
        <v>9.7079583333333321</v>
      </c>
      <c r="P1411" s="255">
        <f>+((K1411*$K$1387)+(M1411*$M$1387)+(O1411*$O$1387))/$P$1387</f>
        <v>8.9523813405797092</v>
      </c>
      <c r="Q1411" s="238">
        <f>+((N1411*$N$1387)+(O1411*$O$1387))/$Q$1387</f>
        <v>8.0743483606557369</v>
      </c>
      <c r="R1411" s="3821">
        <f>7692.48/(R1387*24)</f>
        <v>10.339354838709676</v>
      </c>
      <c r="S1411" s="256">
        <f>+((Q1411*$Q$1387)+(R1411*$R$1387))/$S$1387</f>
        <v>8.4024567757009336</v>
      </c>
      <c r="T1411" s="3821">
        <f>6557.76/(T1387*24)</f>
        <v>9.1080000000000005</v>
      </c>
      <c r="U1411" s="256">
        <f>+((S1411*$S$1387)+(T1411*$T$1387))/$U$1387</f>
        <v>8.4892038934426228</v>
      </c>
      <c r="V1411" s="3821">
        <f>6554/(V1387*24)</f>
        <v>8.8091397849462361</v>
      </c>
      <c r="W1411" s="255">
        <f>+((R1411*$R$1387)+(T1411*$T$1387)+(V1411*$V$1387))/$W$1387</f>
        <v>9.4222101449275346</v>
      </c>
      <c r="X1411" s="256">
        <f>+((U1411*$U$1387)+(V1411*$V$1387))/$X$1387</f>
        <v>8.5252693939393946</v>
      </c>
      <c r="Y1411" s="3821">
        <f>6492.8/(Y1387*24)</f>
        <v>8.7268817204301072</v>
      </c>
      <c r="Z1411" s="256">
        <f>+((X1411*$X$1387)+(Y1411*$Y$1387))/$Z$1387</f>
        <v>8.54569417211329</v>
      </c>
      <c r="AA1411" s="3821">
        <f>5812/(AA1387*24)</f>
        <v>8.3505747126436773</v>
      </c>
      <c r="AB1411" s="256">
        <f>+((Z1411*$Z$1387)+(AA1411*$AA$1387))/$AB$1387</f>
        <v>8.5288032338308462</v>
      </c>
      <c r="AC1411" s="3821">
        <f>4670.16/(AC1387*24)</f>
        <v>6.2770967741935486</v>
      </c>
      <c r="AD1411" s="255">
        <f>+((Y1411*$Y$1387)+(AA1411*$AA$1387)+(AC1411*$AC$1387))/$AD$1387</f>
        <v>7.8587777777777772</v>
      </c>
      <c r="AE1411" s="238">
        <f>+((W1411*$W$1387)+(AD1411*$AD$1387))/$AE$1387</f>
        <v>8.6490842490842486</v>
      </c>
      <c r="AF1411" s="256">
        <f>+((AB1411*$AB$1387)+(AC1411*$AC$1387))/$AF$1387</f>
        <v>8.3380849271402546</v>
      </c>
    </row>
    <row r="1412" spans="3:32" ht="33" customHeight="1" x14ac:dyDescent="0.25">
      <c r="C1412" s="508"/>
      <c r="D1412" s="16"/>
      <c r="E1412" s="2845" t="s">
        <v>1248</v>
      </c>
      <c r="F1412" s="3821">
        <f>11425.6/(F1387*24)</f>
        <v>15.86888888888889</v>
      </c>
      <c r="G1412" s="3821">
        <f>11978.88/(G1387*24)</f>
        <v>16.10064516129032</v>
      </c>
      <c r="H1412" s="256">
        <f>+((F1412*$F$1387)+(G1412*$G$1387))/$H$1387</f>
        <v>15.986666666666666</v>
      </c>
      <c r="I1412" s="3821">
        <f>11482.32/(I1387*24)</f>
        <v>15.947666666666667</v>
      </c>
      <c r="J1412" s="255">
        <f>+((H1412*$H$1387)+(I1412*$I$1387))/$J$1387</f>
        <v>15.973809523809523</v>
      </c>
      <c r="K1412" s="3821">
        <f>11978.88/(K1387*24)</f>
        <v>16.10064516129032</v>
      </c>
      <c r="L1412" s="256">
        <f>+((J1412*$J$1387)+(K1412*$K$1387))/$L$1387</f>
        <v>16.006038251366117</v>
      </c>
      <c r="M1412" s="3821">
        <f>10784.44/(M1387*24)</f>
        <v>14.495215053763442</v>
      </c>
      <c r="N1412" s="256">
        <f>+((L1412*$L$1387)+(M1412*$M$1387))/$N$1387</f>
        <v>15.699923747276687</v>
      </c>
      <c r="O1412" s="3821">
        <f>9986.6/(O1387*24)</f>
        <v>13.870277777777778</v>
      </c>
      <c r="P1412" s="255">
        <f>+((K1412*$K$1387)+(M1412*$M$1387)+(O1412*$O$1387))/$P$1387</f>
        <v>14.832391304347825</v>
      </c>
      <c r="Q1412" s="238">
        <f>+((N1412*$N$1387)+(O1412*$O$1387))/$Q$1387</f>
        <v>15.399981785063753</v>
      </c>
      <c r="R1412" s="3821">
        <f>10559.1/(R1387*24)</f>
        <v>14.19233870967742</v>
      </c>
      <c r="S1412" s="256">
        <f>+((Q1412*$Q$1387)+(R1412*$R$1387))/$S$1387</f>
        <v>15.225042834890967</v>
      </c>
      <c r="T1412" s="3821">
        <f>11212.48/(T1387*24)</f>
        <v>15.572888888888889</v>
      </c>
      <c r="U1412" s="256">
        <f>+((S1412*$S$1387)+(T1412*$T$1387))/$U$1387</f>
        <v>15.267810792349726</v>
      </c>
      <c r="V1412" s="3821">
        <f>12912.72/(V1387*24)</f>
        <v>17.355806451612903</v>
      </c>
      <c r="W1412" s="255">
        <f>+((R1412*$R$1387)+(T1412*$T$1387)+(V1412*$V$1387))/$W$1387</f>
        <v>15.708469202898552</v>
      </c>
      <c r="X1412" s="256">
        <f>+((U1412*$U$1387)+(V1412*$V$1387))/$X$1387</f>
        <v>15.50318484848485</v>
      </c>
      <c r="Y1412" s="3821">
        <f>12559.2/(Y1387*24)</f>
        <v>16.880645161290325</v>
      </c>
      <c r="Z1412" s="256">
        <f>+((X1412*$X$1387)+(Y1412*$Y$1387))/$Z$1387</f>
        <v>15.642731481481484</v>
      </c>
      <c r="AA1412" s="3821">
        <f>11173.2/(AA1387*24)</f>
        <v>16.05344827586207</v>
      </c>
      <c r="AB1412" s="256">
        <f>+((Z1412*$Z$1387)+(AA1412*$AA$1387))/$AB$1387</f>
        <v>15.678286069651742</v>
      </c>
      <c r="AC1412" s="3821">
        <f>12202.72/(AC1387*24)</f>
        <v>16.401505376344087</v>
      </c>
      <c r="AD1412" s="255">
        <f>+((Y1412*$Y$1387)+(AA1412*$AA$1387)+(AC1412*$AC$1387))/$AD$1387</f>
        <v>16.636629629629631</v>
      </c>
      <c r="AE1412" s="238">
        <f>+((W1412*$W$1387)+(AD1412*$AD$1387))/$AE$1387</f>
        <v>16.167449633699636</v>
      </c>
      <c r="AF1412" s="256">
        <f>+((AB1412*$AB$1387)+(AC1412*$AC$1387))/$AF$1387</f>
        <v>15.739542349726777</v>
      </c>
    </row>
    <row r="1413" spans="3:32" ht="33" customHeight="1" thickBot="1" x14ac:dyDescent="0.3">
      <c r="C1413" s="508"/>
      <c r="D1413" s="16"/>
      <c r="E1413" s="2847" t="s">
        <v>1249</v>
      </c>
      <c r="F1413" s="3821">
        <f>0/(F1387*24)</f>
        <v>0</v>
      </c>
      <c r="G1413" s="3821">
        <f>0/(G1387*24)</f>
        <v>0</v>
      </c>
      <c r="H1413" s="363">
        <f>+((F1413*$F$1387)+(G1413*$G$1387))/$H$1387</f>
        <v>0</v>
      </c>
      <c r="I1413" s="3821">
        <f>0/(I1387*24)</f>
        <v>0</v>
      </c>
      <c r="J1413" s="304">
        <f>+((H1413*$H$1387)+(I1413*$I$1387))/$J$1387</f>
        <v>0</v>
      </c>
      <c r="K1413" s="3821">
        <f>0/(K1387*24)</f>
        <v>0</v>
      </c>
      <c r="L1413" s="363">
        <f>+((J1413*$J$1387)+(K1413*$K$1387))/$L$1387</f>
        <v>0</v>
      </c>
      <c r="M1413" s="3821">
        <f>0/(M1387*24)</f>
        <v>0</v>
      </c>
      <c r="N1413" s="363">
        <f>+((L1413*$L$1387)+(M1413*$M$1387))/$N$1387</f>
        <v>0</v>
      </c>
      <c r="O1413" s="3821">
        <f>0/(O1387*24)</f>
        <v>0</v>
      </c>
      <c r="P1413" s="255">
        <f>+((K1413*$K$1387)+(M1413*$M$1387)+(O1413*$O$1387))/$P$1387</f>
        <v>0</v>
      </c>
      <c r="Q1413" s="238">
        <f>+((N1413*$N$1387)+(O1413*$O$1387))/$Q$1387</f>
        <v>0</v>
      </c>
      <c r="R1413" s="3821">
        <f>0/(R1387*24)</f>
        <v>0</v>
      </c>
      <c r="S1413" s="363">
        <f>+((Q1413*$Q$1387)+(R1413*$R$1387))/$S$1387</f>
        <v>0</v>
      </c>
      <c r="T1413" s="3821">
        <f>0/(T1387*24)</f>
        <v>0</v>
      </c>
      <c r="U1413" s="363">
        <f>+((S1413*$S$1387)+(T1413*$T$1387))/$U$1387</f>
        <v>0</v>
      </c>
      <c r="V1413" s="3821">
        <f>0/(V1387*24)</f>
        <v>0</v>
      </c>
      <c r="W1413" s="304">
        <f>+((R1413*$R$1387)+(T1413*$T$1387)+(V1413*$V$1387))/$W$1387</f>
        <v>0</v>
      </c>
      <c r="X1413" s="363">
        <f>+((U1413*$U$1387)+(V1413*$V$1387))/$X$1387</f>
        <v>0</v>
      </c>
      <c r="Y1413" s="3821">
        <f>0/(Y1387*24)</f>
        <v>0</v>
      </c>
      <c r="Z1413" s="363">
        <f>+((X1413*$X$1387)+(Y1413*$Y$1387))/$Z$1387</f>
        <v>0</v>
      </c>
      <c r="AA1413" s="3821">
        <f>0/(AA1387*24)</f>
        <v>0</v>
      </c>
      <c r="AB1413" s="256">
        <f>+((Z1413*$Z$1387)+(AA1413*$AA$1387))/$AB$1387</f>
        <v>0</v>
      </c>
      <c r="AC1413" s="3821">
        <f>0/(AC1387*24)</f>
        <v>0</v>
      </c>
      <c r="AD1413" s="304">
        <f>+((Y1413*$Y$1387)+(AA1413*$AA$1387)+(AC1413*$AC$1387))/$AD$1387</f>
        <v>0</v>
      </c>
      <c r="AE1413" s="238">
        <f>+((W1413*$W$1387)+(AD1413*$AD$1387))/$AE$1387</f>
        <v>0</v>
      </c>
      <c r="AF1413" s="256">
        <f>+((AB1413*$AB$1387)+(AC1413*$AC$1387))/$AF$1387</f>
        <v>0</v>
      </c>
    </row>
    <row r="1414" spans="3:32" ht="33" customHeight="1" thickBot="1" x14ac:dyDescent="0.3">
      <c r="C1414" s="508"/>
      <c r="D1414" s="16"/>
      <c r="E1414" s="2848" t="s">
        <v>1063</v>
      </c>
      <c r="F1414" s="3344">
        <v>0</v>
      </c>
      <c r="G1414" s="3344">
        <v>0</v>
      </c>
      <c r="H1414" s="250">
        <f t="shared" ref="H1414" si="3522">SUM(F1414:G1414)</f>
        <v>0</v>
      </c>
      <c r="I1414" s="3344">
        <v>0</v>
      </c>
      <c r="J1414" s="249">
        <f t="shared" ref="J1414" si="3523">+H1414+I1414</f>
        <v>0</v>
      </c>
      <c r="K1414" s="3344"/>
      <c r="L1414" s="250">
        <f t="shared" ref="L1414" si="3524">+J1414+K1414</f>
        <v>0</v>
      </c>
      <c r="M1414" s="3344">
        <v>0</v>
      </c>
      <c r="N1414" s="250">
        <f t="shared" ref="N1414" si="3525">+L1414+M1414</f>
        <v>0</v>
      </c>
      <c r="O1414" s="3344">
        <v>0</v>
      </c>
      <c r="P1414" s="1158">
        <f t="shared" ref="P1414" si="3526">+K1414+M1414+O1414</f>
        <v>0</v>
      </c>
      <c r="Q1414" s="2155">
        <f>+N1414+O1414</f>
        <v>0</v>
      </c>
      <c r="R1414" s="3344">
        <v>0</v>
      </c>
      <c r="S1414" s="250">
        <f t="shared" ref="S1414" si="3527">+Q1414+R1414</f>
        <v>0</v>
      </c>
      <c r="T1414" s="3344">
        <v>0</v>
      </c>
      <c r="U1414" s="250">
        <f t="shared" ref="U1414" si="3528">+S1414+T1414</f>
        <v>0</v>
      </c>
      <c r="V1414" s="3344">
        <v>0</v>
      </c>
      <c r="W1414" s="249">
        <f t="shared" ref="W1414" si="3529">+R1414+T1414+V1414</f>
        <v>0</v>
      </c>
      <c r="X1414" s="482">
        <f t="shared" ref="X1414" si="3530">+U1414+V1414</f>
        <v>0</v>
      </c>
      <c r="Y1414" s="3344">
        <v>0</v>
      </c>
      <c r="Z1414" s="250">
        <f>+X1414+Y1414</f>
        <v>0</v>
      </c>
      <c r="AA1414" s="3344">
        <v>0</v>
      </c>
      <c r="AB1414" s="250">
        <f>+Z1414+AA1414</f>
        <v>0</v>
      </c>
      <c r="AC1414" s="3344"/>
      <c r="AD1414" s="249">
        <f t="shared" ref="AD1414" si="3531">+Y1414+AA1414+AC1414</f>
        <v>0</v>
      </c>
      <c r="AE1414" s="2155">
        <f>+W1414+AD1414</f>
        <v>0</v>
      </c>
      <c r="AF1414" s="250">
        <f>+AB1414+AC1414</f>
        <v>0</v>
      </c>
    </row>
    <row r="1415" spans="3:32" ht="29" thickBot="1" x14ac:dyDescent="0.3">
      <c r="C1415" s="508"/>
      <c r="D1415" s="16"/>
      <c r="E1415" s="429" t="s">
        <v>1271</v>
      </c>
      <c r="F1415" s="3690">
        <f t="shared" ref="F1415:AF1415" si="3532">+F1410+F1411+F1412+F1413</f>
        <v>27.995666666666668</v>
      </c>
      <c r="G1415" s="3690">
        <f t="shared" si="3532"/>
        <v>28.97354838709677</v>
      </c>
      <c r="H1415" s="3689">
        <f t="shared" si="3532"/>
        <v>28.492622950819673</v>
      </c>
      <c r="I1415" s="3690">
        <f t="shared" si="3532"/>
        <v>29.401777777777777</v>
      </c>
      <c r="J1415" s="3689">
        <f t="shared" si="3532"/>
        <v>28.79234432234432</v>
      </c>
      <c r="K1415" s="3690">
        <f t="shared" ref="K1415" si="3533">+K1410+K1411+K1412+K1413</f>
        <v>28.97354838709677</v>
      </c>
      <c r="L1415" s="3689">
        <f t="shared" si="3532"/>
        <v>28.838387978142073</v>
      </c>
      <c r="M1415" s="3690">
        <f t="shared" si="3532"/>
        <v>29.817376344086021</v>
      </c>
      <c r="N1415" s="2290">
        <f t="shared" si="3532"/>
        <v>29.036745098039212</v>
      </c>
      <c r="O1415" s="3690">
        <f t="shared" si="3532"/>
        <v>29.272680555555553</v>
      </c>
      <c r="P1415" s="2866">
        <f t="shared" si="3532"/>
        <v>29.355424818840575</v>
      </c>
      <c r="Q1415" s="3084">
        <f t="shared" si="3532"/>
        <v>29.075423041894354</v>
      </c>
      <c r="R1415" s="3690">
        <f t="shared" si="3532"/>
        <v>30.042446236559137</v>
      </c>
      <c r="S1415" s="2290">
        <f t="shared" si="3532"/>
        <v>29.215505841121498</v>
      </c>
      <c r="T1415" s="3690">
        <f t="shared" si="3532"/>
        <v>30.375333333333334</v>
      </c>
      <c r="U1415" s="2290">
        <f t="shared" si="3532"/>
        <v>29.358107581967211</v>
      </c>
      <c r="V1415" s="3690">
        <f t="shared" si="3532"/>
        <v>31.675698924731183</v>
      </c>
      <c r="W1415" s="2866">
        <f t="shared" si="3532"/>
        <v>30.701331521739132</v>
      </c>
      <c r="X1415" s="2290">
        <f t="shared" si="3532"/>
        <v>29.619363333333336</v>
      </c>
      <c r="Y1415" s="3690">
        <f t="shared" si="3532"/>
        <v>31.118279569892476</v>
      </c>
      <c r="Z1415" s="2290">
        <f t="shared" si="3532"/>
        <v>29.77121432461874</v>
      </c>
      <c r="AA1415" s="3690">
        <f t="shared" si="3532"/>
        <v>30.294827586206896</v>
      </c>
      <c r="AB1415" s="2290">
        <f t="shared" si="3532"/>
        <v>29.816542039800993</v>
      </c>
      <c r="AC1415" s="3690">
        <f t="shared" si="3532"/>
        <v>28.189354838709679</v>
      </c>
      <c r="AD1415" s="2866">
        <f t="shared" si="3532"/>
        <v>30.189851851851852</v>
      </c>
      <c r="AE1415" s="3084">
        <f t="shared" si="3532"/>
        <v>30.448402014652018</v>
      </c>
      <c r="AF1415" s="2290">
        <f t="shared" si="3532"/>
        <v>29.678720173041896</v>
      </c>
    </row>
    <row r="1416" spans="3:32" ht="28" x14ac:dyDescent="0.25">
      <c r="C1416" s="508"/>
      <c r="D1416" s="16"/>
      <c r="E1416" s="120" t="s">
        <v>386</v>
      </c>
      <c r="F1416" s="792"/>
      <c r="G1416" s="792"/>
      <c r="H1416" s="3691"/>
      <c r="I1416" s="792"/>
      <c r="J1416" s="3691"/>
      <c r="K1416" s="792"/>
      <c r="L1416" s="3691"/>
      <c r="M1416" s="792"/>
      <c r="N1416" s="792"/>
      <c r="O1416" s="792"/>
      <c r="P1416" s="792"/>
      <c r="Q1416" s="2646"/>
      <c r="R1416" s="792"/>
      <c r="S1416" s="2303"/>
      <c r="T1416" s="792"/>
      <c r="U1416" s="2303"/>
      <c r="V1416" s="792"/>
      <c r="W1416" s="3126"/>
      <c r="X1416" s="792"/>
      <c r="Y1416" s="792"/>
      <c r="Z1416" s="2303"/>
      <c r="AA1416" s="792"/>
      <c r="AB1416" s="3126"/>
      <c r="AC1416" s="792"/>
      <c r="AD1416" s="3126"/>
      <c r="AE1416" s="2646"/>
      <c r="AF1416" s="3126"/>
    </row>
    <row r="1417" spans="3:32" ht="28" x14ac:dyDescent="0.25">
      <c r="C1417" s="508"/>
      <c r="D1417" s="16"/>
      <c r="E1417" s="2845" t="s">
        <v>1247</v>
      </c>
      <c r="F1417" s="3822">
        <f>319.7/(F1387*24)</f>
        <v>0.44402777777777774</v>
      </c>
      <c r="G1417" s="3822">
        <f>243.71/(G1387*24)</f>
        <v>0.32756720430107528</v>
      </c>
      <c r="H1417" s="256">
        <f>+((F1417*$F$1387)+(G1417*$G$1387))/$H$1387</f>
        <v>0.38484289617486339</v>
      </c>
      <c r="I1417" s="3822">
        <f>316.46/(I1387*24)</f>
        <v>0.43952777777777774</v>
      </c>
      <c r="J1417" s="255">
        <f>+((H1417*$H$1387)+(I1417*$I$1387))/$J$1387</f>
        <v>0.40287087912087904</v>
      </c>
      <c r="K1417" s="3822">
        <f>243.71/(K1387*24)</f>
        <v>0.32756720430107528</v>
      </c>
      <c r="L1417" s="256">
        <f>+((J1417*$J$1387)+(K1417*$K$1387))/$L$1387</f>
        <v>0.38373633879781416</v>
      </c>
      <c r="M1417" s="3822">
        <f>350.5768/(M1387*24)</f>
        <v>0.47120537634408599</v>
      </c>
      <c r="N1417" s="256">
        <f>+((L1417*$L$1387)+(M1417*$M$1387))/$N$1387</f>
        <v>0.4014588235294117</v>
      </c>
      <c r="O1417" s="3822">
        <f>297.01/(O1387*24)</f>
        <v>0.4125138888888889</v>
      </c>
      <c r="P1417" s="255">
        <f>+((K1417*$K$1387)+(M1417*$M$1387)+(O1417*$O$1387))/$P$1387</f>
        <v>0.40366702898550721</v>
      </c>
      <c r="Q1417" s="238">
        <f>+((N1417*$N$1387)+(O1417*$O$1387))/$Q$1387</f>
        <v>0.40327112932604725</v>
      </c>
      <c r="R1417" s="3822">
        <f>247.84/(R1387*24)</f>
        <v>0.33311827956989248</v>
      </c>
      <c r="S1417" s="256">
        <f>+((Q1417*$Q$1387)+(R1417*$R$1387))/$S$1387</f>
        <v>0.39310880062305287</v>
      </c>
      <c r="T1417" s="3822">
        <f>220.304/(T1387*24)</f>
        <v>0.30597777777777779</v>
      </c>
      <c r="U1417" s="256">
        <f>+((S1417*$S$1387)+(T1417*$T$1387))/$U$1387</f>
        <v>0.38239596994535513</v>
      </c>
      <c r="V1417" s="3822">
        <f>346.136/(V1387*24)</f>
        <v>0.46523655913978496</v>
      </c>
      <c r="W1417" s="255">
        <f>+((R1417*$R$1387)+(T1417*$T$1387)+(V1417*$V$1387))/$W$1387</f>
        <v>0.36878623188405796</v>
      </c>
      <c r="X1417" s="256">
        <f>+((U1417*$U$1387)+(V1417*$V$1387))/$X$1387</f>
        <v>0.3917343636363636</v>
      </c>
      <c r="Y1417" s="3822">
        <f>289.8/(Y1387*24)</f>
        <v>0.38951612903225807</v>
      </c>
      <c r="Z1417" s="256">
        <f>+((X1417*$X$1387)+(Y1417*$Y$1387))/$Z$1387</f>
        <v>0.39150964052287579</v>
      </c>
      <c r="AA1417" s="3822">
        <f>280/(AA1387*24)</f>
        <v>0.40229885057471265</v>
      </c>
      <c r="AB1417" s="256">
        <f>+((Z1417*$Z$1387)+(AA1417*$AA$1387))/$AB$1387</f>
        <v>0.392443631840796</v>
      </c>
      <c r="AC1417" s="3822">
        <f>432.264/(AC1387*24)</f>
        <v>0.58099999999999996</v>
      </c>
      <c r="AD1417" s="255">
        <f>+((Y1417*$Y$1387)+(AA1417*$AA$1387)+(AC1417*$AC$1387))/$AD$1387</f>
        <v>0.46391851851851856</v>
      </c>
      <c r="AE1417" s="238">
        <f>+((W1417*$W$1387)+(AD1417*$AD$1387))/$AE$1387</f>
        <v>0.41582967032967039</v>
      </c>
      <c r="AF1417" s="256">
        <f>+((AB1417*$AB$1387)+(AC1417*$AC$1387))/$AF$1387</f>
        <v>0.40841425318761382</v>
      </c>
    </row>
    <row r="1418" spans="3:32" ht="28" x14ac:dyDescent="0.25">
      <c r="C1418" s="508"/>
      <c r="D1418" s="16"/>
      <c r="E1418" s="2845" t="s">
        <v>1248</v>
      </c>
      <c r="F1418" s="3823">
        <f>0/(F1387*24)</f>
        <v>0</v>
      </c>
      <c r="G1418" s="3823">
        <f>0/(G1387*24)</f>
        <v>0</v>
      </c>
      <c r="H1418" s="363">
        <f>+((F1418*$F$1387)+(G1418*$G$1387))/$H$1387</f>
        <v>0</v>
      </c>
      <c r="I1418" s="3823">
        <f>0/(I1387*24)</f>
        <v>0</v>
      </c>
      <c r="J1418" s="255">
        <f>+((H1418*$H$1387)+(I1418*$I$1387))/$J$1387</f>
        <v>0</v>
      </c>
      <c r="K1418" s="3823">
        <f>0/(K1387*24)</f>
        <v>0</v>
      </c>
      <c r="L1418" s="256">
        <f>+((J1418*$J$1387)+(K1418*$K$1387))/$L$1387</f>
        <v>0</v>
      </c>
      <c r="M1418" s="3823">
        <f>0/(M1387*24)</f>
        <v>0</v>
      </c>
      <c r="N1418" s="363">
        <f>+((L1418*$L$1387)+(M1418*$M$1387))/$N$1387</f>
        <v>0</v>
      </c>
      <c r="O1418" s="3823">
        <f>0/(O1387*24)</f>
        <v>0</v>
      </c>
      <c r="P1418" s="304">
        <f>+((K1418*$K$1387)+(M1418*$M$1387)+(O1418*$O$1387))/$P$1387</f>
        <v>0</v>
      </c>
      <c r="Q1418" s="241">
        <f>+((N1418*$N$1387)+(O1418*$O$1387))/$Q$1387</f>
        <v>0</v>
      </c>
      <c r="R1418" s="3823">
        <f>0/(R1387*24)</f>
        <v>0</v>
      </c>
      <c r="S1418" s="363">
        <f>+((Q1418*$Q$1387)+(R1418*$R$1387))/$S$1387</f>
        <v>0</v>
      </c>
      <c r="T1418" s="3823">
        <f>0/(T1387*24)</f>
        <v>0</v>
      </c>
      <c r="U1418" s="363">
        <f>+((S1418*$S$1387)+(T1418*$T$1387))/$U$1387</f>
        <v>0</v>
      </c>
      <c r="V1418" s="3823">
        <f>0/(V1387*24)</f>
        <v>0</v>
      </c>
      <c r="W1418" s="304">
        <f>+((R1418*$R$1387)+(T1418*$T$1387)+(V1418*$V$1387))/$W$1387</f>
        <v>0</v>
      </c>
      <c r="X1418" s="363">
        <f>+((U1418*$U$1387)+(V1418*$V$1387))/$X$1387</f>
        <v>0</v>
      </c>
      <c r="Y1418" s="3823">
        <f>0/(Y1387*24)</f>
        <v>0</v>
      </c>
      <c r="Z1418" s="363">
        <f>+((X1418*$X$1387)+(Y1418*$Y$1387))/$Z$1387</f>
        <v>0</v>
      </c>
      <c r="AA1418" s="3823">
        <f>0/(AA1387*24)</f>
        <v>0</v>
      </c>
      <c r="AB1418" s="256">
        <f>+((Z1418*$Z$1387)+(AA1418*$AA$1387))/$AB$1387</f>
        <v>0</v>
      </c>
      <c r="AC1418" s="3823">
        <f>0/(AC1387*24)</f>
        <v>0</v>
      </c>
      <c r="AD1418" s="304">
        <f>+((Y1418*$Y$1387)+(AA1418*$AA$1387)+(AC1418*$AC$1387))/$AD$1387</f>
        <v>0</v>
      </c>
      <c r="AE1418" s="241">
        <f>+((W1418*$W$1387)+(AD1418*$AD$1387))/$AE$1387</f>
        <v>0</v>
      </c>
      <c r="AF1418" s="256">
        <f>+((AB1418*$AB$1387)+(AC1418*$AC$1387))/$AF$1387</f>
        <v>0</v>
      </c>
    </row>
    <row r="1419" spans="3:32" ht="29" thickBot="1" x14ac:dyDescent="0.3">
      <c r="C1419" s="508"/>
      <c r="D1419" s="16"/>
      <c r="E1419" s="2847" t="s">
        <v>1249</v>
      </c>
      <c r="F1419" s="3821">
        <f>27.25/(F1387*24)</f>
        <v>3.784722222222222E-2</v>
      </c>
      <c r="G1419" s="3821">
        <f>317.66/(G1387*24)</f>
        <v>0.42696236559139789</v>
      </c>
      <c r="H1419" s="256">
        <f>+((F1419*$F$1387)+(G1419*$G$1387))/$H$1387</f>
        <v>0.23559426229508196</v>
      </c>
      <c r="I1419" s="3821">
        <f>512.46/(I1387*24)</f>
        <v>0.7117500000000001</v>
      </c>
      <c r="J1419" s="255">
        <f>+((H1419*$H$1387)+(I1419*$I$1387))/$J$1387</f>
        <v>0.39256868131868133</v>
      </c>
      <c r="K1419" s="3821">
        <f>317.66/(K1387*24)</f>
        <v>0.42696236559139789</v>
      </c>
      <c r="L1419" s="256">
        <f>+((J1419*$J$1387)+(K1419*$K$1387))/$L$1387</f>
        <v>0.40130806010928965</v>
      </c>
      <c r="M1419" s="3821">
        <f>451.444/(M1387*24)</f>
        <v>0.60677956989247317</v>
      </c>
      <c r="N1419" s="256">
        <f>+((L1419*$L$1387)+(M1419*$M$1387))/$N$1387</f>
        <v>0.44293954248366013</v>
      </c>
      <c r="O1419" s="3821">
        <f>467.34/(O1387*24)</f>
        <v>0.64908333333333335</v>
      </c>
      <c r="P1419" s="255">
        <f>+((K1419*$K$1387)+(M1419*$M$1387)+(O1419*$O$1387))/$P$1387</f>
        <v>0.55998369565217399</v>
      </c>
      <c r="Q1419" s="238">
        <f>+((N1419*$N$1387)+(O1419*$O$1387))/$Q$1387</f>
        <v>0.47673360655737707</v>
      </c>
      <c r="R1419" s="3821">
        <f>522.81/(R1387*24)</f>
        <v>0.70270161290322575</v>
      </c>
      <c r="S1419" s="256">
        <f>+((Q1419*$Q$1387)+(R1419*$R$1387))/$S$1387</f>
        <v>0.50946728971962618</v>
      </c>
      <c r="T1419" s="3821">
        <f>635.2472/(T1387*24)</f>
        <v>0.88228777777777778</v>
      </c>
      <c r="U1419" s="256">
        <f>+((S1419*$S$1387)+(T1419*$T$1387))/$U$1387</f>
        <v>0.5553058743169399</v>
      </c>
      <c r="V1419" s="3821">
        <f>639.9512/(V1387*24)</f>
        <v>0.86014946236559131</v>
      </c>
      <c r="W1419" s="255">
        <f>+((R1419*$R$1387)+(T1419*$T$1387)+(V1419*$V$1387))/$W$1387</f>
        <v>0.81431539855072455</v>
      </c>
      <c r="X1419" s="256">
        <f>+((U1419*$U$1387)+(V1419*$V$1387))/$X$1387</f>
        <v>0.58967006060606064</v>
      </c>
      <c r="Y1419" s="3821">
        <f>620.08/(Y1387*24)</f>
        <v>0.83344086021505381</v>
      </c>
      <c r="Z1419" s="256">
        <f>+((X1419*$X$1387)+(Y1419*$Y$1387))/$Z$1387</f>
        <v>0.61436579520697165</v>
      </c>
      <c r="AA1419" s="3821">
        <f>483.21/(AA1387*24)</f>
        <v>0.69426724137931028</v>
      </c>
      <c r="AB1419" s="256">
        <f>+((Z1419*$Z$1387)+(AA1419*$AA$1387))/$AB$1387</f>
        <v>0.62128263681592033</v>
      </c>
      <c r="AC1419" s="3821">
        <f>452.98/(AC1387*24)</f>
        <v>0.60884408602150542</v>
      </c>
      <c r="AD1419" s="255">
        <f>+((Y1419*$Y$1387)+(AA1419*$AA$1387)+(AC1419*$AC$1387))/$AD$1387</f>
        <v>0.72049537037037037</v>
      </c>
      <c r="AE1419" s="238">
        <f>+((W1419*$W$1387)+(AD1419*$AD$1387))/$AE$1387</f>
        <v>0.76792087912087903</v>
      </c>
      <c r="AF1419" s="256">
        <f>+((AB1419*$AB$1387)+(AC1419*$AC$1387))/$AF$1387</f>
        <v>0.62022909836065565</v>
      </c>
    </row>
    <row r="1420" spans="3:32" ht="29" thickBot="1" x14ac:dyDescent="0.3">
      <c r="C1420" s="508"/>
      <c r="D1420" s="16"/>
      <c r="E1420" s="2848" t="s">
        <v>1063</v>
      </c>
      <c r="F1420" s="3344">
        <v>48.66</v>
      </c>
      <c r="G1420" s="3344">
        <v>567.25</v>
      </c>
      <c r="H1420" s="250">
        <f t="shared" ref="H1420" si="3534">SUM(F1420:G1420)</f>
        <v>615.91</v>
      </c>
      <c r="I1420" s="3344">
        <v>915.11</v>
      </c>
      <c r="J1420" s="259">
        <f t="shared" ref="J1420" si="3535">+H1420+I1420</f>
        <v>1531.02</v>
      </c>
      <c r="K1420" s="3344"/>
      <c r="L1420" s="260">
        <f t="shared" ref="L1420" si="3536">+J1420+K1420</f>
        <v>1531.02</v>
      </c>
      <c r="M1420" s="3344">
        <v>806.15</v>
      </c>
      <c r="N1420" s="260">
        <f t="shared" ref="N1420" si="3537">+L1420+M1420</f>
        <v>2337.17</v>
      </c>
      <c r="O1420" s="3344">
        <v>834.53</v>
      </c>
      <c r="P1420" s="1158">
        <f t="shared" ref="P1420" si="3538">+K1420+M1420+O1420</f>
        <v>1640.6799999999998</v>
      </c>
      <c r="Q1420" s="236">
        <f>+N1420+O1420</f>
        <v>3171.7</v>
      </c>
      <c r="R1420" s="3344">
        <v>933.59</v>
      </c>
      <c r="S1420" s="260">
        <f t="shared" ref="S1420" si="3539">+Q1420+R1420</f>
        <v>4105.29</v>
      </c>
      <c r="T1420" s="3344">
        <v>1134.3700000000001</v>
      </c>
      <c r="U1420" s="260">
        <f t="shared" ref="U1420" si="3540">+S1420+T1420</f>
        <v>5239.66</v>
      </c>
      <c r="V1420" s="3344">
        <v>1142.77</v>
      </c>
      <c r="W1420" s="259">
        <f t="shared" ref="W1420" si="3541">+R1420+T1420+V1420</f>
        <v>3210.73</v>
      </c>
      <c r="X1420" s="260">
        <f t="shared" ref="X1420" si="3542">+U1420+V1420</f>
        <v>6382.43</v>
      </c>
      <c r="Y1420" s="3344">
        <v>1107.28</v>
      </c>
      <c r="Z1420" s="260">
        <f>+X1420+Y1420</f>
        <v>7489.71</v>
      </c>
      <c r="AA1420" s="3344">
        <v>862.88</v>
      </c>
      <c r="AB1420" s="250">
        <f>+Z1420+AA1420</f>
        <v>8352.59</v>
      </c>
      <c r="AC1420" s="3344">
        <v>808.89999999999986</v>
      </c>
      <c r="AD1420" s="259">
        <f t="shared" ref="AD1420" si="3543">+Y1420+AA1420+AC1420</f>
        <v>2779.0599999999995</v>
      </c>
      <c r="AE1420" s="2155">
        <f>+W1420+AD1420</f>
        <v>5989.7899999999991</v>
      </c>
      <c r="AF1420" s="250">
        <f>+AB1420+AC1420</f>
        <v>9161.49</v>
      </c>
    </row>
    <row r="1421" spans="3:32" ht="29" thickBot="1" x14ac:dyDescent="0.3">
      <c r="C1421" s="509"/>
      <c r="D1421" s="752"/>
      <c r="E1421" s="2849" t="s">
        <v>1271</v>
      </c>
      <c r="F1421" s="3694">
        <f t="shared" ref="F1421:G1421" si="3544">+F1417+F1418+F1419</f>
        <v>0.48187499999999994</v>
      </c>
      <c r="G1421" s="3694">
        <f t="shared" si="3544"/>
        <v>0.75452956989247322</v>
      </c>
      <c r="H1421" s="3693">
        <f t="shared" ref="H1421:AB1421" si="3545">+H1417+H1418+H1419</f>
        <v>0.62043715846994529</v>
      </c>
      <c r="I1421" s="3694">
        <f t="shared" si="3545"/>
        <v>1.1512777777777778</v>
      </c>
      <c r="J1421" s="3693">
        <f t="shared" si="3545"/>
        <v>0.79543956043956032</v>
      </c>
      <c r="K1421" s="3694">
        <f t="shared" si="3545"/>
        <v>0.75452956989247322</v>
      </c>
      <c r="L1421" s="3693">
        <f t="shared" si="3545"/>
        <v>0.78504439890710387</v>
      </c>
      <c r="M1421" s="3694">
        <f t="shared" ref="M1421:O1421" si="3546">+M1417+M1418+M1419</f>
        <v>1.0779849462365592</v>
      </c>
      <c r="N1421" s="2834">
        <f t="shared" si="3545"/>
        <v>0.84439836601307183</v>
      </c>
      <c r="O1421" s="3694">
        <f t="shared" si="3546"/>
        <v>1.0615972222222223</v>
      </c>
      <c r="P1421" s="2867">
        <f t="shared" si="3545"/>
        <v>0.9636507246376812</v>
      </c>
      <c r="Q1421" s="3083">
        <f t="shared" si="3545"/>
        <v>0.88000473588342432</v>
      </c>
      <c r="R1421" s="3694">
        <f t="shared" si="3545"/>
        <v>1.0358198924731181</v>
      </c>
      <c r="S1421" s="2834">
        <f t="shared" si="3545"/>
        <v>0.90257609034267905</v>
      </c>
      <c r="T1421" s="3694">
        <f t="shared" si="3545"/>
        <v>1.1882655555555557</v>
      </c>
      <c r="U1421" s="2834">
        <f t="shared" si="3545"/>
        <v>0.93770184426229508</v>
      </c>
      <c r="V1421" s="3694">
        <f t="shared" ref="V1421" si="3547">+V1417+V1418+V1419</f>
        <v>1.3253860215053763</v>
      </c>
      <c r="W1421" s="2867">
        <f t="shared" si="3545"/>
        <v>1.1831016304347826</v>
      </c>
      <c r="X1421" s="2834">
        <f t="shared" si="3545"/>
        <v>0.98140442424242424</v>
      </c>
      <c r="Y1421" s="3694">
        <f t="shared" si="3545"/>
        <v>1.222956989247312</v>
      </c>
      <c r="Z1421" s="2834">
        <f t="shared" si="3545"/>
        <v>1.0058754357298474</v>
      </c>
      <c r="AA1421" s="3694">
        <f t="shared" ref="AA1421" si="3548">+AA1417+AA1418+AA1419</f>
        <v>1.096566091954023</v>
      </c>
      <c r="AB1421" s="2834">
        <f t="shared" si="3545"/>
        <v>1.0137262686567163</v>
      </c>
      <c r="AC1421" s="3694">
        <f t="shared" ref="AC1421" si="3549">+AC1417+AC1418+AC1419</f>
        <v>1.1898440860215054</v>
      </c>
      <c r="AD1421" s="2867">
        <f t="shared" ref="AD1421:AF1421" si="3550">+AD1417+AD1418+AD1419</f>
        <v>1.1844138888888889</v>
      </c>
      <c r="AE1421" s="3083">
        <f t="shared" si="3550"/>
        <v>1.1837505494505494</v>
      </c>
      <c r="AF1421" s="2834">
        <f t="shared" si="3550"/>
        <v>1.0286433515482694</v>
      </c>
    </row>
    <row r="1422" spans="3:32" ht="39.75" customHeight="1" thickTop="1" thickBot="1" x14ac:dyDescent="0.3">
      <c r="E1422" s="2767" t="s">
        <v>1342</v>
      </c>
      <c r="F1422" s="2325"/>
      <c r="G1422" s="2325"/>
      <c r="H1422" s="3695"/>
      <c r="I1422" s="2325"/>
      <c r="J1422" s="3695"/>
      <c r="K1422" s="2325"/>
      <c r="L1422" s="3695"/>
      <c r="M1422" s="2325"/>
      <c r="N1422" s="2768"/>
      <c r="O1422" s="2325"/>
      <c r="P1422" s="2769"/>
      <c r="Q1422" s="2769"/>
      <c r="R1422" s="2325"/>
      <c r="S1422" s="2769"/>
      <c r="T1422" s="2325"/>
      <c r="U1422" s="2769"/>
      <c r="V1422" s="2325"/>
      <c r="W1422" s="2325"/>
      <c r="X1422" s="2325"/>
      <c r="Y1422" s="2325"/>
      <c r="Z1422" s="2769"/>
      <c r="AA1422" s="2325"/>
      <c r="AB1422" s="2325"/>
      <c r="AC1422" s="2325"/>
      <c r="AD1422" s="2769"/>
      <c r="AE1422" s="2769"/>
      <c r="AF1422" s="2769"/>
    </row>
    <row r="1423" spans="3:32" ht="45" x14ac:dyDescent="0.45">
      <c r="E1423" s="762" t="s">
        <v>524</v>
      </c>
      <c r="F1423" s="2274" t="s">
        <v>9</v>
      </c>
      <c r="G1423" s="2274" t="s">
        <v>51</v>
      </c>
      <c r="H1423" s="3696" t="s">
        <v>52</v>
      </c>
      <c r="I1423" s="2274" t="s">
        <v>1073</v>
      </c>
      <c r="J1423" s="3696" t="s">
        <v>60</v>
      </c>
      <c r="K1423" s="2274" t="s">
        <v>2117</v>
      </c>
      <c r="L1423" s="3696" t="s">
        <v>62</v>
      </c>
      <c r="M1423" s="2274" t="s">
        <v>63</v>
      </c>
      <c r="N1423" s="457" t="s">
        <v>64</v>
      </c>
      <c r="O1423" s="2274" t="s">
        <v>65</v>
      </c>
      <c r="P1423" s="137" t="s">
        <v>66</v>
      </c>
      <c r="Q1423" s="2182" t="s">
        <v>82</v>
      </c>
      <c r="R1423" s="2274" t="s">
        <v>100</v>
      </c>
      <c r="S1423" s="457" t="s">
        <v>101</v>
      </c>
      <c r="T1423" s="2274" t="s">
        <v>104</v>
      </c>
      <c r="U1423" s="457" t="s">
        <v>105</v>
      </c>
      <c r="V1423" s="2274" t="s">
        <v>106</v>
      </c>
      <c r="W1423" s="1215" t="s">
        <v>107</v>
      </c>
      <c r="X1423" s="138" t="s">
        <v>108</v>
      </c>
      <c r="Y1423" s="2274" t="s">
        <v>109</v>
      </c>
      <c r="Z1423" s="457" t="s">
        <v>110</v>
      </c>
      <c r="AA1423" s="2274" t="s">
        <v>112</v>
      </c>
      <c r="AB1423" s="457" t="s">
        <v>113</v>
      </c>
      <c r="AC1423" s="2274" t="s">
        <v>114</v>
      </c>
      <c r="AD1423" s="1075" t="s">
        <v>115</v>
      </c>
      <c r="AE1423" s="1394" t="s">
        <v>116</v>
      </c>
      <c r="AF1423" s="1025" t="s">
        <v>117</v>
      </c>
    </row>
    <row r="1424" spans="3:32" ht="30" x14ac:dyDescent="0.3">
      <c r="E1424" s="760" t="s">
        <v>523</v>
      </c>
      <c r="F1424" s="756"/>
      <c r="G1424" s="756"/>
      <c r="H1424" s="3697"/>
      <c r="I1424" s="756"/>
      <c r="J1424" s="3697"/>
      <c r="K1424" s="756"/>
      <c r="L1424" s="3697"/>
      <c r="M1424" s="756"/>
      <c r="N1424" s="756"/>
      <c r="O1424" s="756"/>
      <c r="P1424" s="756"/>
      <c r="Q1424" s="756"/>
      <c r="R1424" s="756"/>
      <c r="S1424" s="756"/>
      <c r="T1424" s="756"/>
      <c r="U1424" s="756"/>
      <c r="V1424" s="756"/>
      <c r="W1424" s="756"/>
      <c r="X1424" s="756"/>
      <c r="Y1424" s="756"/>
      <c r="Z1424" s="756"/>
      <c r="AA1424" s="756"/>
      <c r="AB1424" s="756"/>
      <c r="AC1424" s="756"/>
      <c r="AD1424" s="756"/>
      <c r="AE1424" s="756"/>
      <c r="AF1424" s="1253"/>
    </row>
    <row r="1425" spans="5:32" ht="33" x14ac:dyDescent="0.3">
      <c r="E1425" s="757" t="s">
        <v>520</v>
      </c>
      <c r="F1425" s="3934">
        <v>29290499.99999997</v>
      </c>
      <c r="G1425" s="3934">
        <v>29010500</v>
      </c>
      <c r="H1425" s="360">
        <f>SUM(F1425:G1425)</f>
        <v>58300999.99999997</v>
      </c>
      <c r="I1425" s="3934">
        <v>29720000</v>
      </c>
      <c r="J1425" s="361">
        <f>SUM(H1425:I1425)</f>
        <v>88020999.99999997</v>
      </c>
      <c r="K1425" s="3934"/>
      <c r="L1425" s="360">
        <f>SUM(J1425:K1425)</f>
        <v>88020999.99999997</v>
      </c>
      <c r="M1425" s="3934">
        <v>35208800</v>
      </c>
      <c r="N1425" s="2081">
        <f>SUM(L1425:M1425)</f>
        <v>123229799.99999997</v>
      </c>
      <c r="O1425" s="3934">
        <v>30842200</v>
      </c>
      <c r="P1425" s="361">
        <f>+Q1425-J1425</f>
        <v>66051000</v>
      </c>
      <c r="Q1425" s="362">
        <f>+N1425+O1425</f>
        <v>154071999.99999997</v>
      </c>
      <c r="R1425" s="3934">
        <v>32606400</v>
      </c>
      <c r="S1425" s="252">
        <f>SUM(Q1425:R1425)</f>
        <v>186678399.99999997</v>
      </c>
      <c r="T1425" s="3934">
        <v>32818500</v>
      </c>
      <c r="U1425" s="252">
        <f>SUM(S1425:T1425)</f>
        <v>219496899.99999997</v>
      </c>
      <c r="V1425" s="3934">
        <v>36033799.999999985</v>
      </c>
      <c r="W1425" s="313">
        <f>+R1425+T1425+V1425</f>
        <v>101458699.99999999</v>
      </c>
      <c r="X1425" s="360">
        <f>+U1425+V1425</f>
        <v>255530699.99999994</v>
      </c>
      <c r="Y1425" s="3934">
        <v>34972000</v>
      </c>
      <c r="Z1425" s="252">
        <f>SUM(X1425:Y1425)</f>
        <v>290502699.99999994</v>
      </c>
      <c r="AA1425" s="3934">
        <v>32510400</v>
      </c>
      <c r="AB1425" s="360">
        <f>SUM(Z1425:AA1425)</f>
        <v>323013099.99999994</v>
      </c>
      <c r="AC1425" s="3934">
        <v>32012400</v>
      </c>
      <c r="AD1425" s="713">
        <f t="shared" ref="AD1425:AD1427" si="3551">+Y1425+AA1425+AC1425</f>
        <v>99494800</v>
      </c>
      <c r="AE1425" s="1290">
        <f t="shared" ref="AE1425:AE1427" si="3552">+W1425+AD1425</f>
        <v>200953500</v>
      </c>
      <c r="AF1425" s="712">
        <f t="shared" ref="AF1425:AF1427" si="3553">+AB1425+AC1425</f>
        <v>355025499.99999994</v>
      </c>
    </row>
    <row r="1426" spans="5:32" ht="33" x14ac:dyDescent="0.3">
      <c r="E1426" s="757" t="s">
        <v>521</v>
      </c>
      <c r="F1426" s="3934">
        <v>514390</v>
      </c>
      <c r="G1426" s="3934">
        <v>517460.00000000029</v>
      </c>
      <c r="H1426" s="252">
        <f t="shared" ref="H1426:H1427" si="3554">SUM(F1426:G1426)</f>
        <v>1031850.0000000002</v>
      </c>
      <c r="I1426" s="3934">
        <v>518389.99999999942</v>
      </c>
      <c r="J1426" s="251">
        <f t="shared" ref="J1426:J1427" si="3555">SUM(H1426:I1426)</f>
        <v>1550239.9999999995</v>
      </c>
      <c r="K1426" s="3934"/>
      <c r="L1426" s="252">
        <f t="shared" ref="L1426:L1427" si="3556">SUM(J1426:K1426)</f>
        <v>1550239.9999999995</v>
      </c>
      <c r="M1426" s="3934">
        <v>573269.9999999986</v>
      </c>
      <c r="N1426" s="2082">
        <f t="shared" ref="N1426:N1427" si="3557">SUM(L1426:M1426)</f>
        <v>2123509.9999999981</v>
      </c>
      <c r="O1426" s="3934">
        <v>530060.0000000014</v>
      </c>
      <c r="P1426" s="361">
        <f t="shared" ref="P1426:P1427" si="3558">+Q1426-J1426</f>
        <v>1103330</v>
      </c>
      <c r="Q1426" s="362">
        <f t="shared" ref="Q1426:Q1427" si="3559">+N1426+O1426</f>
        <v>2653569.9999999995</v>
      </c>
      <c r="R1426" s="3934">
        <v>564569.99999999977</v>
      </c>
      <c r="S1426" s="252">
        <f t="shared" ref="S1426:U1427" si="3560">SUM(Q1426:R1426)</f>
        <v>3218139.9999999991</v>
      </c>
      <c r="T1426" s="3934">
        <v>547650.0000000014</v>
      </c>
      <c r="U1426" s="252">
        <f t="shared" si="3560"/>
        <v>3765790.0000000005</v>
      </c>
      <c r="V1426" s="3934">
        <v>550510.00000000023</v>
      </c>
      <c r="W1426" s="313">
        <f t="shared" ref="W1426:W1427" si="3561">+R1426+T1426+V1426</f>
        <v>1662730.0000000014</v>
      </c>
      <c r="X1426" s="360">
        <f t="shared" ref="X1426:X1427" si="3562">+U1426+V1426</f>
        <v>4316300.0000000009</v>
      </c>
      <c r="Y1426" s="3934">
        <v>547080</v>
      </c>
      <c r="Z1426" s="252">
        <f t="shared" ref="Z1426:AB1427" si="3563">SUM(X1426:Y1426)</f>
        <v>4863380.0000000009</v>
      </c>
      <c r="AA1426" s="3934">
        <v>524439.99999999977</v>
      </c>
      <c r="AB1426" s="360">
        <f t="shared" si="3563"/>
        <v>5387820.0000000009</v>
      </c>
      <c r="AC1426" s="3934">
        <v>553779.99999999977</v>
      </c>
      <c r="AD1426" s="713">
        <f t="shared" si="3551"/>
        <v>1625299.9999999995</v>
      </c>
      <c r="AE1426" s="1290">
        <f t="shared" si="3552"/>
        <v>3288030.0000000009</v>
      </c>
      <c r="AF1426" s="712">
        <f t="shared" si="3553"/>
        <v>5941600.0000000009</v>
      </c>
    </row>
    <row r="1427" spans="5:32" ht="34" thickBot="1" x14ac:dyDescent="0.35">
      <c r="E1427" s="761" t="s">
        <v>522</v>
      </c>
      <c r="F1427" s="3937">
        <v>56402000</v>
      </c>
      <c r="G1427" s="3937">
        <v>65310000</v>
      </c>
      <c r="H1427" s="595">
        <f t="shared" si="3554"/>
        <v>121712000</v>
      </c>
      <c r="I1427" s="3937">
        <v>65253000</v>
      </c>
      <c r="J1427" s="1173">
        <f t="shared" si="3555"/>
        <v>186965000</v>
      </c>
      <c r="K1427" s="3937"/>
      <c r="L1427" s="595">
        <f t="shared" si="3556"/>
        <v>186965000</v>
      </c>
      <c r="M1427" s="3937">
        <v>74484000</v>
      </c>
      <c r="N1427" s="2083">
        <f t="shared" si="3557"/>
        <v>261449000</v>
      </c>
      <c r="O1427" s="3937">
        <v>64565000</v>
      </c>
      <c r="P1427" s="452">
        <f t="shared" si="3558"/>
        <v>139049000</v>
      </c>
      <c r="Q1427" s="2181">
        <f t="shared" si="3559"/>
        <v>326014000</v>
      </c>
      <c r="R1427" s="3937">
        <v>70072000</v>
      </c>
      <c r="S1427" s="595">
        <f t="shared" si="3560"/>
        <v>396086000</v>
      </c>
      <c r="T1427" s="3937">
        <v>66980000</v>
      </c>
      <c r="U1427" s="595">
        <f t="shared" si="3560"/>
        <v>463066000</v>
      </c>
      <c r="V1427" s="3937">
        <v>68647000</v>
      </c>
      <c r="W1427" s="401">
        <f t="shared" si="3561"/>
        <v>205699000</v>
      </c>
      <c r="X1427" s="451">
        <f t="shared" si="3562"/>
        <v>531713000</v>
      </c>
      <c r="Y1427" s="3937">
        <v>69754000</v>
      </c>
      <c r="Z1427" s="595">
        <f t="shared" si="3563"/>
        <v>601467000</v>
      </c>
      <c r="AA1427" s="3937">
        <v>67952000</v>
      </c>
      <c r="AB1427" s="451">
        <f t="shared" si="3563"/>
        <v>669419000</v>
      </c>
      <c r="AC1427" s="3937">
        <v>71577000</v>
      </c>
      <c r="AD1427" s="874">
        <f t="shared" si="3551"/>
        <v>209283000</v>
      </c>
      <c r="AE1427" s="1295">
        <f t="shared" si="3552"/>
        <v>414982000</v>
      </c>
      <c r="AF1427" s="1427">
        <f t="shared" si="3553"/>
        <v>740996000</v>
      </c>
    </row>
    <row r="1428" spans="5:32" ht="34" thickBot="1" x14ac:dyDescent="0.35">
      <c r="E1428" s="755" t="s">
        <v>1055</v>
      </c>
      <c r="F1428" s="1845">
        <f t="shared" ref="F1428:G1428" si="3564">SUM(F1425:F1427)</f>
        <v>86206889.99999997</v>
      </c>
      <c r="G1428" s="1845">
        <f t="shared" si="3564"/>
        <v>94837960</v>
      </c>
      <c r="H1428" s="1922">
        <f t="shared" ref="H1428:N1428" si="3565">SUM(H1425:H1427)</f>
        <v>181044849.99999997</v>
      </c>
      <c r="I1428" s="1845">
        <f t="shared" si="3565"/>
        <v>95491390</v>
      </c>
      <c r="J1428" s="456">
        <f t="shared" si="3565"/>
        <v>276536240</v>
      </c>
      <c r="K1428" s="1845">
        <f t="shared" si="3565"/>
        <v>0</v>
      </c>
      <c r="L1428" s="1922">
        <f t="shared" si="3565"/>
        <v>276536240</v>
      </c>
      <c r="M1428" s="1845">
        <f t="shared" ref="M1428:O1428" si="3566">SUM(M1425:M1427)</f>
        <v>110266070</v>
      </c>
      <c r="N1428" s="1922">
        <f t="shared" si="3565"/>
        <v>386802310</v>
      </c>
      <c r="O1428" s="1845">
        <f t="shared" si="3566"/>
        <v>95937260</v>
      </c>
      <c r="P1428" s="1943">
        <f t="shared" ref="P1428:U1428" si="3567">SUM(P1425:P1427)</f>
        <v>206203330</v>
      </c>
      <c r="Q1428" s="1278">
        <f t="shared" si="3567"/>
        <v>482739570</v>
      </c>
      <c r="R1428" s="1845">
        <f t="shared" si="3567"/>
        <v>103242970</v>
      </c>
      <c r="S1428" s="1922">
        <f t="shared" si="3567"/>
        <v>585982540</v>
      </c>
      <c r="T1428" s="1845">
        <f t="shared" si="3567"/>
        <v>100346150</v>
      </c>
      <c r="U1428" s="1922">
        <f t="shared" si="3567"/>
        <v>686328690</v>
      </c>
      <c r="V1428" s="1845">
        <f t="shared" ref="V1428" si="3568">SUM(V1425:V1427)</f>
        <v>105231309.99999999</v>
      </c>
      <c r="W1428" s="557">
        <f>SUM(W1425:W1427)</f>
        <v>308820430</v>
      </c>
      <c r="X1428" s="1922">
        <f>SUM(X1425:X1427)</f>
        <v>791560000</v>
      </c>
      <c r="Y1428" s="1845">
        <f t="shared" ref="Y1428" si="3569">SUM(Y1425:Y1427)</f>
        <v>105273080</v>
      </c>
      <c r="Z1428" s="1922">
        <f>SUM(Z1425:Z1427)</f>
        <v>896833080</v>
      </c>
      <c r="AA1428" s="1845">
        <f t="shared" ref="AA1428" si="3570">SUM(AA1425:AA1427)</f>
        <v>100986840</v>
      </c>
      <c r="AB1428" s="1922">
        <f>SUM(AB1425:AB1427)</f>
        <v>997819920</v>
      </c>
      <c r="AC1428" s="1845">
        <f t="shared" ref="AC1428" si="3571">SUM(AC1425:AC1427)</f>
        <v>104143180</v>
      </c>
      <c r="AD1428" s="704">
        <f>SUM(AD1425:AD1427)</f>
        <v>310403100</v>
      </c>
      <c r="AE1428" s="1294">
        <f>SUM(AE1425:AE1427)</f>
        <v>619223530</v>
      </c>
      <c r="AF1428" s="1466">
        <f>SUM(AF1425:AF1427)</f>
        <v>1101963100</v>
      </c>
    </row>
    <row r="1429" spans="5:32" ht="45" x14ac:dyDescent="0.45">
      <c r="E1429" s="762" t="s">
        <v>525</v>
      </c>
      <c r="F1429" s="139" t="s">
        <v>9</v>
      </c>
      <c r="G1429" s="139" t="s">
        <v>51</v>
      </c>
      <c r="H1429" s="3696" t="s">
        <v>52</v>
      </c>
      <c r="I1429" s="139" t="s">
        <v>1073</v>
      </c>
      <c r="J1429" s="3696" t="s">
        <v>60</v>
      </c>
      <c r="K1429" s="139" t="s">
        <v>2117</v>
      </c>
      <c r="L1429" s="3696" t="s">
        <v>62</v>
      </c>
      <c r="M1429" s="139" t="s">
        <v>63</v>
      </c>
      <c r="N1429" s="457" t="s">
        <v>64</v>
      </c>
      <c r="O1429" s="139" t="s">
        <v>65</v>
      </c>
      <c r="P1429" s="137" t="s">
        <v>66</v>
      </c>
      <c r="Q1429" s="2182" t="s">
        <v>82</v>
      </c>
      <c r="R1429" s="139" t="s">
        <v>100</v>
      </c>
      <c r="S1429" s="457" t="s">
        <v>101</v>
      </c>
      <c r="T1429" s="139" t="s">
        <v>104</v>
      </c>
      <c r="U1429" s="457" t="s">
        <v>105</v>
      </c>
      <c r="V1429" s="139" t="s">
        <v>106</v>
      </c>
      <c r="W1429" s="1215" t="s">
        <v>107</v>
      </c>
      <c r="X1429" s="138" t="s">
        <v>108</v>
      </c>
      <c r="Y1429" s="139" t="s">
        <v>109</v>
      </c>
      <c r="Z1429" s="457" t="s">
        <v>110</v>
      </c>
      <c r="AA1429" s="139" t="s">
        <v>112</v>
      </c>
      <c r="AB1429" s="457" t="s">
        <v>113</v>
      </c>
      <c r="AC1429" s="139" t="s">
        <v>114</v>
      </c>
      <c r="AD1429" s="1075" t="s">
        <v>115</v>
      </c>
      <c r="AE1429" s="1394" t="s">
        <v>116</v>
      </c>
      <c r="AF1429" s="1025" t="s">
        <v>117</v>
      </c>
    </row>
    <row r="1430" spans="5:32" ht="33" customHeight="1" x14ac:dyDescent="0.3">
      <c r="E1430" s="760" t="s">
        <v>523</v>
      </c>
      <c r="F1430" s="756"/>
      <c r="G1430" s="756"/>
      <c r="H1430" s="3682"/>
      <c r="I1430" s="756"/>
      <c r="J1430" s="3684"/>
      <c r="K1430" s="756"/>
      <c r="L1430" s="3684"/>
      <c r="M1430" s="756"/>
      <c r="N1430" s="756"/>
      <c r="O1430" s="756"/>
      <c r="P1430" s="368"/>
      <c r="Q1430" s="366"/>
      <c r="R1430" s="756"/>
      <c r="S1430" s="756"/>
      <c r="T1430" s="756"/>
      <c r="U1430" s="756"/>
      <c r="V1430" s="756"/>
      <c r="W1430" s="368"/>
      <c r="X1430" s="366"/>
      <c r="Y1430" s="756"/>
      <c r="Z1430" s="756"/>
      <c r="AA1430" s="756"/>
      <c r="AB1430" s="756"/>
      <c r="AC1430" s="756"/>
      <c r="AD1430" s="756"/>
      <c r="AE1430" s="756"/>
      <c r="AF1430" s="1253"/>
    </row>
    <row r="1431" spans="5:32" ht="33" customHeight="1" x14ac:dyDescent="0.3">
      <c r="E1431" s="757" t="s">
        <v>527</v>
      </c>
      <c r="F1431" s="3327">
        <v>0</v>
      </c>
      <c r="G1431" s="3327">
        <v>0</v>
      </c>
      <c r="H1431" s="363">
        <f>SUM(F1431:G1431)</f>
        <v>0</v>
      </c>
      <c r="I1431" s="3327">
        <v>0</v>
      </c>
      <c r="J1431" s="313">
        <f>SUM(H1431:I1431)</f>
        <v>0</v>
      </c>
      <c r="K1431" s="3327">
        <v>0</v>
      </c>
      <c r="L1431" s="296">
        <f>SUM(J1431:K1431)</f>
        <v>0</v>
      </c>
      <c r="M1431" s="3327">
        <v>0</v>
      </c>
      <c r="N1431" s="2084">
        <f>SUM(L1431:M1431)</f>
        <v>0</v>
      </c>
      <c r="O1431" s="3327">
        <v>0</v>
      </c>
      <c r="P1431" s="304">
        <f t="shared" ref="P1431:P1433" si="3572">+Q1431-J1431</f>
        <v>0</v>
      </c>
      <c r="Q1431" s="241">
        <f t="shared" ref="Q1431:Q1433" si="3573">+N1431+O1431</f>
        <v>0</v>
      </c>
      <c r="R1431" s="3327">
        <v>0</v>
      </c>
      <c r="S1431" s="296">
        <f>SUM(Q1431:R1431)</f>
        <v>0</v>
      </c>
      <c r="T1431" s="3327">
        <v>0</v>
      </c>
      <c r="U1431" s="296">
        <f>SUM(S1431:T1431)</f>
        <v>0</v>
      </c>
      <c r="V1431" s="3327">
        <v>0</v>
      </c>
      <c r="W1431" s="313">
        <f t="shared" ref="W1431:W1433" si="3574">+R1431+T1431+V1431</f>
        <v>0</v>
      </c>
      <c r="X1431" s="363">
        <f t="shared" ref="X1431:X1433" si="3575">+U1431+V1431</f>
        <v>0</v>
      </c>
      <c r="Y1431" s="3327">
        <v>0</v>
      </c>
      <c r="Z1431" s="296">
        <f>SUM(X1431:Y1431)</f>
        <v>0</v>
      </c>
      <c r="AA1431" s="3327">
        <v>0</v>
      </c>
      <c r="AB1431" s="363">
        <f>SUM(Z1431:AA1431)</f>
        <v>0</v>
      </c>
      <c r="AC1431" s="3327">
        <v>0</v>
      </c>
      <c r="AD1431" s="713">
        <f t="shared" ref="AD1431:AD1433" si="3576">+Y1431+AA1431+AC1431</f>
        <v>0</v>
      </c>
      <c r="AE1431" s="1290">
        <f t="shared" ref="AE1431:AE1432" si="3577">+W1431+AD1431</f>
        <v>0</v>
      </c>
      <c r="AF1431" s="712">
        <f t="shared" ref="AF1431:AF1432" si="3578">+AB1431+AC1431</f>
        <v>0</v>
      </c>
    </row>
    <row r="1432" spans="5:32" ht="33" x14ac:dyDescent="0.3">
      <c r="E1432" s="758" t="s">
        <v>598</v>
      </c>
      <c r="F1432" s="3327">
        <v>3137000</v>
      </c>
      <c r="G1432" s="3327">
        <v>766000</v>
      </c>
      <c r="H1432" s="296">
        <f t="shared" ref="H1432" si="3579">SUM(F1432:G1432)</f>
        <v>3903000</v>
      </c>
      <c r="I1432" s="3327">
        <v>2011700</v>
      </c>
      <c r="J1432" s="313">
        <f t="shared" ref="J1432" si="3580">SUM(H1432:I1432)</f>
        <v>5914700</v>
      </c>
      <c r="K1432" s="3327">
        <v>4339400</v>
      </c>
      <c r="L1432" s="296">
        <f>SUM(J1432:K1432)</f>
        <v>10254100</v>
      </c>
      <c r="M1432" s="3327">
        <v>3311528</v>
      </c>
      <c r="N1432" s="2084">
        <f>SUM(L1432:M1432)</f>
        <v>13565628</v>
      </c>
      <c r="O1432" s="3327">
        <v>3538428</v>
      </c>
      <c r="P1432" s="304">
        <f t="shared" si="3572"/>
        <v>11189356</v>
      </c>
      <c r="Q1432" s="241">
        <f t="shared" si="3573"/>
        <v>17104056</v>
      </c>
      <c r="R1432" s="3327">
        <v>2969600</v>
      </c>
      <c r="S1432" s="296">
        <f t="shared" ref="S1432:U1432" si="3581">SUM(Q1432:R1432)</f>
        <v>20073656</v>
      </c>
      <c r="T1432" s="3327">
        <v>2619700</v>
      </c>
      <c r="U1432" s="296">
        <f t="shared" si="3581"/>
        <v>22693356</v>
      </c>
      <c r="V1432" s="3327">
        <v>3022100</v>
      </c>
      <c r="W1432" s="313">
        <f t="shared" si="3574"/>
        <v>8611400</v>
      </c>
      <c r="X1432" s="363">
        <f t="shared" si="3575"/>
        <v>25715456</v>
      </c>
      <c r="Y1432" s="3327">
        <v>3415600</v>
      </c>
      <c r="Z1432" s="296">
        <f t="shared" ref="Z1432:AB1432" si="3582">SUM(X1432:Y1432)</f>
        <v>29131056</v>
      </c>
      <c r="AA1432" s="3327">
        <v>3072400</v>
      </c>
      <c r="AB1432" s="296">
        <f t="shared" si="3582"/>
        <v>32203456</v>
      </c>
      <c r="AC1432" s="3327">
        <v>2882500</v>
      </c>
      <c r="AD1432" s="713">
        <f t="shared" si="3576"/>
        <v>9370500</v>
      </c>
      <c r="AE1432" s="1290">
        <f t="shared" si="3577"/>
        <v>17981900</v>
      </c>
      <c r="AF1432" s="712">
        <f t="shared" si="3578"/>
        <v>35085956</v>
      </c>
    </row>
    <row r="1433" spans="5:32" ht="34" thickBot="1" x14ac:dyDescent="0.35">
      <c r="E1433" s="759" t="s">
        <v>1088</v>
      </c>
      <c r="F1433" s="3328">
        <v>2377859</v>
      </c>
      <c r="G1433" s="3328">
        <v>2582697</v>
      </c>
      <c r="H1433" s="296">
        <f>SUM(F1433:G1433)</f>
        <v>4960556</v>
      </c>
      <c r="I1433" s="3328">
        <v>2411756</v>
      </c>
      <c r="J1433" s="313">
        <f>SUM(H1433:I1433)</f>
        <v>7372312</v>
      </c>
      <c r="K1433" s="3328">
        <v>2158961</v>
      </c>
      <c r="L1433" s="296">
        <f>SUM(J1433:K1433)</f>
        <v>9531273</v>
      </c>
      <c r="M1433" s="3328">
        <v>3315723</v>
      </c>
      <c r="N1433" s="2084">
        <f>SUM(L1433:M1433)</f>
        <v>12846996</v>
      </c>
      <c r="O1433" s="3328">
        <v>3157981</v>
      </c>
      <c r="P1433" s="304">
        <f t="shared" si="3572"/>
        <v>8632665</v>
      </c>
      <c r="Q1433" s="241">
        <f t="shared" si="3573"/>
        <v>16004977</v>
      </c>
      <c r="R1433" s="3328">
        <v>2846719</v>
      </c>
      <c r="S1433" s="296">
        <f>SUM(Q1433:R1433)</f>
        <v>18851696</v>
      </c>
      <c r="T1433" s="3328">
        <v>2446660</v>
      </c>
      <c r="U1433" s="296">
        <f>SUM(S1433:T1433)</f>
        <v>21298356</v>
      </c>
      <c r="V1433" s="3328">
        <v>2453040</v>
      </c>
      <c r="W1433" s="313">
        <f t="shared" si="3574"/>
        <v>7746419</v>
      </c>
      <c r="X1433" s="363">
        <f t="shared" si="3575"/>
        <v>23751396</v>
      </c>
      <c r="Y1433" s="3328">
        <v>2400322</v>
      </c>
      <c r="Z1433" s="296">
        <f>SUM(X1433:Y1433)</f>
        <v>26151718</v>
      </c>
      <c r="AA1433" s="3328">
        <v>2279878</v>
      </c>
      <c r="AB1433" s="363">
        <f>SUM(Z1433:AA1433)</f>
        <v>28431596</v>
      </c>
      <c r="AC1433" s="3328">
        <v>2647544</v>
      </c>
      <c r="AD1433" s="713">
        <f t="shared" si="3576"/>
        <v>7327744</v>
      </c>
      <c r="AE1433" s="1290">
        <f t="shared" ref="AE1433" si="3583">+W1433+AD1433</f>
        <v>15074163</v>
      </c>
      <c r="AF1433" s="712">
        <f t="shared" ref="AF1433" si="3584">+AB1433+AC1433</f>
        <v>31079140</v>
      </c>
    </row>
    <row r="1434" spans="5:32" ht="34" thickBot="1" x14ac:dyDescent="0.35">
      <c r="E1434" s="755" t="s">
        <v>1055</v>
      </c>
      <c r="F1434" s="1845">
        <f t="shared" ref="F1434:G1434" si="3585">SUM(F1431:F1433)</f>
        <v>5514859</v>
      </c>
      <c r="G1434" s="1845">
        <f t="shared" si="3585"/>
        <v>3348697</v>
      </c>
      <c r="H1434" s="1922">
        <f t="shared" ref="H1434:N1434" si="3586">SUM(H1431:H1433)</f>
        <v>8863556</v>
      </c>
      <c r="I1434" s="1845">
        <f t="shared" si="3586"/>
        <v>4423456</v>
      </c>
      <c r="J1434" s="1943">
        <f t="shared" si="3586"/>
        <v>13287012</v>
      </c>
      <c r="K1434" s="1845">
        <f t="shared" si="3586"/>
        <v>6498361</v>
      </c>
      <c r="L1434" s="1922">
        <f t="shared" si="3586"/>
        <v>19785373</v>
      </c>
      <c r="M1434" s="1845">
        <f t="shared" ref="M1434:O1434" si="3587">SUM(M1431:M1433)</f>
        <v>6627251</v>
      </c>
      <c r="N1434" s="1922">
        <f t="shared" si="3586"/>
        <v>26412624</v>
      </c>
      <c r="O1434" s="1845">
        <f t="shared" si="3587"/>
        <v>6696409</v>
      </c>
      <c r="P1434" s="557">
        <f>SUM(P1431:P1433)</f>
        <v>19822021</v>
      </c>
      <c r="Q1434" s="763">
        <f>SUM(Q1431:Q1433)</f>
        <v>33109033</v>
      </c>
      <c r="R1434" s="1845">
        <f t="shared" ref="R1434" si="3588">SUM(R1431:R1433)</f>
        <v>5816319</v>
      </c>
      <c r="S1434" s="1922">
        <f t="shared" ref="S1434:V1434" si="3589">SUM(S1431:S1433)</f>
        <v>38925352</v>
      </c>
      <c r="T1434" s="1845">
        <f t="shared" si="3589"/>
        <v>5066360</v>
      </c>
      <c r="U1434" s="1922">
        <f t="shared" si="3589"/>
        <v>43991712</v>
      </c>
      <c r="V1434" s="1845">
        <f t="shared" si="3589"/>
        <v>5475140</v>
      </c>
      <c r="W1434" s="557">
        <f>SUM(W1431:W1433)</f>
        <v>16357819</v>
      </c>
      <c r="X1434" s="523">
        <f>SUM(X1431:X1433)</f>
        <v>49466852</v>
      </c>
      <c r="Y1434" s="1845">
        <f t="shared" ref="Y1434" si="3590">SUM(Y1431:Y1433)</f>
        <v>5815922</v>
      </c>
      <c r="Z1434" s="1922">
        <f>SUM(Z1431:Z1433)</f>
        <v>55282774</v>
      </c>
      <c r="AA1434" s="1845">
        <f t="shared" ref="AA1434" si="3591">SUM(AA1431:AA1433)</f>
        <v>5352278</v>
      </c>
      <c r="AB1434" s="523">
        <f>SUM(AB1431:AB1433)</f>
        <v>60635052</v>
      </c>
      <c r="AC1434" s="1845">
        <f t="shared" ref="AC1434" si="3592">SUM(AC1431:AC1433)</f>
        <v>5530044</v>
      </c>
      <c r="AD1434" s="704">
        <f>SUM(AD1431:AD1433)</f>
        <v>16698244</v>
      </c>
      <c r="AE1434" s="775">
        <f>SUM(AE1431:AE1433)</f>
        <v>33056063</v>
      </c>
      <c r="AF1434" s="575">
        <f>SUM(AF1431:AF1433)</f>
        <v>66165096</v>
      </c>
    </row>
    <row r="1435" spans="5:32" ht="36" thickBot="1" x14ac:dyDescent="0.3">
      <c r="E1435" s="1276" t="s">
        <v>595</v>
      </c>
      <c r="F1435" s="3706" t="s">
        <v>9</v>
      </c>
      <c r="G1435" s="3706" t="s">
        <v>51</v>
      </c>
      <c r="H1435" s="3705" t="s">
        <v>52</v>
      </c>
      <c r="I1435" s="3706" t="s">
        <v>1073</v>
      </c>
      <c r="J1435" s="3705" t="s">
        <v>60</v>
      </c>
      <c r="K1435" s="3706" t="s">
        <v>2117</v>
      </c>
      <c r="L1435" s="3705" t="s">
        <v>62</v>
      </c>
      <c r="M1435" s="3706" t="s">
        <v>63</v>
      </c>
      <c r="N1435" s="3593" t="s">
        <v>64</v>
      </c>
      <c r="O1435" s="3706" t="s">
        <v>65</v>
      </c>
      <c r="P1435" s="3705" t="s">
        <v>66</v>
      </c>
      <c r="Q1435" s="3707" t="s">
        <v>82</v>
      </c>
      <c r="R1435" s="3706" t="s">
        <v>100</v>
      </c>
      <c r="S1435" s="3707" t="s">
        <v>101</v>
      </c>
      <c r="T1435" s="3706" t="s">
        <v>104</v>
      </c>
      <c r="U1435" s="3707" t="s">
        <v>105</v>
      </c>
      <c r="V1435" s="3706" t="s">
        <v>106</v>
      </c>
      <c r="W1435" s="3706" t="s">
        <v>107</v>
      </c>
      <c r="X1435" s="3705" t="s">
        <v>108</v>
      </c>
      <c r="Y1435" s="3706" t="s">
        <v>109</v>
      </c>
      <c r="Z1435" s="3707" t="s">
        <v>110</v>
      </c>
      <c r="AA1435" s="3706" t="s">
        <v>112</v>
      </c>
      <c r="AB1435" s="3705" t="s">
        <v>113</v>
      </c>
      <c r="AC1435" s="3706" t="s">
        <v>114</v>
      </c>
      <c r="AD1435" s="3705" t="s">
        <v>115</v>
      </c>
      <c r="AE1435" s="3706" t="s">
        <v>116</v>
      </c>
      <c r="AF1435" s="3705" t="s">
        <v>117</v>
      </c>
    </row>
    <row r="1436" spans="5:32" ht="28" x14ac:dyDescent="0.25">
      <c r="E1436" s="8435" t="s">
        <v>591</v>
      </c>
      <c r="F1436" s="1264" t="s">
        <v>597</v>
      </c>
      <c r="G1436" s="1264" t="s">
        <v>597</v>
      </c>
      <c r="H1436" s="3564" t="s">
        <v>597</v>
      </c>
      <c r="I1436" s="1264" t="s">
        <v>597</v>
      </c>
      <c r="J1436" s="3503" t="s">
        <v>597</v>
      </c>
      <c r="K1436" s="1264" t="s">
        <v>597</v>
      </c>
      <c r="L1436" s="3564" t="s">
        <v>597</v>
      </c>
      <c r="M1436" s="1264" t="s">
        <v>597</v>
      </c>
      <c r="N1436" s="1263" t="s">
        <v>597</v>
      </c>
      <c r="O1436" s="1264" t="s">
        <v>597</v>
      </c>
      <c r="P1436" s="1263" t="s">
        <v>597</v>
      </c>
      <c r="Q1436" s="2206" t="s">
        <v>597</v>
      </c>
      <c r="R1436" s="1264" t="s">
        <v>597</v>
      </c>
      <c r="S1436" s="2206" t="s">
        <v>597</v>
      </c>
      <c r="T1436" s="1264" t="s">
        <v>597</v>
      </c>
      <c r="U1436" s="2206" t="s">
        <v>597</v>
      </c>
      <c r="V1436" s="1264" t="s">
        <v>597</v>
      </c>
      <c r="W1436" s="1264" t="s">
        <v>597</v>
      </c>
      <c r="X1436" s="1263" t="s">
        <v>597</v>
      </c>
      <c r="Y1436" s="1264" t="s">
        <v>597</v>
      </c>
      <c r="Z1436" s="2206" t="s">
        <v>597</v>
      </c>
      <c r="AA1436" s="1264" t="s">
        <v>597</v>
      </c>
      <c r="AB1436" s="1263" t="s">
        <v>597</v>
      </c>
      <c r="AC1436" s="1264" t="s">
        <v>597</v>
      </c>
      <c r="AD1436" s="1467" t="s">
        <v>597</v>
      </c>
      <c r="AE1436" s="1467" t="s">
        <v>597</v>
      </c>
      <c r="AF1436" s="1467" t="s">
        <v>597</v>
      </c>
    </row>
    <row r="1437" spans="5:32" ht="28" x14ac:dyDescent="0.25">
      <c r="E1437" s="8436"/>
      <c r="F1437" s="1264" t="s">
        <v>596</v>
      </c>
      <c r="G1437" s="1264" t="s">
        <v>596</v>
      </c>
      <c r="H1437" s="3564" t="s">
        <v>596</v>
      </c>
      <c r="I1437" s="1264" t="s">
        <v>596</v>
      </c>
      <c r="J1437" s="3503" t="s">
        <v>596</v>
      </c>
      <c r="K1437" s="1264" t="s">
        <v>596</v>
      </c>
      <c r="L1437" s="3564" t="s">
        <v>596</v>
      </c>
      <c r="M1437" s="1264" t="s">
        <v>596</v>
      </c>
      <c r="N1437" s="1263" t="s">
        <v>596</v>
      </c>
      <c r="O1437" s="1264" t="s">
        <v>596</v>
      </c>
      <c r="P1437" s="1263" t="s">
        <v>596</v>
      </c>
      <c r="Q1437" s="2206" t="s">
        <v>596</v>
      </c>
      <c r="R1437" s="1264" t="s">
        <v>596</v>
      </c>
      <c r="S1437" s="2206" t="s">
        <v>596</v>
      </c>
      <c r="T1437" s="1264" t="s">
        <v>596</v>
      </c>
      <c r="U1437" s="2206" t="s">
        <v>596</v>
      </c>
      <c r="V1437" s="1264" t="s">
        <v>596</v>
      </c>
      <c r="W1437" s="1264" t="s">
        <v>596</v>
      </c>
      <c r="X1437" s="1263" t="s">
        <v>596</v>
      </c>
      <c r="Y1437" s="1264" t="s">
        <v>596</v>
      </c>
      <c r="Z1437" s="2206" t="s">
        <v>596</v>
      </c>
      <c r="AA1437" s="1264" t="s">
        <v>596</v>
      </c>
      <c r="AB1437" s="1263" t="s">
        <v>596</v>
      </c>
      <c r="AC1437" s="1264" t="s">
        <v>596</v>
      </c>
      <c r="AD1437" s="1263" t="s">
        <v>596</v>
      </c>
      <c r="AE1437" s="1263" t="s">
        <v>596</v>
      </c>
      <c r="AF1437" s="1263" t="s">
        <v>596</v>
      </c>
    </row>
    <row r="1438" spans="5:32" ht="29" thickBot="1" x14ac:dyDescent="0.3">
      <c r="E1438" s="1261"/>
      <c r="F1438" s="3800"/>
      <c r="G1438" s="3800"/>
      <c r="H1438" s="3708"/>
      <c r="I1438" s="3800"/>
      <c r="J1438" s="3708"/>
      <c r="K1438" s="3800"/>
      <c r="L1438" s="4928"/>
      <c r="M1438" s="3800"/>
      <c r="N1438" s="3800"/>
      <c r="O1438" s="3800"/>
      <c r="P1438" s="3800"/>
      <c r="Q1438" s="3800"/>
      <c r="R1438" s="3800"/>
      <c r="S1438" s="3800"/>
      <c r="T1438" s="3800"/>
      <c r="U1438" s="3800"/>
      <c r="V1438" s="3800"/>
      <c r="W1438" s="1274"/>
      <c r="X1438" s="1274"/>
      <c r="Y1438" s="3800"/>
      <c r="Z1438" s="3800"/>
      <c r="AA1438" s="3800"/>
      <c r="AB1438" s="1274"/>
      <c r="AC1438" s="3800"/>
      <c r="AD1438" s="1274"/>
      <c r="AE1438" s="1274"/>
      <c r="AF1438" s="1275"/>
    </row>
    <row r="1439" spans="5:32" ht="33" x14ac:dyDescent="0.25">
      <c r="E1439" s="1262" t="s">
        <v>426</v>
      </c>
      <c r="F1439" s="3801">
        <v>0.3009476612922084</v>
      </c>
      <c r="G1439" s="3801">
        <v>0.33880448318185419</v>
      </c>
      <c r="H1439" s="4677">
        <v>0.32011036678711313</v>
      </c>
      <c r="I1439" s="3801">
        <v>0.31088208813494428</v>
      </c>
      <c r="J1439" s="1265">
        <f>+((H1439*H$49)+(I1439*I$49))/J$49</f>
        <v>0.31680097924398071</v>
      </c>
      <c r="K1439" s="3801"/>
      <c r="L1439" s="3805">
        <v>0.17696073566140755</v>
      </c>
      <c r="M1439" s="3801">
        <v>8.529412631147E-2</v>
      </c>
      <c r="N1439" s="3805">
        <v>0.15787827071739033</v>
      </c>
      <c r="O1439" s="3801">
        <v>6.9111216846087708E-3</v>
      </c>
      <c r="P1439" s="4929">
        <f>+((K1439*$K$49)+(M1439*$M$49)+(O1439*$O$49))/$P$49</f>
        <v>3.5625291124486834E-2</v>
      </c>
      <c r="Q1439" s="3803">
        <v>0.13373511287702927</v>
      </c>
      <c r="R1439" s="3801">
        <v>5.2395769749918886E-3</v>
      </c>
      <c r="S1439" s="3805">
        <v>0.11431405088539832</v>
      </c>
      <c r="T1439" s="3801">
        <v>7.0068241647480572E-2</v>
      </c>
      <c r="U1439" s="3805">
        <v>0.10870533104774756</v>
      </c>
      <c r="V1439" s="3801">
        <v>9.5498335661284947E-2</v>
      </c>
      <c r="W1439" s="1267">
        <f>+((R1439*$R$49)+(T1439*$T$49)+(V1439*$V$49))/$W$49</f>
        <v>5.9352933146787953E-2</v>
      </c>
      <c r="X1439" s="1266">
        <v>0.10712317432111745</v>
      </c>
      <c r="Y1439" s="3801">
        <v>0.22924583794076506</v>
      </c>
      <c r="Z1439" s="3805">
        <v>0.12027374015423806</v>
      </c>
      <c r="AA1439" s="3801">
        <v>0.24285177874081856</v>
      </c>
      <c r="AB1439" s="3805">
        <v>0.13130344940916927</v>
      </c>
      <c r="AC1439" s="3801">
        <v>0.20716268983854508</v>
      </c>
      <c r="AD1439" s="2560">
        <f>+((Y1439*$Y$49)+(AA1439*$AA$49)+(AC1439*$AC$49))/$AD$49</f>
        <v>0.22690116112361047</v>
      </c>
      <c r="AE1439" s="1469">
        <f>+((W1439*$W$49)+(AD1439*$AD$49))/$AE$49</f>
        <v>0.14554900749603197</v>
      </c>
      <c r="AF1439" s="1266">
        <f t="shared" ref="AF1439:AF1450" si="3593">+((AB1439*$AB$49)+(AC1439*$AC$49))/$AF$49</f>
        <v>0.13804597819908712</v>
      </c>
    </row>
    <row r="1440" spans="5:32" ht="33" x14ac:dyDescent="0.25">
      <c r="E1440" s="1262" t="s">
        <v>427</v>
      </c>
      <c r="F1440" s="4675">
        <v>3.1749407792627009</v>
      </c>
      <c r="G1440" s="4675">
        <v>3.25079339383054</v>
      </c>
      <c r="H1440" s="4679">
        <v>3.2142241689287006</v>
      </c>
      <c r="I1440" s="4675">
        <v>3.2612839906051088</v>
      </c>
      <c r="J1440" s="1265">
        <f>+((H1440*H$49)+(I1440*I$49))/J$49</f>
        <v>3.2311004676955721</v>
      </c>
      <c r="K1440" s="4675"/>
      <c r="L1440" s="1266">
        <v>3.4740365187977957</v>
      </c>
      <c r="M1440" s="4675">
        <v>3.3255632798091161</v>
      </c>
      <c r="N1440" s="1266">
        <v>3.4389541159010957</v>
      </c>
      <c r="O1440" s="4675">
        <v>3.0773177228968627</v>
      </c>
      <c r="P1440" s="1265">
        <f t="shared" ref="P1440:P1450" si="3594">+((K1440*$K$49)+(M1440*$M$49)+(O1440*$O$49))/$P$49</f>
        <v>2.2099305356871248</v>
      </c>
      <c r="Q1440" s="2207">
        <v>3.3820347073121506</v>
      </c>
      <c r="R1440" s="4675">
        <v>3.1603368821562308</v>
      </c>
      <c r="S1440" s="1266">
        <v>3.3481935916047059</v>
      </c>
      <c r="T1440" s="4675">
        <v>3.2426294422502799</v>
      </c>
      <c r="U1440" s="1266">
        <v>3.3344108972631465</v>
      </c>
      <c r="V1440" s="4675">
        <v>3.3949210740961866</v>
      </c>
      <c r="W1440" s="1267">
        <f t="shared" ref="W1440:W1450" si="3595">+((R1440*$R$49)+(T1440*$T$49)+(V1440*$V$49))/$W$49</f>
        <v>3.2736951369419303</v>
      </c>
      <c r="X1440" s="1266">
        <v>3.3431139911062311</v>
      </c>
      <c r="Y1440" s="4675">
        <v>3.2727479506461985</v>
      </c>
      <c r="Z1440" s="1266">
        <v>3.3341340562657806</v>
      </c>
      <c r="AA1440" s="4675">
        <v>3.3964691714575554</v>
      </c>
      <c r="AB1440" s="1266">
        <v>3.3400910818156557</v>
      </c>
      <c r="AC1440" s="4675">
        <v>3.2781584902401675</v>
      </c>
      <c r="AD1440" s="2560">
        <f t="shared" ref="AD1440:AD1450" si="3596">+((Y1440*$Y$49)+(AA1440*$AA$49)+(AC1440*$AC$49))/$AD$49</f>
        <v>3.3157969754793628</v>
      </c>
      <c r="AE1440" s="1469">
        <f t="shared" ref="AE1440:AE1450" si="3597">+((W1440*$W$49)+(AD1440*$AD$49))/$AE$49</f>
        <v>3.2953546510330876</v>
      </c>
      <c r="AF1440" s="1266">
        <f t="shared" si="3593"/>
        <v>3.3345863828578444</v>
      </c>
    </row>
    <row r="1441" spans="5:32" ht="33" x14ac:dyDescent="0.25">
      <c r="E1441" s="1262" t="s">
        <v>428</v>
      </c>
      <c r="F1441" s="4675">
        <v>0.79084589465188004</v>
      </c>
      <c r="G1441" s="4675">
        <v>0.76268629330084414</v>
      </c>
      <c r="H1441" s="4679">
        <v>0.77639414460498768</v>
      </c>
      <c r="I1441" s="4675">
        <v>0.75495993429878383</v>
      </c>
      <c r="J1441" s="1265">
        <f t="shared" ref="J1441:J1450" si="3598">+((H1441*H$49)+(I1441*I$49))/J$49</f>
        <v>0.7687075422322297</v>
      </c>
      <c r="K1441" s="4675"/>
      <c r="L1441" s="1266">
        <v>0.71589768953632493</v>
      </c>
      <c r="M1441" s="4675">
        <v>0.6827865777216402</v>
      </c>
      <c r="N1441" s="1266">
        <v>0.707951502474641</v>
      </c>
      <c r="O1441" s="4675">
        <v>0.6478245902876445</v>
      </c>
      <c r="P1441" s="1265">
        <f t="shared" si="3594"/>
        <v>0.45841067236966515</v>
      </c>
      <c r="Q1441" s="2207">
        <v>0.69857630471378152</v>
      </c>
      <c r="R1441" s="4675">
        <v>0.64897213209162141</v>
      </c>
      <c r="S1441" s="1266">
        <v>0.69115078400752117</v>
      </c>
      <c r="T1441" s="4675">
        <v>0.68490513920569907</v>
      </c>
      <c r="U1441" s="1266">
        <v>0.69041251531436021</v>
      </c>
      <c r="V1441" s="4675">
        <v>0.7271318962764467</v>
      </c>
      <c r="W1441" s="1267">
        <f t="shared" si="3595"/>
        <v>0.68943629094944969</v>
      </c>
      <c r="X1441" s="1266">
        <v>0.69545629411436516</v>
      </c>
      <c r="Y1441" s="4675">
        <v>0.70410421700750925</v>
      </c>
      <c r="Z1441" s="1266">
        <v>0.69651692711285884</v>
      </c>
      <c r="AA1441" s="4675">
        <v>0.73587453840216832</v>
      </c>
      <c r="AB1441" s="1266">
        <v>0.70054635680461796</v>
      </c>
      <c r="AC1441" s="4675">
        <v>0.72499292906052559</v>
      </c>
      <c r="AD1441" s="2560">
        <f t="shared" si="3596"/>
        <v>0.72124539317850156</v>
      </c>
      <c r="AE1441" s="1469">
        <f t="shared" si="3597"/>
        <v>0.70580065226694055</v>
      </c>
      <c r="AF1441" s="1266">
        <f t="shared" si="3593"/>
        <v>0.70271921954773653</v>
      </c>
    </row>
    <row r="1442" spans="5:32" ht="33" x14ac:dyDescent="0.25">
      <c r="E1442" s="1262" t="s">
        <v>592</v>
      </c>
      <c r="F1442" s="4675">
        <v>0.56769478289511066</v>
      </c>
      <c r="G1442" s="4675">
        <v>0.57086427295314501</v>
      </c>
      <c r="H1442" s="4679">
        <v>0.56929960263557411</v>
      </c>
      <c r="I1442" s="4675">
        <v>0.49027346794830157</v>
      </c>
      <c r="J1442" s="1265">
        <f t="shared" si="3598"/>
        <v>0.54095974472995012</v>
      </c>
      <c r="K1442" s="4675"/>
      <c r="L1442" s="1266">
        <v>0.5337002182940721</v>
      </c>
      <c r="M1442" s="4675">
        <v>0.46617809961344436</v>
      </c>
      <c r="N1442" s="1266">
        <v>0.51637048559696686</v>
      </c>
      <c r="O1442" s="4675">
        <v>0.55863266983436033</v>
      </c>
      <c r="P1442" s="1265">
        <f t="shared" si="3594"/>
        <v>0.34699319151006974</v>
      </c>
      <c r="Q1442" s="2207">
        <v>0.52314627170391248</v>
      </c>
      <c r="R1442" s="4675">
        <v>0.51238409671631024</v>
      </c>
      <c r="S1442" s="1266">
        <v>0.52147869976573369</v>
      </c>
      <c r="T1442" s="4675">
        <v>0.49977470165131921</v>
      </c>
      <c r="U1442" s="1266">
        <v>0.51850886889756131</v>
      </c>
      <c r="V1442" s="4675">
        <v>0.48573022649160585</v>
      </c>
      <c r="W1442" s="1267">
        <f t="shared" si="3595"/>
        <v>0.49847254454870965</v>
      </c>
      <c r="X1442" s="1266">
        <v>0.51396388234623414</v>
      </c>
      <c r="Y1442" s="4675">
        <v>0.45570192718843455</v>
      </c>
      <c r="Z1442" s="1266">
        <v>0.50683392026436569</v>
      </c>
      <c r="AA1442" s="4675">
        <v>0.47959587790715408</v>
      </c>
      <c r="AB1442" s="1266">
        <v>0.50400671574545575</v>
      </c>
      <c r="AC1442" s="4675">
        <v>0.52614977685442099</v>
      </c>
      <c r="AD1442" s="2560">
        <f t="shared" si="3596"/>
        <v>0.48567969285273155</v>
      </c>
      <c r="AE1442" s="1469">
        <f t="shared" si="3597"/>
        <v>0.49189119415640398</v>
      </c>
      <c r="AF1442" s="1266">
        <f t="shared" si="3593"/>
        <v>0.50597483757450445</v>
      </c>
    </row>
    <row r="1443" spans="5:32" ht="33" x14ac:dyDescent="0.25">
      <c r="E1443" s="1262" t="s">
        <v>429</v>
      </c>
      <c r="F1443" s="4675">
        <v>0</v>
      </c>
      <c r="G1443" s="4675">
        <v>0</v>
      </c>
      <c r="H1443" s="4679">
        <v>0</v>
      </c>
      <c r="I1443" s="4675">
        <v>0</v>
      </c>
      <c r="J1443" s="1265">
        <f t="shared" si="3598"/>
        <v>0</v>
      </c>
      <c r="K1443" s="4675"/>
      <c r="L1443" s="1266">
        <v>0.15951756827104385</v>
      </c>
      <c r="M1443" s="4675">
        <v>9.7211737384351973E-2</v>
      </c>
      <c r="N1443" s="1266">
        <v>0.14353805132552239</v>
      </c>
      <c r="O1443" s="4675">
        <v>2.9612770879227149E-2</v>
      </c>
      <c r="P1443" s="1265">
        <f t="shared" si="3594"/>
        <v>4.6957865929379929E-2</v>
      </c>
      <c r="Q1443" s="2207">
        <v>0.12508165335032348</v>
      </c>
      <c r="R1443" s="4675">
        <v>7.4094595814377648E-2</v>
      </c>
      <c r="S1443" s="1266">
        <v>0.11709858745996352</v>
      </c>
      <c r="T1443" s="4675">
        <v>4.0532626307872341E-2</v>
      </c>
      <c r="U1443" s="1266">
        <v>0.10657449571586351</v>
      </c>
      <c r="V1443" s="4675">
        <v>0</v>
      </c>
      <c r="W1443" s="1267">
        <f t="shared" si="3595"/>
        <v>3.5893950769560777E-2</v>
      </c>
      <c r="X1443" s="1266">
        <v>9.3271363489159417E-2</v>
      </c>
      <c r="Y1443" s="4675">
        <v>7.3720658840568887E-2</v>
      </c>
      <c r="Z1443" s="1266">
        <v>9.0878963371041316E-2</v>
      </c>
      <c r="AA1443" s="4675">
        <v>9.6580353431874419E-2</v>
      </c>
      <c r="AB1443" s="1266">
        <v>9.1468391196896287E-2</v>
      </c>
      <c r="AC1443" s="4675">
        <v>0.10545108196215222</v>
      </c>
      <c r="AD1443" s="2560">
        <f t="shared" si="3596"/>
        <v>9.1267195065008355E-2</v>
      </c>
      <c r="AE1443" s="1469">
        <f t="shared" si="3597"/>
        <v>6.4381009927891655E-2</v>
      </c>
      <c r="AF1443" s="1266">
        <f t="shared" si="3593"/>
        <v>9.271120215191804E-2</v>
      </c>
    </row>
    <row r="1444" spans="5:32" ht="33" x14ac:dyDescent="0.25">
      <c r="E1444" s="1262" t="s">
        <v>341</v>
      </c>
      <c r="F1444" s="4675">
        <v>9.8180330754703601E-2</v>
      </c>
      <c r="G1444" s="4675">
        <v>0.2735664665101869</v>
      </c>
      <c r="H1444" s="4679">
        <v>0.18752912905863292</v>
      </c>
      <c r="I1444" s="4675">
        <v>0.16987808866389514</v>
      </c>
      <c r="J1444" s="1265">
        <f t="shared" si="3598"/>
        <v>0.18119922340586586</v>
      </c>
      <c r="K1444" s="4675"/>
      <c r="L1444" s="1266">
        <v>0.23214005879359625</v>
      </c>
      <c r="M1444" s="4675">
        <v>0.196406367151267</v>
      </c>
      <c r="N1444" s="1266">
        <v>0.22297133455540161</v>
      </c>
      <c r="O1444" s="4675">
        <v>0.15485532674461408</v>
      </c>
      <c r="P1444" s="1265">
        <f t="shared" si="3594"/>
        <v>0.12265590313685965</v>
      </c>
      <c r="Q1444" s="2207">
        <v>0.21193383416600975</v>
      </c>
      <c r="R1444" s="4675">
        <v>0.2105028077395989</v>
      </c>
      <c r="S1444" s="1266">
        <v>0.2117335079006876</v>
      </c>
      <c r="T1444" s="4675">
        <v>0.19987465502059193</v>
      </c>
      <c r="U1444" s="1266">
        <v>0.21011031565668203</v>
      </c>
      <c r="V1444" s="4675">
        <v>0.19870931186572799</v>
      </c>
      <c r="W1444" s="1267">
        <f t="shared" si="3595"/>
        <v>0.20274931738700733</v>
      </c>
      <c r="X1444" s="1266">
        <v>0.20853177890444716</v>
      </c>
      <c r="Y1444" s="4675">
        <v>0.15010301253068076</v>
      </c>
      <c r="Z1444" s="1266">
        <v>0.20137848601592268</v>
      </c>
      <c r="AA1444" s="4675">
        <v>0.19226571270582266</v>
      </c>
      <c r="AB1444" s="1266">
        <v>0.2004311907604637</v>
      </c>
      <c r="AC1444" s="4675">
        <v>0.19387539275088719</v>
      </c>
      <c r="AD1444" s="2560">
        <f t="shared" si="3596"/>
        <v>0.17786141060315216</v>
      </c>
      <c r="AE1444" s="1469">
        <f t="shared" si="3597"/>
        <v>0.18994560176767539</v>
      </c>
      <c r="AF1444" s="1266">
        <f t="shared" si="3593"/>
        <v>0.19984849764924531</v>
      </c>
    </row>
    <row r="1445" spans="5:32" ht="33" x14ac:dyDescent="0.25">
      <c r="E1445" s="1262" t="s">
        <v>430</v>
      </c>
      <c r="F1445" s="4675">
        <v>0.14771629645776918</v>
      </c>
      <c r="G1445" s="4675">
        <v>0.16136130570118457</v>
      </c>
      <c r="H1445" s="4679">
        <v>0.15466983461779496</v>
      </c>
      <c r="I1445" s="4675">
        <v>0.17366076310590506</v>
      </c>
      <c r="J1445" s="1265">
        <f t="shared" si="3598"/>
        <v>0.1614802425540898</v>
      </c>
      <c r="K1445" s="4675"/>
      <c r="L1445" s="1266">
        <v>0.17017932359908938</v>
      </c>
      <c r="M1445" s="4675">
        <v>0.13517091995537761</v>
      </c>
      <c r="N1445" s="1266">
        <v>0.16119779407584686</v>
      </c>
      <c r="O1445" s="4675">
        <v>0.17303152994112775</v>
      </c>
      <c r="P1445" s="1265">
        <f t="shared" si="3594"/>
        <v>0.10384409191280296</v>
      </c>
      <c r="Q1445" s="2207">
        <v>0.16310849328112678</v>
      </c>
      <c r="R1445" s="4675">
        <v>0.13177251431929579</v>
      </c>
      <c r="S1445" s="1266">
        <v>0.15821547662348825</v>
      </c>
      <c r="T1445" s="4675">
        <v>0.16884011635439791</v>
      </c>
      <c r="U1445" s="1266">
        <v>0.15967757703004959</v>
      </c>
      <c r="V1445" s="4675">
        <v>0.14182654577908077</v>
      </c>
      <c r="W1445" s="1267">
        <f t="shared" si="3595"/>
        <v>0.14724715688013593</v>
      </c>
      <c r="X1445" s="1266">
        <v>0.15720467202777066</v>
      </c>
      <c r="Y1445" s="4675">
        <v>0.13649878503672941</v>
      </c>
      <c r="Z1445" s="1266">
        <v>0.15467196786280424</v>
      </c>
      <c r="AA1445" s="4675">
        <v>0.1560283188918179</v>
      </c>
      <c r="AB1445" s="1266">
        <v>0.1548103924926954</v>
      </c>
      <c r="AC1445" s="4675">
        <v>0.16712599661047248</v>
      </c>
      <c r="AD1445" s="2560">
        <f t="shared" si="3596"/>
        <v>0.15258768195347658</v>
      </c>
      <c r="AE1445" s="1469">
        <f t="shared" si="3597"/>
        <v>0.14999461832359179</v>
      </c>
      <c r="AF1445" s="1266">
        <f t="shared" si="3593"/>
        <v>0.15590502928129663</v>
      </c>
    </row>
    <row r="1446" spans="5:32" ht="33" x14ac:dyDescent="0.25">
      <c r="E1446" s="1262" t="s">
        <v>431</v>
      </c>
      <c r="F1446" s="4675">
        <v>0.46970199851957645</v>
      </c>
      <c r="G1446" s="4675">
        <v>0.35729869491587585</v>
      </c>
      <c r="H1446" s="4679">
        <v>0.41243736090147232</v>
      </c>
      <c r="I1446" s="4675">
        <v>0.37905063297501318</v>
      </c>
      <c r="J1446" s="1265">
        <f t="shared" si="3598"/>
        <v>0.40046442145411293</v>
      </c>
      <c r="K1446" s="4675"/>
      <c r="L1446" s="1266">
        <v>0.38754836766322642</v>
      </c>
      <c r="M1446" s="4675">
        <v>0.32166459988388174</v>
      </c>
      <c r="N1446" s="1266">
        <v>0.37064083367459488</v>
      </c>
      <c r="O1446" s="4675">
        <v>0.39937443160163849</v>
      </c>
      <c r="P1446" s="1265">
        <f t="shared" si="3594"/>
        <v>0.2434950999750306</v>
      </c>
      <c r="Q1446" s="2207">
        <v>0.37528326492549785</v>
      </c>
      <c r="R1446" s="4675">
        <v>0.36194973708119732</v>
      </c>
      <c r="S1446" s="1266">
        <v>0.37317393068084814</v>
      </c>
      <c r="T1446" s="4675">
        <v>0.35389308307994599</v>
      </c>
      <c r="U1446" s="1266">
        <v>0.37054087811983927</v>
      </c>
      <c r="V1446" s="4675">
        <v>0.31972163760818501</v>
      </c>
      <c r="W1446" s="1267">
        <f t="shared" si="3595"/>
        <v>0.34368255574528711</v>
      </c>
      <c r="X1446" s="1266">
        <v>0.36349754719726768</v>
      </c>
      <c r="Y1446" s="4675">
        <v>0.32640059377582864</v>
      </c>
      <c r="Z1446" s="1266">
        <v>0.35894576951941559</v>
      </c>
      <c r="AA1446" s="4675">
        <v>0.32986414721315865</v>
      </c>
      <c r="AB1446" s="1266">
        <v>0.35593053601255342</v>
      </c>
      <c r="AC1446" s="4675">
        <v>0.3417013365185898</v>
      </c>
      <c r="AD1446" s="2560">
        <f t="shared" si="3596"/>
        <v>0.33233452407187775</v>
      </c>
      <c r="AE1446" s="1469">
        <f t="shared" si="3597"/>
        <v>0.33784450067511307</v>
      </c>
      <c r="AF1446" s="1266">
        <f t="shared" si="3593"/>
        <v>0.35466581484341841</v>
      </c>
    </row>
    <row r="1447" spans="5:32" ht="33" x14ac:dyDescent="0.25">
      <c r="E1447" s="1262" t="s">
        <v>35</v>
      </c>
      <c r="F1447" s="4675">
        <v>0.25089242735026862</v>
      </c>
      <c r="G1447" s="4675">
        <v>0.26424907261937575</v>
      </c>
      <c r="H1447" s="4679">
        <v>0.25769771672105568</v>
      </c>
      <c r="I1447" s="4675">
        <v>0.2285570639562497</v>
      </c>
      <c r="J1447" s="1265">
        <f t="shared" si="3598"/>
        <v>0.24724747817782181</v>
      </c>
      <c r="K1447" s="4675"/>
      <c r="L1447" s="1266">
        <v>0.24098003584902442</v>
      </c>
      <c r="M1447" s="4675">
        <v>0.18619539945584973</v>
      </c>
      <c r="N1447" s="1266">
        <v>0.22692475975328083</v>
      </c>
      <c r="O1447" s="4675">
        <v>0.2403308446103595</v>
      </c>
      <c r="P1447" s="1265">
        <f t="shared" si="3594"/>
        <v>0.14362309462880718</v>
      </c>
      <c r="Q1447" s="2207">
        <v>0.22906884716669337</v>
      </c>
      <c r="R1447" s="4675">
        <v>0.21130557538020778</v>
      </c>
      <c r="S1447" s="1266">
        <v>0.22630096344184353</v>
      </c>
      <c r="T1447" s="4675">
        <v>0.19649743522742144</v>
      </c>
      <c r="U1447" s="1266">
        <v>0.22222473787174143</v>
      </c>
      <c r="V1447" s="4675">
        <v>0.17270993029153889</v>
      </c>
      <c r="W1447" s="1267">
        <f t="shared" si="3595"/>
        <v>0.19225340690756301</v>
      </c>
      <c r="X1447" s="1266">
        <v>0.21536769400245592</v>
      </c>
      <c r="Y1447" s="4675">
        <v>0.16148687225515362</v>
      </c>
      <c r="Z1447" s="1266">
        <v>0.20877385185672495</v>
      </c>
      <c r="AA1447" s="4675">
        <v>0.16028510659898468</v>
      </c>
      <c r="AB1447" s="1266">
        <v>0.20374492430061211</v>
      </c>
      <c r="AC1447" s="4675">
        <v>0.18880213760709799</v>
      </c>
      <c r="AD1447" s="2560">
        <f t="shared" si="3596"/>
        <v>0.16961146194821214</v>
      </c>
      <c r="AE1447" s="1469">
        <f t="shared" si="3597"/>
        <v>0.18060513825862404</v>
      </c>
      <c r="AF1447" s="1266">
        <f t="shared" si="3593"/>
        <v>0.20241677800080279</v>
      </c>
    </row>
    <row r="1448" spans="5:32" ht="33" x14ac:dyDescent="0.25">
      <c r="E1448" s="1262" t="s">
        <v>374</v>
      </c>
      <c r="F1448" s="4676">
        <v>7.7017946254822348E-2</v>
      </c>
      <c r="G1448" s="4676">
        <v>8.1797220538632781E-2</v>
      </c>
      <c r="H1448" s="4679">
        <v>7.9453014629282948E-2</v>
      </c>
      <c r="I1448" s="4676">
        <v>7.2151169749358826E-2</v>
      </c>
      <c r="J1448" s="1265">
        <f t="shared" si="3598"/>
        <v>7.6834472710652524E-2</v>
      </c>
      <c r="K1448" s="4676"/>
      <c r="L1448" s="1266">
        <v>6.9490824288567524E-2</v>
      </c>
      <c r="M1448" s="4676">
        <v>5.0805368142468416E-2</v>
      </c>
      <c r="N1448" s="1266">
        <v>6.4696975823032202E-2</v>
      </c>
      <c r="O1448" s="4676">
        <v>6.6443189120725304E-2</v>
      </c>
      <c r="P1448" s="1265">
        <f t="shared" si="3594"/>
        <v>3.9442373486860943E-2</v>
      </c>
      <c r="Q1448" s="2207">
        <v>6.497625452316208E-2</v>
      </c>
      <c r="R1448" s="4676">
        <v>5.4993275823230027E-2</v>
      </c>
      <c r="S1448" s="1266">
        <v>6.3420700760251913E-2</v>
      </c>
      <c r="T1448" s="4676">
        <v>5.4050698424780788E-2</v>
      </c>
      <c r="U1448" s="1266">
        <v>6.2139166478908686E-2</v>
      </c>
      <c r="V1448" s="4676">
        <v>4.5399342141494221E-2</v>
      </c>
      <c r="W1448" s="1267">
        <f t="shared" si="3595"/>
        <v>5.112411528427304E-2</v>
      </c>
      <c r="X1448" s="1266">
        <v>5.9819961195549415E-2</v>
      </c>
      <c r="Y1448" s="4676">
        <v>4.4297275672562295E-2</v>
      </c>
      <c r="Z1448" s="1266">
        <v>5.7920321681949605E-2</v>
      </c>
      <c r="AA1448" s="4676">
        <v>4.733682030456856E-2</v>
      </c>
      <c r="AB1448" s="1266">
        <v>5.6822671878186612E-2</v>
      </c>
      <c r="AC1448" s="4676">
        <v>5.6637827817161736E-2</v>
      </c>
      <c r="AD1448" s="2560">
        <f t="shared" si="3596"/>
        <v>4.9165448701740569E-2</v>
      </c>
      <c r="AE1448" s="1469">
        <f t="shared" si="3597"/>
        <v>5.0116468874567631E-2</v>
      </c>
      <c r="AF1448" s="1266">
        <f t="shared" si="3593"/>
        <v>5.680624254939224E-2</v>
      </c>
    </row>
    <row r="1449" spans="5:32" ht="33" x14ac:dyDescent="0.25">
      <c r="E1449" s="1262" t="s">
        <v>593</v>
      </c>
      <c r="F1449" s="4675">
        <v>0.20086506211437136</v>
      </c>
      <c r="G1449" s="4675">
        <v>0.18517529567316623</v>
      </c>
      <c r="H1449" s="4679">
        <v>0.19287072761900312</v>
      </c>
      <c r="I1449" s="4675">
        <v>0.17315735262826012</v>
      </c>
      <c r="J1449" s="1265">
        <f t="shared" si="3598"/>
        <v>0.18580124043873344</v>
      </c>
      <c r="K1449" s="4675"/>
      <c r="L1449" s="1266">
        <v>0.2088690603233237</v>
      </c>
      <c r="M1449" s="4675">
        <v>0.16152037487110371</v>
      </c>
      <c r="N1449" s="1266">
        <v>0.19672199080993963</v>
      </c>
      <c r="O1449" s="4675">
        <v>0.17431549980306518</v>
      </c>
      <c r="P1449" s="1265">
        <f t="shared" si="3594"/>
        <v>0.11460080396510434</v>
      </c>
      <c r="Q1449" s="2207">
        <v>0.19314339764555502</v>
      </c>
      <c r="R1449" s="4675">
        <v>0.15765153415196395</v>
      </c>
      <c r="S1449" s="1266">
        <v>0.18761311214080792</v>
      </c>
      <c r="T1449" s="4675">
        <v>0.1517998301654632</v>
      </c>
      <c r="U1449" s="1266">
        <v>0.18271598490352858</v>
      </c>
      <c r="V1449" s="4675">
        <v>0.13591687106981104</v>
      </c>
      <c r="W1449" s="1267">
        <f t="shared" si="3595"/>
        <v>0.14770982168228156</v>
      </c>
      <c r="X1449" s="1266">
        <v>0.176234171527029</v>
      </c>
      <c r="Y1449" s="4675">
        <v>0.1352669098090587</v>
      </c>
      <c r="Z1449" s="1266">
        <v>0.17122092502448807</v>
      </c>
      <c r="AA1449" s="4675">
        <v>0.13300106153774366</v>
      </c>
      <c r="AB1449" s="1266">
        <v>0.16725821620279244</v>
      </c>
      <c r="AC1449" s="4675">
        <v>0.15360344186488784</v>
      </c>
      <c r="AD1449" s="2560">
        <f t="shared" si="3596"/>
        <v>0.14023310287057583</v>
      </c>
      <c r="AE1449" s="1469">
        <f t="shared" si="3597"/>
        <v>0.14386338404241986</v>
      </c>
      <c r="AF1449" s="1266">
        <f t="shared" si="3593"/>
        <v>0.16604455114930608</v>
      </c>
    </row>
    <row r="1450" spans="5:32" ht="34" thickBot="1" x14ac:dyDescent="0.3">
      <c r="E1450" s="1268" t="s">
        <v>1519</v>
      </c>
      <c r="F1450" s="4676">
        <v>0.45537919418964024</v>
      </c>
      <c r="G1450" s="4676">
        <v>0.39994426184366055</v>
      </c>
      <c r="H1450" s="4679">
        <v>0.42714160814627689</v>
      </c>
      <c r="I1450" s="4676">
        <v>0.33320428578986461</v>
      </c>
      <c r="J1450" s="1265">
        <f t="shared" si="3598"/>
        <v>0.39345439342736865</v>
      </c>
      <c r="K1450" s="4676"/>
      <c r="L1450" s="1270">
        <v>0.32957394439551729</v>
      </c>
      <c r="M1450" s="4676">
        <v>0.18955751539450313</v>
      </c>
      <c r="N1450" s="1270">
        <v>0.29367010439993624</v>
      </c>
      <c r="O1450" s="4676">
        <v>0.41481478340890199</v>
      </c>
      <c r="P1450" s="1269">
        <f t="shared" si="3594"/>
        <v>0.19596096855743975</v>
      </c>
      <c r="Q1450" s="3804">
        <v>0.31303902957608681</v>
      </c>
      <c r="R1450" s="4676">
        <v>0.34534568434873236</v>
      </c>
      <c r="S1450" s="3806">
        <v>0.31800301393026792</v>
      </c>
      <c r="T1450" s="4676">
        <v>0.28463529566756418</v>
      </c>
      <c r="U1450" s="3806">
        <v>0.3134107499817147</v>
      </c>
      <c r="V1450" s="4676">
        <v>0.2131074638310162</v>
      </c>
      <c r="W1450" s="1271">
        <f t="shared" si="3595"/>
        <v>0.27691127823532158</v>
      </c>
      <c r="X1450" s="1270">
        <v>0.29950228162474879</v>
      </c>
      <c r="Y1450" s="4676">
        <v>0.22345104814552677</v>
      </c>
      <c r="Z1450" s="3806">
        <v>0.29018762914468726</v>
      </c>
      <c r="AA1450" s="4676">
        <v>0.19974444374993139</v>
      </c>
      <c r="AB1450" s="3806">
        <v>0.28080799400608381</v>
      </c>
      <c r="AC1450" s="4676">
        <v>0.26738497434591851</v>
      </c>
      <c r="AD1450" s="2560">
        <f t="shared" si="3596"/>
        <v>0.22923968675081646</v>
      </c>
      <c r="AE1450" s="1469">
        <f t="shared" si="3597"/>
        <v>0.25238637520552876</v>
      </c>
      <c r="AF1450" s="1270">
        <f t="shared" si="3593"/>
        <v>0.27961492779563896</v>
      </c>
    </row>
    <row r="1451" spans="5:32" ht="34" thickBot="1" x14ac:dyDescent="0.3">
      <c r="E1451" s="1272" t="s">
        <v>594</v>
      </c>
      <c r="F1451" s="3802">
        <f t="shared" ref="F1451:G1451" si="3599">SUM(F1439:F1450)</f>
        <v>6.534182373743052</v>
      </c>
      <c r="G1451" s="3802">
        <f t="shared" si="3599"/>
        <v>6.646540761068465</v>
      </c>
      <c r="H1451" s="4678">
        <f t="shared" ref="H1451:L1451" si="3600">SUM(H1439:H1450)</f>
        <v>6.5918276746498936</v>
      </c>
      <c r="I1451" s="3802">
        <f t="shared" ref="I1451" si="3601">SUM(I1439:I1450)</f>
        <v>6.347058837855684</v>
      </c>
      <c r="J1451" s="2561">
        <f t="shared" si="3600"/>
        <v>6.504050206070378</v>
      </c>
      <c r="K1451" s="3802">
        <f t="shared" ref="K1451" si="3602">SUM(K1439:K1450)</f>
        <v>0</v>
      </c>
      <c r="L1451" s="1273">
        <f t="shared" si="3600"/>
        <v>6.6988943454729899</v>
      </c>
      <c r="M1451" s="3802">
        <f t="shared" ref="M1451" si="3603">SUM(M1439:M1450)</f>
        <v>5.8983543656944732</v>
      </c>
      <c r="N1451" s="1273">
        <v>6.5019999999999998</v>
      </c>
      <c r="O1451" s="3802">
        <f t="shared" ref="O1451" si="3604">SUM(O1439:O1450)</f>
        <v>5.9434644808131356</v>
      </c>
      <c r="P1451" s="2561">
        <f t="shared" ref="P1451:AF1451" si="3605">SUM(P1439:P1450)</f>
        <v>4.0615398922836317</v>
      </c>
      <c r="Q1451" s="2562">
        <f t="shared" si="3605"/>
        <v>6.4131271712413289</v>
      </c>
      <c r="R1451" s="3802">
        <f t="shared" si="3605"/>
        <v>5.8745484125977567</v>
      </c>
      <c r="S1451" s="2563">
        <f t="shared" si="3605"/>
        <v>6.3306964192015185</v>
      </c>
      <c r="T1451" s="3802">
        <f t="shared" si="3605"/>
        <v>5.9475012650028143</v>
      </c>
      <c r="U1451" s="2563">
        <f t="shared" si="3605"/>
        <v>6.2794315182811431</v>
      </c>
      <c r="V1451" s="3802">
        <f t="shared" ref="V1451" si="3606">SUM(V1439:V1450)</f>
        <v>5.9306726351123791</v>
      </c>
      <c r="W1451" s="2564">
        <f t="shared" si="3605"/>
        <v>5.9185285084783068</v>
      </c>
      <c r="X1451" s="1273">
        <f t="shared" si="3605"/>
        <v>6.2330868118563751</v>
      </c>
      <c r="Y1451" s="3802">
        <f t="shared" si="3605"/>
        <v>5.9130250888490163</v>
      </c>
      <c r="Z1451" s="2563">
        <f t="shared" si="3605"/>
        <v>6.1917365582742772</v>
      </c>
      <c r="AA1451" s="3802">
        <f t="shared" ref="AA1451" si="3607">SUM(AA1439:AA1450)</f>
        <v>6.1698973309415983</v>
      </c>
      <c r="AB1451" s="1273">
        <f t="shared" si="3605"/>
        <v>6.1872219206251824</v>
      </c>
      <c r="AC1451" s="3802">
        <f t="shared" ref="AC1451" si="3608">SUM(AC1439:AC1450)</f>
        <v>6.2110460754708274</v>
      </c>
      <c r="AD1451" s="2561">
        <f t="shared" si="3605"/>
        <v>6.0919237345990673</v>
      </c>
      <c r="AE1451" s="1468">
        <f t="shared" si="3605"/>
        <v>6.0077326020278763</v>
      </c>
      <c r="AF1451" s="1273">
        <f t="shared" si="3605"/>
        <v>6.1893394616001896</v>
      </c>
    </row>
    <row r="1452" spans="5:32" ht="28" x14ac:dyDescent="0.3">
      <c r="E1452" s="247"/>
      <c r="H1452" s="3170"/>
      <c r="J1452" s="3170"/>
      <c r="L1452" s="3170"/>
    </row>
    <row r="1453" spans="5:32" ht="36" thickBot="1" x14ac:dyDescent="0.4">
      <c r="E1453" s="1809" t="s">
        <v>887</v>
      </c>
      <c r="H1453" s="3170"/>
      <c r="J1453" s="3170"/>
      <c r="L1453" s="3170"/>
      <c r="Q1453" s="4"/>
      <c r="S1453" s="2313"/>
      <c r="U1453" s="2313"/>
      <c r="Z1453" s="2313"/>
    </row>
    <row r="1454" spans="5:32" ht="33" x14ac:dyDescent="0.3">
      <c r="E1454" s="1810" t="s">
        <v>1017</v>
      </c>
      <c r="F1454" s="4684">
        <f>+F252</f>
        <v>5.83</v>
      </c>
      <c r="G1454" s="4684">
        <f>+G252</f>
        <v>5.81</v>
      </c>
      <c r="H1454" s="1234">
        <f>+((F1454*$F$1243)+(G1454*$G$1243))/$H$1243</f>
        <v>5.8198098977598214</v>
      </c>
      <c r="I1454" s="4684">
        <f>+I252</f>
        <v>5.23</v>
      </c>
      <c r="J1454" s="1237">
        <f>+((H1454*$H$1243)+(I1454*$I$1243))/$J$1243</f>
        <v>5.6082959630344282</v>
      </c>
      <c r="K1454" s="4684">
        <f>+K252</f>
        <v>0</v>
      </c>
      <c r="L1454" s="2947">
        <f>+((J1454*$J$1243)+(K1454*$K$1243))/$L$1243</f>
        <v>4.0301705446666745</v>
      </c>
      <c r="M1454" s="4684">
        <f>+M252</f>
        <v>4.42</v>
      </c>
      <c r="N1454" s="2085">
        <f>+((L1454*$L$1243)+(M1454*$M$1243))/$N$1243</f>
        <v>4.1319771006890873</v>
      </c>
      <c r="O1454" s="4684">
        <f>+O252</f>
        <v>5.72</v>
      </c>
      <c r="P1454" s="2237">
        <f>+((K1454*$K$1243)+(M1454*$M$1243)+(O1454*$O$1243))/$P$1243</f>
        <v>3.4137479582169044</v>
      </c>
      <c r="Q1454" s="2238">
        <f>+((N1454*$N$1243)+(O1454*$O$1243))/$Q$1243</f>
        <v>4.3897703940872024</v>
      </c>
      <c r="R1454" s="4684">
        <f>+R252</f>
        <v>5.26</v>
      </c>
      <c r="S1454" s="2085">
        <f>+((Q1454*$Q$1243)+(R1454*$R$1243))/$S$1243</f>
        <v>4.5270861370943649</v>
      </c>
      <c r="T1454" s="4684">
        <f>+T252</f>
        <v>4.6500000000000004</v>
      </c>
      <c r="U1454" s="2085">
        <f>+((S1454*$S$1243)+(T1454*$T$1243))/$U$1243</f>
        <v>4.5440803720920879</v>
      </c>
      <c r="V1454" s="4684">
        <f>+V252</f>
        <v>4.1500000000000004</v>
      </c>
      <c r="W1454" s="2237">
        <f>+((R1454*$R$1243)+(T1454*$T$1243)+(V1454*$V$1243))/$W$1243</f>
        <v>4.6537870966982133</v>
      </c>
      <c r="X1454" s="2085">
        <f>+((U1454*$U$1243)+(V1454*$V$1243))/$X$1243</f>
        <v>4.4889699329398232</v>
      </c>
      <c r="Y1454" s="4684">
        <f>+Y252</f>
        <v>4.45</v>
      </c>
      <c r="Z1454" s="2085">
        <f>+((X1454*$X$1243)+(Y1454*$Y$1243))/$Z$1243</f>
        <v>4.4841616487670306</v>
      </c>
      <c r="AA1454" s="4684">
        <f>+AA252</f>
        <v>4.0199999999999996</v>
      </c>
      <c r="AB1454" s="2085">
        <f>+((Z1454*$Z$1243)+(AA1454*$AA$1243))/$AB$1243</f>
        <v>4.4356674648461034</v>
      </c>
      <c r="AC1454" s="4684">
        <f>+AC252</f>
        <v>4.3099999999999996</v>
      </c>
      <c r="AD1454" s="2237">
        <f>+((Y1454*$Y$1243)+(AA1454*$AA$1243)+(AC1454*$AC$1243))/$AD$1243</f>
        <v>4.2625501075366623</v>
      </c>
      <c r="AE1454" s="1362">
        <f>+((W1454*$W$1243)+(AD1454*$AD$1243))/$AE$1243</f>
        <v>4.4525131757832117</v>
      </c>
      <c r="AF1454" s="2085">
        <f>+((AB1454*$AB$1243)+(AC1454*$AC$1243))/$AF$1243</f>
        <v>4.4244978734880673</v>
      </c>
    </row>
    <row r="1455" spans="5:32" ht="33" x14ac:dyDescent="0.3">
      <c r="E1455" s="1811" t="s">
        <v>1018</v>
      </c>
      <c r="F1455" s="4685">
        <f>+F257</f>
        <v>2.82</v>
      </c>
      <c r="G1455" s="4685">
        <f>+G257</f>
        <v>2.64</v>
      </c>
      <c r="H1455" s="1689">
        <f t="shared" ref="H1455:H1456" si="3609">+((F1455*$F$1243)+(G1455*$G$1243))/$H$1243</f>
        <v>2.728289079838389</v>
      </c>
      <c r="I1455" s="4685">
        <f>+I257</f>
        <v>2.5</v>
      </c>
      <c r="J1455" s="1929">
        <f>+((H1455*$H$1243)+(I1455*$I$1243))/$J$1243</f>
        <v>2.646421478574227</v>
      </c>
      <c r="K1455" s="4685">
        <f>+K257</f>
        <v>0</v>
      </c>
      <c r="L1455" s="2948">
        <f t="shared" ref="L1455:L1456" si="3610">+((J1455*$J$1243)+(K1455*$K$1243))/$L$1243</f>
        <v>1.9017416274073344</v>
      </c>
      <c r="M1455" s="4685">
        <f>+M257</f>
        <v>2.37</v>
      </c>
      <c r="N1455" s="1689">
        <f t="shared" ref="N1455:N1456" si="3611">+((L1455*$L$1243)+(M1455*$M$1243))/$N$1243</f>
        <v>2.0240304170052297</v>
      </c>
      <c r="O1455" s="4685">
        <f>+O257</f>
        <v>2.65</v>
      </c>
      <c r="P1455" s="1929">
        <f t="shared" ref="P1455:P1456" si="3612">+((K1455*$K$1243)+(M1455*$M$1243)+(O1455*$O$1243))/$P$1243</f>
        <v>1.7085151875256785</v>
      </c>
      <c r="Q1455" s="2120">
        <f t="shared" ref="Q1455:Q1456" si="3613">+((N1455*$N$1243)+(O1455*$O$1243))/$Q$1243</f>
        <v>2.1256478183898628</v>
      </c>
      <c r="R1455" s="4685">
        <f>+R257</f>
        <v>2.64</v>
      </c>
      <c r="S1455" s="1689">
        <f t="shared" ref="S1455:S1456" si="3614">+((Q1455*$Q$1243)+(R1455*$R$1243))/$S$1243</f>
        <v>2.2068087574170603</v>
      </c>
      <c r="T1455" s="4685">
        <f>+T257</f>
        <v>2.4</v>
      </c>
      <c r="U1455" s="1689">
        <f t="shared" ref="U1455:U1456" si="3615">+((S1455*$S$1243)+(T1455*$T$1243))/$U$1243</f>
        <v>2.2335196368764176</v>
      </c>
      <c r="V1455" s="4685">
        <f>+V257</f>
        <v>2.37</v>
      </c>
      <c r="W1455" s="1929">
        <f t="shared" ref="W1455:W1456" si="3616">+((R1455*$R$1243)+(T1455*$T$1243)+(V1455*$V$1243))/$W$1243</f>
        <v>2.4635428840820524</v>
      </c>
      <c r="X1455" s="1689">
        <f t="shared" ref="X1455:X1456" si="3617">+((U1455*$U$1243)+(V1455*$V$1243))/$X$1243</f>
        <v>2.2526058265982529</v>
      </c>
      <c r="Y1455" s="4685">
        <f>+Y257</f>
        <v>2.33</v>
      </c>
      <c r="Z1455" s="1689">
        <f>+((X1455*$X$1243)+(Y1455*$Y$1243))/$Z$1243</f>
        <v>2.2621550649715556</v>
      </c>
      <c r="AA1455" s="4685">
        <f>+AA257</f>
        <v>2.23</v>
      </c>
      <c r="AB1455" s="1689">
        <f t="shared" ref="AB1455:AB1456" si="3618">+((Z1455*$Z$1243)+(AA1455*$AA$1243))/$AB$1243</f>
        <v>2.2587956025108764</v>
      </c>
      <c r="AC1455" s="4685">
        <f>+AC257</f>
        <v>2.41</v>
      </c>
      <c r="AD1455" s="1929">
        <f t="shared" ref="AD1455:AD1456" si="3619">+((Y1455*$Y$1243)+(AA1455*$AA$1243)+(AC1455*$AC$1243))/$AD$1243</f>
        <v>2.3215415395533547</v>
      </c>
      <c r="AE1455" s="852">
        <f>+((W1455*$W$1243)+(AD1455*$AD$1243))/$AE$1243</f>
        <v>2.390489547663774</v>
      </c>
      <c r="AF1455" s="1689">
        <f t="shared" ref="AF1455:AF1456" si="3620">+((AB1455*$AB$1243)+(AC1455*$AC$1243))/$AF$1243</f>
        <v>2.2722349707161631</v>
      </c>
    </row>
    <row r="1456" spans="5:32" ht="33" x14ac:dyDescent="0.3">
      <c r="E1456" s="1811" t="s">
        <v>1019</v>
      </c>
      <c r="F1456" s="4685">
        <f>+F258</f>
        <v>0.76</v>
      </c>
      <c r="G1456" s="4685">
        <f>+G258</f>
        <v>0.66</v>
      </c>
      <c r="H1456" s="1688">
        <f t="shared" si="3609"/>
        <v>0.70904948879910479</v>
      </c>
      <c r="I1456" s="4685">
        <f>+I258</f>
        <v>0.63</v>
      </c>
      <c r="J1456" s="1944">
        <f>+((H1456*$H$1243)+(I1456*$I$1243))/$J$1243</f>
        <v>0.68070125578803697</v>
      </c>
      <c r="K1456" s="4685">
        <f>+K258</f>
        <v>0</v>
      </c>
      <c r="L1456" s="2949">
        <f t="shared" si="3610"/>
        <v>0.48915787770056401</v>
      </c>
      <c r="M1456" s="4685">
        <f>+M258</f>
        <v>0.51</v>
      </c>
      <c r="N1456" s="1476">
        <f t="shared" si="3611"/>
        <v>0.49460093661382443</v>
      </c>
      <c r="O1456" s="4685">
        <f>+O258</f>
        <v>0.56999999999999995</v>
      </c>
      <c r="P1456" s="2216">
        <f t="shared" si="3612"/>
        <v>0.36758115049516371</v>
      </c>
      <c r="Q1456" s="2236">
        <f t="shared" si="3613"/>
        <v>0.50684091934826092</v>
      </c>
      <c r="R1456" s="4685">
        <f>+R258</f>
        <v>0.54</v>
      </c>
      <c r="S1456" s="1688">
        <f t="shared" si="3614"/>
        <v>0.51207317502675165</v>
      </c>
      <c r="T1456" s="4685">
        <f>+T258</f>
        <v>0.55000000000000004</v>
      </c>
      <c r="U1456" s="1688">
        <f t="shared" si="3615"/>
        <v>0.51731698854848329</v>
      </c>
      <c r="V1456" s="4685">
        <f>+V258</f>
        <v>0.54</v>
      </c>
      <c r="W1456" s="1944">
        <f t="shared" si="3616"/>
        <v>0.54316518336061359</v>
      </c>
      <c r="X1456" s="1688">
        <f t="shared" si="3617"/>
        <v>0.52048910979814755</v>
      </c>
      <c r="Y1456" s="4685">
        <f>+Y258</f>
        <v>0.54</v>
      </c>
      <c r="Z1456" s="1688">
        <f>+((X1456*$X$1243)+(Y1456*$Y$1243))/$Z$1243</f>
        <v>0.52289645047023781</v>
      </c>
      <c r="AA1456" s="4685">
        <f>+AA258</f>
        <v>0.53</v>
      </c>
      <c r="AB1456" s="1688">
        <f t="shared" si="3618"/>
        <v>0.52363860751466995</v>
      </c>
      <c r="AC1456" s="4685">
        <f>+AC258</f>
        <v>0.54</v>
      </c>
      <c r="AD1456" s="1944">
        <f t="shared" si="3619"/>
        <v>0.53665698845876086</v>
      </c>
      <c r="AE1456" s="859">
        <f>+((W1456*$W$1243)+(AD1456*$AD$1243))/$AE$1243</f>
        <v>0.53981700836115298</v>
      </c>
      <c r="AF1456" s="1688">
        <f t="shared" si="3620"/>
        <v>0.52509284285182256</v>
      </c>
    </row>
    <row r="1457" spans="5:32" ht="33" x14ac:dyDescent="0.3">
      <c r="E1457" s="2928" t="s">
        <v>1022</v>
      </c>
      <c r="F1457" s="2929">
        <f>+F1321</f>
        <v>53267</v>
      </c>
      <c r="G1457" s="2929">
        <f>+G1321</f>
        <v>56520</v>
      </c>
      <c r="H1457" s="371">
        <f>SUM(F1457:G1457)</f>
        <v>109787</v>
      </c>
      <c r="I1457" s="2929">
        <f>+I1321</f>
        <v>62698</v>
      </c>
      <c r="J1457" s="372">
        <f>SUM(H1457:I1457)</f>
        <v>172485</v>
      </c>
      <c r="K1457" s="2929">
        <f>+K1321</f>
        <v>73739</v>
      </c>
      <c r="L1457" s="1813">
        <f>SUM(J1457:K1457)</f>
        <v>246224</v>
      </c>
      <c r="M1457" s="2929">
        <f>+M1321</f>
        <v>80510</v>
      </c>
      <c r="N1457" s="371">
        <f>SUM(L1457:M1457)</f>
        <v>326734</v>
      </c>
      <c r="O1457" s="2929">
        <f>+O1321</f>
        <v>61321</v>
      </c>
      <c r="P1457" s="1945">
        <f>+K1457+M1457+O1457</f>
        <v>215570</v>
      </c>
      <c r="Q1457" s="2209">
        <f>+N1457+O1457</f>
        <v>388055</v>
      </c>
      <c r="R1457" s="2929">
        <f>+R1321</f>
        <v>69274</v>
      </c>
      <c r="S1457" s="1813">
        <f>SUM(Q1457:R1457)</f>
        <v>457329</v>
      </c>
      <c r="T1457" s="2929">
        <f>+T1321</f>
        <v>73392</v>
      </c>
      <c r="U1457" s="1813">
        <f>SUM(S1457:T1457)</f>
        <v>530721</v>
      </c>
      <c r="V1457" s="2929">
        <f>+V1321</f>
        <v>83919</v>
      </c>
      <c r="W1457" s="372">
        <f>+R1457+T1457+V1457</f>
        <v>226585</v>
      </c>
      <c r="X1457" s="1813">
        <f>+U1457+V1457</f>
        <v>614640</v>
      </c>
      <c r="Y1457" s="2929">
        <f>+Y1321</f>
        <v>77620</v>
      </c>
      <c r="Z1457" s="1813">
        <f>SUM(X1457:Y1457)</f>
        <v>692260</v>
      </c>
      <c r="AA1457" s="2929">
        <f>+AA1321</f>
        <v>82236</v>
      </c>
      <c r="AB1457" s="1813">
        <f>SUM(Z1457:AA1457)</f>
        <v>774496</v>
      </c>
      <c r="AC1457" s="2929">
        <f>+AC1321</f>
        <v>76133</v>
      </c>
      <c r="AD1457" s="372">
        <f>+Y1457+AA1457+AC1457</f>
        <v>235989</v>
      </c>
      <c r="AE1457" s="1290">
        <f t="shared" ref="AE1457:AE1464" si="3621">+W1457+AD1457</f>
        <v>462574</v>
      </c>
      <c r="AF1457" s="371">
        <f>+AB1457+AC1457</f>
        <v>850629</v>
      </c>
    </row>
    <row r="1458" spans="5:32" ht="33" x14ac:dyDescent="0.3">
      <c r="E1458" s="2928" t="s">
        <v>1347</v>
      </c>
      <c r="F1458" s="2929">
        <f>+F1324</f>
        <v>55719</v>
      </c>
      <c r="G1458" s="2929">
        <f>+G1324</f>
        <v>52052</v>
      </c>
      <c r="H1458" s="1813">
        <f>SUM(F1458:G1458)</f>
        <v>107771</v>
      </c>
      <c r="I1458" s="2929">
        <f>+I1324</f>
        <v>61691</v>
      </c>
      <c r="J1458" s="1945">
        <f>SUM(H1458:I1458)</f>
        <v>169462</v>
      </c>
      <c r="K1458" s="2929">
        <f>+K1324</f>
        <v>63617</v>
      </c>
      <c r="L1458" s="1813">
        <f>SUM(J1458:K1458)</f>
        <v>233079</v>
      </c>
      <c r="M1458" s="2929">
        <f>+M1324</f>
        <v>72679</v>
      </c>
      <c r="N1458" s="1813">
        <f>SUM(L1458:M1458)</f>
        <v>305758</v>
      </c>
      <c r="O1458" s="2929">
        <f>+O1324</f>
        <v>52687</v>
      </c>
      <c r="P1458" s="372">
        <f t="shared" ref="P1458:P1460" si="3622">+K1458+M1458+O1458</f>
        <v>188983</v>
      </c>
      <c r="Q1458" s="373">
        <f t="shared" ref="Q1458:Q1460" si="3623">+N1458+O1458</f>
        <v>358445</v>
      </c>
      <c r="R1458" s="2929">
        <f>+R1324</f>
        <v>57374</v>
      </c>
      <c r="S1458" s="1813">
        <f>SUM(Q1458:R1458)</f>
        <v>415819</v>
      </c>
      <c r="T1458" s="2929">
        <f>+T1324</f>
        <v>69190</v>
      </c>
      <c r="U1458" s="1813">
        <f>SUM(S1458:T1458)</f>
        <v>485009</v>
      </c>
      <c r="V1458" s="2929">
        <f>+V1324</f>
        <v>77243</v>
      </c>
      <c r="W1458" s="372">
        <f t="shared" ref="W1458:W1460" si="3624">+R1458+T1458+V1458</f>
        <v>203807</v>
      </c>
      <c r="X1458" s="371">
        <f t="shared" ref="X1458:X1460" si="3625">+U1458+V1458</f>
        <v>562252</v>
      </c>
      <c r="Y1458" s="2929">
        <f>+Y1324</f>
        <v>74753</v>
      </c>
      <c r="Z1458" s="1813">
        <f>SUM(X1458:Y1458)</f>
        <v>637005</v>
      </c>
      <c r="AA1458" s="2929">
        <f>+AA1324</f>
        <v>81888</v>
      </c>
      <c r="AB1458" s="1813">
        <f>SUM(Z1458:AA1458)</f>
        <v>718893</v>
      </c>
      <c r="AC1458" s="2929">
        <f>+AC1324</f>
        <v>88816</v>
      </c>
      <c r="AD1458" s="372">
        <f t="shared" ref="AD1458:AD1461" si="3626">+Y1458+AA1458+AC1458</f>
        <v>245457</v>
      </c>
      <c r="AE1458" s="1290">
        <f t="shared" si="3621"/>
        <v>449264</v>
      </c>
      <c r="AF1458" s="371">
        <f t="shared" ref="AF1458:AF1464" si="3627">+AB1458+AC1458</f>
        <v>807709</v>
      </c>
    </row>
    <row r="1459" spans="5:32" ht="33" x14ac:dyDescent="0.3">
      <c r="E1459" s="3364" t="s">
        <v>1349</v>
      </c>
      <c r="F1459" s="3432">
        <v>0</v>
      </c>
      <c r="G1459" s="3432">
        <v>0</v>
      </c>
      <c r="H1459" s="1813">
        <f t="shared" ref="H1459" si="3628">SUM(F1459:G1459)</f>
        <v>0</v>
      </c>
      <c r="I1459" s="3432">
        <v>1001.18</v>
      </c>
      <c r="J1459" s="1945">
        <f t="shared" ref="J1459" si="3629">SUM(H1459:I1459)</f>
        <v>1001.18</v>
      </c>
      <c r="K1459" s="3432"/>
      <c r="L1459" s="1813">
        <f t="shared" ref="L1459:L1460" si="3630">SUM(J1459:K1459)</f>
        <v>1001.18</v>
      </c>
      <c r="M1459" s="3432">
        <v>0</v>
      </c>
      <c r="N1459" s="1813">
        <f>SUM(L1459:M1459)</f>
        <v>1001.18</v>
      </c>
      <c r="O1459" s="3432">
        <v>0</v>
      </c>
      <c r="P1459" s="372">
        <f t="shared" si="3622"/>
        <v>0</v>
      </c>
      <c r="Q1459" s="373">
        <f t="shared" si="3623"/>
        <v>1001.18</v>
      </c>
      <c r="R1459" s="3432">
        <v>0</v>
      </c>
      <c r="S1459" s="1813">
        <f t="shared" ref="S1459:S1460" si="3631">SUM(Q1459:R1459)</f>
        <v>1001.18</v>
      </c>
      <c r="T1459" s="3432">
        <v>0</v>
      </c>
      <c r="U1459" s="1813">
        <f>SUM(S1459:T1459)</f>
        <v>1001.18</v>
      </c>
      <c r="V1459" s="3432">
        <v>499.93</v>
      </c>
      <c r="W1459" s="372">
        <f t="shared" si="3624"/>
        <v>499.93</v>
      </c>
      <c r="X1459" s="371">
        <f t="shared" si="3625"/>
        <v>1501.11</v>
      </c>
      <c r="Y1459" s="3432">
        <v>403.24999999999994</v>
      </c>
      <c r="Z1459" s="1813">
        <f>SUM(X1459:Y1459)</f>
        <v>1904.36</v>
      </c>
      <c r="AA1459" s="3432">
        <v>0</v>
      </c>
      <c r="AB1459" s="1813">
        <f>SUM(Z1459:AA1459)</f>
        <v>1904.36</v>
      </c>
      <c r="AC1459" s="3432">
        <v>145.16</v>
      </c>
      <c r="AD1459" s="372">
        <f t="shared" ref="AD1459" si="3632">+Y1459+AA1459+AC1459</f>
        <v>548.41</v>
      </c>
      <c r="AE1459" s="1290">
        <f t="shared" ref="AE1459" si="3633">+W1459+AD1459</f>
        <v>1048.3399999999999</v>
      </c>
      <c r="AF1459" s="371">
        <f t="shared" ref="AF1459" si="3634">+AB1459+AC1459</f>
        <v>2049.52</v>
      </c>
    </row>
    <row r="1460" spans="5:32" ht="34" thickBot="1" x14ac:dyDescent="0.35">
      <c r="E1460" s="3365" t="s">
        <v>1385</v>
      </c>
      <c r="F1460" s="3416">
        <f>+F154</f>
        <v>0</v>
      </c>
      <c r="G1460" s="3416">
        <f>+G154</f>
        <v>0</v>
      </c>
      <c r="H1460" s="1814">
        <f>SUM(F1460:G1460)</f>
        <v>0</v>
      </c>
      <c r="I1460" s="3416">
        <f>+I154</f>
        <v>0</v>
      </c>
      <c r="J1460" s="1947">
        <f>SUM(H1460:I1460)</f>
        <v>0</v>
      </c>
      <c r="K1460" s="3416">
        <f>+K154</f>
        <v>0</v>
      </c>
      <c r="L1460" s="1813">
        <f t="shared" si="3630"/>
        <v>0</v>
      </c>
      <c r="M1460" s="3416">
        <f>+M154</f>
        <v>81345.81</v>
      </c>
      <c r="N1460" s="1813">
        <f>SUM(L1460:M1460)</f>
        <v>81345.81</v>
      </c>
      <c r="O1460" s="3416">
        <f>+O154</f>
        <v>66038.7</v>
      </c>
      <c r="P1460" s="1945">
        <f t="shared" si="3622"/>
        <v>147384.51</v>
      </c>
      <c r="Q1460" s="2209">
        <f t="shared" si="3623"/>
        <v>147384.51</v>
      </c>
      <c r="R1460" s="3416">
        <f>+R154</f>
        <v>74659.72</v>
      </c>
      <c r="S1460" s="1814">
        <f t="shared" si="3631"/>
        <v>222044.23</v>
      </c>
      <c r="T1460" s="3416">
        <f>+T154</f>
        <v>73530.73</v>
      </c>
      <c r="U1460" s="1814">
        <f>SUM(S1460:T1460)</f>
        <v>295574.96000000002</v>
      </c>
      <c r="V1460" s="3416">
        <f>+V154</f>
        <v>76736.610000000015</v>
      </c>
      <c r="W1460" s="1947">
        <f t="shared" si="3624"/>
        <v>224927.06000000003</v>
      </c>
      <c r="X1460" s="371">
        <f t="shared" si="3625"/>
        <v>372311.57000000007</v>
      </c>
      <c r="Y1460" s="3416">
        <f>+Y154</f>
        <v>96207.05</v>
      </c>
      <c r="Z1460" s="1814">
        <f>SUM(X1460:Y1460)</f>
        <v>468518.62000000005</v>
      </c>
      <c r="AA1460" s="3416">
        <f>+AA154</f>
        <v>77918.62000000001</v>
      </c>
      <c r="AB1460" s="1813">
        <f>SUM(Z1460:AA1460)</f>
        <v>546437.24000000011</v>
      </c>
      <c r="AC1460" s="3416">
        <f>+AC154</f>
        <v>77333.119999999981</v>
      </c>
      <c r="AD1460" s="1945">
        <f t="shared" si="3626"/>
        <v>251458.78999999998</v>
      </c>
      <c r="AE1460" s="1290">
        <f t="shared" si="3621"/>
        <v>476385.85</v>
      </c>
      <c r="AF1460" s="1813">
        <f t="shared" si="3627"/>
        <v>623770.3600000001</v>
      </c>
    </row>
    <row r="1461" spans="5:32" ht="34" thickBot="1" x14ac:dyDescent="0.4">
      <c r="E1461" s="3366" t="s">
        <v>1350</v>
      </c>
      <c r="F1461" s="3363">
        <f>+F1459+F1460</f>
        <v>0</v>
      </c>
      <c r="G1461" s="3363">
        <f>+G1459+G1460</f>
        <v>0</v>
      </c>
      <c r="H1461" s="523">
        <f t="shared" ref="H1461:AB1461" si="3635">SUM(H1459:H1460)</f>
        <v>0</v>
      </c>
      <c r="I1461" s="3363">
        <f>+I1459+I1460</f>
        <v>1001.18</v>
      </c>
      <c r="J1461" s="557">
        <f t="shared" si="3635"/>
        <v>1001.18</v>
      </c>
      <c r="K1461" s="3363">
        <f>+K1459+K1460</f>
        <v>0</v>
      </c>
      <c r="L1461" s="523">
        <f t="shared" si="3635"/>
        <v>1001.18</v>
      </c>
      <c r="M1461" s="3363">
        <f>+M1459+M1460</f>
        <v>81345.81</v>
      </c>
      <c r="N1461" s="1813">
        <f t="shared" si="3635"/>
        <v>82346.989999999991</v>
      </c>
      <c r="O1461" s="3363">
        <f>+O1459+O1460</f>
        <v>66038.7</v>
      </c>
      <c r="P1461" s="1945">
        <f t="shared" si="3635"/>
        <v>147384.51</v>
      </c>
      <c r="Q1461" s="2209">
        <f t="shared" si="3635"/>
        <v>148385.69</v>
      </c>
      <c r="R1461" s="3363">
        <f>+R1459+R1460</f>
        <v>74659.72</v>
      </c>
      <c r="S1461" s="523">
        <f>SUM(S1459:S1460)</f>
        <v>223045.41</v>
      </c>
      <c r="T1461" s="3363">
        <f>+T1459+T1460</f>
        <v>73530.73</v>
      </c>
      <c r="U1461" s="523">
        <f>SUM(U1459:U1460)</f>
        <v>296576.14</v>
      </c>
      <c r="V1461" s="3363">
        <f>+V1459+V1460</f>
        <v>77236.540000000008</v>
      </c>
      <c r="W1461" s="557">
        <f t="shared" si="3635"/>
        <v>225426.99000000002</v>
      </c>
      <c r="X1461" s="371">
        <f t="shared" si="3635"/>
        <v>373812.68000000005</v>
      </c>
      <c r="Y1461" s="3363">
        <f>+Y1459+Y1460</f>
        <v>96610.3</v>
      </c>
      <c r="Z1461" s="523">
        <f t="shared" si="3635"/>
        <v>470422.98000000004</v>
      </c>
      <c r="AA1461" s="3363">
        <f>+AA1459+AA1460</f>
        <v>77918.62000000001</v>
      </c>
      <c r="AB1461" s="1813">
        <f t="shared" si="3635"/>
        <v>548341.60000000009</v>
      </c>
      <c r="AC1461" s="3363">
        <f>+AC1459+AC1460</f>
        <v>77478.279999999984</v>
      </c>
      <c r="AD1461" s="1945">
        <f t="shared" si="3626"/>
        <v>252007.2</v>
      </c>
      <c r="AE1461" s="1290">
        <f t="shared" si="3621"/>
        <v>477434.19000000006</v>
      </c>
      <c r="AF1461" s="1813">
        <f t="shared" si="3627"/>
        <v>625819.88000000012</v>
      </c>
    </row>
    <row r="1462" spans="5:32" ht="34" thickBot="1" x14ac:dyDescent="0.4">
      <c r="E1462" s="3366" t="s">
        <v>1352</v>
      </c>
      <c r="F1462" s="3417">
        <f t="shared" ref="F1462:G1462" si="3636">+F1461/F1457*100</f>
        <v>0</v>
      </c>
      <c r="G1462" s="3417">
        <f t="shared" si="3636"/>
        <v>0</v>
      </c>
      <c r="H1462" s="3565">
        <f t="shared" ref="H1462:AB1462" si="3637">+H1461/H1457*100</f>
        <v>0</v>
      </c>
      <c r="I1462" s="3417">
        <f t="shared" si="3637"/>
        <v>1.5968292449519921</v>
      </c>
      <c r="J1462" s="3504">
        <f t="shared" si="3637"/>
        <v>0.58044467634866792</v>
      </c>
      <c r="K1462" s="3417">
        <f t="shared" si="3637"/>
        <v>0</v>
      </c>
      <c r="L1462" s="3565">
        <f t="shared" si="3637"/>
        <v>0.40661349015530568</v>
      </c>
      <c r="M1462" s="3417">
        <f t="shared" ref="M1462:O1462" si="3638">+M1461/M1457*100</f>
        <v>101.03814432989691</v>
      </c>
      <c r="N1462" s="1813">
        <f t="shared" si="3637"/>
        <v>25.203067326938733</v>
      </c>
      <c r="O1462" s="3417">
        <f t="shared" si="3638"/>
        <v>107.6934492262031</v>
      </c>
      <c r="P1462" s="1993">
        <f t="shared" si="3637"/>
        <v>68.369675743378025</v>
      </c>
      <c r="Q1462" s="2215">
        <f t="shared" si="3637"/>
        <v>38.23831415649844</v>
      </c>
      <c r="R1462" s="3417">
        <f t="shared" si="3637"/>
        <v>107.77451857839881</v>
      </c>
      <c r="S1462" s="3565">
        <f t="shared" si="3637"/>
        <v>48.771324363860593</v>
      </c>
      <c r="T1462" s="3417">
        <f t="shared" si="3637"/>
        <v>100.18902605188575</v>
      </c>
      <c r="U1462" s="3565">
        <f t="shared" si="3637"/>
        <v>55.881742007570836</v>
      </c>
      <c r="V1462" s="3417">
        <f t="shared" ref="V1462" si="3639">+V1461/V1457*100</f>
        <v>92.037011880503826</v>
      </c>
      <c r="W1462" s="3504">
        <f t="shared" si="3637"/>
        <v>99.488929099454964</v>
      </c>
      <c r="X1462" s="371">
        <f t="shared" si="3637"/>
        <v>60.818150462059094</v>
      </c>
      <c r="Y1462" s="3417">
        <f t="shared" si="3637"/>
        <v>124.46573048183458</v>
      </c>
      <c r="Z1462" s="3565">
        <f t="shared" si="3637"/>
        <v>67.9546673215266</v>
      </c>
      <c r="AA1462" s="3417">
        <f t="shared" ref="AA1462" si="3640">+AA1461/AA1457*100</f>
        <v>94.750012160124527</v>
      </c>
      <c r="AB1462" s="1813">
        <f t="shared" si="3637"/>
        <v>70.799797545758807</v>
      </c>
      <c r="AC1462" s="3417">
        <f t="shared" ref="AC1462" si="3641">+AC1461/AC1457*100</f>
        <v>101.76701299042463</v>
      </c>
      <c r="AD1462" s="1946">
        <f t="shared" ref="AD1462:AF1462" si="3642">+AD1458/AD1457*100</f>
        <v>104.01205140917584</v>
      </c>
      <c r="AE1462" s="2541">
        <f t="shared" si="3642"/>
        <v>97.122622542555348</v>
      </c>
      <c r="AF1462" s="1815">
        <f t="shared" si="3642"/>
        <v>94.954322036986753</v>
      </c>
    </row>
    <row r="1463" spans="5:32" ht="33" x14ac:dyDescent="0.3">
      <c r="E1463" s="2930" t="s">
        <v>1130</v>
      </c>
      <c r="F1463" s="2931">
        <f>+F1290</f>
        <v>17185</v>
      </c>
      <c r="G1463" s="2931">
        <f>+G1290</f>
        <v>17320</v>
      </c>
      <c r="H1463" s="2417">
        <f>SUM(F1463:G1463)</f>
        <v>34505</v>
      </c>
      <c r="I1463" s="2931">
        <f>+I1290</f>
        <v>18558</v>
      </c>
      <c r="J1463" s="2418">
        <f>SUM(H1463:I1463)</f>
        <v>53063</v>
      </c>
      <c r="K1463" s="2931">
        <f>+K1290</f>
        <v>20495</v>
      </c>
      <c r="L1463" s="2417">
        <f>SUM(J1463:K1463)</f>
        <v>73558</v>
      </c>
      <c r="M1463" s="2931">
        <f>+M1290</f>
        <v>27575</v>
      </c>
      <c r="N1463" s="1814">
        <f>SUM(L1463:M1463)</f>
        <v>101133</v>
      </c>
      <c r="O1463" s="2931">
        <f>+O1290</f>
        <v>21235</v>
      </c>
      <c r="P1463" s="2416">
        <f t="shared" ref="P1463:P1464" si="3643">+K1463+M1463+O1463</f>
        <v>69305</v>
      </c>
      <c r="Q1463" s="2214">
        <f t="shared" ref="Q1463:Q1464" si="3644">+N1463+O1463</f>
        <v>122368</v>
      </c>
      <c r="R1463" s="2931">
        <f>+R1290</f>
        <v>23119</v>
      </c>
      <c r="S1463" s="1814">
        <f>SUM(Q1463:R1463)</f>
        <v>145487</v>
      </c>
      <c r="T1463" s="2931">
        <f>+T1290</f>
        <v>22684</v>
      </c>
      <c r="U1463" s="1814">
        <f>SUM(S1463:T1463)</f>
        <v>168171</v>
      </c>
      <c r="V1463" s="2931">
        <f>+V1290</f>
        <v>25807</v>
      </c>
      <c r="W1463" s="2416">
        <f t="shared" ref="W1463:W1464" si="3645">+R1463+T1463+V1463</f>
        <v>71610</v>
      </c>
      <c r="X1463" s="1982">
        <f t="shared" ref="X1463:X1464" si="3646">+U1463+V1463</f>
        <v>193978</v>
      </c>
      <c r="Y1463" s="2931">
        <f>+Y1290</f>
        <v>26335</v>
      </c>
      <c r="Z1463" s="1814">
        <f>SUM(X1463:Y1463)</f>
        <v>220313</v>
      </c>
      <c r="AA1463" s="2931">
        <f>+AA1290</f>
        <v>24263</v>
      </c>
      <c r="AB1463" s="1814">
        <f>SUM(Z1463:AA1463)</f>
        <v>244576</v>
      </c>
      <c r="AC1463" s="2931">
        <f>+AC1290</f>
        <v>22391</v>
      </c>
      <c r="AD1463" s="1945">
        <f t="shared" ref="AD1463:AD1464" si="3647">+Y1463+AA1463+AC1463</f>
        <v>72989</v>
      </c>
      <c r="AE1463" s="1290">
        <f t="shared" si="3621"/>
        <v>144599</v>
      </c>
      <c r="AF1463" s="1813">
        <f t="shared" si="3627"/>
        <v>266967</v>
      </c>
    </row>
    <row r="1464" spans="5:32" ht="33" x14ac:dyDescent="0.3">
      <c r="E1464" s="1811" t="s">
        <v>1020</v>
      </c>
      <c r="F1464" s="2776">
        <v>7350</v>
      </c>
      <c r="G1464" s="2776">
        <v>10747</v>
      </c>
      <c r="H1464" s="1814">
        <f>SUM(F1464:G1464)</f>
        <v>18097</v>
      </c>
      <c r="I1464" s="2776">
        <v>10123</v>
      </c>
      <c r="J1464" s="2418">
        <f>SUM(H1464:I1464)</f>
        <v>28220</v>
      </c>
      <c r="K1464" s="2776"/>
      <c r="L1464" s="1814">
        <f>SUM(J1464:K1464)</f>
        <v>28220</v>
      </c>
      <c r="M1464" s="2776">
        <v>9295</v>
      </c>
      <c r="N1464" s="1814">
        <f>SUM(L1464:M1464)</f>
        <v>37515</v>
      </c>
      <c r="O1464" s="2776">
        <v>6298</v>
      </c>
      <c r="P1464" s="1945">
        <f t="shared" si="3643"/>
        <v>15593</v>
      </c>
      <c r="Q1464" s="2209">
        <f t="shared" si="3644"/>
        <v>43813</v>
      </c>
      <c r="R1464" s="2776">
        <v>6881</v>
      </c>
      <c r="S1464" s="1814">
        <f>SUM(Q1464:R1464)</f>
        <v>50694</v>
      </c>
      <c r="T1464" s="2776">
        <v>10134</v>
      </c>
      <c r="U1464" s="1814">
        <f>SUM(S1464:T1464)</f>
        <v>60828</v>
      </c>
      <c r="V1464" s="2776">
        <v>13320</v>
      </c>
      <c r="W1464" s="1945">
        <f t="shared" si="3645"/>
        <v>30335</v>
      </c>
      <c r="X1464" s="1813">
        <f t="shared" si="3646"/>
        <v>74148</v>
      </c>
      <c r="Y1464" s="2776">
        <v>7507</v>
      </c>
      <c r="Z1464" s="1814">
        <f>SUM(X1464:Y1464)</f>
        <v>81655</v>
      </c>
      <c r="AA1464" s="2776">
        <v>7332</v>
      </c>
      <c r="AB1464" s="1814">
        <f>SUM(Z1464:AA1464)</f>
        <v>88987</v>
      </c>
      <c r="AC1464" s="2776">
        <v>11124</v>
      </c>
      <c r="AD1464" s="1945">
        <f t="shared" si="3647"/>
        <v>25963</v>
      </c>
      <c r="AE1464" s="1290">
        <f t="shared" si="3621"/>
        <v>56298</v>
      </c>
      <c r="AF1464" s="1813">
        <f t="shared" si="3627"/>
        <v>100111</v>
      </c>
    </row>
    <row r="1465" spans="5:32" ht="34" thickBot="1" x14ac:dyDescent="0.35">
      <c r="E1465" s="1921" t="s">
        <v>1021</v>
      </c>
      <c r="F1465" s="1812">
        <f t="shared" ref="F1465:G1465" si="3648">+F1464/F1463*100</f>
        <v>42.769857433808554</v>
      </c>
      <c r="G1465" s="1812">
        <f t="shared" si="3648"/>
        <v>62.049653579676679</v>
      </c>
      <c r="H1465" s="1816">
        <f t="shared" ref="H1465:L1465" si="3649">+H1464/H1463*100</f>
        <v>52.447471380959279</v>
      </c>
      <c r="I1465" s="1812">
        <f t="shared" si="3649"/>
        <v>54.547903868951394</v>
      </c>
      <c r="J1465" s="1948">
        <f t="shared" si="3649"/>
        <v>53.182066600079146</v>
      </c>
      <c r="K1465" s="1812">
        <f t="shared" si="3649"/>
        <v>0</v>
      </c>
      <c r="L1465" s="1816">
        <f t="shared" si="3649"/>
        <v>38.364283966393863</v>
      </c>
      <c r="M1465" s="1812">
        <f t="shared" ref="M1465:O1465" si="3650">+M1464/M1463*100</f>
        <v>33.70806890299184</v>
      </c>
      <c r="N1465" s="1816">
        <f t="shared" ref="N1465:P1465" si="3651">+N1464/N1463*100</f>
        <v>37.094716857998868</v>
      </c>
      <c r="O1465" s="1812">
        <f t="shared" si="3650"/>
        <v>29.65858252884389</v>
      </c>
      <c r="P1465" s="1948">
        <f t="shared" si="3651"/>
        <v>22.499098189163842</v>
      </c>
      <c r="Q1465" s="2210">
        <f t="shared" ref="Q1465:T1465" si="3652">+Q1464/Q1463*100</f>
        <v>35.804295240585773</v>
      </c>
      <c r="R1465" s="1812">
        <f t="shared" si="3652"/>
        <v>29.763398070850815</v>
      </c>
      <c r="S1465" s="1816">
        <f t="shared" si="3652"/>
        <v>34.84435035432719</v>
      </c>
      <c r="T1465" s="1812">
        <f t="shared" si="3652"/>
        <v>44.674660553694231</v>
      </c>
      <c r="U1465" s="1816">
        <f t="shared" ref="U1465:AC1465" si="3653">+U1464/U1463*100</f>
        <v>36.170326631821183</v>
      </c>
      <c r="V1465" s="1812">
        <f t="shared" si="3653"/>
        <v>51.613903204556898</v>
      </c>
      <c r="W1465" s="1948">
        <f t="shared" si="3653"/>
        <v>42.361402038821396</v>
      </c>
      <c r="X1465" s="1816">
        <f t="shared" si="3653"/>
        <v>38.224953345224719</v>
      </c>
      <c r="Y1465" s="1812">
        <f t="shared" ref="Y1465" si="3654">+Y1464/Y1463*100</f>
        <v>28.505790772735899</v>
      </c>
      <c r="Z1465" s="1816">
        <f t="shared" si="3653"/>
        <v>37.063178296332943</v>
      </c>
      <c r="AA1465" s="1812">
        <f t="shared" si="3653"/>
        <v>30.218851749577546</v>
      </c>
      <c r="AB1465" s="1816">
        <f t="shared" si="3653"/>
        <v>36.384191416982858</v>
      </c>
      <c r="AC1465" s="1812">
        <f t="shared" si="3653"/>
        <v>49.680675271314371</v>
      </c>
      <c r="AD1465" s="1948">
        <f t="shared" ref="AD1465:AE1465" si="3655">+AD1464/AD1463*100</f>
        <v>35.571113455452192</v>
      </c>
      <c r="AE1465" s="2542">
        <f t="shared" si="3655"/>
        <v>38.933879210782926</v>
      </c>
      <c r="AF1465" s="1816">
        <f t="shared" ref="AF1465" si="3656">+AF1464/AF1463*100</f>
        <v>37.49939131053651</v>
      </c>
    </row>
    <row r="1466" spans="5:32" ht="26" thickBot="1" x14ac:dyDescent="0.3">
      <c r="E1466" s="57"/>
      <c r="H1466" s="3170"/>
      <c r="J1466" s="3170"/>
      <c r="L1466" s="3170"/>
    </row>
    <row r="1467" spans="5:32" ht="35" x14ac:dyDescent="0.35">
      <c r="E1467" s="1841" t="s">
        <v>1041</v>
      </c>
      <c r="F1467" s="1192">
        <f>+F6</f>
        <v>30</v>
      </c>
      <c r="G1467" s="1192">
        <f>+G6</f>
        <v>31</v>
      </c>
      <c r="H1467" s="3640">
        <f>SUM(F1467:G1467)</f>
        <v>61</v>
      </c>
      <c r="I1467" s="1192">
        <f>+I6</f>
        <v>30</v>
      </c>
      <c r="J1467" s="3640">
        <f>SUM(H1467:I1467)</f>
        <v>91</v>
      </c>
      <c r="K1467" s="1192">
        <f>+K6</f>
        <v>31</v>
      </c>
      <c r="L1467" s="3640">
        <f>SUM(J1467:K1467)</f>
        <v>122</v>
      </c>
      <c r="M1467" s="1192">
        <v>31</v>
      </c>
      <c r="N1467" s="1192">
        <f>SUM(L1467:M1467)</f>
        <v>153</v>
      </c>
      <c r="O1467" s="1192">
        <v>30</v>
      </c>
      <c r="P1467" s="1192">
        <f>+K1467+M1467+O1467</f>
        <v>92</v>
      </c>
      <c r="Q1467" s="1192">
        <f>+N1467+O1467</f>
        <v>183</v>
      </c>
      <c r="R1467" s="1192">
        <v>31</v>
      </c>
      <c r="S1467" s="1192">
        <f>+Q1467+R1467</f>
        <v>214</v>
      </c>
      <c r="T1467" s="1192">
        <v>30</v>
      </c>
      <c r="U1467" s="1192">
        <f>+S1467+T1467</f>
        <v>244</v>
      </c>
      <c r="V1467" s="1192">
        <v>31</v>
      </c>
      <c r="W1467" s="1192">
        <f>+R1467+T1467+V1467</f>
        <v>92</v>
      </c>
      <c r="X1467" s="1192">
        <f>+U1467+V1467</f>
        <v>275</v>
      </c>
      <c r="Y1467" s="1192">
        <v>31</v>
      </c>
      <c r="Z1467" s="1192">
        <f>+X1467+Y1467</f>
        <v>306</v>
      </c>
      <c r="AA1467" s="1192">
        <v>29</v>
      </c>
      <c r="AB1467" s="2477">
        <f>+Z1467+AA1467</f>
        <v>335</v>
      </c>
      <c r="AC1467" s="1192">
        <v>31</v>
      </c>
      <c r="AD1467" s="1192">
        <f>+Y1467+AA1467+AC1467</f>
        <v>91</v>
      </c>
      <c r="AE1467" s="1192">
        <f>+AD1467+W1467</f>
        <v>183</v>
      </c>
      <c r="AF1467" s="2477">
        <f>+AB1467+AC1467</f>
        <v>366</v>
      </c>
    </row>
    <row r="1468" spans="5:32" ht="30" x14ac:dyDescent="0.3">
      <c r="E1468" s="1893" t="s">
        <v>891</v>
      </c>
      <c r="F1468" s="1839"/>
      <c r="G1468" s="1839"/>
      <c r="H1468" s="3698"/>
      <c r="I1468" s="1839"/>
      <c r="J1468" s="3698"/>
      <c r="K1468" s="1839"/>
      <c r="L1468" s="3698"/>
      <c r="M1468" s="1839"/>
      <c r="N1468" s="1839"/>
      <c r="O1468" s="1839"/>
      <c r="P1468" s="1839"/>
      <c r="Q1468" s="1839"/>
      <c r="R1468" s="1839"/>
      <c r="S1468" s="1839"/>
      <c r="T1468" s="1839"/>
      <c r="U1468" s="1839"/>
      <c r="V1468" s="1839"/>
      <c r="W1468" s="1839"/>
      <c r="X1468" s="1839"/>
      <c r="Y1468" s="1839"/>
      <c r="Z1468" s="1839"/>
      <c r="AA1468" s="1839"/>
      <c r="AB1468" s="1839"/>
      <c r="AC1468" s="1839"/>
      <c r="AD1468" s="1839"/>
      <c r="AE1468" s="1839"/>
      <c r="AF1468" s="1839"/>
    </row>
    <row r="1469" spans="5:32" ht="30" x14ac:dyDescent="0.3">
      <c r="E1469" s="1842" t="s">
        <v>1027</v>
      </c>
      <c r="F1469" s="4597">
        <v>234.96</v>
      </c>
      <c r="G1469" s="4597">
        <v>243.40618279569895</v>
      </c>
      <c r="H1469" s="1522">
        <f>+((F1469*$F$1467)+(G1469*$G$1467))/$H$1467</f>
        <v>239.25232240437157</v>
      </c>
      <c r="I1469" s="4597">
        <v>246.88244444444442</v>
      </c>
      <c r="J1469" s="1931">
        <f>+((H1469*$H$1467)+(I1469*$I$1467))/$J$1467</f>
        <v>241.76774725274723</v>
      </c>
      <c r="K1469" s="4597">
        <v>250.42193548387098</v>
      </c>
      <c r="L1469" s="1522">
        <f>+((J1469*$J$1467)+(K1469*$K$1467))/$L$1467</f>
        <v>243.96676229508196</v>
      </c>
      <c r="M1469" s="3269">
        <v>284.31</v>
      </c>
      <c r="N1469" s="1522">
        <f>+((L1469*$L$1467)+(M1469*$M$1467))/$N$1467</f>
        <v>252.14088235294119</v>
      </c>
      <c r="O1469" s="3269">
        <v>254.19583333333333</v>
      </c>
      <c r="P1469" s="1931">
        <f>+((K1469*$K$1467)+(M1469*$M$1467)+(O1469*$O$1467))/$P$1467</f>
        <v>263.07135869565218</v>
      </c>
      <c r="Q1469" s="2211">
        <f>+((N1469*$N$1467)+(O1469*$O$1467))/$Q$1467</f>
        <v>252.47775956284153</v>
      </c>
      <c r="R1469" s="3269">
        <v>254.01747311827958</v>
      </c>
      <c r="S1469" s="1522">
        <f>+((Q1469*$Q$1467)+(R1469*$R$1467))/$S$1467</f>
        <v>252.70080218068534</v>
      </c>
      <c r="T1469" s="4597">
        <v>261.37</v>
      </c>
      <c r="U1469" s="1522">
        <f>+((S1469*$S$1467)+(T1469*$T$1467))/$U$1467</f>
        <v>253.76668715846992</v>
      </c>
      <c r="V1469" s="4597">
        <v>268.64600000000002</v>
      </c>
      <c r="W1469" s="1931">
        <f>+((R1469*$R$1467)+(T1469*$T$1467)+(V1469*$V$1467))/$W$1467</f>
        <v>261.34421376811594</v>
      </c>
      <c r="X1469" s="1522">
        <f>+((U1469*$U$1467)+(V1469*$V$1467))/$X$1467</f>
        <v>255.44399151515151</v>
      </c>
      <c r="Y1469" s="4597">
        <v>262.59139784946234</v>
      </c>
      <c r="Z1469" s="1522">
        <f>+((X1469*$X$1467)+(Y1469*$Y$1467))/$Z$1467</f>
        <v>256.16807516339867</v>
      </c>
      <c r="AA1469" s="4597">
        <v>262.26436781609198</v>
      </c>
      <c r="AB1469" s="1522">
        <f>+((Z1469*$Z$1467)+(AA1469*$AA$1467))/$AB$1467</f>
        <v>256.69581393034827</v>
      </c>
      <c r="AC1469" s="4597">
        <v>250.00026881720433</v>
      </c>
      <c r="AD1469" s="1931">
        <f>+((Y1469*$Y$1467)+(AA1469*$AA$1467)+(AC1469*$AC$1467))/$AD$1467</f>
        <v>258.19789377289379</v>
      </c>
      <c r="AE1469" s="2211">
        <f>+((W1469*$W$1467)+(AD1469*$AD$1467))/$AE$1467</f>
        <v>259.77965027322404</v>
      </c>
      <c r="AF1469" s="2638">
        <f>+((AB1469*$AB$1467)+(AC1469*$AC$1467))/$AF$1467</f>
        <v>256.12870491803278</v>
      </c>
    </row>
    <row r="1470" spans="5:32" ht="31" thickBot="1" x14ac:dyDescent="0.35">
      <c r="E1470" s="1843" t="s">
        <v>190</v>
      </c>
      <c r="F1470" s="5028">
        <v>52.96</v>
      </c>
      <c r="G1470" s="5028">
        <v>48.453225806451606</v>
      </c>
      <c r="H1470" s="1522">
        <f>+((F1470*$F$1467)+(G1470*$G$1467))/$H$1467</f>
        <v>50.669672131147529</v>
      </c>
      <c r="I1470" s="5028">
        <v>54.066444444444443</v>
      </c>
      <c r="J1470" s="1931">
        <f>+((H1470*$H$1467)+(I1470*$I$1467))/$J$1467</f>
        <v>51.789487179487168</v>
      </c>
      <c r="K1470" s="5028">
        <v>58.921075268817205</v>
      </c>
      <c r="L1470" s="1522">
        <f>+((J1470*$J$1467)+(K1470*$K$1467))/$L$1467</f>
        <v>53.601612021857918</v>
      </c>
      <c r="M1470" s="3270">
        <v>54.45</v>
      </c>
      <c r="N1470" s="1522">
        <f>+((L1470*$L$1467)+(M1470*$M$1467))/$N$1467</f>
        <v>53.77350762527233</v>
      </c>
      <c r="O1470" s="3270">
        <v>55.990833333333335</v>
      </c>
      <c r="P1470" s="1931">
        <f>+((K1470*$K$1467)+(M1470*$M$1467)+(O1470*$O$1467))/$P$1467</f>
        <v>56.459003623188408</v>
      </c>
      <c r="Q1470" s="2211">
        <f>+((N1470*$N$1467)+(O1470*$O$1467))/$Q$1467</f>
        <v>54.137003642987253</v>
      </c>
      <c r="R1470" s="3270">
        <v>57.9</v>
      </c>
      <c r="S1470" s="1522">
        <f>+((Q1470*$Q$1467)+(R1470*$R$1467))/$S$1467</f>
        <v>54.682110591900312</v>
      </c>
      <c r="T1470" s="5028">
        <v>58.11</v>
      </c>
      <c r="U1470" s="1522">
        <f>+((S1470*$S$1467)+(T1470*$T$1467))/$U$1467</f>
        <v>55.103572404371583</v>
      </c>
      <c r="V1470" s="5028">
        <v>59.497999999999998</v>
      </c>
      <c r="W1470" s="1931">
        <f>+((R1470*$R$1467)+(T1470*$T$1467)+(V1470*$V$1467))/$W$1467</f>
        <v>58.506934782608695</v>
      </c>
      <c r="X1470" s="1522">
        <f>+((U1470*$U$1467)+(V1470*$V$1467))/$X$1467</f>
        <v>55.598944242424238</v>
      </c>
      <c r="Y1470" s="5028">
        <v>59.210591397849463</v>
      </c>
      <c r="Z1470" s="1522">
        <f>+((X1470*$X$1467)+(Y1470*$Y$1467))/$Z$1467</f>
        <v>55.964830065359472</v>
      </c>
      <c r="AA1470" s="5028">
        <v>59.379741379310346</v>
      </c>
      <c r="AB1470" s="1522">
        <f>+((Z1470*$Z$1467)+(AA1470*$AA$1467))/$AB$1467</f>
        <v>56.260449253731338</v>
      </c>
      <c r="AC1470" s="5028">
        <v>59.04860215053764</v>
      </c>
      <c r="AD1470" s="1931">
        <f>+((Y1470*$Y$1467)+(AA1470*$AA$1467)+(AC1470*$AC$1467))/$AD$1467</f>
        <v>59.209313186813191</v>
      </c>
      <c r="AE1470" s="2211">
        <f>+((W1470*$W$1467)+(AD1470*$AD$1467))/$AE$1467</f>
        <v>58.856204918032788</v>
      </c>
      <c r="AF1470" s="2638">
        <f>+((AB1470*$AB$1467)+(AC1470*$AC$1467))/$AF$1467</f>
        <v>56.49660428051002</v>
      </c>
    </row>
    <row r="1471" spans="5:32" ht="31" thickBot="1" x14ac:dyDescent="0.35">
      <c r="E1471" s="1840" t="s">
        <v>1037</v>
      </c>
      <c r="F1471" s="1844">
        <f>SUM(F1469:F1470)</f>
        <v>287.92</v>
      </c>
      <c r="G1471" s="1844">
        <f>SUM(G1469:G1470)</f>
        <v>291.85940860215055</v>
      </c>
      <c r="H1471" s="1235">
        <f t="shared" ref="H1471:L1471" si="3657">SUM(H1469:H1470)</f>
        <v>289.9219945355191</v>
      </c>
      <c r="I1471" s="1844">
        <f>SUM(I1469:I1470)</f>
        <v>300.94888888888886</v>
      </c>
      <c r="J1471" s="1238">
        <f t="shared" si="3657"/>
        <v>293.5572344322344</v>
      </c>
      <c r="K1471" s="1844">
        <f>SUM(K1469:K1470)</f>
        <v>309.3430107526882</v>
      </c>
      <c r="L1471" s="1235">
        <f t="shared" si="3657"/>
        <v>297.56837431693987</v>
      </c>
      <c r="M1471" s="1844">
        <f>SUM(M1469:M1470)</f>
        <v>338.76</v>
      </c>
      <c r="N1471" s="1235">
        <f t="shared" ref="N1471" si="3658">SUM(N1469:N1470)</f>
        <v>305.91438997821353</v>
      </c>
      <c r="O1471" s="1844">
        <f>SUM(O1469:O1470)</f>
        <v>310.18666666666667</v>
      </c>
      <c r="P1471" s="1238">
        <f t="shared" ref="P1471" si="3659">SUM(P1469:P1470)</f>
        <v>319.53036231884062</v>
      </c>
      <c r="Q1471" s="1236">
        <f t="shared" ref="Q1471:S1471" si="3660">SUM(Q1469:Q1470)</f>
        <v>306.61476320582881</v>
      </c>
      <c r="R1471" s="1844">
        <f>SUM(R1469:R1470)</f>
        <v>311.91747311827959</v>
      </c>
      <c r="S1471" s="1235">
        <f t="shared" si="3660"/>
        <v>307.38291277258566</v>
      </c>
      <c r="T1471" s="1844">
        <f>SUM(T1469:T1470)</f>
        <v>319.48</v>
      </c>
      <c r="U1471" s="1235">
        <f t="shared" ref="U1471:X1471" si="3661">SUM(U1469:U1470)</f>
        <v>308.87025956284151</v>
      </c>
      <c r="V1471" s="5031">
        <f>SUM(V1469:V1470)</f>
        <v>328.14400000000001</v>
      </c>
      <c r="W1471" s="1238">
        <f t="shared" si="3661"/>
        <v>319.85114855072464</v>
      </c>
      <c r="X1471" s="1235">
        <f t="shared" si="3661"/>
        <v>311.04293575757572</v>
      </c>
      <c r="Y1471" s="5031">
        <f>SUM(Y1469:Y1470)</f>
        <v>321.80198924731178</v>
      </c>
      <c r="Z1471" s="1235">
        <f t="shared" ref="Z1471" si="3662">SUM(Z1469:Z1470)</f>
        <v>312.13290522875815</v>
      </c>
      <c r="AA1471" s="5031">
        <f>SUM(AA1469:AA1470)</f>
        <v>321.64410919540234</v>
      </c>
      <c r="AB1471" s="1235">
        <f t="shared" ref="AB1471:AE1471" si="3663">SUM(AB1469:AB1470)</f>
        <v>312.9562631840796</v>
      </c>
      <c r="AC1471" s="5031">
        <f>SUM(AC1469:AC1470)</f>
        <v>309.04887096774195</v>
      </c>
      <c r="AD1471" s="1238">
        <f t="shared" si="3663"/>
        <v>317.40720695970697</v>
      </c>
      <c r="AE1471" s="1236">
        <f t="shared" si="3663"/>
        <v>318.63585519125684</v>
      </c>
      <c r="AF1471" s="2639">
        <f t="shared" ref="AF1471" si="3664">SUM(AF1469:AF1470)</f>
        <v>312.62530919854282</v>
      </c>
    </row>
    <row r="1472" spans="5:32" ht="31" thickBot="1" x14ac:dyDescent="0.35">
      <c r="E1472" s="1840" t="s">
        <v>1032</v>
      </c>
      <c r="F1472" s="3271">
        <v>0.88372222222222063</v>
      </c>
      <c r="G1472" s="3271">
        <v>0.59540322580646565</v>
      </c>
      <c r="H1472" s="1688">
        <f>+((F1472*$F$1467)+(G1472*$G$1467))/$H$1467</f>
        <v>0.73719945355191896</v>
      </c>
      <c r="I1472" s="3271">
        <v>0.72444444444441214</v>
      </c>
      <c r="J1472" s="1944">
        <f>+((H1472*$H$1467)+(I1472*$I$1467))/$J$1467</f>
        <v>0.73299450549449907</v>
      </c>
      <c r="K1472" s="3271">
        <v>0.55500000000001726</v>
      </c>
      <c r="L1472" s="1688">
        <f>+((J1472*$J$1467)+(K1472*$K$1467))/$L$1467</f>
        <v>0.68776639344262258</v>
      </c>
      <c r="M1472" s="3271">
        <v>0.70967741935483875</v>
      </c>
      <c r="N1472" s="1688">
        <f>+((L1472*$L$1467)+(M1472*$M$1467))/$N$1467</f>
        <v>0.69220588235294089</v>
      </c>
      <c r="O1472" s="3271">
        <v>0.81583333333332519</v>
      </c>
      <c r="P1472" s="1944">
        <f>+((K1472*$K$1467)+(M1472*$M$1467)+(O1472*$O$1467))/$P$1467</f>
        <v>0.69217391304348141</v>
      </c>
      <c r="Q1472" s="2208">
        <f>+((N1472*$N$1467)+(O1472*$O$1467))/$Q$1467</f>
        <v>0.71247267759562682</v>
      </c>
      <c r="R1472" s="3271">
        <v>0.74274193548387879</v>
      </c>
      <c r="S1472" s="1688">
        <f>+((Q1472*$Q$1467)+(R1472*$R$1467))/$S$1467</f>
        <v>0.7168574766355138</v>
      </c>
      <c r="T1472" s="3271">
        <v>0.48</v>
      </c>
      <c r="U1472" s="1688">
        <f>+((S1472*$S$1467)+(T1472*$T$1467))/$U$1467</f>
        <v>0.68773565573770468</v>
      </c>
      <c r="V1472" s="3271">
        <v>0.45400000000000773</v>
      </c>
      <c r="W1472" s="1944">
        <f>+((R1472*$R$1467)+(T1472*$T$1467)+(V1472*$V$1467))/$W$1467</f>
        <v>0.55977173913043998</v>
      </c>
      <c r="X1472" s="1688">
        <f>+((U1472*$U$1467)+(V1472*$V$1467))/$X$1467</f>
        <v>0.66138727272727338</v>
      </c>
      <c r="Y1472" s="3271">
        <v>0.39344086021505531</v>
      </c>
      <c r="Z1472" s="1688">
        <f>+((X1472*$X$1467)+(Y1472*$Y$1467))/$Z$1467</f>
        <v>0.63424237472766964</v>
      </c>
      <c r="AA1472" s="3271">
        <v>0.36824712643676488</v>
      </c>
      <c r="AB1472" s="1688">
        <f>+((Z1472*$Z$1467)+(AA1472*$AA$1467))/$AB$1467</f>
        <v>0.6112159203980092</v>
      </c>
      <c r="AC1472" s="3271">
        <v>0.45311827956986667</v>
      </c>
      <c r="AD1472" s="1944">
        <f>+((Y1472*$Y$1467)+(AA1472*$AA$1467)+(AC1472*$AC$1467))/$AD$1467</f>
        <v>0.40574175824174463</v>
      </c>
      <c r="AE1472" s="2208">
        <f>+((W1472*$W$1467)+(AD1472*$AD$1467))/$AE$1467</f>
        <v>0.48317759562841117</v>
      </c>
      <c r="AF1472" s="1984">
        <f>+((AB1472*$AB$1467)+(AC1472*$AC$1467))/$AF$1467</f>
        <v>0.59782513661201897</v>
      </c>
    </row>
    <row r="1473" spans="5:34" ht="31" thickBot="1" x14ac:dyDescent="0.35">
      <c r="E1473" s="1840" t="s">
        <v>1038</v>
      </c>
      <c r="F1473" s="1844">
        <f t="shared" ref="F1473:G1473" si="3665">+F1471-F1472</f>
        <v>287.0362777777778</v>
      </c>
      <c r="G1473" s="1844">
        <f t="shared" si="3665"/>
        <v>291.26400537634407</v>
      </c>
      <c r="H1473" s="1235">
        <f t="shared" ref="H1473:L1473" si="3666">+H1471-H1472</f>
        <v>289.1847950819672</v>
      </c>
      <c r="I1473" s="1844">
        <f t="shared" si="3666"/>
        <v>300.22444444444443</v>
      </c>
      <c r="J1473" s="1238">
        <f t="shared" si="3666"/>
        <v>292.82423992673989</v>
      </c>
      <c r="K1473" s="1844">
        <f t="shared" si="3666"/>
        <v>308.78801075268819</v>
      </c>
      <c r="L1473" s="1235">
        <f t="shared" si="3666"/>
        <v>296.88060792349722</v>
      </c>
      <c r="M1473" s="1844">
        <f t="shared" ref="M1473:O1473" si="3667">+M1471-M1472</f>
        <v>338.05032258064517</v>
      </c>
      <c r="N1473" s="1235">
        <f t="shared" ref="N1473:P1473" si="3668">+N1471-N1472</f>
        <v>305.2221840958606</v>
      </c>
      <c r="O1473" s="1844">
        <f t="shared" si="3667"/>
        <v>309.37083333333334</v>
      </c>
      <c r="P1473" s="1238">
        <f t="shared" si="3668"/>
        <v>318.83818840579715</v>
      </c>
      <c r="Q1473" s="1236">
        <f t="shared" ref="Q1473:T1473" si="3669">+Q1471-Q1472</f>
        <v>305.90229052823321</v>
      </c>
      <c r="R1473" s="1844">
        <f t="shared" si="3669"/>
        <v>311.17473118279571</v>
      </c>
      <c r="S1473" s="1235">
        <f t="shared" si="3669"/>
        <v>306.66605529595012</v>
      </c>
      <c r="T1473" s="1844">
        <f t="shared" si="3669"/>
        <v>319</v>
      </c>
      <c r="U1473" s="1235">
        <f t="shared" ref="U1473:X1473" si="3670">+U1471-U1472</f>
        <v>308.18252390710381</v>
      </c>
      <c r="V1473" s="5031">
        <f t="shared" si="3670"/>
        <v>327.69</v>
      </c>
      <c r="W1473" s="1238">
        <f t="shared" si="3670"/>
        <v>319.2913768115942</v>
      </c>
      <c r="X1473" s="1235">
        <f t="shared" si="3670"/>
        <v>310.38154848484845</v>
      </c>
      <c r="Y1473" s="5031">
        <f t="shared" ref="Y1473" si="3671">+Y1471-Y1472</f>
        <v>321.40854838709674</v>
      </c>
      <c r="Z1473" s="1235">
        <f t="shared" ref="Z1473:AA1473" si="3672">+Z1471-Z1472</f>
        <v>311.4986628540305</v>
      </c>
      <c r="AA1473" s="5031">
        <f t="shared" si="3672"/>
        <v>321.27586206896558</v>
      </c>
      <c r="AB1473" s="1235">
        <f t="shared" ref="AB1473:AF1473" si="3673">+AB1471-AB1472</f>
        <v>312.34504726368158</v>
      </c>
      <c r="AC1473" s="5031">
        <f t="shared" si="3673"/>
        <v>308.59575268817207</v>
      </c>
      <c r="AD1473" s="1238">
        <f t="shared" si="3673"/>
        <v>317.00146520146524</v>
      </c>
      <c r="AE1473" s="1236">
        <f t="shared" si="3673"/>
        <v>318.1526775956284</v>
      </c>
      <c r="AF1473" s="2639">
        <f t="shared" si="3673"/>
        <v>312.02748406193081</v>
      </c>
    </row>
    <row r="1474" spans="5:34" ht="30" x14ac:dyDescent="0.3">
      <c r="E1474" s="1892" t="s">
        <v>1036</v>
      </c>
      <c r="F1474" s="3699"/>
      <c r="G1474" s="3699"/>
      <c r="H1474" s="3699">
        <f t="shared" ref="H1474:AF1474" si="3674">H1483-H1473</f>
        <v>-1.7759562841774823E-3</v>
      </c>
      <c r="I1474" s="3699"/>
      <c r="J1474" s="3699">
        <f t="shared" si="3674"/>
        <v>-1.1904761904588668E-3</v>
      </c>
      <c r="K1474" s="3699"/>
      <c r="L1474" s="3699">
        <f t="shared" si="3674"/>
        <v>-8.8797814203189773E-4</v>
      </c>
      <c r="M1474" s="3699">
        <f t="shared" si="3674"/>
        <v>-1.1290322580634893E-3</v>
      </c>
      <c r="N1474" s="3699">
        <f t="shared" si="3674"/>
        <v>-9.368191721250696E-4</v>
      </c>
      <c r="O1474" s="3699">
        <f t="shared" si="3674"/>
        <v>0</v>
      </c>
      <c r="P1474" s="3699">
        <f t="shared" si="3674"/>
        <v>-3.8043478264171426E-4</v>
      </c>
      <c r="Q1474" s="3699">
        <f t="shared" si="3674"/>
        <v>-7.8324225870574082E-4</v>
      </c>
      <c r="R1474" s="3699">
        <f t="shared" si="3674"/>
        <v>0</v>
      </c>
      <c r="S1474" s="3699">
        <f t="shared" si="3674"/>
        <v>-6.6978193143540921E-4</v>
      </c>
      <c r="T1474" s="3699">
        <f t="shared" si="3674"/>
        <v>0</v>
      </c>
      <c r="U1474" s="3699">
        <f t="shared" si="3674"/>
        <v>-5.8743169392982963E-4</v>
      </c>
      <c r="V1474" s="3699">
        <f t="shared" si="3674"/>
        <v>0</v>
      </c>
      <c r="W1474" s="3699">
        <f t="shared" si="3674"/>
        <v>0</v>
      </c>
      <c r="X1474" s="3699">
        <f t="shared" si="3674"/>
        <v>-5.2121212121392091E-4</v>
      </c>
      <c r="Y1474" s="3699">
        <f t="shared" si="3674"/>
        <v>0</v>
      </c>
      <c r="Z1474" s="3699">
        <f t="shared" si="3674"/>
        <v>-4.684095860625348E-4</v>
      </c>
      <c r="AA1474" s="3699">
        <f t="shared" si="3674"/>
        <v>0</v>
      </c>
      <c r="AB1474" s="3699">
        <f t="shared" si="3674"/>
        <v>-4.2786069650446734E-4</v>
      </c>
      <c r="AC1474" s="3699">
        <f t="shared" si="3674"/>
        <v>0</v>
      </c>
      <c r="AD1474" s="3699">
        <f t="shared" si="3674"/>
        <v>0</v>
      </c>
      <c r="AE1474" s="3699">
        <f t="shared" si="3674"/>
        <v>0</v>
      </c>
      <c r="AF1474" s="3699">
        <f t="shared" si="3674"/>
        <v>-3.916211293244487E-4</v>
      </c>
    </row>
    <row r="1475" spans="5:34" ht="30" x14ac:dyDescent="0.3">
      <c r="E1475" s="1842" t="s">
        <v>1449</v>
      </c>
      <c r="F1475" s="3163">
        <v>25.447500000000002</v>
      </c>
      <c r="G1475" s="3163">
        <v>26.989247311827956</v>
      </c>
      <c r="H1475" s="1522">
        <f t="shared" ref="H1475:H1481" si="3675">+((F1475*$F$1467)+(G1475*$G$1467))/$H$1467</f>
        <v>26.231010928961748</v>
      </c>
      <c r="I1475" s="3163">
        <v>25.688833333333331</v>
      </c>
      <c r="J1475" s="1931">
        <f>+((H1475*$H$1467)+(I1475*$I$1467))/$J$1467</f>
        <v>26.05227106227106</v>
      </c>
      <c r="K1475" s="3163">
        <v>23.56451612903226</v>
      </c>
      <c r="L1475" s="1522">
        <f>+((J1475*$J$1467)+(K1475*$K$1467))/$L$1467</f>
        <v>25.420136612021857</v>
      </c>
      <c r="M1475" s="3163">
        <v>25.043010752688172</v>
      </c>
      <c r="N1475" s="1522">
        <f>+((L1475*$L$1467)+(M1475*$M$1467))/$N$1467</f>
        <v>25.343725490196078</v>
      </c>
      <c r="O1475" s="3163">
        <v>23.877777777777776</v>
      </c>
      <c r="P1475" s="1931">
        <f>+((K1475*$K$1467)+(M1475*$M$1467)+(O1475*$O$1467))/$P$1467</f>
        <v>24.164855072463773</v>
      </c>
      <c r="Q1475" s="2211">
        <f>+((N1475*$N$1467)+(O1475*$O$1467))/$Q$1467</f>
        <v>25.103406193078325</v>
      </c>
      <c r="R1475" s="3163">
        <v>24.40456989247312</v>
      </c>
      <c r="S1475" s="1522">
        <f>+((Q1475*$Q$1467)+(R1475*$R$1467))/$S$1467</f>
        <v>25.002172897196264</v>
      </c>
      <c r="T1475" s="3163">
        <v>25</v>
      </c>
      <c r="U1475" s="1522">
        <f>+((S1475*$S$1467)+(T1475*$T$1467))/$U$1467</f>
        <v>25.00190573770492</v>
      </c>
      <c r="V1475" s="3163">
        <v>24.6</v>
      </c>
      <c r="W1475" s="1931">
        <f>+((R1475*$R$1467)+(T1475*$T$1467)+(V1475*$V$1467))/$W$1467</f>
        <v>24.664583333333336</v>
      </c>
      <c r="X1475" s="1522">
        <f>+((U1475*$U$1467)+(V1475*$V$1467))/$X$1467</f>
        <v>24.956600000000002</v>
      </c>
      <c r="Y1475" s="3163">
        <v>25.487903225806452</v>
      </c>
      <c r="Z1475" s="1522">
        <f>+((X1475*$X$1467)+(Y1475*$Y$1467))/$Z$1467</f>
        <v>25.01042483660131</v>
      </c>
      <c r="AA1475" s="3163">
        <v>26.431034482758619</v>
      </c>
      <c r="AB1475" s="1522">
        <f>+((Z1475*$Z$1467)+(AA1475*$AA$1467))/$AB$1467</f>
        <v>25.133402985074628</v>
      </c>
      <c r="AC1475" s="3163">
        <v>25.685215053763439</v>
      </c>
      <c r="AD1475" s="1931">
        <f>+((Y1475*$Y$1467)+(AA1475*$AA$1467)+(AC1475*$AC$1467))/$AD$1467</f>
        <v>25.855677655677656</v>
      </c>
      <c r="AE1475" s="2211">
        <f>+((W1475*$W$1467)+(AD1475*$AD$1467))/$AE$1467</f>
        <v>25.256876138433515</v>
      </c>
      <c r="AF1475" s="2638">
        <f>+((AB1475*$AB$1467)+(AC1475*$AC$1467))/$AF$1467</f>
        <v>25.18014116575592</v>
      </c>
    </row>
    <row r="1476" spans="5:34" ht="30" x14ac:dyDescent="0.3">
      <c r="E1476" s="1842" t="s">
        <v>1450</v>
      </c>
      <c r="F1476" s="3163">
        <v>0</v>
      </c>
      <c r="G1476" s="3163">
        <v>0</v>
      </c>
      <c r="H1476" s="1522">
        <f t="shared" si="3675"/>
        <v>0</v>
      </c>
      <c r="I1476" s="3163">
        <v>0</v>
      </c>
      <c r="J1476" s="1931">
        <f>+((H1476*$H$1467)+(I1476*$I$1467))/$J$1467</f>
        <v>0</v>
      </c>
      <c r="K1476" s="3163">
        <v>0</v>
      </c>
      <c r="L1476" s="1522">
        <f>+((J1476*$J$1467)+(K1476*$K$1467))/$L$1467</f>
        <v>0</v>
      </c>
      <c r="M1476" s="3163">
        <v>0</v>
      </c>
      <c r="N1476" s="1522">
        <f>+((L1476*$L$1467)+(M1476*$M$1467))/$N$1467</f>
        <v>0</v>
      </c>
      <c r="O1476" s="3163">
        <v>0</v>
      </c>
      <c r="P1476" s="1931">
        <f>+((K1476*$K$1467)+(M1476*$M$1467)+(O1476*$O$1467))/$P$1467</f>
        <v>0</v>
      </c>
      <c r="Q1476" s="2211">
        <f>+((N1476*$N$1467)+(O1476*$O$1467))/$Q$1467</f>
        <v>0</v>
      </c>
      <c r="R1476" s="3163">
        <v>0</v>
      </c>
      <c r="S1476" s="1522">
        <f>+((Q1476*$Q$1467)+(R1476*$R$1467))/$S$1467</f>
        <v>0</v>
      </c>
      <c r="T1476" s="3163">
        <v>0</v>
      </c>
      <c r="U1476" s="1522">
        <f>+((S1476*$S$1467)+(T1476*$T$1467))/$U$1467</f>
        <v>0</v>
      </c>
      <c r="V1476" s="3163">
        <v>0</v>
      </c>
      <c r="W1476" s="1931">
        <f>+((R1476*$R$1467)+(T1476*$T$1467)+(V1476*$V$1467))/$W$1467</f>
        <v>0</v>
      </c>
      <c r="X1476" s="1522">
        <f>+((U1476*$U$1467)+(V1476*$V$1467))/$X$1467</f>
        <v>0</v>
      </c>
      <c r="Y1476" s="3163">
        <v>0</v>
      </c>
      <c r="Z1476" s="1522">
        <f>+((X1476*$X$1467)+(Y1476*$Y$1467))/$Z$1467</f>
        <v>0</v>
      </c>
      <c r="AA1476" s="3163">
        <v>0</v>
      </c>
      <c r="AB1476" s="1522">
        <f>+((Z1476*$Z$1467)+(AA1476*$AA$1467))/$AB$1467</f>
        <v>0</v>
      </c>
      <c r="AC1476" s="3163">
        <v>0</v>
      </c>
      <c r="AD1476" s="1931">
        <f>+((Y1476*$Y$1467)+(AA1476*$AA$1467)+(AC1476*$AC$1467))/$AD$1467</f>
        <v>0</v>
      </c>
      <c r="AE1476" s="2211">
        <f>+((W1476*$W$1467)+(AD1476*$AD$1467))/$AE$1467</f>
        <v>0</v>
      </c>
      <c r="AF1476" s="2638">
        <f>+((AB1476*$AB$1467)+(AC1476*$AC$1467))/$AF$1467</f>
        <v>0</v>
      </c>
    </row>
    <row r="1477" spans="5:34" ht="30" x14ac:dyDescent="0.3">
      <c r="E1477" s="1842" t="s">
        <v>1028</v>
      </c>
      <c r="F1477" s="3163">
        <v>8.0658333333333321</v>
      </c>
      <c r="G1477" s="3163">
        <v>9.450940860215054</v>
      </c>
      <c r="H1477" s="1522">
        <f t="shared" si="3675"/>
        <v>8.76974043715847</v>
      </c>
      <c r="I1477" s="3163">
        <v>9.0697222222222216</v>
      </c>
      <c r="J1477" s="1931">
        <f t="shared" ref="J1477:J1481" si="3676">+((H1477*$H$1467)+(I1477*$I$1467))/$J$1467</f>
        <v>8.8686355311355314</v>
      </c>
      <c r="K1477" s="3163">
        <v>7.1354838709677422</v>
      </c>
      <c r="L1477" s="1522">
        <f t="shared" ref="L1477:L1481" si="3677">+((J1477*$J$1467)+(K1477*$K$1467))/$L$1467</f>
        <v>8.4282445355191253</v>
      </c>
      <c r="M1477" s="3163">
        <v>8.3731182795698924</v>
      </c>
      <c r="N1477" s="1522">
        <f t="shared" ref="N1477:N1481" si="3678">+((L1477*$L$1467)+(M1477*$M$1467))/$N$1467</f>
        <v>8.4170751633986924</v>
      </c>
      <c r="O1477" s="3163">
        <v>7.6236111111111109</v>
      </c>
      <c r="P1477" s="1931">
        <f t="shared" ref="P1477:P1481" si="3679">+((K1477*$K$1467)+(M1477*$M$1467)+(O1477*$O$1467))/$P$1467</f>
        <v>7.7116847826086943</v>
      </c>
      <c r="Q1477" s="2211">
        <f t="shared" ref="Q1477:Q1481" si="3680">+((N1477*$N$1467)+(O1477*$O$1467))/$Q$1467</f>
        <v>8.2869990892531877</v>
      </c>
      <c r="R1477" s="3163">
        <v>7.479838709677419</v>
      </c>
      <c r="S1477" s="1522">
        <f t="shared" ref="S1477:S1481" si="3681">+((Q1477*$Q$1467)+(R1477*$R$1467))/$S$1467</f>
        <v>8.1700739875389399</v>
      </c>
      <c r="T1477" s="3163">
        <v>7.26</v>
      </c>
      <c r="U1477" s="1522">
        <f t="shared" ref="U1477:U1481" si="3682">+((S1477*$S$1467)+(T1477*$T$1467))/$U$1467</f>
        <v>8.0581796448087424</v>
      </c>
      <c r="V1477" s="3163">
        <v>6.6</v>
      </c>
      <c r="W1477" s="1931">
        <f t="shared" ref="W1477:W1481" si="3683">+((R1477*$R$1467)+(T1477*$T$1467)+(V1477*$V$1467))/$W$1467</f>
        <v>7.1116847826086955</v>
      </c>
      <c r="X1477" s="1522">
        <f t="shared" ref="X1477:X1481" si="3684">+((U1477*$U$1467)+(V1477*$V$1467))/$X$1467</f>
        <v>7.8938030303030295</v>
      </c>
      <c r="Y1477" s="3163">
        <v>9.0728494623655909</v>
      </c>
      <c r="Z1477" s="1522">
        <f t="shared" ref="Z1477:Z1481" si="3685">+((X1477*$X$1467)+(Y1477*$Y$1467))/$Z$1467</f>
        <v>8.0132489106753795</v>
      </c>
      <c r="AA1477" s="3163">
        <v>7.6910919540229887</v>
      </c>
      <c r="AB1477" s="1522">
        <f t="shared" ref="AB1477:AB1481" si="3686">+((Z1477*$Z$1467)+(AA1477*$AA$1467))/$AB$1467</f>
        <v>7.9853606965174118</v>
      </c>
      <c r="AC1477" s="3163">
        <v>7.5279569892473122</v>
      </c>
      <c r="AD1477" s="1931">
        <f t="shared" ref="AD1477:AD1481" si="3687">+((Y1477*$Y$1467)+(AA1477*$AA$1467)+(AC1477*$AC$1467))/$AD$1467</f>
        <v>8.1062271062271076</v>
      </c>
      <c r="AE1477" s="2211">
        <f t="shared" ref="AE1477:AE1481" si="3688">+((W1477*$W$1467)+(AD1477*$AD$1467))/$AE$1467</f>
        <v>7.6062386156648447</v>
      </c>
      <c r="AF1477" s="2638">
        <f t="shared" ref="AF1477:AF1481" si="3689">+((AB1477*$AB$1467)+(AC1477*$AC$1467))/$AF$1467</f>
        <v>7.9466188524590153</v>
      </c>
    </row>
    <row r="1478" spans="5:34" ht="30" x14ac:dyDescent="0.3">
      <c r="E1478" s="1842" t="s">
        <v>1029</v>
      </c>
      <c r="F1478" s="3418">
        <v>4.822222222222222</v>
      </c>
      <c r="G1478" s="3418">
        <v>4.827956989247312</v>
      </c>
      <c r="H1478" s="1522">
        <f t="shared" si="3675"/>
        <v>4.8251366120218586</v>
      </c>
      <c r="I1478" s="3418">
        <v>5.4111111111111114</v>
      </c>
      <c r="J1478" s="1931">
        <f t="shared" si="3676"/>
        <v>5.0183150183150191</v>
      </c>
      <c r="K1478" s="3418">
        <v>5.790322580645161</v>
      </c>
      <c r="L1478" s="1522">
        <f t="shared" si="3677"/>
        <v>5.2144808743169406</v>
      </c>
      <c r="M1478" s="3418">
        <v>7.56989247311828</v>
      </c>
      <c r="N1478" s="1522">
        <f t="shared" si="3678"/>
        <v>5.6917211328976043</v>
      </c>
      <c r="O1478" s="3418">
        <v>5.8055555555555554</v>
      </c>
      <c r="P1478" s="1931">
        <f t="shared" si="3679"/>
        <v>6.3949275362318847</v>
      </c>
      <c r="Q1478" s="2211">
        <f t="shared" si="3680"/>
        <v>5.7103825136612034</v>
      </c>
      <c r="R1478" s="3418">
        <v>6.397849462365591</v>
      </c>
      <c r="S1478" s="1522">
        <f t="shared" si="3681"/>
        <v>5.8099688473520255</v>
      </c>
      <c r="T1478" s="3418">
        <v>6.75</v>
      </c>
      <c r="U1478" s="1522">
        <f t="shared" si="3682"/>
        <v>5.9255464480874327</v>
      </c>
      <c r="V1478" s="3418">
        <v>7.73</v>
      </c>
      <c r="W1478" s="1931">
        <f t="shared" si="3683"/>
        <v>6.9615579710144928</v>
      </c>
      <c r="X1478" s="1522">
        <f t="shared" si="3684"/>
        <v>6.1289575757575765</v>
      </c>
      <c r="Y1478" s="3418">
        <v>7.4946236559139781</v>
      </c>
      <c r="Z1478" s="1522">
        <f t="shared" si="3685"/>
        <v>6.2673093681917216</v>
      </c>
      <c r="AA1478" s="3418">
        <v>7.6321839080459766</v>
      </c>
      <c r="AB1478" s="1522">
        <f t="shared" si="3686"/>
        <v>6.3854626865671644</v>
      </c>
      <c r="AC1478" s="3418">
        <v>6.704301075268817</v>
      </c>
      <c r="AD1478" s="1931">
        <f t="shared" si="3687"/>
        <v>7.2692307692307692</v>
      </c>
      <c r="AE1478" s="2211">
        <f t="shared" si="3688"/>
        <v>7.1145537340619311</v>
      </c>
      <c r="AF1478" s="2638">
        <f t="shared" si="3689"/>
        <v>6.4124681238615668</v>
      </c>
    </row>
    <row r="1479" spans="5:34" ht="30" x14ac:dyDescent="0.3">
      <c r="E1479" s="1842" t="s">
        <v>1414</v>
      </c>
      <c r="F1479" s="3418">
        <v>15.138833333333332</v>
      </c>
      <c r="G1479" s="3418">
        <v>14.71021505376344</v>
      </c>
      <c r="H1479" s="1522">
        <f t="shared" si="3675"/>
        <v>14.921010928961747</v>
      </c>
      <c r="I1479" s="3418">
        <v>14.146333333333335</v>
      </c>
      <c r="J1479" s="1931">
        <f t="shared" si="3676"/>
        <v>14.665622710622712</v>
      </c>
      <c r="K1479" s="3418">
        <v>14.522258064516128</v>
      </c>
      <c r="L1479" s="1522">
        <f t="shared" si="3677"/>
        <v>14.629193989071039</v>
      </c>
      <c r="M1479" s="3418">
        <v>13.932795698924732</v>
      </c>
      <c r="N1479" s="1522">
        <f t="shared" si="3678"/>
        <v>14.488093681917212</v>
      </c>
      <c r="O1479" s="3418">
        <f>12.6097222222222+1.5</f>
        <v>14.109722222222199</v>
      </c>
      <c r="P1479" s="1931">
        <f t="shared" si="3679"/>
        <v>14.189112318840571</v>
      </c>
      <c r="Q1479" s="2211">
        <f t="shared" si="3680"/>
        <v>14.426065573770488</v>
      </c>
      <c r="R1479" s="3418">
        <v>14.483870967741936</v>
      </c>
      <c r="S1479" s="1522">
        <f t="shared" si="3681"/>
        <v>14.434439252336446</v>
      </c>
      <c r="T1479" s="3418">
        <v>14.4</v>
      </c>
      <c r="U1479" s="1522">
        <f t="shared" si="3682"/>
        <v>14.430204918032784</v>
      </c>
      <c r="V1479" s="3418">
        <v>12.76</v>
      </c>
      <c r="W1479" s="1931">
        <f t="shared" si="3683"/>
        <v>13.875652173913043</v>
      </c>
      <c r="X1479" s="1522">
        <f t="shared" si="3684"/>
        <v>14.241927272727271</v>
      </c>
      <c r="Y1479" s="3418">
        <v>14.657204301075268</v>
      </c>
      <c r="Z1479" s="1522">
        <f t="shared" si="3685"/>
        <v>14.283997821350761</v>
      </c>
      <c r="AA1479" s="3418">
        <v>15.033045977011493</v>
      </c>
      <c r="AB1479" s="1522">
        <f t="shared" si="3686"/>
        <v>14.348840796019898</v>
      </c>
      <c r="AC1479" s="3418">
        <v>15.65994623655914</v>
      </c>
      <c r="AD1479" s="1931">
        <f t="shared" si="3687"/>
        <v>15.118571428571428</v>
      </c>
      <c r="AE1479" s="2211">
        <f t="shared" si="3688"/>
        <v>14.493715846994535</v>
      </c>
      <c r="AF1479" s="2638">
        <f t="shared" si="3689"/>
        <v>14.45989071038251</v>
      </c>
    </row>
    <row r="1480" spans="5:34" ht="30" x14ac:dyDescent="0.3">
      <c r="E1480" s="1842" t="s">
        <v>1767</v>
      </c>
      <c r="F1480" s="3418">
        <v>69.817499999999995</v>
      </c>
      <c r="G1480" s="3418">
        <v>73.28618279569892</v>
      </c>
      <c r="H1480" s="1522">
        <f t="shared" si="3675"/>
        <v>71.580273224043694</v>
      </c>
      <c r="I1480" s="3418">
        <v>84.454277777777776</v>
      </c>
      <c r="J1480" s="1931">
        <f t="shared" si="3676"/>
        <v>75.824450549450532</v>
      </c>
      <c r="K1480" s="3418">
        <v>93.462795698924737</v>
      </c>
      <c r="L1480" s="1522">
        <f t="shared" si="3677"/>
        <v>80.306325136612017</v>
      </c>
      <c r="M1480" s="3418">
        <v>112.1236559139785</v>
      </c>
      <c r="N1480" s="1522">
        <f t="shared" si="3678"/>
        <v>86.752973856209152</v>
      </c>
      <c r="O1480" s="3418">
        <v>86.761111111111106</v>
      </c>
      <c r="P1480" s="1931">
        <f t="shared" si="3679"/>
        <v>97.56536231884057</v>
      </c>
      <c r="Q1480" s="2211">
        <f t="shared" si="3680"/>
        <v>86.754307832422583</v>
      </c>
      <c r="R1480" s="3418">
        <v>85.719086021505376</v>
      </c>
      <c r="S1480" s="1522">
        <f t="shared" si="3681"/>
        <v>86.604345794392515</v>
      </c>
      <c r="T1480" s="3418">
        <v>94.45</v>
      </c>
      <c r="U1480" s="1522">
        <f t="shared" si="3682"/>
        <v>87.568975409836057</v>
      </c>
      <c r="V1480" s="3418">
        <v>102.96</v>
      </c>
      <c r="W1480" s="1931">
        <f t="shared" si="3683"/>
        <v>94.375561594202892</v>
      </c>
      <c r="X1480" s="1522">
        <f t="shared" si="3684"/>
        <v>89.303963636363619</v>
      </c>
      <c r="Y1480" s="3418">
        <v>98.124731182795699</v>
      </c>
      <c r="Z1480" s="1522">
        <f t="shared" si="3685"/>
        <v>90.197570806100217</v>
      </c>
      <c r="AA1480" s="3418">
        <v>103.38505747126437</v>
      </c>
      <c r="AB1480" s="1522">
        <f t="shared" si="3686"/>
        <v>91.339174129353239</v>
      </c>
      <c r="AC1480" s="3418">
        <v>95.841935483870955</v>
      </c>
      <c r="AD1480" s="1931">
        <f t="shared" si="3687"/>
        <v>99.023443223443223</v>
      </c>
      <c r="AE1480" s="2211">
        <f t="shared" si="3688"/>
        <v>96.686803278688515</v>
      </c>
      <c r="AF1480" s="2638">
        <f t="shared" si="3689"/>
        <v>91.720555555555563</v>
      </c>
    </row>
    <row r="1481" spans="5:34" ht="31" thickBot="1" x14ac:dyDescent="0.35">
      <c r="E1481" s="1843" t="s">
        <v>1031</v>
      </c>
      <c r="F1481" s="3164">
        <v>6.1856666666666662</v>
      </c>
      <c r="G1481" s="3164">
        <v>6.2940860215053762</v>
      </c>
      <c r="H1481" s="1522">
        <f t="shared" si="3675"/>
        <v>6.2407650273224045</v>
      </c>
      <c r="I1481" s="3164">
        <v>7.9988888888888887</v>
      </c>
      <c r="J1481" s="1931">
        <f t="shared" si="3676"/>
        <v>6.8203663003662998</v>
      </c>
      <c r="K1481" s="3164">
        <v>8.0784946236559136</v>
      </c>
      <c r="L1481" s="1522">
        <f t="shared" si="3677"/>
        <v>7.1400546448087425</v>
      </c>
      <c r="M1481" s="3164">
        <v>7.227150537634409</v>
      </c>
      <c r="N1481" s="1522">
        <f t="shared" si="3678"/>
        <v>7.157701525054466</v>
      </c>
      <c r="O1481" s="3164">
        <v>7.4749999999999996</v>
      </c>
      <c r="P1481" s="1931">
        <f t="shared" si="3679"/>
        <v>7.5948369565217391</v>
      </c>
      <c r="Q1481" s="2211">
        <f t="shared" si="3680"/>
        <v>7.2097176684881603</v>
      </c>
      <c r="R1481" s="3164">
        <v>8.3951612903225801</v>
      </c>
      <c r="S1481" s="1522">
        <f t="shared" si="3681"/>
        <v>7.3814408099688471</v>
      </c>
      <c r="T1481" s="3164">
        <f>8.87+0.01</f>
        <v>8.879999999999999</v>
      </c>
      <c r="U1481" s="1522">
        <f t="shared" si="3682"/>
        <v>7.5656898907103818</v>
      </c>
      <c r="V1481" s="3164">
        <v>9.6000000000000014</v>
      </c>
      <c r="W1481" s="1931">
        <f t="shared" si="3683"/>
        <v>8.9592391304347831</v>
      </c>
      <c r="X1481" s="1522">
        <f t="shared" si="3684"/>
        <v>7.7950121212121202</v>
      </c>
      <c r="Y1481" s="3164">
        <v>9.181451612903226</v>
      </c>
      <c r="Z1481" s="1522">
        <f t="shared" si="3685"/>
        <v>7.9354684095860559</v>
      </c>
      <c r="AA1481" s="3164">
        <v>7.1077586206896548</v>
      </c>
      <c r="AB1481" s="1522">
        <f t="shared" si="3686"/>
        <v>7.8638159203980091</v>
      </c>
      <c r="AC1481" s="3164">
        <v>6.8664516129032265</v>
      </c>
      <c r="AD1481" s="1931">
        <f t="shared" si="3687"/>
        <v>7.7319780219780219</v>
      </c>
      <c r="AE1481" s="2211">
        <f t="shared" si="3688"/>
        <v>8.3489617486338812</v>
      </c>
      <c r="AF1481" s="2638">
        <f t="shared" si="3689"/>
        <v>7.7793397085610199</v>
      </c>
    </row>
    <row r="1482" spans="5:34" ht="31" thickBot="1" x14ac:dyDescent="0.35">
      <c r="E1482" s="1840" t="s">
        <v>15</v>
      </c>
      <c r="F1482" s="5002">
        <f t="shared" ref="F1482:G1482" si="3690">SUM(F1475:F1481)</f>
        <v>129.47755555555554</v>
      </c>
      <c r="G1482" s="5002">
        <f t="shared" si="3690"/>
        <v>135.55862903225804</v>
      </c>
      <c r="H1482" s="1235">
        <f t="shared" ref="H1482:L1482" si="3691">SUM(H1475:H1481)</f>
        <v>132.56793715846993</v>
      </c>
      <c r="I1482" s="5002">
        <f t="shared" ref="I1482" si="3692">SUM(I1475:I1481)</f>
        <v>146.76916666666668</v>
      </c>
      <c r="J1482" s="1238">
        <f t="shared" si="3691"/>
        <v>137.24966117216115</v>
      </c>
      <c r="K1482" s="5002">
        <f t="shared" ref="K1482" si="3693">SUM(K1475:K1481)</f>
        <v>152.55387096774194</v>
      </c>
      <c r="L1482" s="1235">
        <f t="shared" si="3691"/>
        <v>141.13843579234972</v>
      </c>
      <c r="M1482" s="1844">
        <f t="shared" ref="M1482" si="3694">SUM(M1475:M1481)</f>
        <v>174.26962365591399</v>
      </c>
      <c r="N1482" s="1235">
        <f t="shared" ref="N1482:O1482" si="3695">SUM(N1475:N1481)</f>
        <v>147.85129084967323</v>
      </c>
      <c r="O1482" s="1844">
        <f t="shared" si="3695"/>
        <v>145.65277777777774</v>
      </c>
      <c r="P1482" s="1238">
        <f t="shared" ref="P1482" si="3696">SUM(P1475:P1481)</f>
        <v>157.62077898550723</v>
      </c>
      <c r="Q1482" s="1236">
        <f t="shared" ref="Q1482:T1482" si="3697">SUM(Q1475:Q1481)</f>
        <v>147.49087887067395</v>
      </c>
      <c r="R1482" s="1844">
        <f t="shared" si="3697"/>
        <v>146.88037634408605</v>
      </c>
      <c r="S1482" s="1235">
        <f t="shared" si="3697"/>
        <v>147.40244158878502</v>
      </c>
      <c r="T1482" s="5002">
        <f t="shared" si="3697"/>
        <v>156.74</v>
      </c>
      <c r="U1482" s="1235">
        <f t="shared" ref="U1482:X1482" si="3698">SUM(U1475:U1481)</f>
        <v>148.55050204918032</v>
      </c>
      <c r="V1482" s="1844">
        <f t="shared" si="3698"/>
        <v>164.25</v>
      </c>
      <c r="W1482" s="1238">
        <f t="shared" si="3698"/>
        <v>155.94827898550724</v>
      </c>
      <c r="X1482" s="1235">
        <f t="shared" si="3698"/>
        <v>150.32026363636362</v>
      </c>
      <c r="Y1482" s="5002">
        <f t="shared" ref="Y1482" si="3699">SUM(Y1475:Y1481)</f>
        <v>164.01876344086023</v>
      </c>
      <c r="Z1482" s="1235">
        <f t="shared" ref="Z1482:AA1482" si="3700">SUM(Z1475:Z1481)</f>
        <v>151.70802015250544</v>
      </c>
      <c r="AA1482" s="5002">
        <f t="shared" si="3700"/>
        <v>167.28017241379308</v>
      </c>
      <c r="AB1482" s="1235">
        <f t="shared" ref="AB1482:AE1482" si="3701">SUM(AB1475:AB1481)</f>
        <v>153.05605721393033</v>
      </c>
      <c r="AC1482" s="5002">
        <f t="shared" si="3701"/>
        <v>158.2858064516129</v>
      </c>
      <c r="AD1482" s="1238">
        <f t="shared" si="3701"/>
        <v>163.10512820512821</v>
      </c>
      <c r="AE1482" s="1236">
        <f t="shared" si="3701"/>
        <v>159.50714936247721</v>
      </c>
      <c r="AF1482" s="2639">
        <f t="shared" ref="AF1482" si="3702">SUM(AF1475:AF1481)</f>
        <v>153.49901411657561</v>
      </c>
    </row>
    <row r="1483" spans="5:34" ht="30" x14ac:dyDescent="0.3">
      <c r="E1483" s="1892" t="s">
        <v>1035</v>
      </c>
      <c r="F1483" s="3699"/>
      <c r="G1483" s="3699"/>
      <c r="H1483" s="3699">
        <f t="shared" ref="H1483:AF1483" si="3703">H1482+H1486</f>
        <v>289.18301912568302</v>
      </c>
      <c r="I1483" s="3699"/>
      <c r="J1483" s="3699">
        <f t="shared" si="3703"/>
        <v>292.82304945054943</v>
      </c>
      <c r="K1483" s="3699"/>
      <c r="L1483" s="3699">
        <f t="shared" si="3703"/>
        <v>296.87971994535519</v>
      </c>
      <c r="M1483" s="3699">
        <f t="shared" si="3703"/>
        <v>338.04919354838711</v>
      </c>
      <c r="N1483" s="3699">
        <f t="shared" si="3703"/>
        <v>305.22124727668847</v>
      </c>
      <c r="O1483" s="3699">
        <f t="shared" si="3703"/>
        <v>309.37083333333328</v>
      </c>
      <c r="P1483" s="3699">
        <f t="shared" si="3703"/>
        <v>318.83780797101451</v>
      </c>
      <c r="Q1483" s="3699">
        <f t="shared" si="3703"/>
        <v>305.9015072859745</v>
      </c>
      <c r="R1483" s="3699">
        <f t="shared" si="3703"/>
        <v>311.17473118279571</v>
      </c>
      <c r="S1483" s="3699">
        <f t="shared" si="3703"/>
        <v>306.66538551401868</v>
      </c>
      <c r="T1483" s="3699">
        <f t="shared" si="3703"/>
        <v>319</v>
      </c>
      <c r="U1483" s="3699">
        <f t="shared" si="3703"/>
        <v>308.18193647540988</v>
      </c>
      <c r="V1483" s="3699">
        <f t="shared" si="3703"/>
        <v>327.69</v>
      </c>
      <c r="W1483" s="3699">
        <f t="shared" si="3703"/>
        <v>319.2913768115942</v>
      </c>
      <c r="X1483" s="3699">
        <f t="shared" si="3703"/>
        <v>310.38102727272724</v>
      </c>
      <c r="Y1483" s="3699">
        <f t="shared" si="3703"/>
        <v>321.40854838709674</v>
      </c>
      <c r="Z1483" s="3699">
        <f t="shared" si="3703"/>
        <v>311.49819444444444</v>
      </c>
      <c r="AA1483" s="3699">
        <f t="shared" si="3703"/>
        <v>321.27586206896547</v>
      </c>
      <c r="AB1483" s="3699">
        <f t="shared" si="3703"/>
        <v>312.34461940298507</v>
      </c>
      <c r="AC1483" s="3699">
        <f t="shared" si="3703"/>
        <v>308.59575268817207</v>
      </c>
      <c r="AD1483" s="3699">
        <f t="shared" si="3703"/>
        <v>317.00146520146518</v>
      </c>
      <c r="AE1483" s="3699">
        <f t="shared" si="3703"/>
        <v>318.1526775956284</v>
      </c>
      <c r="AF1483" s="3699">
        <f t="shared" si="3703"/>
        <v>312.02709244080148</v>
      </c>
      <c r="AH1483" s="2099"/>
    </row>
    <row r="1484" spans="5:34" ht="30" x14ac:dyDescent="0.3">
      <c r="E1484" s="1842" t="s">
        <v>1033</v>
      </c>
      <c r="F1484" s="3272">
        <v>0</v>
      </c>
      <c r="G1484" s="3272">
        <v>0</v>
      </c>
      <c r="H1484" s="1522">
        <f t="shared" ref="H1484:H1485" si="3704">+((F1484*$F$1467)+(G1484*$G$1467))/$H$1467</f>
        <v>0</v>
      </c>
      <c r="I1484" s="3272">
        <v>0</v>
      </c>
      <c r="J1484" s="1931">
        <f>+((H1484*$H$1467)+(I1484*$I$1467))/$J$1467</f>
        <v>0</v>
      </c>
      <c r="K1484" s="3272">
        <v>0</v>
      </c>
      <c r="L1484" s="1522">
        <f>+((J1484*$J$1467)+(K1484*$K$1467))/$L$1467</f>
        <v>0</v>
      </c>
      <c r="M1484" s="3272">
        <v>0</v>
      </c>
      <c r="N1484" s="1522">
        <f>+((L1484*$L$1467)+(M1484*$M$1467))/$N$1467</f>
        <v>0</v>
      </c>
      <c r="O1484" s="3272">
        <v>0</v>
      </c>
      <c r="P1484" s="1931">
        <f>+((K1484*$K$1467)+(M1484*$M$1467)+(O1484*$O$1467))/$P$1467</f>
        <v>0</v>
      </c>
      <c r="Q1484" s="2211">
        <f>+((N1484*$N$1467)+(O1484*$O$1467))/$Q$1467</f>
        <v>0</v>
      </c>
      <c r="R1484" s="3272">
        <v>0</v>
      </c>
      <c r="S1484" s="1522">
        <f>+((Q1484*$Q$1467)+(R1484*$R$1467))/$S$1467</f>
        <v>0</v>
      </c>
      <c r="T1484" s="3272">
        <v>0</v>
      </c>
      <c r="U1484" s="1522">
        <f>+((S1484*$S$1467)+(T1484*$T$1467))/$U$1467</f>
        <v>0</v>
      </c>
      <c r="V1484" s="3272">
        <v>0</v>
      </c>
      <c r="W1484" s="3135">
        <f>+((R1484*$R$1467)+(T1484*$T$1467)+(V1484*$V$1467))/$W$1467</f>
        <v>0</v>
      </c>
      <c r="X1484" s="1522">
        <f>+((U1484*$U$1467)+(V1484*$V$1467))/$X$1467</f>
        <v>0</v>
      </c>
      <c r="Y1484" s="3272">
        <v>0</v>
      </c>
      <c r="Z1484" s="1522">
        <f>+((X1484*$X$1467)+(Y1484*$Y$1467))/$Z$1467</f>
        <v>0</v>
      </c>
      <c r="AA1484" s="3272">
        <v>0</v>
      </c>
      <c r="AB1484" s="1522">
        <f>+((Z1484*$Z$1467)+(AA1484*$AA$1467))/$AB$1467</f>
        <v>0</v>
      </c>
      <c r="AC1484" s="3272">
        <v>0</v>
      </c>
      <c r="AD1484" s="1931">
        <f>+((Y1484*$Y$1467)+(AA1484*$AA$1467)+(AC1484*$AC$1467))/$AD$1467</f>
        <v>0</v>
      </c>
      <c r="AE1484" s="2211">
        <f>+((W1484*$W$1467)+(AD1484*$AD$1467))/$AE$1467</f>
        <v>0</v>
      </c>
      <c r="AF1484" s="2638">
        <f>+((AB1484*$AB$1467)+(AC1484*$AC$1467))/$AF$1467</f>
        <v>0</v>
      </c>
    </row>
    <row r="1485" spans="5:34" ht="31" thickBot="1" x14ac:dyDescent="0.35">
      <c r="E1485" s="1843" t="s">
        <v>1034</v>
      </c>
      <c r="F1485" s="3798">
        <v>157.5551111111111</v>
      </c>
      <c r="G1485" s="3798">
        <v>155.70537634408603</v>
      </c>
      <c r="H1485" s="1522">
        <f t="shared" si="3704"/>
        <v>156.61508196721311</v>
      </c>
      <c r="I1485" s="3798">
        <v>153.45527777777778</v>
      </c>
      <c r="J1485" s="1931">
        <f>+((H1485*$H$1467)+(I1485*$I$1467))/$J$1467</f>
        <v>155.57338827838828</v>
      </c>
      <c r="K1485" s="3798">
        <v>156.23413978494622</v>
      </c>
      <c r="L1485" s="1522">
        <f>+((J1485*$J$1467)+(K1485*$K$1467))/$L$1467</f>
        <v>155.74128415300547</v>
      </c>
      <c r="M1485" s="3798">
        <v>163.77956989247312</v>
      </c>
      <c r="N1485" s="1522">
        <f>+((L1485*$L$1467)+(M1485*$M$1467))/$N$1467</f>
        <v>157.36995642701527</v>
      </c>
      <c r="O1485" s="3798">
        <v>163.71805555555557</v>
      </c>
      <c r="P1485" s="1931">
        <f>+((K1485*$K$1467)+(M1485*$M$1467)+(O1485*$O$1467))/$P$1467</f>
        <v>161.21702898550726</v>
      </c>
      <c r="Q1485" s="2211">
        <f>+((N1485*$N$1467)+(O1485*$O$1467))/$Q$1467</f>
        <v>158.41062841530058</v>
      </c>
      <c r="R1485" s="3798">
        <v>164.29435483870967</v>
      </c>
      <c r="S1485" s="1522">
        <f>+((Q1485*$Q$1467)+(R1485*$R$1467))/$S$1467</f>
        <v>159.26294392523366</v>
      </c>
      <c r="T1485" s="3798">
        <v>162.26</v>
      </c>
      <c r="U1485" s="1522">
        <f>+((S1485*$S$1467)+(T1485*$T$1467))/$U$1467</f>
        <v>159.63143442622953</v>
      </c>
      <c r="V1485" s="3798">
        <v>163.44</v>
      </c>
      <c r="W1485" s="1931">
        <f>+((R1485*$R$1467)+(T1485*$T$1467)+(V1485*$V$1467))/$W$1467</f>
        <v>163.34309782608693</v>
      </c>
      <c r="X1485" s="1522">
        <f>+((U1485*$U$1467)+(V1485*$V$1467))/$X$1467</f>
        <v>160.06076363636365</v>
      </c>
      <c r="Y1485" s="3798">
        <v>157.38978494623655</v>
      </c>
      <c r="Z1485" s="1522">
        <f>+((X1485*$X$1467)+(Y1485*$Y$1467))/$Z$1467</f>
        <v>159.790174291939</v>
      </c>
      <c r="AA1485" s="3798">
        <v>153.99568965517241</v>
      </c>
      <c r="AB1485" s="1522">
        <f>+((Z1485*$Z$1467)+(AA1485*$AA$1467))/$AB$1467</f>
        <v>159.28856218905474</v>
      </c>
      <c r="AC1485" s="3798">
        <v>150.30994623655914</v>
      </c>
      <c r="AD1485" s="1931">
        <f>+((Y1485*$Y$1467)+(AA1485*$AA$1467)+(AC1485*$AC$1467))/$AD$1467</f>
        <v>153.896336996337</v>
      </c>
      <c r="AE1485" s="2211">
        <f>+((W1485*$W$1467)+(AD1485*$AD$1467))/$AE$1467</f>
        <v>158.6455282331512</v>
      </c>
      <c r="AF1485" s="2638">
        <f>+((AB1485*$AB$1467)+(AC1485*$AC$1467))/$AF$1467</f>
        <v>158.52807832422587</v>
      </c>
    </row>
    <row r="1486" spans="5:34" ht="31" thickBot="1" x14ac:dyDescent="0.35">
      <c r="E1486" s="1840" t="s">
        <v>15</v>
      </c>
      <c r="F1486" s="5002">
        <f t="shared" ref="F1486:G1486" si="3705">SUM(F1484:F1485)</f>
        <v>157.5551111111111</v>
      </c>
      <c r="G1486" s="5002">
        <f t="shared" si="3705"/>
        <v>155.70537634408603</v>
      </c>
      <c r="H1486" s="1235">
        <f t="shared" ref="H1486:L1486" si="3706">SUM(H1484:H1485)</f>
        <v>156.61508196721311</v>
      </c>
      <c r="I1486" s="5002">
        <f t="shared" ref="I1486" si="3707">SUM(I1484:I1485)</f>
        <v>153.45527777777778</v>
      </c>
      <c r="J1486" s="1238">
        <f t="shared" si="3706"/>
        <v>155.57338827838828</v>
      </c>
      <c r="K1486" s="5002">
        <f t="shared" ref="K1486" si="3708">SUM(K1484:K1485)</f>
        <v>156.23413978494622</v>
      </c>
      <c r="L1486" s="1235">
        <f t="shared" si="3706"/>
        <v>155.74128415300547</v>
      </c>
      <c r="M1486" s="1844">
        <f t="shared" ref="M1486" si="3709">SUM(M1484:M1485)</f>
        <v>163.77956989247312</v>
      </c>
      <c r="N1486" s="1235">
        <f t="shared" ref="N1486:O1486" si="3710">SUM(N1484:N1485)</f>
        <v>157.36995642701527</v>
      </c>
      <c r="O1486" s="1844">
        <f t="shared" si="3710"/>
        <v>163.71805555555557</v>
      </c>
      <c r="P1486" s="1238">
        <f t="shared" ref="P1486" si="3711">SUM(P1484:P1485)</f>
        <v>161.21702898550726</v>
      </c>
      <c r="Q1486" s="1236">
        <f t="shared" ref="Q1486:T1486" si="3712">SUM(Q1484:Q1485)</f>
        <v>158.41062841530058</v>
      </c>
      <c r="R1486" s="1844">
        <f t="shared" si="3712"/>
        <v>164.29435483870967</v>
      </c>
      <c r="S1486" s="1235">
        <f t="shared" si="3712"/>
        <v>159.26294392523366</v>
      </c>
      <c r="T1486" s="5002">
        <f t="shared" si="3712"/>
        <v>162.26</v>
      </c>
      <c r="U1486" s="1235">
        <f t="shared" ref="U1486:X1486" si="3713">SUM(U1484:U1485)</f>
        <v>159.63143442622953</v>
      </c>
      <c r="V1486" s="1844">
        <f t="shared" si="3713"/>
        <v>163.44</v>
      </c>
      <c r="W1486" s="1238">
        <f t="shared" si="3713"/>
        <v>163.34309782608693</v>
      </c>
      <c r="X1486" s="1235">
        <f t="shared" si="3713"/>
        <v>160.06076363636365</v>
      </c>
      <c r="Y1486" s="5002">
        <f t="shared" ref="Y1486" si="3714">SUM(Y1484:Y1485)</f>
        <v>157.38978494623655</v>
      </c>
      <c r="Z1486" s="1235">
        <f t="shared" ref="Z1486:AA1486" si="3715">SUM(Z1484:Z1485)</f>
        <v>159.790174291939</v>
      </c>
      <c r="AA1486" s="5002">
        <f t="shared" si="3715"/>
        <v>153.99568965517241</v>
      </c>
      <c r="AB1486" s="1235">
        <f t="shared" ref="AB1486:AE1486" si="3716">SUM(AB1484:AB1485)</f>
        <v>159.28856218905474</v>
      </c>
      <c r="AC1486" s="5002">
        <f t="shared" si="3716"/>
        <v>150.30994623655914</v>
      </c>
      <c r="AD1486" s="1238">
        <f t="shared" si="3716"/>
        <v>153.896336996337</v>
      </c>
      <c r="AE1486" s="1236">
        <f t="shared" si="3716"/>
        <v>158.6455282331512</v>
      </c>
      <c r="AF1486" s="2639">
        <f t="shared" ref="AF1486" si="3717">SUM(AF1484:AF1485)</f>
        <v>158.52807832422587</v>
      </c>
    </row>
    <row r="1487" spans="5:34" ht="25" x14ac:dyDescent="0.25">
      <c r="E1487" s="57" t="s">
        <v>1880</v>
      </c>
      <c r="F1487" s="5205">
        <f>+F1473-F1482-F1486</f>
        <v>3.6111111111551963E-3</v>
      </c>
      <c r="G1487" s="5205">
        <f>+G1473-G1482-G1486</f>
        <v>0</v>
      </c>
      <c r="H1487" s="3700"/>
      <c r="I1487" s="5205">
        <f>+I1473-I1482-I1486</f>
        <v>0</v>
      </c>
      <c r="J1487" s="3170"/>
      <c r="K1487" s="5205">
        <f>+K1473-K1482-K1486</f>
        <v>0</v>
      </c>
      <c r="L1487" s="3170"/>
    </row>
    <row r="1488" spans="5:34" ht="25" x14ac:dyDescent="0.25">
      <c r="E1488" s="57"/>
      <c r="H1488" s="3170"/>
      <c r="J1488" s="3170"/>
      <c r="L1488" s="3170"/>
    </row>
    <row r="1489" spans="4:77" ht="42" hidden="1" x14ac:dyDescent="0.4">
      <c r="E1489" s="1949" t="s">
        <v>1056</v>
      </c>
      <c r="F1489" s="168" t="s">
        <v>9</v>
      </c>
      <c r="G1489" s="168" t="s">
        <v>51</v>
      </c>
      <c r="H1489" s="3696" t="s">
        <v>52</v>
      </c>
      <c r="I1489" s="168" t="s">
        <v>1073</v>
      </c>
      <c r="J1489" s="3696" t="s">
        <v>1074</v>
      </c>
      <c r="K1489" s="168" t="s">
        <v>2117</v>
      </c>
      <c r="L1489" s="3696" t="s">
        <v>1631</v>
      </c>
      <c r="M1489" s="168" t="s">
        <v>63</v>
      </c>
      <c r="N1489" s="457" t="s">
        <v>64</v>
      </c>
      <c r="O1489" s="168" t="s">
        <v>65</v>
      </c>
      <c r="P1489" s="2212" t="s">
        <v>66</v>
      </c>
      <c r="Q1489" s="2182" t="s">
        <v>82</v>
      </c>
      <c r="R1489" s="168" t="s">
        <v>100</v>
      </c>
      <c r="S1489" s="457" t="s">
        <v>101</v>
      </c>
      <c r="T1489" s="168" t="s">
        <v>104</v>
      </c>
      <c r="U1489" s="457" t="s">
        <v>105</v>
      </c>
      <c r="V1489" s="168" t="s">
        <v>106</v>
      </c>
      <c r="W1489" s="137" t="s">
        <v>107</v>
      </c>
      <c r="X1489" s="457" t="s">
        <v>108</v>
      </c>
      <c r="Y1489" s="168" t="s">
        <v>109</v>
      </c>
      <c r="Z1489" s="457" t="s">
        <v>110</v>
      </c>
      <c r="AA1489" s="168" t="s">
        <v>112</v>
      </c>
      <c r="AB1489" s="457" t="s">
        <v>113</v>
      </c>
      <c r="AC1489" s="168" t="s">
        <v>114</v>
      </c>
      <c r="AD1489" s="2212" t="s">
        <v>115</v>
      </c>
      <c r="AE1489" s="2182" t="s">
        <v>116</v>
      </c>
      <c r="AF1489" s="457" t="s">
        <v>117</v>
      </c>
    </row>
    <row r="1490" spans="4:77" ht="30" hidden="1" x14ac:dyDescent="0.3">
      <c r="D1490" s="8452"/>
      <c r="E1490" s="760" t="s">
        <v>523</v>
      </c>
      <c r="F1490" s="262"/>
      <c r="G1490" s="262"/>
      <c r="H1490" s="3701"/>
      <c r="I1490" s="262"/>
      <c r="J1490" s="3702"/>
      <c r="K1490" s="262"/>
      <c r="L1490" s="3702"/>
      <c r="M1490" s="262">
        <v>25707440</v>
      </c>
      <c r="N1490" s="262"/>
      <c r="O1490" s="262">
        <v>24496760</v>
      </c>
      <c r="P1490" s="262"/>
      <c r="Q1490" s="262"/>
      <c r="R1490" s="262">
        <v>25471050</v>
      </c>
      <c r="S1490" s="262"/>
      <c r="T1490" s="262">
        <v>24414190</v>
      </c>
      <c r="U1490" s="262"/>
      <c r="V1490" s="262">
        <v>25259550</v>
      </c>
      <c r="W1490" s="262"/>
      <c r="X1490" s="262"/>
      <c r="Y1490" s="262">
        <v>24912170</v>
      </c>
      <c r="Z1490" s="262"/>
      <c r="AA1490" s="262">
        <v>23541410</v>
      </c>
      <c r="AB1490" s="262"/>
      <c r="AC1490" s="262">
        <v>25569039.999999993</v>
      </c>
      <c r="AD1490" s="262"/>
      <c r="AE1490" s="262"/>
      <c r="AF1490" s="1898"/>
    </row>
    <row r="1491" spans="4:77" ht="30.75" hidden="1" customHeight="1" x14ac:dyDescent="0.3">
      <c r="D1491" s="8452"/>
      <c r="E1491" s="1894" t="s">
        <v>1042</v>
      </c>
      <c r="F1491" s="2479">
        <v>0</v>
      </c>
      <c r="G1491" s="2479">
        <v>0</v>
      </c>
      <c r="H1491" s="1813">
        <f>SUM(F1491:G1491)</f>
        <v>0</v>
      </c>
      <c r="I1491" s="2479">
        <v>0</v>
      </c>
      <c r="J1491" s="1945">
        <f>SUM(H1491:I1491)</f>
        <v>0</v>
      </c>
      <c r="K1491" s="2479"/>
      <c r="L1491" s="1813">
        <f>SUM(J1491:K1491)</f>
        <v>0</v>
      </c>
      <c r="M1491" s="2479">
        <v>0</v>
      </c>
      <c r="N1491" s="1813">
        <f>SUM(L1491:M1491)</f>
        <v>0</v>
      </c>
      <c r="O1491" s="2479">
        <v>0</v>
      </c>
      <c r="P1491" s="372">
        <f t="shared" ref="P1491:P1495" si="3718">+K1491+M1491+O1491</f>
        <v>0</v>
      </c>
      <c r="Q1491" s="373">
        <f t="shared" ref="Q1491:Q1495" si="3719">+N1491+O1491</f>
        <v>0</v>
      </c>
      <c r="R1491" s="2479">
        <v>0</v>
      </c>
      <c r="S1491" s="1813">
        <f>SUM(Q1491:R1491)</f>
        <v>0</v>
      </c>
      <c r="T1491" s="2479">
        <v>0</v>
      </c>
      <c r="U1491" s="1813">
        <f>SUM(S1491:T1491)</f>
        <v>0</v>
      </c>
      <c r="V1491" s="2479">
        <v>0</v>
      </c>
      <c r="W1491" s="372">
        <f t="shared" ref="W1491:W1495" si="3720">+R1491+T1491+V1491</f>
        <v>0</v>
      </c>
      <c r="X1491" s="371">
        <f t="shared" ref="X1491:X1495" si="3721">+U1491+V1491</f>
        <v>0</v>
      </c>
      <c r="Y1491" s="2479">
        <v>0</v>
      </c>
      <c r="Z1491" s="1813">
        <f>SUM(X1491:Y1491)</f>
        <v>0</v>
      </c>
      <c r="AA1491" s="2479">
        <v>0</v>
      </c>
      <c r="AB1491" s="1813">
        <f>SUM(Z1491:AA1491)</f>
        <v>0</v>
      </c>
      <c r="AC1491" s="2479">
        <v>0</v>
      </c>
      <c r="AD1491" s="372">
        <f t="shared" ref="AD1491:AD1495" si="3722">+Y1491+AA1491+AC1491</f>
        <v>0</v>
      </c>
      <c r="AE1491" s="2543">
        <f t="shared" ref="AE1491:AE1498" si="3723">+W1491+AD1491</f>
        <v>0</v>
      </c>
      <c r="AF1491" s="1813">
        <f t="shared" ref="AF1491:AF1498" si="3724">+AB1491+AC1491</f>
        <v>0</v>
      </c>
    </row>
    <row r="1492" spans="4:77" ht="30" hidden="1" x14ac:dyDescent="0.3">
      <c r="D1492" s="8452"/>
      <c r="E1492" s="1894" t="s">
        <v>1101</v>
      </c>
      <c r="F1492" s="3936">
        <v>29290499.99999997</v>
      </c>
      <c r="G1492" s="3936">
        <v>29010500</v>
      </c>
      <c r="H1492" s="1813">
        <f t="shared" ref="H1492:H1531" si="3725">SUM(F1492:G1492)</f>
        <v>58300999.99999997</v>
      </c>
      <c r="I1492" s="3936">
        <v>29720000</v>
      </c>
      <c r="J1492" s="1945">
        <f t="shared" ref="J1492:J1494" si="3726">SUM(H1492:I1492)</f>
        <v>88020999.99999997</v>
      </c>
      <c r="K1492" s="3936"/>
      <c r="L1492" s="1813">
        <f t="shared" ref="L1492:L1494" si="3727">SUM(J1492:K1492)</f>
        <v>88020999.99999997</v>
      </c>
      <c r="M1492" s="3936">
        <v>35208800</v>
      </c>
      <c r="N1492" s="1813">
        <f t="shared" ref="N1492:N1494" si="3728">SUM(L1492:M1492)</f>
        <v>123229799.99999997</v>
      </c>
      <c r="O1492" s="3936">
        <v>30842200</v>
      </c>
      <c r="P1492" s="372">
        <f t="shared" si="3718"/>
        <v>66051000</v>
      </c>
      <c r="Q1492" s="373">
        <f t="shared" si="3719"/>
        <v>154071999.99999997</v>
      </c>
      <c r="R1492" s="3936">
        <v>32606400</v>
      </c>
      <c r="S1492" s="1813">
        <f t="shared" ref="S1492:S1494" si="3729">SUM(Q1492:R1492)</f>
        <v>186678399.99999997</v>
      </c>
      <c r="T1492" s="3936">
        <v>32818500</v>
      </c>
      <c r="U1492" s="1813">
        <f t="shared" ref="U1492:U1494" si="3730">SUM(S1492:T1492)</f>
        <v>219496899.99999997</v>
      </c>
      <c r="V1492" s="3936">
        <v>36033799.999999985</v>
      </c>
      <c r="W1492" s="372">
        <f t="shared" si="3720"/>
        <v>101458699.99999999</v>
      </c>
      <c r="X1492" s="371">
        <f t="shared" si="3721"/>
        <v>255530699.99999994</v>
      </c>
      <c r="Y1492" s="3936">
        <v>34972000</v>
      </c>
      <c r="Z1492" s="1813">
        <f t="shared" ref="Z1492:Z1494" si="3731">SUM(X1492:Y1492)</f>
        <v>290502699.99999994</v>
      </c>
      <c r="AA1492" s="3936">
        <v>32510400</v>
      </c>
      <c r="AB1492" s="1813">
        <f t="shared" ref="AB1492:AB1494" si="3732">SUM(Z1492:AA1492)</f>
        <v>323013099.99999994</v>
      </c>
      <c r="AC1492" s="3936">
        <v>32012400</v>
      </c>
      <c r="AD1492" s="372">
        <f t="shared" si="3722"/>
        <v>99494800</v>
      </c>
      <c r="AE1492" s="2543">
        <f t="shared" si="3723"/>
        <v>200953500</v>
      </c>
      <c r="AF1492" s="1813">
        <f t="shared" si="3724"/>
        <v>355025499.99999994</v>
      </c>
    </row>
    <row r="1493" spans="4:77" ht="30" hidden="1" x14ac:dyDescent="0.3">
      <c r="D1493" s="8452"/>
      <c r="E1493" s="1894" t="s">
        <v>1405</v>
      </c>
      <c r="F1493" s="2479">
        <v>3137000</v>
      </c>
      <c r="G1493" s="2479">
        <v>766000</v>
      </c>
      <c r="H1493" s="1813">
        <f t="shared" si="3725"/>
        <v>3903000</v>
      </c>
      <c r="I1493" s="2479">
        <v>2011700</v>
      </c>
      <c r="J1493" s="1945">
        <f t="shared" si="3726"/>
        <v>5914700</v>
      </c>
      <c r="K1493" s="2479"/>
      <c r="L1493" s="1813">
        <f t="shared" si="3727"/>
        <v>5914700</v>
      </c>
      <c r="M1493" s="2479">
        <v>3311528</v>
      </c>
      <c r="N1493" s="1813">
        <f t="shared" si="3728"/>
        <v>9226228</v>
      </c>
      <c r="O1493" s="2479">
        <v>3538428</v>
      </c>
      <c r="P1493" s="372">
        <f t="shared" si="3718"/>
        <v>6849956</v>
      </c>
      <c r="Q1493" s="373">
        <f t="shared" si="3719"/>
        <v>12764656</v>
      </c>
      <c r="R1493" s="2479">
        <v>2969600</v>
      </c>
      <c r="S1493" s="1813">
        <f t="shared" si="3729"/>
        <v>15734256</v>
      </c>
      <c r="T1493" s="2479">
        <v>2619700</v>
      </c>
      <c r="U1493" s="1813">
        <f t="shared" si="3730"/>
        <v>18353956</v>
      </c>
      <c r="V1493" s="2479">
        <v>3022100</v>
      </c>
      <c r="W1493" s="372">
        <f t="shared" si="3720"/>
        <v>8611400</v>
      </c>
      <c r="X1493" s="371">
        <f t="shared" si="3721"/>
        <v>21376056</v>
      </c>
      <c r="Y1493" s="2479">
        <v>3415600</v>
      </c>
      <c r="Z1493" s="1813">
        <f t="shared" si="3731"/>
        <v>24791656</v>
      </c>
      <c r="AA1493" s="2479">
        <v>3072400</v>
      </c>
      <c r="AB1493" s="1813">
        <f t="shared" si="3732"/>
        <v>27864056</v>
      </c>
      <c r="AC1493" s="2479">
        <v>2882500</v>
      </c>
      <c r="AD1493" s="372">
        <f t="shared" si="3722"/>
        <v>9370500</v>
      </c>
      <c r="AE1493" s="2543">
        <f t="shared" si="3723"/>
        <v>17981900</v>
      </c>
      <c r="AF1493" s="1813">
        <f t="shared" si="3724"/>
        <v>30746556</v>
      </c>
    </row>
    <row r="1494" spans="4:77" ht="30" hidden="1" x14ac:dyDescent="0.3">
      <c r="D1494" s="8452"/>
      <c r="E1494" s="1894" t="s">
        <v>1406</v>
      </c>
      <c r="F1494" s="3936">
        <v>56402000</v>
      </c>
      <c r="G1494" s="3936">
        <v>65310000</v>
      </c>
      <c r="H1494" s="1813">
        <f t="shared" si="3725"/>
        <v>121712000</v>
      </c>
      <c r="I1494" s="3936">
        <v>65253000</v>
      </c>
      <c r="J1494" s="1945">
        <f t="shared" si="3726"/>
        <v>186965000</v>
      </c>
      <c r="K1494" s="3936"/>
      <c r="L1494" s="1813">
        <f t="shared" si="3727"/>
        <v>186965000</v>
      </c>
      <c r="M1494" s="3936">
        <v>74484000</v>
      </c>
      <c r="N1494" s="1813">
        <f t="shared" si="3728"/>
        <v>261449000</v>
      </c>
      <c r="O1494" s="3936">
        <v>64565000</v>
      </c>
      <c r="P1494" s="372">
        <f t="shared" si="3718"/>
        <v>139049000</v>
      </c>
      <c r="Q1494" s="373">
        <f t="shared" si="3719"/>
        <v>326014000</v>
      </c>
      <c r="R1494" s="3936">
        <v>70072000</v>
      </c>
      <c r="S1494" s="1813">
        <f t="shared" si="3729"/>
        <v>396086000</v>
      </c>
      <c r="T1494" s="3936">
        <v>66980000</v>
      </c>
      <c r="U1494" s="1813">
        <f t="shared" si="3730"/>
        <v>463066000</v>
      </c>
      <c r="V1494" s="3936">
        <v>68647000</v>
      </c>
      <c r="W1494" s="372">
        <f t="shared" si="3720"/>
        <v>205699000</v>
      </c>
      <c r="X1494" s="371">
        <f t="shared" si="3721"/>
        <v>531713000</v>
      </c>
      <c r="Y1494" s="3936">
        <v>69754000</v>
      </c>
      <c r="Z1494" s="1813">
        <f t="shared" si="3731"/>
        <v>601467000</v>
      </c>
      <c r="AA1494" s="3936">
        <v>67952000</v>
      </c>
      <c r="AB1494" s="1813">
        <f t="shared" si="3732"/>
        <v>669419000</v>
      </c>
      <c r="AC1494" s="3936">
        <v>71577000</v>
      </c>
      <c r="AD1494" s="372">
        <f t="shared" si="3722"/>
        <v>209283000</v>
      </c>
      <c r="AE1494" s="2543">
        <f t="shared" si="3723"/>
        <v>414982000</v>
      </c>
      <c r="AF1494" s="1813">
        <f t="shared" si="3724"/>
        <v>740996000</v>
      </c>
    </row>
    <row r="1495" spans="4:77" ht="31" hidden="1" thickBot="1" x14ac:dyDescent="0.35">
      <c r="D1495" s="8452"/>
      <c r="E1495" s="1897" t="s">
        <v>1045</v>
      </c>
      <c r="F1495" s="3935">
        <v>514390</v>
      </c>
      <c r="G1495" s="3935">
        <v>517460.00000000029</v>
      </c>
      <c r="H1495" s="1813">
        <f t="shared" si="3725"/>
        <v>1031850.0000000002</v>
      </c>
      <c r="I1495" s="3935">
        <v>518389.99999999942</v>
      </c>
      <c r="J1495" s="1945">
        <f>SUM(H1495:I1495)</f>
        <v>1550239.9999999995</v>
      </c>
      <c r="K1495" s="3935"/>
      <c r="L1495" s="1813">
        <f>SUM(J1495:K1495)</f>
        <v>1550239.9999999995</v>
      </c>
      <c r="M1495" s="3935">
        <v>573269.9999999986</v>
      </c>
      <c r="N1495" s="1813">
        <f>SUM(L1495:M1495)</f>
        <v>2123509.9999999981</v>
      </c>
      <c r="O1495" s="3935">
        <v>530060.0000000014</v>
      </c>
      <c r="P1495" s="372">
        <f t="shared" si="3718"/>
        <v>1103330</v>
      </c>
      <c r="Q1495" s="373">
        <f t="shared" si="3719"/>
        <v>2653569.9999999995</v>
      </c>
      <c r="R1495" s="3935">
        <v>564569.99999999977</v>
      </c>
      <c r="S1495" s="1813">
        <f>SUM(Q1495:R1495)</f>
        <v>3218139.9999999991</v>
      </c>
      <c r="T1495" s="3935">
        <v>547650.0000000014</v>
      </c>
      <c r="U1495" s="1813">
        <f>SUM(S1495:T1495)</f>
        <v>3765790.0000000005</v>
      </c>
      <c r="V1495" s="3935">
        <v>550510.00000000023</v>
      </c>
      <c r="W1495" s="372">
        <f t="shared" si="3720"/>
        <v>1662730.0000000014</v>
      </c>
      <c r="X1495" s="371">
        <f t="shared" si="3721"/>
        <v>4316300.0000000009</v>
      </c>
      <c r="Y1495" s="3935">
        <v>547080</v>
      </c>
      <c r="Z1495" s="1813">
        <f>SUM(X1495:Y1495)</f>
        <v>4863380.0000000009</v>
      </c>
      <c r="AA1495" s="3935">
        <v>524439.99999999977</v>
      </c>
      <c r="AB1495" s="1813">
        <f>SUM(Z1495:AA1495)</f>
        <v>5387820.0000000009</v>
      </c>
      <c r="AC1495" s="3935">
        <v>553779.99999999977</v>
      </c>
      <c r="AD1495" s="372">
        <f t="shared" si="3722"/>
        <v>1625299.9999999995</v>
      </c>
      <c r="AE1495" s="2543">
        <f t="shared" si="3723"/>
        <v>3288030.0000000009</v>
      </c>
      <c r="AF1495" s="1813">
        <f t="shared" si="3724"/>
        <v>5941600.0000000009</v>
      </c>
    </row>
    <row r="1496" spans="4:77" ht="34" hidden="1" thickBot="1" x14ac:dyDescent="0.4">
      <c r="E1496" s="1896" t="s">
        <v>1046</v>
      </c>
      <c r="F1496" s="1445">
        <f t="shared" ref="F1496:G1496" si="3733">SUM(F1491:F1495)</f>
        <v>89343889.99999997</v>
      </c>
      <c r="G1496" s="1445">
        <f t="shared" si="3733"/>
        <v>95603960</v>
      </c>
      <c r="H1496" s="1813">
        <f t="shared" si="3725"/>
        <v>184947849.99999997</v>
      </c>
      <c r="I1496" s="1445">
        <f t="shared" ref="I1496" si="3734">SUM(I1491:I1495)</f>
        <v>97503090</v>
      </c>
      <c r="J1496" s="3593">
        <f t="shared" ref="J1496:L1496" si="3735">SUM(J1491:J1495)</f>
        <v>282450940</v>
      </c>
      <c r="K1496" s="1445">
        <f t="shared" si="3735"/>
        <v>0</v>
      </c>
      <c r="L1496" s="3593">
        <f t="shared" si="3735"/>
        <v>282450940</v>
      </c>
      <c r="M1496" s="1445">
        <f t="shared" ref="M1496:O1496" si="3736">SUM(M1491:M1495)</f>
        <v>113577598</v>
      </c>
      <c r="N1496" s="575">
        <f t="shared" ref="N1496:P1496" si="3737">SUM(N1491:N1495)</f>
        <v>396028538</v>
      </c>
      <c r="O1496" s="1445">
        <f t="shared" si="3736"/>
        <v>99475688</v>
      </c>
      <c r="P1496" s="1187">
        <f t="shared" si="3737"/>
        <v>213053286</v>
      </c>
      <c r="Q1496" s="775">
        <f t="shared" ref="Q1496:T1496" si="3738">SUM(Q1491:Q1495)</f>
        <v>495504226</v>
      </c>
      <c r="R1496" s="1445">
        <f t="shared" si="3738"/>
        <v>106212570</v>
      </c>
      <c r="S1496" s="575">
        <f t="shared" si="3738"/>
        <v>601716796</v>
      </c>
      <c r="T1496" s="1445">
        <f t="shared" si="3738"/>
        <v>102965850</v>
      </c>
      <c r="U1496" s="575">
        <f t="shared" ref="U1496:X1496" si="3739">SUM(U1491:U1495)</f>
        <v>704682646</v>
      </c>
      <c r="V1496" s="1445">
        <f t="shared" si="3739"/>
        <v>108253409.99999999</v>
      </c>
      <c r="W1496" s="1187">
        <f t="shared" si="3739"/>
        <v>317431830</v>
      </c>
      <c r="X1496" s="575">
        <f t="shared" si="3739"/>
        <v>812936056</v>
      </c>
      <c r="Y1496" s="1445">
        <f t="shared" ref="Y1496" si="3740">SUM(Y1491:Y1495)</f>
        <v>108688680</v>
      </c>
      <c r="Z1496" s="575">
        <f t="shared" ref="Z1496:AA1496" si="3741">SUM(Z1491:Z1495)</f>
        <v>921624736</v>
      </c>
      <c r="AA1496" s="1445">
        <f t="shared" si="3741"/>
        <v>104059240</v>
      </c>
      <c r="AB1496" s="575">
        <f t="shared" ref="AB1496:AE1496" si="3742">SUM(AB1491:AB1495)</f>
        <v>1025683976</v>
      </c>
      <c r="AC1496" s="1445">
        <f t="shared" si="3742"/>
        <v>107025680</v>
      </c>
      <c r="AD1496" s="1187">
        <f t="shared" si="3742"/>
        <v>319773600</v>
      </c>
      <c r="AE1496" s="775">
        <f t="shared" si="3742"/>
        <v>637205430</v>
      </c>
      <c r="AF1496" s="575">
        <f t="shared" ref="AF1496" si="3743">SUM(AF1491:AF1495)</f>
        <v>1132709656</v>
      </c>
    </row>
    <row r="1497" spans="4:77" ht="31" hidden="1" x14ac:dyDescent="0.3">
      <c r="E1497" s="4224" t="s">
        <v>1052</v>
      </c>
      <c r="F1497" s="3273">
        <f>18947.112+141404.695999999+101630</f>
        <v>261981.807999999</v>
      </c>
      <c r="G1497" s="3273">
        <v>317978.65699999966</v>
      </c>
      <c r="H1497" s="1813">
        <f t="shared" si="3725"/>
        <v>579960.46499999869</v>
      </c>
      <c r="I1497" s="3273">
        <v>354575.33400000096</v>
      </c>
      <c r="J1497" s="1945">
        <f t="shared" ref="J1497:J1498" si="3744">SUM(H1497:I1497)</f>
        <v>934535.79899999965</v>
      </c>
      <c r="K1497" s="3273"/>
      <c r="L1497" s="1813">
        <f t="shared" ref="L1497:L1498" si="3745">SUM(J1497:K1497)</f>
        <v>934535.79899999965</v>
      </c>
      <c r="M1497" s="3273">
        <f>164832+159846+24555</f>
        <v>349233</v>
      </c>
      <c r="N1497" s="1813">
        <f t="shared" ref="N1497:N1498" si="3746">SUM(L1497:M1497)</f>
        <v>1283768.7989999996</v>
      </c>
      <c r="O1497" s="3273">
        <f>170261+21977+141603</f>
        <v>333841</v>
      </c>
      <c r="P1497" s="372">
        <f t="shared" ref="P1497:P1498" si="3747">+K1497+M1497+O1497</f>
        <v>683074</v>
      </c>
      <c r="Q1497" s="373">
        <f t="shared" ref="Q1497:Q1498" si="3748">+N1497+O1497</f>
        <v>1617609.7989999996</v>
      </c>
      <c r="R1497" s="3273">
        <f>132346+18130+145344</f>
        <v>295820</v>
      </c>
      <c r="S1497" s="1813">
        <f t="shared" ref="S1497:S1498" si="3749">SUM(Q1497:R1497)</f>
        <v>1913429.7989999996</v>
      </c>
      <c r="T1497" s="3273">
        <f>137213+98876+9932</f>
        <v>246021</v>
      </c>
      <c r="U1497" s="1813">
        <f t="shared" ref="U1497:U1498" si="3750">SUM(S1497:T1497)</f>
        <v>2159450.7989999996</v>
      </c>
      <c r="V1497" s="3273">
        <f>104178.350000002+9962+144923</f>
        <v>259063.35000000201</v>
      </c>
      <c r="W1497" s="372">
        <f t="shared" ref="W1497:W1498" si="3751">+R1497+T1497+V1497</f>
        <v>800904.35000000196</v>
      </c>
      <c r="X1497" s="371">
        <f t="shared" ref="X1497:X1498" si="3752">+U1497+V1497</f>
        <v>2418514.1490000016</v>
      </c>
      <c r="Y1497" s="3273">
        <f>158377+10153+109882.503999999</f>
        <v>278412.50399999903</v>
      </c>
      <c r="Z1497" s="1813">
        <f t="shared" ref="Z1497:Z1498" si="3753">SUM(X1497:Y1497)</f>
        <v>2696926.6530000009</v>
      </c>
      <c r="AA1497" s="3273">
        <f>153195+7984+136400.000000001</f>
        <v>297579.00000000099</v>
      </c>
      <c r="AB1497" s="1813">
        <f t="shared" ref="AB1497:AB1498" si="3754">SUM(Z1497:AA1497)</f>
        <v>2994505.6530000018</v>
      </c>
      <c r="AC1497" s="3273">
        <f>149792+95425+14695</f>
        <v>259912</v>
      </c>
      <c r="AD1497" s="372">
        <f t="shared" ref="AD1497:AD1498" si="3755">+Y1497+AA1497+AC1497</f>
        <v>835903.50399999996</v>
      </c>
      <c r="AE1497" s="2543">
        <f t="shared" si="3723"/>
        <v>1636807.8540000019</v>
      </c>
      <c r="AF1497" s="1813">
        <f t="shared" si="3724"/>
        <v>3254417.6530000018</v>
      </c>
      <c r="BY1497" s="2">
        <v>179355</v>
      </c>
    </row>
    <row r="1498" spans="4:77" ht="31" hidden="1" thickBot="1" x14ac:dyDescent="0.35">
      <c r="E1498" s="1895" t="s">
        <v>1053</v>
      </c>
      <c r="F1498" s="3166">
        <v>1020193.9999999553</v>
      </c>
      <c r="G1498" s="3166">
        <v>1775455.3000000119</v>
      </c>
      <c r="H1498" s="1813">
        <f t="shared" si="3725"/>
        <v>2795649.2999999672</v>
      </c>
      <c r="I1498" s="3166">
        <v>1925029.9999999851</v>
      </c>
      <c r="J1498" s="1945">
        <f t="shared" si="3744"/>
        <v>4720679.2999999523</v>
      </c>
      <c r="K1498" s="3166"/>
      <c r="L1498" s="1813">
        <f t="shared" si="3745"/>
        <v>4720679.2999999523</v>
      </c>
      <c r="M1498" s="3166">
        <v>3020073</v>
      </c>
      <c r="N1498" s="1813">
        <f t="shared" si="3746"/>
        <v>7740752.2999999523</v>
      </c>
      <c r="O1498" s="3166">
        <v>3103826.0000000149</v>
      </c>
      <c r="P1498" s="372">
        <f t="shared" si="3747"/>
        <v>6123899.0000000149</v>
      </c>
      <c r="Q1498" s="373">
        <f t="shared" si="3748"/>
        <v>10844578.299999967</v>
      </c>
      <c r="R1498" s="3166">
        <v>3266391.0000000298</v>
      </c>
      <c r="S1498" s="1813">
        <f t="shared" si="3749"/>
        <v>14110969.299999997</v>
      </c>
      <c r="T1498" s="3166">
        <v>2072784.6800000072</v>
      </c>
      <c r="U1498" s="1813">
        <f t="shared" si="3750"/>
        <v>16183753.980000004</v>
      </c>
      <c r="V1498" s="3166">
        <v>2760360.0000000149</v>
      </c>
      <c r="W1498" s="372">
        <f t="shared" si="3751"/>
        <v>8099535.6800000519</v>
      </c>
      <c r="X1498" s="371">
        <f t="shared" si="3752"/>
        <v>18944113.980000019</v>
      </c>
      <c r="Y1498" s="3166">
        <v>3006398</v>
      </c>
      <c r="Z1498" s="1813">
        <f t="shared" si="3753"/>
        <v>21950511.980000019</v>
      </c>
      <c r="AA1498" s="3166">
        <v>2296752</v>
      </c>
      <c r="AB1498" s="1813">
        <f t="shared" si="3754"/>
        <v>24247263.980000019</v>
      </c>
      <c r="AC1498" s="3166">
        <v>2447292.9999999851</v>
      </c>
      <c r="AD1498" s="1945">
        <f t="shared" si="3755"/>
        <v>7750442.9999999851</v>
      </c>
      <c r="AE1498" s="2543">
        <f t="shared" si="3723"/>
        <v>15849978.680000037</v>
      </c>
      <c r="AF1498" s="1813">
        <f t="shared" si="3724"/>
        <v>26694556.980000004</v>
      </c>
    </row>
    <row r="1499" spans="4:77" ht="34" hidden="1" thickBot="1" x14ac:dyDescent="0.4">
      <c r="D1499" s="51"/>
      <c r="E1499" s="1896" t="s">
        <v>1054</v>
      </c>
      <c r="F1499" s="925">
        <f t="shared" ref="F1499:G1499" si="3756">SUM(F1497:F1498)</f>
        <v>1282175.8079999543</v>
      </c>
      <c r="G1499" s="925">
        <f t="shared" si="3756"/>
        <v>2093433.9570000116</v>
      </c>
      <c r="H1499" s="1813">
        <f t="shared" si="3725"/>
        <v>3375609.7649999661</v>
      </c>
      <c r="I1499" s="925">
        <f t="shared" ref="I1499" si="3757">SUM(I1497:I1498)</f>
        <v>2279605.3339999858</v>
      </c>
      <c r="J1499" s="3593">
        <f t="shared" ref="J1499:L1499" si="3758">SUM(J1497:J1498)</f>
        <v>5655215.098999952</v>
      </c>
      <c r="K1499" s="925">
        <f t="shared" ref="K1499" si="3759">SUM(K1497:K1498)</f>
        <v>0</v>
      </c>
      <c r="L1499" s="3593">
        <f t="shared" si="3758"/>
        <v>5655215.098999952</v>
      </c>
      <c r="M1499" s="925">
        <f t="shared" ref="M1499" si="3760">SUM(M1497:M1498)</f>
        <v>3369306</v>
      </c>
      <c r="N1499" s="575">
        <f t="shared" ref="N1499:O1499" si="3761">SUM(N1497:N1498)</f>
        <v>9024521.098999951</v>
      </c>
      <c r="O1499" s="925">
        <f t="shared" si="3761"/>
        <v>3437667.0000000149</v>
      </c>
      <c r="P1499" s="1187">
        <f t="shared" ref="P1499" si="3762">SUM(P1497:P1498)</f>
        <v>6806973.0000000149</v>
      </c>
      <c r="Q1499" s="775">
        <f t="shared" ref="Q1499:T1499" si="3763">SUM(Q1497:Q1498)</f>
        <v>12462188.098999966</v>
      </c>
      <c r="R1499" s="925">
        <f t="shared" si="3763"/>
        <v>3562211.0000000298</v>
      </c>
      <c r="S1499" s="575">
        <f t="shared" si="3763"/>
        <v>16024399.098999996</v>
      </c>
      <c r="T1499" s="925">
        <f t="shared" si="3763"/>
        <v>2318805.6800000072</v>
      </c>
      <c r="U1499" s="575">
        <f t="shared" ref="U1499:X1499" si="3764">SUM(U1497:U1498)</f>
        <v>18343204.779000003</v>
      </c>
      <c r="V1499" s="925">
        <f t="shared" si="3764"/>
        <v>3019423.3500000169</v>
      </c>
      <c r="W1499" s="1187">
        <f t="shared" si="3764"/>
        <v>8900440.0300000533</v>
      </c>
      <c r="X1499" s="575">
        <f t="shared" si="3764"/>
        <v>21362628.129000019</v>
      </c>
      <c r="Y1499" s="925">
        <f t="shared" ref="Y1499" si="3765">SUM(Y1497:Y1498)</f>
        <v>3284810.5039999988</v>
      </c>
      <c r="Z1499" s="575">
        <f t="shared" ref="Z1499:AA1499" si="3766">SUM(Z1497:Z1498)</f>
        <v>24647438.63300002</v>
      </c>
      <c r="AA1499" s="925">
        <f t="shared" si="3766"/>
        <v>2594331.0000000009</v>
      </c>
      <c r="AB1499" s="575">
        <f t="shared" ref="AB1499:AE1499" si="3767">SUM(AB1497:AB1498)</f>
        <v>27241769.63300002</v>
      </c>
      <c r="AC1499" s="925">
        <f t="shared" si="3767"/>
        <v>2707204.9999999851</v>
      </c>
      <c r="AD1499" s="1187">
        <f t="shared" si="3767"/>
        <v>8586346.5039999858</v>
      </c>
      <c r="AE1499" s="775">
        <f t="shared" si="3767"/>
        <v>17486786.534000039</v>
      </c>
      <c r="AF1499" s="575">
        <f t="shared" ref="AF1499" si="3768">SUM(AF1497:AF1498)</f>
        <v>29948974.633000005</v>
      </c>
    </row>
    <row r="1500" spans="4:77" ht="34" hidden="1" thickBot="1" x14ac:dyDescent="0.4">
      <c r="D1500" s="70"/>
      <c r="E1500" s="1920" t="s">
        <v>526</v>
      </c>
      <c r="F1500" s="1979">
        <f t="shared" ref="F1500:G1500" si="3769">+F1496-F1499</f>
        <v>88061714.192000017</v>
      </c>
      <c r="G1500" s="1979">
        <f t="shared" si="3769"/>
        <v>93510526.042999983</v>
      </c>
      <c r="H1500" s="1813">
        <f t="shared" si="3725"/>
        <v>181572240.23500001</v>
      </c>
      <c r="I1500" s="1979">
        <f t="shared" ref="I1500" si="3770">+I1496-I1499</f>
        <v>95223484.666000009</v>
      </c>
      <c r="J1500" s="3593">
        <f t="shared" ref="J1500:L1500" si="3771">+J1496-J1499</f>
        <v>276795724.90100002</v>
      </c>
      <c r="K1500" s="1979">
        <f t="shared" si="3771"/>
        <v>0</v>
      </c>
      <c r="L1500" s="3593">
        <f t="shared" si="3771"/>
        <v>276795724.90100002</v>
      </c>
      <c r="M1500" s="1979">
        <f t="shared" ref="M1500:O1500" si="3772">+M1496-M1499</f>
        <v>110208292</v>
      </c>
      <c r="N1500" s="575">
        <f t="shared" ref="N1500:P1500" si="3773">+N1496-N1499</f>
        <v>387004016.90100002</v>
      </c>
      <c r="O1500" s="1979">
        <f t="shared" si="3772"/>
        <v>96038020.999999985</v>
      </c>
      <c r="P1500" s="1187">
        <f t="shared" si="3773"/>
        <v>206246313</v>
      </c>
      <c r="Q1500" s="775">
        <f t="shared" ref="Q1500:T1500" si="3774">+Q1496-Q1499</f>
        <v>483042037.90100002</v>
      </c>
      <c r="R1500" s="1979">
        <f t="shared" si="3774"/>
        <v>102650358.99999997</v>
      </c>
      <c r="S1500" s="575">
        <f t="shared" si="3774"/>
        <v>585692396.90100002</v>
      </c>
      <c r="T1500" s="1979">
        <f t="shared" si="3774"/>
        <v>100647044.31999999</v>
      </c>
      <c r="U1500" s="575">
        <f t="shared" ref="U1500:X1500" si="3775">+U1496-U1499</f>
        <v>686339441.22099996</v>
      </c>
      <c r="V1500" s="1979">
        <f t="shared" si="3775"/>
        <v>105233986.64999996</v>
      </c>
      <c r="W1500" s="1187">
        <f t="shared" si="3775"/>
        <v>308531389.96999997</v>
      </c>
      <c r="X1500" s="575">
        <f t="shared" si="3775"/>
        <v>791573427.87099993</v>
      </c>
      <c r="Y1500" s="1979">
        <f t="shared" ref="Y1500" si="3776">+Y1496-Y1499</f>
        <v>105403869.49600001</v>
      </c>
      <c r="Z1500" s="575">
        <f t="shared" ref="Z1500:AA1500" si="3777">+Z1496-Z1499</f>
        <v>896977297.36699998</v>
      </c>
      <c r="AA1500" s="1979">
        <f t="shared" si="3777"/>
        <v>101464909</v>
      </c>
      <c r="AB1500" s="575">
        <f t="shared" ref="AB1500:AE1500" si="3778">+AB1496-AB1499</f>
        <v>998442206.36699998</v>
      </c>
      <c r="AC1500" s="1979">
        <f t="shared" si="3778"/>
        <v>104318475.00000001</v>
      </c>
      <c r="AD1500" s="1187">
        <f t="shared" si="3778"/>
        <v>311187253.49599999</v>
      </c>
      <c r="AE1500" s="775">
        <f t="shared" si="3778"/>
        <v>619718643.46599996</v>
      </c>
      <c r="AF1500" s="575">
        <f t="shared" ref="AF1500" si="3779">+AF1496-AF1499</f>
        <v>1102760681.3670001</v>
      </c>
    </row>
    <row r="1501" spans="4:77" ht="34" hidden="1" thickBot="1" x14ac:dyDescent="0.4">
      <c r="D1501" s="70"/>
      <c r="E1501" s="5465" t="s">
        <v>1973</v>
      </c>
      <c r="F1501" s="5472">
        <f>+F1502+F1518</f>
        <v>79406183.556600019</v>
      </c>
      <c r="G1501" s="5472">
        <f>+G1502+G1518</f>
        <v>84399504.886399984</v>
      </c>
      <c r="H1501" s="1813">
        <f t="shared" si="3725"/>
        <v>163805688.44300002</v>
      </c>
      <c r="I1501" s="5472">
        <f>+I1502+I1518</f>
        <v>86091770.345600024</v>
      </c>
      <c r="J1501" s="1950">
        <f t="shared" ref="J1501:J1531" si="3780">SUM(H1501:I1501)</f>
        <v>249897458.78860003</v>
      </c>
      <c r="K1501" s="5472">
        <f>+K1502+K1518</f>
        <v>0</v>
      </c>
      <c r="L1501" s="5468"/>
      <c r="M1501" s="1979"/>
      <c r="N1501" s="5469"/>
      <c r="O1501" s="1979"/>
      <c r="P1501" s="5470"/>
      <c r="Q1501" s="2517"/>
      <c r="R1501" s="1979"/>
      <c r="S1501" s="5469"/>
      <c r="T1501" s="1979"/>
      <c r="U1501" s="5469"/>
      <c r="V1501" s="1979"/>
      <c r="W1501" s="5470"/>
      <c r="X1501" s="1427"/>
      <c r="Y1501" s="1979"/>
      <c r="Z1501" s="5469"/>
      <c r="AA1501" s="1979"/>
      <c r="AB1501" s="5469"/>
      <c r="AC1501" s="1979"/>
      <c r="AD1501" s="1417"/>
      <c r="AE1501" s="3249"/>
      <c r="AF1501" s="1427"/>
      <c r="AG1501" s="5440"/>
      <c r="AH1501" s="5440"/>
      <c r="AI1501" s="5440"/>
      <c r="AJ1501" s="5440"/>
      <c r="AK1501" s="5440"/>
      <c r="AL1501" s="5440"/>
    </row>
    <row r="1502" spans="4:77" ht="30" hidden="1" x14ac:dyDescent="0.25">
      <c r="D1502" s="2086"/>
      <c r="E1502" s="5465" t="s">
        <v>1952</v>
      </c>
      <c r="F1502" s="5466">
        <f>+SUM(F1503:F1516)</f>
        <v>77399973.200000018</v>
      </c>
      <c r="G1502" s="5466">
        <f>+SUM(G1503:G1516)</f>
        <v>82288425.699999988</v>
      </c>
      <c r="H1502" s="1813">
        <f t="shared" si="3725"/>
        <v>159688398.90000001</v>
      </c>
      <c r="I1502" s="5466">
        <f>+SUM(I1503:I1516)</f>
        <v>83874154.00000003</v>
      </c>
      <c r="J1502" s="1950">
        <f t="shared" si="3780"/>
        <v>243562552.90000004</v>
      </c>
      <c r="K1502" s="5466">
        <f>+SUM(K1503:K1516)</f>
        <v>0</v>
      </c>
      <c r="L1502" s="1918">
        <f t="shared" ref="L1502:L1531" si="3781">SUM(J1502:K1502)</f>
        <v>243562552.90000004</v>
      </c>
      <c r="M1502" s="3433">
        <v>1588243</v>
      </c>
      <c r="N1502" s="1918">
        <f t="shared" ref="N1502:N1516" si="3782">SUM(L1502:M1502)</f>
        <v>245150795.90000004</v>
      </c>
      <c r="O1502" s="3433">
        <f>706962+806436+15046</f>
        <v>1528444</v>
      </c>
      <c r="P1502" s="2213">
        <f>+K1502+M1502+O1502</f>
        <v>3116687</v>
      </c>
      <c r="Q1502" s="2214">
        <f>+N1502+O1502</f>
        <v>246679239.90000004</v>
      </c>
      <c r="R1502" s="3433">
        <f>753694+784381+15020</f>
        <v>1553095</v>
      </c>
      <c r="S1502" s="1918">
        <f t="shared" ref="S1502:S1516" si="3783">SUM(Q1502:R1502)</f>
        <v>248232334.90000004</v>
      </c>
      <c r="T1502" s="3433">
        <f>654213.4+801638.6+15055</f>
        <v>1470907</v>
      </c>
      <c r="U1502" s="1918">
        <f t="shared" ref="U1502:U1516" si="3784">SUM(S1502:T1502)</f>
        <v>249703241.90000004</v>
      </c>
      <c r="V1502" s="3433">
        <f>734374.8+812050.2+15020</f>
        <v>1561445</v>
      </c>
      <c r="W1502" s="2213">
        <f>+R1502+T1502+V1502</f>
        <v>4585447</v>
      </c>
      <c r="X1502" s="1982">
        <f>+U1502+V1502</f>
        <v>251264686.90000004</v>
      </c>
      <c r="Y1502" s="3433">
        <f>697304.4+816444.6+18014</f>
        <v>1531763</v>
      </c>
      <c r="Z1502" s="1918">
        <f t="shared" ref="Z1502:Z1516" si="3785">SUM(X1502:Y1502)</f>
        <v>252796449.90000004</v>
      </c>
      <c r="AA1502" s="3433">
        <f>698443.6+789153.4+18014</f>
        <v>1505611</v>
      </c>
      <c r="AB1502" s="1918">
        <f t="shared" ref="AB1502:AB1516" si="3786">SUM(Z1502:AA1502)</f>
        <v>254302060.90000004</v>
      </c>
      <c r="AC1502" s="5124">
        <v>1590521</v>
      </c>
      <c r="AD1502" s="1987">
        <f>+Y1502+AA1502+AC1502</f>
        <v>4627895</v>
      </c>
      <c r="AE1502" s="764">
        <f t="shared" ref="AE1502:AE1516" si="3787">+W1502+AD1502</f>
        <v>9213342</v>
      </c>
      <c r="AF1502" s="1813">
        <f t="shared" ref="AF1502:AF1516" si="3788">+AB1502+AC1502</f>
        <v>255892581.90000004</v>
      </c>
    </row>
    <row r="1503" spans="4:77" ht="30" hidden="1" x14ac:dyDescent="0.25">
      <c r="D1503" s="2086"/>
      <c r="E1503" s="2970" t="s">
        <v>1953</v>
      </c>
      <c r="F1503" s="3434">
        <v>5090630.0000000047</v>
      </c>
      <c r="G1503" s="3434">
        <v>4892460.0000000009</v>
      </c>
      <c r="H1503" s="1813">
        <f t="shared" si="3725"/>
        <v>9983090.0000000056</v>
      </c>
      <c r="I1503" s="3434">
        <v>5035560.0000000056</v>
      </c>
      <c r="J1503" s="1951">
        <f t="shared" si="3780"/>
        <v>15018650.000000011</v>
      </c>
      <c r="K1503" s="3434"/>
      <c r="L1503" s="1919">
        <f t="shared" si="3781"/>
        <v>15018650.000000011</v>
      </c>
      <c r="M1503" s="3434">
        <v>5786179.9999999972</v>
      </c>
      <c r="N1503" s="1919">
        <f t="shared" si="3782"/>
        <v>20804830.000000007</v>
      </c>
      <c r="O1503" s="3434">
        <f>918479.999999999+398160+1876230+2028210</f>
        <v>5221079.9999999991</v>
      </c>
      <c r="P1503" s="2213">
        <f t="shared" ref="P1503:P1516" si="3789">+K1503+M1503+O1503</f>
        <v>11007259.999999996</v>
      </c>
      <c r="Q1503" s="2214">
        <f t="shared" ref="Q1503:Q1516" si="3790">+N1503+O1503</f>
        <v>26025910.000000007</v>
      </c>
      <c r="R1503" s="3434">
        <f>970629.999999999+396749.999999999+1985650.00000001+2036820</f>
        <v>5389850.0000000075</v>
      </c>
      <c r="S1503" s="1919">
        <f t="shared" si="3783"/>
        <v>31415760.000000015</v>
      </c>
      <c r="T1503" s="3434">
        <f>865370+366520+1838130+1956820</f>
        <v>5026840</v>
      </c>
      <c r="U1503" s="1919">
        <f t="shared" si="3784"/>
        <v>36442600.000000015</v>
      </c>
      <c r="V1503" s="3434">
        <f>884490+380300+2114450+1878920</f>
        <v>5258160</v>
      </c>
      <c r="W1503" s="2213">
        <f t="shared" ref="W1503:W1516" si="3791">+R1503+T1503+V1503</f>
        <v>15674850.000000007</v>
      </c>
      <c r="X1503" s="1982">
        <f t="shared" ref="X1503:X1516" si="3792">+U1503+V1503</f>
        <v>41700760.000000015</v>
      </c>
      <c r="Y1503" s="3434">
        <v>5201030</v>
      </c>
      <c r="Z1503" s="1919">
        <f t="shared" si="3785"/>
        <v>46901790.000000015</v>
      </c>
      <c r="AA1503" s="3434">
        <v>4976030</v>
      </c>
      <c r="AB1503" s="1919">
        <f t="shared" si="3786"/>
        <v>51877820.000000015</v>
      </c>
      <c r="AC1503" s="3434">
        <v>5386970</v>
      </c>
      <c r="AD1503" s="2416">
        <f t="shared" ref="AD1503:AD1516" si="3793">+Y1503+AA1503+AC1503</f>
        <v>15564030</v>
      </c>
      <c r="AE1503" s="2214">
        <f t="shared" si="3787"/>
        <v>31238880.000000007</v>
      </c>
      <c r="AF1503" s="1813">
        <f t="shared" si="3788"/>
        <v>57264790.000000015</v>
      </c>
    </row>
    <row r="1504" spans="4:77" ht="30" hidden="1" x14ac:dyDescent="0.25">
      <c r="D1504" s="2086"/>
      <c r="E1504" s="2970" t="s">
        <v>1497</v>
      </c>
      <c r="F1504" s="3434">
        <v>1555939.9999999995</v>
      </c>
      <c r="G1504" s="3434">
        <v>1505040</v>
      </c>
      <c r="H1504" s="1813">
        <f t="shared" si="3725"/>
        <v>3060979.9999999995</v>
      </c>
      <c r="I1504" s="3434">
        <v>1709659.9999999991</v>
      </c>
      <c r="J1504" s="1951">
        <f t="shared" si="3780"/>
        <v>4770639.9999999981</v>
      </c>
      <c r="K1504" s="3434"/>
      <c r="L1504" s="1919">
        <f t="shared" si="3781"/>
        <v>4770639.9999999981</v>
      </c>
      <c r="M1504" s="3434">
        <v>2146086.9999999991</v>
      </c>
      <c r="N1504" s="1919">
        <f t="shared" si="3782"/>
        <v>6916726.9999999972</v>
      </c>
      <c r="O1504" s="3434">
        <v>1786922.9999999993</v>
      </c>
      <c r="P1504" s="2213">
        <f t="shared" si="3789"/>
        <v>3933009.9999999981</v>
      </c>
      <c r="Q1504" s="2214">
        <f t="shared" si="3790"/>
        <v>8703649.9999999963</v>
      </c>
      <c r="R1504" s="3434">
        <v>1989330.0000000005</v>
      </c>
      <c r="S1504" s="1919">
        <f t="shared" si="3783"/>
        <v>10692979.999999996</v>
      </c>
      <c r="T1504" s="3434">
        <v>1825009.9999999991</v>
      </c>
      <c r="U1504" s="1919">
        <f t="shared" si="3784"/>
        <v>12517989.999999996</v>
      </c>
      <c r="V1504" s="3434">
        <v>2057050.0000000007</v>
      </c>
      <c r="W1504" s="2213">
        <f t="shared" si="3791"/>
        <v>5871390</v>
      </c>
      <c r="X1504" s="1982">
        <f t="shared" si="3792"/>
        <v>14575039.999999996</v>
      </c>
      <c r="Y1504" s="3434">
        <v>1971040.0000000007</v>
      </c>
      <c r="Z1504" s="1919">
        <f t="shared" si="3785"/>
        <v>16546079.999999996</v>
      </c>
      <c r="AA1504" s="3434">
        <v>1880510.0000000005</v>
      </c>
      <c r="AB1504" s="1919">
        <f t="shared" si="3786"/>
        <v>18426589.999999996</v>
      </c>
      <c r="AC1504" s="3434">
        <v>1944900</v>
      </c>
      <c r="AD1504" s="2213">
        <f t="shared" si="3793"/>
        <v>5796450.0000000009</v>
      </c>
      <c r="AE1504" s="2214">
        <f t="shared" si="3787"/>
        <v>11667840</v>
      </c>
      <c r="AF1504" s="1813">
        <f t="shared" si="3788"/>
        <v>20371489.999999996</v>
      </c>
    </row>
    <row r="1505" spans="4:38" ht="30" hidden="1" x14ac:dyDescent="0.25">
      <c r="D1505" s="2086"/>
      <c r="E1505" s="2970" t="s">
        <v>1047</v>
      </c>
      <c r="F1505" s="3434">
        <v>7954979.9999999814</v>
      </c>
      <c r="G1505" s="3434">
        <v>8018420.0000000149</v>
      </c>
      <c r="H1505" s="1813">
        <f t="shared" si="3725"/>
        <v>15973399.999999996</v>
      </c>
      <c r="I1505" s="3434">
        <v>8878109.9999999907</v>
      </c>
      <c r="J1505" s="1951">
        <f t="shared" si="3780"/>
        <v>24851509.999999985</v>
      </c>
      <c r="K1505" s="3434"/>
      <c r="L1505" s="1919">
        <f t="shared" si="3781"/>
        <v>24851509.999999985</v>
      </c>
      <c r="M1505" s="3434">
        <v>11148349.999999978</v>
      </c>
      <c r="N1505" s="1919">
        <f t="shared" si="3782"/>
        <v>35999859.999999963</v>
      </c>
      <c r="O1505" s="3434">
        <v>9015110.0000000168</v>
      </c>
      <c r="P1505" s="2213">
        <f t="shared" si="3789"/>
        <v>20163459.999999993</v>
      </c>
      <c r="Q1505" s="2214">
        <f t="shared" si="3790"/>
        <v>45014969.999999978</v>
      </c>
      <c r="R1505" s="3434">
        <v>9605579.9999999702</v>
      </c>
      <c r="S1505" s="1919">
        <f t="shared" si="3783"/>
        <v>54620549.999999948</v>
      </c>
      <c r="T1505" s="3434">
        <v>9801200.0000000373</v>
      </c>
      <c r="U1505" s="1919">
        <f t="shared" si="3784"/>
        <v>64421749.999999985</v>
      </c>
      <c r="V1505" s="3434">
        <v>11378819.99999998</v>
      </c>
      <c r="W1505" s="2213">
        <f t="shared" si="3791"/>
        <v>30785599.999999985</v>
      </c>
      <c r="X1505" s="1982">
        <f t="shared" si="3792"/>
        <v>75800569.99999997</v>
      </c>
      <c r="Y1505" s="3434">
        <v>10974870.000000015</v>
      </c>
      <c r="Z1505" s="1919">
        <f t="shared" si="3785"/>
        <v>86775439.999999985</v>
      </c>
      <c r="AA1505" s="3434">
        <v>10556600.000000006</v>
      </c>
      <c r="AB1505" s="1919">
        <f t="shared" si="3786"/>
        <v>97332039.999999985</v>
      </c>
      <c r="AC1505" s="3434">
        <v>10235830.000000009</v>
      </c>
      <c r="AD1505" s="2213">
        <f t="shared" si="3793"/>
        <v>31767300.00000003</v>
      </c>
      <c r="AE1505" s="2214">
        <f t="shared" si="3787"/>
        <v>62552900.000000015</v>
      </c>
      <c r="AF1505" s="1813">
        <f t="shared" si="3788"/>
        <v>107567870</v>
      </c>
    </row>
    <row r="1506" spans="4:38" ht="30" hidden="1" x14ac:dyDescent="0.25">
      <c r="D1506" s="2086"/>
      <c r="E1506" s="2970" t="s">
        <v>1954</v>
      </c>
      <c r="F1506" s="3167">
        <v>9405013.9999999981</v>
      </c>
      <c r="G1506" s="3167">
        <v>9828956</v>
      </c>
      <c r="H1506" s="1813">
        <f t="shared" si="3725"/>
        <v>19233970</v>
      </c>
      <c r="I1506" s="3167">
        <v>10241878.000000015</v>
      </c>
      <c r="J1506" s="1951">
        <f t="shared" si="3780"/>
        <v>29475848.000000015</v>
      </c>
      <c r="K1506" s="3167"/>
      <c r="L1506" s="1919">
        <f t="shared" si="3781"/>
        <v>29475848.000000015</v>
      </c>
      <c r="M1506" s="3167">
        <f>11539324+9920</f>
        <v>11549244</v>
      </c>
      <c r="N1506" s="1919">
        <f t="shared" si="3782"/>
        <v>41025092.000000015</v>
      </c>
      <c r="O1506" s="3167">
        <f>488089.999999998+9581040+35336+13830</f>
        <v>10118295.999999998</v>
      </c>
      <c r="P1506" s="2213">
        <f t="shared" si="3789"/>
        <v>21667540</v>
      </c>
      <c r="Q1506" s="2214">
        <f t="shared" si="3790"/>
        <v>51143388.000000015</v>
      </c>
      <c r="R1506" s="3167">
        <f>11379764+7250</f>
        <v>11387014</v>
      </c>
      <c r="S1506" s="1919">
        <f t="shared" si="3783"/>
        <v>62530402.000000015</v>
      </c>
      <c r="T1506" s="3167">
        <f>785710+11097320+34736.0000000001+8460</f>
        <v>11926226</v>
      </c>
      <c r="U1506" s="1919">
        <f t="shared" si="3784"/>
        <v>74456628.000000015</v>
      </c>
      <c r="V1506" s="3167">
        <f>943800.000000001+10941740+31192.0000000002+7930</f>
        <v>11924662.000000002</v>
      </c>
      <c r="W1506" s="2213">
        <f t="shared" si="3791"/>
        <v>35237902</v>
      </c>
      <c r="X1506" s="1982">
        <f t="shared" si="3792"/>
        <v>86381290.000000015</v>
      </c>
      <c r="Y1506" s="3167">
        <f>11463096+6860</f>
        <v>11469956</v>
      </c>
      <c r="Z1506" s="1919">
        <f t="shared" si="3785"/>
        <v>97851246.000000015</v>
      </c>
      <c r="AA1506" s="3167">
        <f>10809464+4590</f>
        <v>10814054</v>
      </c>
      <c r="AB1506" s="1919">
        <f t="shared" si="3786"/>
        <v>108665300.00000001</v>
      </c>
      <c r="AC1506" s="3167">
        <f>11031528+5110</f>
        <v>11036638</v>
      </c>
      <c r="AD1506" s="2213">
        <f t="shared" si="3793"/>
        <v>33320648</v>
      </c>
      <c r="AE1506" s="2214">
        <f t="shared" si="3787"/>
        <v>68558550</v>
      </c>
      <c r="AF1506" s="1813">
        <f t="shared" si="3788"/>
        <v>119701938.00000001</v>
      </c>
    </row>
    <row r="1507" spans="4:38" ht="30" hidden="1" x14ac:dyDescent="0.25">
      <c r="D1507" s="2086"/>
      <c r="E1507" s="2970" t="s">
        <v>1955</v>
      </c>
      <c r="F1507" s="3167">
        <v>16006660.000000006</v>
      </c>
      <c r="G1507" s="3167">
        <v>16895070</v>
      </c>
      <c r="H1507" s="1813">
        <f t="shared" si="3725"/>
        <v>32901730.000000007</v>
      </c>
      <c r="I1507" s="3167">
        <v>16837500</v>
      </c>
      <c r="J1507" s="1951">
        <f t="shared" si="3780"/>
        <v>49739230.000000007</v>
      </c>
      <c r="K1507" s="3167"/>
      <c r="L1507" s="1919">
        <f t="shared" si="3781"/>
        <v>49739230.000000007</v>
      </c>
      <c r="M1507" s="3167">
        <v>21356379.999999996</v>
      </c>
      <c r="N1507" s="1919">
        <f t="shared" si="3782"/>
        <v>71095610</v>
      </c>
      <c r="O1507" s="3167">
        <f>13711230+3576230</f>
        <v>17287460</v>
      </c>
      <c r="P1507" s="2213">
        <f t="shared" si="3789"/>
        <v>38643840</v>
      </c>
      <c r="Q1507" s="2214">
        <f t="shared" si="3790"/>
        <v>88383070</v>
      </c>
      <c r="R1507" s="3167">
        <f>15021860+3741700</f>
        <v>18763560</v>
      </c>
      <c r="S1507" s="1919">
        <f t="shared" si="3783"/>
        <v>107146630</v>
      </c>
      <c r="T1507" s="3167">
        <f>14187600+3775050</f>
        <v>17962650</v>
      </c>
      <c r="U1507" s="1919">
        <f t="shared" si="3784"/>
        <v>125109280</v>
      </c>
      <c r="V1507" s="3167">
        <f>15379090+3886570</f>
        <v>19265660</v>
      </c>
      <c r="W1507" s="2213">
        <f t="shared" si="3791"/>
        <v>55991870</v>
      </c>
      <c r="X1507" s="1982">
        <f t="shared" si="3792"/>
        <v>144374940</v>
      </c>
      <c r="Y1507" s="3167">
        <v>20108920</v>
      </c>
      <c r="Z1507" s="1919">
        <f t="shared" si="3785"/>
        <v>164483860</v>
      </c>
      <c r="AA1507" s="3167">
        <v>20294420.000000007</v>
      </c>
      <c r="AB1507" s="1919">
        <f t="shared" si="3786"/>
        <v>184778280</v>
      </c>
      <c r="AC1507" s="3167">
        <v>19347840</v>
      </c>
      <c r="AD1507" s="2213">
        <f t="shared" si="3793"/>
        <v>59751180.000000007</v>
      </c>
      <c r="AE1507" s="2214">
        <f t="shared" si="3787"/>
        <v>115743050</v>
      </c>
      <c r="AF1507" s="1813">
        <f t="shared" si="3788"/>
        <v>204126120</v>
      </c>
    </row>
    <row r="1508" spans="4:38" ht="30" hidden="1" x14ac:dyDescent="0.25">
      <c r="D1508" s="2086"/>
      <c r="E1508" s="2970" t="s">
        <v>287</v>
      </c>
      <c r="F1508" s="3434">
        <v>961360.0000000014</v>
      </c>
      <c r="G1508" s="3434">
        <v>1006979.9999999992</v>
      </c>
      <c r="H1508" s="1813">
        <f t="shared" si="3725"/>
        <v>1968340.0000000005</v>
      </c>
      <c r="I1508" s="3434">
        <v>952999.99999999942</v>
      </c>
      <c r="J1508" s="1951">
        <f t="shared" si="3780"/>
        <v>2921340</v>
      </c>
      <c r="K1508" s="3434"/>
      <c r="L1508" s="1919">
        <f t="shared" si="3781"/>
        <v>2921340</v>
      </c>
      <c r="M1508" s="3434">
        <v>1281360</v>
      </c>
      <c r="N1508" s="1919">
        <f t="shared" si="3782"/>
        <v>4202700</v>
      </c>
      <c r="O1508" s="3434">
        <v>1549609.9999999998</v>
      </c>
      <c r="P1508" s="2213">
        <f t="shared" si="3789"/>
        <v>2830970</v>
      </c>
      <c r="Q1508" s="2214">
        <f t="shared" si="3790"/>
        <v>5752310</v>
      </c>
      <c r="R1508" s="3434">
        <v>1479179.9999999995</v>
      </c>
      <c r="S1508" s="1919">
        <f t="shared" si="3783"/>
        <v>7231490</v>
      </c>
      <c r="T1508" s="3434">
        <v>931659.99999999988</v>
      </c>
      <c r="U1508" s="1919">
        <f t="shared" si="3784"/>
        <v>8163150</v>
      </c>
      <c r="V1508" s="3434">
        <v>1051500</v>
      </c>
      <c r="W1508" s="2213">
        <f t="shared" si="3791"/>
        <v>3462339.9999999995</v>
      </c>
      <c r="X1508" s="1982">
        <f t="shared" si="3792"/>
        <v>9214650</v>
      </c>
      <c r="Y1508" s="3434">
        <v>1159439.9999999993</v>
      </c>
      <c r="Z1508" s="1919">
        <f t="shared" si="3785"/>
        <v>10374090</v>
      </c>
      <c r="AA1508" s="3434">
        <v>1163550.0000000021</v>
      </c>
      <c r="AB1508" s="1919">
        <f t="shared" si="3786"/>
        <v>11537640.000000002</v>
      </c>
      <c r="AC1508" s="3434">
        <v>1164699.9999999988</v>
      </c>
      <c r="AD1508" s="2213">
        <f t="shared" si="3793"/>
        <v>3487690</v>
      </c>
      <c r="AE1508" s="2214">
        <f t="shared" si="3787"/>
        <v>6950030</v>
      </c>
      <c r="AF1508" s="1813">
        <f t="shared" si="3788"/>
        <v>12702340</v>
      </c>
    </row>
    <row r="1509" spans="4:38" ht="30" hidden="1" x14ac:dyDescent="0.25">
      <c r="E1509" s="2970" t="s">
        <v>1048</v>
      </c>
      <c r="F1509" s="3167">
        <v>3675250.0000000093</v>
      </c>
      <c r="G1509" s="3167">
        <v>4377139.9999999879</v>
      </c>
      <c r="H1509" s="1813">
        <f t="shared" si="3725"/>
        <v>8052389.9999999972</v>
      </c>
      <c r="I1509" s="3167">
        <v>5537635.0000000075</v>
      </c>
      <c r="J1509" s="1951">
        <f t="shared" si="3780"/>
        <v>13590025.000000004</v>
      </c>
      <c r="K1509" s="3167"/>
      <c r="L1509" s="1919">
        <f t="shared" si="3781"/>
        <v>13590025.000000004</v>
      </c>
      <c r="M1509" s="3167">
        <v>5625851.666666666</v>
      </c>
      <c r="N1509" s="1919">
        <f t="shared" si="3782"/>
        <v>19215876.666666672</v>
      </c>
      <c r="O1509" s="3167">
        <v>5303189.9999999972</v>
      </c>
      <c r="P1509" s="2213">
        <f t="shared" si="3789"/>
        <v>10929041.666666664</v>
      </c>
      <c r="Q1509" s="2214">
        <f t="shared" si="3790"/>
        <v>24519066.666666668</v>
      </c>
      <c r="R1509" s="3167">
        <v>4971030.0000000075</v>
      </c>
      <c r="S1509" s="1919">
        <f t="shared" si="3783"/>
        <v>29490096.666666675</v>
      </c>
      <c r="T1509" s="3167">
        <v>6358054.9999999925</v>
      </c>
      <c r="U1509" s="1919">
        <f t="shared" si="3784"/>
        <v>35848151.666666672</v>
      </c>
      <c r="V1509" s="3167">
        <v>6050460</v>
      </c>
      <c r="W1509" s="2213">
        <f t="shared" si="3791"/>
        <v>17379545</v>
      </c>
      <c r="X1509" s="1982">
        <f t="shared" si="3792"/>
        <v>41898611.666666672</v>
      </c>
      <c r="Y1509" s="3167">
        <v>6110406.6666666707</v>
      </c>
      <c r="Z1509" s="1919">
        <f t="shared" si="3785"/>
        <v>48009018.333333343</v>
      </c>
      <c r="AA1509" s="3167">
        <v>5705619.9999999981</v>
      </c>
      <c r="AB1509" s="1919">
        <f t="shared" si="3786"/>
        <v>53714638.333333343</v>
      </c>
      <c r="AC1509" s="3167">
        <v>5950459.9999999972</v>
      </c>
      <c r="AD1509" s="2213">
        <f t="shared" si="3793"/>
        <v>17766486.666666664</v>
      </c>
      <c r="AE1509" s="2214">
        <f t="shared" si="3787"/>
        <v>35146031.666666664</v>
      </c>
      <c r="AF1509" s="1813">
        <f t="shared" si="3788"/>
        <v>59665098.333333343</v>
      </c>
    </row>
    <row r="1510" spans="4:38" ht="30" hidden="1" x14ac:dyDescent="0.3">
      <c r="E1510" s="2970" t="s">
        <v>1049</v>
      </c>
      <c r="F1510" s="3167">
        <v>2119909.9999999995</v>
      </c>
      <c r="G1510" s="3167">
        <v>4863980</v>
      </c>
      <c r="H1510" s="1813">
        <f t="shared" si="3725"/>
        <v>6983890</v>
      </c>
      <c r="I1510" s="3167">
        <v>4403154.9999999963</v>
      </c>
      <c r="J1510" s="1951">
        <f t="shared" si="3780"/>
        <v>11387044.999999996</v>
      </c>
      <c r="K1510" s="3167"/>
      <c r="L1510" s="1919">
        <f t="shared" si="3781"/>
        <v>11387044.999999996</v>
      </c>
      <c r="M1510" s="3167">
        <v>5187791.6666666623</v>
      </c>
      <c r="N1510" s="1919">
        <f t="shared" si="3782"/>
        <v>16574836.666666659</v>
      </c>
      <c r="O1510" s="3167">
        <v>3563359.9999999995</v>
      </c>
      <c r="P1510" s="2213">
        <f t="shared" si="3789"/>
        <v>8751151.6666666623</v>
      </c>
      <c r="Q1510" s="2214">
        <f t="shared" si="3790"/>
        <v>20138196.666666657</v>
      </c>
      <c r="R1510" s="3167">
        <v>4868210.0000000028</v>
      </c>
      <c r="S1510" s="1919">
        <f t="shared" si="3783"/>
        <v>25006406.66666666</v>
      </c>
      <c r="T1510" s="3167">
        <v>5214374.9999999981</v>
      </c>
      <c r="U1510" s="1919">
        <f t="shared" si="3784"/>
        <v>30220781.666666657</v>
      </c>
      <c r="V1510" s="3167">
        <v>5297270</v>
      </c>
      <c r="W1510" s="2213">
        <f t="shared" si="3791"/>
        <v>15379855</v>
      </c>
      <c r="X1510" s="1982">
        <f t="shared" si="3792"/>
        <v>35518051.666666657</v>
      </c>
      <c r="Y1510" s="3167">
        <v>4658356.666666667</v>
      </c>
      <c r="Z1510" s="1919">
        <f t="shared" si="3785"/>
        <v>40176408.333333321</v>
      </c>
      <c r="AA1510" s="3167">
        <v>4828339.9999999972</v>
      </c>
      <c r="AB1510" s="1919">
        <f t="shared" si="3786"/>
        <v>45004748.333333321</v>
      </c>
      <c r="AC1510" s="3167">
        <v>4774160.0000000047</v>
      </c>
      <c r="AD1510" s="2213">
        <f t="shared" si="3793"/>
        <v>14260856.666666668</v>
      </c>
      <c r="AE1510" s="2214">
        <f t="shared" si="3787"/>
        <v>29640711.666666668</v>
      </c>
      <c r="AF1510" s="1813">
        <f t="shared" si="3788"/>
        <v>49778908.333333328</v>
      </c>
      <c r="AH1510" s="5206"/>
    </row>
    <row r="1511" spans="4:38" ht="30" hidden="1" x14ac:dyDescent="0.25">
      <c r="E1511" s="2970" t="s">
        <v>1050</v>
      </c>
      <c r="F1511" s="3167">
        <v>423946.99999999942</v>
      </c>
      <c r="G1511" s="3167">
        <v>543130.00000000047</v>
      </c>
      <c r="H1511" s="1813">
        <f t="shared" si="3725"/>
        <v>967076.99999999988</v>
      </c>
      <c r="I1511" s="3167">
        <v>654579.99999999953</v>
      </c>
      <c r="J1511" s="1951">
        <f t="shared" si="3780"/>
        <v>1621656.9999999995</v>
      </c>
      <c r="K1511" s="3167"/>
      <c r="L1511" s="1919">
        <f t="shared" si="3781"/>
        <v>1621656.9999999995</v>
      </c>
      <c r="M1511" s="3167">
        <v>2386743.666666667</v>
      </c>
      <c r="N1511" s="1919">
        <f t="shared" si="3782"/>
        <v>4008400.6666666665</v>
      </c>
      <c r="O1511" s="3167">
        <v>1101299.9999999991</v>
      </c>
      <c r="P1511" s="2213">
        <f t="shared" si="3789"/>
        <v>3488043.666666666</v>
      </c>
      <c r="Q1511" s="2214">
        <f t="shared" si="3790"/>
        <v>5109700.666666666</v>
      </c>
      <c r="R1511" s="3167">
        <v>1809179.9999999984</v>
      </c>
      <c r="S1511" s="1919">
        <f t="shared" si="3783"/>
        <v>6918880.6666666642</v>
      </c>
      <c r="T1511" s="3167">
        <v>1363380.0000000026</v>
      </c>
      <c r="U1511" s="1919">
        <f t="shared" si="3784"/>
        <v>8282260.666666667</v>
      </c>
      <c r="V1511" s="3167">
        <v>913349.99999999977</v>
      </c>
      <c r="W1511" s="2213">
        <f t="shared" si="3791"/>
        <v>4085910.0000000009</v>
      </c>
      <c r="X1511" s="1982">
        <f t="shared" si="3792"/>
        <v>9195610.666666666</v>
      </c>
      <c r="Y1511" s="3167">
        <v>1966196.6666666663</v>
      </c>
      <c r="Z1511" s="1919">
        <f t="shared" si="3785"/>
        <v>11161807.333333332</v>
      </c>
      <c r="AA1511" s="3167">
        <v>2128849.9999999991</v>
      </c>
      <c r="AB1511" s="1919">
        <f t="shared" si="3786"/>
        <v>13290657.333333332</v>
      </c>
      <c r="AC1511" s="3167">
        <v>2186333</v>
      </c>
      <c r="AD1511" s="2213">
        <f t="shared" si="3793"/>
        <v>6281379.6666666651</v>
      </c>
      <c r="AE1511" s="2214">
        <f t="shared" si="3787"/>
        <v>10367289.666666666</v>
      </c>
      <c r="AF1511" s="1813">
        <f t="shared" si="3788"/>
        <v>15476990.333333332</v>
      </c>
    </row>
    <row r="1512" spans="4:38" ht="30" hidden="1" x14ac:dyDescent="0.25">
      <c r="E1512" s="2970" t="s">
        <v>1956</v>
      </c>
      <c r="F1512" s="3167">
        <v>24602610.000000015</v>
      </c>
      <c r="G1512" s="3167">
        <v>25208649.999999989</v>
      </c>
      <c r="H1512" s="1813">
        <f t="shared" si="3725"/>
        <v>49811260</v>
      </c>
      <c r="I1512" s="3167">
        <v>24573030.000000007</v>
      </c>
      <c r="J1512" s="1951">
        <f t="shared" si="3780"/>
        <v>74384290</v>
      </c>
      <c r="K1512" s="3167"/>
      <c r="L1512" s="1919">
        <f t="shared" si="3781"/>
        <v>74384290</v>
      </c>
      <c r="M1512" s="3167">
        <f>61070+349656</f>
        <v>410726</v>
      </c>
      <c r="N1512" s="1919">
        <f t="shared" si="3782"/>
        <v>74795016</v>
      </c>
      <c r="O1512" s="3167">
        <f>59100+339134</f>
        <v>398234</v>
      </c>
      <c r="P1512" s="2213">
        <f t="shared" si="3789"/>
        <v>808960</v>
      </c>
      <c r="Q1512" s="2214">
        <f t="shared" si="3790"/>
        <v>75193250</v>
      </c>
      <c r="R1512" s="3167">
        <f>61070+351496</f>
        <v>412566</v>
      </c>
      <c r="S1512" s="1919">
        <f t="shared" si="3783"/>
        <v>75605816</v>
      </c>
      <c r="T1512" s="3167">
        <f>355653+59100</f>
        <v>414753</v>
      </c>
      <c r="U1512" s="1919">
        <f t="shared" si="3784"/>
        <v>76020569</v>
      </c>
      <c r="V1512" s="3167">
        <f>61071+346978</f>
        <v>408049</v>
      </c>
      <c r="W1512" s="2213">
        <f t="shared" si="3791"/>
        <v>1235368</v>
      </c>
      <c r="X1512" s="1982">
        <f t="shared" si="3792"/>
        <v>76428618</v>
      </c>
      <c r="Y1512" s="3167">
        <f>61071+386797</f>
        <v>447868</v>
      </c>
      <c r="Z1512" s="1919">
        <f t="shared" si="3785"/>
        <v>76876486</v>
      </c>
      <c r="AA1512" s="3167">
        <f>57130+340857</f>
        <v>397987</v>
      </c>
      <c r="AB1512" s="1919">
        <f t="shared" si="3786"/>
        <v>77274473</v>
      </c>
      <c r="AC1512" s="3167">
        <f>61070+344169</f>
        <v>405239</v>
      </c>
      <c r="AD1512" s="2213">
        <f t="shared" si="3793"/>
        <v>1251094</v>
      </c>
      <c r="AE1512" s="2214">
        <f t="shared" si="3787"/>
        <v>2486462</v>
      </c>
      <c r="AF1512" s="1813">
        <f t="shared" si="3788"/>
        <v>77679712</v>
      </c>
    </row>
    <row r="1513" spans="4:38" ht="30" hidden="1" x14ac:dyDescent="0.25">
      <c r="E1513" s="2970" t="s">
        <v>1051</v>
      </c>
      <c r="F1513" s="3167">
        <v>3577000</v>
      </c>
      <c r="G1513" s="3167">
        <v>3313400.0000000051</v>
      </c>
      <c r="H1513" s="1813">
        <f t="shared" si="3725"/>
        <v>6890400.0000000056</v>
      </c>
      <c r="I1513" s="3167">
        <v>3327500</v>
      </c>
      <c r="J1513" s="1951">
        <f t="shared" si="3780"/>
        <v>10217900.000000006</v>
      </c>
      <c r="K1513" s="3167"/>
      <c r="L1513" s="1919">
        <f t="shared" si="3781"/>
        <v>10217900.000000006</v>
      </c>
      <c r="M1513" s="3167">
        <v>5834230</v>
      </c>
      <c r="N1513" s="1919">
        <f t="shared" si="3782"/>
        <v>16052130.000000006</v>
      </c>
      <c r="O1513" s="3167">
        <v>5541740</v>
      </c>
      <c r="P1513" s="2213">
        <f t="shared" si="3789"/>
        <v>11375970</v>
      </c>
      <c r="Q1513" s="2214">
        <f t="shared" si="3790"/>
        <v>21593870.000000007</v>
      </c>
      <c r="R1513" s="3167">
        <v>5805931.1999999993</v>
      </c>
      <c r="S1513" s="1919">
        <f t="shared" si="3783"/>
        <v>27399801.200000007</v>
      </c>
      <c r="T1513" s="3167">
        <v>5583360</v>
      </c>
      <c r="U1513" s="1919">
        <f t="shared" si="3784"/>
        <v>32983161.200000007</v>
      </c>
      <c r="V1513" s="3167">
        <v>5754989.3999999994</v>
      </c>
      <c r="W1513" s="2213">
        <f t="shared" si="3791"/>
        <v>17144280.599999998</v>
      </c>
      <c r="X1513" s="1982">
        <f t="shared" si="3792"/>
        <v>38738150.600000009</v>
      </c>
      <c r="Y1513" s="3167">
        <v>5673200</v>
      </c>
      <c r="Z1513" s="1919">
        <f t="shared" si="3785"/>
        <v>44411350.600000009</v>
      </c>
      <c r="AA1513" s="3167">
        <v>5329900</v>
      </c>
      <c r="AB1513" s="1919">
        <f t="shared" si="3786"/>
        <v>49741250.600000009</v>
      </c>
      <c r="AC1513" s="3167">
        <v>5760860</v>
      </c>
      <c r="AD1513" s="2213">
        <f t="shared" si="3793"/>
        <v>16763960</v>
      </c>
      <c r="AE1513" s="2214">
        <f t="shared" si="3787"/>
        <v>33908240.599999994</v>
      </c>
      <c r="AF1513" s="1813">
        <f t="shared" si="3788"/>
        <v>55502110.600000009</v>
      </c>
    </row>
    <row r="1514" spans="4:38" ht="30" hidden="1" x14ac:dyDescent="0.25">
      <c r="E1514" s="2970" t="s">
        <v>1957</v>
      </c>
      <c r="F1514" s="3167">
        <v>454899.99999999919</v>
      </c>
      <c r="G1514" s="3167">
        <v>444510.0000000007</v>
      </c>
      <c r="H1514" s="1813">
        <f t="shared" si="3725"/>
        <v>899409.99999999988</v>
      </c>
      <c r="I1514" s="3167">
        <v>430879.99999999971</v>
      </c>
      <c r="J1514" s="1951">
        <f t="shared" si="3780"/>
        <v>1330289.9999999995</v>
      </c>
      <c r="K1514" s="3167"/>
      <c r="L1514" s="1919">
        <f t="shared" si="3781"/>
        <v>1330289.9999999995</v>
      </c>
      <c r="M1514" s="3167">
        <v>25707440</v>
      </c>
      <c r="N1514" s="1919">
        <f t="shared" si="3782"/>
        <v>27037730</v>
      </c>
      <c r="O1514" s="3167">
        <v>24496760</v>
      </c>
      <c r="P1514" s="2213">
        <f t="shared" si="3789"/>
        <v>50204200</v>
      </c>
      <c r="Q1514" s="2214">
        <f t="shared" si="3790"/>
        <v>51534490</v>
      </c>
      <c r="R1514" s="3167">
        <v>25471050</v>
      </c>
      <c r="S1514" s="1919">
        <f t="shared" si="3783"/>
        <v>77005540</v>
      </c>
      <c r="T1514" s="3167">
        <v>24414190</v>
      </c>
      <c r="U1514" s="1919">
        <f t="shared" si="3784"/>
        <v>101419730</v>
      </c>
      <c r="V1514" s="3167">
        <v>25259550</v>
      </c>
      <c r="W1514" s="2213">
        <f t="shared" si="3791"/>
        <v>75144790</v>
      </c>
      <c r="X1514" s="1982">
        <f t="shared" si="3792"/>
        <v>126679280</v>
      </c>
      <c r="Y1514" s="3167">
        <v>24912170</v>
      </c>
      <c r="Z1514" s="1919">
        <f t="shared" si="3785"/>
        <v>151591450</v>
      </c>
      <c r="AA1514" s="3167">
        <v>23541410</v>
      </c>
      <c r="AB1514" s="1919">
        <f t="shared" si="3786"/>
        <v>175132860</v>
      </c>
      <c r="AC1514" s="3167">
        <v>25569039.999999993</v>
      </c>
      <c r="AD1514" s="2213">
        <f t="shared" si="3793"/>
        <v>74022620</v>
      </c>
      <c r="AE1514" s="2214">
        <f t="shared" si="3787"/>
        <v>149167410</v>
      </c>
      <c r="AF1514" s="1813">
        <f t="shared" si="3788"/>
        <v>200701900</v>
      </c>
    </row>
    <row r="1515" spans="4:38" ht="30" hidden="1" x14ac:dyDescent="0.25">
      <c r="E1515" s="2970" t="s">
        <v>1958</v>
      </c>
      <c r="F1515" s="3434">
        <v>706000</v>
      </c>
      <c r="G1515" s="3434">
        <v>613100.00000000035</v>
      </c>
      <c r="H1515" s="1813">
        <f t="shared" si="3725"/>
        <v>1319100.0000000005</v>
      </c>
      <c r="I1515" s="3434">
        <v>486500</v>
      </c>
      <c r="J1515" s="1951">
        <f t="shared" si="3780"/>
        <v>1805600.0000000005</v>
      </c>
      <c r="K1515" s="3434"/>
      <c r="L1515" s="1919">
        <f t="shared" si="3781"/>
        <v>1805600.0000000005</v>
      </c>
      <c r="M1515" s="3434">
        <v>3637000</v>
      </c>
      <c r="N1515" s="1919">
        <f t="shared" si="3782"/>
        <v>5442600</v>
      </c>
      <c r="O1515" s="3434">
        <v>2943299.9999999916</v>
      </c>
      <c r="P1515" s="2213">
        <f t="shared" si="3789"/>
        <v>6580299.9999999916</v>
      </c>
      <c r="Q1515" s="2214">
        <f t="shared" si="3790"/>
        <v>8385899.9999999916</v>
      </c>
      <c r="R1515" s="3434">
        <v>3068800.0000000065</v>
      </c>
      <c r="S1515" s="1919">
        <f t="shared" si="3783"/>
        <v>11454699.999999998</v>
      </c>
      <c r="T1515" s="3434">
        <v>3234799.9999999991</v>
      </c>
      <c r="U1515" s="1919">
        <f t="shared" si="3784"/>
        <v>14689499.999999996</v>
      </c>
      <c r="V1515" s="3434">
        <v>3685400.0000000014</v>
      </c>
      <c r="W1515" s="2213">
        <f t="shared" si="3791"/>
        <v>9989000.0000000075</v>
      </c>
      <c r="X1515" s="1982">
        <f t="shared" si="3792"/>
        <v>18374899.999999996</v>
      </c>
      <c r="Y1515" s="3434">
        <v>3767299.9999999916</v>
      </c>
      <c r="Z1515" s="1919">
        <f t="shared" si="3785"/>
        <v>22142199.999999989</v>
      </c>
      <c r="AA1515" s="3434">
        <v>3560499.9999999963</v>
      </c>
      <c r="AB1515" s="1919">
        <f t="shared" si="3786"/>
        <v>25702699.999999985</v>
      </c>
      <c r="AC1515" s="3434">
        <v>3851799.9999999991</v>
      </c>
      <c r="AD1515" s="2213">
        <f t="shared" si="3793"/>
        <v>11179599.999999987</v>
      </c>
      <c r="AE1515" s="2214">
        <f t="shared" si="3787"/>
        <v>21168599.999999993</v>
      </c>
      <c r="AF1515" s="1813">
        <f t="shared" si="3788"/>
        <v>29554499.999999985</v>
      </c>
    </row>
    <row r="1516" spans="4:38" ht="30" hidden="1" x14ac:dyDescent="0.25">
      <c r="E1516" s="2970" t="s">
        <v>1959</v>
      </c>
      <c r="F1516" s="3167">
        <v>865772.19999999972</v>
      </c>
      <c r="G1516" s="3167">
        <v>777589.69999999867</v>
      </c>
      <c r="H1516" s="1813">
        <f t="shared" si="3725"/>
        <v>1643361.8999999985</v>
      </c>
      <c r="I1516" s="3167">
        <v>805166.00000000105</v>
      </c>
      <c r="J1516" s="1951">
        <f t="shared" si="3780"/>
        <v>2448527.8999999994</v>
      </c>
      <c r="K1516" s="3167"/>
      <c r="L1516" s="1919">
        <f t="shared" si="3781"/>
        <v>2448527.8999999994</v>
      </c>
      <c r="M1516" s="3434">
        <f>1985610+427970</f>
        <v>2413580</v>
      </c>
      <c r="N1516" s="1919">
        <f t="shared" si="3782"/>
        <v>4862107.8999999994</v>
      </c>
      <c r="O1516" s="3434">
        <f>1906560+410700</f>
        <v>2317260</v>
      </c>
      <c r="P1516" s="2213">
        <f t="shared" si="3789"/>
        <v>4730840</v>
      </c>
      <c r="Q1516" s="2214">
        <f t="shared" si="3790"/>
        <v>7179367.8999999994</v>
      </c>
      <c r="R1516" s="3434">
        <f>1838610+358700</f>
        <v>2197310</v>
      </c>
      <c r="S1516" s="1919">
        <f t="shared" si="3783"/>
        <v>9376677.8999999985</v>
      </c>
      <c r="T1516" s="3434">
        <f>1595780+249235</f>
        <v>1845015</v>
      </c>
      <c r="U1516" s="1919">
        <f t="shared" si="3784"/>
        <v>11221692.899999999</v>
      </c>
      <c r="V1516" s="3434">
        <f>1656720+350440</f>
        <v>2007160</v>
      </c>
      <c r="W1516" s="2213">
        <f t="shared" si="3791"/>
        <v>6049485</v>
      </c>
      <c r="X1516" s="1982">
        <f t="shared" si="3792"/>
        <v>13228852.899999999</v>
      </c>
      <c r="Y1516" s="3434">
        <f>1724650+408810</f>
        <v>2133460</v>
      </c>
      <c r="Z1516" s="1919">
        <f t="shared" si="3785"/>
        <v>15362312.899999999</v>
      </c>
      <c r="AA1516" s="3434">
        <f>1405760+340530</f>
        <v>1746290</v>
      </c>
      <c r="AB1516" s="1919">
        <f t="shared" si="3786"/>
        <v>17108602.899999999</v>
      </c>
      <c r="AC1516" s="3434">
        <f>395100+1390980</f>
        <v>1786080</v>
      </c>
      <c r="AD1516" s="2213">
        <f t="shared" si="3793"/>
        <v>5665830</v>
      </c>
      <c r="AE1516" s="2214">
        <f t="shared" si="3787"/>
        <v>11715315</v>
      </c>
      <c r="AF1516" s="1813">
        <f t="shared" si="3788"/>
        <v>18894682.899999999</v>
      </c>
    </row>
    <row r="1517" spans="4:38" s="5663" customFormat="1" ht="16" hidden="1" thickBot="1" x14ac:dyDescent="0.25">
      <c r="K1517" s="5872"/>
    </row>
    <row r="1518" spans="4:38" ht="30" hidden="1" x14ac:dyDescent="0.25">
      <c r="E1518" s="5465" t="s">
        <v>1960</v>
      </c>
      <c r="F1518" s="5466">
        <f>+SUM(F1519:F1522)</f>
        <v>2006210.3566000003</v>
      </c>
      <c r="G1518" s="5466">
        <f>+SUM(G1519:G1522)</f>
        <v>2111079.1864000005</v>
      </c>
      <c r="H1518" s="1813">
        <f t="shared" si="3725"/>
        <v>4117289.5430000005</v>
      </c>
      <c r="I1518" s="5466">
        <f>+SUM(I1519:I1522)</f>
        <v>2217616.3455999992</v>
      </c>
      <c r="J1518" s="1951">
        <f t="shared" si="3780"/>
        <v>6334905.8885999992</v>
      </c>
      <c r="K1518" s="5466">
        <f>+SUM(K1519:K1522)</f>
        <v>0</v>
      </c>
      <c r="L1518" s="1919">
        <f t="shared" si="3781"/>
        <v>6334905.8885999992</v>
      </c>
      <c r="M1518" s="3434"/>
      <c r="N1518" s="1919"/>
      <c r="O1518" s="3434"/>
      <c r="P1518" s="2213"/>
      <c r="Q1518" s="2214"/>
      <c r="R1518" s="3434"/>
      <c r="S1518" s="1919"/>
      <c r="T1518" s="3434"/>
      <c r="U1518" s="1919"/>
      <c r="V1518" s="3434"/>
      <c r="W1518" s="2213"/>
      <c r="X1518" s="1982"/>
      <c r="Y1518" s="3434"/>
      <c r="Z1518" s="1919"/>
      <c r="AA1518" s="3434"/>
      <c r="AB1518" s="1919"/>
      <c r="AC1518" s="3434"/>
      <c r="AD1518" s="2213"/>
      <c r="AE1518" s="2214"/>
      <c r="AF1518" s="1813"/>
      <c r="AG1518" s="5440"/>
      <c r="AH1518" s="5440"/>
      <c r="AI1518" s="5440"/>
      <c r="AJ1518" s="5440"/>
      <c r="AK1518" s="5440"/>
      <c r="AL1518" s="5440"/>
    </row>
    <row r="1519" spans="4:38" ht="30" hidden="1" x14ac:dyDescent="0.25">
      <c r="E1519" s="2970" t="s">
        <v>1961</v>
      </c>
      <c r="F1519" s="3167">
        <v>1093290</v>
      </c>
      <c r="G1519" s="3167">
        <v>1171532.8</v>
      </c>
      <c r="H1519" s="1813">
        <f t="shared" si="3725"/>
        <v>2264822.7999999998</v>
      </c>
      <c r="I1519" s="3167">
        <v>1243012</v>
      </c>
      <c r="J1519" s="1951">
        <f t="shared" si="3780"/>
        <v>3507834.8</v>
      </c>
      <c r="K1519" s="3167"/>
      <c r="L1519" s="1919">
        <f t="shared" si="3781"/>
        <v>3507834.8</v>
      </c>
      <c r="M1519" s="3434"/>
      <c r="N1519" s="1919"/>
      <c r="O1519" s="3434"/>
      <c r="P1519" s="2213"/>
      <c r="Q1519" s="2214"/>
      <c r="R1519" s="3434"/>
      <c r="S1519" s="1919"/>
      <c r="T1519" s="3434"/>
      <c r="U1519" s="1919"/>
      <c r="V1519" s="3434"/>
      <c r="W1519" s="2213"/>
      <c r="X1519" s="1982"/>
      <c r="Y1519" s="3434"/>
      <c r="Z1519" s="1919"/>
      <c r="AA1519" s="3434"/>
      <c r="AB1519" s="1919"/>
      <c r="AC1519" s="3434"/>
      <c r="AD1519" s="2213"/>
      <c r="AE1519" s="2214"/>
      <c r="AF1519" s="1813"/>
      <c r="AG1519" s="5440"/>
      <c r="AH1519" s="5440"/>
      <c r="AI1519" s="5440"/>
      <c r="AJ1519" s="5440"/>
      <c r="AK1519" s="5440"/>
      <c r="AL1519" s="5440"/>
    </row>
    <row r="1520" spans="4:38" ht="30" hidden="1" x14ac:dyDescent="0.25">
      <c r="E1520" s="2970" t="s">
        <v>1962</v>
      </c>
      <c r="F1520" s="3167">
        <v>644972.74900000007</v>
      </c>
      <c r="G1520" s="3167">
        <v>646895.54300000006</v>
      </c>
      <c r="H1520" s="1813">
        <f t="shared" si="3725"/>
        <v>1291868.2920000001</v>
      </c>
      <c r="I1520" s="3167">
        <v>642008</v>
      </c>
      <c r="J1520" s="1951">
        <f t="shared" si="3780"/>
        <v>1933876.2920000001</v>
      </c>
      <c r="K1520" s="3167"/>
      <c r="L1520" s="1919">
        <f t="shared" si="3781"/>
        <v>1933876.2920000001</v>
      </c>
      <c r="M1520" s="3434"/>
      <c r="N1520" s="1919"/>
      <c r="O1520" s="3434"/>
      <c r="P1520" s="2213"/>
      <c r="Q1520" s="2214"/>
      <c r="R1520" s="3434"/>
      <c r="S1520" s="1919"/>
      <c r="T1520" s="3434"/>
      <c r="U1520" s="1919"/>
      <c r="V1520" s="3434"/>
      <c r="W1520" s="2213"/>
      <c r="X1520" s="1982"/>
      <c r="Y1520" s="3434"/>
      <c r="Z1520" s="1919"/>
      <c r="AA1520" s="3434"/>
      <c r="AB1520" s="1919"/>
      <c r="AC1520" s="3434"/>
      <c r="AD1520" s="2213"/>
      <c r="AE1520" s="2214"/>
      <c r="AF1520" s="1813"/>
      <c r="AG1520" s="5440"/>
      <c r="AH1520" s="5440"/>
      <c r="AI1520" s="5440"/>
      <c r="AJ1520" s="5440"/>
      <c r="AK1520" s="5440"/>
      <c r="AL1520" s="5440"/>
    </row>
    <row r="1521" spans="5:48" ht="30" hidden="1" x14ac:dyDescent="0.25">
      <c r="E1521" s="2970" t="s">
        <v>1963</v>
      </c>
      <c r="F1521" s="3167">
        <v>187023.60760000031</v>
      </c>
      <c r="G1521" s="3167">
        <v>184126.8434000003</v>
      </c>
      <c r="H1521" s="1813">
        <f t="shared" si="3725"/>
        <v>371150.45100000058</v>
      </c>
      <c r="I1521" s="3167">
        <v>212872.34559999936</v>
      </c>
      <c r="J1521" s="1951">
        <f t="shared" si="3780"/>
        <v>584022.7966</v>
      </c>
      <c r="K1521" s="3167"/>
      <c r="L1521" s="1919">
        <f t="shared" si="3781"/>
        <v>584022.7966</v>
      </c>
      <c r="M1521" s="3434"/>
      <c r="N1521" s="1919"/>
      <c r="O1521" s="3434"/>
      <c r="P1521" s="2213"/>
      <c r="Q1521" s="2214"/>
      <c r="R1521" s="3434"/>
      <c r="S1521" s="1919"/>
      <c r="T1521" s="3434"/>
      <c r="U1521" s="1919"/>
      <c r="V1521" s="3434"/>
      <c r="W1521" s="2213"/>
      <c r="X1521" s="1982"/>
      <c r="Y1521" s="3434"/>
      <c r="Z1521" s="1919"/>
      <c r="AA1521" s="3434"/>
      <c r="AB1521" s="1919"/>
      <c r="AC1521" s="3434"/>
      <c r="AD1521" s="2213"/>
      <c r="AE1521" s="2214"/>
      <c r="AF1521" s="1813"/>
      <c r="AG1521" s="5440"/>
      <c r="AH1521" s="5440"/>
      <c r="AI1521" s="5440"/>
      <c r="AJ1521" s="5440"/>
      <c r="AK1521" s="5440"/>
      <c r="AL1521" s="5440"/>
    </row>
    <row r="1522" spans="5:48" ht="30" hidden="1" x14ac:dyDescent="0.25">
      <c r="E1522" s="2970" t="s">
        <v>1964</v>
      </c>
      <c r="F1522" s="3167">
        <v>80924</v>
      </c>
      <c r="G1522" s="3167">
        <v>108524</v>
      </c>
      <c r="H1522" s="1813">
        <f t="shared" si="3725"/>
        <v>189448</v>
      </c>
      <c r="I1522" s="3167">
        <v>119724</v>
      </c>
      <c r="J1522" s="1951">
        <f t="shared" si="3780"/>
        <v>309172</v>
      </c>
      <c r="K1522" s="3167"/>
      <c r="L1522" s="1919">
        <f t="shared" si="3781"/>
        <v>309172</v>
      </c>
      <c r="M1522" s="3434"/>
      <c r="N1522" s="1919"/>
      <c r="O1522" s="3434"/>
      <c r="P1522" s="2213"/>
      <c r="Q1522" s="2214"/>
      <c r="R1522" s="3434"/>
      <c r="S1522" s="1919"/>
      <c r="T1522" s="3434"/>
      <c r="U1522" s="1919"/>
      <c r="V1522" s="3434"/>
      <c r="W1522" s="2213"/>
      <c r="X1522" s="1982"/>
      <c r="Y1522" s="3434"/>
      <c r="Z1522" s="1919"/>
      <c r="AA1522" s="3434"/>
      <c r="AB1522" s="1919"/>
      <c r="AC1522" s="3434"/>
      <c r="AD1522" s="2213"/>
      <c r="AE1522" s="2214"/>
      <c r="AF1522" s="1813"/>
      <c r="AG1522" s="5440"/>
      <c r="AH1522" s="5440"/>
      <c r="AI1522" s="5440"/>
      <c r="AJ1522" s="5440"/>
      <c r="AK1522" s="5440"/>
      <c r="AL1522" s="5440"/>
    </row>
    <row r="1523" spans="5:48" s="5663" customFormat="1" ht="16" hidden="1" thickBot="1" x14ac:dyDescent="0.25">
      <c r="K1523" s="5872"/>
    </row>
    <row r="1524" spans="5:48" ht="31" hidden="1" thickBot="1" x14ac:dyDescent="0.3">
      <c r="E1524" s="5465" t="s">
        <v>1965</v>
      </c>
      <c r="F1524" s="5471">
        <f>+F1525+F1527</f>
        <v>8655530.635400001</v>
      </c>
      <c r="G1524" s="5471">
        <f>+G1525+G1527</f>
        <v>9111150.8526000008</v>
      </c>
      <c r="H1524" s="1813">
        <f t="shared" si="3725"/>
        <v>17766681.488000002</v>
      </c>
      <c r="I1524" s="5471">
        <f>+I1525+I1527</f>
        <v>9131714.3203999996</v>
      </c>
      <c r="J1524" s="1951">
        <f t="shared" si="3780"/>
        <v>26898395.808400001</v>
      </c>
      <c r="K1524" s="5471">
        <f>+K1525+K1527</f>
        <v>0</v>
      </c>
      <c r="L1524" s="1919">
        <f t="shared" si="3781"/>
        <v>26898395.808400001</v>
      </c>
      <c r="M1524" s="3434"/>
      <c r="N1524" s="1919"/>
      <c r="O1524" s="3434"/>
      <c r="P1524" s="2213"/>
      <c r="Q1524" s="2214"/>
      <c r="R1524" s="3434"/>
      <c r="S1524" s="1919"/>
      <c r="T1524" s="3434"/>
      <c r="U1524" s="1919"/>
      <c r="V1524" s="3434"/>
      <c r="W1524" s="2213"/>
      <c r="X1524" s="1982"/>
      <c r="Y1524" s="3434"/>
      <c r="Z1524" s="1919"/>
      <c r="AA1524" s="3434"/>
      <c r="AB1524" s="1919"/>
      <c r="AC1524" s="3434"/>
      <c r="AD1524" s="2213"/>
      <c r="AE1524" s="2214"/>
      <c r="AF1524" s="1813"/>
      <c r="AG1524" s="5440"/>
      <c r="AH1524" s="5440"/>
      <c r="AI1524" s="5440"/>
      <c r="AJ1524" s="5440"/>
      <c r="AK1524" s="5440"/>
      <c r="AL1524" s="5440"/>
    </row>
    <row r="1525" spans="5:48" ht="30" hidden="1" x14ac:dyDescent="0.25">
      <c r="E1525" s="5465" t="s">
        <v>1966</v>
      </c>
      <c r="F1525" s="5467">
        <f>+F1526</f>
        <v>5408863.7999999998</v>
      </c>
      <c r="G1525" s="5467">
        <f>+G1526</f>
        <v>5589150</v>
      </c>
      <c r="H1525" s="1813">
        <f t="shared" si="3725"/>
        <v>10998013.800000001</v>
      </c>
      <c r="I1525" s="5467">
        <f>+I1526</f>
        <v>5392450</v>
      </c>
      <c r="J1525" s="1951">
        <f t="shared" si="3780"/>
        <v>16390463.800000001</v>
      </c>
      <c r="K1525" s="5467">
        <f>+K1526</f>
        <v>0</v>
      </c>
      <c r="L1525" s="1919">
        <f t="shared" si="3781"/>
        <v>16390463.800000001</v>
      </c>
      <c r="M1525" s="3434"/>
      <c r="N1525" s="1919"/>
      <c r="O1525" s="3434"/>
      <c r="P1525" s="2213"/>
      <c r="Q1525" s="2214"/>
      <c r="R1525" s="3434"/>
      <c r="S1525" s="1919"/>
      <c r="T1525" s="3434"/>
      <c r="U1525" s="1919"/>
      <c r="V1525" s="3434"/>
      <c r="W1525" s="2213"/>
      <c r="X1525" s="1982"/>
      <c r="Y1525" s="3434"/>
      <c r="Z1525" s="1919"/>
      <c r="AA1525" s="3434"/>
      <c r="AB1525" s="1919"/>
      <c r="AC1525" s="3434"/>
      <c r="AD1525" s="2213"/>
      <c r="AE1525" s="2214"/>
      <c r="AF1525" s="1813"/>
      <c r="AG1525" s="5440"/>
      <c r="AH1525" s="5440"/>
      <c r="AI1525" s="5440"/>
      <c r="AJ1525" s="5440"/>
      <c r="AK1525" s="5440"/>
      <c r="AL1525" s="5440"/>
    </row>
    <row r="1526" spans="5:48" ht="31" hidden="1" thickBot="1" x14ac:dyDescent="0.3">
      <c r="E1526" s="2970" t="s">
        <v>1967</v>
      </c>
      <c r="F1526" s="3167">
        <v>5408863.7999999998</v>
      </c>
      <c r="G1526" s="3167">
        <v>5589150</v>
      </c>
      <c r="H1526" s="1813">
        <f t="shared" si="3725"/>
        <v>10998013.800000001</v>
      </c>
      <c r="I1526" s="3167">
        <v>5392450</v>
      </c>
      <c r="J1526" s="1951">
        <f t="shared" si="3780"/>
        <v>16390463.800000001</v>
      </c>
      <c r="K1526" s="3167"/>
      <c r="L1526" s="1919">
        <f t="shared" si="3781"/>
        <v>16390463.800000001</v>
      </c>
      <c r="M1526" s="3434"/>
      <c r="N1526" s="1919"/>
      <c r="O1526" s="3434"/>
      <c r="P1526" s="2213"/>
      <c r="Q1526" s="2214"/>
      <c r="R1526" s="3434"/>
      <c r="S1526" s="1919"/>
      <c r="T1526" s="3434"/>
      <c r="U1526" s="1919"/>
      <c r="V1526" s="3434"/>
      <c r="W1526" s="2213"/>
      <c r="X1526" s="1982"/>
      <c r="Y1526" s="3434"/>
      <c r="Z1526" s="1919"/>
      <c r="AA1526" s="3434"/>
      <c r="AB1526" s="1919"/>
      <c r="AC1526" s="3434"/>
      <c r="AD1526" s="2213"/>
      <c r="AE1526" s="2214"/>
      <c r="AF1526" s="1813"/>
      <c r="AG1526" s="5440"/>
      <c r="AH1526" s="5440"/>
      <c r="AI1526" s="5440"/>
      <c r="AJ1526" s="5440"/>
      <c r="AK1526" s="5440"/>
      <c r="AL1526" s="5440"/>
    </row>
    <row r="1527" spans="5:48" ht="30" hidden="1" x14ac:dyDescent="0.25">
      <c r="E1527" s="5465" t="s">
        <v>1968</v>
      </c>
      <c r="F1527" s="5466">
        <f>+SUM(F1528:F1531)</f>
        <v>3246666.8354000007</v>
      </c>
      <c r="G1527" s="5466">
        <f>+SUM(G1528:G1531)</f>
        <v>3522000.8526000003</v>
      </c>
      <c r="H1527" s="1813">
        <f t="shared" si="3725"/>
        <v>6768667.688000001</v>
      </c>
      <c r="I1527" s="5466">
        <f>+SUM(I1528:I1531)</f>
        <v>3739264.3204000001</v>
      </c>
      <c r="J1527" s="1951">
        <f t="shared" si="3780"/>
        <v>10507932.008400001</v>
      </c>
      <c r="K1527" s="5466">
        <f>+SUM(K1528:K1531)</f>
        <v>0</v>
      </c>
      <c r="L1527" s="1919">
        <f t="shared" si="3781"/>
        <v>10507932.008400001</v>
      </c>
      <c r="M1527" s="3434"/>
      <c r="N1527" s="1919"/>
      <c r="O1527" s="3434"/>
      <c r="P1527" s="2213"/>
      <c r="Q1527" s="2214"/>
      <c r="R1527" s="3434"/>
      <c r="S1527" s="1919"/>
      <c r="T1527" s="3434"/>
      <c r="U1527" s="1919"/>
      <c r="V1527" s="3434"/>
      <c r="W1527" s="2213"/>
      <c r="X1527" s="1982"/>
      <c r="Y1527" s="3434"/>
      <c r="Z1527" s="1919"/>
      <c r="AA1527" s="3434"/>
      <c r="AB1527" s="1919"/>
      <c r="AC1527" s="3434"/>
      <c r="AD1527" s="2213"/>
      <c r="AE1527" s="2214"/>
      <c r="AF1527" s="1813"/>
      <c r="AG1527" s="5440"/>
      <c r="AH1527" s="5440"/>
      <c r="AI1527" s="5440"/>
      <c r="AJ1527" s="5440"/>
      <c r="AK1527" s="5440"/>
      <c r="AL1527" s="5440"/>
    </row>
    <row r="1528" spans="5:48" ht="30" hidden="1" x14ac:dyDescent="0.25">
      <c r="E1528" s="2970" t="s">
        <v>1969</v>
      </c>
      <c r="F1528" s="3167">
        <v>339821.83539999893</v>
      </c>
      <c r="G1528" s="3167">
        <v>349899.85260000126</v>
      </c>
      <c r="H1528" s="1813">
        <f t="shared" si="3725"/>
        <v>689721.6880000002</v>
      </c>
      <c r="I1528" s="3167">
        <v>432332.32040000026</v>
      </c>
      <c r="J1528" s="1951">
        <f t="shared" si="3780"/>
        <v>1122054.0084000004</v>
      </c>
      <c r="K1528" s="3167"/>
      <c r="L1528" s="1919">
        <f t="shared" si="3781"/>
        <v>1122054.0084000004</v>
      </c>
      <c r="M1528" s="3434"/>
      <c r="N1528" s="1919"/>
      <c r="O1528" s="3434"/>
      <c r="P1528" s="2213"/>
      <c r="Q1528" s="2214"/>
      <c r="R1528" s="3434"/>
      <c r="S1528" s="1919"/>
      <c r="T1528" s="3434"/>
      <c r="U1528" s="1919"/>
      <c r="V1528" s="3434"/>
      <c r="W1528" s="2213"/>
      <c r="X1528" s="1982"/>
      <c r="Y1528" s="3434"/>
      <c r="Z1528" s="1919"/>
      <c r="AA1528" s="3434"/>
      <c r="AB1528" s="1919"/>
      <c r="AC1528" s="3434"/>
      <c r="AD1528" s="2213"/>
      <c r="AE1528" s="2214"/>
      <c r="AF1528" s="1813"/>
      <c r="AG1528" s="5440"/>
      <c r="AH1528" s="5440"/>
      <c r="AI1528" s="5440"/>
      <c r="AJ1528" s="5440"/>
      <c r="AK1528" s="5440"/>
      <c r="AL1528" s="5440"/>
    </row>
    <row r="1529" spans="5:48" ht="30" hidden="1" x14ac:dyDescent="0.25">
      <c r="E1529" s="2970" t="s">
        <v>1970</v>
      </c>
      <c r="F1529" s="3167">
        <v>2204510.0000000019</v>
      </c>
      <c r="G1529" s="3167">
        <v>2354639.9999999991</v>
      </c>
      <c r="H1529" s="1813">
        <f t="shared" si="3725"/>
        <v>4559150.0000000009</v>
      </c>
      <c r="I1529" s="3167">
        <v>2362330</v>
      </c>
      <c r="J1529" s="1951">
        <f t="shared" si="3780"/>
        <v>6921480.0000000009</v>
      </c>
      <c r="K1529" s="3167"/>
      <c r="L1529" s="1919">
        <f t="shared" si="3781"/>
        <v>6921480.0000000009</v>
      </c>
      <c r="M1529" s="3434"/>
      <c r="N1529" s="1919"/>
      <c r="O1529" s="3434"/>
      <c r="P1529" s="2213"/>
      <c r="Q1529" s="2214"/>
      <c r="R1529" s="3434"/>
      <c r="S1529" s="1919"/>
      <c r="T1529" s="3434"/>
      <c r="U1529" s="1919"/>
      <c r="V1529" s="3434"/>
      <c r="W1529" s="2213"/>
      <c r="X1529" s="1982"/>
      <c r="Y1529" s="3434"/>
      <c r="Z1529" s="1919"/>
      <c r="AA1529" s="3434"/>
      <c r="AB1529" s="1919"/>
      <c r="AC1529" s="3434"/>
      <c r="AD1529" s="2213"/>
      <c r="AE1529" s="2214"/>
      <c r="AF1529" s="1813"/>
      <c r="AG1529" s="5440"/>
      <c r="AH1529" s="5440"/>
      <c r="AI1529" s="5440"/>
      <c r="AJ1529" s="5440"/>
      <c r="AK1529" s="5440"/>
      <c r="AL1529" s="5440"/>
    </row>
    <row r="1530" spans="5:48" ht="30" hidden="1" x14ac:dyDescent="0.25">
      <c r="E1530" s="2970" t="s">
        <v>1971</v>
      </c>
      <c r="F1530" s="3167">
        <v>323696</v>
      </c>
      <c r="G1530" s="3167">
        <v>434096</v>
      </c>
      <c r="H1530" s="1813">
        <f t="shared" si="3725"/>
        <v>757792</v>
      </c>
      <c r="I1530" s="3167">
        <v>478896</v>
      </c>
      <c r="J1530" s="1951">
        <f t="shared" si="3780"/>
        <v>1236688</v>
      </c>
      <c r="K1530" s="3167"/>
      <c r="L1530" s="1919">
        <f t="shared" si="3781"/>
        <v>1236688</v>
      </c>
      <c r="M1530" s="3434"/>
      <c r="N1530" s="1919"/>
      <c r="O1530" s="3434"/>
      <c r="P1530" s="2213"/>
      <c r="Q1530" s="2214"/>
      <c r="R1530" s="3434"/>
      <c r="S1530" s="1919"/>
      <c r="T1530" s="3434"/>
      <c r="U1530" s="1919"/>
      <c r="V1530" s="3434"/>
      <c r="W1530" s="2213"/>
      <c r="X1530" s="1982"/>
      <c r="Y1530" s="3434"/>
      <c r="Z1530" s="1919"/>
      <c r="AA1530" s="3434"/>
      <c r="AB1530" s="1919"/>
      <c r="AC1530" s="3434"/>
      <c r="AD1530" s="2213"/>
      <c r="AE1530" s="2214"/>
      <c r="AF1530" s="1813"/>
      <c r="AG1530" s="5440"/>
      <c r="AH1530" s="5440"/>
      <c r="AI1530" s="5440"/>
      <c r="AJ1530" s="5440"/>
      <c r="AK1530" s="5440"/>
      <c r="AL1530" s="5440"/>
    </row>
    <row r="1531" spans="5:48" ht="30" hidden="1" x14ac:dyDescent="0.25">
      <c r="E1531" s="2970" t="s">
        <v>1972</v>
      </c>
      <c r="F1531" s="3167">
        <v>378639</v>
      </c>
      <c r="G1531" s="3167">
        <v>383365</v>
      </c>
      <c r="H1531" s="1813">
        <f t="shared" si="3725"/>
        <v>762004</v>
      </c>
      <c r="I1531" s="3167">
        <v>465706</v>
      </c>
      <c r="J1531" s="1951">
        <f t="shared" si="3780"/>
        <v>1227710</v>
      </c>
      <c r="K1531" s="3167"/>
      <c r="L1531" s="1919">
        <f t="shared" si="3781"/>
        <v>1227710</v>
      </c>
      <c r="M1531" s="3434"/>
      <c r="N1531" s="1919"/>
      <c r="O1531" s="3434"/>
      <c r="P1531" s="2213"/>
      <c r="Q1531" s="2214"/>
      <c r="R1531" s="3434"/>
      <c r="S1531" s="1919"/>
      <c r="T1531" s="3434"/>
      <c r="U1531" s="1919"/>
      <c r="V1531" s="3434"/>
      <c r="W1531" s="2213"/>
      <c r="X1531" s="1982"/>
      <c r="Y1531" s="3434"/>
      <c r="Z1531" s="1919"/>
      <c r="AA1531" s="3434"/>
      <c r="AB1531" s="1919"/>
      <c r="AC1531" s="3434"/>
      <c r="AD1531" s="2213"/>
      <c r="AE1531" s="2214"/>
      <c r="AF1531" s="1813"/>
      <c r="AG1531" s="5440"/>
      <c r="AH1531" s="5440"/>
      <c r="AI1531" s="5440"/>
      <c r="AJ1531" s="5440"/>
      <c r="AK1531" s="5440"/>
      <c r="AL1531" s="5440"/>
    </row>
    <row r="1532" spans="5:48" ht="42.75" hidden="1" customHeight="1" x14ac:dyDescent="0.25">
      <c r="E1532" s="2334"/>
      <c r="F1532" s="1145"/>
      <c r="G1532" s="1145"/>
      <c r="H1532" s="3703"/>
      <c r="I1532" s="1145"/>
      <c r="J1532" s="3703"/>
      <c r="K1532" s="1145">
        <f>K1514-K1490</f>
        <v>0</v>
      </c>
      <c r="L1532" s="3703"/>
      <c r="M1532" s="1145">
        <f>M1514-M1490</f>
        <v>0</v>
      </c>
      <c r="N1532" s="1138"/>
      <c r="O1532" s="1145">
        <f>O1514-O1490</f>
        <v>0</v>
      </c>
      <c r="P1532" s="1138"/>
      <c r="Q1532" s="1138"/>
      <c r="R1532" s="1145">
        <f>R1514-R1490</f>
        <v>0</v>
      </c>
      <c r="S1532" s="1138"/>
      <c r="T1532" s="1145">
        <f>T1514-T1490</f>
        <v>0</v>
      </c>
      <c r="U1532" s="1138"/>
      <c r="V1532" s="1145">
        <f>V1514-V1490</f>
        <v>0</v>
      </c>
      <c r="Y1532" s="1145">
        <f>Y1514-Y1490</f>
        <v>0</v>
      </c>
      <c r="Z1532" s="1138"/>
      <c r="AA1532" s="1145">
        <f>AA1514-AA1490</f>
        <v>0</v>
      </c>
      <c r="AC1532" s="1145">
        <f>AC1514-AC1490</f>
        <v>0</v>
      </c>
    </row>
    <row r="1533" spans="5:48" x14ac:dyDescent="0.25">
      <c r="G1533" s="3170"/>
      <c r="H1533" s="3170"/>
      <c r="J1533" s="3170"/>
      <c r="K1533" s="3170"/>
      <c r="L1533" s="3170"/>
      <c r="M1533" s="3170"/>
      <c r="N1533" s="3170"/>
      <c r="O1533" s="3170"/>
      <c r="P1533" s="3170"/>
      <c r="Q1533" s="3170"/>
      <c r="R1533" s="3170"/>
      <c r="S1533" s="3170"/>
      <c r="T1533" s="3170"/>
      <c r="U1533" s="3170"/>
      <c r="V1533" s="3170"/>
      <c r="W1533" s="3170"/>
      <c r="X1533" s="3170"/>
      <c r="Y1533" s="3170"/>
      <c r="Z1533" s="3170"/>
      <c r="AA1533" s="3170"/>
      <c r="AB1533" s="3170"/>
      <c r="AC1533" s="3170"/>
      <c r="AD1533" s="3170"/>
      <c r="AE1533" s="3170"/>
      <c r="AF1533" s="3170"/>
      <c r="AM1533" s="3170"/>
      <c r="AN1533" s="3170"/>
      <c r="AO1533" s="3170"/>
      <c r="AP1533" s="3170"/>
      <c r="AQ1533" s="3170"/>
      <c r="AR1533" s="3170"/>
      <c r="AS1533" s="3170"/>
      <c r="AT1533" s="3170"/>
      <c r="AU1533" s="3170"/>
      <c r="AV1533" s="3170"/>
    </row>
    <row r="1534" spans="5:48" x14ac:dyDescent="0.25">
      <c r="G1534" s="3170"/>
      <c r="H1534" s="3170"/>
      <c r="J1534" s="3170"/>
      <c r="K1534" s="3170"/>
      <c r="L1534" s="3170"/>
      <c r="M1534" s="3170"/>
      <c r="N1534" s="3170"/>
      <c r="O1534" s="3170"/>
      <c r="P1534" s="3170"/>
      <c r="Q1534" s="3170"/>
      <c r="R1534" s="3170"/>
      <c r="S1534" s="3170"/>
      <c r="T1534" s="3170"/>
      <c r="U1534" s="3170"/>
      <c r="V1534" s="3170"/>
      <c r="W1534" s="3170"/>
      <c r="X1534" s="3170"/>
      <c r="Y1534" s="3170"/>
      <c r="Z1534" s="3170"/>
      <c r="AA1534" s="3170"/>
      <c r="AB1534" s="3170"/>
      <c r="AC1534" s="3170"/>
      <c r="AD1534" s="3170"/>
      <c r="AE1534" s="3170"/>
      <c r="AF1534" s="3170"/>
      <c r="AM1534" s="3170"/>
      <c r="AN1534" s="3170"/>
      <c r="AO1534" s="3170"/>
      <c r="AP1534" s="3170"/>
      <c r="AQ1534" s="3170"/>
      <c r="AR1534" s="3170"/>
      <c r="AS1534" s="3170"/>
      <c r="AT1534" s="3170"/>
      <c r="AU1534" s="3170"/>
      <c r="AV1534" s="3170"/>
    </row>
    <row r="1535" spans="5:48" x14ac:dyDescent="0.25">
      <c r="G1535" s="3170"/>
      <c r="H1535" s="3170"/>
      <c r="J1535" s="3170"/>
      <c r="K1535" s="3170"/>
      <c r="L1535" s="3170"/>
      <c r="M1535" s="3170"/>
      <c r="N1535" s="3170"/>
      <c r="O1535" s="3170"/>
      <c r="P1535" s="3170"/>
      <c r="Q1535" s="3170"/>
      <c r="R1535" s="3170"/>
      <c r="S1535" s="3170"/>
      <c r="T1535" s="3170"/>
      <c r="U1535" s="3170"/>
      <c r="V1535" s="3170"/>
      <c r="W1535" s="3170"/>
      <c r="X1535" s="3170"/>
      <c r="Y1535" s="3170"/>
      <c r="Z1535" s="3170"/>
      <c r="AA1535" s="3170"/>
      <c r="AB1535" s="3170"/>
      <c r="AC1535" s="3170"/>
      <c r="AD1535" s="3170"/>
      <c r="AE1535" s="3170"/>
      <c r="AF1535" s="3170"/>
      <c r="AM1535" s="3170"/>
      <c r="AN1535" s="3170"/>
      <c r="AO1535" s="3170"/>
      <c r="AP1535" s="3170"/>
      <c r="AQ1535" s="3170"/>
      <c r="AR1535" s="3170"/>
      <c r="AS1535" s="3170"/>
      <c r="AT1535" s="3170"/>
      <c r="AU1535" s="3170"/>
      <c r="AV1535" s="3170"/>
    </row>
    <row r="1536" spans="5:48" x14ac:dyDescent="0.25">
      <c r="G1536" s="3170"/>
      <c r="H1536" s="3170"/>
      <c r="J1536" s="3170"/>
      <c r="K1536" s="3170"/>
      <c r="L1536" s="3170"/>
      <c r="M1536" s="3170"/>
      <c r="N1536" s="3170"/>
      <c r="O1536" s="3170"/>
      <c r="P1536" s="3170"/>
      <c r="Q1536" s="3170"/>
      <c r="R1536" s="3170"/>
      <c r="S1536" s="3170"/>
      <c r="T1536" s="3170"/>
      <c r="U1536" s="3170"/>
      <c r="V1536" s="3170"/>
      <c r="W1536" s="3170"/>
      <c r="X1536" s="3170"/>
      <c r="Y1536" s="3170"/>
      <c r="Z1536" s="3170"/>
      <c r="AA1536" s="3170"/>
      <c r="AB1536" s="3170"/>
      <c r="AC1536" s="3170"/>
      <c r="AD1536" s="3170"/>
      <c r="AE1536" s="3170"/>
      <c r="AF1536" s="3170"/>
      <c r="AM1536" s="3170"/>
      <c r="AN1536" s="3170"/>
      <c r="AO1536" s="3170"/>
      <c r="AP1536" s="3170"/>
      <c r="AQ1536" s="3170"/>
      <c r="AR1536" s="3170"/>
      <c r="AS1536" s="3170"/>
      <c r="AT1536" s="3170"/>
      <c r="AU1536" s="3170"/>
      <c r="AV1536" s="3170"/>
    </row>
    <row r="1537" spans="7:48" x14ac:dyDescent="0.25">
      <c r="G1537" s="3170"/>
      <c r="H1537" s="3170"/>
      <c r="J1537" s="3170"/>
      <c r="K1537" s="3170"/>
      <c r="L1537" s="3170"/>
      <c r="M1537" s="3170"/>
      <c r="N1537" s="3170"/>
      <c r="O1537" s="3170"/>
      <c r="P1537" s="3170"/>
      <c r="Q1537" s="3170"/>
      <c r="R1537" s="3170"/>
      <c r="S1537" s="3170"/>
      <c r="T1537" s="3170"/>
      <c r="U1537" s="3170"/>
      <c r="V1537" s="3170"/>
      <c r="W1537" s="3170"/>
      <c r="X1537" s="3170"/>
      <c r="Y1537" s="3170"/>
      <c r="Z1537" s="3170"/>
      <c r="AA1537" s="3170"/>
      <c r="AB1537" s="3170"/>
      <c r="AC1537" s="3170"/>
      <c r="AD1537" s="3170"/>
      <c r="AE1537" s="3170"/>
      <c r="AF1537" s="3170"/>
      <c r="AM1537" s="3170"/>
      <c r="AN1537" s="3170"/>
      <c r="AO1537" s="3170"/>
      <c r="AP1537" s="3170"/>
      <c r="AQ1537" s="3170"/>
      <c r="AR1537" s="3170"/>
      <c r="AS1537" s="3170"/>
      <c r="AT1537" s="3170"/>
      <c r="AU1537" s="3170"/>
      <c r="AV1537" s="3170"/>
    </row>
    <row r="1538" spans="7:48" x14ac:dyDescent="0.25">
      <c r="G1538" s="3170"/>
      <c r="H1538" s="3170"/>
      <c r="J1538" s="3170"/>
      <c r="K1538" s="3170"/>
      <c r="L1538" s="3170"/>
      <c r="M1538" s="3170"/>
      <c r="N1538" s="3170"/>
      <c r="O1538" s="3170"/>
      <c r="P1538" s="3170"/>
      <c r="Q1538" s="3170"/>
      <c r="R1538" s="3170"/>
      <c r="S1538" s="3170"/>
      <c r="T1538" s="3170"/>
      <c r="U1538" s="3170"/>
      <c r="V1538" s="3170"/>
      <c r="W1538" s="3170"/>
      <c r="X1538" s="3170"/>
      <c r="Y1538" s="3170"/>
      <c r="Z1538" s="3170"/>
      <c r="AA1538" s="3170"/>
      <c r="AB1538" s="3170"/>
      <c r="AC1538" s="3170"/>
      <c r="AD1538" s="3170"/>
      <c r="AE1538" s="3170"/>
      <c r="AF1538" s="3170"/>
      <c r="AM1538" s="3170"/>
      <c r="AN1538" s="3170"/>
      <c r="AO1538" s="3170"/>
      <c r="AP1538" s="3170"/>
      <c r="AQ1538" s="3170"/>
      <c r="AR1538" s="3170"/>
      <c r="AS1538" s="3170"/>
      <c r="AT1538" s="3170"/>
      <c r="AU1538" s="3170"/>
      <c r="AV1538" s="3170"/>
    </row>
    <row r="1539" spans="7:48" x14ac:dyDescent="0.25">
      <c r="G1539" s="3170"/>
      <c r="H1539" s="3170"/>
      <c r="J1539" s="3170"/>
      <c r="K1539" s="3170"/>
      <c r="L1539" s="3170"/>
      <c r="M1539" s="3170"/>
      <c r="N1539" s="3170"/>
      <c r="O1539" s="3170"/>
      <c r="P1539" s="3170"/>
      <c r="Q1539" s="3170"/>
      <c r="R1539" s="3170"/>
      <c r="S1539" s="3170"/>
      <c r="T1539" s="3170"/>
      <c r="U1539" s="3170"/>
      <c r="V1539" s="3170"/>
      <c r="W1539" s="3170"/>
      <c r="X1539" s="3170"/>
      <c r="Y1539" s="3170"/>
      <c r="Z1539" s="3170"/>
      <c r="AA1539" s="3170"/>
      <c r="AB1539" s="3170"/>
      <c r="AC1539" s="3170"/>
      <c r="AD1539" s="3170"/>
      <c r="AE1539" s="3170"/>
      <c r="AF1539" s="3170"/>
      <c r="AM1539" s="3170"/>
      <c r="AN1539" s="3170"/>
      <c r="AO1539" s="3170"/>
      <c r="AP1539" s="3170"/>
      <c r="AQ1539" s="3170"/>
      <c r="AR1539" s="3170"/>
      <c r="AS1539" s="3170"/>
      <c r="AT1539" s="3170"/>
      <c r="AU1539" s="3170"/>
      <c r="AV1539" s="3170"/>
    </row>
    <row r="1540" spans="7:48" x14ac:dyDescent="0.25">
      <c r="G1540" s="3170"/>
      <c r="H1540" s="3170"/>
      <c r="J1540" s="3170"/>
      <c r="K1540" s="3170"/>
      <c r="L1540" s="3170"/>
      <c r="M1540" s="3170"/>
      <c r="N1540" s="3170"/>
      <c r="O1540" s="3170"/>
      <c r="P1540" s="3170"/>
      <c r="Q1540" s="3170"/>
      <c r="R1540" s="3170"/>
      <c r="S1540" s="3170"/>
      <c r="T1540" s="3170"/>
      <c r="U1540" s="3170"/>
      <c r="V1540" s="3170"/>
      <c r="W1540" s="3170"/>
      <c r="X1540" s="3170"/>
      <c r="Y1540" s="3170"/>
      <c r="Z1540" s="3170"/>
      <c r="AA1540" s="3170"/>
      <c r="AB1540" s="3170"/>
      <c r="AC1540" s="3170"/>
      <c r="AD1540" s="3170"/>
      <c r="AE1540" s="3170"/>
      <c r="AF1540" s="3170"/>
      <c r="AM1540" s="3170"/>
      <c r="AN1540" s="3170"/>
      <c r="AO1540" s="3170"/>
      <c r="AP1540" s="3170"/>
      <c r="AQ1540" s="3170"/>
      <c r="AR1540" s="3170"/>
      <c r="AS1540" s="3170"/>
      <c r="AT1540" s="3170"/>
      <c r="AU1540" s="3170"/>
      <c r="AV1540" s="3170"/>
    </row>
    <row r="1541" spans="7:48" x14ac:dyDescent="0.25">
      <c r="G1541" s="3170"/>
      <c r="H1541" s="3170"/>
      <c r="J1541" s="3170"/>
      <c r="K1541" s="3170"/>
      <c r="L1541" s="3170"/>
      <c r="M1541" s="3170"/>
      <c r="N1541" s="3170"/>
      <c r="O1541" s="3170"/>
      <c r="P1541" s="3170"/>
      <c r="Q1541" s="3170"/>
      <c r="R1541" s="3170"/>
      <c r="S1541" s="3170"/>
      <c r="T1541" s="3170"/>
      <c r="U1541" s="3170"/>
      <c r="V1541" s="3170"/>
      <c r="W1541" s="3170"/>
      <c r="X1541" s="3170"/>
      <c r="Y1541" s="3170"/>
      <c r="Z1541" s="3170"/>
      <c r="AA1541" s="3170"/>
      <c r="AB1541" s="3170"/>
      <c r="AC1541" s="3170"/>
      <c r="AD1541" s="3170"/>
      <c r="AE1541" s="3170"/>
      <c r="AF1541" s="3170"/>
      <c r="AM1541" s="3170"/>
      <c r="AN1541" s="3170"/>
      <c r="AO1541" s="3170"/>
      <c r="AP1541" s="3170"/>
      <c r="AQ1541" s="3170"/>
      <c r="AR1541" s="3170"/>
      <c r="AS1541" s="3170"/>
      <c r="AT1541" s="3170"/>
      <c r="AU1541" s="3170"/>
      <c r="AV1541" s="3170"/>
    </row>
    <row r="1542" spans="7:48" x14ac:dyDescent="0.25">
      <c r="G1542" s="3170"/>
      <c r="H1542" s="3170"/>
      <c r="J1542" s="3170"/>
      <c r="K1542" s="3170"/>
      <c r="L1542" s="3170"/>
      <c r="M1542" s="3170"/>
      <c r="N1542" s="3170"/>
      <c r="O1542" s="3170"/>
      <c r="P1542" s="3170"/>
      <c r="Q1542" s="3170"/>
      <c r="R1542" s="3170"/>
      <c r="S1542" s="3170"/>
      <c r="T1542" s="3170"/>
      <c r="U1542" s="3170"/>
      <c r="V1542" s="3170"/>
      <c r="W1542" s="3170"/>
      <c r="X1542" s="3170"/>
      <c r="Y1542" s="3170"/>
      <c r="Z1542" s="3170"/>
      <c r="AA1542" s="3170"/>
      <c r="AB1542" s="3170"/>
      <c r="AC1542" s="3170"/>
      <c r="AD1542" s="3170"/>
      <c r="AE1542" s="3170"/>
      <c r="AF1542" s="3170"/>
      <c r="AM1542" s="3170"/>
      <c r="AN1542" s="3170"/>
      <c r="AO1542" s="3170"/>
      <c r="AP1542" s="3170"/>
      <c r="AQ1542" s="3170"/>
      <c r="AR1542" s="3170"/>
      <c r="AS1542" s="3170"/>
      <c r="AT1542" s="3170"/>
      <c r="AU1542" s="3170"/>
      <c r="AV1542" s="3170"/>
    </row>
    <row r="1543" spans="7:48" x14ac:dyDescent="0.25">
      <c r="G1543" s="3170"/>
      <c r="H1543" s="3170"/>
      <c r="J1543" s="3170"/>
      <c r="K1543" s="3170"/>
      <c r="L1543" s="3170"/>
      <c r="M1543" s="3170"/>
      <c r="N1543" s="3170"/>
      <c r="O1543" s="3170"/>
      <c r="P1543" s="3170"/>
      <c r="Q1543" s="3170"/>
      <c r="R1543" s="3170"/>
      <c r="S1543" s="3170"/>
      <c r="T1543" s="3170"/>
      <c r="U1543" s="3170"/>
      <c r="V1543" s="3170"/>
      <c r="W1543" s="3170"/>
      <c r="X1543" s="3170"/>
      <c r="Y1543" s="3170"/>
      <c r="Z1543" s="3170"/>
      <c r="AA1543" s="3170"/>
      <c r="AB1543" s="3170"/>
      <c r="AC1543" s="3170"/>
      <c r="AD1543" s="3170"/>
      <c r="AE1543" s="3170"/>
      <c r="AF1543" s="3170"/>
      <c r="AM1543" s="3170"/>
      <c r="AN1543" s="3170"/>
      <c r="AO1543" s="3170"/>
      <c r="AP1543" s="3170"/>
      <c r="AQ1543" s="3170"/>
      <c r="AR1543" s="3170"/>
      <c r="AS1543" s="3170"/>
      <c r="AT1543" s="3170"/>
      <c r="AU1543" s="3170"/>
      <c r="AV1543" s="3170"/>
    </row>
    <row r="1544" spans="7:48" x14ac:dyDescent="0.25">
      <c r="G1544" s="3170"/>
      <c r="H1544" s="3170"/>
      <c r="J1544" s="3170"/>
      <c r="K1544" s="3170"/>
      <c r="L1544" s="3170"/>
      <c r="M1544" s="3170"/>
      <c r="N1544" s="3170"/>
      <c r="O1544" s="3170"/>
      <c r="P1544" s="3170"/>
      <c r="Q1544" s="3170"/>
      <c r="R1544" s="3170"/>
      <c r="S1544" s="3170"/>
      <c r="T1544" s="3170"/>
      <c r="U1544" s="3170"/>
      <c r="V1544" s="3170"/>
      <c r="W1544" s="3170"/>
      <c r="X1544" s="3170"/>
      <c r="Y1544" s="3170"/>
      <c r="Z1544" s="3170"/>
      <c r="AA1544" s="3170"/>
      <c r="AB1544" s="3170"/>
      <c r="AC1544" s="3170"/>
      <c r="AD1544" s="3170"/>
      <c r="AE1544" s="3170"/>
      <c r="AF1544" s="3170"/>
      <c r="AM1544" s="3170"/>
      <c r="AN1544" s="3170"/>
      <c r="AO1544" s="3170"/>
      <c r="AP1544" s="3170"/>
      <c r="AQ1544" s="3170"/>
      <c r="AR1544" s="3170"/>
      <c r="AS1544" s="3170"/>
      <c r="AT1544" s="3170"/>
      <c r="AU1544" s="3170"/>
      <c r="AV1544" s="3170"/>
    </row>
    <row r="1545" spans="7:48" x14ac:dyDescent="0.25">
      <c r="G1545" s="3170"/>
      <c r="H1545" s="3170"/>
      <c r="J1545" s="3170"/>
      <c r="K1545" s="3170"/>
      <c r="L1545" s="3170"/>
      <c r="M1545" s="3170"/>
      <c r="N1545" s="3170"/>
      <c r="O1545" s="3170"/>
      <c r="P1545" s="3170"/>
      <c r="Q1545" s="3170"/>
      <c r="R1545" s="3170"/>
      <c r="S1545" s="3170"/>
      <c r="T1545" s="3170"/>
      <c r="U1545" s="3170"/>
      <c r="V1545" s="3170"/>
      <c r="W1545" s="3170"/>
      <c r="X1545" s="3170"/>
      <c r="Y1545" s="3170"/>
      <c r="Z1545" s="3170"/>
      <c r="AA1545" s="3170"/>
      <c r="AB1545" s="3170"/>
      <c r="AC1545" s="3170"/>
      <c r="AD1545" s="3170"/>
      <c r="AE1545" s="3170"/>
      <c r="AF1545" s="3170"/>
      <c r="AM1545" s="3170"/>
      <c r="AN1545" s="3170"/>
      <c r="AO1545" s="3170"/>
      <c r="AP1545" s="3170"/>
      <c r="AQ1545" s="3170"/>
      <c r="AR1545" s="3170"/>
      <c r="AS1545" s="3170"/>
      <c r="AT1545" s="3170"/>
      <c r="AU1545" s="3170"/>
      <c r="AV1545" s="3170"/>
    </row>
    <row r="1546" spans="7:48" x14ac:dyDescent="0.25">
      <c r="G1546" s="3170"/>
      <c r="H1546" s="3170"/>
      <c r="J1546" s="3170"/>
      <c r="K1546" s="3170"/>
      <c r="L1546" s="3170"/>
      <c r="M1546" s="3170"/>
      <c r="N1546" s="3170"/>
      <c r="O1546" s="3170"/>
      <c r="P1546" s="3170"/>
      <c r="Q1546" s="3170"/>
      <c r="R1546" s="3170"/>
      <c r="S1546" s="3170"/>
      <c r="T1546" s="3170"/>
      <c r="U1546" s="3170"/>
      <c r="V1546" s="3170"/>
      <c r="W1546" s="3170"/>
      <c r="X1546" s="3170"/>
      <c r="Y1546" s="3170"/>
      <c r="Z1546" s="3170"/>
      <c r="AA1546" s="3170"/>
      <c r="AB1546" s="3170"/>
      <c r="AC1546" s="3170"/>
      <c r="AD1546" s="3170"/>
      <c r="AE1546" s="3170"/>
      <c r="AF1546" s="3170"/>
      <c r="AM1546" s="3170"/>
      <c r="AN1546" s="3170"/>
      <c r="AO1546" s="3170"/>
      <c r="AP1546" s="3170"/>
      <c r="AQ1546" s="3170"/>
      <c r="AR1546" s="3170"/>
      <c r="AS1546" s="3170"/>
      <c r="AT1546" s="3170"/>
      <c r="AU1546" s="3170"/>
      <c r="AV1546" s="3170"/>
    </row>
  </sheetData>
  <mergeCells count="90">
    <mergeCell ref="D371:D376"/>
    <mergeCell ref="D290:D295"/>
    <mergeCell ref="D364:D370"/>
    <mergeCell ref="W3:W5"/>
    <mergeCell ref="Q3:Q5"/>
    <mergeCell ref="F3:F5"/>
    <mergeCell ref="D38:D40"/>
    <mergeCell ref="D12:D13"/>
    <mergeCell ref="D10:D11"/>
    <mergeCell ref="H3:H5"/>
    <mergeCell ref="G3:G5"/>
    <mergeCell ref="N3:N5"/>
    <mergeCell ref="S3:S5"/>
    <mergeCell ref="V3:V5"/>
    <mergeCell ref="U3:U5"/>
    <mergeCell ref="P3:P5"/>
    <mergeCell ref="AE3:AE5"/>
    <mergeCell ref="Y3:Y5"/>
    <mergeCell ref="X3:X5"/>
    <mergeCell ref="Z3:Z5"/>
    <mergeCell ref="AC3:AC5"/>
    <mergeCell ref="AD3:AD5"/>
    <mergeCell ref="AA3:AA5"/>
    <mergeCell ref="AB3:AB5"/>
    <mergeCell ref="AF3:AF5"/>
    <mergeCell ref="AG148:AK148"/>
    <mergeCell ref="AJ149:AK149"/>
    <mergeCell ref="AJ157:AK157"/>
    <mergeCell ref="AG149:AH149"/>
    <mergeCell ref="AG157:AH157"/>
    <mergeCell ref="M3:M5"/>
    <mergeCell ref="L3:L5"/>
    <mergeCell ref="K3:K5"/>
    <mergeCell ref="J3:J5"/>
    <mergeCell ref="O3:O5"/>
    <mergeCell ref="T3:T5"/>
    <mergeCell ref="D297:D314"/>
    <mergeCell ref="D223:D231"/>
    <mergeCell ref="D261:D264"/>
    <mergeCell ref="D265:D267"/>
    <mergeCell ref="D22:D36"/>
    <mergeCell ref="D268:D272"/>
    <mergeCell ref="D276:D282"/>
    <mergeCell ref="R3:R5"/>
    <mergeCell ref="D3:D5"/>
    <mergeCell ref="D16:D18"/>
    <mergeCell ref="D50:D56"/>
    <mergeCell ref="D46:D47"/>
    <mergeCell ref="D41:D45"/>
    <mergeCell ref="D14:D15"/>
    <mergeCell ref="I3:I5"/>
    <mergeCell ref="D1490:D1495"/>
    <mergeCell ref="C1236:C1238"/>
    <mergeCell ref="D536:D550"/>
    <mergeCell ref="D591:D593"/>
    <mergeCell ref="D850:D903"/>
    <mergeCell ref="D641:D652"/>
    <mergeCell ref="D617:D620"/>
    <mergeCell ref="D587:D588"/>
    <mergeCell ref="D589:D590"/>
    <mergeCell ref="D594:D596"/>
    <mergeCell ref="D598:D616"/>
    <mergeCell ref="D551:D556"/>
    <mergeCell ref="D736:D749"/>
    <mergeCell ref="D557:D584"/>
    <mergeCell ref="D691:D702"/>
    <mergeCell ref="D585:D586"/>
    <mergeCell ref="E1436:E1437"/>
    <mergeCell ref="D703:D713"/>
    <mergeCell ref="D635:D639"/>
    <mergeCell ref="D714:D717"/>
    <mergeCell ref="D729:D735"/>
    <mergeCell ref="D660:D668"/>
    <mergeCell ref="D846:D849"/>
    <mergeCell ref="D653:D659"/>
    <mergeCell ref="D1137:D1146"/>
    <mergeCell ref="D719:D728"/>
    <mergeCell ref="D1176:D1181"/>
    <mergeCell ref="D1182:D1194"/>
    <mergeCell ref="D752:D844"/>
    <mergeCell ref="D1148:D1169"/>
    <mergeCell ref="D904:D916"/>
    <mergeCell ref="D669:D687"/>
    <mergeCell ref="D626:D630"/>
    <mergeCell ref="D624:D625"/>
    <mergeCell ref="D506:D513"/>
    <mergeCell ref="E506:E507"/>
    <mergeCell ref="E515:E516"/>
    <mergeCell ref="E523:E524"/>
    <mergeCell ref="E529:E530"/>
  </mergeCells>
  <phoneticPr fontId="0" type="noConversion"/>
  <printOptions horizontalCentered="1" verticalCentered="1"/>
  <pageMargins left="0" right="0" top="0" bottom="0" header="0" footer="0"/>
  <pageSetup paperSize="9" orientation="landscape" r:id="rId1"/>
  <rowBreaks count="5" manualBreakCount="5">
    <brk id="56" min="3" max="26" man="1"/>
    <brk id="314" min="3" max="26" man="1"/>
    <brk id="360" min="3" max="26" man="1"/>
    <brk id="377" min="3" max="26" man="1"/>
    <brk id="459" min="3" max="26" man="1"/>
  </rowBreaks>
  <colBreaks count="1" manualBreakCount="1">
    <brk id="10" min="127" max="17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CC139"/>
  <sheetViews>
    <sheetView topLeftCell="B1" workbookViewId="0">
      <pane xSplit="1" topLeftCell="AV1" activePane="topRight" state="frozen"/>
      <selection activeCell="B1" sqref="B1"/>
      <selection pane="topRight" activeCell="V50" sqref="V50"/>
    </sheetView>
  </sheetViews>
  <sheetFormatPr baseColWidth="10" defaultColWidth="9.1640625" defaultRowHeight="15" x14ac:dyDescent="0.2"/>
  <cols>
    <col min="1" max="1" width="9.1640625" style="5164"/>
    <col min="2" max="2" width="58.5" style="5164" customWidth="1"/>
    <col min="3" max="3" width="14.6640625" style="5164" customWidth="1"/>
    <col min="4" max="4" width="12" style="2100" customWidth="1"/>
    <col min="5" max="5" width="10.6640625" style="2265" customWidth="1"/>
    <col min="6" max="6" width="10.5" style="2100" customWidth="1"/>
    <col min="7" max="7" width="14.5" style="2265" customWidth="1"/>
    <col min="8" max="8" width="9.83203125" style="2100" customWidth="1"/>
    <col min="9" max="9" width="9.83203125" style="2265" customWidth="1"/>
    <col min="10" max="13" width="9.83203125" style="5164" customWidth="1"/>
    <col min="14" max="14" width="12.83203125" style="5164" customWidth="1"/>
    <col min="15" max="15" width="12.33203125" style="5164" customWidth="1"/>
    <col min="16" max="16" width="17.1640625" style="2100" customWidth="1"/>
    <col min="17" max="17" width="9.83203125" style="5164" customWidth="1"/>
    <col min="18" max="18" width="12.33203125" style="6311" customWidth="1"/>
    <col min="19" max="19" width="11.5" style="6311" customWidth="1"/>
    <col min="20" max="20" width="11.33203125" style="6311" customWidth="1"/>
    <col min="21" max="21" width="9.83203125" style="6311" customWidth="1"/>
    <col min="22" max="22" width="9.83203125" style="6474" customWidth="1"/>
    <col min="23" max="23" width="10.5" style="6474" bestFit="1" customWidth="1"/>
    <col min="24" max="24" width="11.33203125" style="6474" customWidth="1"/>
    <col min="25" max="25" width="9.83203125" style="2265" customWidth="1"/>
    <col min="26" max="26" width="11.33203125" style="6474" customWidth="1"/>
    <col min="27" max="27" width="9.83203125" style="6474" customWidth="1"/>
    <col min="28" max="29" width="10.5" style="7286" bestFit="1" customWidth="1"/>
    <col min="30" max="31" width="11.33203125" style="7286" bestFit="1" customWidth="1"/>
    <col min="32" max="35" width="11.33203125" style="7545" customWidth="1"/>
    <col min="36" max="39" width="11.33203125" style="7682" customWidth="1"/>
    <col min="40" max="41" width="11.33203125" style="7686" customWidth="1"/>
    <col min="42" max="45" width="11.33203125" style="8011" customWidth="1"/>
    <col min="46" max="49" width="11.33203125" style="8136" customWidth="1"/>
    <col min="50" max="51" width="11.33203125" style="8260" customWidth="1"/>
    <col min="52" max="52" width="15" style="8260" bestFit="1" customWidth="1"/>
    <col min="53" max="57" width="11.33203125" style="8260" customWidth="1"/>
    <col min="58" max="59" width="11.33203125" style="5164" customWidth="1"/>
    <col min="60" max="60" width="9.83203125" style="5164" hidden="1" customWidth="1"/>
    <col min="61" max="61" width="0" style="5164" hidden="1" customWidth="1"/>
    <col min="62" max="62" width="12" style="5164" hidden="1" customWidth="1"/>
    <col min="63" max="73" width="0" style="5164" hidden="1" customWidth="1"/>
    <col min="74" max="16384" width="9.1640625" style="5164"/>
  </cols>
  <sheetData>
    <row r="1" spans="1:80" ht="23" x14ac:dyDescent="0.25">
      <c r="B1" s="1641" t="s">
        <v>846</v>
      </c>
      <c r="C1" s="1537"/>
      <c r="D1" s="5338">
        <v>30</v>
      </c>
      <c r="E1" s="5339">
        <v>30</v>
      </c>
      <c r="F1" s="5340">
        <v>31</v>
      </c>
      <c r="G1" s="5341">
        <v>31</v>
      </c>
      <c r="H1" s="2842">
        <f>+D1+F1</f>
        <v>61</v>
      </c>
      <c r="I1" s="2318">
        <f>+E1+G1</f>
        <v>61</v>
      </c>
      <c r="J1" s="5800">
        <v>30</v>
      </c>
      <c r="K1" s="5800">
        <v>30</v>
      </c>
      <c r="L1" s="1721">
        <f>+H1+J1</f>
        <v>91</v>
      </c>
      <c r="M1" s="1721">
        <f>+I1+K1</f>
        <v>91</v>
      </c>
      <c r="N1" s="5800">
        <v>31</v>
      </c>
      <c r="O1" s="5800">
        <v>31</v>
      </c>
      <c r="P1" s="2842">
        <f>+L1+N1</f>
        <v>122</v>
      </c>
      <c r="Q1" s="1721">
        <f>+M1+O1</f>
        <v>122</v>
      </c>
      <c r="R1" s="1721">
        <v>31</v>
      </c>
      <c r="S1" s="1721">
        <v>31</v>
      </c>
      <c r="T1" s="1721">
        <f>+P1+R1</f>
        <v>153</v>
      </c>
      <c r="U1" s="1721">
        <f>+Q1+S1</f>
        <v>153</v>
      </c>
      <c r="V1" s="1721">
        <v>30</v>
      </c>
      <c r="W1" s="1721">
        <v>30</v>
      </c>
      <c r="X1" s="1721">
        <f>+N1+R1+V1</f>
        <v>92</v>
      </c>
      <c r="Y1" s="2318">
        <f>+O1+S1+W1</f>
        <v>92</v>
      </c>
      <c r="Z1" s="1721">
        <f>+T1+V1</f>
        <v>183</v>
      </c>
      <c r="AA1" s="1721">
        <f>+U1+W1</f>
        <v>183</v>
      </c>
      <c r="AB1" s="1721">
        <v>31</v>
      </c>
      <c r="AC1" s="1721">
        <v>31</v>
      </c>
      <c r="AD1" s="1721">
        <f>+Z1+AB1</f>
        <v>214</v>
      </c>
      <c r="AE1" s="1721">
        <f>+AA1+AC1</f>
        <v>214</v>
      </c>
      <c r="AF1" s="1721">
        <v>30</v>
      </c>
      <c r="AG1" s="1721">
        <v>30</v>
      </c>
      <c r="AH1" s="1721">
        <f>+AD1+AF1</f>
        <v>244</v>
      </c>
      <c r="AI1" s="1721">
        <f>+AE1+AG1</f>
        <v>244</v>
      </c>
      <c r="AJ1" s="1721">
        <v>31</v>
      </c>
      <c r="AK1" s="1721">
        <v>31</v>
      </c>
      <c r="AL1" s="1721">
        <f>+AB1+AF1+AJ1</f>
        <v>92</v>
      </c>
      <c r="AM1" s="2318">
        <f>+AC1+AG1+AK1</f>
        <v>92</v>
      </c>
      <c r="AN1" s="1721">
        <f>+AH1+AJ1</f>
        <v>275</v>
      </c>
      <c r="AO1" s="1721">
        <f>+AI1+AK1</f>
        <v>275</v>
      </c>
      <c r="AP1" s="1721">
        <v>31</v>
      </c>
      <c r="AQ1" s="1721">
        <v>31</v>
      </c>
      <c r="AR1" s="1721">
        <f>+AN1+AP1</f>
        <v>306</v>
      </c>
      <c r="AS1" s="1721">
        <f>+AO1+AQ1</f>
        <v>306</v>
      </c>
      <c r="AT1" s="1721">
        <v>28</v>
      </c>
      <c r="AU1" s="1721">
        <v>28</v>
      </c>
      <c r="AV1" s="1721">
        <f>+AR1+AT1</f>
        <v>334</v>
      </c>
      <c r="AW1" s="1721">
        <f>+AS1+AU1</f>
        <v>334</v>
      </c>
      <c r="AX1" s="1721">
        <v>31</v>
      </c>
      <c r="AY1" s="1721">
        <v>31</v>
      </c>
      <c r="AZ1" s="1721">
        <f>+AP1+AT1+AX1</f>
        <v>90</v>
      </c>
      <c r="BA1" s="1721">
        <f>+AQ1+AU1+AY1</f>
        <v>90</v>
      </c>
      <c r="BB1" s="1721">
        <f>+AZ1+AL1</f>
        <v>182</v>
      </c>
      <c r="BC1" s="1721">
        <f>+BA1+AM1</f>
        <v>182</v>
      </c>
      <c r="BD1" s="1721">
        <f>+AV1+AX1</f>
        <v>365</v>
      </c>
      <c r="BE1" s="1721">
        <f>+AW1+AY1</f>
        <v>365</v>
      </c>
      <c r="BF1" s="1721">
        <v>366</v>
      </c>
      <c r="BG1" s="1721">
        <v>366</v>
      </c>
    </row>
    <row r="2" spans="1:80" ht="16" thickBot="1" x14ac:dyDescent="0.25">
      <c r="B2" s="1537"/>
      <c r="C2" s="1537"/>
      <c r="D2" s="2842">
        <v>30</v>
      </c>
      <c r="E2" s="2318">
        <v>30</v>
      </c>
      <c r="F2" s="2842">
        <v>31</v>
      </c>
      <c r="G2" s="2318">
        <v>31</v>
      </c>
      <c r="H2" s="2842">
        <f>+D2+F2</f>
        <v>61</v>
      </c>
      <c r="I2" s="2318">
        <f>+E2+G2</f>
        <v>61</v>
      </c>
      <c r="J2" s="1721">
        <v>30</v>
      </c>
      <c r="K2" s="1721">
        <v>30</v>
      </c>
      <c r="L2" s="1721">
        <f>+H2+J2</f>
        <v>91</v>
      </c>
      <c r="M2" s="1721">
        <f>+I2+K2</f>
        <v>91</v>
      </c>
      <c r="N2" s="1721">
        <v>31</v>
      </c>
      <c r="O2" s="1721">
        <v>31</v>
      </c>
      <c r="P2" s="2842">
        <f>+L2+N2</f>
        <v>122</v>
      </c>
      <c r="Q2" s="1721">
        <f>+M2+O2</f>
        <v>122</v>
      </c>
      <c r="R2" s="1721">
        <v>31</v>
      </c>
      <c r="S2" s="1721">
        <v>31</v>
      </c>
      <c r="T2" s="1721">
        <f>+P2+R2</f>
        <v>153</v>
      </c>
      <c r="U2" s="1721">
        <f>+Q2+S2</f>
        <v>153</v>
      </c>
      <c r="V2" s="1721">
        <v>30</v>
      </c>
      <c r="W2" s="1721">
        <v>30</v>
      </c>
      <c r="X2" s="1721">
        <f>+N2+R2+V2</f>
        <v>92</v>
      </c>
      <c r="Y2" s="2318">
        <f>+O2+S2+W2</f>
        <v>92</v>
      </c>
      <c r="Z2" s="1721">
        <f>+T2+V2</f>
        <v>183</v>
      </c>
      <c r="AA2" s="1721">
        <f>+U2+W2</f>
        <v>183</v>
      </c>
      <c r="AB2" s="1721">
        <v>31</v>
      </c>
      <c r="AC2" s="1721">
        <v>31</v>
      </c>
      <c r="AD2" s="1721">
        <f>+Z2+AB2</f>
        <v>214</v>
      </c>
      <c r="AE2" s="1721">
        <f>+AA2+AC2</f>
        <v>214</v>
      </c>
      <c r="AF2" s="1721">
        <v>30</v>
      </c>
      <c r="AG2" s="1721">
        <v>30</v>
      </c>
      <c r="AH2" s="1721">
        <f>+AD2+AF2</f>
        <v>244</v>
      </c>
      <c r="AI2" s="1721">
        <f>+AE2+AG2</f>
        <v>244</v>
      </c>
      <c r="AJ2" s="1721">
        <v>31</v>
      </c>
      <c r="AK2" s="1721">
        <v>31</v>
      </c>
      <c r="AL2" s="1721">
        <f>+AB2+AF2+AJ2</f>
        <v>92</v>
      </c>
      <c r="AM2" s="2318">
        <f>+AC2+AG2+AK2</f>
        <v>92</v>
      </c>
      <c r="AN2" s="1721">
        <f>+AH2+AJ2</f>
        <v>275</v>
      </c>
      <c r="AO2" s="1721">
        <f>+AI2+AK2</f>
        <v>275</v>
      </c>
      <c r="AP2" s="1721">
        <v>31</v>
      </c>
      <c r="AQ2" s="1721">
        <v>31</v>
      </c>
      <c r="AR2" s="1721">
        <f>+AN2+AP2</f>
        <v>306</v>
      </c>
      <c r="AS2" s="1721">
        <f>+AO2+AQ2</f>
        <v>306</v>
      </c>
      <c r="AT2" s="1721">
        <v>28</v>
      </c>
      <c r="AU2" s="1721">
        <v>28</v>
      </c>
      <c r="AV2" s="1721">
        <f>+AR2+AT2</f>
        <v>334</v>
      </c>
      <c r="AW2" s="1721">
        <f>+AS2+AU2</f>
        <v>334</v>
      </c>
      <c r="AX2" s="1721">
        <v>31</v>
      </c>
      <c r="AY2" s="1721">
        <v>31</v>
      </c>
      <c r="AZ2" s="1721">
        <f>+AP2+AT2+AX2</f>
        <v>90</v>
      </c>
      <c r="BA2" s="1721">
        <f>+AQ2+AU2+AY2</f>
        <v>90</v>
      </c>
      <c r="BB2" s="1721">
        <f>+AZ2+AL2</f>
        <v>182</v>
      </c>
      <c r="BC2" s="1721">
        <f>+BA2+AM2</f>
        <v>182</v>
      </c>
      <c r="BD2" s="1721">
        <f>+AV2+AX2</f>
        <v>365</v>
      </c>
      <c r="BE2" s="1721">
        <f>+AW2+AY2</f>
        <v>365</v>
      </c>
      <c r="BF2" s="1721">
        <v>366</v>
      </c>
      <c r="BG2" s="1721">
        <v>366</v>
      </c>
    </row>
    <row r="3" spans="1:80" ht="18.75" customHeight="1" thickBot="1" x14ac:dyDescent="0.25">
      <c r="B3" s="8640" t="s">
        <v>657</v>
      </c>
      <c r="C3" s="8642" t="s">
        <v>658</v>
      </c>
      <c r="D3" s="8644" t="s">
        <v>1859</v>
      </c>
      <c r="E3" s="8645"/>
      <c r="F3" s="8644" t="s">
        <v>1862</v>
      </c>
      <c r="G3" s="8644"/>
      <c r="H3" s="8646" t="s">
        <v>52</v>
      </c>
      <c r="I3" s="8647"/>
      <c r="J3" s="8648" t="s">
        <v>1863</v>
      </c>
      <c r="K3" s="8649"/>
      <c r="L3" s="8650" t="s">
        <v>605</v>
      </c>
      <c r="M3" s="8556"/>
      <c r="N3" s="8579" t="s">
        <v>1864</v>
      </c>
      <c r="O3" s="8579"/>
      <c r="P3" s="8605" t="s">
        <v>62</v>
      </c>
      <c r="Q3" s="8606"/>
      <c r="R3" s="8579" t="s">
        <v>2160</v>
      </c>
      <c r="S3" s="8579"/>
      <c r="T3" s="8605" t="s">
        <v>64</v>
      </c>
      <c r="U3" s="8606"/>
      <c r="V3" s="8579" t="s">
        <v>2227</v>
      </c>
      <c r="W3" s="8579"/>
      <c r="X3" s="8555" t="s">
        <v>2228</v>
      </c>
      <c r="Y3" s="8556"/>
      <c r="Z3" s="8541" t="s">
        <v>1697</v>
      </c>
      <c r="AA3" s="8542"/>
      <c r="AB3" s="8579" t="s">
        <v>2265</v>
      </c>
      <c r="AC3" s="8579"/>
      <c r="AD3" s="8605" t="s">
        <v>101</v>
      </c>
      <c r="AE3" s="8606"/>
      <c r="AF3" s="8579" t="s">
        <v>2423</v>
      </c>
      <c r="AG3" s="8579"/>
      <c r="AH3" s="8605" t="s">
        <v>105</v>
      </c>
      <c r="AI3" s="8606"/>
      <c r="AJ3" s="8579" t="s">
        <v>2449</v>
      </c>
      <c r="AK3" s="8579"/>
      <c r="AL3" s="8555" t="s">
        <v>2447</v>
      </c>
      <c r="AM3" s="8556"/>
      <c r="AN3" s="8605" t="s">
        <v>2448</v>
      </c>
      <c r="AO3" s="8606"/>
      <c r="AP3" s="8579" t="s">
        <v>2533</v>
      </c>
      <c r="AQ3" s="8579"/>
      <c r="AR3" s="8605" t="s">
        <v>110</v>
      </c>
      <c r="AS3" s="8606"/>
      <c r="AT3" s="8579" t="s">
        <v>2577</v>
      </c>
      <c r="AU3" s="8579"/>
      <c r="AV3" s="8605" t="s">
        <v>113</v>
      </c>
      <c r="AW3" s="8606"/>
      <c r="AX3" s="8579" t="s">
        <v>2600</v>
      </c>
      <c r="AY3" s="8579"/>
      <c r="AZ3" s="8555" t="s">
        <v>2601</v>
      </c>
      <c r="BA3" s="8556"/>
      <c r="BB3" s="8555" t="s">
        <v>1842</v>
      </c>
      <c r="BC3" s="8556"/>
      <c r="BD3" s="8541" t="s">
        <v>1865</v>
      </c>
      <c r="BE3" s="8542"/>
      <c r="BF3" s="8626" t="s">
        <v>1836</v>
      </c>
      <c r="BG3" s="8627"/>
    </row>
    <row r="4" spans="1:80" ht="23.25" customHeight="1" thickBot="1" x14ac:dyDescent="0.25">
      <c r="B4" s="8641"/>
      <c r="C4" s="8643"/>
      <c r="D4" s="5172" t="s">
        <v>659</v>
      </c>
      <c r="E4" s="3833" t="s">
        <v>660</v>
      </c>
      <c r="F4" s="5172" t="s">
        <v>659</v>
      </c>
      <c r="G4" s="3909" t="s">
        <v>660</v>
      </c>
      <c r="H4" s="3373" t="s">
        <v>659</v>
      </c>
      <c r="I4" s="3866" t="s">
        <v>660</v>
      </c>
      <c r="J4" s="1831" t="s">
        <v>659</v>
      </c>
      <c r="K4" s="5184" t="s">
        <v>660</v>
      </c>
      <c r="L4" s="5171" t="s">
        <v>659</v>
      </c>
      <c r="M4" s="1996" t="s">
        <v>660</v>
      </c>
      <c r="N4" s="1831" t="s">
        <v>659</v>
      </c>
      <c r="O4" s="5184" t="s">
        <v>660</v>
      </c>
      <c r="P4" s="3373" t="s">
        <v>659</v>
      </c>
      <c r="Q4" s="1701" t="s">
        <v>660</v>
      </c>
      <c r="R4" s="1831" t="s">
        <v>659</v>
      </c>
      <c r="S4" s="5184" t="s">
        <v>660</v>
      </c>
      <c r="T4" s="3373" t="s">
        <v>659</v>
      </c>
      <c r="U4" s="1701" t="s">
        <v>660</v>
      </c>
      <c r="V4" s="1831" t="s">
        <v>659</v>
      </c>
      <c r="W4" s="1539" t="s">
        <v>660</v>
      </c>
      <c r="X4" s="6493" t="s">
        <v>659</v>
      </c>
      <c r="Y4" s="3888" t="s">
        <v>660</v>
      </c>
      <c r="Z4" s="6507" t="s">
        <v>659</v>
      </c>
      <c r="AA4" s="6508" t="s">
        <v>660</v>
      </c>
      <c r="AB4" s="1831" t="s">
        <v>659</v>
      </c>
      <c r="AC4" s="5184" t="s">
        <v>660</v>
      </c>
      <c r="AD4" s="3373" t="s">
        <v>659</v>
      </c>
      <c r="AE4" s="1701" t="s">
        <v>660</v>
      </c>
      <c r="AF4" s="1831" t="s">
        <v>659</v>
      </c>
      <c r="AG4" s="5184" t="s">
        <v>660</v>
      </c>
      <c r="AH4" s="3373" t="s">
        <v>659</v>
      </c>
      <c r="AI4" s="1701" t="s">
        <v>660</v>
      </c>
      <c r="AJ4" s="1831" t="s">
        <v>659</v>
      </c>
      <c r="AK4" s="5184" t="s">
        <v>660</v>
      </c>
      <c r="AL4" s="7684" t="s">
        <v>659</v>
      </c>
      <c r="AM4" s="3888" t="s">
        <v>660</v>
      </c>
      <c r="AN4" s="3373" t="s">
        <v>659</v>
      </c>
      <c r="AO4" s="1701" t="s">
        <v>660</v>
      </c>
      <c r="AP4" s="1831" t="s">
        <v>659</v>
      </c>
      <c r="AQ4" s="5184" t="s">
        <v>660</v>
      </c>
      <c r="AR4" s="3373" t="s">
        <v>659</v>
      </c>
      <c r="AS4" s="1701" t="s">
        <v>660</v>
      </c>
      <c r="AT4" s="1831" t="s">
        <v>659</v>
      </c>
      <c r="AU4" s="5184" t="s">
        <v>660</v>
      </c>
      <c r="AV4" s="3373" t="s">
        <v>659</v>
      </c>
      <c r="AW4" s="1701" t="s">
        <v>660</v>
      </c>
      <c r="AX4" s="1831" t="s">
        <v>659</v>
      </c>
      <c r="AY4" s="5184" t="s">
        <v>660</v>
      </c>
      <c r="AZ4" s="8265" t="s">
        <v>659</v>
      </c>
      <c r="BA4" s="3888" t="s">
        <v>660</v>
      </c>
      <c r="BB4" s="8265" t="s">
        <v>659</v>
      </c>
      <c r="BC4" s="3888" t="s">
        <v>660</v>
      </c>
      <c r="BD4" s="8331" t="s">
        <v>659</v>
      </c>
      <c r="BE4" s="6508" t="s">
        <v>660</v>
      </c>
      <c r="BF4" s="5367" t="s">
        <v>659</v>
      </c>
      <c r="BG4" s="5368" t="s">
        <v>660</v>
      </c>
    </row>
    <row r="5" spans="1:80" s="3380" customFormat="1" ht="15" customHeight="1" thickBot="1" x14ac:dyDescent="0.25">
      <c r="B5" s="5301" t="s">
        <v>852</v>
      </c>
      <c r="C5" s="5057"/>
      <c r="D5" s="5302"/>
      <c r="E5" s="5303"/>
      <c r="F5" s="5302"/>
      <c r="G5" s="4902"/>
      <c r="H5" s="5302"/>
      <c r="I5" s="4902"/>
      <c r="J5" s="5057"/>
      <c r="K5" s="5057"/>
      <c r="L5" s="5057"/>
      <c r="M5" s="5057"/>
      <c r="N5" s="5057"/>
      <c r="O5" s="5057"/>
      <c r="P5" s="5302"/>
      <c r="Q5" s="5057"/>
      <c r="R5" s="5057"/>
      <c r="S5" s="5057"/>
      <c r="T5" s="5302"/>
      <c r="U5" s="5057"/>
      <c r="V5" s="5057"/>
      <c r="W5" s="5057"/>
      <c r="X5" s="5057"/>
      <c r="Y5" s="4902"/>
      <c r="Z5" s="5302"/>
      <c r="AA5" s="5057"/>
      <c r="AB5" s="5057"/>
      <c r="AC5" s="5057"/>
      <c r="AD5" s="5302"/>
      <c r="AE5" s="5057"/>
      <c r="AF5" s="5057"/>
      <c r="AG5" s="5057"/>
      <c r="AH5" s="5302"/>
      <c r="AI5" s="5057"/>
      <c r="AJ5" s="5057"/>
      <c r="AK5" s="5057"/>
      <c r="AL5" s="5057"/>
      <c r="AM5" s="4902"/>
      <c r="AN5" s="5302"/>
      <c r="AO5" s="5057"/>
      <c r="AP5" s="5057"/>
      <c r="AQ5" s="5057"/>
      <c r="AR5" s="5302"/>
      <c r="AS5" s="5057"/>
      <c r="AT5" s="5057"/>
      <c r="AU5" s="5057"/>
      <c r="AV5" s="5302"/>
      <c r="AW5" s="5057"/>
      <c r="AX5" s="5057"/>
      <c r="AY5" s="5057"/>
      <c r="AZ5" s="5057"/>
      <c r="BA5" s="4902"/>
      <c r="BB5" s="5057"/>
      <c r="BC5" s="4902"/>
      <c r="BD5" s="5302"/>
      <c r="BE5" s="5057"/>
      <c r="BF5" s="5369"/>
      <c r="BG5" s="5369"/>
    </row>
    <row r="6" spans="1:80" ht="15" customHeight="1" x14ac:dyDescent="0.2">
      <c r="B6" s="1609" t="s">
        <v>856</v>
      </c>
      <c r="C6" s="1545" t="s">
        <v>862</v>
      </c>
      <c r="D6" s="4811">
        <v>77.86666666666666</v>
      </c>
      <c r="E6" s="2723">
        <f>+E9/E2</f>
        <v>77.86666666666666</v>
      </c>
      <c r="F6" s="4811">
        <v>85.387096774193552</v>
      </c>
      <c r="G6" s="2723">
        <f>+G9/G2</f>
        <v>85.387096774193552</v>
      </c>
      <c r="H6" s="3194">
        <f>+((D6*$D$2)+(F6*$F$2))/$H$2</f>
        <v>81.688524590163937</v>
      </c>
      <c r="I6" s="3193">
        <f>+((E6*$E$2)+(G6*$G$2))/$I$2</f>
        <v>81.688524590163937</v>
      </c>
      <c r="J6" s="4811">
        <v>92.2</v>
      </c>
      <c r="K6" s="2723">
        <f>+K9/K2</f>
        <v>92.2</v>
      </c>
      <c r="L6" s="4141">
        <f>+((H6*$H$2)+(J6*$J$2))/$L$2</f>
        <v>85.15384615384616</v>
      </c>
      <c r="M6" s="1998">
        <f>+((I6*$I$2)+(K6*$K$2))/$M$2</f>
        <v>85.15384615384616</v>
      </c>
      <c r="N6" s="4811">
        <v>99</v>
      </c>
      <c r="O6" s="2723">
        <f>+O9/O2</f>
        <v>97.064516129032256</v>
      </c>
      <c r="P6" s="3912">
        <f>+((L6*L$2)+(N6*N$2))/P$2</f>
        <v>88.672131147540981</v>
      </c>
      <c r="Q6" s="1713">
        <f>+((M6*M$2)+(O6*O$2))/Q$2</f>
        <v>88.180327868852459</v>
      </c>
      <c r="R6" s="4811">
        <v>99</v>
      </c>
      <c r="S6" s="2750">
        <f>+S9/S2</f>
        <v>98.935483870967744</v>
      </c>
      <c r="T6" s="3912">
        <f>+((P6*P$2)+(R6*R$2))/T$2</f>
        <v>90.764705882352942</v>
      </c>
      <c r="U6" s="1713">
        <f>+((Q6*Q$2)+(S6*S$2))/U$2</f>
        <v>90.359477124183002</v>
      </c>
      <c r="V6" s="4811">
        <v>99</v>
      </c>
      <c r="W6" s="2750">
        <f>+W9/W2</f>
        <v>97.833333333333329</v>
      </c>
      <c r="X6" s="4141">
        <f>+((N$6*N$1)+(R$6*R$1)+(V$6*V$1))/X$1</f>
        <v>99</v>
      </c>
      <c r="Y6" s="2011">
        <f>+((O$6*O$1)+(S$6*S$1)+(W$6*W$1))/Y$1</f>
        <v>97.945652173913047</v>
      </c>
      <c r="Z6" s="6509">
        <f>+((T6*T$2)+(V6*V$2))/Z$2</f>
        <v>92.114754098360649</v>
      </c>
      <c r="AA6" s="6510">
        <f>+((U6*U$2)+(W6*W$2))/AA$2</f>
        <v>91.584699453551906</v>
      </c>
      <c r="AB6" s="4811">
        <v>99</v>
      </c>
      <c r="AC6" s="2750">
        <f>+AC9/AC2</f>
        <v>98.677419354838705</v>
      </c>
      <c r="AD6" s="3912">
        <f>+((Z6*Z$2)+(AB6*AB$2))/AD$2</f>
        <v>93.112149532710276</v>
      </c>
      <c r="AE6" s="1713">
        <f>+((AA6*AA$2)+(AC6*AC$2))/AE$2</f>
        <v>92.612149532710276</v>
      </c>
      <c r="AF6" s="4811">
        <v>99</v>
      </c>
      <c r="AG6" s="2750">
        <f>+AG9/AG2</f>
        <v>99.36666666666666</v>
      </c>
      <c r="AH6" s="3912">
        <f>+((AD6*AD$2)+(AF6*AF$2))/AH$2</f>
        <v>93.836065573770497</v>
      </c>
      <c r="AI6" s="1713">
        <f>+((AE6*AE$2)+(AG6*AG$2))/AI$2</f>
        <v>93.442622950819668</v>
      </c>
      <c r="AJ6" s="4811">
        <v>99</v>
      </c>
      <c r="AK6" s="2750">
        <f>+AK9/AK2</f>
        <v>99.129032258064512</v>
      </c>
      <c r="AL6" s="4141">
        <f>+((AB$6*AB$1)+(AF$6*AF$1)+(AJ$6*AJ$1))/AL$1</f>
        <v>99</v>
      </c>
      <c r="AM6" s="2011">
        <f>+((AC$6*AC$1)+(AG$6*AG$1)+(AK$6*AK$1))/AM$1</f>
        <v>99.054347826086953</v>
      </c>
      <c r="AN6" s="3912">
        <f>+((AH6*AH$2)+(AJ6*AJ$2))/AN$2</f>
        <v>94.418181818181822</v>
      </c>
      <c r="AO6" s="1713">
        <f>+((AI6*AI$2)+(AK6*AK$2))/AO$2</f>
        <v>94.083636363636359</v>
      </c>
      <c r="AP6" s="4811">
        <v>99</v>
      </c>
      <c r="AQ6" s="2723">
        <f>+AQ9/AQ2</f>
        <v>99.129032258064512</v>
      </c>
      <c r="AR6" s="3912">
        <f>+((AN6*AN$2)+(AP6*AP$2))/AR$2</f>
        <v>94.882352941176464</v>
      </c>
      <c r="AS6" s="1713">
        <f>+((AO6*AO$2)+(AQ6*AQ$2))/AS$2</f>
        <v>94.59477124183006</v>
      </c>
      <c r="AT6" s="4811">
        <v>99</v>
      </c>
      <c r="AU6" s="2723">
        <f>+AU9/AU2</f>
        <v>99.142857142857139</v>
      </c>
      <c r="AV6" s="3912">
        <f>+((AR6*AR$2)+(AT6*AT$2))/AV$2</f>
        <v>95.227544910179631</v>
      </c>
      <c r="AW6" s="1713">
        <f>+((AS6*AS$2)+(AU6*AU$2))/AW$2</f>
        <v>94.976047904191617</v>
      </c>
      <c r="AX6" s="4811">
        <v>99</v>
      </c>
      <c r="AY6" s="2723">
        <f>+AY9/AY2</f>
        <v>99.290322580645167</v>
      </c>
      <c r="AZ6" s="4141">
        <f>+((AP$6*AP$1)+(AT$6*AT$1)+(AX$6*AX$1))/AZ$1</f>
        <v>99</v>
      </c>
      <c r="BA6" s="2011">
        <f>+((AQ$6*AQ$1)+(AU$6*AU$1)+(AY$6*AY$1))/BA$1</f>
        <v>99.188888888888883</v>
      </c>
      <c r="BB6" s="4141">
        <f>+((AL6*AL$2)+(AZ6*AZ$2))/BB$2</f>
        <v>99</v>
      </c>
      <c r="BC6" s="2011">
        <f>+((AM6*AM$2)+(BA6*BA$2))/BC$2</f>
        <v>99.120879120879124</v>
      </c>
      <c r="BD6" s="8420">
        <f>+((AV6*AV$2)+(AX6*AX$2))/BD$2</f>
        <v>95.547945205479451</v>
      </c>
      <c r="BE6" s="8421">
        <f>+((AW6*AW$2)+(AY6*AY$2))/BE$2</f>
        <v>95.342465753424662</v>
      </c>
      <c r="BF6" s="5349">
        <v>97</v>
      </c>
      <c r="BG6" s="8422">
        <v>97.109590163934413</v>
      </c>
      <c r="BH6" s="5207"/>
      <c r="BI6" s="5207"/>
      <c r="BJ6" s="5207"/>
      <c r="BK6" s="5207"/>
      <c r="BL6" s="5207"/>
      <c r="BM6" s="5207"/>
      <c r="BN6" s="5207"/>
      <c r="BO6" s="5207"/>
      <c r="BP6" s="5207"/>
      <c r="BQ6" s="5207"/>
      <c r="BR6" s="5207"/>
      <c r="BS6" s="5207"/>
      <c r="BT6" s="5207"/>
      <c r="BU6" s="5207"/>
      <c r="BV6" s="5207"/>
      <c r="BW6" s="5207"/>
      <c r="BX6" s="5207"/>
      <c r="BY6" s="5207"/>
      <c r="BZ6" s="5207"/>
      <c r="CA6" s="5207"/>
    </row>
    <row r="7" spans="1:80" s="2269" customFormat="1" ht="15" customHeight="1" thickBot="1" x14ac:dyDescent="0.25">
      <c r="A7" s="5164"/>
      <c r="B7" s="1610" t="s">
        <v>857</v>
      </c>
      <c r="C7" s="1548" t="s">
        <v>862</v>
      </c>
      <c r="D7" s="4811">
        <v>77.766666666666666</v>
      </c>
      <c r="E7" s="3841">
        <f>+E10/E2</f>
        <v>77.766666666666666</v>
      </c>
      <c r="F7" s="4811">
        <v>75.129032258064512</v>
      </c>
      <c r="G7" s="3841">
        <f>+G10/G2</f>
        <v>75.129032258064512</v>
      </c>
      <c r="H7" s="3194">
        <f>+((D7*$D$2)+(F7*$F$2))/$H$2</f>
        <v>76.426229508196727</v>
      </c>
      <c r="I7" s="5425">
        <f>+((E7*$E$2)+(G7*$G$2))/$I$2</f>
        <v>76.426229508196727</v>
      </c>
      <c r="J7" s="4810">
        <v>86.5</v>
      </c>
      <c r="K7" s="3841">
        <f>+K10/K2</f>
        <v>86.5</v>
      </c>
      <c r="L7" s="4141">
        <f>+((H7*$H$2)+(J7*$J$2))/$L$2</f>
        <v>79.747252747252745</v>
      </c>
      <c r="M7" s="2029">
        <f>+((I7*$I$2)+(K7*$K$2))/$M$2</f>
        <v>79.747252747252745</v>
      </c>
      <c r="N7" s="5888">
        <v>99</v>
      </c>
      <c r="O7" s="3841">
        <f>+O10/O2</f>
        <v>90.838709677419359</v>
      </c>
      <c r="P7" s="3912">
        <f>+((L7*L$2)+(N7*N$2))/P$2</f>
        <v>84.639344262295083</v>
      </c>
      <c r="Q7" s="1713">
        <f>+((M7*M$2)+(O7*O$2))/Q$2</f>
        <v>82.56557377049181</v>
      </c>
      <c r="R7" s="6348">
        <v>99</v>
      </c>
      <c r="S7" s="2816">
        <f>+S10/S2</f>
        <v>98.935483870967744</v>
      </c>
      <c r="T7" s="3912">
        <f>+((P7*P$2)+(R7*R$2))/T$2</f>
        <v>87.549019607843135</v>
      </c>
      <c r="U7" s="1713">
        <f>+((Q7*Q$2)+(S7*S$2))/U$2</f>
        <v>85.882352941176464</v>
      </c>
      <c r="V7" s="6397">
        <v>99</v>
      </c>
      <c r="W7" s="2816">
        <f>+W10/W2</f>
        <v>83.6</v>
      </c>
      <c r="X7" s="4141">
        <f>+((N$7*N$1)+(R$7*R$1)+(V$7*V$1))/X$1</f>
        <v>99</v>
      </c>
      <c r="Y7" s="2011">
        <f>+((O$7*O$1)+(S$7*S$1)+(W$7*W$1))/Y$1</f>
        <v>91.206521739130437</v>
      </c>
      <c r="Z7" s="6509">
        <f>+((T7*T$2)+(V7*V$2))/Z$2</f>
        <v>89.426229508196727</v>
      </c>
      <c r="AA7" s="6510">
        <f>+((U7*U$2)+(W7*W$2))/AA$2</f>
        <v>85.508196721311464</v>
      </c>
      <c r="AB7" s="6397">
        <v>99</v>
      </c>
      <c r="AC7" s="2816">
        <f>+AC10/AC2</f>
        <v>92</v>
      </c>
      <c r="AD7" s="3912">
        <f>+((Z7*Z$2)+(AB7*AB$2))/AD$2</f>
        <v>90.813084112149539</v>
      </c>
      <c r="AE7" s="1713">
        <f>+((AA7*AA$2)+(AC7*AC$2))/AE$2</f>
        <v>86.44859813084112</v>
      </c>
      <c r="AF7" s="6397">
        <v>99</v>
      </c>
      <c r="AG7" s="2816">
        <f>+AG10/AG2</f>
        <v>88.63333333333334</v>
      </c>
      <c r="AH7" s="3912">
        <f>+((AD7*AD$2)+(AF7*AF$2))/AH$2</f>
        <v>91.819672131147541</v>
      </c>
      <c r="AI7" s="1713">
        <f>+((AE7*AE$2)+(AG7*AG$2))/AI$2</f>
        <v>86.717213114754102</v>
      </c>
      <c r="AJ7" s="6397">
        <v>99</v>
      </c>
      <c r="AK7" s="2816">
        <f>+AK10/AK2</f>
        <v>98.838709677419359</v>
      </c>
      <c r="AL7" s="4141">
        <f>+((AB$7*AB$1)+(AF$7*AF$1)+(AJ$7*AJ$1))/AL$1</f>
        <v>99</v>
      </c>
      <c r="AM7" s="2011">
        <f>+((AC$7*AC$1)+(AG$7*AG$1)+(AK$7*AK$1))/AM$1</f>
        <v>93.206521739130437</v>
      </c>
      <c r="AN7" s="3912">
        <f>+((AH7*AH$2)+(AJ7*AJ$2))/AN$2</f>
        <v>92.629090909090905</v>
      </c>
      <c r="AO7" s="1713">
        <f>+((AI7*AI$2)+(AK7*AK$2))/AO$2</f>
        <v>88.083636363636359</v>
      </c>
      <c r="AP7" s="6397">
        <v>99</v>
      </c>
      <c r="AQ7" s="3841">
        <f>+AQ10/AQ2</f>
        <v>99</v>
      </c>
      <c r="AR7" s="3912">
        <f>+((AN7*AN$2)+(AP7*AP$2))/AR$2</f>
        <v>93.274509803921575</v>
      </c>
      <c r="AS7" s="1713">
        <f>+((AO7*AO$2)+(AQ7*AQ$2))/AS$2</f>
        <v>89.189542483660134</v>
      </c>
      <c r="AT7" s="6397">
        <v>99</v>
      </c>
      <c r="AU7" s="3841">
        <f>+AU10/AU2</f>
        <v>99</v>
      </c>
      <c r="AV7" s="3912">
        <f>+((AR7*AR$2)+(AT7*AT$2))/AV$2</f>
        <v>93.754491017964085</v>
      </c>
      <c r="AW7" s="1713">
        <f>+((AS7*AS$2)+(AU7*AU$2))/AW$2</f>
        <v>90.011976047904199</v>
      </c>
      <c r="AX7" s="6397">
        <v>99</v>
      </c>
      <c r="AY7" s="3841">
        <f>+AY10/AY2</f>
        <v>99.032258064516128</v>
      </c>
      <c r="AZ7" s="4141">
        <f>+((AP$7*AP$1)+(AT$7*AT$1)+(AX$7*AX$1))/AZ$1</f>
        <v>99</v>
      </c>
      <c r="BA7" s="2011">
        <f>+((AQ$7*AQ$1)+(AU$7*AU$1)+(AY$7*AY$1))/BA$1</f>
        <v>99.011111111111106</v>
      </c>
      <c r="BB7" s="4141">
        <f>+((AL7*AL$2)+(AZ7*AZ$2))/BB$2</f>
        <v>99</v>
      </c>
      <c r="BC7" s="2011">
        <f>+((AM7*AM$2)+(BA7*BA$2))/BC$2</f>
        <v>96.07692307692308</v>
      </c>
      <c r="BD7" s="8420">
        <f>+((AV7*AV$2)+(AX7*AX$2))/BD$2</f>
        <v>94.2</v>
      </c>
      <c r="BE7" s="8421">
        <f>+((AW7*AW$2)+(AY7*AY$2))/BE$2</f>
        <v>90.778082191780825</v>
      </c>
      <c r="BF7" s="5365">
        <v>97</v>
      </c>
      <c r="BG7" s="8423">
        <v>95.71024590163934</v>
      </c>
      <c r="BH7" s="5207"/>
      <c r="BI7" s="5207"/>
      <c r="BJ7" s="5207"/>
      <c r="BK7" s="5207"/>
      <c r="BL7" s="5207"/>
      <c r="BM7" s="5207"/>
      <c r="BN7" s="5207"/>
      <c r="BO7" s="5207"/>
      <c r="BP7" s="5207"/>
      <c r="BQ7" s="5207"/>
      <c r="BR7" s="5207"/>
      <c r="BS7" s="5207"/>
      <c r="BT7" s="5207"/>
      <c r="BU7" s="5207"/>
      <c r="BV7" s="5207"/>
      <c r="BW7" s="5207"/>
      <c r="BX7" s="5207"/>
      <c r="BY7" s="5207"/>
      <c r="BZ7" s="5207"/>
      <c r="CA7" s="5207"/>
      <c r="CB7" s="3380"/>
    </row>
    <row r="8" spans="1:80" ht="15" customHeight="1" thickBot="1" x14ac:dyDescent="0.25">
      <c r="B8" s="1592" t="s">
        <v>280</v>
      </c>
      <c r="C8" s="1562" t="s">
        <v>862</v>
      </c>
      <c r="D8" s="2319">
        <f t="shared" ref="D8:O8" si="0">D6+(D7*1.8343023255814)</f>
        <v>220.51424418604688</v>
      </c>
      <c r="E8" s="1677">
        <f t="shared" si="0"/>
        <v>220.51424418604688</v>
      </c>
      <c r="F8" s="2319">
        <f t="shared" ref="F8:G8" si="1">F6+(F7*1.8343023255814)</f>
        <v>223.19645536384132</v>
      </c>
      <c r="G8" s="1677">
        <f t="shared" si="1"/>
        <v>223.19645536384132</v>
      </c>
      <c r="H8" s="5330">
        <f t="shared" si="0"/>
        <v>221.87733511246699</v>
      </c>
      <c r="I8" s="5331">
        <f t="shared" si="0"/>
        <v>221.87733511246699</v>
      </c>
      <c r="J8" s="2319">
        <f t="shared" si="0"/>
        <v>250.86715116279112</v>
      </c>
      <c r="K8" s="1677">
        <f t="shared" si="0"/>
        <v>250.86715116279112</v>
      </c>
      <c r="L8" s="2951">
        <f t="shared" si="0"/>
        <v>231.43441732685955</v>
      </c>
      <c r="M8" s="1999">
        <f t="shared" si="0"/>
        <v>231.43441732685955</v>
      </c>
      <c r="N8" s="2319">
        <f t="shared" si="0"/>
        <v>280.5959302325586</v>
      </c>
      <c r="O8" s="1677">
        <f t="shared" si="0"/>
        <v>263.69017254313621</v>
      </c>
      <c r="P8" s="2784">
        <f t="shared" ref="P8:S8" si="2">P6+(P7*1.8343023255814)</f>
        <v>243.92627716355355</v>
      </c>
      <c r="Q8" s="1715">
        <f t="shared" si="2"/>
        <v>239.63055184902822</v>
      </c>
      <c r="R8" s="2319">
        <f t="shared" si="2"/>
        <v>280.5959302325586</v>
      </c>
      <c r="S8" s="1677">
        <f t="shared" si="2"/>
        <v>280.41307201800498</v>
      </c>
      <c r="T8" s="2784">
        <f t="shared" ref="T8:Y8" si="3">T6+(T7*1.8343023255814)</f>
        <v>251.35607615139116</v>
      </c>
      <c r="U8" s="1715">
        <f t="shared" si="3"/>
        <v>247.89367685058556</v>
      </c>
      <c r="V8" s="2319">
        <f t="shared" si="3"/>
        <v>280.5959302325586</v>
      </c>
      <c r="W8" s="1677">
        <f t="shared" si="3"/>
        <v>251.18100775193835</v>
      </c>
      <c r="X8" s="2951">
        <f t="shared" si="3"/>
        <v>280.5959302325586</v>
      </c>
      <c r="Y8" s="2005">
        <f t="shared" si="3"/>
        <v>265.24598710819049</v>
      </c>
      <c r="Z8" s="6511">
        <f t="shared" ref="Z8:AI8" si="4">Z6+(Z7*1.8343023255814)</f>
        <v>256.14949485322194</v>
      </c>
      <c r="AA8" s="6512">
        <f t="shared" si="4"/>
        <v>248.43258355572536</v>
      </c>
      <c r="AB8" s="2319">
        <f t="shared" si="4"/>
        <v>280.5959302325586</v>
      </c>
      <c r="AC8" s="1677">
        <f t="shared" si="4"/>
        <v>267.43323330832749</v>
      </c>
      <c r="AD8" s="2784">
        <f t="shared" si="4"/>
        <v>259.69080091284548</v>
      </c>
      <c r="AE8" s="1715">
        <f t="shared" si="4"/>
        <v>251.18501412736401</v>
      </c>
      <c r="AF8" s="2319">
        <f t="shared" si="4"/>
        <v>280.5959302325586</v>
      </c>
      <c r="AG8" s="1677">
        <f t="shared" si="4"/>
        <v>261.94699612403144</v>
      </c>
      <c r="AH8" s="2784">
        <f t="shared" si="4"/>
        <v>262.2611036980561</v>
      </c>
      <c r="AI8" s="1715">
        <f t="shared" si="4"/>
        <v>252.50820863515099</v>
      </c>
      <c r="AJ8" s="2319">
        <f t="shared" ref="AJ8:AO8" si="5">AJ6+(AJ7*1.8343023255814)</f>
        <v>280.5959302325586</v>
      </c>
      <c r="AK8" s="1677">
        <f t="shared" si="5"/>
        <v>280.42910727681965</v>
      </c>
      <c r="AL8" s="2951">
        <f t="shared" si="5"/>
        <v>280.5959302325586</v>
      </c>
      <c r="AM8" s="2005">
        <f t="shared" si="5"/>
        <v>270.02328741152724</v>
      </c>
      <c r="AN8" s="2784">
        <f t="shared" si="5"/>
        <v>264.32793868921817</v>
      </c>
      <c r="AO8" s="1715">
        <f t="shared" si="5"/>
        <v>255.65565539112089</v>
      </c>
      <c r="AP8" s="2319">
        <f t="shared" ref="AP8:AS8" si="6">AP6+(AP7*1.8343023255814)</f>
        <v>280.5959302325586</v>
      </c>
      <c r="AQ8" s="1677">
        <f t="shared" si="6"/>
        <v>280.72496249062311</v>
      </c>
      <c r="AR8" s="2784">
        <f t="shared" si="6"/>
        <v>265.97600319197488</v>
      </c>
      <c r="AS8" s="1715">
        <f t="shared" si="6"/>
        <v>258.19535643714892</v>
      </c>
      <c r="AT8" s="2319">
        <f t="shared" ref="AT8:AU8" si="7">AT6+(AT7*1.8343023255814)</f>
        <v>280.5959302325586</v>
      </c>
      <c r="AU8" s="1677">
        <f t="shared" si="7"/>
        <v>280.73878737541577</v>
      </c>
      <c r="AV8" s="2784">
        <f t="shared" ref="AV8:AY8" si="8">AV6+(AV7*1.8343023255814)</f>
        <v>267.20162581813162</v>
      </c>
      <c r="AW8" s="1715">
        <f t="shared" si="8"/>
        <v>260.08522489903953</v>
      </c>
      <c r="AX8" s="2319">
        <f t="shared" si="8"/>
        <v>280.5959302325586</v>
      </c>
      <c r="AY8" s="1677">
        <f t="shared" si="8"/>
        <v>280.94542385596446</v>
      </c>
      <c r="AZ8" s="2951">
        <f t="shared" ref="AZ8:BE8" si="9">AZ6+(AZ7*1.8343023255814)</f>
        <v>280.5959302325586</v>
      </c>
      <c r="BA8" s="2005">
        <f t="shared" si="9"/>
        <v>280.80520025839837</v>
      </c>
      <c r="BB8" s="2951">
        <f t="shared" ref="BB8:BC8" si="10">BB6+(BB7*1.8343023255814)</f>
        <v>280.5959302325586</v>
      </c>
      <c r="BC8" s="2005">
        <f t="shared" si="10"/>
        <v>275.35500255558441</v>
      </c>
      <c r="BD8" s="6511">
        <f t="shared" si="9"/>
        <v>268.33922427524732</v>
      </c>
      <c r="BE8" s="6512">
        <f t="shared" si="9"/>
        <v>261.85691302962772</v>
      </c>
      <c r="BF8" s="5312">
        <v>274.92732558139579</v>
      </c>
      <c r="BG8" s="5313">
        <v>272.67111680327912</v>
      </c>
      <c r="BH8" s="5960"/>
      <c r="BI8" s="5960"/>
      <c r="BJ8" s="5960"/>
      <c r="BK8" s="5960"/>
      <c r="BL8" s="5960"/>
      <c r="BM8" s="5960"/>
      <c r="BN8" s="5960"/>
      <c r="BO8" s="5960"/>
      <c r="BP8" s="5960"/>
      <c r="BQ8" s="5960"/>
      <c r="BR8" s="5960"/>
      <c r="BS8" s="5960"/>
      <c r="BT8" s="5960"/>
      <c r="BU8" s="5960"/>
      <c r="BV8" s="5960"/>
      <c r="BW8" s="5960"/>
      <c r="BX8" s="5960"/>
      <c r="BY8" s="5960"/>
      <c r="BZ8" s="5960"/>
      <c r="CA8" s="5960"/>
      <c r="CB8" s="3380"/>
    </row>
    <row r="9" spans="1:80" ht="15" customHeight="1" x14ac:dyDescent="0.2">
      <c r="B9" s="5328" t="s">
        <v>856</v>
      </c>
      <c r="C9" s="1542" t="s">
        <v>1866</v>
      </c>
      <c r="D9" s="6485">
        <f>+D6*D2</f>
        <v>2336</v>
      </c>
      <c r="E9" s="5245">
        <v>2336</v>
      </c>
      <c r="F9" s="5297">
        <f>+F6*F2</f>
        <v>2647</v>
      </c>
      <c r="G9" s="5245">
        <v>2647</v>
      </c>
      <c r="H9" s="5291">
        <f>+H6*H2</f>
        <v>4983</v>
      </c>
      <c r="I9" s="5329">
        <f>+E9+G9</f>
        <v>4983</v>
      </c>
      <c r="J9" s="5697">
        <f>+J6*J2</f>
        <v>2766</v>
      </c>
      <c r="K9" s="5245">
        <v>2766</v>
      </c>
      <c r="L9" s="5692">
        <f>+H9+J9</f>
        <v>7749</v>
      </c>
      <c r="M9" s="2021">
        <f t="shared" ref="L9:M10" si="11">+I9+K9</f>
        <v>7749</v>
      </c>
      <c r="N9" s="5889">
        <f>+N6*N2</f>
        <v>3069</v>
      </c>
      <c r="O9" s="5245">
        <v>3009</v>
      </c>
      <c r="P9" s="5884">
        <f t="shared" ref="P9:Q10" si="12">+L9+N9</f>
        <v>10818</v>
      </c>
      <c r="Q9" s="1703">
        <f t="shared" si="12"/>
        <v>10758</v>
      </c>
      <c r="R9" s="6352">
        <f>+R6*R2</f>
        <v>3069</v>
      </c>
      <c r="S9" s="5245">
        <v>3067</v>
      </c>
      <c r="T9" s="6332">
        <f t="shared" ref="T9:T10" si="13">+P9+R9</f>
        <v>13887</v>
      </c>
      <c r="U9" s="1703">
        <f t="shared" ref="U9:U10" si="14">+Q9+S9</f>
        <v>13825</v>
      </c>
      <c r="V9" s="6485">
        <f>+V6*V2</f>
        <v>2970</v>
      </c>
      <c r="W9" s="5245">
        <v>2935</v>
      </c>
      <c r="X9" s="6482">
        <f>+N9+R9+V9</f>
        <v>9108</v>
      </c>
      <c r="Y9" s="6570">
        <f>+O9+S9+W9</f>
        <v>9011</v>
      </c>
      <c r="Z9" s="6513">
        <f>+T9+V9</f>
        <v>16857</v>
      </c>
      <c r="AA9" s="6514">
        <f t="shared" ref="AA9:AA10" si="15">+U9+W9</f>
        <v>16760</v>
      </c>
      <c r="AB9" s="7320">
        <f>+AB6*AB2</f>
        <v>3069</v>
      </c>
      <c r="AC9" s="5245">
        <v>3059</v>
      </c>
      <c r="AD9" s="7313">
        <f t="shared" ref="AD9:AD10" si="16">+Z9+AB9</f>
        <v>19926</v>
      </c>
      <c r="AE9" s="1703">
        <f t="shared" ref="AE9:AE10" si="17">+AA9+AC9</f>
        <v>19819</v>
      </c>
      <c r="AF9" s="7587">
        <f>+AF6*AF2</f>
        <v>2970</v>
      </c>
      <c r="AG9" s="5245">
        <v>2981</v>
      </c>
      <c r="AH9" s="7344">
        <f>+AD9+AF9</f>
        <v>22896</v>
      </c>
      <c r="AI9" s="1703">
        <f t="shared" ref="AI9:AI10" si="18">+AE9+AG9</f>
        <v>22800</v>
      </c>
      <c r="AJ9" s="7685">
        <f>+AJ6*AJ2</f>
        <v>3069</v>
      </c>
      <c r="AK9" s="5245">
        <v>3073</v>
      </c>
      <c r="AL9" s="6866">
        <f>+AB9+AF9+AJ9</f>
        <v>9108</v>
      </c>
      <c r="AM9" s="6570">
        <f>+AC9+AG9+AK9</f>
        <v>9113</v>
      </c>
      <c r="AN9" s="7344">
        <f>+AH9+AJ9</f>
        <v>25965</v>
      </c>
      <c r="AO9" s="1703">
        <f>+AI9+AK9</f>
        <v>25873</v>
      </c>
      <c r="AP9" s="8052">
        <f>+AP6*AP2</f>
        <v>3069</v>
      </c>
      <c r="AQ9" s="5245">
        <v>3073</v>
      </c>
      <c r="AR9" s="7344">
        <f>+AN9+AP9</f>
        <v>29034</v>
      </c>
      <c r="AS9" s="1703">
        <f t="shared" ref="AS9:AS10" si="19">+AO9+AQ9</f>
        <v>28946</v>
      </c>
      <c r="AT9" s="8142">
        <f>+AT6*AT2</f>
        <v>2772</v>
      </c>
      <c r="AU9" s="5245">
        <v>2776</v>
      </c>
      <c r="AV9" s="7344">
        <f>+AR9+AT9</f>
        <v>31806</v>
      </c>
      <c r="AW9" s="1703">
        <f t="shared" ref="AW9:AW10" si="20">+AS9+AU9</f>
        <v>31722</v>
      </c>
      <c r="AX9" s="8333">
        <f>+AX6*AX2</f>
        <v>3069</v>
      </c>
      <c r="AY9" s="5245">
        <v>3078</v>
      </c>
      <c r="AZ9" s="6866">
        <f>+AP9+AT9+AX9</f>
        <v>8910</v>
      </c>
      <c r="BA9" s="6570">
        <f>+AQ9+AU9+AY9</f>
        <v>8927</v>
      </c>
      <c r="BB9" s="6866">
        <f>+AL9+AZ9</f>
        <v>18018</v>
      </c>
      <c r="BC9" s="6570">
        <f>+AM9+BA9</f>
        <v>18040</v>
      </c>
      <c r="BD9" s="6863">
        <f>+AV9+AX9</f>
        <v>34875</v>
      </c>
      <c r="BE9" s="6514">
        <f>+AW9+AY9</f>
        <v>34800</v>
      </c>
      <c r="BF9" s="5373">
        <v>35502</v>
      </c>
      <c r="BG9" s="5374">
        <v>35543</v>
      </c>
      <c r="BH9" s="5960"/>
      <c r="BI9" s="5960"/>
      <c r="BJ9" s="5960"/>
      <c r="BK9" s="5960"/>
      <c r="BL9" s="5960"/>
      <c r="BM9" s="5960"/>
      <c r="BN9" s="5960"/>
      <c r="BO9" s="5960"/>
      <c r="BP9" s="5960"/>
      <c r="BQ9" s="5960"/>
      <c r="BR9" s="5960"/>
      <c r="BS9" s="5960"/>
      <c r="BT9" s="5960"/>
      <c r="BU9" s="5960"/>
      <c r="BV9" s="5960"/>
      <c r="BW9" s="5960"/>
      <c r="BX9" s="5960"/>
      <c r="BY9" s="5960"/>
      <c r="BZ9" s="5960"/>
      <c r="CA9" s="5960"/>
      <c r="CB9" s="3380"/>
    </row>
    <row r="10" spans="1:80" ht="15" customHeight="1" thickBot="1" x14ac:dyDescent="0.25">
      <c r="B10" s="1610" t="s">
        <v>857</v>
      </c>
      <c r="C10" s="1548" t="s">
        <v>1866</v>
      </c>
      <c r="D10" s="6397">
        <f>+D7*D2</f>
        <v>2333</v>
      </c>
      <c r="E10" s="4626">
        <v>2333</v>
      </c>
      <c r="F10" s="5296">
        <f>+F7*F2</f>
        <v>2329</v>
      </c>
      <c r="G10" s="4626">
        <v>2329</v>
      </c>
      <c r="H10" s="5290">
        <f>+H7*H2</f>
        <v>4662</v>
      </c>
      <c r="I10" s="5332">
        <f t="shared" ref="I10" si="21">+E10+G10</f>
        <v>4662</v>
      </c>
      <c r="J10" s="4810">
        <f>+J7*J2</f>
        <v>2595</v>
      </c>
      <c r="K10" s="4626">
        <v>2595</v>
      </c>
      <c r="L10" s="5691">
        <f t="shared" si="11"/>
        <v>7257</v>
      </c>
      <c r="M10" s="2029">
        <f t="shared" si="11"/>
        <v>7257</v>
      </c>
      <c r="N10" s="5888">
        <f>+N7*N2</f>
        <v>3069</v>
      </c>
      <c r="O10" s="4626">
        <v>2816</v>
      </c>
      <c r="P10" s="5883">
        <f t="shared" si="12"/>
        <v>10326</v>
      </c>
      <c r="Q10" s="1708">
        <f t="shared" si="12"/>
        <v>10073</v>
      </c>
      <c r="R10" s="6348">
        <f>+R7*R2</f>
        <v>3069</v>
      </c>
      <c r="S10" s="4626">
        <v>3067</v>
      </c>
      <c r="T10" s="6331">
        <f t="shared" si="13"/>
        <v>13395</v>
      </c>
      <c r="U10" s="1708">
        <f t="shared" si="14"/>
        <v>13140</v>
      </c>
      <c r="V10" s="6397">
        <f>+V7*V2</f>
        <v>2970</v>
      </c>
      <c r="W10" s="4626">
        <v>2508</v>
      </c>
      <c r="X10" s="6502">
        <f>+N10+R10+V10</f>
        <v>9108</v>
      </c>
      <c r="Y10" s="6570">
        <f>+O10+S10+W10</f>
        <v>8391</v>
      </c>
      <c r="Z10" s="6515">
        <f t="shared" ref="Z10" si="22">+T10+V10</f>
        <v>16365</v>
      </c>
      <c r="AA10" s="6516">
        <f t="shared" si="15"/>
        <v>15648</v>
      </c>
      <c r="AB10" s="6397">
        <f>+AB7*AB2</f>
        <v>3069</v>
      </c>
      <c r="AC10" s="4626">
        <v>2852</v>
      </c>
      <c r="AD10" s="7312">
        <f t="shared" si="16"/>
        <v>19434</v>
      </c>
      <c r="AE10" s="1708">
        <f t="shared" si="17"/>
        <v>18500</v>
      </c>
      <c r="AF10" s="6397">
        <f>+AF7*AF2</f>
        <v>2970</v>
      </c>
      <c r="AG10" s="4626">
        <v>2659</v>
      </c>
      <c r="AH10" s="7343">
        <f t="shared" ref="AH10" si="23">+AD10+AF10</f>
        <v>22404</v>
      </c>
      <c r="AI10" s="1708">
        <f t="shared" si="18"/>
        <v>21159</v>
      </c>
      <c r="AJ10" s="6397">
        <f>+AJ7*AJ2</f>
        <v>3069</v>
      </c>
      <c r="AK10" s="4626">
        <v>3064</v>
      </c>
      <c r="AL10" s="6866">
        <f>+AB10+AF10+AJ10</f>
        <v>9108</v>
      </c>
      <c r="AM10" s="6570">
        <f>+AC10+AG10+AK10</f>
        <v>8575</v>
      </c>
      <c r="AN10" s="7343">
        <f>+AH10+AJ10</f>
        <v>25473</v>
      </c>
      <c r="AO10" s="1708">
        <f>+AI10+AK10</f>
        <v>24223</v>
      </c>
      <c r="AP10" s="6397">
        <f>+AP7*AP2</f>
        <v>3069</v>
      </c>
      <c r="AQ10" s="4626">
        <f>2871+198</f>
        <v>3069</v>
      </c>
      <c r="AR10" s="7343">
        <f t="shared" ref="AR10" si="24">+AN10+AP10</f>
        <v>28542</v>
      </c>
      <c r="AS10" s="1708">
        <f t="shared" si="19"/>
        <v>27292</v>
      </c>
      <c r="AT10" s="6397">
        <f>+AT7*AT2</f>
        <v>2772</v>
      </c>
      <c r="AU10" s="4626">
        <v>2772</v>
      </c>
      <c r="AV10" s="7343">
        <f t="shared" ref="AV10" si="25">+AR10+AT10</f>
        <v>31314</v>
      </c>
      <c r="AW10" s="1708">
        <f t="shared" si="20"/>
        <v>30064</v>
      </c>
      <c r="AX10" s="6397">
        <f>+AX7*AX2</f>
        <v>3069</v>
      </c>
      <c r="AY10" s="4626">
        <v>3070</v>
      </c>
      <c r="AZ10" s="6866">
        <f>+AP10+AT10+AX10</f>
        <v>8910</v>
      </c>
      <c r="BA10" s="6570">
        <f>+AQ10+AU10+AY10</f>
        <v>8911</v>
      </c>
      <c r="BB10" s="6866">
        <f>+AL10+AZ10</f>
        <v>18018</v>
      </c>
      <c r="BC10" s="6570">
        <f>+AM10+BA10</f>
        <v>17486</v>
      </c>
      <c r="BD10" s="6862">
        <f>+AV10+AX10</f>
        <v>34383</v>
      </c>
      <c r="BE10" s="6516">
        <f>+AW10+AY10</f>
        <v>33134</v>
      </c>
      <c r="BF10" s="5375">
        <v>35502</v>
      </c>
      <c r="BG10" s="5376">
        <v>35030</v>
      </c>
      <c r="BH10" s="5960"/>
      <c r="BI10" s="5960"/>
      <c r="BJ10" s="5960"/>
      <c r="BK10" s="5960"/>
      <c r="BL10" s="5960"/>
      <c r="BM10" s="5960"/>
      <c r="BN10" s="5960"/>
      <c r="BO10" s="5960"/>
      <c r="BP10" s="5960"/>
      <c r="BQ10" s="5960"/>
      <c r="BR10" s="5960"/>
      <c r="BS10" s="5960"/>
      <c r="BT10" s="5960"/>
      <c r="BU10" s="5960"/>
      <c r="BV10" s="5960"/>
      <c r="BW10" s="5960"/>
      <c r="BX10" s="5960"/>
      <c r="BY10" s="5960"/>
      <c r="BZ10" s="5960"/>
      <c r="CA10" s="5960"/>
      <c r="CB10" s="3380"/>
    </row>
    <row r="11" spans="1:80" ht="15" customHeight="1" thickBot="1" x14ac:dyDescent="0.25">
      <c r="B11" s="1592" t="s">
        <v>1867</v>
      </c>
      <c r="C11" s="1562" t="s">
        <v>1866</v>
      </c>
      <c r="D11" s="2319">
        <f t="shared" ref="D11:AA11" si="26">D9+(D10*1.8343023255814)</f>
        <v>6615.427325581406</v>
      </c>
      <c r="E11" s="1677">
        <f t="shared" si="26"/>
        <v>6615.427325581406</v>
      </c>
      <c r="F11" s="2319">
        <f t="shared" si="26"/>
        <v>6919.0901162790806</v>
      </c>
      <c r="G11" s="1677">
        <f t="shared" si="26"/>
        <v>6919.0901162790806</v>
      </c>
      <c r="H11" s="2319">
        <f t="shared" si="26"/>
        <v>13534.517441860486</v>
      </c>
      <c r="I11" s="1677">
        <f t="shared" si="26"/>
        <v>13534.517441860486</v>
      </c>
      <c r="J11" s="2319">
        <f t="shared" si="26"/>
        <v>7526.0145348837332</v>
      </c>
      <c r="K11" s="1677">
        <f t="shared" si="26"/>
        <v>7526.0145348837332</v>
      </c>
      <c r="L11" s="2319">
        <f t="shared" si="26"/>
        <v>21060.53197674422</v>
      </c>
      <c r="M11" s="1677">
        <f t="shared" si="26"/>
        <v>21060.53197674422</v>
      </c>
      <c r="N11" s="2319">
        <f t="shared" si="26"/>
        <v>8698.4738372093161</v>
      </c>
      <c r="O11" s="1677">
        <f t="shared" si="26"/>
        <v>8174.3953488372226</v>
      </c>
      <c r="P11" s="2319">
        <f t="shared" si="26"/>
        <v>29759.005813953536</v>
      </c>
      <c r="Q11" s="1677">
        <f t="shared" si="26"/>
        <v>29234.927325581441</v>
      </c>
      <c r="R11" s="2319">
        <f t="shared" si="26"/>
        <v>8698.4738372093161</v>
      </c>
      <c r="S11" s="1677">
        <f t="shared" si="26"/>
        <v>8692.8052325581539</v>
      </c>
      <c r="T11" s="2319">
        <f t="shared" si="26"/>
        <v>38457.479651162852</v>
      </c>
      <c r="U11" s="1677">
        <f t="shared" si="26"/>
        <v>37927.7325581396</v>
      </c>
      <c r="V11" s="2319">
        <f t="shared" si="26"/>
        <v>8417.8779069767588</v>
      </c>
      <c r="W11" s="1677">
        <f t="shared" si="26"/>
        <v>7535.4302325581511</v>
      </c>
      <c r="X11" s="2319">
        <f t="shared" si="26"/>
        <v>25814.825581395391</v>
      </c>
      <c r="Y11" s="1677">
        <f t="shared" si="26"/>
        <v>24402.630813953525</v>
      </c>
      <c r="Z11" s="2319">
        <f t="shared" si="26"/>
        <v>46875.357558139614</v>
      </c>
      <c r="AA11" s="1677">
        <f t="shared" si="26"/>
        <v>45463.162790697745</v>
      </c>
      <c r="AB11" s="2319">
        <f t="shared" ref="AB11:AI11" si="27">AB9+(AB10*1.8343023255814)</f>
        <v>8698.4738372093161</v>
      </c>
      <c r="AC11" s="1677">
        <f t="shared" si="27"/>
        <v>8290.4302325581521</v>
      </c>
      <c r="AD11" s="2319">
        <f t="shared" si="27"/>
        <v>55573.831395348927</v>
      </c>
      <c r="AE11" s="1677">
        <f t="shared" si="27"/>
        <v>53753.593023255897</v>
      </c>
      <c r="AF11" s="2319">
        <f t="shared" si="27"/>
        <v>8417.8779069767588</v>
      </c>
      <c r="AG11" s="1677">
        <f t="shared" si="27"/>
        <v>7858.4098837209422</v>
      </c>
      <c r="AH11" s="2319">
        <f t="shared" si="27"/>
        <v>63991.709302325682</v>
      </c>
      <c r="AI11" s="1677">
        <f t="shared" si="27"/>
        <v>61612.002906976842</v>
      </c>
      <c r="AJ11" s="2319">
        <f t="shared" ref="AJ11:AO11" si="28">AJ9+(AJ10*1.8343023255814)</f>
        <v>8698.4738372093161</v>
      </c>
      <c r="AK11" s="1677">
        <f t="shared" si="28"/>
        <v>8693.3023255814096</v>
      </c>
      <c r="AL11" s="2319">
        <f t="shared" si="28"/>
        <v>25814.825581395391</v>
      </c>
      <c r="AM11" s="1677">
        <f t="shared" si="28"/>
        <v>24842.142441860502</v>
      </c>
      <c r="AN11" s="2319">
        <f t="shared" si="28"/>
        <v>72690.183139535002</v>
      </c>
      <c r="AO11" s="1677">
        <f t="shared" si="28"/>
        <v>70305.305232558254</v>
      </c>
      <c r="AP11" s="2319">
        <f t="shared" ref="AP11:AS11" si="29">AP9+(AP10*1.8343023255814)</f>
        <v>8698.4738372093161</v>
      </c>
      <c r="AQ11" s="1677">
        <f t="shared" si="29"/>
        <v>8702.4738372093161</v>
      </c>
      <c r="AR11" s="2319">
        <f t="shared" si="29"/>
        <v>81388.656976744314</v>
      </c>
      <c r="AS11" s="1677">
        <f t="shared" si="29"/>
        <v>79007.779069767566</v>
      </c>
      <c r="AT11" s="2319">
        <f t="shared" ref="AT11:AU11" si="30">AT9+(AT10*1.8343023255814)</f>
        <v>7856.6860465116406</v>
      </c>
      <c r="AU11" s="1677">
        <f t="shared" si="30"/>
        <v>7860.6860465116406</v>
      </c>
      <c r="AV11" s="2319">
        <f t="shared" ref="AV11:AY11" si="31">AV9+(AV10*1.8343023255814)</f>
        <v>89245.343023255962</v>
      </c>
      <c r="AW11" s="1677">
        <f t="shared" si="31"/>
        <v>86868.4651162792</v>
      </c>
      <c r="AX11" s="2319">
        <f t="shared" si="31"/>
        <v>8698.4738372093161</v>
      </c>
      <c r="AY11" s="1677">
        <f t="shared" si="31"/>
        <v>8709.3081395348981</v>
      </c>
      <c r="AZ11" s="2319">
        <f t="shared" ref="AZ11:BE11" si="32">AZ9+(AZ10*1.8343023255814)</f>
        <v>25253.633720930273</v>
      </c>
      <c r="BA11" s="1677">
        <f t="shared" si="32"/>
        <v>25272.468023255853</v>
      </c>
      <c r="BB11" s="2319"/>
      <c r="BC11" s="1677"/>
      <c r="BD11" s="2319">
        <f t="shared" si="32"/>
        <v>97943.816860465275</v>
      </c>
      <c r="BE11" s="1677">
        <f t="shared" si="32"/>
        <v>95577.7732558141</v>
      </c>
      <c r="BF11" s="5312">
        <v>100623.40116279086</v>
      </c>
      <c r="BG11" s="5313">
        <v>99798.61046511645</v>
      </c>
      <c r="BH11" s="5960"/>
      <c r="BI11" s="5960"/>
      <c r="BJ11" s="5960"/>
      <c r="BK11" s="5960"/>
      <c r="BL11" s="5960"/>
      <c r="BM11" s="5960"/>
      <c r="BN11" s="5960"/>
      <c r="BO11" s="5960"/>
      <c r="BP11" s="5960"/>
      <c r="BQ11" s="5960"/>
      <c r="BR11" s="5960"/>
      <c r="BS11" s="5960"/>
      <c r="BT11" s="5960"/>
      <c r="BU11" s="5960"/>
      <c r="BV11" s="5960"/>
      <c r="BW11" s="5960"/>
      <c r="BX11" s="5960"/>
      <c r="BY11" s="5960"/>
      <c r="BZ11" s="5960"/>
      <c r="CA11" s="5960"/>
      <c r="CB11" s="3380"/>
    </row>
    <row r="12" spans="1:80" s="3380" customFormat="1" ht="15" customHeight="1" x14ac:dyDescent="0.2">
      <c r="B12" s="5325" t="s">
        <v>849</v>
      </c>
      <c r="C12" s="5304"/>
      <c r="D12" s="5305"/>
      <c r="E12" s="5062"/>
      <c r="F12" s="5305"/>
      <c r="G12" s="5062"/>
      <c r="H12" s="5305"/>
      <c r="I12" s="5306"/>
      <c r="J12" s="5305"/>
      <c r="K12" s="5062"/>
      <c r="L12" s="5326"/>
      <c r="M12" s="5306"/>
      <c r="N12" s="5305"/>
      <c r="O12" s="5062"/>
      <c r="P12" s="5305"/>
      <c r="Q12" s="5306"/>
      <c r="R12" s="5305"/>
      <c r="S12" s="5062"/>
      <c r="T12" s="5305"/>
      <c r="U12" s="5306"/>
      <c r="V12" s="5305"/>
      <c r="W12" s="5062"/>
      <c r="X12" s="5326"/>
      <c r="Y12" s="5306"/>
      <c r="Z12" s="5305"/>
      <c r="AA12" s="5306"/>
      <c r="AB12" s="5305"/>
      <c r="AC12" s="5062"/>
      <c r="AD12" s="5305"/>
      <c r="AE12" s="5306"/>
      <c r="AF12" s="5305"/>
      <c r="AG12" s="5062"/>
      <c r="AH12" s="5305"/>
      <c r="AI12" s="5306"/>
      <c r="AJ12" s="5305"/>
      <c r="AK12" s="5062"/>
      <c r="AL12" s="5326"/>
      <c r="AM12" s="5306"/>
      <c r="AN12" s="5305"/>
      <c r="AO12" s="5306"/>
      <c r="AP12" s="5305"/>
      <c r="AQ12" s="5062"/>
      <c r="AR12" s="5305"/>
      <c r="AS12" s="5306"/>
      <c r="AT12" s="5305"/>
      <c r="AU12" s="5062"/>
      <c r="AV12" s="5305"/>
      <c r="AW12" s="5306"/>
      <c r="AX12" s="5305"/>
      <c r="AY12" s="5062"/>
      <c r="AZ12" s="5326"/>
      <c r="BA12" s="5306"/>
      <c r="BB12" s="5326"/>
      <c r="BC12" s="5306"/>
      <c r="BD12" s="5305"/>
      <c r="BE12" s="5306"/>
      <c r="BF12" s="5370"/>
      <c r="BG12" s="5371"/>
    </row>
    <row r="13" spans="1:80" ht="15" customHeight="1" x14ac:dyDescent="0.2">
      <c r="B13" s="1609" t="s">
        <v>616</v>
      </c>
      <c r="C13" s="1545" t="s">
        <v>170</v>
      </c>
      <c r="D13" s="4811">
        <v>28527</v>
      </c>
      <c r="E13" s="2750">
        <v>27936.6</v>
      </c>
      <c r="F13" s="4811">
        <v>31935</v>
      </c>
      <c r="G13" s="4406">
        <v>31876</v>
      </c>
      <c r="H13" s="5181">
        <f>+D13+F13</f>
        <v>60462</v>
      </c>
      <c r="I13" s="1823">
        <f>+E13+G13</f>
        <v>59812.6</v>
      </c>
      <c r="J13" s="4811">
        <v>33778</v>
      </c>
      <c r="K13" s="4406">
        <v>33669.599999999999</v>
      </c>
      <c r="L13" s="5180">
        <f>+H13+J13</f>
        <v>94240</v>
      </c>
      <c r="M13" s="1998">
        <f>+I13+K13</f>
        <v>93482.2</v>
      </c>
      <c r="N13" s="4811">
        <v>37479</v>
      </c>
      <c r="O13" s="4406">
        <v>36675</v>
      </c>
      <c r="P13" s="5887">
        <f>+L13+N13</f>
        <v>131719</v>
      </c>
      <c r="Q13" s="1713">
        <f>+M13+O13</f>
        <v>130157.2</v>
      </c>
      <c r="R13" s="4811">
        <v>37479</v>
      </c>
      <c r="S13" s="4406">
        <v>37836</v>
      </c>
      <c r="T13" s="6345">
        <f>+P13+R13</f>
        <v>169198</v>
      </c>
      <c r="U13" s="1713">
        <f>+Q13+S13</f>
        <v>167993.2</v>
      </c>
      <c r="V13" s="4811">
        <v>36270</v>
      </c>
      <c r="W13" s="4406">
        <v>36979</v>
      </c>
      <c r="X13" s="6502">
        <f t="shared" ref="X13:X14" si="33">+N13+R13+V13</f>
        <v>111228</v>
      </c>
      <c r="Y13" s="6570">
        <f t="shared" ref="Y13:Y14" si="34">+O13+S13+W13</f>
        <v>111490</v>
      </c>
      <c r="Z13" s="6517">
        <f>+T13+V13</f>
        <v>205468</v>
      </c>
      <c r="AA13" s="6510">
        <f>+U13+W13</f>
        <v>204972.2</v>
      </c>
      <c r="AB13" s="4811">
        <v>37479</v>
      </c>
      <c r="AC13" s="4406">
        <v>38591</v>
      </c>
      <c r="AD13" s="7317">
        <f>+Z13+AB13</f>
        <v>242947</v>
      </c>
      <c r="AE13" s="1713">
        <f>+AA13+AC13</f>
        <v>243563.2</v>
      </c>
      <c r="AF13" s="4811">
        <v>36270</v>
      </c>
      <c r="AG13" s="4406">
        <v>37324</v>
      </c>
      <c r="AH13" s="7584">
        <f>+AD13+AF13</f>
        <v>279217</v>
      </c>
      <c r="AI13" s="1713">
        <f>+AE13+AG13</f>
        <v>280887.2</v>
      </c>
      <c r="AJ13" s="4811">
        <v>37479</v>
      </c>
      <c r="AK13" s="4406">
        <v>38071</v>
      </c>
      <c r="AL13" s="6866">
        <f>+AB13+AF13+AJ13</f>
        <v>111228</v>
      </c>
      <c r="AM13" s="6570">
        <f>+AC13+AG13+AK13</f>
        <v>113986</v>
      </c>
      <c r="AN13" s="7695">
        <f>+AH13+AJ13</f>
        <v>316696</v>
      </c>
      <c r="AO13" s="1713">
        <f>+AI13+AK13</f>
        <v>318958.2</v>
      </c>
      <c r="AP13" s="4811">
        <v>37479</v>
      </c>
      <c r="AQ13" s="4406">
        <v>38030</v>
      </c>
      <c r="AR13" s="8045">
        <f>+AN13+AP13</f>
        <v>354175</v>
      </c>
      <c r="AS13" s="1713">
        <f>+AO13+AQ13</f>
        <v>356988.2</v>
      </c>
      <c r="AT13" s="4811">
        <v>33852</v>
      </c>
      <c r="AU13" s="4406">
        <v>34628</v>
      </c>
      <c r="AV13" s="8140">
        <f>+AR13+AT13</f>
        <v>388027</v>
      </c>
      <c r="AW13" s="1713">
        <f>+AS13+AU13</f>
        <v>391616.2</v>
      </c>
      <c r="AX13" s="4811">
        <v>37479</v>
      </c>
      <c r="AY13" s="4406">
        <v>39306</v>
      </c>
      <c r="AZ13" s="6866">
        <f>+AP13+AT13+AX13</f>
        <v>108810</v>
      </c>
      <c r="BA13" s="6570">
        <f>+AQ13+AU13+AY13</f>
        <v>111964</v>
      </c>
      <c r="BB13" s="6866">
        <f t="shared" ref="BB13:BB14" si="35">+AL13+AZ13</f>
        <v>220038</v>
      </c>
      <c r="BC13" s="6570">
        <f t="shared" ref="BC13:BC14" si="36">+AM13+BA13</f>
        <v>225950</v>
      </c>
      <c r="BD13" s="8324">
        <f>+AV13+AX13</f>
        <v>425506</v>
      </c>
      <c r="BE13" s="6510">
        <f>+AW13+AY13</f>
        <v>430922.2</v>
      </c>
      <c r="BF13" s="6481">
        <v>406071.87599999999</v>
      </c>
      <c r="BG13" s="6481">
        <v>412610.14</v>
      </c>
      <c r="BH13" s="5960"/>
      <c r="BI13" s="5960"/>
      <c r="BJ13" s="5960"/>
      <c r="BK13" s="5960"/>
      <c r="BL13" s="5960"/>
      <c r="BM13" s="5960"/>
      <c r="BN13" s="5960"/>
      <c r="BO13" s="5960"/>
      <c r="BP13" s="5960"/>
      <c r="BQ13" s="5960"/>
      <c r="BR13" s="5960"/>
      <c r="BS13" s="5960"/>
      <c r="BT13" s="5960"/>
      <c r="BU13" s="5960"/>
      <c r="BV13" s="5960"/>
      <c r="BW13" s="5960"/>
      <c r="BX13" s="5960"/>
      <c r="BY13" s="5960"/>
      <c r="BZ13" s="5960"/>
      <c r="CA13" s="5960"/>
      <c r="CB13" s="3380"/>
    </row>
    <row r="14" spans="1:80" ht="16" thickBot="1" x14ac:dyDescent="0.25">
      <c r="B14" s="1610" t="s">
        <v>617</v>
      </c>
      <c r="C14" s="1548" t="s">
        <v>170</v>
      </c>
      <c r="D14" s="4810">
        <v>52260</v>
      </c>
      <c r="E14" s="2816">
        <v>51175.3</v>
      </c>
      <c r="F14" s="4810">
        <v>52180</v>
      </c>
      <c r="G14" s="4626">
        <v>51446</v>
      </c>
      <c r="H14" s="5181">
        <f>+D14+F14</f>
        <v>104440</v>
      </c>
      <c r="I14" s="1823">
        <f>+E14+G14</f>
        <v>102621.3</v>
      </c>
      <c r="J14" s="4810">
        <v>58129</v>
      </c>
      <c r="K14" s="4626">
        <v>57942.1</v>
      </c>
      <c r="L14" s="5180">
        <f>+H14+J14</f>
        <v>162569</v>
      </c>
      <c r="M14" s="1998">
        <f>+I14+K14</f>
        <v>160563.4</v>
      </c>
      <c r="N14" s="4810">
        <v>68747</v>
      </c>
      <c r="O14" s="4626">
        <v>62959</v>
      </c>
      <c r="P14" s="5887">
        <f>+L14+N14</f>
        <v>231316</v>
      </c>
      <c r="Q14" s="1713">
        <f>+M14+O14</f>
        <v>223522.4</v>
      </c>
      <c r="R14" s="4810">
        <v>68747</v>
      </c>
      <c r="S14" s="4626">
        <v>69404</v>
      </c>
      <c r="T14" s="6345">
        <f>+P14+R14</f>
        <v>300063</v>
      </c>
      <c r="U14" s="1713">
        <f>+Q14+S14</f>
        <v>292926.40000000002</v>
      </c>
      <c r="V14" s="4810">
        <v>66529</v>
      </c>
      <c r="W14" s="4626">
        <v>57963</v>
      </c>
      <c r="X14" s="6502">
        <f t="shared" si="33"/>
        <v>204023</v>
      </c>
      <c r="Y14" s="6570">
        <f t="shared" si="34"/>
        <v>190326</v>
      </c>
      <c r="Z14" s="6517">
        <f>+T14+V14</f>
        <v>366592</v>
      </c>
      <c r="AA14" s="6510">
        <f>+U14+W14</f>
        <v>350889.4</v>
      </c>
      <c r="AB14" s="4810">
        <v>68747</v>
      </c>
      <c r="AC14" s="4626">
        <v>65998</v>
      </c>
      <c r="AD14" s="7317">
        <f>+Z14+AB14</f>
        <v>435339</v>
      </c>
      <c r="AE14" s="1713">
        <f>+AA14+AC14</f>
        <v>416887.4</v>
      </c>
      <c r="AF14" s="4810">
        <v>66529</v>
      </c>
      <c r="AG14" s="4626">
        <v>61068</v>
      </c>
      <c r="AH14" s="7584">
        <f>+AD14+AF14</f>
        <v>501868</v>
      </c>
      <c r="AI14" s="1713">
        <f>+AE14+AG14</f>
        <v>477955.4</v>
      </c>
      <c r="AJ14" s="4810">
        <v>68747</v>
      </c>
      <c r="AK14" s="4626">
        <v>69629</v>
      </c>
      <c r="AL14" s="6866">
        <f>+AB14+AF14+AJ14</f>
        <v>204023</v>
      </c>
      <c r="AM14" s="6570">
        <f>+AC14+AG14+AK14</f>
        <v>196695</v>
      </c>
      <c r="AN14" s="7695">
        <f>+AH14+AJ14</f>
        <v>570615</v>
      </c>
      <c r="AO14" s="1713">
        <f>+AI14+AK14</f>
        <v>547584.4</v>
      </c>
      <c r="AP14" s="4810">
        <v>68747</v>
      </c>
      <c r="AQ14" s="4626">
        <v>69668</v>
      </c>
      <c r="AR14" s="8045">
        <f>+AN14+AP14</f>
        <v>639362</v>
      </c>
      <c r="AS14" s="1713">
        <f>+AO14+AQ14</f>
        <v>617252.4</v>
      </c>
      <c r="AT14" s="4810">
        <v>62094</v>
      </c>
      <c r="AU14" s="4626">
        <v>63427</v>
      </c>
      <c r="AV14" s="8140">
        <f>+AR14+AT14</f>
        <v>701456</v>
      </c>
      <c r="AW14" s="1713">
        <f>+AS14+AU14</f>
        <v>680679.4</v>
      </c>
      <c r="AX14" s="4810">
        <v>68747</v>
      </c>
      <c r="AY14" s="4626">
        <v>71912</v>
      </c>
      <c r="AZ14" s="6866">
        <f>+AP14+AT14+AX14</f>
        <v>199588</v>
      </c>
      <c r="BA14" s="6570">
        <f>+AQ14+AU14+AY14</f>
        <v>205007</v>
      </c>
      <c r="BB14" s="6866">
        <f t="shared" si="35"/>
        <v>403611</v>
      </c>
      <c r="BC14" s="6570">
        <f t="shared" si="36"/>
        <v>401702</v>
      </c>
      <c r="BD14" s="8324">
        <f>+AV14+AX14</f>
        <v>770203</v>
      </c>
      <c r="BE14" s="6510">
        <f>+AW14+AY14</f>
        <v>752591.4</v>
      </c>
      <c r="BF14" s="5372">
        <v>744858.58650000009</v>
      </c>
      <c r="BG14" s="5372">
        <v>745859.84</v>
      </c>
      <c r="BH14" s="5960"/>
      <c r="BI14" s="5960"/>
      <c r="BJ14" s="5960"/>
      <c r="BK14" s="5960"/>
      <c r="BL14" s="5960"/>
      <c r="BM14" s="5960"/>
      <c r="BN14" s="5960"/>
      <c r="BO14" s="5960"/>
      <c r="BP14" s="5960"/>
      <c r="BQ14" s="5960"/>
      <c r="BR14" s="5960"/>
      <c r="BS14" s="5960"/>
      <c r="BT14" s="5960"/>
      <c r="BU14" s="5960"/>
      <c r="BV14" s="5960"/>
      <c r="BW14" s="5960"/>
      <c r="BX14" s="5960"/>
      <c r="BY14" s="5960"/>
      <c r="BZ14" s="5960"/>
      <c r="CA14" s="5960"/>
    </row>
    <row r="15" spans="1:80" s="3380" customFormat="1" ht="15" customHeight="1" thickBot="1" x14ac:dyDescent="0.25">
      <c r="B15" s="6567" t="s">
        <v>15</v>
      </c>
      <c r="C15" s="5858" t="s">
        <v>170</v>
      </c>
      <c r="D15" s="3222">
        <f t="shared" ref="D15:I15" si="37">SUM(D13:D14)</f>
        <v>80787</v>
      </c>
      <c r="E15" s="4710">
        <f t="shared" si="37"/>
        <v>79111.899999999994</v>
      </c>
      <c r="F15" s="3222">
        <f t="shared" ref="F15:G15" si="38">SUM(F13:F14)</f>
        <v>84115</v>
      </c>
      <c r="G15" s="4710">
        <f t="shared" si="38"/>
        <v>83322</v>
      </c>
      <c r="H15" s="3288">
        <f t="shared" si="37"/>
        <v>164902</v>
      </c>
      <c r="I15" s="6092">
        <f t="shared" si="37"/>
        <v>162433.9</v>
      </c>
      <c r="J15" s="3222">
        <f t="shared" ref="J15:K15" si="39">SUM(J13:J14)</f>
        <v>91907</v>
      </c>
      <c r="K15" s="4710">
        <f t="shared" si="39"/>
        <v>91611.7</v>
      </c>
      <c r="L15" s="3288">
        <f t="shared" ref="L15:Q15" si="40">SUM(L13:L14)</f>
        <v>256809</v>
      </c>
      <c r="M15" s="6568">
        <f t="shared" si="40"/>
        <v>254045.59999999998</v>
      </c>
      <c r="N15" s="3222">
        <f t="shared" si="40"/>
        <v>106226</v>
      </c>
      <c r="O15" s="4710">
        <f t="shared" si="40"/>
        <v>99634</v>
      </c>
      <c r="P15" s="3288">
        <f t="shared" si="40"/>
        <v>363035</v>
      </c>
      <c r="Q15" s="6568">
        <f t="shared" si="40"/>
        <v>353679.6</v>
      </c>
      <c r="R15" s="3222">
        <f t="shared" ref="R15:U15" si="41">SUM(R13:R14)</f>
        <v>106226</v>
      </c>
      <c r="S15" s="4710">
        <f t="shared" si="41"/>
        <v>107240</v>
      </c>
      <c r="T15" s="3288">
        <f t="shared" si="41"/>
        <v>469261</v>
      </c>
      <c r="U15" s="6568">
        <f t="shared" si="41"/>
        <v>460919.60000000003</v>
      </c>
      <c r="V15" s="3222">
        <f t="shared" ref="V15:Z15" si="42">SUM(V13:V14)</f>
        <v>102799</v>
      </c>
      <c r="W15" s="4710">
        <f t="shared" si="42"/>
        <v>94942</v>
      </c>
      <c r="X15" s="3288">
        <f t="shared" si="42"/>
        <v>315251</v>
      </c>
      <c r="Y15" s="6092">
        <f t="shared" si="42"/>
        <v>301816</v>
      </c>
      <c r="Z15" s="3288">
        <f t="shared" si="42"/>
        <v>572060</v>
      </c>
      <c r="AA15" s="6568">
        <f>SUM(AA13:AA14)</f>
        <v>555861.60000000009</v>
      </c>
      <c r="AB15" s="3222">
        <f t="shared" ref="AB15:AI15" si="43">SUM(AB13:AB14)</f>
        <v>106226</v>
      </c>
      <c r="AC15" s="4710">
        <f t="shared" si="43"/>
        <v>104589</v>
      </c>
      <c r="AD15" s="3288">
        <f t="shared" si="43"/>
        <v>678286</v>
      </c>
      <c r="AE15" s="6568">
        <f t="shared" si="43"/>
        <v>660450.60000000009</v>
      </c>
      <c r="AF15" s="3222">
        <f t="shared" si="43"/>
        <v>102799</v>
      </c>
      <c r="AG15" s="4710">
        <f t="shared" si="43"/>
        <v>98392</v>
      </c>
      <c r="AH15" s="3288">
        <f t="shared" si="43"/>
        <v>781085</v>
      </c>
      <c r="AI15" s="6568">
        <f t="shared" si="43"/>
        <v>758842.60000000009</v>
      </c>
      <c r="AJ15" s="3222">
        <f t="shared" ref="AJ15:AN15" si="44">SUM(AJ13:AJ14)</f>
        <v>106226</v>
      </c>
      <c r="AK15" s="4710">
        <f t="shared" si="44"/>
        <v>107700</v>
      </c>
      <c r="AL15" s="3288">
        <f t="shared" si="44"/>
        <v>315251</v>
      </c>
      <c r="AM15" s="6092">
        <f t="shared" si="44"/>
        <v>310681</v>
      </c>
      <c r="AN15" s="3288">
        <f t="shared" si="44"/>
        <v>887311</v>
      </c>
      <c r="AO15" s="6568">
        <f>SUM(AO13:AO14)</f>
        <v>866542.60000000009</v>
      </c>
      <c r="AP15" s="3222">
        <f t="shared" ref="AP15:AS15" si="45">SUM(AP13:AP14)</f>
        <v>106226</v>
      </c>
      <c r="AQ15" s="4710">
        <f t="shared" si="45"/>
        <v>107698</v>
      </c>
      <c r="AR15" s="3288">
        <f t="shared" si="45"/>
        <v>993537</v>
      </c>
      <c r="AS15" s="6568">
        <f t="shared" si="45"/>
        <v>974240.60000000009</v>
      </c>
      <c r="AT15" s="3222">
        <f t="shared" ref="AT15:AU15" si="46">SUM(AT13:AT14)</f>
        <v>95946</v>
      </c>
      <c r="AU15" s="4710">
        <f t="shared" si="46"/>
        <v>98055</v>
      </c>
      <c r="AV15" s="3288">
        <f t="shared" ref="AV15:AY15" si="47">SUM(AV13:AV14)</f>
        <v>1089483</v>
      </c>
      <c r="AW15" s="6568">
        <f t="shared" si="47"/>
        <v>1072295.6000000001</v>
      </c>
      <c r="AX15" s="3222">
        <f t="shared" si="47"/>
        <v>106226</v>
      </c>
      <c r="AY15" s="4710">
        <f t="shared" si="47"/>
        <v>111218</v>
      </c>
      <c r="AZ15" s="3288">
        <f t="shared" ref="AZ15:BD15" si="48">SUM(AZ13:AZ14)</f>
        <v>308398</v>
      </c>
      <c r="BA15" s="6092">
        <f t="shared" si="48"/>
        <v>316971</v>
      </c>
      <c r="BB15" s="3288"/>
      <c r="BC15" s="6092"/>
      <c r="BD15" s="3288">
        <f t="shared" si="48"/>
        <v>1195709</v>
      </c>
      <c r="BE15" s="6568">
        <f>SUM(BE13:BE14)</f>
        <v>1183513.6000000001</v>
      </c>
      <c r="BF15" s="6569">
        <v>1150930.4625000001</v>
      </c>
      <c r="BG15" s="6092">
        <v>1158469.98</v>
      </c>
    </row>
    <row r="16" spans="1:80" ht="15" customHeight="1" x14ac:dyDescent="0.2">
      <c r="B16" s="1633" t="s">
        <v>854</v>
      </c>
      <c r="C16" s="1553" t="s">
        <v>170</v>
      </c>
      <c r="D16" s="3289">
        <v>235289</v>
      </c>
      <c r="E16" s="3834">
        <v>235289</v>
      </c>
      <c r="F16" s="3289">
        <v>239020</v>
      </c>
      <c r="G16" s="5423">
        <v>239020</v>
      </c>
      <c r="H16" s="2785">
        <f t="shared" ref="H16:I18" si="49">+D16+F16</f>
        <v>474309</v>
      </c>
      <c r="I16" s="1823">
        <f t="shared" si="49"/>
        <v>474309</v>
      </c>
      <c r="J16" s="3289">
        <v>261844</v>
      </c>
      <c r="K16" s="5423">
        <v>260541</v>
      </c>
      <c r="L16" s="2875">
        <f t="shared" ref="L16:M18" si="50">+H16+J16</f>
        <v>736153</v>
      </c>
      <c r="M16" s="1998">
        <f t="shared" si="50"/>
        <v>734850</v>
      </c>
      <c r="N16" s="3289">
        <v>348705.09154350002</v>
      </c>
      <c r="O16" s="5423">
        <v>297604</v>
      </c>
      <c r="P16" s="2785">
        <f t="shared" ref="P16:Q18" si="51">+L16+N16</f>
        <v>1084858.0915435001</v>
      </c>
      <c r="Q16" s="1713">
        <f t="shared" si="51"/>
        <v>1032454</v>
      </c>
      <c r="R16" s="3289">
        <v>346672.76889000001</v>
      </c>
      <c r="S16" s="5423">
        <v>287210</v>
      </c>
      <c r="T16" s="2785">
        <f t="shared" ref="T16:T17" si="52">+P16+R16</f>
        <v>1431530.8604335</v>
      </c>
      <c r="U16" s="1713">
        <f t="shared" ref="U16" si="53">+Q16+S16</f>
        <v>1319664</v>
      </c>
      <c r="V16" s="3289">
        <v>342110.41191167501</v>
      </c>
      <c r="W16" s="5423">
        <v>217308</v>
      </c>
      <c r="X16" s="6502">
        <f>+N16+R16+V16</f>
        <v>1037488.272345175</v>
      </c>
      <c r="Y16" s="6570">
        <f t="shared" ref="Y16:Y18" si="54">+O16+S16+W16</f>
        <v>802122</v>
      </c>
      <c r="Z16" s="6518">
        <f t="shared" ref="Z16:Z17" si="55">+T16+V16</f>
        <v>1773641.272345175</v>
      </c>
      <c r="AA16" s="6510">
        <f>+U16+W16</f>
        <v>1536972</v>
      </c>
      <c r="AB16" s="3289">
        <v>181250</v>
      </c>
      <c r="AC16" s="5423">
        <v>294485</v>
      </c>
      <c r="AD16" s="2785">
        <f t="shared" ref="AD16:AD17" si="56">+Z16+AB16</f>
        <v>1954891.272345175</v>
      </c>
      <c r="AE16" s="1713">
        <f t="shared" ref="AE16" si="57">+AA16+AC16</f>
        <v>1831457</v>
      </c>
      <c r="AF16" s="3289">
        <f>336.4*1000</f>
        <v>336400</v>
      </c>
      <c r="AG16" s="5423">
        <v>320285</v>
      </c>
      <c r="AH16" s="2785">
        <f t="shared" ref="AH16:AH17" si="58">+AD16+AF16</f>
        <v>2291291.272345175</v>
      </c>
      <c r="AI16" s="1713">
        <f t="shared" ref="AI16" si="59">+AE16+AG16</f>
        <v>2151742</v>
      </c>
      <c r="AJ16" s="3289">
        <f>353.8*1000</f>
        <v>353800</v>
      </c>
      <c r="AK16" s="5423">
        <v>354168</v>
      </c>
      <c r="AL16" s="6866">
        <f t="shared" ref="AL16:AM18" si="60">+AB16+AF16+AJ16</f>
        <v>871450</v>
      </c>
      <c r="AM16" s="6570">
        <f t="shared" si="60"/>
        <v>968938</v>
      </c>
      <c r="AN16" s="2785">
        <f t="shared" ref="AN16:AO18" si="61">+AH16+AJ16</f>
        <v>2645091.272345175</v>
      </c>
      <c r="AO16" s="1713">
        <f t="shared" si="61"/>
        <v>2505910</v>
      </c>
      <c r="AP16" s="3289">
        <v>348000</v>
      </c>
      <c r="AQ16" s="5423">
        <v>377726</v>
      </c>
      <c r="AR16" s="2785">
        <f t="shared" ref="AR16:AR17" si="62">+AN16+AP16</f>
        <v>2993091.272345175</v>
      </c>
      <c r="AS16" s="1713">
        <f t="shared" ref="AS16" si="63">+AO16+AQ16</f>
        <v>2883636</v>
      </c>
      <c r="AT16" s="3289">
        <v>319000</v>
      </c>
      <c r="AU16" s="5423">
        <f>+SINTER!AU54</f>
        <v>345006</v>
      </c>
      <c r="AV16" s="2785">
        <f t="shared" ref="AV16:AV17" si="64">+AR16+AT16</f>
        <v>3312091.272345175</v>
      </c>
      <c r="AW16" s="1713">
        <f t="shared" ref="AW16" si="65">+AS16+AU16</f>
        <v>3228642</v>
      </c>
      <c r="AX16" s="3289">
        <v>353800</v>
      </c>
      <c r="AY16" s="5423">
        <f>+SINTER!AY54</f>
        <v>400935</v>
      </c>
      <c r="AZ16" s="6866">
        <f t="shared" ref="AZ16:BA18" si="66">+AP16+AT16+AX16</f>
        <v>1020800</v>
      </c>
      <c r="BA16" s="6570">
        <f t="shared" si="66"/>
        <v>1123667</v>
      </c>
      <c r="BB16" s="6866">
        <f t="shared" ref="BB16:BB18" si="67">+AL16+AZ16</f>
        <v>1892250</v>
      </c>
      <c r="BC16" s="6570">
        <f t="shared" ref="BC16:BC18" si="68">+AM16+BA16</f>
        <v>2092605</v>
      </c>
      <c r="BD16" s="6518">
        <f t="shared" ref="BD16:BE18" si="69">+AV16+AX16</f>
        <v>3665891.272345175</v>
      </c>
      <c r="BE16" s="6510">
        <f t="shared" si="69"/>
        <v>3629577</v>
      </c>
      <c r="BF16" s="5359">
        <v>3903932.5274391733</v>
      </c>
      <c r="BG16" s="5359">
        <v>3709525</v>
      </c>
      <c r="BH16" s="5960">
        <v>1008079</v>
      </c>
      <c r="BI16" s="1673">
        <f>+AO16+BH16</f>
        <v>3513989</v>
      </c>
      <c r="BJ16" s="2099">
        <f>+BI16/1000000</f>
        <v>3.513989</v>
      </c>
      <c r="BK16" s="5960"/>
      <c r="BL16" s="5960"/>
      <c r="BM16" s="5960"/>
      <c r="BN16" s="5960"/>
      <c r="BO16" s="5960"/>
      <c r="BP16" s="5960"/>
      <c r="BQ16" s="5960"/>
      <c r="BR16" s="5960"/>
      <c r="BS16" s="5960"/>
      <c r="BT16" s="5960"/>
      <c r="BU16" s="5960"/>
      <c r="BV16" s="5960"/>
      <c r="BW16" s="5960"/>
      <c r="BX16" s="5960"/>
      <c r="BY16" s="5960"/>
      <c r="BZ16" s="5960"/>
      <c r="CA16" s="5960"/>
    </row>
    <row r="17" spans="1:81" ht="15" customHeight="1" x14ac:dyDescent="0.2">
      <c r="B17" s="1631" t="s">
        <v>847</v>
      </c>
      <c r="C17" s="1544" t="s">
        <v>170</v>
      </c>
      <c r="D17" s="3174">
        <v>143766</v>
      </c>
      <c r="E17" s="3835">
        <v>143766</v>
      </c>
      <c r="F17" s="3174">
        <v>152132</v>
      </c>
      <c r="G17" s="4419">
        <v>152132</v>
      </c>
      <c r="H17" s="4809">
        <f t="shared" si="49"/>
        <v>295898</v>
      </c>
      <c r="I17" s="1823">
        <f>+E17+G17</f>
        <v>295898</v>
      </c>
      <c r="J17" s="3174">
        <v>180265</v>
      </c>
      <c r="K17" s="4419">
        <v>167381</v>
      </c>
      <c r="L17" s="4792">
        <f t="shared" si="50"/>
        <v>476163</v>
      </c>
      <c r="M17" s="1998">
        <f>+I17+K17</f>
        <v>463279</v>
      </c>
      <c r="N17" s="3174">
        <v>240486.27003000001</v>
      </c>
      <c r="O17" s="4419">
        <v>190559</v>
      </c>
      <c r="P17" s="4809">
        <f t="shared" si="51"/>
        <v>716649.27003000001</v>
      </c>
      <c r="Q17" s="1713">
        <f>+M17+O17</f>
        <v>653838</v>
      </c>
      <c r="R17" s="3174">
        <v>239084.66820000001</v>
      </c>
      <c r="S17" s="4419">
        <v>195518</v>
      </c>
      <c r="T17" s="4809">
        <f t="shared" si="52"/>
        <v>955733.93822999997</v>
      </c>
      <c r="U17" s="1713">
        <f>+Q17+S17</f>
        <v>849356</v>
      </c>
      <c r="V17" s="3174">
        <v>235938.2151115</v>
      </c>
      <c r="W17" s="4419">
        <v>107327</v>
      </c>
      <c r="X17" s="6502">
        <f t="shared" ref="X17:X18" si="70">+N17+R17+V17</f>
        <v>715509.15334150009</v>
      </c>
      <c r="Y17" s="6570">
        <f t="shared" si="54"/>
        <v>493404</v>
      </c>
      <c r="Z17" s="6519">
        <f t="shared" si="55"/>
        <v>1191672.1533415001</v>
      </c>
      <c r="AA17" s="6510">
        <f>+U17+W17</f>
        <v>956683</v>
      </c>
      <c r="AB17" s="3174">
        <v>125000</v>
      </c>
      <c r="AC17" s="4419">
        <v>125039</v>
      </c>
      <c r="AD17" s="4809">
        <f t="shared" si="56"/>
        <v>1316672.1533415001</v>
      </c>
      <c r="AE17" s="1713">
        <f>+AA17+AC17</f>
        <v>1081722</v>
      </c>
      <c r="AF17" s="3174">
        <f>232*1000</f>
        <v>232000</v>
      </c>
      <c r="AG17" s="4419">
        <v>154255</v>
      </c>
      <c r="AH17" s="4809">
        <f t="shared" si="58"/>
        <v>1548672.1533415001</v>
      </c>
      <c r="AI17" s="1713">
        <f>+AE17+AG17</f>
        <v>1235977</v>
      </c>
      <c r="AJ17" s="3174">
        <f>244*1000</f>
        <v>244000</v>
      </c>
      <c r="AK17" s="4419">
        <v>198815</v>
      </c>
      <c r="AL17" s="6866">
        <f t="shared" si="60"/>
        <v>601000</v>
      </c>
      <c r="AM17" s="6570">
        <f t="shared" si="60"/>
        <v>478109</v>
      </c>
      <c r="AN17" s="4809">
        <f t="shared" si="61"/>
        <v>1792672.1533415001</v>
      </c>
      <c r="AO17" s="1713">
        <f t="shared" si="61"/>
        <v>1434792</v>
      </c>
      <c r="AP17" s="3174">
        <v>240000</v>
      </c>
      <c r="AQ17" s="4406">
        <v>221321</v>
      </c>
      <c r="AR17" s="4809">
        <f t="shared" si="62"/>
        <v>2032672.1533415001</v>
      </c>
      <c r="AS17" s="1713">
        <f>+AO17+AQ17</f>
        <v>1656113</v>
      </c>
      <c r="AT17" s="3174">
        <v>220000</v>
      </c>
      <c r="AU17" s="4406">
        <v>198514</v>
      </c>
      <c r="AV17" s="4809">
        <f t="shared" si="64"/>
        <v>2252672.1533415001</v>
      </c>
      <c r="AW17" s="1713">
        <f>+AS17+AU17</f>
        <v>1854627</v>
      </c>
      <c r="AX17" s="3174">
        <v>244000</v>
      </c>
      <c r="AY17" s="4406">
        <v>238171</v>
      </c>
      <c r="AZ17" s="6866">
        <f t="shared" si="66"/>
        <v>704000</v>
      </c>
      <c r="BA17" s="6570">
        <f t="shared" si="66"/>
        <v>658006</v>
      </c>
      <c r="BB17" s="6866">
        <f t="shared" si="67"/>
        <v>1305000</v>
      </c>
      <c r="BC17" s="6570">
        <f t="shared" si="68"/>
        <v>1136115</v>
      </c>
      <c r="BD17" s="6519">
        <f t="shared" si="69"/>
        <v>2496672.1533415001</v>
      </c>
      <c r="BE17" s="6510">
        <f t="shared" si="69"/>
        <v>2092798</v>
      </c>
      <c r="BF17" s="6481">
        <v>2700000</v>
      </c>
      <c r="BG17" s="6481">
        <v>2505193</v>
      </c>
      <c r="BH17" s="5960">
        <v>694168</v>
      </c>
      <c r="BI17" s="1673">
        <f>+AO17+BH17</f>
        <v>2128960</v>
      </c>
      <c r="BJ17" s="2099">
        <f t="shared" ref="BJ17:BJ35" si="71">+BI17/1000000</f>
        <v>2.1289600000000002</v>
      </c>
      <c r="BK17" s="5960"/>
      <c r="BL17" s="5960"/>
      <c r="BM17" s="5960"/>
      <c r="BN17" s="5960"/>
      <c r="BO17" s="5960"/>
      <c r="BP17" s="5960"/>
      <c r="BQ17" s="5960"/>
      <c r="BR17" s="5960"/>
      <c r="BS17" s="5960"/>
      <c r="BT17" s="5960"/>
      <c r="BU17" s="5960"/>
      <c r="BV17" s="5960"/>
      <c r="BW17" s="5960"/>
      <c r="BX17" s="5960"/>
      <c r="BY17" s="5960"/>
      <c r="BZ17" s="5960"/>
      <c r="CA17" s="5960"/>
    </row>
    <row r="18" spans="1:81" ht="16" x14ac:dyDescent="0.2">
      <c r="B18" s="1634" t="s">
        <v>848</v>
      </c>
      <c r="C18" s="1547" t="s">
        <v>170</v>
      </c>
      <c r="D18" s="5176">
        <v>129292</v>
      </c>
      <c r="E18" s="2816">
        <v>129292</v>
      </c>
      <c r="F18" s="5288">
        <v>134303</v>
      </c>
      <c r="G18" s="4626">
        <v>134303</v>
      </c>
      <c r="H18" s="4809">
        <f t="shared" si="49"/>
        <v>263595</v>
      </c>
      <c r="I18" s="1823">
        <f t="shared" si="49"/>
        <v>263595</v>
      </c>
      <c r="J18" s="5689">
        <v>161947</v>
      </c>
      <c r="K18" s="4626">
        <v>147382</v>
      </c>
      <c r="L18" s="4792">
        <f t="shared" si="50"/>
        <v>425542</v>
      </c>
      <c r="M18" s="1998">
        <f t="shared" si="50"/>
        <v>410977</v>
      </c>
      <c r="N18" s="5877">
        <v>221247</v>
      </c>
      <c r="O18" s="4626">
        <v>160929</v>
      </c>
      <c r="P18" s="4809">
        <f>+L18+N18</f>
        <v>646789</v>
      </c>
      <c r="Q18" s="1713">
        <f t="shared" si="51"/>
        <v>571906</v>
      </c>
      <c r="R18" s="6321">
        <v>219958</v>
      </c>
      <c r="S18" s="4626">
        <v>172012</v>
      </c>
      <c r="T18" s="4809">
        <f>+P18+R18</f>
        <v>866747</v>
      </c>
      <c r="U18" s="1713">
        <f t="shared" ref="U18" si="72">+Q18+S18</f>
        <v>743918</v>
      </c>
      <c r="V18" s="6475">
        <v>217063</v>
      </c>
      <c r="W18" s="4626">
        <v>83590</v>
      </c>
      <c r="X18" s="6502">
        <f t="shared" si="70"/>
        <v>658268</v>
      </c>
      <c r="Y18" s="6570">
        <f t="shared" si="54"/>
        <v>416531</v>
      </c>
      <c r="Z18" s="6519">
        <f>+T18+V18</f>
        <v>1083810</v>
      </c>
      <c r="AA18" s="6510">
        <f>+U18+W18</f>
        <v>827508</v>
      </c>
      <c r="AB18" s="7292">
        <v>114155</v>
      </c>
      <c r="AC18" s="4626">
        <v>98775</v>
      </c>
      <c r="AD18" s="4809">
        <f>+Z18+AB18</f>
        <v>1197965</v>
      </c>
      <c r="AE18" s="1713">
        <f t="shared" ref="AE18" si="73">+AA18+AC18</f>
        <v>926283</v>
      </c>
      <c r="AF18" s="7555">
        <f>215.955*1000</f>
        <v>215955</v>
      </c>
      <c r="AG18" s="4626">
        <v>139620</v>
      </c>
      <c r="AH18" s="4809">
        <f>+AD18+AF18</f>
        <v>1413920</v>
      </c>
      <c r="AI18" s="1713">
        <f t="shared" ref="AI18" si="74">+AE18+AG18</f>
        <v>1065903</v>
      </c>
      <c r="AJ18" s="7683">
        <f>226.59*1000</f>
        <v>226590</v>
      </c>
      <c r="AK18" s="4626">
        <v>167995</v>
      </c>
      <c r="AL18" s="6866">
        <f t="shared" si="60"/>
        <v>556700</v>
      </c>
      <c r="AM18" s="6570">
        <f t="shared" si="60"/>
        <v>406390</v>
      </c>
      <c r="AN18" s="4809">
        <f t="shared" si="61"/>
        <v>1640510</v>
      </c>
      <c r="AO18" s="1713">
        <f t="shared" si="61"/>
        <v>1233898</v>
      </c>
      <c r="AP18" s="8076">
        <v>222957.5</v>
      </c>
      <c r="AQ18" s="4626">
        <v>201367</v>
      </c>
      <c r="AR18" s="4809">
        <f>+AN18+AP18</f>
        <v>1863467.5</v>
      </c>
      <c r="AS18" s="1713">
        <f t="shared" ref="AS18" si="75">+AO18+AQ18</f>
        <v>1435265</v>
      </c>
      <c r="AT18" s="8217">
        <v>206078</v>
      </c>
      <c r="AU18" s="4626">
        <v>189148</v>
      </c>
      <c r="AV18" s="4809">
        <f>+AR18+AT18</f>
        <v>2069545.5</v>
      </c>
      <c r="AW18" s="1713">
        <f t="shared" ref="AW18" si="76">+AS18+AU18</f>
        <v>1624413</v>
      </c>
      <c r="AX18" s="8340">
        <v>227618</v>
      </c>
      <c r="AY18" s="4626">
        <v>223020</v>
      </c>
      <c r="AZ18" s="6866">
        <f t="shared" si="66"/>
        <v>656653.5</v>
      </c>
      <c r="BA18" s="6570">
        <f t="shared" si="66"/>
        <v>613535</v>
      </c>
      <c r="BB18" s="6866">
        <f t="shared" si="67"/>
        <v>1213353.5</v>
      </c>
      <c r="BC18" s="6570">
        <f t="shared" si="68"/>
        <v>1019925</v>
      </c>
      <c r="BD18" s="6519">
        <f t="shared" si="69"/>
        <v>2297163.5</v>
      </c>
      <c r="BE18" s="6510">
        <f t="shared" si="69"/>
        <v>1847433</v>
      </c>
      <c r="BF18" s="6481">
        <v>2500000</v>
      </c>
      <c r="BG18" s="6481">
        <v>2083412</v>
      </c>
      <c r="BH18" s="5960">
        <v>589289</v>
      </c>
      <c r="BI18" s="1673">
        <f>+AO18+BH18</f>
        <v>1823187</v>
      </c>
      <c r="BJ18" s="2099">
        <f t="shared" si="71"/>
        <v>1.8231869999999999</v>
      </c>
      <c r="BK18" s="5960"/>
      <c r="BL18" s="5960"/>
      <c r="BM18" s="5960"/>
      <c r="BN18" s="5960"/>
      <c r="BO18" s="5960"/>
      <c r="BP18" s="5960"/>
      <c r="BQ18" s="5960"/>
      <c r="BR18" s="5960"/>
      <c r="BS18" s="5960"/>
      <c r="BT18" s="5960"/>
      <c r="BU18" s="5960"/>
      <c r="BV18" s="5960"/>
      <c r="BW18" s="1673"/>
      <c r="BX18" s="5960"/>
      <c r="BY18" s="5960"/>
      <c r="BZ18" s="5960"/>
      <c r="CA18" s="5960"/>
    </row>
    <row r="19" spans="1:81" ht="16.5" customHeight="1" x14ac:dyDescent="0.2">
      <c r="B19" s="5336" t="s">
        <v>1154</v>
      </c>
      <c r="C19" s="5298" t="s">
        <v>1023</v>
      </c>
      <c r="D19" s="4395">
        <f>+D138/D1</f>
        <v>28.566666666666666</v>
      </c>
      <c r="E19" s="4395">
        <f t="shared" ref="E19:AA19" si="77">+E138/E1</f>
        <v>28.566666666666666</v>
      </c>
      <c r="F19" s="4395">
        <f t="shared" si="77"/>
        <v>28.612903225806452</v>
      </c>
      <c r="G19" s="4395">
        <f t="shared" si="77"/>
        <v>28.612903225806452</v>
      </c>
      <c r="H19" s="4395">
        <f t="shared" si="77"/>
        <v>28.590163934426229</v>
      </c>
      <c r="I19" s="4395">
        <f t="shared" si="77"/>
        <v>28.590163934426229</v>
      </c>
      <c r="J19" s="4395">
        <f t="shared" si="77"/>
        <v>35.988222222222227</v>
      </c>
      <c r="K19" s="4395">
        <f t="shared" si="77"/>
        <v>32.266666666666666</v>
      </c>
      <c r="L19" s="4395">
        <f t="shared" si="77"/>
        <v>31.029084249084249</v>
      </c>
      <c r="M19" s="4395">
        <f t="shared" si="77"/>
        <v>29.802197802197803</v>
      </c>
      <c r="N19" s="4395">
        <f t="shared" si="77"/>
        <v>47.58</v>
      </c>
      <c r="O19" s="4395">
        <f t="shared" si="77"/>
        <v>34.387096774193552</v>
      </c>
      <c r="P19" s="4395">
        <f t="shared" si="77"/>
        <v>35.23464480874317</v>
      </c>
      <c r="Q19" s="4395">
        <f t="shared" si="77"/>
        <v>30.967213114754099</v>
      </c>
      <c r="R19" s="4395">
        <f t="shared" si="77"/>
        <v>47.302795698924733</v>
      </c>
      <c r="S19" s="4395">
        <f t="shared" si="77"/>
        <v>36.451612903225808</v>
      </c>
      <c r="T19" s="4395">
        <f t="shared" si="77"/>
        <v>37.67982570806101</v>
      </c>
      <c r="U19" s="4395">
        <f t="shared" si="77"/>
        <v>32.078431372549019</v>
      </c>
      <c r="V19" s="4395">
        <f t="shared" si="77"/>
        <v>48.236222222222217</v>
      </c>
      <c r="W19" s="4395">
        <f t="shared" si="77"/>
        <v>17.933333333333334</v>
      </c>
      <c r="X19" s="4395">
        <f t="shared" si="77"/>
        <v>47.700579710144922</v>
      </c>
      <c r="Y19" s="4395">
        <f t="shared" si="77"/>
        <v>29.717391304347824</v>
      </c>
      <c r="Z19" s="4395">
        <f t="shared" si="77"/>
        <v>39.410382513661204</v>
      </c>
      <c r="AA19" s="4395">
        <f t="shared" si="77"/>
        <v>29.759562841530055</v>
      </c>
      <c r="AB19" s="4395">
        <f t="shared" ref="AB19:AI19" si="78">+AB138/AB1</f>
        <v>24.549462365591395</v>
      </c>
      <c r="AC19" s="4395">
        <f t="shared" si="78"/>
        <v>20.774193548387096</v>
      </c>
      <c r="AD19" s="4395">
        <f t="shared" si="78"/>
        <v>37.257632398753891</v>
      </c>
      <c r="AE19" s="4395">
        <f t="shared" si="78"/>
        <v>28.457943925233646</v>
      </c>
      <c r="AF19" s="4395">
        <f t="shared" si="78"/>
        <v>47.99</v>
      </c>
      <c r="AG19" s="4395">
        <f t="shared" si="78"/>
        <v>30.6</v>
      </c>
      <c r="AH19" s="4395">
        <f t="shared" si="78"/>
        <v>38.577185792349731</v>
      </c>
      <c r="AI19" s="4395">
        <f t="shared" si="78"/>
        <v>28.721311475409838</v>
      </c>
      <c r="AJ19" s="4395">
        <f t="shared" ref="AJ19:AO19" si="79">+AJ138/AJ1</f>
        <v>48.729032258064514</v>
      </c>
      <c r="AK19" s="4395">
        <f t="shared" si="79"/>
        <v>35.838709677419352</v>
      </c>
      <c r="AL19" s="4395">
        <f t="shared" si="79"/>
        <v>40.340579710144929</v>
      </c>
      <c r="AM19" s="4395">
        <f t="shared" si="79"/>
        <v>29.054347826086957</v>
      </c>
      <c r="AN19" s="4395">
        <f t="shared" si="79"/>
        <v>39.721575757575764</v>
      </c>
      <c r="AO19" s="4395">
        <f t="shared" si="79"/>
        <v>29.523636363636363</v>
      </c>
      <c r="AP19" s="4395">
        <f t="shared" ref="AP19:AS19" si="80">+AP138/AP1</f>
        <v>47.947849462365596</v>
      </c>
      <c r="AQ19" s="4395">
        <f t="shared" si="80"/>
        <v>43.064516129032256</v>
      </c>
      <c r="AR19" s="4395">
        <f t="shared" si="80"/>
        <v>40.554956427015256</v>
      </c>
      <c r="AS19" s="4395">
        <f t="shared" si="80"/>
        <v>30.895424836601308</v>
      </c>
      <c r="AT19" s="4395">
        <f t="shared" ref="AT19:AU19" si="81">+AT138/AT1</f>
        <v>49.071428571428569</v>
      </c>
      <c r="AU19" s="4395">
        <f t="shared" si="81"/>
        <v>44.392857142857146</v>
      </c>
      <c r="AV19" s="4395">
        <f t="shared" ref="AV19:AY19" si="82">+AV138/AV1</f>
        <v>41.268912175648708</v>
      </c>
      <c r="AW19" s="4395">
        <f t="shared" si="82"/>
        <v>32.026946107784433</v>
      </c>
      <c r="AX19" s="4395">
        <f t="shared" si="82"/>
        <v>48.935483870967744</v>
      </c>
      <c r="AY19" s="4395">
        <f t="shared" si="82"/>
        <v>47.12903225806452</v>
      </c>
      <c r="AZ19" s="4395">
        <f t="shared" ref="AZ19:BE19" si="83">+AZ138/AZ1</f>
        <v>48.63759259259259</v>
      </c>
      <c r="BA19" s="4395">
        <f t="shared" si="83"/>
        <v>44.87777777777778</v>
      </c>
      <c r="BB19" s="4395">
        <f t="shared" si="83"/>
        <v>44.443498168498174</v>
      </c>
      <c r="BC19" s="4395">
        <f t="shared" si="83"/>
        <v>36.879120879120876</v>
      </c>
      <c r="BD19" s="4395">
        <f t="shared" si="83"/>
        <v>41.920045662100456</v>
      </c>
      <c r="BE19" s="4395">
        <f t="shared" si="83"/>
        <v>33.30958904109589</v>
      </c>
      <c r="BF19" s="6481">
        <v>47.014645250053974</v>
      </c>
      <c r="BG19" s="5337">
        <v>38.66393442622951</v>
      </c>
      <c r="BH19" s="5960"/>
      <c r="BI19" s="1673"/>
      <c r="BJ19" s="7808"/>
      <c r="BK19" s="5960"/>
      <c r="BL19" s="5960"/>
      <c r="BM19" s="5960"/>
      <c r="BN19" s="5960"/>
      <c r="BO19" s="5960"/>
      <c r="BP19" s="5960"/>
      <c r="BQ19" s="5960"/>
      <c r="BR19" s="5960"/>
      <c r="BS19" s="5960"/>
      <c r="BT19" s="5960"/>
      <c r="BU19" s="5960"/>
      <c r="BV19" s="5960"/>
      <c r="BW19" s="5960"/>
      <c r="BX19" s="5960"/>
      <c r="BY19" s="5960"/>
      <c r="BZ19" s="5960"/>
      <c r="CA19" s="5960"/>
    </row>
    <row r="20" spans="1:81" s="3380" customFormat="1" ht="15" customHeight="1" x14ac:dyDescent="0.2">
      <c r="B20" s="5315" t="s">
        <v>728</v>
      </c>
      <c r="C20" s="5316"/>
      <c r="D20" s="5333"/>
      <c r="E20" s="5317"/>
      <c r="F20" s="5333"/>
      <c r="G20" s="5317"/>
      <c r="H20" s="5333"/>
      <c r="I20" s="5318"/>
      <c r="J20" s="5333"/>
      <c r="K20" s="5317"/>
      <c r="L20" s="5333"/>
      <c r="M20" s="5319"/>
      <c r="N20" s="5333"/>
      <c r="O20" s="5317"/>
      <c r="P20" s="5333"/>
      <c r="Q20" s="5318"/>
      <c r="R20" s="5333"/>
      <c r="S20" s="5317"/>
      <c r="T20" s="5333"/>
      <c r="U20" s="5318"/>
      <c r="V20" s="5333"/>
      <c r="W20" s="5317"/>
      <c r="X20" s="5333"/>
      <c r="Y20" s="5319"/>
      <c r="Z20" s="5333"/>
      <c r="AA20" s="5318"/>
      <c r="AB20" s="5333"/>
      <c r="AC20" s="5317"/>
      <c r="AD20" s="5333"/>
      <c r="AE20" s="5318"/>
      <c r="AF20" s="5333"/>
      <c r="AG20" s="5317"/>
      <c r="AH20" s="5333"/>
      <c r="AI20" s="5318"/>
      <c r="AJ20" s="5333"/>
      <c r="AK20" s="5317"/>
      <c r="AL20" s="5333"/>
      <c r="AM20" s="5319"/>
      <c r="AN20" s="5333"/>
      <c r="AO20" s="5318"/>
      <c r="AP20" s="5333"/>
      <c r="AQ20" s="5317"/>
      <c r="AR20" s="5333"/>
      <c r="AS20" s="5318"/>
      <c r="AT20" s="5333"/>
      <c r="AU20" s="5317"/>
      <c r="AV20" s="5333"/>
      <c r="AW20" s="5318"/>
      <c r="AX20" s="5333"/>
      <c r="AY20" s="5317"/>
      <c r="AZ20" s="5333"/>
      <c r="BA20" s="5319"/>
      <c r="BB20" s="5333"/>
      <c r="BC20" s="5319"/>
      <c r="BD20" s="5333"/>
      <c r="BE20" s="5318"/>
      <c r="BF20" s="5344"/>
      <c r="BG20" s="5343"/>
      <c r="BI20" s="1673"/>
      <c r="BJ20" s="7808"/>
      <c r="BW20" s="8134"/>
    </row>
    <row r="21" spans="1:81" ht="15" customHeight="1" x14ac:dyDescent="0.2">
      <c r="A21" s="1673" t="e">
        <f>+#REF!+#REF!</f>
        <v>#REF!</v>
      </c>
      <c r="B21" s="1609" t="s">
        <v>94</v>
      </c>
      <c r="C21" s="1545" t="s">
        <v>170</v>
      </c>
      <c r="D21" s="4811">
        <v>3047</v>
      </c>
      <c r="E21" s="3835">
        <v>3047</v>
      </c>
      <c r="F21" s="4811">
        <v>2899</v>
      </c>
      <c r="G21" s="4419">
        <v>2899</v>
      </c>
      <c r="H21" s="4809">
        <f t="shared" ref="H21:I23" si="84">+D21+F21</f>
        <v>5946</v>
      </c>
      <c r="I21" s="1823">
        <f t="shared" si="84"/>
        <v>5946</v>
      </c>
      <c r="J21" s="4811">
        <v>3951.439913043489</v>
      </c>
      <c r="K21" s="4419">
        <v>2804</v>
      </c>
      <c r="L21" s="4792">
        <f t="shared" ref="L21:M23" si="85">+H21+J21</f>
        <v>9897.4399130434886</v>
      </c>
      <c r="M21" s="1998">
        <f t="shared" si="85"/>
        <v>8750</v>
      </c>
      <c r="N21" s="4811">
        <v>0.37359359577621509</v>
      </c>
      <c r="O21" s="4419">
        <v>8503</v>
      </c>
      <c r="P21" s="4809">
        <f t="shared" ref="P21:Q23" si="86">+L21+N21</f>
        <v>9897.8135066392642</v>
      </c>
      <c r="Q21" s="1713">
        <f t="shared" si="86"/>
        <v>17253</v>
      </c>
      <c r="R21" s="4811">
        <v>0</v>
      </c>
      <c r="S21" s="4419">
        <v>4172</v>
      </c>
      <c r="T21" s="4809">
        <f t="shared" ref="T21:T23" si="87">+P21+R21</f>
        <v>9897.8135066392642</v>
      </c>
      <c r="U21" s="1713">
        <f t="shared" ref="U21:U23" si="88">+Q21+S21</f>
        <v>21425</v>
      </c>
      <c r="V21" s="4811">
        <v>0</v>
      </c>
      <c r="W21" s="4419">
        <v>7042</v>
      </c>
      <c r="X21" s="6502">
        <f t="shared" ref="X21:X23" si="89">+N21+R21+V21</f>
        <v>0.37359359577621509</v>
      </c>
      <c r="Y21" s="6570">
        <f>+O21+S21+W21</f>
        <v>19717</v>
      </c>
      <c r="Z21" s="6519">
        <f t="shared" ref="Z21:Z23" si="90">+T21+V21</f>
        <v>9897.8135066392642</v>
      </c>
      <c r="AA21" s="6510">
        <f t="shared" ref="AA21:AA23" si="91">+U21+W21</f>
        <v>28467</v>
      </c>
      <c r="AB21" s="4811">
        <v>2130.1605375000004</v>
      </c>
      <c r="AC21" s="4419">
        <v>9461</v>
      </c>
      <c r="AD21" s="4809">
        <f t="shared" ref="AD21:AD23" si="92">+Z21+AB21</f>
        <v>12027.974044139264</v>
      </c>
      <c r="AE21" s="1713">
        <f t="shared" ref="AE21:AE23" si="93">+AA21+AC21</f>
        <v>37928</v>
      </c>
      <c r="AF21" s="4811">
        <v>1873.1932324999893</v>
      </c>
      <c r="AG21" s="4419">
        <v>4903</v>
      </c>
      <c r="AH21" s="4809">
        <f t="shared" ref="AH21:AH23" si="94">+AD21+AF21</f>
        <v>13901.167276639253</v>
      </c>
      <c r="AI21" s="1713">
        <f t="shared" ref="AI21:AI23" si="95">+AE21+AG21</f>
        <v>42831</v>
      </c>
      <c r="AJ21" s="4811">
        <v>2501.7112849999949</v>
      </c>
      <c r="AK21" s="4419">
        <v>7314</v>
      </c>
      <c r="AL21" s="6866">
        <f t="shared" ref="AL21:AM23" si="96">+AB21+AF21+AJ21</f>
        <v>6505.0650549999846</v>
      </c>
      <c r="AM21" s="6570">
        <f t="shared" si="96"/>
        <v>21678</v>
      </c>
      <c r="AN21" s="4809">
        <f t="shared" ref="AN21:AO23" si="97">+AH21+AJ21</f>
        <v>16402.878561639249</v>
      </c>
      <c r="AO21" s="1713">
        <f t="shared" si="97"/>
        <v>50145</v>
      </c>
      <c r="AP21" s="4811">
        <v>2379.1398862500109</v>
      </c>
      <c r="AQ21" s="4419">
        <v>4628</v>
      </c>
      <c r="AR21" s="4809">
        <f t="shared" ref="AR21:AR23" si="98">+AN21+AP21</f>
        <v>18782.018447889259</v>
      </c>
      <c r="AS21" s="1713">
        <f t="shared" ref="AS21:AS23" si="99">+AO21+AQ21</f>
        <v>54773</v>
      </c>
      <c r="AT21" s="4811">
        <v>492</v>
      </c>
      <c r="AU21" s="4419">
        <v>643.29999999999995</v>
      </c>
      <c r="AV21" s="4809">
        <f t="shared" ref="AV21:AV23" si="100">+AR21+AT21</f>
        <v>19274.018447889259</v>
      </c>
      <c r="AW21" s="1713">
        <f t="shared" ref="AW21:AW23" si="101">+AS21+AU21</f>
        <v>55416.3</v>
      </c>
      <c r="AX21" s="4811">
        <v>1481</v>
      </c>
      <c r="AY21" s="4419">
        <v>2804.4</v>
      </c>
      <c r="AZ21" s="6866">
        <f t="shared" ref="AZ21:BA23" si="102">+AP21+AT21+AX21</f>
        <v>4352.1398862500109</v>
      </c>
      <c r="BA21" s="6570">
        <f t="shared" si="102"/>
        <v>8075.7000000000007</v>
      </c>
      <c r="BB21" s="6866">
        <f t="shared" ref="BB21:BB26" si="103">+AL21+AZ21</f>
        <v>10857.204941249995</v>
      </c>
      <c r="BC21" s="6570">
        <f t="shared" ref="BC21:BC26" si="104">+AM21+BA21</f>
        <v>29753.7</v>
      </c>
      <c r="BD21" s="6519">
        <f t="shared" ref="BD21:BE23" si="105">+AV21+AX21</f>
        <v>20755.018447889259</v>
      </c>
      <c r="BE21" s="6510">
        <f t="shared" si="105"/>
        <v>58220.700000000004</v>
      </c>
      <c r="BF21" s="6481">
        <v>29957.855711422784</v>
      </c>
      <c r="BG21" s="6481">
        <v>134629.17781999998</v>
      </c>
      <c r="BI21" s="1673"/>
      <c r="BJ21" s="7808"/>
      <c r="BW21" s="1673"/>
    </row>
    <row r="22" spans="1:81" ht="15" customHeight="1" x14ac:dyDescent="0.2">
      <c r="A22" s="1673" t="e">
        <f>+#REF!+#REF!</f>
        <v>#REF!</v>
      </c>
      <c r="B22" s="1609" t="s">
        <v>437</v>
      </c>
      <c r="C22" s="1545" t="s">
        <v>170</v>
      </c>
      <c r="D22" s="3174">
        <v>201</v>
      </c>
      <c r="E22" s="3835">
        <v>201</v>
      </c>
      <c r="F22" s="3174">
        <v>191</v>
      </c>
      <c r="G22" s="4419">
        <v>191</v>
      </c>
      <c r="H22" s="4809">
        <f t="shared" si="84"/>
        <v>392</v>
      </c>
      <c r="I22" s="1823">
        <f t="shared" si="84"/>
        <v>392</v>
      </c>
      <c r="J22" s="3174">
        <v>0</v>
      </c>
      <c r="K22" s="4419">
        <v>185</v>
      </c>
      <c r="L22" s="4792">
        <f t="shared" si="85"/>
        <v>392</v>
      </c>
      <c r="M22" s="1998">
        <f t="shared" si="85"/>
        <v>577</v>
      </c>
      <c r="N22" s="3174">
        <v>0</v>
      </c>
      <c r="O22" s="4419">
        <v>561</v>
      </c>
      <c r="P22" s="4809">
        <f t="shared" si="86"/>
        <v>392</v>
      </c>
      <c r="Q22" s="1713">
        <f t="shared" si="86"/>
        <v>1138</v>
      </c>
      <c r="R22" s="3174">
        <v>0</v>
      </c>
      <c r="S22" s="4419">
        <v>275</v>
      </c>
      <c r="T22" s="4809">
        <f t="shared" si="87"/>
        <v>392</v>
      </c>
      <c r="U22" s="1713">
        <f t="shared" si="88"/>
        <v>1413</v>
      </c>
      <c r="V22" s="3174">
        <v>0</v>
      </c>
      <c r="W22" s="4419">
        <v>464</v>
      </c>
      <c r="X22" s="6502">
        <f t="shared" si="89"/>
        <v>0</v>
      </c>
      <c r="Y22" s="6570">
        <f t="shared" ref="Y22:Y23" si="106">+O22+S22+W22</f>
        <v>1300</v>
      </c>
      <c r="Z22" s="6519">
        <f>+T22+V22</f>
        <v>392</v>
      </c>
      <c r="AA22" s="6510">
        <f t="shared" si="91"/>
        <v>1877</v>
      </c>
      <c r="AB22" s="3174">
        <v>0</v>
      </c>
      <c r="AC22" s="4419">
        <v>638</v>
      </c>
      <c r="AD22" s="4809">
        <f t="shared" si="92"/>
        <v>392</v>
      </c>
      <c r="AE22" s="1713">
        <f t="shared" si="93"/>
        <v>2515</v>
      </c>
      <c r="AF22" s="3174">
        <v>0</v>
      </c>
      <c r="AG22" s="4419">
        <v>323</v>
      </c>
      <c r="AH22" s="4809">
        <f t="shared" si="94"/>
        <v>392</v>
      </c>
      <c r="AI22" s="1713">
        <f t="shared" si="95"/>
        <v>2838</v>
      </c>
      <c r="AJ22" s="3174">
        <v>0</v>
      </c>
      <c r="AK22" s="4419">
        <v>482</v>
      </c>
      <c r="AL22" s="6866">
        <f t="shared" si="96"/>
        <v>0</v>
      </c>
      <c r="AM22" s="6570">
        <f t="shared" si="96"/>
        <v>1443</v>
      </c>
      <c r="AN22" s="4809">
        <f t="shared" si="97"/>
        <v>392</v>
      </c>
      <c r="AO22" s="1713">
        <f t="shared" si="97"/>
        <v>3320</v>
      </c>
      <c r="AP22" s="3174">
        <v>0</v>
      </c>
      <c r="AQ22" s="4419">
        <v>305</v>
      </c>
      <c r="AR22" s="4809">
        <f t="shared" si="98"/>
        <v>392</v>
      </c>
      <c r="AS22" s="1713">
        <f t="shared" si="99"/>
        <v>3625</v>
      </c>
      <c r="AT22" s="3174">
        <v>0</v>
      </c>
      <c r="AU22" s="4419">
        <v>42.4</v>
      </c>
      <c r="AV22" s="4809">
        <f t="shared" si="100"/>
        <v>392</v>
      </c>
      <c r="AW22" s="1713">
        <f t="shared" si="101"/>
        <v>3667.4</v>
      </c>
      <c r="AX22" s="3174">
        <v>0</v>
      </c>
      <c r="AY22" s="4419">
        <v>184.9</v>
      </c>
      <c r="AZ22" s="6866">
        <f t="shared" si="102"/>
        <v>0</v>
      </c>
      <c r="BA22" s="6570">
        <f t="shared" si="102"/>
        <v>532.29999999999995</v>
      </c>
      <c r="BB22" s="6866">
        <f t="shared" si="103"/>
        <v>0</v>
      </c>
      <c r="BC22" s="6570">
        <f t="shared" si="104"/>
        <v>1975.3</v>
      </c>
      <c r="BD22" s="6519">
        <f t="shared" si="105"/>
        <v>392</v>
      </c>
      <c r="BE22" s="6510">
        <f t="shared" si="105"/>
        <v>3852.3</v>
      </c>
      <c r="BF22" s="6481">
        <v>1419.0563231726583</v>
      </c>
      <c r="BG22" s="6481">
        <v>8272.9782799999994</v>
      </c>
      <c r="BI22" s="1673"/>
      <c r="BJ22" s="7808"/>
    </row>
    <row r="23" spans="1:81" ht="31" thickBot="1" x14ac:dyDescent="0.25">
      <c r="B23" s="1583" t="s">
        <v>726</v>
      </c>
      <c r="C23" s="1548" t="s">
        <v>170</v>
      </c>
      <c r="D23" s="5183">
        <v>0</v>
      </c>
      <c r="E23" s="2816">
        <f>0.8*0</f>
        <v>0</v>
      </c>
      <c r="F23" s="5296">
        <v>0</v>
      </c>
      <c r="G23" s="2816">
        <f>0.8*0</f>
        <v>0</v>
      </c>
      <c r="H23" s="5174">
        <f t="shared" si="84"/>
        <v>0</v>
      </c>
      <c r="I23" s="1823">
        <f t="shared" si="84"/>
        <v>0</v>
      </c>
      <c r="J23" s="5696">
        <v>0</v>
      </c>
      <c r="K23" s="4626">
        <v>0</v>
      </c>
      <c r="L23" s="5173">
        <f t="shared" si="85"/>
        <v>0</v>
      </c>
      <c r="M23" s="1998">
        <f t="shared" si="85"/>
        <v>0</v>
      </c>
      <c r="N23" s="5888">
        <v>0</v>
      </c>
      <c r="O23" s="2816">
        <f>0.8*0</f>
        <v>0</v>
      </c>
      <c r="P23" s="5882">
        <f t="shared" si="86"/>
        <v>0</v>
      </c>
      <c r="Q23" s="1713">
        <f t="shared" si="86"/>
        <v>0</v>
      </c>
      <c r="R23" s="6348">
        <v>0</v>
      </c>
      <c r="S23" s="2816">
        <v>0</v>
      </c>
      <c r="T23" s="5894">
        <f t="shared" si="87"/>
        <v>0</v>
      </c>
      <c r="U23" s="1713">
        <f t="shared" si="88"/>
        <v>0</v>
      </c>
      <c r="V23" s="6397">
        <v>0</v>
      </c>
      <c r="W23" s="2816">
        <v>0</v>
      </c>
      <c r="X23" s="6502">
        <f t="shared" si="89"/>
        <v>0</v>
      </c>
      <c r="Y23" s="6570">
        <f t="shared" si="106"/>
        <v>0</v>
      </c>
      <c r="Z23" s="6520">
        <f t="shared" si="90"/>
        <v>0</v>
      </c>
      <c r="AA23" s="6510">
        <f t="shared" si="91"/>
        <v>0</v>
      </c>
      <c r="AB23" s="6397">
        <v>0</v>
      </c>
      <c r="AC23" s="2816">
        <v>0</v>
      </c>
      <c r="AD23" s="5894">
        <f t="shared" si="92"/>
        <v>0</v>
      </c>
      <c r="AE23" s="1713">
        <f t="shared" si="93"/>
        <v>0</v>
      </c>
      <c r="AF23" s="6397">
        <v>0</v>
      </c>
      <c r="AG23" s="2816">
        <v>0</v>
      </c>
      <c r="AH23" s="5894">
        <f t="shared" si="94"/>
        <v>0</v>
      </c>
      <c r="AI23" s="1713">
        <f t="shared" si="95"/>
        <v>0</v>
      </c>
      <c r="AJ23" s="6397">
        <v>0</v>
      </c>
      <c r="AK23" s="2816">
        <v>0</v>
      </c>
      <c r="AL23" s="6866">
        <f t="shared" si="96"/>
        <v>0</v>
      </c>
      <c r="AM23" s="6570">
        <f t="shared" si="96"/>
        <v>0</v>
      </c>
      <c r="AN23" s="5894">
        <f t="shared" si="97"/>
        <v>0</v>
      </c>
      <c r="AO23" s="1713">
        <f t="shared" si="97"/>
        <v>0</v>
      </c>
      <c r="AP23" s="6397">
        <v>0</v>
      </c>
      <c r="AQ23" s="2816">
        <v>0</v>
      </c>
      <c r="AR23" s="5894">
        <f t="shared" si="98"/>
        <v>0</v>
      </c>
      <c r="AS23" s="1713">
        <f t="shared" si="99"/>
        <v>0</v>
      </c>
      <c r="AT23" s="6397">
        <v>0</v>
      </c>
      <c r="AU23" s="2816">
        <v>0</v>
      </c>
      <c r="AV23" s="5894">
        <f t="shared" si="100"/>
        <v>0</v>
      </c>
      <c r="AW23" s="1713">
        <f t="shared" si="101"/>
        <v>0</v>
      </c>
      <c r="AX23" s="6397">
        <v>0</v>
      </c>
      <c r="AY23" s="2816">
        <v>0</v>
      </c>
      <c r="AZ23" s="6866">
        <f t="shared" si="102"/>
        <v>0</v>
      </c>
      <c r="BA23" s="6570">
        <f t="shared" si="102"/>
        <v>0</v>
      </c>
      <c r="BB23" s="6866">
        <f t="shared" si="103"/>
        <v>0</v>
      </c>
      <c r="BC23" s="6570">
        <f t="shared" si="104"/>
        <v>0</v>
      </c>
      <c r="BD23" s="6520">
        <f t="shared" si="105"/>
        <v>0</v>
      </c>
      <c r="BE23" s="6510">
        <f t="shared" si="105"/>
        <v>0</v>
      </c>
      <c r="BF23" s="5372">
        <v>0</v>
      </c>
      <c r="BG23" s="5372">
        <v>26220.800000000003</v>
      </c>
      <c r="BI23" s="1673"/>
      <c r="BJ23" s="7808"/>
    </row>
    <row r="24" spans="1:81" ht="15" customHeight="1" thickBot="1" x14ac:dyDescent="0.25">
      <c r="B24" s="1592" t="s">
        <v>1929</v>
      </c>
      <c r="C24" s="1551" t="s">
        <v>170</v>
      </c>
      <c r="D24" s="1734">
        <f t="shared" ref="D24:S24" si="107">SUM(D21:D23)</f>
        <v>3248</v>
      </c>
      <c r="E24" s="4394">
        <f t="shared" si="107"/>
        <v>3248</v>
      </c>
      <c r="F24" s="1734">
        <f t="shared" ref="F24:G24" si="108">SUM(F21:F23)</f>
        <v>3090</v>
      </c>
      <c r="G24" s="4394">
        <f t="shared" si="108"/>
        <v>3090</v>
      </c>
      <c r="H24" s="2555">
        <f t="shared" si="107"/>
        <v>6338</v>
      </c>
      <c r="I24" s="4400">
        <f t="shared" si="107"/>
        <v>6338</v>
      </c>
      <c r="J24" s="1734">
        <f t="shared" ref="J24:K24" si="109">SUM(J21:J23)</f>
        <v>3951.439913043489</v>
      </c>
      <c r="K24" s="4394">
        <f t="shared" si="109"/>
        <v>2989</v>
      </c>
      <c r="L24" s="2556">
        <f t="shared" si="107"/>
        <v>10289.439913043489</v>
      </c>
      <c r="M24" s="2003">
        <f t="shared" si="107"/>
        <v>9327</v>
      </c>
      <c r="N24" s="1734">
        <f t="shared" ref="N24:O24" si="110">SUM(N21:N23)</f>
        <v>0.37359359577621509</v>
      </c>
      <c r="O24" s="4394">
        <f t="shared" si="110"/>
        <v>9064</v>
      </c>
      <c r="P24" s="2555">
        <f t="shared" si="107"/>
        <v>10289.813506639264</v>
      </c>
      <c r="Q24" s="1821">
        <f t="shared" si="107"/>
        <v>18391</v>
      </c>
      <c r="R24" s="1734">
        <f t="shared" si="107"/>
        <v>0</v>
      </c>
      <c r="S24" s="4394">
        <f t="shared" si="107"/>
        <v>4447</v>
      </c>
      <c r="T24" s="2555">
        <f t="shared" ref="T24:Y24" si="111">SUM(T21:T23)</f>
        <v>10289.813506639264</v>
      </c>
      <c r="U24" s="1821">
        <f t="shared" si="111"/>
        <v>22838</v>
      </c>
      <c r="V24" s="1734">
        <f t="shared" si="111"/>
        <v>0</v>
      </c>
      <c r="W24" s="4394">
        <f t="shared" si="111"/>
        <v>7506</v>
      </c>
      <c r="X24" s="2556">
        <f t="shared" si="111"/>
        <v>0.37359359577621509</v>
      </c>
      <c r="Y24" s="5740">
        <f t="shared" si="111"/>
        <v>21017</v>
      </c>
      <c r="Z24" s="6521">
        <f t="shared" ref="Z24:AA24" si="112">SUM(Z21:Z23)</f>
        <v>10289.813506639264</v>
      </c>
      <c r="AA24" s="6522">
        <f t="shared" si="112"/>
        <v>30344</v>
      </c>
      <c r="AB24" s="1734">
        <f t="shared" ref="AB24:AC24" si="113">SUM(AB21:AB23)</f>
        <v>2130.1605375000004</v>
      </c>
      <c r="AC24" s="4394">
        <f t="shared" si="113"/>
        <v>10099</v>
      </c>
      <c r="AD24" s="2555">
        <f t="shared" ref="AD24:AE24" si="114">SUM(AD21:AD23)</f>
        <v>12419.974044139264</v>
      </c>
      <c r="AE24" s="1821">
        <f t="shared" si="114"/>
        <v>40443</v>
      </c>
      <c r="AF24" s="1734">
        <f t="shared" ref="AF24:AG24" si="115">SUM(AF21:AF23)</f>
        <v>1873.1932324999893</v>
      </c>
      <c r="AG24" s="4394">
        <f t="shared" si="115"/>
        <v>5226</v>
      </c>
      <c r="AH24" s="2555">
        <f t="shared" ref="AH24:AO24" si="116">SUM(AH21:AH23)</f>
        <v>14293.167276639253</v>
      </c>
      <c r="AI24" s="1821">
        <f t="shared" si="116"/>
        <v>45669</v>
      </c>
      <c r="AJ24" s="1734">
        <f t="shared" si="116"/>
        <v>2501.7112849999949</v>
      </c>
      <c r="AK24" s="4394">
        <f t="shared" si="116"/>
        <v>7796</v>
      </c>
      <c r="AL24" s="2556">
        <f t="shared" si="116"/>
        <v>6505.0650549999846</v>
      </c>
      <c r="AM24" s="5740">
        <f t="shared" si="116"/>
        <v>23121</v>
      </c>
      <c r="AN24" s="2555">
        <f t="shared" si="116"/>
        <v>16794.878561639249</v>
      </c>
      <c r="AO24" s="1821">
        <f t="shared" si="116"/>
        <v>53465</v>
      </c>
      <c r="AP24" s="1734">
        <f t="shared" ref="AP24:AS24" si="117">SUM(AP21:AP23)</f>
        <v>2379.1398862500109</v>
      </c>
      <c r="AQ24" s="4394">
        <f t="shared" si="117"/>
        <v>4933</v>
      </c>
      <c r="AR24" s="2555">
        <f t="shared" si="117"/>
        <v>19174.018447889259</v>
      </c>
      <c r="AS24" s="1821">
        <f t="shared" si="117"/>
        <v>58398</v>
      </c>
      <c r="AT24" s="1734">
        <f t="shared" ref="AT24:AU24" si="118">SUM(AT21:AT23)</f>
        <v>492</v>
      </c>
      <c r="AU24" s="4394">
        <f t="shared" si="118"/>
        <v>685.69999999999993</v>
      </c>
      <c r="AV24" s="2555">
        <f t="shared" ref="AV24:AY24" si="119">SUM(AV21:AV23)</f>
        <v>19666.018447889259</v>
      </c>
      <c r="AW24" s="1821">
        <f t="shared" si="119"/>
        <v>59083.700000000004</v>
      </c>
      <c r="AX24" s="1734">
        <f t="shared" si="119"/>
        <v>1481</v>
      </c>
      <c r="AY24" s="4394">
        <f t="shared" si="119"/>
        <v>2989.3</v>
      </c>
      <c r="AZ24" s="2556">
        <f t="shared" ref="AZ24:BE24" si="120">SUM(AZ21:AZ23)</f>
        <v>4352.1398862500109</v>
      </c>
      <c r="BA24" s="5740">
        <f t="shared" si="120"/>
        <v>8608</v>
      </c>
      <c r="BB24" s="2556">
        <f t="shared" si="103"/>
        <v>10857.204941249995</v>
      </c>
      <c r="BC24" s="5740">
        <f t="shared" si="104"/>
        <v>31729</v>
      </c>
      <c r="BD24" s="6521">
        <f t="shared" si="120"/>
        <v>21147.018447889259</v>
      </c>
      <c r="BE24" s="6522">
        <f t="shared" si="120"/>
        <v>62073.000000000007</v>
      </c>
      <c r="BF24" s="5377">
        <v>31376.912034595443</v>
      </c>
      <c r="BG24" s="5378">
        <v>169122.95610000001</v>
      </c>
      <c r="BI24" s="1673"/>
      <c r="BJ24" s="7808"/>
    </row>
    <row r="25" spans="1:81" ht="15" customHeight="1" x14ac:dyDescent="0.2">
      <c r="B25" s="1593" t="s">
        <v>1922</v>
      </c>
      <c r="C25" s="1554" t="s">
        <v>170</v>
      </c>
      <c r="D25" s="3223">
        <v>1693</v>
      </c>
      <c r="E25" s="4418">
        <v>1693</v>
      </c>
      <c r="F25" s="3223">
        <v>4190</v>
      </c>
      <c r="G25" s="4418">
        <v>4190</v>
      </c>
      <c r="H25" s="2993">
        <f>+D25+F25</f>
        <v>5883</v>
      </c>
      <c r="I25" s="1823">
        <f t="shared" ref="I25:I26" si="121">+E25+G25</f>
        <v>5883</v>
      </c>
      <c r="J25" s="3223">
        <v>807.01939565217526</v>
      </c>
      <c r="K25" s="4418">
        <v>4452</v>
      </c>
      <c r="L25" s="5708">
        <f>+H25+J25</f>
        <v>6690.0193956521753</v>
      </c>
      <c r="M25" s="1998">
        <f t="shared" ref="M25:M26" si="122">+I25+K25</f>
        <v>10335</v>
      </c>
      <c r="N25" s="3223">
        <v>416.569001186945</v>
      </c>
      <c r="O25" s="4418">
        <v>2813</v>
      </c>
      <c r="P25" s="2993">
        <f>+L25+N25</f>
        <v>7106.5883968391199</v>
      </c>
      <c r="Q25" s="1713">
        <f t="shared" ref="Q25:Q26" si="123">+M25+O25</f>
        <v>13148</v>
      </c>
      <c r="R25" s="3223">
        <v>414.1988803274038</v>
      </c>
      <c r="S25" s="4418">
        <v>2290</v>
      </c>
      <c r="T25" s="2993">
        <f>+P25+R25</f>
        <v>7520.7872771665234</v>
      </c>
      <c r="U25" s="1713">
        <f t="shared" ref="U25:U26" si="124">+Q25+S25</f>
        <v>15438</v>
      </c>
      <c r="V25" s="3223">
        <v>408.66503842485781</v>
      </c>
      <c r="W25" s="4418">
        <v>1311</v>
      </c>
      <c r="X25" s="6502">
        <f t="shared" ref="X25:X26" si="125">+N25+R25+V25</f>
        <v>1239.4329199392066</v>
      </c>
      <c r="Y25" s="6570">
        <f t="shared" ref="Y25:Y26" si="126">+O25+S25+W25</f>
        <v>6414</v>
      </c>
      <c r="Z25" s="6523">
        <f>+T25+V25</f>
        <v>7929.4523155913812</v>
      </c>
      <c r="AA25" s="6510">
        <f t="shared" ref="AA25:AA26" si="127">+U25+W25</f>
        <v>16749</v>
      </c>
      <c r="AB25" s="3223">
        <v>484.30664999999999</v>
      </c>
      <c r="AC25" s="4418">
        <v>3244</v>
      </c>
      <c r="AD25" s="2993">
        <f>+Z25+AB25</f>
        <v>8413.7589655913816</v>
      </c>
      <c r="AE25" s="1713">
        <f t="shared" ref="AE25:AE26" si="128">+AA25+AC25</f>
        <v>19993</v>
      </c>
      <c r="AF25" s="3223">
        <v>640.09372999999857</v>
      </c>
      <c r="AG25" s="4418">
        <v>1716</v>
      </c>
      <c r="AH25" s="2993">
        <f>+AD25+AF25</f>
        <v>9053.8526955913803</v>
      </c>
      <c r="AI25" s="1713">
        <f t="shared" ref="AI25:AI26" si="129">+AE25+AG25</f>
        <v>21709</v>
      </c>
      <c r="AJ25" s="3223">
        <v>739.76353999999924</v>
      </c>
      <c r="AK25" s="4418">
        <v>2856</v>
      </c>
      <c r="AL25" s="6866">
        <f>+AB25+AF25+AJ25</f>
        <v>1864.1639199999979</v>
      </c>
      <c r="AM25" s="6570">
        <f>+AC25+AG25+AK25</f>
        <v>7816</v>
      </c>
      <c r="AN25" s="2993">
        <f>+AH25+AJ25</f>
        <v>9793.6162355913802</v>
      </c>
      <c r="AO25" s="1713">
        <f>+AI25+AK25</f>
        <v>24565</v>
      </c>
      <c r="AP25" s="3223">
        <v>717.42474500000128</v>
      </c>
      <c r="AQ25" s="4418">
        <v>4003</v>
      </c>
      <c r="AR25" s="2993">
        <f>+AN25+AP25</f>
        <v>10511.040980591382</v>
      </c>
      <c r="AS25" s="1713">
        <f t="shared" ref="AS25:AS26" si="130">+AO25+AQ25</f>
        <v>28568</v>
      </c>
      <c r="AT25" s="3223">
        <v>446</v>
      </c>
      <c r="AU25" s="4418">
        <v>5717.9</v>
      </c>
      <c r="AV25" s="2993">
        <f>+AR25+AT25</f>
        <v>10957.040980591382</v>
      </c>
      <c r="AW25" s="1713">
        <f t="shared" ref="AW25:AW26" si="131">+AS25+AU25</f>
        <v>34285.9</v>
      </c>
      <c r="AX25" s="3223">
        <v>611.94870000000003</v>
      </c>
      <c r="AY25" s="4418">
        <v>6808</v>
      </c>
      <c r="AZ25" s="6866">
        <f>+AP25+AT25+AX25</f>
        <v>1775.3734450000011</v>
      </c>
      <c r="BA25" s="6570">
        <f>+AQ25+AU25+AY25</f>
        <v>16528.900000000001</v>
      </c>
      <c r="BB25" s="6866">
        <f t="shared" si="103"/>
        <v>3639.5373649999992</v>
      </c>
      <c r="BC25" s="6570">
        <f t="shared" si="104"/>
        <v>24344.9</v>
      </c>
      <c r="BD25" s="6523">
        <f>+AV25+AX25</f>
        <v>11568.989680591383</v>
      </c>
      <c r="BE25" s="6510">
        <f>+AW25+AY25</f>
        <v>41093.9</v>
      </c>
      <c r="BF25" s="5359">
        <v>0</v>
      </c>
      <c r="BG25" s="5359">
        <v>44255.19</v>
      </c>
      <c r="BI25" s="1673"/>
      <c r="BJ25" s="7808"/>
    </row>
    <row r="26" spans="1:81" ht="15" customHeight="1" thickBot="1" x14ac:dyDescent="0.25">
      <c r="B26" s="1632" t="s">
        <v>855</v>
      </c>
      <c r="C26" s="1577" t="s">
        <v>170</v>
      </c>
      <c r="D26" s="3226">
        <v>55719</v>
      </c>
      <c r="E26" s="2818">
        <v>55719</v>
      </c>
      <c r="F26" s="3226">
        <v>52052</v>
      </c>
      <c r="G26" s="4698">
        <v>52052</v>
      </c>
      <c r="H26" s="2788">
        <f t="shared" ref="H26" si="132">+D26+F26</f>
        <v>107771</v>
      </c>
      <c r="I26" s="1823">
        <f t="shared" si="121"/>
        <v>107771</v>
      </c>
      <c r="J26" s="3226">
        <v>67868.385846153848</v>
      </c>
      <c r="K26" s="4698">
        <v>61691</v>
      </c>
      <c r="L26" s="3066">
        <f t="shared" ref="L26" si="133">+H26+J26</f>
        <v>175639.38584615383</v>
      </c>
      <c r="M26" s="1998">
        <f t="shared" si="122"/>
        <v>169462</v>
      </c>
      <c r="N26" s="3226">
        <v>84144.295989112157</v>
      </c>
      <c r="O26" s="4698">
        <v>63617</v>
      </c>
      <c r="P26" s="2788">
        <f t="shared" ref="P26" si="134">+L26+N26</f>
        <v>259783.681835266</v>
      </c>
      <c r="Q26" s="1713">
        <f t="shared" si="123"/>
        <v>233079</v>
      </c>
      <c r="R26" s="3226">
        <v>83653.886290347698</v>
      </c>
      <c r="S26" s="4698">
        <v>75389</v>
      </c>
      <c r="T26" s="2788">
        <f t="shared" ref="T26" si="135">+P26+R26</f>
        <v>343437.56812561373</v>
      </c>
      <c r="U26" s="1713">
        <f t="shared" si="124"/>
        <v>308468</v>
      </c>
      <c r="V26" s="3226">
        <v>82552.966558166838</v>
      </c>
      <c r="W26" s="4698">
        <v>40763</v>
      </c>
      <c r="X26" s="6502">
        <f t="shared" si="125"/>
        <v>250351.14883762668</v>
      </c>
      <c r="Y26" s="6570">
        <f t="shared" si="126"/>
        <v>179769</v>
      </c>
      <c r="Z26" s="6524">
        <f t="shared" ref="Z26" si="136">+T26+V26</f>
        <v>425990.53468378057</v>
      </c>
      <c r="AA26" s="6510">
        <f t="shared" si="127"/>
        <v>349231</v>
      </c>
      <c r="AB26" s="3226">
        <v>43736.538461538454</v>
      </c>
      <c r="AC26" s="4698">
        <v>47916</v>
      </c>
      <c r="AD26" s="2788">
        <f t="shared" ref="AD26" si="137">+Z26+AB26</f>
        <v>469727.07314531901</v>
      </c>
      <c r="AE26" s="1713">
        <f t="shared" si="128"/>
        <v>397147</v>
      </c>
      <c r="AF26" s="3226">
        <v>81175.01538461537</v>
      </c>
      <c r="AG26" s="4698">
        <v>57141</v>
      </c>
      <c r="AH26" s="2788">
        <f t="shared" ref="AH26" si="138">+AD26+AF26</f>
        <v>550902.08852993441</v>
      </c>
      <c r="AI26" s="1713">
        <f t="shared" si="129"/>
        <v>454288</v>
      </c>
      <c r="AJ26" s="3226">
        <v>85373.723076923066</v>
      </c>
      <c r="AK26" s="4698">
        <v>68072</v>
      </c>
      <c r="AL26" s="6866">
        <f>+AB26+AF26+AJ26</f>
        <v>210285.27692307689</v>
      </c>
      <c r="AM26" s="6570">
        <f>+AC26+AG26+AK26</f>
        <v>173129</v>
      </c>
      <c r="AN26" s="2788">
        <f>+AH26+AJ26</f>
        <v>636275.81160685746</v>
      </c>
      <c r="AO26" s="1713">
        <f>+AI26+AK26</f>
        <v>522360</v>
      </c>
      <c r="AP26" s="3226">
        <v>83974.153846153844</v>
      </c>
      <c r="AQ26" s="4698">
        <v>81284</v>
      </c>
      <c r="AR26" s="2788">
        <f t="shared" ref="AR26" si="139">+AN26+AP26</f>
        <v>720249.96545301133</v>
      </c>
      <c r="AS26" s="1713">
        <f t="shared" si="130"/>
        <v>603644</v>
      </c>
      <c r="AT26" s="3226">
        <v>76976</v>
      </c>
      <c r="AU26" s="4698">
        <v>80505</v>
      </c>
      <c r="AV26" s="2788">
        <f t="shared" ref="AV26" si="140">+AR26+AT26</f>
        <v>797225.96545301133</v>
      </c>
      <c r="AW26" s="1713">
        <f t="shared" si="131"/>
        <v>684149</v>
      </c>
      <c r="AX26" s="3226">
        <v>85374</v>
      </c>
      <c r="AY26" s="4698">
        <v>92550</v>
      </c>
      <c r="AZ26" s="6866">
        <f>+AP26+AT26+AX26</f>
        <v>246324.15384615384</v>
      </c>
      <c r="BA26" s="6570">
        <f>+AQ26+AU26+AY26</f>
        <v>254339</v>
      </c>
      <c r="BB26" s="6866">
        <f t="shared" si="103"/>
        <v>456609.4307692307</v>
      </c>
      <c r="BC26" s="6570">
        <f t="shared" si="104"/>
        <v>427468</v>
      </c>
      <c r="BD26" s="6524">
        <f>+AV26+AX26</f>
        <v>882599.96545301133</v>
      </c>
      <c r="BE26" s="6510">
        <f>+AW26+AY26</f>
        <v>776699</v>
      </c>
      <c r="BF26" s="6481">
        <v>854657.99999999988</v>
      </c>
      <c r="BG26" s="6481">
        <v>809638.20576449996</v>
      </c>
      <c r="BI26" s="1673"/>
      <c r="BJ26" s="7808"/>
    </row>
    <row r="27" spans="1:81" s="3380" customFormat="1" ht="15" customHeight="1" x14ac:dyDescent="0.2">
      <c r="B27" s="5320" t="s">
        <v>124</v>
      </c>
      <c r="C27" s="4902"/>
      <c r="D27" s="5302"/>
      <c r="E27" s="5303"/>
      <c r="F27" s="5302"/>
      <c r="G27" s="5303"/>
      <c r="H27" s="5302"/>
      <c r="I27" s="4902"/>
      <c r="J27" s="5302"/>
      <c r="K27" s="5303"/>
      <c r="L27" s="5302"/>
      <c r="M27" s="4902"/>
      <c r="N27" s="5302"/>
      <c r="O27" s="5303"/>
      <c r="P27" s="5302"/>
      <c r="Q27" s="4902"/>
      <c r="R27" s="5302"/>
      <c r="S27" s="5303"/>
      <c r="T27" s="5302"/>
      <c r="U27" s="4902"/>
      <c r="V27" s="5302"/>
      <c r="W27" s="5303"/>
      <c r="X27" s="5302"/>
      <c r="Y27" s="4902"/>
      <c r="Z27" s="5302"/>
      <c r="AA27" s="4902"/>
      <c r="AB27" s="5302"/>
      <c r="AC27" s="5303"/>
      <c r="AD27" s="5302"/>
      <c r="AE27" s="4902"/>
      <c r="AF27" s="5302"/>
      <c r="AG27" s="5303"/>
      <c r="AH27" s="5302"/>
      <c r="AI27" s="4902"/>
      <c r="AJ27" s="5302"/>
      <c r="AK27" s="5303"/>
      <c r="AL27" s="5302"/>
      <c r="AM27" s="4902"/>
      <c r="AN27" s="5302"/>
      <c r="AO27" s="4902"/>
      <c r="AP27" s="5302"/>
      <c r="AQ27" s="5303"/>
      <c r="AR27" s="5302"/>
      <c r="AS27" s="4902"/>
      <c r="AT27" s="5302"/>
      <c r="AU27" s="5303"/>
      <c r="AV27" s="5302"/>
      <c r="AW27" s="4902"/>
      <c r="AX27" s="5302"/>
      <c r="AY27" s="5303"/>
      <c r="AZ27" s="5302"/>
      <c r="BA27" s="4902"/>
      <c r="BB27" s="5302"/>
      <c r="BC27" s="4902"/>
      <c r="BD27" s="5302"/>
      <c r="BE27" s="4902"/>
      <c r="BF27" s="5343"/>
      <c r="BG27" s="5343"/>
      <c r="BI27" s="1673"/>
      <c r="BJ27" s="7808"/>
    </row>
    <row r="28" spans="1:81" s="2269" customFormat="1" ht="15" customHeight="1" x14ac:dyDescent="0.2">
      <c r="B28" s="5186" t="s">
        <v>129</v>
      </c>
      <c r="C28" s="1545" t="s">
        <v>170</v>
      </c>
      <c r="D28" s="4811">
        <v>14366.399999999998</v>
      </c>
      <c r="E28" s="2750">
        <v>14366.399999999998</v>
      </c>
      <c r="F28" s="4811">
        <v>17668</v>
      </c>
      <c r="G28" s="4406">
        <v>17668</v>
      </c>
      <c r="H28" s="5181">
        <f t="shared" ref="H28:I30" si="141">+D28+F28</f>
        <v>32034.399999999998</v>
      </c>
      <c r="I28" s="1823">
        <f t="shared" si="141"/>
        <v>32034.399999999998</v>
      </c>
      <c r="J28" s="4811">
        <v>35910</v>
      </c>
      <c r="K28" s="4406">
        <v>31338.144000000004</v>
      </c>
      <c r="L28" s="5180">
        <f t="shared" ref="L28:M30" si="142">+H28+J28</f>
        <v>67944.399999999994</v>
      </c>
      <c r="M28" s="1998">
        <f t="shared" si="142"/>
        <v>63372.544000000002</v>
      </c>
      <c r="N28" s="4811">
        <v>35000</v>
      </c>
      <c r="O28" s="4406">
        <v>32647.336000000003</v>
      </c>
      <c r="P28" s="5887">
        <f t="shared" ref="P28:Q30" si="143">+L28+N28</f>
        <v>102944.4</v>
      </c>
      <c r="Q28" s="1713">
        <f t="shared" si="143"/>
        <v>96019.88</v>
      </c>
      <c r="R28" s="4811">
        <v>35000</v>
      </c>
      <c r="S28" s="4406">
        <v>34032.42</v>
      </c>
      <c r="T28" s="6345">
        <f t="shared" ref="T28:T30" si="144">+P28+R28</f>
        <v>137944.4</v>
      </c>
      <c r="U28" s="1713">
        <f t="shared" ref="U28:U30" si="145">+Q28+S28</f>
        <v>130052.3</v>
      </c>
      <c r="V28" s="4811">
        <v>32000</v>
      </c>
      <c r="W28" s="4406">
        <v>27037.867999999995</v>
      </c>
      <c r="X28" s="6502">
        <f t="shared" ref="X28:X30" si="146">+N28+R28+V28</f>
        <v>102000</v>
      </c>
      <c r="Y28" s="6570">
        <f t="shared" ref="Y28:Y30" si="147">+O28+S28+W28</f>
        <v>93717.623999999982</v>
      </c>
      <c r="Z28" s="6517">
        <f t="shared" ref="Z28:Z30" si="148">+T28+V28</f>
        <v>169944.4</v>
      </c>
      <c r="AA28" s="6510">
        <f t="shared" ref="AA28:AA30" si="149">+U28+W28</f>
        <v>157090.16800000001</v>
      </c>
      <c r="AB28" s="4811">
        <v>40000</v>
      </c>
      <c r="AC28" s="4406">
        <v>26925.815999999995</v>
      </c>
      <c r="AD28" s="7317">
        <f t="shared" ref="AD28:AD30" si="150">+Z28+AB28</f>
        <v>209944.4</v>
      </c>
      <c r="AE28" s="1713">
        <f t="shared" ref="AE28:AE30" si="151">+AA28+AC28</f>
        <v>184015.984</v>
      </c>
      <c r="AF28" s="4811">
        <v>45249.811321000008</v>
      </c>
      <c r="AG28" s="4406">
        <v>32756.969999999994</v>
      </c>
      <c r="AH28" s="7584">
        <f t="shared" ref="AH28:AH30" si="152">+AD28+AF28</f>
        <v>255194.21132100001</v>
      </c>
      <c r="AI28" s="1713">
        <f t="shared" ref="AI28:AI30" si="153">+AE28+AG28</f>
        <v>216772.954</v>
      </c>
      <c r="AJ28" s="4811">
        <v>46294.037736100006</v>
      </c>
      <c r="AK28" s="4406">
        <v>34721.175999999999</v>
      </c>
      <c r="AL28" s="6866">
        <f t="shared" ref="AL28:AM30" si="154">+AB28+AF28+AJ28</f>
        <v>131543.84905710001</v>
      </c>
      <c r="AM28" s="6570">
        <f t="shared" si="154"/>
        <v>94403.962</v>
      </c>
      <c r="AN28" s="7695">
        <f t="shared" ref="AN28:AO30" si="155">+AH28+AJ28</f>
        <v>301488.24905710004</v>
      </c>
      <c r="AO28" s="1713">
        <f t="shared" si="155"/>
        <v>251494.13</v>
      </c>
      <c r="AP28" s="4811">
        <v>46294.037736100006</v>
      </c>
      <c r="AQ28" s="4406">
        <v>36021.128000000004</v>
      </c>
      <c r="AR28" s="8045">
        <f t="shared" ref="AR28:AR30" si="156">+AN28+AP28</f>
        <v>347782.28679320007</v>
      </c>
      <c r="AS28" s="1713">
        <f t="shared" ref="AS28:AS30" si="157">+AO28+AQ28</f>
        <v>287515.25800000003</v>
      </c>
      <c r="AT28" s="4811">
        <v>41769</v>
      </c>
      <c r="AU28" s="4406">
        <v>31000.400000000001</v>
      </c>
      <c r="AV28" s="8140">
        <f t="shared" ref="AV28:AV30" si="158">+AR28+AT28</f>
        <v>389551.28679320007</v>
      </c>
      <c r="AW28" s="1713">
        <f t="shared" ref="AW28:AW30" si="159">+AS28+AU28</f>
        <v>318515.65800000005</v>
      </c>
      <c r="AX28" s="4811">
        <v>46414.675000000003</v>
      </c>
      <c r="AY28" s="4406">
        <v>38003</v>
      </c>
      <c r="AZ28" s="6866">
        <f t="shared" ref="AZ28:BA30" si="160">+AP28+AT28+AX28</f>
        <v>134477.71273610002</v>
      </c>
      <c r="BA28" s="6570">
        <f t="shared" si="160"/>
        <v>105024.52800000001</v>
      </c>
      <c r="BB28" s="6866">
        <f t="shared" ref="BB28:BB35" si="161">+AL28+AZ28</f>
        <v>266021.56179320003</v>
      </c>
      <c r="BC28" s="6570">
        <f t="shared" ref="BC28:BC35" si="162">+AM28+BA28</f>
        <v>199428.49</v>
      </c>
      <c r="BD28" s="8324">
        <f t="shared" ref="BD28:BE30" si="163">+AV28+AX28</f>
        <v>435965.96179320005</v>
      </c>
      <c r="BE28" s="6510">
        <f t="shared" si="163"/>
        <v>356518.65800000005</v>
      </c>
      <c r="BF28" s="6481">
        <v>500000</v>
      </c>
      <c r="BG28" s="6481">
        <v>412025.22</v>
      </c>
      <c r="BH28" s="3380">
        <v>106766.45999999999</v>
      </c>
      <c r="BI28" s="1673">
        <f>+AO28+BH28</f>
        <v>358260.58999999997</v>
      </c>
      <c r="BJ28" s="7808">
        <f t="shared" si="71"/>
        <v>0.35826058999999999</v>
      </c>
      <c r="BK28" s="3380"/>
      <c r="BL28" s="3380"/>
      <c r="BM28" s="3380"/>
      <c r="BN28" s="3380"/>
      <c r="BO28" s="3380"/>
      <c r="BP28" s="3380"/>
      <c r="BQ28" s="3380"/>
      <c r="BR28" s="3380"/>
      <c r="BS28" s="3380"/>
      <c r="BT28" s="3380"/>
      <c r="BU28" s="3380"/>
      <c r="BV28" s="3380"/>
      <c r="BW28" s="3380"/>
      <c r="BX28" s="3380"/>
      <c r="BY28" s="3380"/>
      <c r="BZ28" s="3380"/>
      <c r="CA28" s="3380"/>
      <c r="CB28" s="3380"/>
      <c r="CC28" s="3380"/>
    </row>
    <row r="29" spans="1:81" ht="15" customHeight="1" x14ac:dyDescent="0.2">
      <c r="B29" s="5187" t="s">
        <v>853</v>
      </c>
      <c r="C29" s="1545" t="s">
        <v>170</v>
      </c>
      <c r="D29" s="5182">
        <v>8073.1400000000012</v>
      </c>
      <c r="E29" s="2750">
        <v>8073.1400000000012</v>
      </c>
      <c r="F29" s="5295">
        <v>43712</v>
      </c>
      <c r="G29" s="4406">
        <v>43712</v>
      </c>
      <c r="H29" s="5181">
        <f t="shared" si="141"/>
        <v>51785.14</v>
      </c>
      <c r="I29" s="1823">
        <f t="shared" si="141"/>
        <v>51785.14</v>
      </c>
      <c r="J29" s="5695">
        <v>41998</v>
      </c>
      <c r="K29" s="4406">
        <v>32149.444999999996</v>
      </c>
      <c r="L29" s="5180">
        <f t="shared" si="142"/>
        <v>93783.14</v>
      </c>
      <c r="M29" s="1998">
        <f t="shared" si="142"/>
        <v>83934.584999999992</v>
      </c>
      <c r="N29" s="5890">
        <v>59600</v>
      </c>
      <c r="O29" s="4406">
        <v>24173.96</v>
      </c>
      <c r="P29" s="5887">
        <f t="shared" si="143"/>
        <v>153383.14000000001</v>
      </c>
      <c r="Q29" s="1713">
        <f t="shared" si="143"/>
        <v>108108.54499999998</v>
      </c>
      <c r="R29" s="6346">
        <v>55000</v>
      </c>
      <c r="S29" s="4406">
        <v>30791.565000000002</v>
      </c>
      <c r="T29" s="6345">
        <f t="shared" si="144"/>
        <v>208383.14</v>
      </c>
      <c r="U29" s="1713">
        <f t="shared" si="145"/>
        <v>138900.10999999999</v>
      </c>
      <c r="V29" s="6484">
        <v>58000</v>
      </c>
      <c r="W29" s="4406">
        <v>31774.47</v>
      </c>
      <c r="X29" s="6502">
        <f t="shared" si="146"/>
        <v>172600</v>
      </c>
      <c r="Y29" s="6570">
        <f t="shared" si="147"/>
        <v>86739.994999999995</v>
      </c>
      <c r="Z29" s="6517">
        <f t="shared" si="148"/>
        <v>266383.14</v>
      </c>
      <c r="AA29" s="6510">
        <f t="shared" si="149"/>
        <v>170674.58</v>
      </c>
      <c r="AB29" s="7318">
        <v>50000</v>
      </c>
      <c r="AC29" s="4406">
        <v>29425.244999999999</v>
      </c>
      <c r="AD29" s="7317">
        <f t="shared" si="150"/>
        <v>316383.14</v>
      </c>
      <c r="AE29" s="1713">
        <f t="shared" si="151"/>
        <v>200099.82499999998</v>
      </c>
      <c r="AF29" s="7393">
        <v>72144</v>
      </c>
      <c r="AG29" s="4406">
        <v>39377.084999999999</v>
      </c>
      <c r="AH29" s="7584">
        <f t="shared" si="152"/>
        <v>388527.14</v>
      </c>
      <c r="AI29" s="1713">
        <f t="shared" si="153"/>
        <v>239476.90999999997</v>
      </c>
      <c r="AJ29" s="7393">
        <v>72945.600000000006</v>
      </c>
      <c r="AK29" s="4406">
        <v>55325.43</v>
      </c>
      <c r="AL29" s="6866">
        <f t="shared" si="154"/>
        <v>195089.6</v>
      </c>
      <c r="AM29" s="6570">
        <f t="shared" si="154"/>
        <v>124127.76000000001</v>
      </c>
      <c r="AN29" s="7695">
        <f t="shared" si="155"/>
        <v>461472.74</v>
      </c>
      <c r="AO29" s="1713">
        <f t="shared" si="155"/>
        <v>294802.33999999997</v>
      </c>
      <c r="AP29" s="7393">
        <v>73480</v>
      </c>
      <c r="AQ29" s="4406">
        <v>46008.409999999996</v>
      </c>
      <c r="AR29" s="8045">
        <f t="shared" si="156"/>
        <v>534952.74</v>
      </c>
      <c r="AS29" s="1713">
        <f t="shared" si="157"/>
        <v>340810.74999999994</v>
      </c>
      <c r="AT29" s="7393">
        <v>66800</v>
      </c>
      <c r="AU29" s="4406">
        <v>48785.52</v>
      </c>
      <c r="AV29" s="8140">
        <f t="shared" si="158"/>
        <v>601752.74</v>
      </c>
      <c r="AW29" s="1713">
        <f t="shared" si="159"/>
        <v>389596.26999999996</v>
      </c>
      <c r="AX29" s="7393">
        <v>73122.399999999994</v>
      </c>
      <c r="AY29" s="4406">
        <v>50951</v>
      </c>
      <c r="AZ29" s="6866">
        <f t="shared" si="160"/>
        <v>213402.4</v>
      </c>
      <c r="BA29" s="6570">
        <f t="shared" si="160"/>
        <v>145744.93</v>
      </c>
      <c r="BB29" s="6866">
        <f t="shared" si="161"/>
        <v>408492</v>
      </c>
      <c r="BC29" s="6570">
        <f t="shared" si="162"/>
        <v>269872.69</v>
      </c>
      <c r="BD29" s="8324">
        <f t="shared" si="163"/>
        <v>674875.14</v>
      </c>
      <c r="BE29" s="6510">
        <f t="shared" si="163"/>
        <v>440547.26999999996</v>
      </c>
      <c r="BF29" s="6481">
        <v>800000</v>
      </c>
      <c r="BG29" s="6481">
        <v>632220.18000000005</v>
      </c>
      <c r="BH29" s="3380">
        <v>164556.92000000004</v>
      </c>
      <c r="BI29" s="1673">
        <f>+AO29+BH29</f>
        <v>459359.26</v>
      </c>
      <c r="BJ29" s="7808">
        <f t="shared" si="71"/>
        <v>0.45935925999999999</v>
      </c>
    </row>
    <row r="30" spans="1:81" ht="15" customHeight="1" x14ac:dyDescent="0.2">
      <c r="B30" s="5187" t="s">
        <v>401</v>
      </c>
      <c r="C30" s="1545" t="s">
        <v>170</v>
      </c>
      <c r="D30" s="5182">
        <v>0</v>
      </c>
      <c r="E30" s="2750">
        <v>0</v>
      </c>
      <c r="F30" s="5295">
        <v>0</v>
      </c>
      <c r="G30" s="4406">
        <v>0</v>
      </c>
      <c r="H30" s="5181">
        <f t="shared" si="141"/>
        <v>0</v>
      </c>
      <c r="I30" s="1823">
        <f t="shared" si="141"/>
        <v>0</v>
      </c>
      <c r="J30" s="5695">
        <v>0</v>
      </c>
      <c r="K30" s="4406">
        <v>0</v>
      </c>
      <c r="L30" s="5180">
        <f t="shared" si="142"/>
        <v>0</v>
      </c>
      <c r="M30" s="1998">
        <f t="shared" si="142"/>
        <v>0</v>
      </c>
      <c r="N30" s="5890">
        <v>7000</v>
      </c>
      <c r="O30" s="4406">
        <v>0</v>
      </c>
      <c r="P30" s="5887">
        <f t="shared" si="143"/>
        <v>7000</v>
      </c>
      <c r="Q30" s="1713">
        <f t="shared" si="143"/>
        <v>0</v>
      </c>
      <c r="R30" s="6346">
        <v>8000</v>
      </c>
      <c r="S30" s="4406">
        <v>0</v>
      </c>
      <c r="T30" s="6345">
        <f t="shared" si="144"/>
        <v>15000</v>
      </c>
      <c r="U30" s="1713">
        <f t="shared" si="145"/>
        <v>0</v>
      </c>
      <c r="V30" s="6484">
        <v>10000</v>
      </c>
      <c r="W30" s="4406">
        <v>0</v>
      </c>
      <c r="X30" s="6502">
        <f t="shared" si="146"/>
        <v>25000</v>
      </c>
      <c r="Y30" s="6570">
        <f t="shared" si="147"/>
        <v>0</v>
      </c>
      <c r="Z30" s="6517">
        <f t="shared" si="148"/>
        <v>25000</v>
      </c>
      <c r="AA30" s="6510">
        <f t="shared" si="149"/>
        <v>0</v>
      </c>
      <c r="AB30" s="7318">
        <v>10000</v>
      </c>
      <c r="AC30" s="4406">
        <v>16462.165640978397</v>
      </c>
      <c r="AD30" s="7317">
        <f t="shared" si="150"/>
        <v>35000</v>
      </c>
      <c r="AE30" s="1713">
        <f t="shared" si="151"/>
        <v>16462.165640978397</v>
      </c>
      <c r="AF30" s="7393">
        <v>40000</v>
      </c>
      <c r="AG30" s="4406">
        <v>18653.110499716</v>
      </c>
      <c r="AH30" s="7584">
        <f t="shared" si="152"/>
        <v>75000</v>
      </c>
      <c r="AI30" s="1713">
        <f t="shared" si="153"/>
        <v>35115.276140694397</v>
      </c>
      <c r="AJ30" s="7393">
        <v>30000</v>
      </c>
      <c r="AK30" s="4406">
        <v>10177.080013598399</v>
      </c>
      <c r="AL30" s="6866">
        <f t="shared" si="154"/>
        <v>80000</v>
      </c>
      <c r="AM30" s="6570">
        <f t="shared" si="154"/>
        <v>45292.356154292793</v>
      </c>
      <c r="AN30" s="7695">
        <f t="shared" si="155"/>
        <v>105000</v>
      </c>
      <c r="AO30" s="1713">
        <f t="shared" si="155"/>
        <v>45292.356154292793</v>
      </c>
      <c r="AP30" s="7393">
        <v>35000</v>
      </c>
      <c r="AQ30" s="4406">
        <v>13495.917984698101</v>
      </c>
      <c r="AR30" s="8045">
        <f t="shared" si="156"/>
        <v>140000</v>
      </c>
      <c r="AS30" s="1713">
        <f t="shared" si="157"/>
        <v>58788.274138990892</v>
      </c>
      <c r="AT30" s="7393">
        <v>35000</v>
      </c>
      <c r="AU30" s="4406">
        <v>19064.62</v>
      </c>
      <c r="AV30" s="8140">
        <f t="shared" si="158"/>
        <v>175000</v>
      </c>
      <c r="AW30" s="1713">
        <f t="shared" si="159"/>
        <v>77852.894138990887</v>
      </c>
      <c r="AX30" s="7393">
        <v>45000</v>
      </c>
      <c r="AY30" s="4406">
        <v>11091</v>
      </c>
      <c r="AZ30" s="6866">
        <f t="shared" si="160"/>
        <v>115000</v>
      </c>
      <c r="BA30" s="6570">
        <f t="shared" si="160"/>
        <v>43651.537984698101</v>
      </c>
      <c r="BB30" s="6866">
        <f t="shared" si="161"/>
        <v>195000</v>
      </c>
      <c r="BC30" s="6570">
        <f t="shared" si="162"/>
        <v>88943.894138990901</v>
      </c>
      <c r="BD30" s="8324">
        <f t="shared" si="163"/>
        <v>220000</v>
      </c>
      <c r="BE30" s="6510">
        <f t="shared" si="163"/>
        <v>88943.894138990887</v>
      </c>
      <c r="BF30" s="6481">
        <v>535000</v>
      </c>
      <c r="BG30" s="6481">
        <v>171634.81128897145</v>
      </c>
      <c r="BH30" s="3380">
        <v>51262.006010822064</v>
      </c>
      <c r="BI30" s="1673">
        <f>+AO30+BH30</f>
        <v>96554.362165114857</v>
      </c>
      <c r="BJ30" s="7808">
        <f t="shared" si="71"/>
        <v>9.6554362165114857E-2</v>
      </c>
    </row>
    <row r="31" spans="1:81" s="3380" customFormat="1" ht="15" customHeight="1" x14ac:dyDescent="0.2">
      <c r="B31" s="6381" t="s">
        <v>1868</v>
      </c>
      <c r="C31" s="6574" t="s">
        <v>170</v>
      </c>
      <c r="D31" s="5189">
        <f>SUM(D28:D30)</f>
        <v>22439.54</v>
      </c>
      <c r="E31" s="5189">
        <f t="shared" ref="E31:BG31" si="164">SUM(E28:E30)</f>
        <v>22439.54</v>
      </c>
      <c r="F31" s="5189">
        <f t="shared" si="164"/>
        <v>61380</v>
      </c>
      <c r="G31" s="5189">
        <f t="shared" si="164"/>
        <v>61380</v>
      </c>
      <c r="H31" s="5189">
        <f t="shared" si="164"/>
        <v>83819.539999999994</v>
      </c>
      <c r="I31" s="5189">
        <f t="shared" si="164"/>
        <v>83819.539999999994</v>
      </c>
      <c r="J31" s="5189">
        <f t="shared" si="164"/>
        <v>77908</v>
      </c>
      <c r="K31" s="5189">
        <f t="shared" si="164"/>
        <v>63487.589</v>
      </c>
      <c r="L31" s="5189">
        <f t="shared" si="164"/>
        <v>161727.53999999998</v>
      </c>
      <c r="M31" s="5189">
        <f t="shared" si="164"/>
        <v>147307.12899999999</v>
      </c>
      <c r="N31" s="5189">
        <f t="shared" ref="N31:O31" si="165">SUM(N28:N30)</f>
        <v>101600</v>
      </c>
      <c r="O31" s="5189">
        <f t="shared" si="165"/>
        <v>56821.296000000002</v>
      </c>
      <c r="P31" s="5189">
        <f t="shared" si="164"/>
        <v>263327.54000000004</v>
      </c>
      <c r="Q31" s="5189">
        <f t="shared" si="164"/>
        <v>204128.42499999999</v>
      </c>
      <c r="R31" s="5189">
        <f t="shared" si="164"/>
        <v>98000</v>
      </c>
      <c r="S31" s="5189">
        <f t="shared" si="164"/>
        <v>64823.985000000001</v>
      </c>
      <c r="T31" s="5189">
        <f t="shared" ref="T31:Y31" si="166">SUM(T28:T30)</f>
        <v>361327.54000000004</v>
      </c>
      <c r="U31" s="5189">
        <f t="shared" si="166"/>
        <v>268952.40999999997</v>
      </c>
      <c r="V31" s="5189">
        <f t="shared" si="166"/>
        <v>100000</v>
      </c>
      <c r="W31" s="5189">
        <f t="shared" si="166"/>
        <v>58812.337999999996</v>
      </c>
      <c r="X31" s="5189">
        <f t="shared" si="166"/>
        <v>299600</v>
      </c>
      <c r="Y31" s="6571">
        <f t="shared" si="166"/>
        <v>180457.61899999998</v>
      </c>
      <c r="Z31" s="5189">
        <f t="shared" ref="Z31:AI31" si="167">SUM(Z28:Z30)</f>
        <v>461327.54000000004</v>
      </c>
      <c r="AA31" s="5189">
        <f t="shared" si="167"/>
        <v>327764.74800000002</v>
      </c>
      <c r="AB31" s="5189">
        <f t="shared" si="167"/>
        <v>100000</v>
      </c>
      <c r="AC31" s="5189">
        <f t="shared" si="167"/>
        <v>72813.226640978392</v>
      </c>
      <c r="AD31" s="5189">
        <f t="shared" si="167"/>
        <v>561327.54</v>
      </c>
      <c r="AE31" s="5189">
        <f t="shared" si="167"/>
        <v>400577.97464097838</v>
      </c>
      <c r="AF31" s="5189">
        <f t="shared" si="167"/>
        <v>157393.81132100002</v>
      </c>
      <c r="AG31" s="5189">
        <f t="shared" si="167"/>
        <v>90787.165499715993</v>
      </c>
      <c r="AH31" s="5189">
        <f t="shared" si="167"/>
        <v>718721.35132100002</v>
      </c>
      <c r="AI31" s="5189">
        <f t="shared" si="167"/>
        <v>491365.14014069433</v>
      </c>
      <c r="AJ31" s="5189">
        <f t="shared" ref="AJ31:AO31" si="168">SUM(AJ28:AJ30)</f>
        <v>149239.6377361</v>
      </c>
      <c r="AK31" s="5189">
        <f t="shared" si="168"/>
        <v>100223.6860135984</v>
      </c>
      <c r="AL31" s="5189">
        <f t="shared" si="168"/>
        <v>406633.44905709999</v>
      </c>
      <c r="AM31" s="6571">
        <f t="shared" si="168"/>
        <v>263824.07815429277</v>
      </c>
      <c r="AN31" s="5189">
        <f t="shared" si="168"/>
        <v>867960.98905710003</v>
      </c>
      <c r="AO31" s="5189">
        <f t="shared" si="168"/>
        <v>591588.82615429279</v>
      </c>
      <c r="AP31" s="5189">
        <f t="shared" ref="AP31:AS31" si="169">SUM(AP28:AP30)</f>
        <v>154774.0377361</v>
      </c>
      <c r="AQ31" s="5189">
        <f t="shared" si="169"/>
        <v>95525.455984698099</v>
      </c>
      <c r="AR31" s="5189">
        <f t="shared" si="169"/>
        <v>1022735.0267932001</v>
      </c>
      <c r="AS31" s="5189">
        <f t="shared" si="169"/>
        <v>687114.28213899082</v>
      </c>
      <c r="AT31" s="5189">
        <f t="shared" ref="AT31:AU31" si="170">SUM(AT28:AT30)</f>
        <v>143569</v>
      </c>
      <c r="AU31" s="5189">
        <f t="shared" si="170"/>
        <v>98850.54</v>
      </c>
      <c r="AV31" s="5189">
        <f t="shared" ref="AV31:AY31" si="171">SUM(AV28:AV30)</f>
        <v>1166304.0267932001</v>
      </c>
      <c r="AW31" s="5189">
        <f t="shared" si="171"/>
        <v>785964.82213899097</v>
      </c>
      <c r="AX31" s="5189">
        <f t="shared" si="171"/>
        <v>164537.07500000001</v>
      </c>
      <c r="AY31" s="5189">
        <f t="shared" si="171"/>
        <v>100045</v>
      </c>
      <c r="AZ31" s="5189">
        <f t="shared" ref="AZ31:BE31" si="172">SUM(AZ28:AZ30)</f>
        <v>462880.11273609998</v>
      </c>
      <c r="BA31" s="6571">
        <f t="shared" si="172"/>
        <v>294420.99598469806</v>
      </c>
      <c r="BB31" s="5189">
        <f t="shared" si="161"/>
        <v>869513.56179319997</v>
      </c>
      <c r="BC31" s="6571">
        <f t="shared" si="162"/>
        <v>558245.07413899084</v>
      </c>
      <c r="BD31" s="5189">
        <f t="shared" si="172"/>
        <v>1330841.1017932</v>
      </c>
      <c r="BE31" s="5189">
        <f t="shared" si="172"/>
        <v>886009.82213899097</v>
      </c>
      <c r="BF31" s="5189">
        <f t="shared" si="164"/>
        <v>1835000</v>
      </c>
      <c r="BG31" s="5189">
        <f t="shared" si="164"/>
        <v>1215880.2112889714</v>
      </c>
      <c r="BI31" s="1673"/>
      <c r="BJ31" s="7808"/>
    </row>
    <row r="32" spans="1:81" ht="15" customHeight="1" x14ac:dyDescent="0.2">
      <c r="B32" s="5187" t="s">
        <v>1869</v>
      </c>
      <c r="C32" s="1545" t="s">
        <v>170</v>
      </c>
      <c r="D32" s="5182">
        <v>73040</v>
      </c>
      <c r="E32" s="2750">
        <v>73040</v>
      </c>
      <c r="F32" s="5295">
        <v>29860</v>
      </c>
      <c r="G32" s="4406">
        <v>29860</v>
      </c>
      <c r="H32" s="5294">
        <f t="shared" ref="H32:H33" si="173">+D32+F32</f>
        <v>102900</v>
      </c>
      <c r="I32" s="1823">
        <f t="shared" ref="I32:I33" si="174">+E32+G32</f>
        <v>102900</v>
      </c>
      <c r="J32" s="5695">
        <v>33200</v>
      </c>
      <c r="K32" s="4406">
        <v>28297</v>
      </c>
      <c r="L32" s="5694">
        <f t="shared" ref="L32:L33" si="175">+H32+J32</f>
        <v>136100</v>
      </c>
      <c r="M32" s="1998">
        <f t="shared" ref="M32:M33" si="176">+I32+K32</f>
        <v>131197</v>
      </c>
      <c r="N32" s="5890">
        <v>70000</v>
      </c>
      <c r="O32" s="4406">
        <v>63899.25</v>
      </c>
      <c r="P32" s="5887">
        <f t="shared" ref="P32:P33" si="177">+L32+N32</f>
        <v>206100</v>
      </c>
      <c r="Q32" s="1713">
        <f>+M32+O32</f>
        <v>195096.25</v>
      </c>
      <c r="R32" s="6346">
        <v>72000</v>
      </c>
      <c r="S32" s="4406">
        <f>67757.59+2</f>
        <v>67759.59</v>
      </c>
      <c r="T32" s="6345">
        <f t="shared" ref="T32:T33" si="178">+P32+R32</f>
        <v>278100</v>
      </c>
      <c r="U32" s="1713">
        <f>+Q32+S32</f>
        <v>262855.83999999997</v>
      </c>
      <c r="V32" s="6484">
        <v>75000</v>
      </c>
      <c r="W32" s="4406">
        <v>25573.64</v>
      </c>
      <c r="X32" s="6502">
        <f t="shared" ref="X32:X33" si="179">+N32+R32+V32</f>
        <v>217000</v>
      </c>
      <c r="Y32" s="6570">
        <f t="shared" ref="Y32:Y33" si="180">+O32+S32+W32</f>
        <v>157232.47999999998</v>
      </c>
      <c r="Z32" s="6517">
        <f t="shared" ref="Z32:Z33" si="181">+T32+V32</f>
        <v>353100</v>
      </c>
      <c r="AA32" s="6510">
        <f>+U32+W32</f>
        <v>288429.48</v>
      </c>
      <c r="AB32" s="7318">
        <v>0</v>
      </c>
      <c r="AC32" s="4406">
        <v>7100</v>
      </c>
      <c r="AD32" s="7317">
        <f t="shared" ref="AD32:AD33" si="182">+Z32+AB32</f>
        <v>353100</v>
      </c>
      <c r="AE32" s="1713">
        <f>+AA32+AC32</f>
        <v>295529.48</v>
      </c>
      <c r="AF32" s="7393">
        <v>31910.882050777189</v>
      </c>
      <c r="AG32" s="4406">
        <f>33228.37+22</f>
        <v>33250.370000000003</v>
      </c>
      <c r="AH32" s="7584">
        <f t="shared" ref="AH32:AH33" si="183">+AD32+AF32</f>
        <v>385010.8820507772</v>
      </c>
      <c r="AI32" s="1713">
        <f>+AE32+AG32</f>
        <v>328779.84999999998</v>
      </c>
      <c r="AJ32" s="7393">
        <v>38425.608563626927</v>
      </c>
      <c r="AK32" s="4406">
        <v>49987.87999999999</v>
      </c>
      <c r="AL32" s="6866">
        <f>+AB32+AF32+AJ32</f>
        <v>70336.490614404116</v>
      </c>
      <c r="AM32" s="6570">
        <f>+AC32+AG32+AK32</f>
        <v>90338.25</v>
      </c>
      <c r="AN32" s="7695">
        <f>+AH32+AJ32</f>
        <v>423436.49061440415</v>
      </c>
      <c r="AO32" s="1713">
        <f>+AI32+AK32</f>
        <v>378767.73</v>
      </c>
      <c r="AP32" s="7393">
        <v>38089.326180207252</v>
      </c>
      <c r="AQ32" s="4406">
        <v>71742</v>
      </c>
      <c r="AR32" s="8045">
        <f t="shared" ref="AR32:AR33" si="184">+AN32+AP32</f>
        <v>461525.8167946114</v>
      </c>
      <c r="AS32" s="1713">
        <f>+AO32+AQ32</f>
        <v>450509.73</v>
      </c>
      <c r="AT32" s="7393">
        <v>34053</v>
      </c>
      <c r="AU32" s="4406">
        <v>72217</v>
      </c>
      <c r="AV32" s="8140">
        <f t="shared" ref="AV32:AV33" si="185">+AR32+AT32</f>
        <v>495578.8167946114</v>
      </c>
      <c r="AW32" s="1713">
        <f>+AS32+AU32</f>
        <v>522726.73</v>
      </c>
      <c r="AX32" s="7393">
        <v>37477</v>
      </c>
      <c r="AY32" s="4406">
        <v>85769</v>
      </c>
      <c r="AZ32" s="6866">
        <f>+AP32+AT32+AX32</f>
        <v>109619.32618020725</v>
      </c>
      <c r="BA32" s="6570">
        <f>+AQ32+AU32+AY32</f>
        <v>229728</v>
      </c>
      <c r="BB32" s="6866">
        <f t="shared" si="161"/>
        <v>179955.81679461137</v>
      </c>
      <c r="BC32" s="6570">
        <f t="shared" si="162"/>
        <v>320066.25</v>
      </c>
      <c r="BD32" s="8324">
        <f>+AV32+AX32</f>
        <v>533055.8167946114</v>
      </c>
      <c r="BE32" s="6510">
        <f>+AW32+AY32</f>
        <v>608495.73</v>
      </c>
      <c r="BF32" s="6481">
        <v>304999.74093264237</v>
      </c>
      <c r="BG32" s="6481">
        <v>629438.95550700894</v>
      </c>
      <c r="BI32" s="1673"/>
      <c r="BJ32" s="7808"/>
    </row>
    <row r="33" spans="2:62" ht="15" customHeight="1" x14ac:dyDescent="0.2">
      <c r="B33" s="5187" t="s">
        <v>1870</v>
      </c>
      <c r="C33" s="1545" t="s">
        <v>170</v>
      </c>
      <c r="D33" s="5182">
        <v>21768</v>
      </c>
      <c r="E33" s="2750">
        <v>21768</v>
      </c>
      <c r="F33" s="5295">
        <v>36077</v>
      </c>
      <c r="G33" s="4406">
        <v>36077</v>
      </c>
      <c r="H33" s="5294">
        <f t="shared" si="173"/>
        <v>57845</v>
      </c>
      <c r="I33" s="1823">
        <f t="shared" si="174"/>
        <v>57845</v>
      </c>
      <c r="J33" s="5695">
        <v>44642</v>
      </c>
      <c r="K33" s="4406">
        <v>43155.667699999991</v>
      </c>
      <c r="L33" s="5694">
        <f t="shared" si="175"/>
        <v>102487</v>
      </c>
      <c r="M33" s="1998">
        <f t="shared" si="176"/>
        <v>101000.66769999999</v>
      </c>
      <c r="N33" s="5890">
        <v>49500</v>
      </c>
      <c r="O33" s="4406">
        <v>59289.8</v>
      </c>
      <c r="P33" s="5887">
        <f t="shared" si="177"/>
        <v>151987</v>
      </c>
      <c r="Q33" s="1713">
        <f t="shared" ref="Q33" si="186">+M33+O33</f>
        <v>160290.46769999998</v>
      </c>
      <c r="R33" s="6346">
        <v>50000</v>
      </c>
      <c r="S33" s="4406">
        <v>40294.224000000002</v>
      </c>
      <c r="T33" s="6345">
        <f t="shared" si="178"/>
        <v>201987</v>
      </c>
      <c r="U33" s="1713">
        <f t="shared" ref="U33" si="187">+Q33+S33</f>
        <v>200584.69169999997</v>
      </c>
      <c r="V33" s="6484">
        <v>46000</v>
      </c>
      <c r="W33" s="4406">
        <v>11235.673500000003</v>
      </c>
      <c r="X33" s="6502">
        <f t="shared" si="179"/>
        <v>145500</v>
      </c>
      <c r="Y33" s="6570">
        <f t="shared" si="180"/>
        <v>110819.69750000001</v>
      </c>
      <c r="Z33" s="6517">
        <f t="shared" si="181"/>
        <v>247987</v>
      </c>
      <c r="AA33" s="6510">
        <f t="shared" ref="AA33" si="188">+U33+W33</f>
        <v>211820.36519999997</v>
      </c>
      <c r="AB33" s="7318">
        <v>9175.3772204806719</v>
      </c>
      <c r="AC33" s="4406">
        <v>7360</v>
      </c>
      <c r="AD33" s="7317">
        <f t="shared" si="182"/>
        <v>257162.37722048067</v>
      </c>
      <c r="AE33" s="1713">
        <f t="shared" ref="AE33" si="189">+AA33+AC33</f>
        <v>219180.36519999997</v>
      </c>
      <c r="AF33" s="7393">
        <v>20595.216823406481</v>
      </c>
      <c r="AG33" s="4406">
        <v>7790</v>
      </c>
      <c r="AH33" s="7584">
        <f t="shared" si="183"/>
        <v>277757.59404388716</v>
      </c>
      <c r="AI33" s="1713">
        <f t="shared" ref="AI33" si="190">+AE33+AG33</f>
        <v>226970.36519999997</v>
      </c>
      <c r="AJ33" s="7393">
        <v>31252.037617554863</v>
      </c>
      <c r="AK33" s="4406">
        <v>19962.437700000002</v>
      </c>
      <c r="AL33" s="6866">
        <f>+AB33+AF33+AJ33</f>
        <v>61022.631661442021</v>
      </c>
      <c r="AM33" s="6570">
        <f>+AC33+AG33+AK33</f>
        <v>35112.437700000002</v>
      </c>
      <c r="AN33" s="7695">
        <f>+AH33+AJ33</f>
        <v>309009.63166144205</v>
      </c>
      <c r="AO33" s="1713">
        <f>+AI33+AK33</f>
        <v>246932.80289999998</v>
      </c>
      <c r="AP33" s="7393">
        <v>23177.377220480674</v>
      </c>
      <c r="AQ33" s="4406">
        <v>23925</v>
      </c>
      <c r="AR33" s="8045">
        <f t="shared" si="184"/>
        <v>332187.00888192269</v>
      </c>
      <c r="AS33" s="1713">
        <f t="shared" ref="AS33" si="191">+AO33+AQ33</f>
        <v>270857.80290000001</v>
      </c>
      <c r="AT33" s="7393">
        <v>21445</v>
      </c>
      <c r="AU33" s="4406">
        <v>19587</v>
      </c>
      <c r="AV33" s="8140">
        <f t="shared" si="185"/>
        <v>353632.00888192269</v>
      </c>
      <c r="AW33" s="1713">
        <f t="shared" ref="AW33" si="192">+AS33+AU33</f>
        <v>290444.80290000001</v>
      </c>
      <c r="AX33" s="7393">
        <v>17746</v>
      </c>
      <c r="AY33" s="4406">
        <f>+SMS!AY40+SMS!AY42</f>
        <v>38934</v>
      </c>
      <c r="AZ33" s="6866">
        <f>+AP33+AT33+AX33</f>
        <v>62368.377220480674</v>
      </c>
      <c r="BA33" s="6570">
        <f>+AQ33+AU33+AY33</f>
        <v>82446</v>
      </c>
      <c r="BB33" s="6866">
        <f t="shared" si="161"/>
        <v>123391.00888192269</v>
      </c>
      <c r="BC33" s="6570">
        <f t="shared" si="162"/>
        <v>117558.43770000001</v>
      </c>
      <c r="BD33" s="8324">
        <f>+AV33+AX33</f>
        <v>371378.00888192269</v>
      </c>
      <c r="BE33" s="6510">
        <f>+AW33+AY33</f>
        <v>329378.80290000001</v>
      </c>
      <c r="BF33" s="6481">
        <v>267000</v>
      </c>
      <c r="BG33" s="6481">
        <v>248401</v>
      </c>
      <c r="BI33" s="1673"/>
      <c r="BJ33" s="7808"/>
    </row>
    <row r="34" spans="2:62" s="3380" customFormat="1" ht="15" customHeight="1" x14ac:dyDescent="0.2">
      <c r="B34" s="6381" t="s">
        <v>1871</v>
      </c>
      <c r="C34" s="6574" t="s">
        <v>170</v>
      </c>
      <c r="D34" s="5189">
        <f>SUM(D32:D33)</f>
        <v>94808</v>
      </c>
      <c r="E34" s="5189">
        <f t="shared" ref="E34:BG34" si="193">SUM(E32:E33)</f>
        <v>94808</v>
      </c>
      <c r="F34" s="5189">
        <f t="shared" si="193"/>
        <v>65937</v>
      </c>
      <c r="G34" s="5189">
        <f t="shared" si="193"/>
        <v>65937</v>
      </c>
      <c r="H34" s="5189">
        <f t="shared" si="193"/>
        <v>160745</v>
      </c>
      <c r="I34" s="5189">
        <f t="shared" si="193"/>
        <v>160745</v>
      </c>
      <c r="J34" s="5189">
        <f t="shared" si="193"/>
        <v>77842</v>
      </c>
      <c r="K34" s="5189">
        <f t="shared" si="193"/>
        <v>71452.667699999991</v>
      </c>
      <c r="L34" s="5189">
        <f t="shared" si="193"/>
        <v>238587</v>
      </c>
      <c r="M34" s="5189">
        <f t="shared" si="193"/>
        <v>232197.66769999999</v>
      </c>
      <c r="N34" s="5189">
        <f t="shared" ref="N34:O34" si="194">SUM(N32:N33)</f>
        <v>119500</v>
      </c>
      <c r="O34" s="5189">
        <f t="shared" si="194"/>
        <v>123189.05</v>
      </c>
      <c r="P34" s="5189">
        <f t="shared" si="193"/>
        <v>358087</v>
      </c>
      <c r="Q34" s="5189">
        <f t="shared" si="193"/>
        <v>355386.71769999998</v>
      </c>
      <c r="R34" s="5189">
        <f t="shared" si="193"/>
        <v>122000</v>
      </c>
      <c r="S34" s="5189">
        <f t="shared" si="193"/>
        <v>108053.814</v>
      </c>
      <c r="T34" s="5189">
        <f t="shared" ref="T34:Y34" si="195">SUM(T32:T33)</f>
        <v>480087</v>
      </c>
      <c r="U34" s="5189">
        <f t="shared" si="195"/>
        <v>463440.53169999993</v>
      </c>
      <c r="V34" s="5189">
        <f t="shared" si="195"/>
        <v>121000</v>
      </c>
      <c r="W34" s="5189">
        <f t="shared" si="195"/>
        <v>36809.313500000004</v>
      </c>
      <c r="X34" s="5189">
        <f t="shared" si="195"/>
        <v>362500</v>
      </c>
      <c r="Y34" s="6571">
        <f t="shared" si="195"/>
        <v>268052.17749999999</v>
      </c>
      <c r="Z34" s="5189">
        <f t="shared" ref="Z34:AI34" si="196">SUM(Z32:Z33)</f>
        <v>601087</v>
      </c>
      <c r="AA34" s="5189">
        <f t="shared" si="196"/>
        <v>500249.84519999998</v>
      </c>
      <c r="AB34" s="5189">
        <f t="shared" si="196"/>
        <v>9175.3772204806719</v>
      </c>
      <c r="AC34" s="5189">
        <f t="shared" si="196"/>
        <v>14460</v>
      </c>
      <c r="AD34" s="5189">
        <f t="shared" si="196"/>
        <v>610262.3772204807</v>
      </c>
      <c r="AE34" s="5189">
        <f t="shared" si="196"/>
        <v>514709.84519999998</v>
      </c>
      <c r="AF34" s="5189">
        <f t="shared" si="196"/>
        <v>52506.09887418367</v>
      </c>
      <c r="AG34" s="5189">
        <f t="shared" si="196"/>
        <v>41040.370000000003</v>
      </c>
      <c r="AH34" s="5189">
        <f t="shared" si="196"/>
        <v>662768.47609466431</v>
      </c>
      <c r="AI34" s="5189">
        <f t="shared" si="196"/>
        <v>555750.21519999998</v>
      </c>
      <c r="AJ34" s="5189">
        <f t="shared" ref="AJ34:AO34" si="197">SUM(AJ32:AJ33)</f>
        <v>69677.646181181786</v>
      </c>
      <c r="AK34" s="5189">
        <f t="shared" si="197"/>
        <v>69950.317699999985</v>
      </c>
      <c r="AL34" s="5189">
        <f t="shared" si="197"/>
        <v>131359.12227584614</v>
      </c>
      <c r="AM34" s="6571">
        <f t="shared" si="197"/>
        <v>125450.68770000001</v>
      </c>
      <c r="AN34" s="5189">
        <f t="shared" si="197"/>
        <v>732446.1222758462</v>
      </c>
      <c r="AO34" s="5189">
        <f t="shared" si="197"/>
        <v>625700.53289999999</v>
      </c>
      <c r="AP34" s="5189">
        <f t="shared" ref="AP34:AS34" si="198">SUM(AP32:AP33)</f>
        <v>61266.703400687926</v>
      </c>
      <c r="AQ34" s="5189">
        <f t="shared" si="198"/>
        <v>95667</v>
      </c>
      <c r="AR34" s="5189">
        <f t="shared" si="198"/>
        <v>793712.82567653409</v>
      </c>
      <c r="AS34" s="5189">
        <f t="shared" si="198"/>
        <v>721367.53289999999</v>
      </c>
      <c r="AT34" s="5189">
        <f t="shared" ref="AT34:AU34" si="199">SUM(AT32:AT33)</f>
        <v>55498</v>
      </c>
      <c r="AU34" s="5189">
        <f t="shared" si="199"/>
        <v>91804</v>
      </c>
      <c r="AV34" s="5189">
        <f t="shared" ref="AV34:AY34" si="200">SUM(AV32:AV33)</f>
        <v>849210.82567653409</v>
      </c>
      <c r="AW34" s="5189">
        <f t="shared" si="200"/>
        <v>813171.53289999999</v>
      </c>
      <c r="AX34" s="5189">
        <f t="shared" si="200"/>
        <v>55223</v>
      </c>
      <c r="AY34" s="5189">
        <f t="shared" si="200"/>
        <v>124703</v>
      </c>
      <c r="AZ34" s="5189">
        <f t="shared" ref="AZ34:BE34" si="201">SUM(AZ32:AZ33)</f>
        <v>171987.70340068793</v>
      </c>
      <c r="BA34" s="6571">
        <f t="shared" si="201"/>
        <v>312174</v>
      </c>
      <c r="BB34" s="5189">
        <f t="shared" si="161"/>
        <v>303346.82567653409</v>
      </c>
      <c r="BC34" s="6571">
        <f t="shared" si="162"/>
        <v>437624.68770000001</v>
      </c>
      <c r="BD34" s="5189">
        <f t="shared" si="201"/>
        <v>904433.82567653409</v>
      </c>
      <c r="BE34" s="5189">
        <f t="shared" si="201"/>
        <v>937874.53289999999</v>
      </c>
      <c r="BF34" s="5189">
        <f t="shared" si="193"/>
        <v>571999.74093264237</v>
      </c>
      <c r="BG34" s="5189">
        <f t="shared" si="193"/>
        <v>877839.95550700894</v>
      </c>
      <c r="BH34" s="3380">
        <v>247541.92620700903</v>
      </c>
      <c r="BI34" s="1673">
        <f>+AO34+BH34</f>
        <v>873242.459107009</v>
      </c>
      <c r="BJ34" s="7808">
        <f t="shared" si="71"/>
        <v>0.87324245910700904</v>
      </c>
    </row>
    <row r="35" spans="2:62" ht="15" customHeight="1" thickBot="1" x14ac:dyDescent="0.25">
      <c r="B35" s="4073" t="s">
        <v>15</v>
      </c>
      <c r="C35" s="5175" t="s">
        <v>170</v>
      </c>
      <c r="D35" s="4901">
        <f>+D31+D34</f>
        <v>117247.54000000001</v>
      </c>
      <c r="E35" s="4901">
        <f t="shared" ref="E35:BG35" si="202">+E31+E34</f>
        <v>117247.54000000001</v>
      </c>
      <c r="F35" s="4901">
        <f t="shared" si="202"/>
        <v>127317</v>
      </c>
      <c r="G35" s="4901">
        <f t="shared" si="202"/>
        <v>127317</v>
      </c>
      <c r="H35" s="4901">
        <f t="shared" si="202"/>
        <v>244564.53999999998</v>
      </c>
      <c r="I35" s="4901">
        <f t="shared" si="202"/>
        <v>244564.53999999998</v>
      </c>
      <c r="J35" s="4901">
        <f t="shared" si="202"/>
        <v>155750</v>
      </c>
      <c r="K35" s="4901">
        <f t="shared" si="202"/>
        <v>134940.2567</v>
      </c>
      <c r="L35" s="4901">
        <f t="shared" si="202"/>
        <v>400314.54</v>
      </c>
      <c r="M35" s="4901">
        <f t="shared" si="202"/>
        <v>379504.79669999995</v>
      </c>
      <c r="N35" s="4901">
        <f t="shared" ref="N35:O35" si="203">+N31+N34</f>
        <v>221100</v>
      </c>
      <c r="O35" s="4901">
        <f t="shared" si="203"/>
        <v>180010.34600000002</v>
      </c>
      <c r="P35" s="4901">
        <f t="shared" si="202"/>
        <v>621414.54</v>
      </c>
      <c r="Q35" s="4901">
        <f t="shared" si="202"/>
        <v>559515.14269999997</v>
      </c>
      <c r="R35" s="4901">
        <f t="shared" si="202"/>
        <v>220000</v>
      </c>
      <c r="S35" s="4901">
        <f t="shared" si="202"/>
        <v>172877.799</v>
      </c>
      <c r="T35" s="4901">
        <f t="shared" ref="T35:Y35" si="204">+T31+T34</f>
        <v>841414.54</v>
      </c>
      <c r="U35" s="4901">
        <f t="shared" si="204"/>
        <v>732392.94169999985</v>
      </c>
      <c r="V35" s="4901">
        <f t="shared" si="204"/>
        <v>221000</v>
      </c>
      <c r="W35" s="4901">
        <f t="shared" si="204"/>
        <v>95621.651500000007</v>
      </c>
      <c r="X35" s="4901">
        <f t="shared" si="204"/>
        <v>662100</v>
      </c>
      <c r="Y35" s="6572">
        <f t="shared" si="204"/>
        <v>448509.79649999994</v>
      </c>
      <c r="Z35" s="6525">
        <f t="shared" ref="Z35:AI35" si="205">+Z31+Z34</f>
        <v>1062414.54</v>
      </c>
      <c r="AA35" s="6525">
        <f t="shared" si="205"/>
        <v>828014.5932</v>
      </c>
      <c r="AB35" s="4901">
        <f t="shared" si="205"/>
        <v>109175.37722048067</v>
      </c>
      <c r="AC35" s="4901">
        <f t="shared" si="205"/>
        <v>87273.226640978392</v>
      </c>
      <c r="AD35" s="4901">
        <f t="shared" si="205"/>
        <v>1171589.9172204807</v>
      </c>
      <c r="AE35" s="4901">
        <f t="shared" si="205"/>
        <v>915287.81984097837</v>
      </c>
      <c r="AF35" s="4901">
        <f t="shared" si="205"/>
        <v>209899.91019518368</v>
      </c>
      <c r="AG35" s="4901">
        <f t="shared" si="205"/>
        <v>131827.535499716</v>
      </c>
      <c r="AH35" s="4901">
        <f t="shared" si="205"/>
        <v>1381489.8274156642</v>
      </c>
      <c r="AI35" s="4901">
        <f t="shared" si="205"/>
        <v>1047115.3553406943</v>
      </c>
      <c r="AJ35" s="4901">
        <f t="shared" ref="AJ35:AO35" si="206">+AJ31+AJ34</f>
        <v>218917.28391728178</v>
      </c>
      <c r="AK35" s="4901">
        <f t="shared" si="206"/>
        <v>170174.00371359839</v>
      </c>
      <c r="AL35" s="4901">
        <f t="shared" si="206"/>
        <v>537992.57133294619</v>
      </c>
      <c r="AM35" s="6572">
        <f t="shared" si="206"/>
        <v>389274.76585429278</v>
      </c>
      <c r="AN35" s="4901">
        <f t="shared" si="206"/>
        <v>1600407.1113329462</v>
      </c>
      <c r="AO35" s="4901">
        <f t="shared" si="206"/>
        <v>1217289.3590542928</v>
      </c>
      <c r="AP35" s="4901">
        <f t="shared" ref="AP35:AS35" si="207">+AP31+AP34</f>
        <v>216040.74113678792</v>
      </c>
      <c r="AQ35" s="4901">
        <f t="shared" si="207"/>
        <v>191192.45598469808</v>
      </c>
      <c r="AR35" s="4901">
        <f t="shared" si="207"/>
        <v>1816447.8524697341</v>
      </c>
      <c r="AS35" s="4901">
        <f t="shared" si="207"/>
        <v>1408481.8150389907</v>
      </c>
      <c r="AT35" s="4901">
        <f t="shared" ref="AT35:AU35" si="208">+AT31+AT34</f>
        <v>199067</v>
      </c>
      <c r="AU35" s="4901">
        <f t="shared" si="208"/>
        <v>190654.53999999998</v>
      </c>
      <c r="AV35" s="4901">
        <f t="shared" ref="AV35:AY35" si="209">+AV31+AV34</f>
        <v>2015514.8524697341</v>
      </c>
      <c r="AW35" s="4901">
        <f t="shared" si="209"/>
        <v>1599136.355038991</v>
      </c>
      <c r="AX35" s="4901">
        <f t="shared" si="209"/>
        <v>219760.07500000001</v>
      </c>
      <c r="AY35" s="4901">
        <f t="shared" si="209"/>
        <v>224748</v>
      </c>
      <c r="AZ35" s="4901">
        <f t="shared" ref="AZ35:BE35" si="210">+AZ31+AZ34</f>
        <v>634867.81613678788</v>
      </c>
      <c r="BA35" s="6572">
        <f t="shared" si="210"/>
        <v>606594.99598469806</v>
      </c>
      <c r="BB35" s="4901">
        <f t="shared" si="161"/>
        <v>1172860.3874697341</v>
      </c>
      <c r="BC35" s="6572">
        <f t="shared" si="162"/>
        <v>995869.76183899085</v>
      </c>
      <c r="BD35" s="6525">
        <f t="shared" si="210"/>
        <v>2235274.9274697341</v>
      </c>
      <c r="BE35" s="6525">
        <f t="shared" si="210"/>
        <v>1823884.355038991</v>
      </c>
      <c r="BF35" s="4901">
        <f t="shared" si="202"/>
        <v>2406999.7409326425</v>
      </c>
      <c r="BG35" s="4901">
        <f t="shared" si="202"/>
        <v>2093720.1667959802</v>
      </c>
      <c r="BH35" s="7807">
        <f>+BH28+BH29+BH30+BH34</f>
        <v>570127.31221783115</v>
      </c>
      <c r="BI35" s="1673">
        <f>+AO35+BH35</f>
        <v>1787416.6712721239</v>
      </c>
      <c r="BJ35" s="2099">
        <f t="shared" si="71"/>
        <v>1.787416671272124</v>
      </c>
    </row>
    <row r="36" spans="2:62" s="3380" customFormat="1" ht="15" customHeight="1" thickBot="1" x14ac:dyDescent="0.25">
      <c r="B36" s="5321" t="s">
        <v>16</v>
      </c>
      <c r="C36" s="5322"/>
      <c r="D36" s="5323"/>
      <c r="E36" s="5324"/>
      <c r="F36" s="5323"/>
      <c r="G36" s="5324"/>
      <c r="H36" s="5323"/>
      <c r="I36" s="5958"/>
      <c r="J36" s="5323"/>
      <c r="K36" s="5324"/>
      <c r="L36" s="5323"/>
      <c r="M36" s="5322"/>
      <c r="N36" s="5323"/>
      <c r="O36" s="5324"/>
      <c r="P36" s="5323"/>
      <c r="Q36" s="5322"/>
      <c r="R36" s="5323"/>
      <c r="S36" s="5324"/>
      <c r="T36" s="5323"/>
      <c r="U36" s="5322"/>
      <c r="V36" s="5323"/>
      <c r="W36" s="5324"/>
      <c r="X36" s="5323"/>
      <c r="Y36" s="5958"/>
      <c r="Z36" s="5323"/>
      <c r="AA36" s="5322"/>
      <c r="AB36" s="5323"/>
      <c r="AC36" s="5324"/>
      <c r="AD36" s="5323"/>
      <c r="AE36" s="5322"/>
      <c r="AF36" s="5323"/>
      <c r="AG36" s="5324"/>
      <c r="AH36" s="5323"/>
      <c r="AI36" s="5322"/>
      <c r="AJ36" s="7881">
        <f>+AJ28+AJ29</f>
        <v>119239.6377361</v>
      </c>
      <c r="AK36" s="7881">
        <f>+AK28+AK29</f>
        <v>90046.606</v>
      </c>
      <c r="AL36" s="5323"/>
      <c r="AM36" s="5958"/>
      <c r="AN36" s="5323"/>
      <c r="AO36" s="5322"/>
      <c r="AP36" s="7881"/>
      <c r="AQ36" s="7881"/>
      <c r="AR36" s="5323"/>
      <c r="AS36" s="5322"/>
      <c r="AT36" s="7881"/>
      <c r="AU36" s="7881"/>
      <c r="AV36" s="5323"/>
      <c r="AW36" s="5322"/>
      <c r="AX36" s="8365"/>
      <c r="AY36" s="8365"/>
      <c r="AZ36" s="5323"/>
      <c r="BA36" s="5958"/>
      <c r="BB36" s="5323"/>
      <c r="BC36" s="5958"/>
      <c r="BD36" s="5323"/>
      <c r="BE36" s="5322"/>
      <c r="BF36" s="5959"/>
      <c r="BG36" s="5959"/>
    </row>
    <row r="37" spans="2:62" ht="15" customHeight="1" x14ac:dyDescent="0.2">
      <c r="B37" s="1585" t="s">
        <v>1872</v>
      </c>
      <c r="C37" s="1553" t="s">
        <v>170</v>
      </c>
      <c r="D37" s="8592">
        <f>+D28</f>
        <v>14366.399999999998</v>
      </c>
      <c r="E37" s="2101">
        <v>8786.2999999999993</v>
      </c>
      <c r="F37" s="8592">
        <f>+F28</f>
        <v>17668</v>
      </c>
      <c r="G37" s="2101">
        <v>16479.612000000001</v>
      </c>
      <c r="H37" s="8607">
        <f>+D37+F37</f>
        <v>32034.399999999998</v>
      </c>
      <c r="I37" s="1827">
        <f t="shared" ref="I37:I39" si="211">+E37+G37</f>
        <v>25265.912</v>
      </c>
      <c r="J37" s="8592">
        <f>+J28</f>
        <v>35910</v>
      </c>
      <c r="K37" s="2101">
        <v>25935.228000000003</v>
      </c>
      <c r="L37" s="8571">
        <f>+H37+J37</f>
        <v>67944.399999999994</v>
      </c>
      <c r="M37" s="2016">
        <f t="shared" ref="L37:M39" si="212">+I37+K37</f>
        <v>51201.14</v>
      </c>
      <c r="N37" s="8592">
        <f>+N28</f>
        <v>35000</v>
      </c>
      <c r="O37" s="2101">
        <v>32647.336000000003</v>
      </c>
      <c r="P37" s="8607">
        <f>+L37+N37</f>
        <v>102944.4</v>
      </c>
      <c r="Q37" s="1827">
        <f t="shared" ref="P37:Q39" si="213">+M37+O37</f>
        <v>83848.475999999995</v>
      </c>
      <c r="R37" s="8592">
        <f>+R28</f>
        <v>35000</v>
      </c>
      <c r="S37" s="2101">
        <v>34032.42</v>
      </c>
      <c r="T37" s="8607">
        <f>+P37+R37</f>
        <v>137944.4</v>
      </c>
      <c r="U37" s="1827">
        <f t="shared" ref="U37:U42" si="214">+Q37+S37</f>
        <v>117880.89599999999</v>
      </c>
      <c r="V37" s="8592">
        <f>+V28</f>
        <v>32000</v>
      </c>
      <c r="W37" s="2101">
        <v>27037.867999999995</v>
      </c>
      <c r="X37" s="8571">
        <f>+N37+R37+V37</f>
        <v>102000</v>
      </c>
      <c r="Y37" s="2016">
        <f t="shared" ref="Y37:Y42" si="215">+O37+S37+W37</f>
        <v>93717.623999999982</v>
      </c>
      <c r="Z37" s="8573">
        <f>+T37+V37</f>
        <v>169944.4</v>
      </c>
      <c r="AA37" s="6590">
        <f t="shared" ref="AA37:AA42" si="216">+U37+W37</f>
        <v>144918.764</v>
      </c>
      <c r="AB37" s="8592">
        <f>+AB28</f>
        <v>40000</v>
      </c>
      <c r="AC37" s="2101">
        <v>26925.815999999995</v>
      </c>
      <c r="AD37" s="8607">
        <f>+Z37+AB37</f>
        <v>209944.4</v>
      </c>
      <c r="AE37" s="1827">
        <f t="shared" ref="AE37:AE42" si="217">+AA37+AC37</f>
        <v>171844.58</v>
      </c>
      <c r="AF37" s="8592">
        <f>+AF28</f>
        <v>45249.811321000008</v>
      </c>
      <c r="AG37" s="2101">
        <v>32756.969999999994</v>
      </c>
      <c r="AH37" s="8607">
        <f>+AD37+AF37</f>
        <v>255194.21132100001</v>
      </c>
      <c r="AI37" s="1827">
        <f t="shared" ref="AI37:AI42" si="218">+AE37+AG37</f>
        <v>204601.55</v>
      </c>
      <c r="AJ37" s="8592">
        <f>+AJ28</f>
        <v>46294.037736100006</v>
      </c>
      <c r="AK37" s="2101">
        <v>34721.175999999999</v>
      </c>
      <c r="AL37" s="8571">
        <f>+AB37+AF37+AJ37</f>
        <v>131543.84905710001</v>
      </c>
      <c r="AM37" s="2016">
        <f>+AC37+AG37+AK37</f>
        <v>94403.962</v>
      </c>
      <c r="AN37" s="8607">
        <f>+AH37+AJ37</f>
        <v>301488.24905710004</v>
      </c>
      <c r="AO37" s="1827">
        <f>+AI37+AK37</f>
        <v>239322.726</v>
      </c>
      <c r="AP37" s="8592">
        <f>+AP28</f>
        <v>46294.037736100006</v>
      </c>
      <c r="AQ37" s="2101">
        <v>36021.128000000004</v>
      </c>
      <c r="AR37" s="8607">
        <f>+AN37+AP37</f>
        <v>347782.28679320007</v>
      </c>
      <c r="AS37" s="1827">
        <f t="shared" ref="AS37:AS42" si="219">+AO37+AQ37</f>
        <v>275343.85399999999</v>
      </c>
      <c r="AT37" s="8592">
        <f>+AT28</f>
        <v>41769</v>
      </c>
      <c r="AU37" s="2101">
        <f>+AU28-AU38</f>
        <v>23689.710000000003</v>
      </c>
      <c r="AV37" s="8607">
        <f>+AR37+AT37</f>
        <v>389551.28679320007</v>
      </c>
      <c r="AW37" s="1827">
        <f t="shared" ref="AW37:AW42" si="220">+AS37+AU37</f>
        <v>299033.56400000001</v>
      </c>
      <c r="AX37" s="8592">
        <f>+AX28</f>
        <v>46414.675000000003</v>
      </c>
      <c r="AY37" s="2101">
        <f>+AY28-AY38</f>
        <v>38003</v>
      </c>
      <c r="AZ37" s="8571">
        <f>+AP37+AT37+AX37</f>
        <v>134477.71273610002</v>
      </c>
      <c r="BA37" s="2016">
        <f>+AQ37+AU37+AY37</f>
        <v>97713.838000000003</v>
      </c>
      <c r="BB37" s="8571">
        <f t="shared" ref="BB37:BB46" si="221">+AL37+AZ37</f>
        <v>266021.56179320003</v>
      </c>
      <c r="BC37" s="2016">
        <f t="shared" ref="BC37:BC46" si="222">+AM37+BA37</f>
        <v>192117.8</v>
      </c>
      <c r="BD37" s="8573">
        <f>+AV37+AX37</f>
        <v>435965.96179320005</v>
      </c>
      <c r="BE37" s="6590">
        <f>+AW37+AY37</f>
        <v>337036.56400000001</v>
      </c>
      <c r="BF37" s="8628">
        <f>+BF28</f>
        <v>500000</v>
      </c>
      <c r="BG37" s="6480">
        <v>270654.57</v>
      </c>
    </row>
    <row r="38" spans="2:62" ht="15" customHeight="1" x14ac:dyDescent="0.2">
      <c r="B38" s="1586" t="s">
        <v>1475</v>
      </c>
      <c r="C38" s="1544" t="s">
        <v>170</v>
      </c>
      <c r="D38" s="8593"/>
      <c r="E38" s="1646">
        <v>5580.0999999999995</v>
      </c>
      <c r="F38" s="8593"/>
      <c r="G38" s="1646">
        <v>1188.1079999999999</v>
      </c>
      <c r="H38" s="8608"/>
      <c r="I38" s="1823">
        <f>+E38+G38</f>
        <v>6768.2079999999996</v>
      </c>
      <c r="J38" s="8593"/>
      <c r="K38" s="1646">
        <v>5402.9160000000002</v>
      </c>
      <c r="L38" s="8572"/>
      <c r="M38" s="2011">
        <f t="shared" si="212"/>
        <v>12171.124</v>
      </c>
      <c r="N38" s="8593"/>
      <c r="O38" s="1646">
        <v>0</v>
      </c>
      <c r="P38" s="8608"/>
      <c r="Q38" s="1823">
        <f t="shared" si="213"/>
        <v>12171.124</v>
      </c>
      <c r="R38" s="8593"/>
      <c r="S38" s="1646">
        <v>0</v>
      </c>
      <c r="T38" s="8608"/>
      <c r="U38" s="1823">
        <f t="shared" si="214"/>
        <v>12171.124</v>
      </c>
      <c r="V38" s="8593"/>
      <c r="W38" s="1646">
        <v>0</v>
      </c>
      <c r="X38" s="8572"/>
      <c r="Y38" s="2011">
        <f t="shared" si="215"/>
        <v>0</v>
      </c>
      <c r="Z38" s="8574"/>
      <c r="AA38" s="6531">
        <f t="shared" si="216"/>
        <v>12171.124</v>
      </c>
      <c r="AB38" s="8593"/>
      <c r="AC38" s="1646">
        <v>0</v>
      </c>
      <c r="AD38" s="8608"/>
      <c r="AE38" s="1823">
        <f t="shared" si="217"/>
        <v>12171.124</v>
      </c>
      <c r="AF38" s="8593"/>
      <c r="AG38" s="1646">
        <v>0</v>
      </c>
      <c r="AH38" s="8608"/>
      <c r="AI38" s="1823">
        <f t="shared" si="218"/>
        <v>12171.124</v>
      </c>
      <c r="AJ38" s="8593"/>
      <c r="AK38" s="1646">
        <v>0</v>
      </c>
      <c r="AL38" s="8572"/>
      <c r="AM38" s="2011">
        <f>+AC38+AG38+AK38</f>
        <v>0</v>
      </c>
      <c r="AN38" s="8608"/>
      <c r="AO38" s="1823">
        <f>+AI38+AK38</f>
        <v>12171.124</v>
      </c>
      <c r="AP38" s="8593"/>
      <c r="AQ38" s="1646">
        <v>0</v>
      </c>
      <c r="AR38" s="8608"/>
      <c r="AS38" s="1823">
        <f t="shared" si="219"/>
        <v>12171.124</v>
      </c>
      <c r="AT38" s="8593"/>
      <c r="AU38" s="1646">
        <v>7310.69</v>
      </c>
      <c r="AV38" s="8608"/>
      <c r="AW38" s="1823">
        <f t="shared" si="220"/>
        <v>19481.813999999998</v>
      </c>
      <c r="AX38" s="8593"/>
      <c r="AY38" s="1646"/>
      <c r="AZ38" s="8572"/>
      <c r="BA38" s="2011">
        <f>+AQ38+AU38+AY38</f>
        <v>7310.69</v>
      </c>
      <c r="BB38" s="8572">
        <f t="shared" si="221"/>
        <v>0</v>
      </c>
      <c r="BC38" s="2011">
        <f t="shared" si="222"/>
        <v>7310.69</v>
      </c>
      <c r="BD38" s="8574"/>
      <c r="BE38" s="6531">
        <f>+AW38+AY38</f>
        <v>19481.813999999998</v>
      </c>
      <c r="BF38" s="8629"/>
      <c r="BG38" s="6481">
        <v>141370.65</v>
      </c>
    </row>
    <row r="39" spans="2:62" ht="15" customHeight="1" x14ac:dyDescent="0.2">
      <c r="B39" s="1586" t="s">
        <v>1474</v>
      </c>
      <c r="C39" s="1544" t="s">
        <v>170</v>
      </c>
      <c r="D39" s="3174">
        <f>+D29</f>
        <v>8073.1400000000012</v>
      </c>
      <c r="E39" s="1646">
        <v>8073.1400000000012</v>
      </c>
      <c r="F39" s="3174">
        <f>+F29</f>
        <v>43712</v>
      </c>
      <c r="G39" s="1646">
        <v>43711.875</v>
      </c>
      <c r="H39" s="4809">
        <f>+D39+F39</f>
        <v>51785.14</v>
      </c>
      <c r="I39" s="1823">
        <f t="shared" si="211"/>
        <v>51785.014999999999</v>
      </c>
      <c r="J39" s="3174">
        <f>+J29</f>
        <v>41998</v>
      </c>
      <c r="K39" s="1646">
        <v>32149.444999999996</v>
      </c>
      <c r="L39" s="4792">
        <f t="shared" si="212"/>
        <v>93783.14</v>
      </c>
      <c r="M39" s="2011">
        <f t="shared" si="212"/>
        <v>83934.459999999992</v>
      </c>
      <c r="N39" s="3174">
        <f>+N29</f>
        <v>59600</v>
      </c>
      <c r="O39" s="1646">
        <v>24173.96</v>
      </c>
      <c r="P39" s="4809">
        <f t="shared" si="213"/>
        <v>153383.14000000001</v>
      </c>
      <c r="Q39" s="1823">
        <f t="shared" si="213"/>
        <v>108108.41999999998</v>
      </c>
      <c r="R39" s="3174">
        <f>+R29</f>
        <v>55000</v>
      </c>
      <c r="S39" s="1646">
        <v>30791.565000000002</v>
      </c>
      <c r="T39" s="4809">
        <f t="shared" ref="T39:T42" si="223">+P39+R39</f>
        <v>208383.14</v>
      </c>
      <c r="U39" s="1823">
        <f t="shared" si="214"/>
        <v>138899.98499999999</v>
      </c>
      <c r="V39" s="3174">
        <f>+V29</f>
        <v>58000</v>
      </c>
      <c r="W39" s="1646">
        <v>31774.47</v>
      </c>
      <c r="X39" s="4792">
        <f t="shared" ref="X39:X42" si="224">+N39+R39+V39</f>
        <v>172600</v>
      </c>
      <c r="Y39" s="2011">
        <f t="shared" si="215"/>
        <v>86739.994999999995</v>
      </c>
      <c r="Z39" s="6519">
        <f t="shared" ref="Z39:Z42" si="225">+T39+V39</f>
        <v>266383.14</v>
      </c>
      <c r="AA39" s="6531">
        <f t="shared" si="216"/>
        <v>170674.45499999999</v>
      </c>
      <c r="AB39" s="3174">
        <f>+AB29</f>
        <v>50000</v>
      </c>
      <c r="AC39" s="1646">
        <v>29425.244999999999</v>
      </c>
      <c r="AD39" s="4809">
        <f t="shared" ref="AD39:AD42" si="226">+Z39+AB39</f>
        <v>316383.14</v>
      </c>
      <c r="AE39" s="1823">
        <f t="shared" si="217"/>
        <v>200099.69999999998</v>
      </c>
      <c r="AF39" s="3174">
        <f>+AF29</f>
        <v>72144</v>
      </c>
      <c r="AG39" s="1646">
        <v>39377.084999999999</v>
      </c>
      <c r="AH39" s="4809">
        <f t="shared" ref="AH39:AH42" si="227">+AD39+AF39</f>
        <v>388527.14</v>
      </c>
      <c r="AI39" s="1823">
        <f t="shared" si="218"/>
        <v>239476.78499999997</v>
      </c>
      <c r="AJ39" s="3174">
        <f>+AJ29</f>
        <v>72945.600000000006</v>
      </c>
      <c r="AK39" s="1646">
        <f>+AK29</f>
        <v>55325.43</v>
      </c>
      <c r="AL39" s="4792">
        <f>+AB39+AF39+AJ39</f>
        <v>195089.6</v>
      </c>
      <c r="AM39" s="2011">
        <f>+AC39+AG39+AK39</f>
        <v>124127.76000000001</v>
      </c>
      <c r="AN39" s="4809">
        <f>+AH39+AJ39</f>
        <v>461472.74</v>
      </c>
      <c r="AO39" s="1823">
        <f>+AI39+AK39</f>
        <v>294802.21499999997</v>
      </c>
      <c r="AP39" s="3174">
        <f>+AP29</f>
        <v>73480</v>
      </c>
      <c r="AQ39" s="1646">
        <f>+AQ29</f>
        <v>46008.409999999996</v>
      </c>
      <c r="AR39" s="4809">
        <f t="shared" ref="AR39:AR42" si="228">+AN39+AP39</f>
        <v>534952.74</v>
      </c>
      <c r="AS39" s="1823">
        <f t="shared" si="219"/>
        <v>340810.62499999994</v>
      </c>
      <c r="AT39" s="3174">
        <f>+AT29</f>
        <v>66800</v>
      </c>
      <c r="AU39" s="1646">
        <f>+AU29</f>
        <v>48785.52</v>
      </c>
      <c r="AV39" s="4809">
        <f t="shared" ref="AV39:AV42" si="229">+AR39+AT39</f>
        <v>601752.74</v>
      </c>
      <c r="AW39" s="1823">
        <f t="shared" si="220"/>
        <v>389596.14499999996</v>
      </c>
      <c r="AX39" s="3174">
        <f>+AX29</f>
        <v>73122.399999999994</v>
      </c>
      <c r="AY39" s="1646">
        <f>+AY29</f>
        <v>50951</v>
      </c>
      <c r="AZ39" s="4792">
        <f>+AP39+AT39+AX39</f>
        <v>213402.4</v>
      </c>
      <c r="BA39" s="2011">
        <f>+AQ39+AU39+AY39</f>
        <v>145744.93</v>
      </c>
      <c r="BB39" s="4792">
        <f t="shared" si="221"/>
        <v>408492</v>
      </c>
      <c r="BC39" s="2011">
        <f t="shared" si="222"/>
        <v>269872.69</v>
      </c>
      <c r="BD39" s="6519">
        <f>+AV39+AX39</f>
        <v>674875.14</v>
      </c>
      <c r="BE39" s="6531">
        <f>+AW39+AY39</f>
        <v>440547.14499999996</v>
      </c>
      <c r="BF39" s="6481">
        <f>+BF29</f>
        <v>800000</v>
      </c>
      <c r="BG39" s="6481">
        <v>632220.18000000005</v>
      </c>
    </row>
    <row r="40" spans="2:62" ht="15" customHeight="1" x14ac:dyDescent="0.2">
      <c r="B40" s="1586" t="s">
        <v>1873</v>
      </c>
      <c r="C40" s="1544" t="s">
        <v>170</v>
      </c>
      <c r="D40" s="8594">
        <f>+D30</f>
        <v>0</v>
      </c>
      <c r="E40" s="1646">
        <v>0</v>
      </c>
      <c r="F40" s="8594">
        <f>+F30</f>
        <v>0</v>
      </c>
      <c r="G40" s="1646">
        <v>0</v>
      </c>
      <c r="H40" s="8614">
        <f t="shared" ref="H40:H42" si="230">+D40+F40</f>
        <v>0</v>
      </c>
      <c r="I40" s="1823">
        <f t="shared" ref="I40:I42" si="231">+E40+G40</f>
        <v>0</v>
      </c>
      <c r="J40" s="8594">
        <f>+J30</f>
        <v>0</v>
      </c>
      <c r="K40" s="1646">
        <v>0</v>
      </c>
      <c r="L40" s="8575">
        <f t="shared" ref="L40:L42" si="232">+H40+J40</f>
        <v>0</v>
      </c>
      <c r="M40" s="2011">
        <f t="shared" ref="M40:M42" si="233">+I40+K40</f>
        <v>0</v>
      </c>
      <c r="N40" s="8594">
        <f>+N30</f>
        <v>7000</v>
      </c>
      <c r="O40" s="1646">
        <v>0</v>
      </c>
      <c r="P40" s="8614">
        <f t="shared" ref="P40:P42" si="234">+L40+N40</f>
        <v>7000</v>
      </c>
      <c r="Q40" s="1823">
        <f t="shared" ref="Q40:Q42" si="235">+M40+O40</f>
        <v>0</v>
      </c>
      <c r="R40" s="8594">
        <f>+R30</f>
        <v>8000</v>
      </c>
      <c r="S40" s="1646">
        <v>0</v>
      </c>
      <c r="T40" s="8614">
        <f t="shared" si="223"/>
        <v>15000</v>
      </c>
      <c r="U40" s="1823">
        <f t="shared" si="214"/>
        <v>0</v>
      </c>
      <c r="V40" s="8594">
        <f>+V30</f>
        <v>10000</v>
      </c>
      <c r="W40" s="1646">
        <v>0</v>
      </c>
      <c r="X40" s="8575">
        <f t="shared" si="224"/>
        <v>25000</v>
      </c>
      <c r="Y40" s="2011">
        <f>+O40+S40+W40</f>
        <v>0</v>
      </c>
      <c r="Z40" s="8577">
        <f>+T40+V40</f>
        <v>25000</v>
      </c>
      <c r="AA40" s="6531">
        <f t="shared" si="216"/>
        <v>0</v>
      </c>
      <c r="AB40" s="8594">
        <f>+AB30</f>
        <v>10000</v>
      </c>
      <c r="AC40" s="1646">
        <v>16462.165640978397</v>
      </c>
      <c r="AD40" s="8614">
        <f t="shared" si="226"/>
        <v>35000</v>
      </c>
      <c r="AE40" s="1823">
        <f t="shared" si="217"/>
        <v>16462.165640978397</v>
      </c>
      <c r="AF40" s="8594">
        <f>+AF30</f>
        <v>40000</v>
      </c>
      <c r="AG40" s="1646">
        <v>18653.110499716</v>
      </c>
      <c r="AH40" s="8614">
        <f t="shared" si="227"/>
        <v>75000</v>
      </c>
      <c r="AI40" s="1823">
        <f t="shared" si="218"/>
        <v>35115.276140694397</v>
      </c>
      <c r="AJ40" s="8594">
        <f>+AJ30</f>
        <v>30000</v>
      </c>
      <c r="AK40" s="1646">
        <v>10177.080013598399</v>
      </c>
      <c r="AL40" s="8575">
        <f>+AB40+AF40+AJ40</f>
        <v>80000</v>
      </c>
      <c r="AM40" s="2011">
        <f>+AC40+AG40+AK40</f>
        <v>45292.356154292793</v>
      </c>
      <c r="AN40" s="8614">
        <f>+AH40+AJ40</f>
        <v>105000</v>
      </c>
      <c r="AO40" s="1823">
        <f>+AI40+AK40</f>
        <v>45292.356154292793</v>
      </c>
      <c r="AP40" s="8594">
        <f>+AP30</f>
        <v>35000</v>
      </c>
      <c r="AQ40" s="1646">
        <v>11278.3733058913</v>
      </c>
      <c r="AR40" s="8614">
        <f t="shared" si="228"/>
        <v>140000</v>
      </c>
      <c r="AS40" s="1823">
        <f t="shared" si="219"/>
        <v>56570.729460184091</v>
      </c>
      <c r="AT40" s="8594">
        <f>+AT30</f>
        <v>35000</v>
      </c>
      <c r="AU40" s="1646">
        <v>17295.419999999998</v>
      </c>
      <c r="AV40" s="8614">
        <f t="shared" si="229"/>
        <v>175000</v>
      </c>
      <c r="AW40" s="1823">
        <f t="shared" si="220"/>
        <v>73866.149460184097</v>
      </c>
      <c r="AX40" s="8594">
        <f>+AX30</f>
        <v>45000</v>
      </c>
      <c r="AY40" s="1646"/>
      <c r="AZ40" s="8575">
        <f>+AP40+AT40+AX40</f>
        <v>115000</v>
      </c>
      <c r="BA40" s="2011">
        <f>+AQ40+AU40+AY40</f>
        <v>28573.793305891297</v>
      </c>
      <c r="BB40" s="8575">
        <f t="shared" si="221"/>
        <v>195000</v>
      </c>
      <c r="BC40" s="2011">
        <f t="shared" si="222"/>
        <v>73866.149460184097</v>
      </c>
      <c r="BD40" s="8577">
        <f>+AV40+AX40</f>
        <v>220000</v>
      </c>
      <c r="BE40" s="6531">
        <f>+AW40+AY40</f>
        <v>73866.149460184097</v>
      </c>
      <c r="BF40" s="8630">
        <f>+BF30</f>
        <v>535000</v>
      </c>
      <c r="BG40" s="8630">
        <v>171635</v>
      </c>
    </row>
    <row r="41" spans="2:62" ht="15" customHeight="1" x14ac:dyDescent="0.2">
      <c r="B41" s="1586" t="s">
        <v>2540</v>
      </c>
      <c r="C41" s="1544" t="s">
        <v>170</v>
      </c>
      <c r="D41" s="8595"/>
      <c r="E41" s="1646">
        <v>0</v>
      </c>
      <c r="F41" s="8595"/>
      <c r="G41" s="1646">
        <v>0</v>
      </c>
      <c r="H41" s="8615">
        <f t="shared" si="230"/>
        <v>0</v>
      </c>
      <c r="I41" s="1823">
        <f t="shared" si="231"/>
        <v>0</v>
      </c>
      <c r="J41" s="8595"/>
      <c r="K41" s="1646">
        <v>0</v>
      </c>
      <c r="L41" s="8576">
        <f t="shared" si="232"/>
        <v>0</v>
      </c>
      <c r="M41" s="2011">
        <f t="shared" si="233"/>
        <v>0</v>
      </c>
      <c r="N41" s="8595"/>
      <c r="O41" s="1646">
        <v>0</v>
      </c>
      <c r="P41" s="8615">
        <f t="shared" si="234"/>
        <v>0</v>
      </c>
      <c r="Q41" s="1823">
        <f t="shared" si="235"/>
        <v>0</v>
      </c>
      <c r="R41" s="8595"/>
      <c r="S41" s="1646">
        <v>0</v>
      </c>
      <c r="T41" s="8615">
        <f t="shared" si="223"/>
        <v>0</v>
      </c>
      <c r="U41" s="1823">
        <f t="shared" si="214"/>
        <v>0</v>
      </c>
      <c r="V41" s="8595"/>
      <c r="W41" s="1646">
        <v>0</v>
      </c>
      <c r="X41" s="8576">
        <f t="shared" si="224"/>
        <v>0</v>
      </c>
      <c r="Y41" s="2011">
        <f t="shared" si="215"/>
        <v>0</v>
      </c>
      <c r="Z41" s="8578">
        <f t="shared" si="225"/>
        <v>0</v>
      </c>
      <c r="AA41" s="6531">
        <f>+U41+W41</f>
        <v>0</v>
      </c>
      <c r="AB41" s="8595"/>
      <c r="AC41" s="1646">
        <v>0</v>
      </c>
      <c r="AD41" s="8615">
        <f t="shared" si="226"/>
        <v>0</v>
      </c>
      <c r="AE41" s="1823">
        <f t="shared" si="217"/>
        <v>0</v>
      </c>
      <c r="AF41" s="8595"/>
      <c r="AG41" s="1646">
        <v>0</v>
      </c>
      <c r="AH41" s="8615">
        <f t="shared" si="227"/>
        <v>0</v>
      </c>
      <c r="AI41" s="1823">
        <f t="shared" si="218"/>
        <v>0</v>
      </c>
      <c r="AJ41" s="8595"/>
      <c r="AK41" s="1646">
        <v>0</v>
      </c>
      <c r="AL41" s="8576">
        <f>+AB41+AF41+AJ41</f>
        <v>0</v>
      </c>
      <c r="AM41" s="2011">
        <f>+AC41+AG41+AK41</f>
        <v>0</v>
      </c>
      <c r="AN41" s="8615">
        <f>+AH41+AJ41</f>
        <v>0</v>
      </c>
      <c r="AO41" s="1823">
        <f>+AI41+AK41</f>
        <v>0</v>
      </c>
      <c r="AP41" s="8595"/>
      <c r="AQ41" s="1646">
        <v>224.01904681799999</v>
      </c>
      <c r="AR41" s="8615">
        <f t="shared" si="228"/>
        <v>0</v>
      </c>
      <c r="AS41" s="1823">
        <f t="shared" si="219"/>
        <v>224.01904681799999</v>
      </c>
      <c r="AT41" s="8595"/>
      <c r="AU41" s="1646">
        <v>1769.2</v>
      </c>
      <c r="AV41" s="8615">
        <f t="shared" si="229"/>
        <v>0</v>
      </c>
      <c r="AW41" s="1823">
        <f t="shared" si="220"/>
        <v>1993.2190468180002</v>
      </c>
      <c r="AX41" s="8595"/>
      <c r="AY41" s="1646"/>
      <c r="AZ41" s="8576">
        <f>+AP41+AT41+AX41</f>
        <v>0</v>
      </c>
      <c r="BA41" s="2011">
        <f>+AQ41+AU41+AY41</f>
        <v>1993.2190468180002</v>
      </c>
      <c r="BB41" s="8576">
        <f t="shared" si="221"/>
        <v>0</v>
      </c>
      <c r="BC41" s="2011">
        <f t="shared" si="222"/>
        <v>1993.2190468180002</v>
      </c>
      <c r="BD41" s="8578">
        <f>+AV41+AX41</f>
        <v>0</v>
      </c>
      <c r="BE41" s="6531">
        <f>+AW41+AY41</f>
        <v>1993.2190468180002</v>
      </c>
      <c r="BF41" s="8631"/>
      <c r="BG41" s="8631"/>
    </row>
    <row r="42" spans="2:62" ht="15" customHeight="1" x14ac:dyDescent="0.2">
      <c r="B42" s="1586" t="s">
        <v>1874</v>
      </c>
      <c r="C42" s="1544" t="s">
        <v>170</v>
      </c>
      <c r="D42" s="8596"/>
      <c r="E42" s="1646">
        <v>0</v>
      </c>
      <c r="F42" s="8596"/>
      <c r="G42" s="1646">
        <v>0</v>
      </c>
      <c r="H42" s="8608">
        <f t="shared" si="230"/>
        <v>0</v>
      </c>
      <c r="I42" s="1823">
        <f t="shared" si="231"/>
        <v>0</v>
      </c>
      <c r="J42" s="8596"/>
      <c r="K42" s="1646">
        <v>0</v>
      </c>
      <c r="L42" s="8572">
        <f t="shared" si="232"/>
        <v>0</v>
      </c>
      <c r="M42" s="2011">
        <f t="shared" si="233"/>
        <v>0</v>
      </c>
      <c r="N42" s="8596"/>
      <c r="O42" s="1646">
        <v>0</v>
      </c>
      <c r="P42" s="8608">
        <f t="shared" si="234"/>
        <v>0</v>
      </c>
      <c r="Q42" s="1823">
        <f t="shared" si="235"/>
        <v>0</v>
      </c>
      <c r="R42" s="8596"/>
      <c r="S42" s="1646">
        <v>0</v>
      </c>
      <c r="T42" s="8608">
        <f t="shared" si="223"/>
        <v>0</v>
      </c>
      <c r="U42" s="1823">
        <f t="shared" si="214"/>
        <v>0</v>
      </c>
      <c r="V42" s="8596"/>
      <c r="W42" s="1646">
        <v>0</v>
      </c>
      <c r="X42" s="8572">
        <f t="shared" si="224"/>
        <v>0</v>
      </c>
      <c r="Y42" s="2011">
        <f t="shared" si="215"/>
        <v>0</v>
      </c>
      <c r="Z42" s="8574">
        <f t="shared" si="225"/>
        <v>0</v>
      </c>
      <c r="AA42" s="6531">
        <f t="shared" si="216"/>
        <v>0</v>
      </c>
      <c r="AB42" s="8596"/>
      <c r="AC42" s="1646">
        <v>0</v>
      </c>
      <c r="AD42" s="8608">
        <f t="shared" si="226"/>
        <v>0</v>
      </c>
      <c r="AE42" s="1823">
        <f t="shared" si="217"/>
        <v>0</v>
      </c>
      <c r="AF42" s="8596"/>
      <c r="AG42" s="1646">
        <v>0</v>
      </c>
      <c r="AH42" s="8608">
        <f t="shared" si="227"/>
        <v>0</v>
      </c>
      <c r="AI42" s="1823">
        <f t="shared" si="218"/>
        <v>0</v>
      </c>
      <c r="AJ42" s="8596"/>
      <c r="AK42" s="1646">
        <v>0</v>
      </c>
      <c r="AL42" s="8572">
        <f>+AB42+AF42+AJ42</f>
        <v>0</v>
      </c>
      <c r="AM42" s="2011">
        <f>+AC42+AG42+AK42</f>
        <v>0</v>
      </c>
      <c r="AN42" s="8608">
        <f>+AH42+AJ42</f>
        <v>0</v>
      </c>
      <c r="AO42" s="1823">
        <f>+AI42+AK42</f>
        <v>0</v>
      </c>
      <c r="AP42" s="8596"/>
      <c r="AQ42" s="1646">
        <v>1993.5256319888003</v>
      </c>
      <c r="AR42" s="8608">
        <f t="shared" si="228"/>
        <v>0</v>
      </c>
      <c r="AS42" s="1823">
        <f t="shared" si="219"/>
        <v>1993.5256319888003</v>
      </c>
      <c r="AT42" s="8596"/>
      <c r="AU42" s="1646">
        <v>0</v>
      </c>
      <c r="AV42" s="8608">
        <f t="shared" si="229"/>
        <v>0</v>
      </c>
      <c r="AW42" s="1823">
        <f t="shared" si="220"/>
        <v>1993.5256319888003</v>
      </c>
      <c r="AX42" s="8596"/>
      <c r="AY42" s="1646">
        <v>0</v>
      </c>
      <c r="AZ42" s="8572">
        <f>+AP42+AT42+AX42</f>
        <v>0</v>
      </c>
      <c r="BA42" s="2011">
        <f>+AQ42+AU42+AY42</f>
        <v>1993.5256319888003</v>
      </c>
      <c r="BB42" s="8572">
        <f t="shared" si="221"/>
        <v>0</v>
      </c>
      <c r="BC42" s="2011">
        <f t="shared" si="222"/>
        <v>1993.5256319888003</v>
      </c>
      <c r="BD42" s="8574">
        <f>+AV42+AX42</f>
        <v>0</v>
      </c>
      <c r="BE42" s="6531">
        <f>+AW42+AY42</f>
        <v>1993.5256319888003</v>
      </c>
      <c r="BF42" s="8629"/>
      <c r="BG42" s="8629"/>
    </row>
    <row r="43" spans="2:62" ht="15" customHeight="1" x14ac:dyDescent="0.2">
      <c r="B43" s="1586" t="s">
        <v>1875</v>
      </c>
      <c r="C43" s="1544" t="s">
        <v>170</v>
      </c>
      <c r="D43" s="3174">
        <f>+D34</f>
        <v>94808</v>
      </c>
      <c r="E43" s="3174">
        <f t="shared" ref="E43:BG43" si="236">+E34</f>
        <v>94808</v>
      </c>
      <c r="F43" s="3174">
        <f t="shared" si="236"/>
        <v>65937</v>
      </c>
      <c r="G43" s="3174">
        <f t="shared" si="236"/>
        <v>65937</v>
      </c>
      <c r="H43" s="4809">
        <f t="shared" si="236"/>
        <v>160745</v>
      </c>
      <c r="I43" s="4809">
        <f t="shared" si="236"/>
        <v>160745</v>
      </c>
      <c r="J43" s="3174">
        <f t="shared" si="236"/>
        <v>77842</v>
      </c>
      <c r="K43" s="3174">
        <f t="shared" si="236"/>
        <v>71452.667699999991</v>
      </c>
      <c r="L43" s="4792">
        <f t="shared" si="236"/>
        <v>238587</v>
      </c>
      <c r="M43" s="4792">
        <f t="shared" si="236"/>
        <v>232197.66769999999</v>
      </c>
      <c r="N43" s="3174">
        <f t="shared" ref="N43:O43" si="237">+N34</f>
        <v>119500</v>
      </c>
      <c r="O43" s="3174">
        <f t="shared" si="237"/>
        <v>123189.05</v>
      </c>
      <c r="P43" s="4809">
        <f t="shared" si="236"/>
        <v>358087</v>
      </c>
      <c r="Q43" s="4809">
        <f t="shared" si="236"/>
        <v>355386.71769999998</v>
      </c>
      <c r="R43" s="3174">
        <f t="shared" si="236"/>
        <v>122000</v>
      </c>
      <c r="S43" s="3174">
        <f t="shared" si="236"/>
        <v>108053.814</v>
      </c>
      <c r="T43" s="4809">
        <f t="shared" ref="T43:Y43" si="238">+T34</f>
        <v>480087</v>
      </c>
      <c r="U43" s="4809">
        <f t="shared" si="238"/>
        <v>463440.53169999993</v>
      </c>
      <c r="V43" s="3174">
        <f t="shared" si="238"/>
        <v>121000</v>
      </c>
      <c r="W43" s="3174">
        <f t="shared" si="238"/>
        <v>36809.313500000004</v>
      </c>
      <c r="X43" s="4792">
        <f t="shared" si="238"/>
        <v>362500</v>
      </c>
      <c r="Y43" s="2015">
        <f t="shared" si="238"/>
        <v>268052.17749999999</v>
      </c>
      <c r="Z43" s="6519">
        <f t="shared" ref="Z43:AI43" si="239">+Z34</f>
        <v>601087</v>
      </c>
      <c r="AA43" s="6519">
        <f t="shared" si="239"/>
        <v>500249.84519999998</v>
      </c>
      <c r="AB43" s="3174">
        <f t="shared" si="239"/>
        <v>9175.3772204806719</v>
      </c>
      <c r="AC43" s="3174">
        <f t="shared" si="239"/>
        <v>14460</v>
      </c>
      <c r="AD43" s="4809">
        <f t="shared" si="239"/>
        <v>610262.3772204807</v>
      </c>
      <c r="AE43" s="4809">
        <f t="shared" si="239"/>
        <v>514709.84519999998</v>
      </c>
      <c r="AF43" s="3174">
        <f t="shared" si="239"/>
        <v>52506.09887418367</v>
      </c>
      <c r="AG43" s="3174">
        <f t="shared" si="239"/>
        <v>41040.370000000003</v>
      </c>
      <c r="AH43" s="4809">
        <f t="shared" si="239"/>
        <v>662768.47609466431</v>
      </c>
      <c r="AI43" s="4809">
        <f t="shared" si="239"/>
        <v>555750.21519999998</v>
      </c>
      <c r="AJ43" s="3174">
        <f t="shared" ref="AJ43:AO43" si="240">+AJ34</f>
        <v>69677.646181181786</v>
      </c>
      <c r="AK43" s="3174">
        <f t="shared" si="240"/>
        <v>69950.317699999985</v>
      </c>
      <c r="AL43" s="4792">
        <f t="shared" si="240"/>
        <v>131359.12227584614</v>
      </c>
      <c r="AM43" s="2015">
        <f t="shared" si="240"/>
        <v>125450.68770000001</v>
      </c>
      <c r="AN43" s="4809">
        <f t="shared" si="240"/>
        <v>732446.1222758462</v>
      </c>
      <c r="AO43" s="4809">
        <f t="shared" si="240"/>
        <v>625700.53289999999</v>
      </c>
      <c r="AP43" s="3174">
        <f t="shared" ref="AP43:AS43" si="241">+AP34</f>
        <v>61266.703400687926</v>
      </c>
      <c r="AQ43" s="3174">
        <f t="shared" si="241"/>
        <v>95667</v>
      </c>
      <c r="AR43" s="4809">
        <f t="shared" si="241"/>
        <v>793712.82567653409</v>
      </c>
      <c r="AS43" s="4809">
        <f t="shared" si="241"/>
        <v>721367.53289999999</v>
      </c>
      <c r="AT43" s="3174">
        <f t="shared" ref="AT43:AU43" si="242">+AT34</f>
        <v>55498</v>
      </c>
      <c r="AU43" s="3174">
        <f t="shared" si="242"/>
        <v>91804</v>
      </c>
      <c r="AV43" s="4809">
        <f t="shared" ref="AV43:AY43" si="243">+AV34</f>
        <v>849210.82567653409</v>
      </c>
      <c r="AW43" s="4809">
        <f t="shared" si="243"/>
        <v>813171.53289999999</v>
      </c>
      <c r="AX43" s="3174">
        <f t="shared" si="243"/>
        <v>55223</v>
      </c>
      <c r="AY43" s="3174">
        <f t="shared" si="243"/>
        <v>124703</v>
      </c>
      <c r="AZ43" s="4792">
        <f t="shared" ref="AZ43:BE43" si="244">+AZ34</f>
        <v>171987.70340068793</v>
      </c>
      <c r="BA43" s="2015">
        <f t="shared" si="244"/>
        <v>312174</v>
      </c>
      <c r="BB43" s="4792">
        <f t="shared" si="221"/>
        <v>303346.82567653409</v>
      </c>
      <c r="BC43" s="2015">
        <f t="shared" si="222"/>
        <v>437624.68770000001</v>
      </c>
      <c r="BD43" s="6519">
        <f t="shared" si="244"/>
        <v>904433.82567653409</v>
      </c>
      <c r="BE43" s="6519">
        <f t="shared" si="244"/>
        <v>937874.53289999999</v>
      </c>
      <c r="BF43" s="3174">
        <f t="shared" si="236"/>
        <v>571999.74093264237</v>
      </c>
      <c r="BG43" s="3174">
        <f t="shared" si="236"/>
        <v>877839.95550700894</v>
      </c>
    </row>
    <row r="44" spans="2:62" ht="15" customHeight="1" thickBot="1" x14ac:dyDescent="0.25">
      <c r="B44" s="5190" t="s">
        <v>15</v>
      </c>
      <c r="C44" s="5932" t="s">
        <v>170</v>
      </c>
      <c r="D44" s="5191">
        <f>SUM(D37:D43)</f>
        <v>117247.54000000001</v>
      </c>
      <c r="E44" s="5191">
        <f t="shared" ref="E44:BG44" si="245">SUM(E37:E43)</f>
        <v>117247.54000000001</v>
      </c>
      <c r="F44" s="5191">
        <f t="shared" si="245"/>
        <v>127317</v>
      </c>
      <c r="G44" s="5191">
        <f t="shared" si="245"/>
        <v>127316.595</v>
      </c>
      <c r="H44" s="5191">
        <f t="shared" si="245"/>
        <v>244564.53999999998</v>
      </c>
      <c r="I44" s="5191">
        <f t="shared" si="245"/>
        <v>244564.13500000001</v>
      </c>
      <c r="J44" s="5191">
        <f t="shared" si="245"/>
        <v>155750</v>
      </c>
      <c r="K44" s="5191">
        <f t="shared" si="245"/>
        <v>134940.2567</v>
      </c>
      <c r="L44" s="5191">
        <f t="shared" si="245"/>
        <v>400314.54</v>
      </c>
      <c r="M44" s="5191">
        <f t="shared" si="245"/>
        <v>379504.39169999998</v>
      </c>
      <c r="N44" s="5191">
        <f t="shared" si="245"/>
        <v>221100</v>
      </c>
      <c r="O44" s="5191">
        <f t="shared" si="245"/>
        <v>180010.34600000002</v>
      </c>
      <c r="P44" s="5191">
        <f t="shared" si="245"/>
        <v>621414.54</v>
      </c>
      <c r="Q44" s="5191">
        <f t="shared" si="245"/>
        <v>559514.73769999994</v>
      </c>
      <c r="R44" s="5191">
        <f t="shared" si="245"/>
        <v>220000</v>
      </c>
      <c r="S44" s="5191">
        <f t="shared" si="245"/>
        <v>172877.799</v>
      </c>
      <c r="T44" s="5191">
        <f t="shared" si="245"/>
        <v>841414.54</v>
      </c>
      <c r="U44" s="5191">
        <f t="shared" si="245"/>
        <v>732392.53669999994</v>
      </c>
      <c r="V44" s="5191">
        <f t="shared" si="245"/>
        <v>221000</v>
      </c>
      <c r="W44" s="5191">
        <f t="shared" si="245"/>
        <v>95621.651500000007</v>
      </c>
      <c r="X44" s="5191">
        <f t="shared" si="245"/>
        <v>662100</v>
      </c>
      <c r="Y44" s="5191">
        <f t="shared" si="245"/>
        <v>448509.79649999994</v>
      </c>
      <c r="Z44" s="5191">
        <f t="shared" si="245"/>
        <v>1062414.54</v>
      </c>
      <c r="AA44" s="5191">
        <f t="shared" si="245"/>
        <v>828014.18819999998</v>
      </c>
      <c r="AB44" s="5191">
        <f t="shared" ref="AB44:AI44" si="246">SUM(AB37:AB43)</f>
        <v>109175.37722048067</v>
      </c>
      <c r="AC44" s="5191">
        <f t="shared" si="246"/>
        <v>87273.226640978392</v>
      </c>
      <c r="AD44" s="5191">
        <f t="shared" si="246"/>
        <v>1171589.9172204807</v>
      </c>
      <c r="AE44" s="5191">
        <f t="shared" si="246"/>
        <v>915287.41484097834</v>
      </c>
      <c r="AF44" s="5191">
        <f t="shared" si="246"/>
        <v>209899.91019518368</v>
      </c>
      <c r="AG44" s="5191">
        <f t="shared" si="246"/>
        <v>131827.535499716</v>
      </c>
      <c r="AH44" s="5191">
        <f t="shared" si="246"/>
        <v>1381489.8274156642</v>
      </c>
      <c r="AI44" s="5191">
        <f t="shared" si="246"/>
        <v>1047114.9503406943</v>
      </c>
      <c r="AJ44" s="5191">
        <f t="shared" ref="AJ44:AO44" si="247">SUM(AJ37:AJ43)</f>
        <v>218917.28391728178</v>
      </c>
      <c r="AK44" s="5191">
        <f t="shared" si="247"/>
        <v>170174.00371359839</v>
      </c>
      <c r="AL44" s="5191">
        <f t="shared" si="247"/>
        <v>537992.57133294619</v>
      </c>
      <c r="AM44" s="5191">
        <f t="shared" si="247"/>
        <v>389274.76585429278</v>
      </c>
      <c r="AN44" s="5191">
        <f t="shared" si="247"/>
        <v>1600407.1113329462</v>
      </c>
      <c r="AO44" s="5191">
        <f t="shared" si="247"/>
        <v>1217288.9540542928</v>
      </c>
      <c r="AP44" s="5191">
        <f t="shared" ref="AP44:AS44" si="248">SUM(AP37:AP43)</f>
        <v>216040.74113678792</v>
      </c>
      <c r="AQ44" s="5191">
        <f t="shared" si="248"/>
        <v>191192.45598469808</v>
      </c>
      <c r="AR44" s="5191">
        <f t="shared" si="248"/>
        <v>1816447.8524697341</v>
      </c>
      <c r="AS44" s="5191">
        <f t="shared" si="248"/>
        <v>1408481.4100389909</v>
      </c>
      <c r="AT44" s="5191">
        <f t="shared" ref="AT44:AU44" si="249">SUM(AT37:AT43)</f>
        <v>199067</v>
      </c>
      <c r="AU44" s="5191">
        <f t="shared" si="249"/>
        <v>190654.53999999998</v>
      </c>
      <c r="AV44" s="5191">
        <f t="shared" ref="AV44:AY44" si="250">SUM(AV37:AV43)</f>
        <v>2015514.8524697341</v>
      </c>
      <c r="AW44" s="5191">
        <f t="shared" si="250"/>
        <v>1599135.9500389909</v>
      </c>
      <c r="AX44" s="5191">
        <f t="shared" si="250"/>
        <v>219760.07500000001</v>
      </c>
      <c r="AY44" s="5191">
        <f t="shared" si="250"/>
        <v>213657</v>
      </c>
      <c r="AZ44" s="5191">
        <f t="shared" ref="AZ44:BE44" si="251">SUM(AZ37:AZ43)</f>
        <v>634867.81613678788</v>
      </c>
      <c r="BA44" s="5191">
        <f t="shared" si="251"/>
        <v>595503.99598469806</v>
      </c>
      <c r="BB44" s="5191">
        <f t="shared" si="221"/>
        <v>1172860.3874697341</v>
      </c>
      <c r="BC44" s="5191">
        <f t="shared" si="222"/>
        <v>984778.76183899085</v>
      </c>
      <c r="BD44" s="5191">
        <f t="shared" si="251"/>
        <v>2235274.9274697341</v>
      </c>
      <c r="BE44" s="5191">
        <f t="shared" si="251"/>
        <v>1812792.9500389909</v>
      </c>
      <c r="BF44" s="5191">
        <f t="shared" si="245"/>
        <v>2406999.7409326425</v>
      </c>
      <c r="BG44" s="5191">
        <f t="shared" si="245"/>
        <v>2093720.3555070087</v>
      </c>
    </row>
    <row r="45" spans="2:62" ht="15" customHeight="1" x14ac:dyDescent="0.2">
      <c r="B45" s="1611" t="s">
        <v>850</v>
      </c>
      <c r="C45" s="1542" t="s">
        <v>170</v>
      </c>
      <c r="D45" s="6485">
        <v>3335.2</v>
      </c>
      <c r="E45" s="2717">
        <f>1204+2131.2</f>
        <v>3335.2</v>
      </c>
      <c r="F45" s="5297">
        <v>3568.2</v>
      </c>
      <c r="G45" s="5245">
        <f>2204.4+1363.8</f>
        <v>3568.2</v>
      </c>
      <c r="H45" s="5929">
        <f t="shared" ref="H45:H46" si="252">+D45+F45</f>
        <v>6903.4</v>
      </c>
      <c r="I45" s="1906">
        <f t="shared" ref="I45:I46" si="253">+E45+G45</f>
        <v>6903.4</v>
      </c>
      <c r="J45" s="5697">
        <v>3720.9229999999998</v>
      </c>
      <c r="K45" s="5245">
        <v>1428.5</v>
      </c>
      <c r="L45" s="5930">
        <f>+H45+J45</f>
        <v>10624.323</v>
      </c>
      <c r="M45" s="2021">
        <f t="shared" ref="M45:M46" si="254">+I45+K45</f>
        <v>8331.9</v>
      </c>
      <c r="N45" s="5891">
        <v>4294.7586000000001</v>
      </c>
      <c r="O45" s="5245">
        <f>1554.8+2665.34</f>
        <v>4220.1400000000003</v>
      </c>
      <c r="P45" s="5929">
        <f>+L45+N45</f>
        <v>14919.081600000001</v>
      </c>
      <c r="Q45" s="1703">
        <f t="shared" ref="Q45:Q46" si="255">+M45+O45</f>
        <v>12552.04</v>
      </c>
      <c r="R45" s="6395">
        <v>4294.7586000000001</v>
      </c>
      <c r="S45" s="6393">
        <f>1857.5+2902.92</f>
        <v>4760.42</v>
      </c>
      <c r="T45" s="6314">
        <f>+P45+R45</f>
        <v>19213.840200000002</v>
      </c>
      <c r="U45" s="1703">
        <f t="shared" ref="U45:U46" si="256">+Q45+S45</f>
        <v>17312.46</v>
      </c>
      <c r="V45" s="6395">
        <v>4156.2179999999998</v>
      </c>
      <c r="W45" s="6393">
        <f>1524.3+2373.82</f>
        <v>3898.12</v>
      </c>
      <c r="X45" s="6502">
        <f t="shared" ref="X45:X46" si="257">+N45+R45+V45</f>
        <v>12745.735199999999</v>
      </c>
      <c r="Y45" s="6570">
        <f t="shared" ref="Y45:Y46" si="258">+O45+S45+W45</f>
        <v>12878.68</v>
      </c>
      <c r="Z45" s="6526">
        <f>+T45+V45</f>
        <v>23370.058200000003</v>
      </c>
      <c r="AA45" s="6514">
        <f t="shared" ref="AA45:AA46" si="259">+U45+W45</f>
        <v>21210.579999999998</v>
      </c>
      <c r="AB45" s="6395">
        <v>4294.7586000000001</v>
      </c>
      <c r="AC45" s="6393">
        <f>1591+2695.14</f>
        <v>4286.1399999999994</v>
      </c>
      <c r="AD45" s="7295">
        <f>+Z45+AB45</f>
        <v>27664.816800000004</v>
      </c>
      <c r="AE45" s="1703">
        <f t="shared" ref="AE45:AE46" si="260">+AA45+AC45</f>
        <v>25496.719999999998</v>
      </c>
      <c r="AF45" s="6395">
        <v>4156.2179999999998</v>
      </c>
      <c r="AG45" s="6393">
        <f>1270.8+2516.74</f>
        <v>3787.54</v>
      </c>
      <c r="AH45" s="7554">
        <f>+AD45+AF45</f>
        <v>31821.034800000005</v>
      </c>
      <c r="AI45" s="1703">
        <f t="shared" ref="AI45:AI46" si="261">+AE45+AG45</f>
        <v>29284.26</v>
      </c>
      <c r="AJ45" s="6395">
        <v>4294.7586000000001</v>
      </c>
      <c r="AK45" s="6393">
        <f>2900.08+1584.2</f>
        <v>4484.28</v>
      </c>
      <c r="AL45" s="6866">
        <f>+AB45+AF45+AJ45</f>
        <v>12745.735199999999</v>
      </c>
      <c r="AM45" s="6570">
        <f>+AC45+AG45+AK45</f>
        <v>12557.96</v>
      </c>
      <c r="AN45" s="7692">
        <f>+AH45+AJ45</f>
        <v>36115.793400000002</v>
      </c>
      <c r="AO45" s="1703">
        <f>+AI45+AK45</f>
        <v>33768.54</v>
      </c>
      <c r="AP45" s="6395">
        <v>4294.7586000000001</v>
      </c>
      <c r="AQ45" s="6393">
        <v>4464.21</v>
      </c>
      <c r="AR45" s="8017">
        <f>+AN45+AP45</f>
        <v>40410.552000000003</v>
      </c>
      <c r="AS45" s="1703">
        <f t="shared" ref="AS45:AS46" si="262">+AO45+AQ45</f>
        <v>38232.75</v>
      </c>
      <c r="AT45" s="6395">
        <v>3879</v>
      </c>
      <c r="AU45" s="6393">
        <f>+'COKE OVENS'!AU41</f>
        <v>4004.74</v>
      </c>
      <c r="AV45" s="8137">
        <f>+AR45+AT45</f>
        <v>44289.552000000003</v>
      </c>
      <c r="AW45" s="1703">
        <f t="shared" ref="AW45:AW46" si="263">+AS45+AU45</f>
        <v>42237.49</v>
      </c>
      <c r="AX45" s="6395">
        <v>4294.759</v>
      </c>
      <c r="AY45" s="6393">
        <f>+'COKE OVENS'!AY41</f>
        <v>4441.46</v>
      </c>
      <c r="AZ45" s="6866">
        <f t="shared" ref="AZ45:AZ46" si="264">+AP45+AT45+AX45</f>
        <v>12468.517599999999</v>
      </c>
      <c r="BA45" s="6570">
        <f t="shared" ref="BA45:BA46" si="265">+AQ45+AU45+AY45</f>
        <v>12910.41</v>
      </c>
      <c r="BB45" s="6866">
        <f t="shared" si="221"/>
        <v>25214.252799999998</v>
      </c>
      <c r="BC45" s="6570">
        <f t="shared" si="222"/>
        <v>25468.37</v>
      </c>
      <c r="BD45" s="8280">
        <f>+AV45+AX45</f>
        <v>48584.311000000002</v>
      </c>
      <c r="BE45" s="6514">
        <f t="shared" ref="BE45:BE46" si="266">+AW45+AY45</f>
        <v>46678.95</v>
      </c>
      <c r="BF45" s="5359">
        <v>46118.873100000012</v>
      </c>
      <c r="BG45" s="5359">
        <v>49237.57</v>
      </c>
    </row>
    <row r="46" spans="2:62" ht="15" customHeight="1" thickBot="1" x14ac:dyDescent="0.25">
      <c r="B46" s="1632" t="s">
        <v>851</v>
      </c>
      <c r="C46" s="1577" t="s">
        <v>170</v>
      </c>
      <c r="D46" s="3226">
        <v>780.2</v>
      </c>
      <c r="E46" s="2818">
        <f>375+405.2</f>
        <v>780.2</v>
      </c>
      <c r="F46" s="3226">
        <v>694</v>
      </c>
      <c r="G46" s="4698">
        <f>281.5+412.5</f>
        <v>694</v>
      </c>
      <c r="H46" s="4809">
        <f t="shared" si="252"/>
        <v>1474.2</v>
      </c>
      <c r="I46" s="1823">
        <f t="shared" si="253"/>
        <v>1474.2</v>
      </c>
      <c r="J46" s="3226">
        <v>1056.9780824999998</v>
      </c>
      <c r="K46" s="4698">
        <f>345.3+318</f>
        <v>663.3</v>
      </c>
      <c r="L46" s="2952">
        <f>+H46+J46</f>
        <v>2531.1780824999996</v>
      </c>
      <c r="M46" s="2007">
        <f t="shared" si="254"/>
        <v>2137.5</v>
      </c>
      <c r="N46" s="5891">
        <v>2170.4448150000003</v>
      </c>
      <c r="O46" s="4698">
        <f>324+499.2</f>
        <v>823.2</v>
      </c>
      <c r="P46" s="2789">
        <f>+L46+N46</f>
        <v>4701.6228974999995</v>
      </c>
      <c r="Q46" s="1731">
        <f t="shared" si="255"/>
        <v>2960.7</v>
      </c>
      <c r="R46" s="6396">
        <v>2170.4448150000003</v>
      </c>
      <c r="S46" s="6394">
        <f>320.5+533.2</f>
        <v>853.7</v>
      </c>
      <c r="T46" s="2789">
        <f>+P46+R46</f>
        <v>6872.0677125000002</v>
      </c>
      <c r="U46" s="1731">
        <f t="shared" si="256"/>
        <v>3814.3999999999996</v>
      </c>
      <c r="V46" s="6396">
        <v>2099.2249575000001</v>
      </c>
      <c r="W46" s="6394">
        <f>382+478</f>
        <v>860</v>
      </c>
      <c r="X46" s="6502">
        <f t="shared" si="257"/>
        <v>6440.1145875000002</v>
      </c>
      <c r="Y46" s="6570">
        <f t="shared" si="258"/>
        <v>2536.9</v>
      </c>
      <c r="Z46" s="6527">
        <f>+T46+V46</f>
        <v>8971.2926700000007</v>
      </c>
      <c r="AA46" s="6528">
        <f t="shared" si="259"/>
        <v>4674.3999999999996</v>
      </c>
      <c r="AB46" s="6396">
        <v>2170.4448150000003</v>
      </c>
      <c r="AC46" s="6394">
        <f>518.8+430</f>
        <v>948.8</v>
      </c>
      <c r="AD46" s="2789">
        <f>+Z46+AB46</f>
        <v>11141.737485000001</v>
      </c>
      <c r="AE46" s="1731">
        <f t="shared" si="260"/>
        <v>5623.2</v>
      </c>
      <c r="AF46" s="6396">
        <v>2099.2249575000001</v>
      </c>
      <c r="AG46" s="6394">
        <f>554.69+350</f>
        <v>904.69</v>
      </c>
      <c r="AH46" s="2789">
        <f>+AD46+AF46</f>
        <v>13240.962442500002</v>
      </c>
      <c r="AI46" s="1731">
        <f t="shared" si="261"/>
        <v>6527.8899999999994</v>
      </c>
      <c r="AJ46" s="6396">
        <v>2170.4448150000003</v>
      </c>
      <c r="AK46" s="6394">
        <f>571.72+613</f>
        <v>1184.72</v>
      </c>
      <c r="AL46" s="6866">
        <f>+AB46+AF46+AJ46</f>
        <v>6440.1145875000002</v>
      </c>
      <c r="AM46" s="6570">
        <f>+AC46+AG46+AK46</f>
        <v>3038.21</v>
      </c>
      <c r="AN46" s="2789">
        <f>+AH46+AJ46</f>
        <v>15411.407257500003</v>
      </c>
      <c r="AO46" s="1731">
        <f>+AI46+AK46</f>
        <v>7712.61</v>
      </c>
      <c r="AP46" s="6396">
        <v>2170.4448150000003</v>
      </c>
      <c r="AQ46" s="6394">
        <v>864.5</v>
      </c>
      <c r="AR46" s="2789">
        <f>+AN46+AP46</f>
        <v>17581.852072500002</v>
      </c>
      <c r="AS46" s="1731">
        <f t="shared" si="262"/>
        <v>8577.11</v>
      </c>
      <c r="AT46" s="6396">
        <v>1977</v>
      </c>
      <c r="AU46" s="6394">
        <f>+'COKE OVENS'!AU44</f>
        <v>894.3</v>
      </c>
      <c r="AV46" s="2789">
        <f>+AR46+AT46</f>
        <v>19558.852072500002</v>
      </c>
      <c r="AW46" s="1731">
        <f t="shared" si="263"/>
        <v>9471.41</v>
      </c>
      <c r="AX46" s="6396">
        <v>2170</v>
      </c>
      <c r="AY46" s="6394">
        <f>+'COKE OVENS'!AY44</f>
        <v>1039.2</v>
      </c>
      <c r="AZ46" s="6866">
        <f t="shared" si="264"/>
        <v>6317.4448150000007</v>
      </c>
      <c r="BA46" s="6570">
        <f t="shared" si="265"/>
        <v>2798</v>
      </c>
      <c r="BB46" s="6866">
        <f t="shared" si="221"/>
        <v>12757.559402500001</v>
      </c>
      <c r="BC46" s="6570">
        <f t="shared" si="222"/>
        <v>5836.21</v>
      </c>
      <c r="BD46" s="6527">
        <f>+AV46+AX46</f>
        <v>21728.852072500002</v>
      </c>
      <c r="BE46" s="6528">
        <f t="shared" si="266"/>
        <v>10510.61</v>
      </c>
      <c r="BF46" s="6481">
        <v>15654.414839999999</v>
      </c>
      <c r="BG46" s="6481">
        <v>12312.800000000001</v>
      </c>
    </row>
    <row r="47" spans="2:62" s="3380" customFormat="1" x14ac:dyDescent="0.2">
      <c r="D47" s="4408"/>
      <c r="E47" s="3453"/>
      <c r="F47" s="4408"/>
      <c r="G47" s="3453"/>
      <c r="H47" s="4408"/>
      <c r="I47" s="3453"/>
      <c r="J47" s="4408"/>
      <c r="K47" s="3453"/>
      <c r="L47" s="4408"/>
      <c r="N47" s="4408"/>
      <c r="O47" s="3453"/>
      <c r="P47" s="4408"/>
      <c r="R47" s="4408"/>
      <c r="S47" s="3453"/>
      <c r="T47" s="4408"/>
      <c r="V47" s="4408"/>
      <c r="W47" s="3453"/>
      <c r="X47" s="4408"/>
      <c r="Y47" s="3453"/>
      <c r="Z47" s="4408"/>
      <c r="AA47" s="7280"/>
      <c r="AB47" s="4408"/>
      <c r="AC47" s="3453"/>
      <c r="AD47" s="4408"/>
      <c r="AF47" s="4408"/>
      <c r="AG47" s="3453"/>
      <c r="AH47" s="4408"/>
      <c r="AN47" s="4408"/>
      <c r="AR47" s="4408"/>
      <c r="BF47" s="7280"/>
      <c r="BG47" s="7280"/>
      <c r="BH47" s="7280"/>
    </row>
    <row r="48" spans="2:62" s="3380" customFormat="1" ht="19" thickBot="1" x14ac:dyDescent="0.25">
      <c r="B48" s="6575" t="s">
        <v>1081</v>
      </c>
      <c r="D48" s="4408"/>
      <c r="E48" s="3453"/>
      <c r="F48" s="4408"/>
      <c r="G48" s="3453"/>
      <c r="H48" s="4408"/>
      <c r="I48" s="3453"/>
      <c r="J48" s="4408"/>
      <c r="K48" s="3453"/>
      <c r="L48" s="4408"/>
      <c r="N48" s="4408"/>
      <c r="O48" s="3453"/>
      <c r="P48" s="4408"/>
      <c r="R48" s="4408"/>
      <c r="S48" s="3453"/>
      <c r="T48" s="4408"/>
      <c r="V48" s="4408"/>
      <c r="W48" s="3453"/>
      <c r="X48" s="4408"/>
      <c r="Y48" s="3453"/>
      <c r="Z48" s="4408"/>
      <c r="AA48" s="4408"/>
      <c r="AB48" s="4408"/>
      <c r="AC48" s="3453"/>
      <c r="AD48" s="4408"/>
      <c r="AF48" s="4408"/>
      <c r="AG48" s="3453"/>
      <c r="AH48" s="4408"/>
      <c r="AN48" s="4408"/>
      <c r="AR48" s="4408"/>
      <c r="AV48" s="8134"/>
      <c r="BB48" s="8134"/>
      <c r="BF48" s="7280"/>
      <c r="BG48" s="7280"/>
      <c r="BH48" s="7280"/>
    </row>
    <row r="49" spans="2:60" s="3380" customFormat="1" x14ac:dyDescent="0.2">
      <c r="B49" s="6576" t="s">
        <v>446</v>
      </c>
      <c r="C49" s="6577"/>
      <c r="D49" s="5192"/>
      <c r="E49" s="6578"/>
      <c r="F49" s="5192"/>
      <c r="G49" s="6578"/>
      <c r="H49" s="5192"/>
      <c r="I49" s="5193"/>
      <c r="J49" s="5192"/>
      <c r="K49" s="6578"/>
      <c r="L49" s="5192"/>
      <c r="M49" s="6577"/>
      <c r="N49" s="5192"/>
      <c r="O49" s="6578"/>
      <c r="P49" s="5192"/>
      <c r="Q49" s="6577"/>
      <c r="R49" s="5192"/>
      <c r="S49" s="6578"/>
      <c r="T49" s="5192"/>
      <c r="U49" s="6577"/>
      <c r="V49" s="5192"/>
      <c r="W49" s="6578"/>
      <c r="X49" s="5192"/>
      <c r="Y49" s="5193"/>
      <c r="Z49" s="5192"/>
      <c r="AA49" s="7280"/>
      <c r="AB49" s="5192"/>
      <c r="AC49" s="6578"/>
      <c r="AD49" s="5192"/>
      <c r="AE49" s="6577"/>
      <c r="AF49" s="5192"/>
      <c r="AG49" s="6578"/>
      <c r="AH49" s="5192"/>
      <c r="AI49" s="6577"/>
      <c r="AJ49" s="5192"/>
      <c r="AK49" s="6578"/>
      <c r="AL49" s="5192"/>
      <c r="AM49" s="5193"/>
      <c r="AN49" s="5192"/>
      <c r="AO49" s="6577"/>
      <c r="AP49" s="5192"/>
      <c r="AQ49" s="6578"/>
      <c r="AR49" s="5192"/>
      <c r="AS49" s="6577"/>
      <c r="AT49" s="8186"/>
      <c r="AU49" s="8186"/>
      <c r="AV49" s="8186"/>
      <c r="AW49" s="8186"/>
      <c r="AX49" s="8186"/>
      <c r="AY49" s="8186"/>
      <c r="AZ49" s="8186"/>
      <c r="BA49" s="8186"/>
      <c r="BB49" s="8186"/>
      <c r="BC49" s="8186"/>
      <c r="BD49" s="8186"/>
      <c r="BE49" s="8186"/>
      <c r="BF49" s="7280"/>
      <c r="BG49" s="7280"/>
      <c r="BH49" s="7280"/>
    </row>
    <row r="50" spans="2:60" x14ac:dyDescent="0.2">
      <c r="B50" s="1529" t="s">
        <v>1080</v>
      </c>
      <c r="C50" s="1545" t="s">
        <v>170</v>
      </c>
      <c r="D50" s="3174">
        <f>+D28</f>
        <v>14366.399999999998</v>
      </c>
      <c r="E50" s="3743">
        <f>+E28</f>
        <v>14366.399999999998</v>
      </c>
      <c r="F50" s="3174">
        <f>+F28</f>
        <v>17668</v>
      </c>
      <c r="G50" s="3743">
        <f>+G28</f>
        <v>17668</v>
      </c>
      <c r="H50" s="4809">
        <f>+D50+F50</f>
        <v>32034.399999999998</v>
      </c>
      <c r="I50" s="1823">
        <f>+E50+G50</f>
        <v>32034.399999999998</v>
      </c>
      <c r="J50" s="3174">
        <f>+J28</f>
        <v>35910</v>
      </c>
      <c r="K50" s="3743">
        <f>+K28</f>
        <v>31338.144000000004</v>
      </c>
      <c r="L50" s="4792">
        <f>+H50+J50</f>
        <v>67944.399999999994</v>
      </c>
      <c r="M50" s="1998">
        <f>+I50+K50</f>
        <v>63372.544000000002</v>
      </c>
      <c r="N50" s="3174">
        <f>+N28</f>
        <v>35000</v>
      </c>
      <c r="O50" s="3743">
        <f>+O28</f>
        <v>32647.336000000003</v>
      </c>
      <c r="P50" s="4809">
        <f>+L50+N50</f>
        <v>102944.4</v>
      </c>
      <c r="Q50" s="1713">
        <f>+M50+O50</f>
        <v>96019.88</v>
      </c>
      <c r="R50" s="3174">
        <f>+R28</f>
        <v>35000</v>
      </c>
      <c r="S50" s="3743">
        <f>+S28</f>
        <v>34032.42</v>
      </c>
      <c r="T50" s="4809">
        <f>+P50+R50</f>
        <v>137944.4</v>
      </c>
      <c r="U50" s="1713">
        <f>+Q50+S50</f>
        <v>130052.3</v>
      </c>
      <c r="V50" s="3174">
        <f>+V28</f>
        <v>32000</v>
      </c>
      <c r="W50" s="3743">
        <f>+W28</f>
        <v>27037.867999999995</v>
      </c>
      <c r="X50" s="6502">
        <f t="shared" ref="X50:X52" si="267">+N50+R50+V50</f>
        <v>102000</v>
      </c>
      <c r="Y50" s="6570">
        <f t="shared" ref="Y50:Y52" si="268">+O50+S50+W50</f>
        <v>93717.623999999982</v>
      </c>
      <c r="Z50" s="6519">
        <f>+T50+V50</f>
        <v>169944.4</v>
      </c>
      <c r="AA50" s="6510">
        <f>+U50+W50</f>
        <v>157090.16800000001</v>
      </c>
      <c r="AB50" s="3174">
        <f>+AB28</f>
        <v>40000</v>
      </c>
      <c r="AC50" s="3743">
        <f>+AC28</f>
        <v>26925.815999999995</v>
      </c>
      <c r="AD50" s="4809">
        <f>+Z50+AB50</f>
        <v>209944.4</v>
      </c>
      <c r="AE50" s="1713">
        <f>+AA50+AC50</f>
        <v>184015.984</v>
      </c>
      <c r="AF50" s="3174">
        <f>+AF28</f>
        <v>45249.811321000008</v>
      </c>
      <c r="AG50" s="3743">
        <f>+AG28</f>
        <v>32756.969999999994</v>
      </c>
      <c r="AH50" s="4809">
        <f>+AD50+AF50</f>
        <v>255194.21132100001</v>
      </c>
      <c r="AI50" s="1713">
        <f>+AE50+AG50</f>
        <v>216772.954</v>
      </c>
      <c r="AJ50" s="3174">
        <f>+AJ28</f>
        <v>46294.037736100006</v>
      </c>
      <c r="AK50" s="3743">
        <f>+AK28</f>
        <v>34721.175999999999</v>
      </c>
      <c r="AL50" s="6866">
        <f t="shared" ref="AL50:AM52" si="269">+AB50+AF50+AJ50</f>
        <v>131543.84905710001</v>
      </c>
      <c r="AM50" s="6570">
        <f t="shared" si="269"/>
        <v>94403.962</v>
      </c>
      <c r="AN50" s="4809">
        <f t="shared" ref="AN50:AO52" si="270">+AH50+AJ50</f>
        <v>301488.24905710004</v>
      </c>
      <c r="AO50" s="1713">
        <f t="shared" si="270"/>
        <v>251494.13</v>
      </c>
      <c r="AP50" s="3174">
        <f>+AP28</f>
        <v>46294.037736100006</v>
      </c>
      <c r="AQ50" s="3743">
        <f>+AQ28</f>
        <v>36021.128000000004</v>
      </c>
      <c r="AR50" s="4809">
        <f>+AN50+AP50</f>
        <v>347782.28679320007</v>
      </c>
      <c r="AS50" s="8185">
        <f>+AO50+AQ50</f>
        <v>287515.25800000003</v>
      </c>
      <c r="AT50" s="3174">
        <f>+AT28</f>
        <v>41769</v>
      </c>
      <c r="AU50" s="3743">
        <f>+AU28</f>
        <v>31000.400000000001</v>
      </c>
      <c r="AV50" s="8245">
        <f>+AR50+AT50</f>
        <v>389551.28679320007</v>
      </c>
      <c r="AW50" s="8245">
        <f>+AS50+AU50</f>
        <v>318515.65800000005</v>
      </c>
      <c r="AX50" s="4811">
        <f>+AX28</f>
        <v>46414.675000000003</v>
      </c>
      <c r="AY50" s="2723">
        <f>+AY28</f>
        <v>38003</v>
      </c>
      <c r="AZ50" s="6866">
        <f t="shared" ref="AZ50:AZ52" si="271">+AP50+AT50+AX50</f>
        <v>134477.71273610002</v>
      </c>
      <c r="BA50" s="6570">
        <f t="shared" ref="BA50:BA52" si="272">+AQ50+AU50+AY50</f>
        <v>105024.52800000001</v>
      </c>
      <c r="BB50" s="6866">
        <f t="shared" ref="BB50:BC52" si="273">+AL50+AZ50</f>
        <v>266021.56179320003</v>
      </c>
      <c r="BC50" s="6570">
        <f t="shared" si="273"/>
        <v>199428.49</v>
      </c>
      <c r="BD50" s="6519">
        <f>+AV50+AX50</f>
        <v>435965.96179320005</v>
      </c>
      <c r="BE50" s="6510">
        <f t="shared" ref="BE50:BE52" si="274">+AW50+AY50</f>
        <v>356518.65800000005</v>
      </c>
      <c r="BF50" s="6481">
        <v>500000</v>
      </c>
      <c r="BG50" s="6481">
        <v>412025.22</v>
      </c>
    </row>
    <row r="51" spans="2:60" ht="16" thickBot="1" x14ac:dyDescent="0.25">
      <c r="B51" s="1529" t="s">
        <v>2171</v>
      </c>
      <c r="C51" s="1545" t="s">
        <v>170</v>
      </c>
      <c r="D51" s="3174">
        <f>+D50-((D50-(D50*0)))</f>
        <v>0</v>
      </c>
      <c r="E51" s="4406">
        <f>+WRM!F96</f>
        <v>149.04000000000002</v>
      </c>
      <c r="F51" s="3174">
        <f>+F50-((F50-(F50*0)))</f>
        <v>0</v>
      </c>
      <c r="G51" s="4406">
        <f>+WRM!H96</f>
        <v>336.93</v>
      </c>
      <c r="H51" s="4809">
        <f t="shared" ref="H51:I52" si="275">+D51+F51</f>
        <v>0</v>
      </c>
      <c r="I51" s="1823">
        <f t="shared" si="275"/>
        <v>485.97</v>
      </c>
      <c r="J51" s="3174">
        <f>+J50-((J50-(J50*0)))</f>
        <v>0</v>
      </c>
      <c r="K51" s="4406">
        <f>+WRM!L96</f>
        <v>529.41599999999994</v>
      </c>
      <c r="L51" s="4792">
        <f t="shared" ref="L51:M52" si="276">+H51+J51</f>
        <v>0</v>
      </c>
      <c r="M51" s="1998">
        <f t="shared" si="276"/>
        <v>1015.386</v>
      </c>
      <c r="N51" s="3174">
        <f>+N50-((N50-(N50*0)))</f>
        <v>0</v>
      </c>
      <c r="O51" s="4406">
        <f>+WRM!P96</f>
        <v>500.03999999999996</v>
      </c>
      <c r="P51" s="4809">
        <f t="shared" ref="P51:Q52" si="277">+L51+N51</f>
        <v>0</v>
      </c>
      <c r="Q51" s="1713">
        <f t="shared" si="277"/>
        <v>1515.4259999999999</v>
      </c>
      <c r="R51" s="3174">
        <f>+R50-((R50-(R50*0)))</f>
        <v>0</v>
      </c>
      <c r="S51" s="4406">
        <f>+WRM!T96</f>
        <v>728.45999999999992</v>
      </c>
      <c r="T51" s="4809">
        <f t="shared" ref="T51:T52" si="278">+P51+R51</f>
        <v>0</v>
      </c>
      <c r="U51" s="1713">
        <f t="shared" ref="U51:U52" si="279">+Q51+S51</f>
        <v>2243.886</v>
      </c>
      <c r="V51" s="3174">
        <f>+V50-((V50-(V50*0)))</f>
        <v>0</v>
      </c>
      <c r="W51" s="4406">
        <f>+WRM!X96</f>
        <v>313.97399999999999</v>
      </c>
      <c r="X51" s="6502">
        <f t="shared" si="267"/>
        <v>0</v>
      </c>
      <c r="Y51" s="6570">
        <f t="shared" si="268"/>
        <v>1542.4739999999999</v>
      </c>
      <c r="Z51" s="6519">
        <f t="shared" ref="Z51:Z52" si="280">+T51+V51</f>
        <v>0</v>
      </c>
      <c r="AA51" s="6510">
        <f t="shared" ref="AA51:AA52" si="281">+U51+W51</f>
        <v>2557.86</v>
      </c>
      <c r="AB51" s="3174">
        <f>+AB50-((AB50-(AB50*0)))</f>
        <v>0</v>
      </c>
      <c r="AC51" s="4406">
        <f>+WRM!AD96</f>
        <v>322.17399999999998</v>
      </c>
      <c r="AD51" s="4809">
        <f t="shared" ref="AD51:AD52" si="282">+Z51+AB51</f>
        <v>0</v>
      </c>
      <c r="AE51" s="1713">
        <f t="shared" ref="AE51:AE52" si="283">+AA51+AC51</f>
        <v>2880.0340000000001</v>
      </c>
      <c r="AF51" s="3174">
        <f>+AF50-((AF50-(AF50*0)))</f>
        <v>0</v>
      </c>
      <c r="AG51" s="4406">
        <f>+WRM!AH96</f>
        <v>350.85399999999998</v>
      </c>
      <c r="AH51" s="4809">
        <f t="shared" ref="AH51:AH52" si="284">+AD51+AF51</f>
        <v>0</v>
      </c>
      <c r="AI51" s="1713">
        <f t="shared" ref="AI51:AI52" si="285">+AE51+AG51</f>
        <v>3230.8879999999999</v>
      </c>
      <c r="AJ51" s="3174">
        <f>+AJ50-((AJ50-(AJ50*0)))</f>
        <v>0</v>
      </c>
      <c r="AK51" s="4406">
        <f>+WRM!AL96</f>
        <v>240.01799999999997</v>
      </c>
      <c r="AL51" s="6866">
        <f t="shared" si="269"/>
        <v>0</v>
      </c>
      <c r="AM51" s="6570">
        <f t="shared" si="269"/>
        <v>913.04600000000005</v>
      </c>
      <c r="AN51" s="4809">
        <f t="shared" si="270"/>
        <v>0</v>
      </c>
      <c r="AO51" s="1713">
        <f t="shared" si="270"/>
        <v>3470.9059999999999</v>
      </c>
      <c r="AP51" s="3174">
        <f>+AP50-((AP50-(AP50*0)))</f>
        <v>0</v>
      </c>
      <c r="AQ51" s="4406">
        <f>+WRM!AR96</f>
        <v>370.44200000000001</v>
      </c>
      <c r="AR51" s="4809">
        <f t="shared" ref="AR51:AR52" si="286">+AN51+AP51</f>
        <v>0</v>
      </c>
      <c r="AS51" s="8185">
        <f t="shared" ref="AS51:AS52" si="287">+AO51+AQ51</f>
        <v>3841.348</v>
      </c>
      <c r="AT51" s="3174">
        <f>+AT50-((AT50-(AT50*0)))</f>
        <v>0</v>
      </c>
      <c r="AU51" s="4406">
        <f>+WRM!AV96</f>
        <v>119.41600000000001</v>
      </c>
      <c r="AV51" s="8245">
        <f t="shared" ref="AV51:AV52" si="288">+AR51+AT51</f>
        <v>0</v>
      </c>
      <c r="AW51" s="8245">
        <f t="shared" ref="AW51:AW52" si="289">+AS51+AU51</f>
        <v>3960.7640000000001</v>
      </c>
      <c r="AX51" s="6397">
        <f>+AX50-((AX50-(AX50*0)))</f>
        <v>0</v>
      </c>
      <c r="AY51" s="3841">
        <f>+WRM!AZ96</f>
        <v>419.74200000000002</v>
      </c>
      <c r="AZ51" s="6866">
        <f t="shared" si="271"/>
        <v>0</v>
      </c>
      <c r="BA51" s="6570">
        <f t="shared" si="272"/>
        <v>909.6</v>
      </c>
      <c r="BB51" s="6866">
        <f t="shared" si="273"/>
        <v>0</v>
      </c>
      <c r="BC51" s="6570">
        <f t="shared" si="273"/>
        <v>1822.6460000000002</v>
      </c>
      <c r="BD51" s="6519">
        <f t="shared" ref="BD51:BD52" si="290">+AV51+AX51</f>
        <v>0</v>
      </c>
      <c r="BE51" s="6510">
        <f t="shared" si="274"/>
        <v>4380.5060000000003</v>
      </c>
      <c r="BF51" s="6481">
        <v>2200</v>
      </c>
      <c r="BG51" s="6481">
        <v>4165.17</v>
      </c>
    </row>
    <row r="52" spans="2:60" ht="17" thickBot="1" x14ac:dyDescent="0.25">
      <c r="B52" s="1968" t="s">
        <v>1454</v>
      </c>
      <c r="C52" s="1577" t="s">
        <v>170</v>
      </c>
      <c r="D52" s="3276">
        <f>+D50-D51</f>
        <v>14366.399999999998</v>
      </c>
      <c r="E52" s="4698">
        <f>+E50-E51</f>
        <v>14217.359999999997</v>
      </c>
      <c r="F52" s="3276">
        <f>+F50-F51</f>
        <v>17668</v>
      </c>
      <c r="G52" s="4698">
        <f>+G50-G51</f>
        <v>17331.07</v>
      </c>
      <c r="H52" s="4809">
        <f t="shared" si="275"/>
        <v>32034.399999999998</v>
      </c>
      <c r="I52" s="1823">
        <f t="shared" si="275"/>
        <v>31548.429999999997</v>
      </c>
      <c r="J52" s="3276">
        <f>+J50-J51</f>
        <v>35910</v>
      </c>
      <c r="K52" s="4698">
        <f>+K50-K51</f>
        <v>30808.728000000003</v>
      </c>
      <c r="L52" s="4792">
        <f t="shared" si="276"/>
        <v>67944.399999999994</v>
      </c>
      <c r="M52" s="1998">
        <f t="shared" si="276"/>
        <v>62357.157999999996</v>
      </c>
      <c r="N52" s="3276">
        <f>+N50-N51</f>
        <v>35000</v>
      </c>
      <c r="O52" s="4698">
        <f>+O50-O51</f>
        <v>32147.296000000002</v>
      </c>
      <c r="P52" s="4809">
        <f t="shared" si="277"/>
        <v>102944.4</v>
      </c>
      <c r="Q52" s="1713">
        <f t="shared" si="277"/>
        <v>94504.453999999998</v>
      </c>
      <c r="R52" s="3276">
        <f>+R50-R51</f>
        <v>35000</v>
      </c>
      <c r="S52" s="4698">
        <f>+S50-S51</f>
        <v>33303.96</v>
      </c>
      <c r="T52" s="4809">
        <f t="shared" si="278"/>
        <v>137944.4</v>
      </c>
      <c r="U52" s="1713">
        <f t="shared" si="279"/>
        <v>127808.41399999999</v>
      </c>
      <c r="V52" s="3276">
        <f>+V50-V51</f>
        <v>32000</v>
      </c>
      <c r="W52" s="4698">
        <f>+W50-W51</f>
        <v>26723.893999999997</v>
      </c>
      <c r="X52" s="6502">
        <f t="shared" si="267"/>
        <v>102000</v>
      </c>
      <c r="Y52" s="6570">
        <f t="shared" si="268"/>
        <v>92175.15</v>
      </c>
      <c r="Z52" s="6519">
        <f t="shared" si="280"/>
        <v>169944.4</v>
      </c>
      <c r="AA52" s="6510">
        <f t="shared" si="281"/>
        <v>154532.30799999999</v>
      </c>
      <c r="AB52" s="3276">
        <f>+AB50-AB51</f>
        <v>40000</v>
      </c>
      <c r="AC52" s="4698">
        <f>+AC50-AC51</f>
        <v>26603.641999999996</v>
      </c>
      <c r="AD52" s="4809">
        <f t="shared" si="282"/>
        <v>209944.4</v>
      </c>
      <c r="AE52" s="1713">
        <f t="shared" si="283"/>
        <v>181135.94999999998</v>
      </c>
      <c r="AF52" s="3276">
        <f>+AF50-AF51</f>
        <v>45249.811321000008</v>
      </c>
      <c r="AG52" s="4698">
        <f>+AG50-AG51</f>
        <v>32406.115999999995</v>
      </c>
      <c r="AH52" s="4809">
        <f t="shared" si="284"/>
        <v>255194.21132100001</v>
      </c>
      <c r="AI52" s="1713">
        <f t="shared" si="285"/>
        <v>213542.06599999999</v>
      </c>
      <c r="AJ52" s="3276">
        <f>+AJ50-AJ51</f>
        <v>46294.037736100006</v>
      </c>
      <c r="AK52" s="4698">
        <f>+AK50-AK51</f>
        <v>34481.158000000003</v>
      </c>
      <c r="AL52" s="6866">
        <f t="shared" si="269"/>
        <v>131543.84905710001</v>
      </c>
      <c r="AM52" s="6570">
        <f t="shared" si="269"/>
        <v>93490.915999999997</v>
      </c>
      <c r="AN52" s="4809">
        <f t="shared" si="270"/>
        <v>301488.24905710004</v>
      </c>
      <c r="AO52" s="1713">
        <f t="shared" si="270"/>
        <v>248023.22399999999</v>
      </c>
      <c r="AP52" s="3276">
        <f>+AP50-AP51</f>
        <v>46294.037736100006</v>
      </c>
      <c r="AQ52" s="4698">
        <f>+AQ50-AQ51</f>
        <v>35650.686000000002</v>
      </c>
      <c r="AR52" s="4809">
        <f t="shared" si="286"/>
        <v>347782.28679320007</v>
      </c>
      <c r="AS52" s="8185">
        <f t="shared" si="287"/>
        <v>283673.90999999997</v>
      </c>
      <c r="AT52" s="3276">
        <f>+AT50-AT51</f>
        <v>41769</v>
      </c>
      <c r="AU52" s="4698">
        <f>+AU50-AU51</f>
        <v>30880.984</v>
      </c>
      <c r="AV52" s="8245">
        <f t="shared" si="288"/>
        <v>389551.28679320007</v>
      </c>
      <c r="AW52" s="8245">
        <f t="shared" si="289"/>
        <v>314554.89399999997</v>
      </c>
      <c r="AX52" s="2319">
        <f>+AX50-AX51</f>
        <v>46414.675000000003</v>
      </c>
      <c r="AY52" s="1677">
        <f>+AY50-AY51</f>
        <v>37583.258000000002</v>
      </c>
      <c r="AZ52" s="6866">
        <f t="shared" si="271"/>
        <v>134477.71273610002</v>
      </c>
      <c r="BA52" s="6570">
        <f t="shared" si="272"/>
        <v>104114.928</v>
      </c>
      <c r="BB52" s="6866">
        <f t="shared" si="273"/>
        <v>266021.56179320003</v>
      </c>
      <c r="BC52" s="6570">
        <f t="shared" si="273"/>
        <v>197605.84399999998</v>
      </c>
      <c r="BD52" s="6519">
        <f t="shared" si="290"/>
        <v>435965.96179320005</v>
      </c>
      <c r="BE52" s="6510">
        <f t="shared" si="274"/>
        <v>352138.152</v>
      </c>
      <c r="BF52" s="6481">
        <v>497800.00000000006</v>
      </c>
      <c r="BG52" s="6481">
        <v>407860.05</v>
      </c>
    </row>
    <row r="53" spans="2:60" s="3380" customFormat="1" x14ac:dyDescent="0.2">
      <c r="B53" s="6576" t="s">
        <v>341</v>
      </c>
      <c r="C53" s="6579"/>
      <c r="D53" s="5192"/>
      <c r="E53" s="5193"/>
      <c r="F53" s="5192"/>
      <c r="G53" s="5193"/>
      <c r="H53" s="5192"/>
      <c r="I53" s="5193"/>
      <c r="J53" s="5192"/>
      <c r="K53" s="5193"/>
      <c r="L53" s="5192"/>
      <c r="M53" s="6577"/>
      <c r="N53" s="5192"/>
      <c r="O53" s="5193"/>
      <c r="P53" s="6580"/>
      <c r="Q53" s="6581"/>
      <c r="R53" s="5192"/>
      <c r="S53" s="5193"/>
      <c r="T53" s="6580"/>
      <c r="U53" s="6581"/>
      <c r="V53" s="5192"/>
      <c r="W53" s="5193"/>
      <c r="X53" s="5192"/>
      <c r="Y53" s="5193"/>
      <c r="Z53" s="6580"/>
      <c r="AA53" s="6581"/>
      <c r="AB53" s="5192"/>
      <c r="AC53" s="5193"/>
      <c r="AD53" s="6580"/>
      <c r="AE53" s="6581"/>
      <c r="AF53" s="5192"/>
      <c r="AG53" s="5193"/>
      <c r="AH53" s="6580"/>
      <c r="AI53" s="6581"/>
      <c r="AJ53" s="5192"/>
      <c r="AK53" s="5193"/>
      <c r="AL53" s="5192"/>
      <c r="AM53" s="5193"/>
      <c r="AN53" s="6580"/>
      <c r="AO53" s="6581"/>
      <c r="AP53" s="5192"/>
      <c r="AQ53" s="5193"/>
      <c r="AR53" s="6580"/>
      <c r="AS53" s="6581"/>
      <c r="AT53" s="5192"/>
      <c r="AU53" s="5193"/>
      <c r="AV53" s="8246"/>
      <c r="AW53" s="8246"/>
      <c r="AX53" s="8333"/>
      <c r="AY53" s="5245"/>
      <c r="AZ53" s="5192"/>
      <c r="BA53" s="5193"/>
      <c r="BB53" s="5192"/>
      <c r="BC53" s="5193"/>
      <c r="BD53" s="6580"/>
      <c r="BE53" s="6581"/>
      <c r="BF53" s="6582"/>
      <c r="BG53" s="6582"/>
    </row>
    <row r="54" spans="2:60" ht="16" thickBot="1" x14ac:dyDescent="0.25">
      <c r="B54" s="1529" t="s">
        <v>1080</v>
      </c>
      <c r="C54" s="1545" t="s">
        <v>170</v>
      </c>
      <c r="D54" s="3174">
        <f>+D29</f>
        <v>8073.1400000000012</v>
      </c>
      <c r="E54" s="3743">
        <f>+E29</f>
        <v>8073.1400000000012</v>
      </c>
      <c r="F54" s="3174">
        <f>+F29</f>
        <v>43712</v>
      </c>
      <c r="G54" s="3743">
        <f>+G29</f>
        <v>43712</v>
      </c>
      <c r="H54" s="4809">
        <f>+D54+F54</f>
        <v>51785.14</v>
      </c>
      <c r="I54" s="1823">
        <f>+E54+G54</f>
        <v>51785.14</v>
      </c>
      <c r="J54" s="3174">
        <f>+J29</f>
        <v>41998</v>
      </c>
      <c r="K54" s="3743">
        <f>+K29</f>
        <v>32149.444999999996</v>
      </c>
      <c r="L54" s="4792">
        <f>+H54+J54</f>
        <v>93783.14</v>
      </c>
      <c r="M54" s="1998">
        <f>+I54+K54</f>
        <v>83934.584999999992</v>
      </c>
      <c r="N54" s="3174">
        <f>+N29</f>
        <v>59600</v>
      </c>
      <c r="O54" s="3743">
        <f>+O29</f>
        <v>24173.96</v>
      </c>
      <c r="P54" s="4809">
        <f>+L54+N54</f>
        <v>153383.14000000001</v>
      </c>
      <c r="Q54" s="1713">
        <f>+M54+O54</f>
        <v>108108.54499999998</v>
      </c>
      <c r="R54" s="3174">
        <f>+R29</f>
        <v>55000</v>
      </c>
      <c r="S54" s="3743">
        <f>+S29</f>
        <v>30791.565000000002</v>
      </c>
      <c r="T54" s="4809">
        <f>+P54+R54</f>
        <v>208383.14</v>
      </c>
      <c r="U54" s="1713">
        <f>+Q54+S54</f>
        <v>138900.10999999999</v>
      </c>
      <c r="V54" s="3174">
        <f>+V29</f>
        <v>58000</v>
      </c>
      <c r="W54" s="3743">
        <f>+W29</f>
        <v>31774.47</v>
      </c>
      <c r="X54" s="6502">
        <f t="shared" ref="X54:X56" si="291">+N54+R54+V54</f>
        <v>172600</v>
      </c>
      <c r="Y54" s="6570">
        <f t="shared" ref="Y54:Y56" si="292">+O54+S54+W54</f>
        <v>86739.994999999995</v>
      </c>
      <c r="Z54" s="6519">
        <f>+T54+V54</f>
        <v>266383.14</v>
      </c>
      <c r="AA54" s="6510">
        <f>+U54+W54</f>
        <v>170674.58</v>
      </c>
      <c r="AB54" s="3174">
        <f>+AB29</f>
        <v>50000</v>
      </c>
      <c r="AC54" s="3743">
        <f>+AC29</f>
        <v>29425.244999999999</v>
      </c>
      <c r="AD54" s="4809">
        <f>+Z54+AB54</f>
        <v>316383.14</v>
      </c>
      <c r="AE54" s="1713">
        <f>+AA54+AC54</f>
        <v>200099.82499999998</v>
      </c>
      <c r="AF54" s="3174">
        <f>+AF29</f>
        <v>72144</v>
      </c>
      <c r="AG54" s="3743">
        <f>+AG29</f>
        <v>39377.084999999999</v>
      </c>
      <c r="AH54" s="4809">
        <f>+AD54+AF54</f>
        <v>388527.14</v>
      </c>
      <c r="AI54" s="1713">
        <f>+AE54+AG54</f>
        <v>239476.90999999997</v>
      </c>
      <c r="AJ54" s="3174">
        <f>+AJ29</f>
        <v>72945.600000000006</v>
      </c>
      <c r="AK54" s="3743">
        <f>+AK29</f>
        <v>55325.43</v>
      </c>
      <c r="AL54" s="6866">
        <f t="shared" ref="AL54:AM56" si="293">+AB54+AF54+AJ54</f>
        <v>195089.6</v>
      </c>
      <c r="AM54" s="6570">
        <f t="shared" si="293"/>
        <v>124127.76000000001</v>
      </c>
      <c r="AN54" s="4809">
        <f t="shared" ref="AN54:AO56" si="294">+AH54+AJ54</f>
        <v>461472.74</v>
      </c>
      <c r="AO54" s="1713">
        <f t="shared" si="294"/>
        <v>294802.33999999997</v>
      </c>
      <c r="AP54" s="3174">
        <f>+AP29</f>
        <v>73480</v>
      </c>
      <c r="AQ54" s="3743">
        <f>+AQ29</f>
        <v>46008.409999999996</v>
      </c>
      <c r="AR54" s="4809">
        <f>+AN54+AP54</f>
        <v>534952.74</v>
      </c>
      <c r="AS54" s="8185">
        <f>+AO54+AQ54</f>
        <v>340810.74999999994</v>
      </c>
      <c r="AT54" s="3174">
        <f>+AT29</f>
        <v>66800</v>
      </c>
      <c r="AU54" s="3743">
        <f>+AU29</f>
        <v>48785.52</v>
      </c>
      <c r="AV54" s="8245">
        <f>+AR54+AT54</f>
        <v>601752.74</v>
      </c>
      <c r="AW54" s="8245">
        <f>+AS54+AU54</f>
        <v>389596.26999999996</v>
      </c>
      <c r="AX54" s="6397">
        <f>+AX29</f>
        <v>73122.399999999994</v>
      </c>
      <c r="AY54" s="4626">
        <f>+AY29</f>
        <v>50951</v>
      </c>
      <c r="AZ54" s="6866">
        <f t="shared" ref="AZ54:AZ56" si="295">+AP54+AT54+AX54</f>
        <v>213402.4</v>
      </c>
      <c r="BA54" s="6570">
        <f t="shared" ref="BA54:BA56" si="296">+AQ54+AU54+AY54</f>
        <v>145744.93</v>
      </c>
      <c r="BB54" s="6866">
        <f t="shared" ref="BB54:BB56" si="297">+AL54+AZ54</f>
        <v>408492</v>
      </c>
      <c r="BC54" s="6570">
        <f t="shared" ref="BC54:BC56" si="298">+AM54+BA54</f>
        <v>269872.69</v>
      </c>
      <c r="BD54" s="6519">
        <f t="shared" ref="BD54:BD56" si="299">+AV54+AX54</f>
        <v>674875.14</v>
      </c>
      <c r="BE54" s="6510">
        <f t="shared" ref="BE54:BE56" si="300">+AW54+AY54</f>
        <v>440547.26999999996</v>
      </c>
      <c r="BF54" s="6481">
        <v>800000</v>
      </c>
      <c r="BG54" s="6481">
        <v>632220.18000000005</v>
      </c>
    </row>
    <row r="55" spans="2:60" ht="17" thickBot="1" x14ac:dyDescent="0.25">
      <c r="B55" s="1529" t="s">
        <v>2171</v>
      </c>
      <c r="C55" s="1545" t="s">
        <v>170</v>
      </c>
      <c r="D55" s="3174">
        <f>+D54-((D54-(D54*0)))</f>
        <v>0</v>
      </c>
      <c r="E55" s="4406">
        <f>+BM!F36</f>
        <v>111.56</v>
      </c>
      <c r="F55" s="3174">
        <f>+F54-((F54-(F54*0)))</f>
        <v>0</v>
      </c>
      <c r="G55" s="4406">
        <f>+BM!H36</f>
        <v>497.08000000000004</v>
      </c>
      <c r="H55" s="4809">
        <f t="shared" ref="H55:I56" si="301">+D55+F55</f>
        <v>0</v>
      </c>
      <c r="I55" s="1823">
        <f t="shared" si="301"/>
        <v>608.6400000000001</v>
      </c>
      <c r="J55" s="3174">
        <f>+J54-((J54-(J54*0)))</f>
        <v>0</v>
      </c>
      <c r="K55" s="4406">
        <f>+BM!L36</f>
        <v>300.36800000000005</v>
      </c>
      <c r="L55" s="4792">
        <f t="shared" ref="L55:M56" si="302">+H55+J55</f>
        <v>0</v>
      </c>
      <c r="M55" s="1998">
        <f t="shared" si="302"/>
        <v>909.00800000000015</v>
      </c>
      <c r="N55" s="3174">
        <f>+N54-((N54-(N54*0)))</f>
        <v>0</v>
      </c>
      <c r="O55" s="4406">
        <f>+BM!P36</f>
        <v>347.5</v>
      </c>
      <c r="P55" s="4809">
        <f t="shared" ref="P55:Q56" si="303">+L55+N55</f>
        <v>0</v>
      </c>
      <c r="Q55" s="1713">
        <f t="shared" si="303"/>
        <v>1256.5080000000003</v>
      </c>
      <c r="R55" s="3174">
        <f>+R54-((R54-(R54*0)))</f>
        <v>0</v>
      </c>
      <c r="S55" s="4406">
        <f>+BM!T36</f>
        <v>96.28</v>
      </c>
      <c r="T55" s="4809">
        <f t="shared" ref="T55:T56" si="304">+P55+R55</f>
        <v>0</v>
      </c>
      <c r="U55" s="1713">
        <f t="shared" ref="U55:U56" si="305">+Q55+S55</f>
        <v>1352.7880000000002</v>
      </c>
      <c r="V55" s="3174">
        <f>+V54-((V54-(V54*0)))</f>
        <v>0</v>
      </c>
      <c r="W55" s="4406">
        <f>+BM!X36</f>
        <v>170.03500000000003</v>
      </c>
      <c r="X55" s="6502">
        <f t="shared" si="291"/>
        <v>0</v>
      </c>
      <c r="Y55" s="6570">
        <f t="shared" si="292"/>
        <v>613.81500000000005</v>
      </c>
      <c r="Z55" s="6519">
        <f t="shared" ref="Z55:Z56" si="306">+T55+V55</f>
        <v>0</v>
      </c>
      <c r="AA55" s="6510">
        <f t="shared" ref="AA55:AA56" si="307">+U55+W55</f>
        <v>1522.8230000000003</v>
      </c>
      <c r="AB55" s="3174">
        <f>+AB54-((AB54-(AB54*0)))</f>
        <v>0</v>
      </c>
      <c r="AC55" s="4406">
        <f>+BM!AD36</f>
        <v>49.92</v>
      </c>
      <c r="AD55" s="4809">
        <f t="shared" ref="AD55:AD56" si="308">+Z55+AB55</f>
        <v>0</v>
      </c>
      <c r="AE55" s="1713">
        <f t="shared" ref="AE55:AE56" si="309">+AA55+AC55</f>
        <v>1572.7430000000004</v>
      </c>
      <c r="AF55" s="3174">
        <f>+AF54-((AF54-(AF54*0)))</f>
        <v>0</v>
      </c>
      <c r="AG55" s="4406">
        <f>+BM!AH36</f>
        <v>36.730000000000004</v>
      </c>
      <c r="AH55" s="4809">
        <f t="shared" ref="AH55:AH56" si="310">+AD55+AF55</f>
        <v>0</v>
      </c>
      <c r="AI55" s="1713">
        <f t="shared" ref="AI55:AI56" si="311">+AE55+AG55</f>
        <v>1609.4730000000004</v>
      </c>
      <c r="AJ55" s="3174">
        <f>+AJ54-((AJ54-(AJ54*0)))</f>
        <v>0</v>
      </c>
      <c r="AK55" s="4406">
        <f>+BM!AL36</f>
        <v>62.817999999999998</v>
      </c>
      <c r="AL55" s="6866">
        <f t="shared" si="293"/>
        <v>0</v>
      </c>
      <c r="AM55" s="6570">
        <f t="shared" si="293"/>
        <v>149.46800000000002</v>
      </c>
      <c r="AN55" s="4809">
        <f t="shared" si="294"/>
        <v>0</v>
      </c>
      <c r="AO55" s="1713">
        <f t="shared" si="294"/>
        <v>1672.2910000000004</v>
      </c>
      <c r="AP55" s="3174">
        <f>+AP54-((AP54-(AP54*0)))</f>
        <v>0</v>
      </c>
      <c r="AQ55" s="4406">
        <f>+BM!AR36</f>
        <v>12.96</v>
      </c>
      <c r="AR55" s="4809">
        <f t="shared" ref="AR55:AR56" si="312">+AN55+AP55</f>
        <v>0</v>
      </c>
      <c r="AS55" s="8185">
        <f t="shared" ref="AS55:AS56" si="313">+AO55+AQ55</f>
        <v>1685.2510000000004</v>
      </c>
      <c r="AT55" s="3174">
        <f>+AT54-((AT54-(AT54*0)))</f>
        <v>0</v>
      </c>
      <c r="AU55" s="4406">
        <f>+BM!AV36</f>
        <v>38.582000000000001</v>
      </c>
      <c r="AV55" s="8245">
        <f t="shared" ref="AV55:AV56" si="314">+AR55+AT55</f>
        <v>0</v>
      </c>
      <c r="AW55" s="8245">
        <f t="shared" ref="AW55:AW56" si="315">+AS55+AU55</f>
        <v>1723.8330000000005</v>
      </c>
      <c r="AX55" s="2319">
        <f>+AX54-((AX54-(AX54*0)))</f>
        <v>0</v>
      </c>
      <c r="AY55" s="1677">
        <f>+BM!AZ36</f>
        <v>37.659999999999997</v>
      </c>
      <c r="AZ55" s="6866">
        <f t="shared" si="295"/>
        <v>0</v>
      </c>
      <c r="BA55" s="6570">
        <f t="shared" si="296"/>
        <v>89.201999999999998</v>
      </c>
      <c r="BB55" s="6866">
        <f t="shared" si="297"/>
        <v>0</v>
      </c>
      <c r="BC55" s="6570">
        <f t="shared" si="298"/>
        <v>238.67000000000002</v>
      </c>
      <c r="BD55" s="6519">
        <f t="shared" si="299"/>
        <v>0</v>
      </c>
      <c r="BE55" s="6510">
        <f t="shared" si="300"/>
        <v>1761.4930000000006</v>
      </c>
      <c r="BF55" s="6481">
        <v>2000</v>
      </c>
      <c r="BG55" s="6481">
        <v>4798.5</v>
      </c>
    </row>
    <row r="56" spans="2:60" ht="17" thickBot="1" x14ac:dyDescent="0.25">
      <c r="B56" s="1968" t="s">
        <v>1454</v>
      </c>
      <c r="C56" s="1577" t="s">
        <v>170</v>
      </c>
      <c r="D56" s="3276">
        <f>+D54-D55</f>
        <v>8073.1400000000012</v>
      </c>
      <c r="E56" s="4698">
        <f>+E54-E55</f>
        <v>7961.5800000000008</v>
      </c>
      <c r="F56" s="3276">
        <f>+F54-F55</f>
        <v>43712</v>
      </c>
      <c r="G56" s="4698">
        <f>+G54-G55</f>
        <v>43214.92</v>
      </c>
      <c r="H56" s="2789">
        <f t="shared" si="301"/>
        <v>51785.14</v>
      </c>
      <c r="I56" s="1828">
        <f t="shared" si="301"/>
        <v>51176.5</v>
      </c>
      <c r="J56" s="3276">
        <f>+J54-J55</f>
        <v>41998</v>
      </c>
      <c r="K56" s="4698">
        <f>+K54-K55</f>
        <v>31849.076999999997</v>
      </c>
      <c r="L56" s="2952">
        <f t="shared" si="302"/>
        <v>93783.14</v>
      </c>
      <c r="M56" s="2007">
        <f t="shared" si="302"/>
        <v>83025.57699999999</v>
      </c>
      <c r="N56" s="3276">
        <f>+N54-N55</f>
        <v>59600</v>
      </c>
      <c r="O56" s="4698">
        <f>+O54-O55</f>
        <v>23826.46</v>
      </c>
      <c r="P56" s="2789">
        <f t="shared" si="303"/>
        <v>153383.14000000001</v>
      </c>
      <c r="Q56" s="1731">
        <f t="shared" si="303"/>
        <v>106852.03699999998</v>
      </c>
      <c r="R56" s="3276">
        <f>+R54-R55</f>
        <v>55000</v>
      </c>
      <c r="S56" s="4698">
        <f>+S54-S55</f>
        <v>30695.285000000003</v>
      </c>
      <c r="T56" s="2789">
        <f t="shared" si="304"/>
        <v>208383.14</v>
      </c>
      <c r="U56" s="1731">
        <f t="shared" si="305"/>
        <v>137547.32199999999</v>
      </c>
      <c r="V56" s="3276">
        <f>+V54-V55</f>
        <v>58000</v>
      </c>
      <c r="W56" s="4698">
        <f>+W54-W55</f>
        <v>31604.435000000001</v>
      </c>
      <c r="X56" s="6502">
        <f t="shared" si="291"/>
        <v>172600</v>
      </c>
      <c r="Y56" s="6570">
        <f t="shared" si="292"/>
        <v>86126.180000000008</v>
      </c>
      <c r="Z56" s="6527">
        <f t="shared" si="306"/>
        <v>266383.14</v>
      </c>
      <c r="AA56" s="6528">
        <f t="shared" si="307"/>
        <v>169151.75699999998</v>
      </c>
      <c r="AB56" s="3276">
        <f>+AB54-AB55</f>
        <v>50000</v>
      </c>
      <c r="AC56" s="4698">
        <f>+AC54-AC55</f>
        <v>29375.325000000001</v>
      </c>
      <c r="AD56" s="2789">
        <f t="shared" si="308"/>
        <v>316383.14</v>
      </c>
      <c r="AE56" s="1731">
        <f t="shared" si="309"/>
        <v>198527.08199999999</v>
      </c>
      <c r="AF56" s="3276">
        <f>+AF54-AF55</f>
        <v>72144</v>
      </c>
      <c r="AG56" s="4698">
        <f>+AG54-AG55</f>
        <v>39340.354999999996</v>
      </c>
      <c r="AH56" s="2789">
        <f t="shared" si="310"/>
        <v>388527.14</v>
      </c>
      <c r="AI56" s="1731">
        <f t="shared" si="311"/>
        <v>237867.43699999998</v>
      </c>
      <c r="AJ56" s="3276">
        <f>+AJ54-AJ55</f>
        <v>72945.600000000006</v>
      </c>
      <c r="AK56" s="4698">
        <f>+AK54-AK55</f>
        <v>55262.612000000001</v>
      </c>
      <c r="AL56" s="6866">
        <f t="shared" si="293"/>
        <v>195089.6</v>
      </c>
      <c r="AM56" s="6570">
        <f t="shared" si="293"/>
        <v>123978.29199999999</v>
      </c>
      <c r="AN56" s="2789">
        <f t="shared" si="294"/>
        <v>461472.74</v>
      </c>
      <c r="AO56" s="1731">
        <f t="shared" si="294"/>
        <v>293130.049</v>
      </c>
      <c r="AP56" s="3276">
        <f>+AP54-AP55</f>
        <v>73480</v>
      </c>
      <c r="AQ56" s="4698">
        <f>+AQ54-AQ55</f>
        <v>45995.45</v>
      </c>
      <c r="AR56" s="2789">
        <f t="shared" si="312"/>
        <v>534952.74</v>
      </c>
      <c r="AS56" s="8241">
        <f t="shared" si="313"/>
        <v>339125.49900000001</v>
      </c>
      <c r="AT56" s="3276">
        <f>+AT54-AT55</f>
        <v>66800</v>
      </c>
      <c r="AU56" s="4698">
        <f>+AU54-AU55</f>
        <v>48746.937999999995</v>
      </c>
      <c r="AV56" s="8245">
        <f t="shared" si="314"/>
        <v>601752.74</v>
      </c>
      <c r="AW56" s="8245">
        <f t="shared" si="315"/>
        <v>387872.43700000003</v>
      </c>
      <c r="AX56" s="5305">
        <f>+AX54-AX55</f>
        <v>73122.399999999994</v>
      </c>
      <c r="AY56" s="5062">
        <f>+AY54-AY55</f>
        <v>50913.34</v>
      </c>
      <c r="AZ56" s="6866">
        <f t="shared" si="295"/>
        <v>213402.4</v>
      </c>
      <c r="BA56" s="6570">
        <f t="shared" si="296"/>
        <v>145655.728</v>
      </c>
      <c r="BB56" s="6866">
        <f t="shared" si="297"/>
        <v>408492</v>
      </c>
      <c r="BC56" s="6570">
        <f t="shared" si="298"/>
        <v>269634.02</v>
      </c>
      <c r="BD56" s="6527">
        <f t="shared" si="299"/>
        <v>674875.14</v>
      </c>
      <c r="BE56" s="6528">
        <f t="shared" si="300"/>
        <v>438785.777</v>
      </c>
      <c r="BF56" s="6481">
        <v>798000</v>
      </c>
      <c r="BG56" s="6481">
        <v>627421.67999999993</v>
      </c>
    </row>
    <row r="57" spans="2:60" s="3380" customFormat="1" x14ac:dyDescent="0.2">
      <c r="B57" s="6583" t="s">
        <v>447</v>
      </c>
      <c r="C57" s="6584"/>
      <c r="D57" s="5194"/>
      <c r="E57" s="5193"/>
      <c r="F57" s="5194"/>
      <c r="G57" s="5193"/>
      <c r="H57" s="5192"/>
      <c r="I57" s="5193"/>
      <c r="J57" s="5194"/>
      <c r="K57" s="5193"/>
      <c r="L57" s="5192"/>
      <c r="M57" s="6577"/>
      <c r="N57" s="5194"/>
      <c r="O57" s="5193"/>
      <c r="P57" s="6580"/>
      <c r="Q57" s="6581"/>
      <c r="R57" s="5194"/>
      <c r="S57" s="5193"/>
      <c r="T57" s="6580"/>
      <c r="U57" s="6581"/>
      <c r="V57" s="5194"/>
      <c r="W57" s="5193"/>
      <c r="X57" s="5192"/>
      <c r="Y57" s="5193"/>
      <c r="Z57" s="6580"/>
      <c r="AA57" s="6581"/>
      <c r="AB57" s="5194"/>
      <c r="AC57" s="5193"/>
      <c r="AD57" s="6580"/>
      <c r="AE57" s="6581"/>
      <c r="AF57" s="5194"/>
      <c r="AG57" s="5193"/>
      <c r="AH57" s="6580"/>
      <c r="AI57" s="6581"/>
      <c r="AJ57" s="5194"/>
      <c r="AK57" s="5193"/>
      <c r="AL57" s="5192"/>
      <c r="AM57" s="5193"/>
      <c r="AN57" s="6580"/>
      <c r="AO57" s="6581"/>
      <c r="AP57" s="5194"/>
      <c r="AQ57" s="5193"/>
      <c r="AR57" s="6580"/>
      <c r="AS57" s="6581"/>
      <c r="AT57" s="5194"/>
      <c r="AU57" s="5193"/>
      <c r="AV57" s="8246"/>
      <c r="AW57" s="8246"/>
      <c r="AX57" s="4811"/>
      <c r="AY57" s="4406"/>
      <c r="AZ57" s="5192"/>
      <c r="BA57" s="5193"/>
      <c r="BB57" s="5192"/>
      <c r="BC57" s="5193"/>
      <c r="BD57" s="6580"/>
      <c r="BE57" s="6581"/>
      <c r="BF57" s="6582"/>
      <c r="BG57" s="6582"/>
    </row>
    <row r="58" spans="2:60" ht="16" thickBot="1" x14ac:dyDescent="0.25">
      <c r="B58" s="1529" t="s">
        <v>1080</v>
      </c>
      <c r="C58" s="1545" t="s">
        <v>170</v>
      </c>
      <c r="D58" s="3174">
        <f>+D30</f>
        <v>0</v>
      </c>
      <c r="E58" s="4406">
        <f>+E30</f>
        <v>0</v>
      </c>
      <c r="F58" s="3174">
        <f>+F30</f>
        <v>0</v>
      </c>
      <c r="G58" s="4406">
        <f>+G30</f>
        <v>0</v>
      </c>
      <c r="H58" s="4809">
        <f>+D58+F58</f>
        <v>0</v>
      </c>
      <c r="I58" s="1823">
        <f>+E58+G58</f>
        <v>0</v>
      </c>
      <c r="J58" s="3174">
        <f>+J30</f>
        <v>0</v>
      </c>
      <c r="K58" s="4406">
        <f>+K30</f>
        <v>0</v>
      </c>
      <c r="L58" s="4792">
        <f>+H58+J58</f>
        <v>0</v>
      </c>
      <c r="M58" s="1998">
        <f>+I58+K58</f>
        <v>0</v>
      </c>
      <c r="N58" s="3174">
        <f>+N30</f>
        <v>7000</v>
      </c>
      <c r="O58" s="4406">
        <f>+O30</f>
        <v>0</v>
      </c>
      <c r="P58" s="4809">
        <f>+L58+N58</f>
        <v>7000</v>
      </c>
      <c r="Q58" s="1713">
        <f>+M58+O58</f>
        <v>0</v>
      </c>
      <c r="R58" s="3174">
        <f>+R30</f>
        <v>8000</v>
      </c>
      <c r="S58" s="4406">
        <f>+S30</f>
        <v>0</v>
      </c>
      <c r="T58" s="4809">
        <f>+P58+R58</f>
        <v>15000</v>
      </c>
      <c r="U58" s="1713">
        <f>+Q58+S58</f>
        <v>0</v>
      </c>
      <c r="V58" s="3174">
        <f>+V30</f>
        <v>10000</v>
      </c>
      <c r="W58" s="4406">
        <f>+W30</f>
        <v>0</v>
      </c>
      <c r="X58" s="6502">
        <f t="shared" ref="X58:X60" si="316">+N58+R58+V58</f>
        <v>25000</v>
      </c>
      <c r="Y58" s="6570">
        <f t="shared" ref="Y58:Y60" si="317">+O58+S58+W58</f>
        <v>0</v>
      </c>
      <c r="Z58" s="6519">
        <f>+T58+V58</f>
        <v>25000</v>
      </c>
      <c r="AA58" s="6510">
        <f>+U58+W58</f>
        <v>0</v>
      </c>
      <c r="AB58" s="3174">
        <f>+AB30</f>
        <v>10000</v>
      </c>
      <c r="AC58" s="4406">
        <f>+AC30</f>
        <v>16462.165640978397</v>
      </c>
      <c r="AD58" s="4809">
        <f>+Z58+AB58</f>
        <v>35000</v>
      </c>
      <c r="AE58" s="1713">
        <f>+AA58+AC58</f>
        <v>16462.165640978397</v>
      </c>
      <c r="AF58" s="3174">
        <f>+AF30</f>
        <v>40000</v>
      </c>
      <c r="AG58" s="4406">
        <f>+AG30</f>
        <v>18653.110499716</v>
      </c>
      <c r="AH58" s="4809">
        <f>+AD58+AF58</f>
        <v>75000</v>
      </c>
      <c r="AI58" s="1713">
        <f>+AE58+AG58</f>
        <v>35115.276140694397</v>
      </c>
      <c r="AJ58" s="3174">
        <f>+AJ30</f>
        <v>30000</v>
      </c>
      <c r="AK58" s="4406">
        <f>+AK30</f>
        <v>10177.080013598399</v>
      </c>
      <c r="AL58" s="6866">
        <f t="shared" ref="AL58:AM60" si="318">+AB58+AF58+AJ58</f>
        <v>80000</v>
      </c>
      <c r="AM58" s="6570">
        <f t="shared" si="318"/>
        <v>45292.356154292793</v>
      </c>
      <c r="AN58" s="4809">
        <f t="shared" ref="AN58:AO60" si="319">+AH58+AJ58</f>
        <v>105000</v>
      </c>
      <c r="AO58" s="1713">
        <f t="shared" si="319"/>
        <v>45292.356154292793</v>
      </c>
      <c r="AP58" s="3174">
        <f>+AP30</f>
        <v>35000</v>
      </c>
      <c r="AQ58" s="4406">
        <f>+AQ30</f>
        <v>13495.917984698101</v>
      </c>
      <c r="AR58" s="4809">
        <f>+AN58+AP58</f>
        <v>140000</v>
      </c>
      <c r="AS58" s="8185">
        <f>+AO58+AQ58</f>
        <v>58788.274138990892</v>
      </c>
      <c r="AT58" s="3174">
        <f>+AT30</f>
        <v>35000</v>
      </c>
      <c r="AU58" s="4406">
        <f>+AU30</f>
        <v>19064.62</v>
      </c>
      <c r="AV58" s="8245">
        <f>+AR58+AT58</f>
        <v>175000</v>
      </c>
      <c r="AW58" s="8245">
        <f>+AS58+AU58</f>
        <v>77852.894138990887</v>
      </c>
      <c r="AX58" s="4810">
        <f>+AX30</f>
        <v>45000</v>
      </c>
      <c r="AY58" s="4626">
        <f>+AY30</f>
        <v>11091</v>
      </c>
      <c r="AZ58" s="6866">
        <f t="shared" ref="AZ58:AZ60" si="320">+AP58+AT58+AX58</f>
        <v>115000</v>
      </c>
      <c r="BA58" s="6570">
        <f t="shared" ref="BA58:BA60" si="321">+AQ58+AU58+AY58</f>
        <v>43651.537984698101</v>
      </c>
      <c r="BB58" s="6866">
        <f t="shared" ref="BB58:BB60" si="322">+AL58+AZ58</f>
        <v>195000</v>
      </c>
      <c r="BC58" s="6570">
        <f t="shared" ref="BC58:BC60" si="323">+AM58+BA58</f>
        <v>88943.894138990901</v>
      </c>
      <c r="BD58" s="6519">
        <f t="shared" ref="BD58:BD60" si="324">+AV58+AX58</f>
        <v>220000</v>
      </c>
      <c r="BE58" s="6510">
        <f t="shared" ref="BE58:BE60" si="325">+AW58+AY58</f>
        <v>88943.894138990887</v>
      </c>
      <c r="BF58" s="6481">
        <v>535000</v>
      </c>
      <c r="BG58" s="6481">
        <v>171634.81128897145</v>
      </c>
    </row>
    <row r="59" spans="2:60" ht="17" thickBot="1" x14ac:dyDescent="0.25">
      <c r="B59" s="1529" t="s">
        <v>2171</v>
      </c>
      <c r="C59" s="1545" t="s">
        <v>170</v>
      </c>
      <c r="D59" s="3174">
        <f>+D58-((D58-(D58*0)))</f>
        <v>0</v>
      </c>
      <c r="E59" s="4406">
        <v>0</v>
      </c>
      <c r="F59" s="3174">
        <f>+F58-((F58-(F58*0)))</f>
        <v>0</v>
      </c>
      <c r="G59" s="4406">
        <v>0</v>
      </c>
      <c r="H59" s="4809">
        <f t="shared" ref="H59:I60" si="326">+D59+F59</f>
        <v>0</v>
      </c>
      <c r="I59" s="1823">
        <f t="shared" si="326"/>
        <v>0</v>
      </c>
      <c r="J59" s="3174">
        <f>+J58-((J58-(J58*0)))</f>
        <v>0</v>
      </c>
      <c r="K59" s="4406">
        <v>0</v>
      </c>
      <c r="L59" s="4792">
        <f t="shared" ref="L59:M60" si="327">+H59+J59</f>
        <v>0</v>
      </c>
      <c r="M59" s="2011">
        <f t="shared" si="327"/>
        <v>0</v>
      </c>
      <c r="N59" s="3174">
        <f>+N58-((N58-(N58*0)))</f>
        <v>0</v>
      </c>
      <c r="O59" s="4406">
        <v>0</v>
      </c>
      <c r="P59" s="4809">
        <f t="shared" ref="P59:Q60" si="328">+L59+N59</f>
        <v>0</v>
      </c>
      <c r="Q59" s="1823">
        <f t="shared" si="328"/>
        <v>0</v>
      </c>
      <c r="R59" s="3174">
        <f>+R58-((R58-(R58*0)))</f>
        <v>0</v>
      </c>
      <c r="S59" s="4406">
        <v>0</v>
      </c>
      <c r="T59" s="4809">
        <f t="shared" ref="T59:T60" si="329">+P59+R59</f>
        <v>0</v>
      </c>
      <c r="U59" s="1823">
        <f t="shared" ref="U59:U60" si="330">+Q59+S59</f>
        <v>0</v>
      </c>
      <c r="V59" s="3174">
        <f>+V58-((V58-(V58*0)))</f>
        <v>0</v>
      </c>
      <c r="W59" s="4406">
        <v>0</v>
      </c>
      <c r="X59" s="6502">
        <f t="shared" si="316"/>
        <v>0</v>
      </c>
      <c r="Y59" s="6570">
        <f t="shared" si="317"/>
        <v>0</v>
      </c>
      <c r="Z59" s="6519">
        <f t="shared" ref="Z59:Z60" si="331">+T59+V59</f>
        <v>0</v>
      </c>
      <c r="AA59" s="6531">
        <f t="shared" ref="AA59:AA60" si="332">+U59+W59</f>
        <v>0</v>
      </c>
      <c r="AB59" s="3174">
        <f>+AB58-((AB58-(AB58*0)))</f>
        <v>0</v>
      </c>
      <c r="AC59" s="4406">
        <f>+USM!AE48</f>
        <v>0</v>
      </c>
      <c r="AD59" s="4809">
        <f t="shared" ref="AD59:AD60" si="333">+Z59+AB59</f>
        <v>0</v>
      </c>
      <c r="AE59" s="1823">
        <f t="shared" ref="AE59:AE60" si="334">+AA59+AC59</f>
        <v>0</v>
      </c>
      <c r="AF59" s="3174">
        <f>+AF58-((AF58-(AF58*0)))</f>
        <v>0</v>
      </c>
      <c r="AG59" s="4406">
        <f>+USM!AI48</f>
        <v>20.013999999999999</v>
      </c>
      <c r="AH59" s="4809">
        <f t="shared" ref="AH59:AH60" si="335">+AD59+AF59</f>
        <v>0</v>
      </c>
      <c r="AI59" s="1823">
        <f t="shared" ref="AI59:AI60" si="336">+AE59+AG59</f>
        <v>20.013999999999999</v>
      </c>
      <c r="AJ59" s="3174">
        <f>+AJ58-((AJ58-(AJ58*0)))</f>
        <v>0</v>
      </c>
      <c r="AK59" s="4406">
        <f>+USM!AM48</f>
        <v>0</v>
      </c>
      <c r="AL59" s="6866">
        <f t="shared" si="318"/>
        <v>0</v>
      </c>
      <c r="AM59" s="6570">
        <f t="shared" si="318"/>
        <v>20.013999999999999</v>
      </c>
      <c r="AN59" s="4809">
        <f t="shared" si="319"/>
        <v>0</v>
      </c>
      <c r="AO59" s="1823">
        <f t="shared" si="319"/>
        <v>20.013999999999999</v>
      </c>
      <c r="AP59" s="3174">
        <f>+AP58-((AP58-(AP58*0)))</f>
        <v>0</v>
      </c>
      <c r="AQ59" s="4406">
        <f>+USM!AS48</f>
        <v>32.277999999999999</v>
      </c>
      <c r="AR59" s="4809">
        <f t="shared" ref="AR59:AR60" si="337">+AN59+AP59</f>
        <v>0</v>
      </c>
      <c r="AS59" s="7451">
        <f t="shared" ref="AS59:AS60" si="338">+AO59+AQ59</f>
        <v>52.292000000000002</v>
      </c>
      <c r="AT59" s="3174">
        <f>+AT58-((AT58-(AT58*0)))</f>
        <v>0</v>
      </c>
      <c r="AU59" s="4406">
        <f>+USM!AW48</f>
        <v>21.45</v>
      </c>
      <c r="AV59" s="3193">
        <f t="shared" ref="AV59:AV60" si="339">+AR59+AT59</f>
        <v>0</v>
      </c>
      <c r="AW59" s="3193">
        <f t="shared" ref="AW59:AW60" si="340">+AS59+AU59</f>
        <v>73.742000000000004</v>
      </c>
      <c r="AX59" s="3222">
        <f>+AX58-((AX58-(AX58*0)))</f>
        <v>0</v>
      </c>
      <c r="AY59" s="4710">
        <f>+USM!BA48</f>
        <v>258.99</v>
      </c>
      <c r="AZ59" s="6866">
        <f t="shared" si="320"/>
        <v>0</v>
      </c>
      <c r="BA59" s="6570">
        <f t="shared" si="321"/>
        <v>312.71800000000002</v>
      </c>
      <c r="BB59" s="6866">
        <f t="shared" si="322"/>
        <v>0</v>
      </c>
      <c r="BC59" s="6570">
        <f t="shared" si="323"/>
        <v>332.73200000000003</v>
      </c>
      <c r="BD59" s="6519">
        <f t="shared" si="324"/>
        <v>0</v>
      </c>
      <c r="BE59" s="6531">
        <f t="shared" si="325"/>
        <v>332.73200000000003</v>
      </c>
      <c r="BF59" s="6481">
        <v>3199.2999999999956</v>
      </c>
      <c r="BG59" s="6481">
        <v>5316.8799000000008</v>
      </c>
    </row>
    <row r="60" spans="2:60" ht="16" thickBot="1" x14ac:dyDescent="0.25">
      <c r="B60" s="1968" t="s">
        <v>1454</v>
      </c>
      <c r="C60" s="1577" t="s">
        <v>170</v>
      </c>
      <c r="D60" s="3276">
        <f>+D58-D59</f>
        <v>0</v>
      </c>
      <c r="E60" s="4698">
        <f>+E58-E59</f>
        <v>0</v>
      </c>
      <c r="F60" s="3276">
        <f>+F58-F59</f>
        <v>0</v>
      </c>
      <c r="G60" s="4698">
        <f>+G58-G59</f>
        <v>0</v>
      </c>
      <c r="H60" s="4809">
        <f t="shared" si="326"/>
        <v>0</v>
      </c>
      <c r="I60" s="1823">
        <f t="shared" si="326"/>
        <v>0</v>
      </c>
      <c r="J60" s="3276">
        <f>+J58-J59</f>
        <v>0</v>
      </c>
      <c r="K60" s="4698">
        <f>+K58-K59</f>
        <v>0</v>
      </c>
      <c r="L60" s="4792">
        <f t="shared" si="327"/>
        <v>0</v>
      </c>
      <c r="M60" s="1998">
        <f t="shared" si="327"/>
        <v>0</v>
      </c>
      <c r="N60" s="3276">
        <f>+N58-N59</f>
        <v>7000</v>
      </c>
      <c r="O60" s="4698">
        <f>+O58-O59</f>
        <v>0</v>
      </c>
      <c r="P60" s="4809">
        <f t="shared" si="328"/>
        <v>7000</v>
      </c>
      <c r="Q60" s="1713">
        <f t="shared" si="328"/>
        <v>0</v>
      </c>
      <c r="R60" s="3276">
        <f>+R58-R59</f>
        <v>8000</v>
      </c>
      <c r="S60" s="4698">
        <f>+S58-S59</f>
        <v>0</v>
      </c>
      <c r="T60" s="4809">
        <f t="shared" si="329"/>
        <v>15000</v>
      </c>
      <c r="U60" s="1713">
        <f t="shared" si="330"/>
        <v>0</v>
      </c>
      <c r="V60" s="3276">
        <f>+V58-V59</f>
        <v>10000</v>
      </c>
      <c r="W60" s="4698">
        <f>+W58-W59</f>
        <v>0</v>
      </c>
      <c r="X60" s="6502">
        <f t="shared" si="316"/>
        <v>25000</v>
      </c>
      <c r="Y60" s="6570">
        <f t="shared" si="317"/>
        <v>0</v>
      </c>
      <c r="Z60" s="6519">
        <f t="shared" si="331"/>
        <v>25000</v>
      </c>
      <c r="AA60" s="6510">
        <f t="shared" si="332"/>
        <v>0</v>
      </c>
      <c r="AB60" s="3276">
        <f>+AB58-AB59</f>
        <v>10000</v>
      </c>
      <c r="AC60" s="4698">
        <f>+AC58-AC59</f>
        <v>16462.165640978397</v>
      </c>
      <c r="AD60" s="4809">
        <f t="shared" si="333"/>
        <v>35000</v>
      </c>
      <c r="AE60" s="1713">
        <f t="shared" si="334"/>
        <v>16462.165640978397</v>
      </c>
      <c r="AF60" s="3276">
        <f>+AF58-AF59</f>
        <v>40000</v>
      </c>
      <c r="AG60" s="4698">
        <f>+AG58-AG59</f>
        <v>18633.096499716001</v>
      </c>
      <c r="AH60" s="4809">
        <f t="shared" si="335"/>
        <v>75000</v>
      </c>
      <c r="AI60" s="1713">
        <f t="shared" si="336"/>
        <v>35095.262140694394</v>
      </c>
      <c r="AJ60" s="3276">
        <f>+AJ58-AJ59</f>
        <v>30000</v>
      </c>
      <c r="AK60" s="4698">
        <f>+AK58-AK59</f>
        <v>10177.080013598399</v>
      </c>
      <c r="AL60" s="6866">
        <f t="shared" si="318"/>
        <v>80000</v>
      </c>
      <c r="AM60" s="6570">
        <f t="shared" si="318"/>
        <v>45272.342154292797</v>
      </c>
      <c r="AN60" s="4809">
        <f t="shared" si="319"/>
        <v>105000</v>
      </c>
      <c r="AO60" s="1713">
        <f t="shared" si="319"/>
        <v>45272.342154292797</v>
      </c>
      <c r="AP60" s="3276">
        <f>+AP58-AP59</f>
        <v>35000</v>
      </c>
      <c r="AQ60" s="4698">
        <f>+AQ58-AQ59</f>
        <v>13463.6399846981</v>
      </c>
      <c r="AR60" s="4809">
        <f t="shared" si="337"/>
        <v>140000</v>
      </c>
      <c r="AS60" s="8185">
        <f t="shared" si="338"/>
        <v>58735.982138990898</v>
      </c>
      <c r="AT60" s="3276">
        <f>+AT58-AT59</f>
        <v>35000</v>
      </c>
      <c r="AU60" s="4698">
        <f>+AU58-AU59</f>
        <v>19043.169999999998</v>
      </c>
      <c r="AV60" s="8245">
        <f t="shared" si="339"/>
        <v>175000</v>
      </c>
      <c r="AW60" s="8245">
        <f t="shared" si="340"/>
        <v>77779.152138990903</v>
      </c>
      <c r="AX60" s="3289">
        <f>+AX58-AX59</f>
        <v>45000</v>
      </c>
      <c r="AY60" s="5423">
        <f>+AY58-AY59</f>
        <v>10832.01</v>
      </c>
      <c r="AZ60" s="6866">
        <f t="shared" si="320"/>
        <v>115000</v>
      </c>
      <c r="BA60" s="6570">
        <f t="shared" si="321"/>
        <v>43338.819984698101</v>
      </c>
      <c r="BB60" s="6866">
        <f t="shared" si="322"/>
        <v>195000</v>
      </c>
      <c r="BC60" s="6570">
        <f t="shared" si="323"/>
        <v>88611.162138990898</v>
      </c>
      <c r="BD60" s="6519">
        <f t="shared" si="324"/>
        <v>220000</v>
      </c>
      <c r="BE60" s="6510">
        <f t="shared" si="325"/>
        <v>88611.162138990898</v>
      </c>
      <c r="BF60" s="6481">
        <v>531800.69999999995</v>
      </c>
      <c r="BG60" s="6481">
        <v>166317.93138897145</v>
      </c>
    </row>
    <row r="61" spans="2:60" s="3380" customFormat="1" ht="16" x14ac:dyDescent="0.2">
      <c r="B61" s="6585" t="s">
        <v>1082</v>
      </c>
      <c r="C61" s="6586"/>
      <c r="D61" s="6587"/>
      <c r="E61" s="4752"/>
      <c r="F61" s="6587"/>
      <c r="G61" s="4752"/>
      <c r="H61" s="4751"/>
      <c r="I61" s="4752"/>
      <c r="J61" s="6587"/>
      <c r="K61" s="4752"/>
      <c r="L61" s="4751"/>
      <c r="M61" s="6588"/>
      <c r="N61" s="6587"/>
      <c r="O61" s="4752"/>
      <c r="P61" s="6580"/>
      <c r="Q61" s="6581"/>
      <c r="R61" s="6587"/>
      <c r="S61" s="4752"/>
      <c r="T61" s="6580"/>
      <c r="U61" s="6581"/>
      <c r="V61" s="6587"/>
      <c r="W61" s="4752"/>
      <c r="X61" s="4751"/>
      <c r="Y61" s="4752"/>
      <c r="Z61" s="6580"/>
      <c r="AA61" s="6581"/>
      <c r="AB61" s="6587"/>
      <c r="AC61" s="4752"/>
      <c r="AD61" s="6580"/>
      <c r="AE61" s="6581"/>
      <c r="AF61" s="6587"/>
      <c r="AG61" s="4752"/>
      <c r="AH61" s="6580"/>
      <c r="AI61" s="6581"/>
      <c r="AJ61" s="6587"/>
      <c r="AK61" s="4752"/>
      <c r="AL61" s="4751"/>
      <c r="AM61" s="4752"/>
      <c r="AN61" s="6580"/>
      <c r="AO61" s="6581"/>
      <c r="AP61" s="6587"/>
      <c r="AQ61" s="4752"/>
      <c r="AR61" s="6580"/>
      <c r="AS61" s="6581"/>
      <c r="AT61" s="6587"/>
      <c r="AU61" s="4752"/>
      <c r="AV61" s="8246"/>
      <c r="AW61" s="8246"/>
      <c r="AX61" s="3174"/>
      <c r="AY61" s="4406"/>
      <c r="AZ61" s="4751"/>
      <c r="BA61" s="4752"/>
      <c r="BB61" s="4751"/>
      <c r="BC61" s="4752"/>
      <c r="BD61" s="6580"/>
      <c r="BE61" s="6581"/>
      <c r="BF61" s="6589"/>
      <c r="BG61" s="6589"/>
    </row>
    <row r="62" spans="2:60" ht="16" x14ac:dyDescent="0.2">
      <c r="B62" s="1969" t="s">
        <v>1080</v>
      </c>
      <c r="C62" s="1597" t="s">
        <v>170</v>
      </c>
      <c r="D62" s="2398">
        <f>+D50+D54+D58</f>
        <v>22439.54</v>
      </c>
      <c r="E62" s="4395">
        <f t="shared" ref="E62:Q64" si="341">+E50+E54+E58</f>
        <v>22439.54</v>
      </c>
      <c r="F62" s="2398">
        <f>+F50+F54+F58</f>
        <v>61380</v>
      </c>
      <c r="G62" s="4395">
        <f t="shared" ref="G62" si="342">+G50+G54+G58</f>
        <v>61380</v>
      </c>
      <c r="H62" s="2403">
        <f t="shared" si="341"/>
        <v>83819.539999999994</v>
      </c>
      <c r="I62" s="3919">
        <f t="shared" si="341"/>
        <v>83819.539999999994</v>
      </c>
      <c r="J62" s="2398">
        <f>+J50+J54+J58</f>
        <v>77908</v>
      </c>
      <c r="K62" s="4395">
        <f t="shared" ref="K62:K64" si="343">+K50+K54+K58</f>
        <v>63487.589</v>
      </c>
      <c r="L62" s="2402">
        <f t="shared" si="341"/>
        <v>161727.53999999998</v>
      </c>
      <c r="M62" s="2008">
        <f t="shared" si="341"/>
        <v>147307.12899999999</v>
      </c>
      <c r="N62" s="2398">
        <f>+N50+N54+N58</f>
        <v>101600</v>
      </c>
      <c r="O62" s="4395">
        <f t="shared" ref="O62:O64" si="344">+O50+O54+O58</f>
        <v>56821.296000000002</v>
      </c>
      <c r="P62" s="2403">
        <f t="shared" si="341"/>
        <v>263327.54000000004</v>
      </c>
      <c r="Q62" s="1973">
        <f t="shared" si="341"/>
        <v>204128.42499999999</v>
      </c>
      <c r="R62" s="2398">
        <f>+R50+R54+R58</f>
        <v>98000</v>
      </c>
      <c r="S62" s="4395">
        <f t="shared" ref="S62:U64" si="345">+S50+S54+S58</f>
        <v>64823.985000000001</v>
      </c>
      <c r="T62" s="2403">
        <f t="shared" si="345"/>
        <v>361327.54000000004</v>
      </c>
      <c r="U62" s="1973">
        <f t="shared" si="345"/>
        <v>268952.40999999997</v>
      </c>
      <c r="V62" s="2398">
        <f>+V50+V54+V58</f>
        <v>100000</v>
      </c>
      <c r="W62" s="4395">
        <f t="shared" ref="W62:AA62" si="346">+W50+W54+W58</f>
        <v>58812.337999999996</v>
      </c>
      <c r="X62" s="6502">
        <f t="shared" ref="X62:X64" si="347">+N62+R62+V62</f>
        <v>299600</v>
      </c>
      <c r="Y62" s="6570">
        <f t="shared" ref="Y62:Y64" si="348">+O62+S62+W62</f>
        <v>180457.61900000001</v>
      </c>
      <c r="Z62" s="6532">
        <f t="shared" si="346"/>
        <v>461327.54000000004</v>
      </c>
      <c r="AA62" s="6533">
        <f t="shared" si="346"/>
        <v>327764.74800000002</v>
      </c>
      <c r="AB62" s="2398">
        <f>+AB50+AB54+AB58</f>
        <v>100000</v>
      </c>
      <c r="AC62" s="4395">
        <f t="shared" ref="AC62:AE62" si="349">+AC50+AC54+AC58</f>
        <v>72813.226640978392</v>
      </c>
      <c r="AD62" s="2403">
        <f t="shared" si="349"/>
        <v>561327.54</v>
      </c>
      <c r="AE62" s="1973">
        <f t="shared" si="349"/>
        <v>400577.97464097838</v>
      </c>
      <c r="AF62" s="2398">
        <f>+AF50+AF54+AF58</f>
        <v>157393.81132100002</v>
      </c>
      <c r="AG62" s="4395">
        <f t="shared" ref="AG62:AI62" si="350">+AG50+AG54+AG58</f>
        <v>90787.165499715993</v>
      </c>
      <c r="AH62" s="2403">
        <f t="shared" si="350"/>
        <v>718721.35132100002</v>
      </c>
      <c r="AI62" s="1973">
        <f t="shared" si="350"/>
        <v>491365.14014069433</v>
      </c>
      <c r="AJ62" s="2398">
        <f>+AJ50+AJ54+AJ58</f>
        <v>149239.6377361</v>
      </c>
      <c r="AK62" s="4395">
        <f t="shared" ref="AK62" si="351">+AK50+AK54+AK58</f>
        <v>100223.6860135984</v>
      </c>
      <c r="AL62" s="6866">
        <f t="shared" ref="AL62:AM64" si="352">+AB62+AF62+AJ62</f>
        <v>406633.44905709999</v>
      </c>
      <c r="AM62" s="6570">
        <f t="shared" si="352"/>
        <v>263824.07815429277</v>
      </c>
      <c r="AN62" s="2403">
        <f t="shared" ref="AN62:AO62" si="353">+AN50+AN54+AN58</f>
        <v>867960.98905710003</v>
      </c>
      <c r="AO62" s="1973">
        <f t="shared" si="353"/>
        <v>591588.82615429279</v>
      </c>
      <c r="AP62" s="2398">
        <f>+AP50+AP54+AP58</f>
        <v>154774.0377361</v>
      </c>
      <c r="AQ62" s="4395">
        <f t="shared" ref="AQ62:AS64" si="354">+AQ50+AQ54+AQ58</f>
        <v>95525.455984698099</v>
      </c>
      <c r="AR62" s="2403">
        <f t="shared" si="354"/>
        <v>1022735.0267932001</v>
      </c>
      <c r="AS62" s="8187">
        <f t="shared" si="354"/>
        <v>687114.28213899082</v>
      </c>
      <c r="AT62" s="2398">
        <f>+AT50+AT54+AT58</f>
        <v>143569</v>
      </c>
      <c r="AU62" s="4395">
        <f t="shared" ref="AU62" si="355">+AU50+AU54+AU58</f>
        <v>98850.54</v>
      </c>
      <c r="AV62" s="8247">
        <f t="shared" ref="AV62:AW62" si="356">+AV50+AV54+AV58</f>
        <v>1166304.0267932001</v>
      </c>
      <c r="AW62" s="8247">
        <f t="shared" si="356"/>
        <v>785964.82213899097</v>
      </c>
      <c r="AX62" s="8262">
        <f>+AX50+AX54+AX58</f>
        <v>164537.07500000001</v>
      </c>
      <c r="AY62" s="4626">
        <f t="shared" ref="AY62:AY64" si="357">+AY50+AY54+AY58</f>
        <v>100045</v>
      </c>
      <c r="AZ62" s="6866">
        <f t="shared" ref="AZ62:AZ64" si="358">+AP62+AT62+AX62</f>
        <v>462880.11273610004</v>
      </c>
      <c r="BA62" s="6570">
        <f t="shared" ref="BA62:BA64" si="359">+AQ62+AU62+AY62</f>
        <v>294420.99598469806</v>
      </c>
      <c r="BB62" s="6866">
        <f t="shared" ref="BB62:BB66" si="360">+AL62+AZ62</f>
        <v>869513.56179319997</v>
      </c>
      <c r="BC62" s="6570">
        <f t="shared" ref="BC62:BC66" si="361">+AM62+BA62</f>
        <v>558245.07413899084</v>
      </c>
      <c r="BD62" s="6532">
        <f t="shared" ref="BD62:BD66" si="362">+AV62+AX62</f>
        <v>1330841.1017932</v>
      </c>
      <c r="BE62" s="6533">
        <f t="shared" ref="BE62:BE66" si="363">+AW62+AY62</f>
        <v>886009.82213899097</v>
      </c>
      <c r="BF62" s="5337">
        <v>1835000</v>
      </c>
      <c r="BG62" s="5337">
        <v>1215880.2112889714</v>
      </c>
    </row>
    <row r="63" spans="2:60" ht="16" x14ac:dyDescent="0.2">
      <c r="B63" s="1529" t="s">
        <v>2171</v>
      </c>
      <c r="C63" s="1597" t="s">
        <v>170</v>
      </c>
      <c r="D63" s="2398">
        <f>+D51+D55+D59</f>
        <v>0</v>
      </c>
      <c r="E63" s="4395">
        <f t="shared" si="341"/>
        <v>260.60000000000002</v>
      </c>
      <c r="F63" s="2398">
        <f>+F51+F55+F59</f>
        <v>0</v>
      </c>
      <c r="G63" s="4395">
        <f t="shared" ref="G63" si="364">+G51+G55+G59</f>
        <v>834.01</v>
      </c>
      <c r="H63" s="2403">
        <f t="shared" si="341"/>
        <v>0</v>
      </c>
      <c r="I63" s="3919">
        <f t="shared" si="341"/>
        <v>1094.6100000000001</v>
      </c>
      <c r="J63" s="2398">
        <f>+J51+J55+J59</f>
        <v>0</v>
      </c>
      <c r="K63" s="4395">
        <f t="shared" si="343"/>
        <v>829.78399999999999</v>
      </c>
      <c r="L63" s="2402">
        <f t="shared" si="341"/>
        <v>0</v>
      </c>
      <c r="M63" s="2008">
        <f t="shared" si="341"/>
        <v>1924.3940000000002</v>
      </c>
      <c r="N63" s="2398">
        <f>+N51+N55+N59</f>
        <v>0</v>
      </c>
      <c r="O63" s="4395">
        <f t="shared" si="344"/>
        <v>847.54</v>
      </c>
      <c r="P63" s="2403">
        <f t="shared" si="341"/>
        <v>0</v>
      </c>
      <c r="Q63" s="1973">
        <f t="shared" si="341"/>
        <v>2771.9340000000002</v>
      </c>
      <c r="R63" s="2398">
        <f>+R51+R55+R59</f>
        <v>0</v>
      </c>
      <c r="S63" s="4395">
        <f t="shared" si="345"/>
        <v>824.7399999999999</v>
      </c>
      <c r="T63" s="2403">
        <f t="shared" si="345"/>
        <v>0</v>
      </c>
      <c r="U63" s="1973">
        <f t="shared" si="345"/>
        <v>3596.674</v>
      </c>
      <c r="V63" s="2398">
        <f>+V51+V55+V59</f>
        <v>0</v>
      </c>
      <c r="W63" s="4395">
        <f t="shared" ref="W63:AA63" si="365">+W51+W55+W59</f>
        <v>484.00900000000001</v>
      </c>
      <c r="X63" s="6502">
        <f t="shared" si="347"/>
        <v>0</v>
      </c>
      <c r="Y63" s="6570">
        <f t="shared" si="348"/>
        <v>2156.2889999999998</v>
      </c>
      <c r="Z63" s="6532">
        <f t="shared" si="365"/>
        <v>0</v>
      </c>
      <c r="AA63" s="6533">
        <f t="shared" si="365"/>
        <v>4080.6830000000004</v>
      </c>
      <c r="AB63" s="2398">
        <f>+AB51+AB55+AB59</f>
        <v>0</v>
      </c>
      <c r="AC63" s="4395">
        <f t="shared" ref="AC63:AE63" si="366">+AC51+AC55+AC59</f>
        <v>372.09399999999999</v>
      </c>
      <c r="AD63" s="2403">
        <f t="shared" si="366"/>
        <v>0</v>
      </c>
      <c r="AE63" s="1973">
        <f t="shared" si="366"/>
        <v>4452.777</v>
      </c>
      <c r="AF63" s="2398">
        <f>+AF51+AF55+AF59</f>
        <v>0</v>
      </c>
      <c r="AG63" s="4395">
        <f t="shared" ref="AG63:AI63" si="367">+AG51+AG55+AG59</f>
        <v>407.59800000000001</v>
      </c>
      <c r="AH63" s="2403">
        <f t="shared" si="367"/>
        <v>0</v>
      </c>
      <c r="AI63" s="1973">
        <f t="shared" si="367"/>
        <v>4860.3750000000009</v>
      </c>
      <c r="AJ63" s="2398">
        <f>+AJ51+AJ55+AJ59</f>
        <v>0</v>
      </c>
      <c r="AK63" s="4395">
        <f t="shared" ref="AK63" si="368">+AK51+AK55+AK59</f>
        <v>302.83599999999996</v>
      </c>
      <c r="AL63" s="6866">
        <f t="shared" si="352"/>
        <v>0</v>
      </c>
      <c r="AM63" s="6570">
        <f t="shared" si="352"/>
        <v>1082.528</v>
      </c>
      <c r="AN63" s="2403">
        <f t="shared" ref="AN63:AO63" si="369">+AN51+AN55+AN59</f>
        <v>0</v>
      </c>
      <c r="AO63" s="1973">
        <f t="shared" si="369"/>
        <v>5163.2110000000002</v>
      </c>
      <c r="AP63" s="2398">
        <f>+AP51+AP55+AP59</f>
        <v>0</v>
      </c>
      <c r="AQ63" s="4395">
        <f t="shared" si="354"/>
        <v>415.68</v>
      </c>
      <c r="AR63" s="2403">
        <f t="shared" si="354"/>
        <v>0</v>
      </c>
      <c r="AS63" s="8187">
        <f t="shared" si="354"/>
        <v>5578.8910000000005</v>
      </c>
      <c r="AT63" s="2398">
        <f>+AT51+AT55+AT59</f>
        <v>0</v>
      </c>
      <c r="AU63" s="4395">
        <f t="shared" ref="AU63" si="370">+AU51+AU55+AU59</f>
        <v>179.44800000000001</v>
      </c>
      <c r="AV63" s="8247">
        <f t="shared" ref="AV63:AW63" si="371">+AV51+AV55+AV59</f>
        <v>0</v>
      </c>
      <c r="AW63" s="8247">
        <f t="shared" si="371"/>
        <v>5758.3390000000009</v>
      </c>
      <c r="AX63" s="4395">
        <f>+AX51+AX55+AX59</f>
        <v>0</v>
      </c>
      <c r="AY63" s="4395">
        <f t="shared" si="357"/>
        <v>716.39200000000005</v>
      </c>
      <c r="AZ63" s="6866">
        <f t="shared" si="358"/>
        <v>0</v>
      </c>
      <c r="BA63" s="6570">
        <f t="shared" si="359"/>
        <v>1311.52</v>
      </c>
      <c r="BB63" s="6866">
        <f t="shared" si="360"/>
        <v>0</v>
      </c>
      <c r="BC63" s="6570">
        <f t="shared" si="361"/>
        <v>2394.0479999999998</v>
      </c>
      <c r="BD63" s="6532">
        <f t="shared" si="362"/>
        <v>0</v>
      </c>
      <c r="BE63" s="6533">
        <f t="shared" si="363"/>
        <v>6474.7310000000007</v>
      </c>
      <c r="BF63" s="5337">
        <v>7399.2999999999956</v>
      </c>
      <c r="BG63" s="5337">
        <v>14280.549900000002</v>
      </c>
    </row>
    <row r="64" spans="2:60" ht="19" thickBot="1" x14ac:dyDescent="0.25">
      <c r="B64" s="1968" t="s">
        <v>1454</v>
      </c>
      <c r="C64" s="1971" t="s">
        <v>170</v>
      </c>
      <c r="D64" s="5177">
        <f>+D52+D56+D60</f>
        <v>22439.54</v>
      </c>
      <c r="E64" s="4396">
        <f t="shared" si="341"/>
        <v>22178.94</v>
      </c>
      <c r="F64" s="5293">
        <f>+F52+F56+F60</f>
        <v>61380</v>
      </c>
      <c r="G64" s="4396">
        <f t="shared" ref="G64" si="372">+G52+G56+G60</f>
        <v>60545.99</v>
      </c>
      <c r="H64" s="5178">
        <f t="shared" si="341"/>
        <v>83819.539999999994</v>
      </c>
      <c r="I64" s="4401">
        <f t="shared" si="341"/>
        <v>82724.929999999993</v>
      </c>
      <c r="J64" s="5693">
        <f>+J52+J56+J60</f>
        <v>77908</v>
      </c>
      <c r="K64" s="4396">
        <f t="shared" si="343"/>
        <v>62657.805</v>
      </c>
      <c r="L64" s="5179">
        <f t="shared" si="341"/>
        <v>161727.53999999998</v>
      </c>
      <c r="M64" s="2009">
        <f t="shared" si="341"/>
        <v>145382.73499999999</v>
      </c>
      <c r="N64" s="5885">
        <f>+N52+N56+N60</f>
        <v>101600</v>
      </c>
      <c r="O64" s="4396">
        <f t="shared" si="344"/>
        <v>55973.756000000001</v>
      </c>
      <c r="P64" s="5886">
        <f t="shared" si="341"/>
        <v>263327.54000000004</v>
      </c>
      <c r="Q64" s="1974">
        <f t="shared" si="341"/>
        <v>201356.49099999998</v>
      </c>
      <c r="R64" s="6341">
        <f>+R52+R56+R60</f>
        <v>98000</v>
      </c>
      <c r="S64" s="4396">
        <f t="shared" si="345"/>
        <v>63999.245000000003</v>
      </c>
      <c r="T64" s="6342">
        <f t="shared" si="345"/>
        <v>361327.54000000004</v>
      </c>
      <c r="U64" s="1974">
        <f t="shared" si="345"/>
        <v>265355.73599999998</v>
      </c>
      <c r="V64" s="6483">
        <f>+V52+V56+V60</f>
        <v>100000</v>
      </c>
      <c r="W64" s="4396">
        <f t="shared" ref="W64:AA64" si="373">+W52+W56+W60</f>
        <v>58328.328999999998</v>
      </c>
      <c r="X64" s="6502">
        <f t="shared" si="347"/>
        <v>299600</v>
      </c>
      <c r="Y64" s="6570">
        <f t="shared" si="348"/>
        <v>178301.33000000002</v>
      </c>
      <c r="Z64" s="6534">
        <f t="shared" si="373"/>
        <v>461327.54000000004</v>
      </c>
      <c r="AA64" s="6535">
        <f t="shared" si="373"/>
        <v>323684.06499999994</v>
      </c>
      <c r="AB64" s="7314">
        <f>+AB52+AB56+AB60</f>
        <v>100000</v>
      </c>
      <c r="AC64" s="4396">
        <f t="shared" ref="AC64:AE64" si="374">+AC52+AC56+AC60</f>
        <v>72441.132640978394</v>
      </c>
      <c r="AD64" s="7316">
        <f t="shared" si="374"/>
        <v>561327.54</v>
      </c>
      <c r="AE64" s="1974">
        <f t="shared" si="374"/>
        <v>396125.19764097838</v>
      </c>
      <c r="AF64" s="7580">
        <f>+AF52+AF56+AF60</f>
        <v>157393.81132100002</v>
      </c>
      <c r="AG64" s="4396">
        <f t="shared" ref="AG64:AI64" si="375">+AG52+AG56+AG60</f>
        <v>90379.567499715995</v>
      </c>
      <c r="AH64" s="7581">
        <f t="shared" si="375"/>
        <v>718721.35132100002</v>
      </c>
      <c r="AI64" s="1974">
        <f t="shared" si="375"/>
        <v>486504.76514069433</v>
      </c>
      <c r="AJ64" s="7732">
        <f>+AJ52+AJ56+AJ60</f>
        <v>149239.6377361</v>
      </c>
      <c r="AK64" s="4396">
        <f t="shared" ref="AK64" si="376">+AK52+AK56+AK60</f>
        <v>99920.850013598407</v>
      </c>
      <c r="AL64" s="6866">
        <f t="shared" si="352"/>
        <v>406633.44905709999</v>
      </c>
      <c r="AM64" s="6570">
        <f t="shared" si="352"/>
        <v>262741.55015429278</v>
      </c>
      <c r="AN64" s="7694">
        <f t="shared" ref="AN64:AO64" si="377">+AN52+AN56+AN60</f>
        <v>867960.98905710003</v>
      </c>
      <c r="AO64" s="1974">
        <f t="shared" si="377"/>
        <v>586425.6151542929</v>
      </c>
      <c r="AP64" s="8046">
        <f>+AP52+AP56+AP60</f>
        <v>154774.0377361</v>
      </c>
      <c r="AQ64" s="4396">
        <f t="shared" si="354"/>
        <v>95109.775984698092</v>
      </c>
      <c r="AR64" s="8047">
        <f t="shared" si="354"/>
        <v>1022735.0267932001</v>
      </c>
      <c r="AS64" s="8188">
        <f t="shared" si="354"/>
        <v>681535.39113899088</v>
      </c>
      <c r="AT64" s="8236">
        <f>+AT52+AT56+AT60</f>
        <v>143569</v>
      </c>
      <c r="AU64" s="4396">
        <f t="shared" ref="AU64" si="378">+AU52+AU56+AU60</f>
        <v>98671.09199999999</v>
      </c>
      <c r="AV64" s="8247">
        <f t="shared" ref="AV64:AW64" si="379">+AV52+AV56+AV60</f>
        <v>1166304.0267932001</v>
      </c>
      <c r="AW64" s="8247">
        <f t="shared" si="379"/>
        <v>780206.48313899094</v>
      </c>
      <c r="AX64" s="4543">
        <f>+AX52+AX56+AX60</f>
        <v>164537.07500000001</v>
      </c>
      <c r="AY64" s="5317">
        <f t="shared" si="357"/>
        <v>99328.607999999993</v>
      </c>
      <c r="AZ64" s="6866">
        <f t="shared" si="358"/>
        <v>462880.11273610004</v>
      </c>
      <c r="BA64" s="6570">
        <f t="shared" si="359"/>
        <v>293109.4759846981</v>
      </c>
      <c r="BB64" s="6866">
        <f t="shared" si="360"/>
        <v>869513.56179319997</v>
      </c>
      <c r="BC64" s="6570">
        <f t="shared" si="361"/>
        <v>555851.02613899088</v>
      </c>
      <c r="BD64" s="8326">
        <f t="shared" si="362"/>
        <v>1330841.1017932</v>
      </c>
      <c r="BE64" s="6535">
        <f t="shared" si="363"/>
        <v>879535.09113899095</v>
      </c>
      <c r="BF64" s="5337">
        <v>1827600.7</v>
      </c>
      <c r="BG64" s="5337">
        <v>1201599.6613889714</v>
      </c>
    </row>
    <row r="65" spans="2:59" ht="19" thickBot="1" x14ac:dyDescent="0.25">
      <c r="B65" s="1970" t="s">
        <v>1083</v>
      </c>
      <c r="C65" s="1972" t="s">
        <v>169</v>
      </c>
      <c r="D65" s="1784">
        <f>+D63/D62*100</f>
        <v>0</v>
      </c>
      <c r="E65" s="4397">
        <f t="shared" ref="E65:Q65" si="380">+E63/E62*100</f>
        <v>1.1613428795777454</v>
      </c>
      <c r="F65" s="1784">
        <f>+F63/F62*100</f>
        <v>0</v>
      </c>
      <c r="G65" s="4397">
        <f t="shared" ref="G65" si="381">+G63/G62*100</f>
        <v>1.3587650700553926</v>
      </c>
      <c r="H65" s="1854">
        <f t="shared" si="380"/>
        <v>0</v>
      </c>
      <c r="I65" s="4402">
        <f t="shared" si="380"/>
        <v>1.3059126785949913</v>
      </c>
      <c r="J65" s="1784">
        <f>+J63/J62*100</f>
        <v>0</v>
      </c>
      <c r="K65" s="4397">
        <f t="shared" ref="K65" si="382">+K63/K62*100</f>
        <v>1.3070019086722604</v>
      </c>
      <c r="L65" s="2050">
        <f t="shared" si="380"/>
        <v>0</v>
      </c>
      <c r="M65" s="2873">
        <f t="shared" si="380"/>
        <v>1.3063821235698649</v>
      </c>
      <c r="N65" s="1784">
        <f>+N63/N62*100</f>
        <v>0</v>
      </c>
      <c r="O65" s="4397">
        <f t="shared" ref="O65" si="383">+O63/O62*100</f>
        <v>1.491588646622914</v>
      </c>
      <c r="P65" s="5892">
        <f t="shared" si="380"/>
        <v>0</v>
      </c>
      <c r="Q65" s="2340">
        <f t="shared" si="380"/>
        <v>1.3579363089682392</v>
      </c>
      <c r="R65" s="1784">
        <f>+R63/R62*100</f>
        <v>0</v>
      </c>
      <c r="S65" s="4397">
        <f t="shared" ref="S65:U65" si="384">+S63/S62*100</f>
        <v>1.2722759947571873</v>
      </c>
      <c r="T65" s="5892">
        <f t="shared" si="384"/>
        <v>0</v>
      </c>
      <c r="U65" s="2340">
        <f t="shared" si="384"/>
        <v>1.337290117608539</v>
      </c>
      <c r="V65" s="1784">
        <f>+V63/V62*100</f>
        <v>0</v>
      </c>
      <c r="W65" s="4397">
        <f t="shared" ref="W65:AA65" si="385">+W63/W62*100</f>
        <v>0.82297187369085734</v>
      </c>
      <c r="X65" s="2050">
        <f t="shared" si="385"/>
        <v>0</v>
      </c>
      <c r="Y65" s="6573">
        <f t="shared" si="385"/>
        <v>1.1949005045888363</v>
      </c>
      <c r="Z65" s="6536">
        <f t="shared" si="385"/>
        <v>0</v>
      </c>
      <c r="AA65" s="6537">
        <f t="shared" si="385"/>
        <v>1.2450036268085793</v>
      </c>
      <c r="AB65" s="1784">
        <f>+AB63/AB62*100</f>
        <v>0</v>
      </c>
      <c r="AC65" s="4397">
        <f t="shared" ref="AC65:AE65" si="386">+AC63/AC62*100</f>
        <v>0.51102528642864742</v>
      </c>
      <c r="AD65" s="5892">
        <f t="shared" si="386"/>
        <v>0</v>
      </c>
      <c r="AE65" s="2340">
        <f t="shared" si="386"/>
        <v>1.1115880757025749</v>
      </c>
      <c r="AF65" s="1784">
        <f>+AF63/AF62*100</f>
        <v>0</v>
      </c>
      <c r="AG65" s="4397">
        <f t="shared" ref="AG65:AI65" si="387">+AG63/AG62*100</f>
        <v>0.44895993586370431</v>
      </c>
      <c r="AH65" s="5892">
        <f t="shared" si="387"/>
        <v>0</v>
      </c>
      <c r="AI65" s="2340">
        <f t="shared" si="387"/>
        <v>0.98915747230426487</v>
      </c>
      <c r="AJ65" s="1784">
        <f>+AJ63/AJ62*100</f>
        <v>0</v>
      </c>
      <c r="AK65" s="4397">
        <f t="shared" ref="AK65:AM65" si="388">+AK63/AK62*100</f>
        <v>0.30216011009504384</v>
      </c>
      <c r="AL65" s="7809">
        <f t="shared" si="388"/>
        <v>0</v>
      </c>
      <c r="AM65" s="2873">
        <f t="shared" si="388"/>
        <v>0.41032191131808032</v>
      </c>
      <c r="AN65" s="5892">
        <f t="shared" ref="AN65:AO65" si="389">+AN63/AN62*100</f>
        <v>0</v>
      </c>
      <c r="AO65" s="2340">
        <f t="shared" si="389"/>
        <v>0.87277020317712661</v>
      </c>
      <c r="AP65" s="1784">
        <f>+AP63/AP62*100</f>
        <v>0</v>
      </c>
      <c r="AQ65" s="4397">
        <f t="shared" ref="AQ65:AS65" si="390">+AQ63/AQ62*100</f>
        <v>0.43515102410669088</v>
      </c>
      <c r="AR65" s="5892">
        <f t="shared" si="390"/>
        <v>0</v>
      </c>
      <c r="AS65" s="8242">
        <f t="shared" si="390"/>
        <v>0.81193058345882152</v>
      </c>
      <c r="AT65" s="1784">
        <f>+AT63/AT62*100</f>
        <v>0</v>
      </c>
      <c r="AU65" s="4397">
        <f t="shared" ref="AU65" si="391">+AU63/AU62*100</f>
        <v>0.18153466839938356</v>
      </c>
      <c r="AV65" s="8248">
        <f t="shared" ref="AV65:AW65" si="392">+AV63/AV62*100</f>
        <v>0</v>
      </c>
      <c r="AW65" s="8248">
        <f t="shared" si="392"/>
        <v>0.73264589429445093</v>
      </c>
      <c r="AX65" s="4811">
        <f>+AX63/AX62*100</f>
        <v>0</v>
      </c>
      <c r="AY65" s="4419">
        <f t="shared" ref="AY65" si="393">+AY63/AY62*100</f>
        <v>0.71606976860412819</v>
      </c>
      <c r="AZ65" s="7809">
        <f t="shared" ref="AZ65:BA65" si="394">+AZ63/AZ62*100</f>
        <v>0</v>
      </c>
      <c r="BA65" s="2873">
        <f t="shared" si="394"/>
        <v>0.44545736135889019</v>
      </c>
      <c r="BB65" s="7809">
        <f t="shared" si="360"/>
        <v>0</v>
      </c>
      <c r="BC65" s="2873">
        <f t="shared" si="361"/>
        <v>0.85577927267697051</v>
      </c>
      <c r="BD65" s="6536">
        <f t="shared" si="362"/>
        <v>0</v>
      </c>
      <c r="BE65" s="6537">
        <f t="shared" si="363"/>
        <v>1.4487156628985791</v>
      </c>
      <c r="BF65" s="5346">
        <v>0.40323160762942756</v>
      </c>
      <c r="BG65" s="5346">
        <v>1.174503028128157</v>
      </c>
    </row>
    <row r="66" spans="2:59" ht="19" thickBot="1" x14ac:dyDescent="0.25">
      <c r="B66" s="1970" t="s">
        <v>1084</v>
      </c>
      <c r="C66" s="1972" t="s">
        <v>169</v>
      </c>
      <c r="D66" s="2872">
        <f t="shared" ref="D66:S66" si="395">+D63/D35*100</f>
        <v>0</v>
      </c>
      <c r="E66" s="4398">
        <f t="shared" si="395"/>
        <v>0.22226479122717629</v>
      </c>
      <c r="F66" s="2872">
        <f t="shared" si="395"/>
        <v>0</v>
      </c>
      <c r="G66" s="4398">
        <f t="shared" si="395"/>
        <v>0.65506570214503956</v>
      </c>
      <c r="H66" s="2934">
        <f t="shared" si="395"/>
        <v>0</v>
      </c>
      <c r="I66" s="4402">
        <f t="shared" si="395"/>
        <v>0.44757510635025022</v>
      </c>
      <c r="J66" s="2872">
        <f t="shared" ref="J66:K66" si="396">+J63/J35*100</f>
        <v>0</v>
      </c>
      <c r="K66" s="4398">
        <f t="shared" si="396"/>
        <v>0.61492694640768386</v>
      </c>
      <c r="L66" s="2935">
        <f t="shared" si="395"/>
        <v>0</v>
      </c>
      <c r="M66" s="2466">
        <f t="shared" si="395"/>
        <v>0.50708028376285352</v>
      </c>
      <c r="N66" s="2872">
        <f t="shared" ref="N66:O66" si="397">+N63/N35*100</f>
        <v>0</v>
      </c>
      <c r="O66" s="4398">
        <f t="shared" si="397"/>
        <v>0.47082849338004157</v>
      </c>
      <c r="P66" s="2937">
        <f t="shared" si="395"/>
        <v>0</v>
      </c>
      <c r="Q66" s="2465">
        <f t="shared" si="395"/>
        <v>0.49541715468570469</v>
      </c>
      <c r="R66" s="2872">
        <f t="shared" si="395"/>
        <v>0</v>
      </c>
      <c r="S66" s="4398">
        <f t="shared" si="395"/>
        <v>0.47706530553411308</v>
      </c>
      <c r="T66" s="2937">
        <f t="shared" ref="T66:Y66" si="398">+T63/T35*100</f>
        <v>0</v>
      </c>
      <c r="U66" s="2465">
        <f t="shared" si="398"/>
        <v>0.49108528976966259</v>
      </c>
      <c r="V66" s="2872">
        <f t="shared" si="398"/>
        <v>0</v>
      </c>
      <c r="W66" s="4398">
        <f t="shared" si="398"/>
        <v>0.50617092719842838</v>
      </c>
      <c r="X66" s="2935">
        <f t="shared" si="398"/>
        <v>0</v>
      </c>
      <c r="Y66" s="6206">
        <f t="shared" si="398"/>
        <v>0.48076742511018933</v>
      </c>
      <c r="Z66" s="6538">
        <f t="shared" ref="Z66:AI66" si="399">+Z63/Z35*100</f>
        <v>0</v>
      </c>
      <c r="AA66" s="6539">
        <f t="shared" si="399"/>
        <v>0.49282742520630257</v>
      </c>
      <c r="AB66" s="2872">
        <f t="shared" si="399"/>
        <v>0</v>
      </c>
      <c r="AC66" s="4398">
        <f t="shared" si="399"/>
        <v>0.4263552687592353</v>
      </c>
      <c r="AD66" s="2937">
        <f t="shared" si="399"/>
        <v>0</v>
      </c>
      <c r="AE66" s="2465">
        <f t="shared" si="399"/>
        <v>0.48648926637892148</v>
      </c>
      <c r="AF66" s="2872">
        <f t="shared" si="399"/>
        <v>0</v>
      </c>
      <c r="AG66" s="4398">
        <f t="shared" si="399"/>
        <v>0.30919033603634205</v>
      </c>
      <c r="AH66" s="2937">
        <f t="shared" si="399"/>
        <v>0</v>
      </c>
      <c r="AI66" s="2465">
        <f t="shared" si="399"/>
        <v>0.46416805705409664</v>
      </c>
      <c r="AJ66" s="2872">
        <f t="shared" ref="AJ66:AM66" si="400">+AJ63/AJ35*100</f>
        <v>0</v>
      </c>
      <c r="AK66" s="4398">
        <f t="shared" si="400"/>
        <v>0.17795667575035182</v>
      </c>
      <c r="AL66" s="2938">
        <f t="shared" si="400"/>
        <v>0</v>
      </c>
      <c r="AM66" s="2466">
        <f t="shared" si="400"/>
        <v>0.27808840822864817</v>
      </c>
      <c r="AN66" s="2937">
        <f t="shared" ref="AN66:AS66" si="401">+AN63/AN35*100</f>
        <v>0</v>
      </c>
      <c r="AO66" s="2465">
        <f t="shared" si="401"/>
        <v>0.42415642275976834</v>
      </c>
      <c r="AP66" s="2872">
        <f t="shared" si="401"/>
        <v>0</v>
      </c>
      <c r="AQ66" s="4398">
        <f t="shared" si="401"/>
        <v>0.21741443607653041</v>
      </c>
      <c r="AR66" s="2937">
        <f t="shared" si="401"/>
        <v>0</v>
      </c>
      <c r="AS66" s="8243">
        <f t="shared" si="401"/>
        <v>0.39609251184017319</v>
      </c>
      <c r="AT66" s="2872">
        <f t="shared" ref="AT66:AU66" si="402">+AT63/AT35*100</f>
        <v>0</v>
      </c>
      <c r="AU66" s="4398">
        <f t="shared" si="402"/>
        <v>9.4122070211388631E-2</v>
      </c>
      <c r="AV66" s="8248">
        <f t="shared" ref="AV66:AY66" si="403">+AV63/AV35*100</f>
        <v>0</v>
      </c>
      <c r="AW66" s="8248">
        <f t="shared" si="403"/>
        <v>0.36009055649664085</v>
      </c>
      <c r="AX66" s="3174">
        <f t="shared" si="403"/>
        <v>0</v>
      </c>
      <c r="AY66" s="4419">
        <f t="shared" si="403"/>
        <v>0.31875344830654778</v>
      </c>
      <c r="AZ66" s="2938">
        <f t="shared" ref="AZ66:BA66" si="404">+AZ63/AZ35*100</f>
        <v>0</v>
      </c>
      <c r="BA66" s="2466">
        <f t="shared" si="404"/>
        <v>0.21621015812551878</v>
      </c>
      <c r="BB66" s="2938">
        <f t="shared" si="360"/>
        <v>0</v>
      </c>
      <c r="BC66" s="2466">
        <f t="shared" si="361"/>
        <v>0.49429856635416691</v>
      </c>
      <c r="BD66" s="6538">
        <f t="shared" si="362"/>
        <v>0</v>
      </c>
      <c r="BE66" s="6539">
        <f t="shared" si="363"/>
        <v>0.67884400480318863</v>
      </c>
      <c r="BF66" s="5346">
        <v>0.30740759436612908</v>
      </c>
      <c r="BG66" s="5346">
        <v>0.68206583317452218</v>
      </c>
    </row>
    <row r="67" spans="2:59" s="3380" customFormat="1" ht="15.75" customHeight="1" x14ac:dyDescent="0.2">
      <c r="B67" s="7408"/>
      <c r="D67" s="4408"/>
      <c r="E67" s="7596"/>
      <c r="F67" s="4408"/>
      <c r="G67" s="3453"/>
      <c r="H67" s="4408"/>
      <c r="I67" s="3453"/>
      <c r="J67" s="4408"/>
      <c r="K67" s="3453"/>
      <c r="N67" s="4408"/>
      <c r="O67" s="3453"/>
      <c r="P67" s="4408"/>
      <c r="R67" s="4408"/>
      <c r="S67" s="3453"/>
      <c r="T67" s="4408"/>
      <c r="V67" s="4408"/>
      <c r="W67" s="3453"/>
      <c r="Y67" s="3453"/>
      <c r="Z67" s="4408"/>
      <c r="AB67" s="4408"/>
      <c r="AC67" s="3453"/>
      <c r="AD67" s="4408"/>
      <c r="AF67" s="4408"/>
      <c r="AG67" s="3453"/>
      <c r="AH67" s="4408"/>
      <c r="AJ67" s="4408"/>
      <c r="AK67" s="3453"/>
      <c r="AM67" s="3453"/>
      <c r="AN67" s="4408"/>
      <c r="AP67" s="4408"/>
      <c r="AQ67" s="3453"/>
      <c r="AR67" s="4408"/>
      <c r="AT67" s="4408"/>
      <c r="AU67" s="3453"/>
      <c r="AV67" s="6298"/>
      <c r="AW67" s="6298"/>
      <c r="AX67" s="6298"/>
      <c r="AY67" s="6298"/>
      <c r="BA67" s="3453"/>
      <c r="BC67" s="3453"/>
      <c r="BD67" s="4408"/>
      <c r="BF67" s="7597"/>
      <c r="BG67" s="7597"/>
    </row>
    <row r="68" spans="2:59" ht="15.75" hidden="1" customHeight="1" thickBot="1" x14ac:dyDescent="0.25">
      <c r="B68" s="2114" t="s">
        <v>1133</v>
      </c>
      <c r="C68" s="1600"/>
      <c r="D68" s="8579" t="str">
        <f>+D3</f>
        <v>Apr'20</v>
      </c>
      <c r="E68" s="8609"/>
      <c r="F68" s="8579" t="str">
        <f>+F3</f>
        <v>May'20</v>
      </c>
      <c r="G68" s="8609"/>
      <c r="H68" s="8605" t="s">
        <v>52</v>
      </c>
      <c r="I68" s="8606"/>
      <c r="J68" s="8579" t="str">
        <f>+J3</f>
        <v>Jun'20</v>
      </c>
      <c r="K68" s="8609"/>
      <c r="L68" s="8555" t="s">
        <v>605</v>
      </c>
      <c r="M68" s="8556"/>
      <c r="N68" s="8579" t="str">
        <f>+N3</f>
        <v>Jul'20</v>
      </c>
      <c r="O68" s="8609"/>
      <c r="P68" s="8605" t="s">
        <v>62</v>
      </c>
      <c r="Q68" s="8606"/>
      <c r="R68" s="8579" t="str">
        <f>+R3</f>
        <v>Aug'20</v>
      </c>
      <c r="S68" s="8609"/>
      <c r="T68" s="8605" t="s">
        <v>62</v>
      </c>
      <c r="U68" s="8606"/>
      <c r="V68" s="8579" t="str">
        <f>+V3</f>
        <v>Sep'20</v>
      </c>
      <c r="W68" s="8609"/>
      <c r="X68" s="8555" t="s">
        <v>605</v>
      </c>
      <c r="Y68" s="8556"/>
      <c r="Z68" s="8541" t="s">
        <v>62</v>
      </c>
      <c r="AA68" s="8542"/>
      <c r="AB68" s="8579" t="str">
        <f>+AB3</f>
        <v>Oct'20</v>
      </c>
      <c r="AC68" s="8609"/>
      <c r="AD68" s="8605" t="s">
        <v>62</v>
      </c>
      <c r="AE68" s="8606"/>
      <c r="AF68" s="8579" t="str">
        <f>+AF3</f>
        <v>Nov'20</v>
      </c>
      <c r="AG68" s="8609"/>
      <c r="AH68" s="8605" t="s">
        <v>62</v>
      </c>
      <c r="AI68" s="8606"/>
      <c r="AJ68" s="8579"/>
      <c r="AK68" s="8609"/>
      <c r="AL68" s="8555"/>
      <c r="AM68" s="8556"/>
      <c r="AN68" s="8605" t="s">
        <v>62</v>
      </c>
      <c r="AO68" s="8606"/>
      <c r="AP68" s="8579"/>
      <c r="AQ68" s="8609"/>
      <c r="AR68" s="8605" t="s">
        <v>62</v>
      </c>
      <c r="AS68" s="8653"/>
      <c r="AT68" s="8579"/>
      <c r="AU68" s="8609"/>
      <c r="AV68" s="4109" t="s">
        <v>62</v>
      </c>
      <c r="AW68" s="4109"/>
      <c r="AX68" s="4109"/>
      <c r="AY68" s="4109"/>
      <c r="AZ68" s="8555"/>
      <c r="BA68" s="8556"/>
      <c r="BB68" s="8555"/>
      <c r="BC68" s="8556"/>
      <c r="BD68" s="8541"/>
      <c r="BE68" s="8542"/>
      <c r="BF68" s="5345"/>
      <c r="BG68" s="5345"/>
    </row>
    <row r="69" spans="2:59" ht="15.75" hidden="1" customHeight="1" x14ac:dyDescent="0.2">
      <c r="B69" s="1529" t="s">
        <v>1202</v>
      </c>
      <c r="C69" s="1598" t="s">
        <v>170</v>
      </c>
      <c r="D69" s="4811"/>
      <c r="E69" s="2850"/>
      <c r="F69" s="4624"/>
      <c r="G69" s="2850"/>
      <c r="H69" s="8610">
        <f t="shared" ref="H69:H70" si="405">+D69+F69</f>
        <v>0</v>
      </c>
      <c r="I69" s="8611"/>
      <c r="J69" s="4624"/>
      <c r="K69" s="2850"/>
      <c r="L69" s="8561">
        <f t="shared" ref="L69:L70" si="406">+H69+J69</f>
        <v>0</v>
      </c>
      <c r="M69" s="8562"/>
      <c r="N69" s="4624"/>
      <c r="O69" s="2850"/>
      <c r="P69" s="8610">
        <f t="shared" ref="P69:P70" si="407">+L69+N69</f>
        <v>0</v>
      </c>
      <c r="Q69" s="8611"/>
      <c r="R69" s="4624"/>
      <c r="S69" s="2850"/>
      <c r="T69" s="8610">
        <f t="shared" ref="T69:T70" si="408">+P69+R69</f>
        <v>0</v>
      </c>
      <c r="U69" s="8611"/>
      <c r="V69" s="4624"/>
      <c r="W69" s="2850"/>
      <c r="X69" s="8561">
        <f t="shared" ref="X69:X70" si="409">+T69+V69</f>
        <v>0</v>
      </c>
      <c r="Y69" s="8562"/>
      <c r="Z69" s="8543">
        <f t="shared" ref="Z69:Z70" si="410">+T69+V69</f>
        <v>0</v>
      </c>
      <c r="AA69" s="8544"/>
      <c r="AB69" s="4624"/>
      <c r="AC69" s="2850"/>
      <c r="AD69" s="8610">
        <f t="shared" ref="AD69:AD70" si="411">+Z69+AB69</f>
        <v>0</v>
      </c>
      <c r="AE69" s="8611"/>
      <c r="AF69" s="4624"/>
      <c r="AG69" s="2850"/>
      <c r="AH69" s="8610">
        <f t="shared" ref="AH69:AH70" si="412">+AD69+AF69</f>
        <v>0</v>
      </c>
      <c r="AI69" s="8611"/>
      <c r="AJ69" s="4624"/>
      <c r="AK69" s="2850"/>
      <c r="AL69" s="8561"/>
      <c r="AM69" s="8562"/>
      <c r="AN69" s="8610">
        <f>+AH69+AJ69</f>
        <v>0</v>
      </c>
      <c r="AO69" s="8611"/>
      <c r="AP69" s="4624"/>
      <c r="AQ69" s="2850"/>
      <c r="AR69" s="8610">
        <f t="shared" ref="AR69:AR70" si="413">+AN69+AP69</f>
        <v>0</v>
      </c>
      <c r="AS69" s="8654"/>
      <c r="AT69" s="4624"/>
      <c r="AU69" s="2850"/>
      <c r="AV69" s="5997">
        <f t="shared" ref="AV69:AV70" si="414">+AR69+AT69</f>
        <v>0</v>
      </c>
      <c r="AW69" s="5997"/>
      <c r="AX69" s="5997"/>
      <c r="AY69" s="5997"/>
      <c r="AZ69" s="8561"/>
      <c r="BA69" s="8562"/>
      <c r="BB69" s="8561"/>
      <c r="BC69" s="8562"/>
      <c r="BD69" s="8543"/>
      <c r="BE69" s="8544"/>
      <c r="BF69" s="5345"/>
      <c r="BG69" s="5345"/>
    </row>
    <row r="70" spans="2:59" ht="15.75" hidden="1" customHeight="1" thickBot="1" x14ac:dyDescent="0.25">
      <c r="B70" s="2112" t="s">
        <v>1132</v>
      </c>
      <c r="C70" s="2115" t="s">
        <v>170</v>
      </c>
      <c r="D70" s="4810"/>
      <c r="E70" s="4399"/>
      <c r="F70" s="4810"/>
      <c r="G70" s="4625"/>
      <c r="H70" s="8636">
        <f t="shared" si="405"/>
        <v>0</v>
      </c>
      <c r="I70" s="8637"/>
      <c r="J70" s="4810"/>
      <c r="K70" s="4625"/>
      <c r="L70" s="8563">
        <f t="shared" si="406"/>
        <v>0</v>
      </c>
      <c r="M70" s="8564"/>
      <c r="N70" s="4810"/>
      <c r="O70" s="4625"/>
      <c r="P70" s="8612">
        <f t="shared" si="407"/>
        <v>0</v>
      </c>
      <c r="Q70" s="8613"/>
      <c r="R70" s="4810"/>
      <c r="S70" s="4625"/>
      <c r="T70" s="8612">
        <f t="shared" si="408"/>
        <v>0</v>
      </c>
      <c r="U70" s="8613"/>
      <c r="V70" s="4810"/>
      <c r="W70" s="4625"/>
      <c r="X70" s="8563">
        <f t="shared" si="409"/>
        <v>0</v>
      </c>
      <c r="Y70" s="8564"/>
      <c r="Z70" s="8545">
        <f t="shared" si="410"/>
        <v>0</v>
      </c>
      <c r="AA70" s="8546"/>
      <c r="AB70" s="4810"/>
      <c r="AC70" s="4625"/>
      <c r="AD70" s="8612">
        <f t="shared" si="411"/>
        <v>0</v>
      </c>
      <c r="AE70" s="8613"/>
      <c r="AF70" s="4810"/>
      <c r="AG70" s="4625"/>
      <c r="AH70" s="8612">
        <f t="shared" si="412"/>
        <v>0</v>
      </c>
      <c r="AI70" s="8613"/>
      <c r="AJ70" s="4810"/>
      <c r="AK70" s="4625"/>
      <c r="AL70" s="8563"/>
      <c r="AM70" s="8564"/>
      <c r="AN70" s="8612">
        <f>+AH70+AJ70</f>
        <v>0</v>
      </c>
      <c r="AO70" s="8613"/>
      <c r="AP70" s="4810"/>
      <c r="AQ70" s="4625"/>
      <c r="AR70" s="8612">
        <f t="shared" si="413"/>
        <v>0</v>
      </c>
      <c r="AS70" s="8655"/>
      <c r="AT70" s="4810"/>
      <c r="AU70" s="4625"/>
      <c r="AV70" s="8249">
        <f t="shared" si="414"/>
        <v>0</v>
      </c>
      <c r="AW70" s="8249"/>
      <c r="AX70" s="8249"/>
      <c r="AY70" s="8249"/>
      <c r="AZ70" s="8563"/>
      <c r="BA70" s="8564"/>
      <c r="BB70" s="8563"/>
      <c r="BC70" s="8564"/>
      <c r="BD70" s="8545"/>
      <c r="BE70" s="8546"/>
      <c r="BF70" s="5345"/>
      <c r="BG70" s="5345"/>
    </row>
    <row r="71" spans="2:59" ht="16.5" hidden="1" customHeight="1" thickBot="1" x14ac:dyDescent="0.25">
      <c r="B71" s="2113" t="s">
        <v>15</v>
      </c>
      <c r="C71" s="1562" t="s">
        <v>170</v>
      </c>
      <c r="D71" s="2319">
        <f>SUM(D69:D70)</f>
        <v>0</v>
      </c>
      <c r="E71" s="2817"/>
      <c r="F71" s="2800">
        <f>SUM(F69:F70)</f>
        <v>0</v>
      </c>
      <c r="G71" s="3207"/>
      <c r="H71" s="8638">
        <f>SUM(H69:H70)</f>
        <v>0</v>
      </c>
      <c r="I71" s="8639"/>
      <c r="J71" s="2800">
        <f>SUM(J69:J70)</f>
        <v>0</v>
      </c>
      <c r="K71" s="3207"/>
      <c r="L71" s="8565">
        <f>SUM(L69:L70)</f>
        <v>0</v>
      </c>
      <c r="M71" s="8566"/>
      <c r="N71" s="2800">
        <f>SUM(N69:N70)</f>
        <v>0</v>
      </c>
      <c r="O71" s="3207"/>
      <c r="P71" s="8616">
        <f>SUM(P69:P70)</f>
        <v>0</v>
      </c>
      <c r="Q71" s="8617"/>
      <c r="R71" s="2800">
        <f>SUM(R69:R70)</f>
        <v>0</v>
      </c>
      <c r="S71" s="3207"/>
      <c r="T71" s="8616">
        <f>SUM(T69:T70)</f>
        <v>0</v>
      </c>
      <c r="U71" s="8617"/>
      <c r="V71" s="2800">
        <f>SUM(V69:V70)</f>
        <v>0</v>
      </c>
      <c r="W71" s="3207"/>
      <c r="X71" s="8565">
        <f>SUM(X69:X70)</f>
        <v>0</v>
      </c>
      <c r="Y71" s="8566"/>
      <c r="Z71" s="8547">
        <f>SUM(Z69:Z70)</f>
        <v>0</v>
      </c>
      <c r="AA71" s="8548"/>
      <c r="AB71" s="2800">
        <f>SUM(AB69:AB70)</f>
        <v>0</v>
      </c>
      <c r="AC71" s="3207"/>
      <c r="AD71" s="8616">
        <f>SUM(AD69:AD70)</f>
        <v>0</v>
      </c>
      <c r="AE71" s="8617"/>
      <c r="AF71" s="2800">
        <f>SUM(AF69:AF70)</f>
        <v>0</v>
      </c>
      <c r="AG71" s="3207"/>
      <c r="AH71" s="8616">
        <f>SUM(AH69:AH70)</f>
        <v>0</v>
      </c>
      <c r="AI71" s="8617"/>
      <c r="AJ71" s="2800"/>
      <c r="AK71" s="3207"/>
      <c r="AL71" s="8565"/>
      <c r="AM71" s="8566"/>
      <c r="AN71" s="8616">
        <f>SUM(AN69:AN70)</f>
        <v>0</v>
      </c>
      <c r="AO71" s="8617"/>
      <c r="AP71" s="2800"/>
      <c r="AQ71" s="3207"/>
      <c r="AR71" s="8616">
        <f>SUM(AR69:AR70)</f>
        <v>0</v>
      </c>
      <c r="AS71" s="8656"/>
      <c r="AT71" s="2800"/>
      <c r="AU71" s="3207"/>
      <c r="AV71" s="8249">
        <f>SUM(AV69:AV70)</f>
        <v>0</v>
      </c>
      <c r="AW71" s="8249"/>
      <c r="AX71" s="8249"/>
      <c r="AY71" s="8249"/>
      <c r="AZ71" s="8565"/>
      <c r="BA71" s="8566"/>
      <c r="BB71" s="8565"/>
      <c r="BC71" s="8566"/>
      <c r="BD71" s="8547"/>
      <c r="BE71" s="8548"/>
      <c r="BF71" s="5345"/>
      <c r="BG71" s="5345"/>
    </row>
    <row r="72" spans="2:59" ht="15" hidden="1" customHeight="1" x14ac:dyDescent="0.2">
      <c r="J72" s="2100"/>
      <c r="K72" s="2265"/>
      <c r="N72" s="2100"/>
      <c r="O72" s="2265"/>
      <c r="R72" s="2100"/>
      <c r="S72" s="2265"/>
      <c r="T72" s="2100"/>
      <c r="V72" s="2100"/>
      <c r="W72" s="2265"/>
      <c r="Z72" s="6529"/>
      <c r="AA72" s="6530"/>
      <c r="AB72" s="2100"/>
      <c r="AC72" s="2265"/>
      <c r="AD72" s="2100"/>
      <c r="AF72" s="2100"/>
      <c r="AG72" s="2265"/>
      <c r="AH72" s="2100"/>
      <c r="AJ72" s="2100"/>
      <c r="AK72" s="2265"/>
      <c r="AL72" s="7686"/>
      <c r="AM72" s="2265"/>
      <c r="AN72" s="2100"/>
      <c r="AP72" s="2100"/>
      <c r="AQ72" s="2265"/>
      <c r="AR72" s="2100"/>
      <c r="AT72" s="2100"/>
      <c r="AU72" s="2265"/>
      <c r="AV72" s="3938"/>
      <c r="AW72" s="3938"/>
      <c r="AX72" s="3938"/>
      <c r="AY72" s="3938"/>
      <c r="BA72" s="2265"/>
      <c r="BC72" s="2265"/>
      <c r="BD72" s="6529"/>
      <c r="BE72" s="6530"/>
      <c r="BF72" s="5345"/>
      <c r="BG72" s="5345"/>
    </row>
    <row r="73" spans="2:59" ht="15" hidden="1" customHeight="1" x14ac:dyDescent="0.2">
      <c r="J73" s="2100"/>
      <c r="K73" s="2265"/>
      <c r="N73" s="2100"/>
      <c r="O73" s="2265"/>
      <c r="P73" s="2100" t="s">
        <v>1419</v>
      </c>
      <c r="R73" s="2100"/>
      <c r="S73" s="2265"/>
      <c r="T73" s="2100" t="s">
        <v>1419</v>
      </c>
      <c r="V73" s="2100"/>
      <c r="W73" s="2265"/>
      <c r="Z73" s="6529" t="s">
        <v>1419</v>
      </c>
      <c r="AA73" s="6530"/>
      <c r="AB73" s="2100"/>
      <c r="AC73" s="2265"/>
      <c r="AD73" s="2100" t="s">
        <v>1419</v>
      </c>
      <c r="AF73" s="2100"/>
      <c r="AG73" s="2265"/>
      <c r="AH73" s="2100" t="s">
        <v>1419</v>
      </c>
      <c r="AJ73" s="2100"/>
      <c r="AK73" s="2265"/>
      <c r="AL73" s="7686"/>
      <c r="AM73" s="2265"/>
      <c r="AN73" s="2100" t="s">
        <v>1419</v>
      </c>
      <c r="AP73" s="2100"/>
      <c r="AQ73" s="2265"/>
      <c r="AR73" s="2100" t="s">
        <v>1419</v>
      </c>
      <c r="AT73" s="2100"/>
      <c r="AU73" s="2265"/>
      <c r="AV73" s="3938" t="s">
        <v>1419</v>
      </c>
      <c r="AW73" s="3938"/>
      <c r="AX73" s="3938"/>
      <c r="AY73" s="3938"/>
      <c r="BA73" s="2265"/>
      <c r="BC73" s="2265"/>
      <c r="BD73" s="6529"/>
      <c r="BE73" s="6530"/>
      <c r="BF73" s="5345"/>
      <c r="BG73" s="5345"/>
    </row>
    <row r="74" spans="2:59" ht="15.75" hidden="1" customHeight="1" thickBot="1" x14ac:dyDescent="0.25">
      <c r="B74" s="4732" t="s">
        <v>1205</v>
      </c>
      <c r="C74" s="4733"/>
      <c r="D74" s="8588" t="str">
        <f>+D3</f>
        <v>Apr'20</v>
      </c>
      <c r="E74" s="8589"/>
      <c r="F74" s="8588" t="str">
        <f>+F3</f>
        <v>May'20</v>
      </c>
      <c r="G74" s="8589"/>
      <c r="H74" s="8605" t="s">
        <v>52</v>
      </c>
      <c r="I74" s="8606"/>
      <c r="J74" s="8588" t="str">
        <f>+J3</f>
        <v>Jun'20</v>
      </c>
      <c r="K74" s="8589"/>
      <c r="L74" s="8555" t="s">
        <v>605</v>
      </c>
      <c r="M74" s="8556"/>
      <c r="N74" s="8588" t="str">
        <f>+N3</f>
        <v>Jul'20</v>
      </c>
      <c r="O74" s="8589"/>
      <c r="P74" s="8605" t="s">
        <v>62</v>
      </c>
      <c r="Q74" s="8606"/>
      <c r="R74" s="8588" t="str">
        <f>+R3</f>
        <v>Aug'20</v>
      </c>
      <c r="S74" s="8589"/>
      <c r="T74" s="8605" t="s">
        <v>62</v>
      </c>
      <c r="U74" s="8606"/>
      <c r="V74" s="8588" t="str">
        <f>+V3</f>
        <v>Sep'20</v>
      </c>
      <c r="W74" s="8589"/>
      <c r="X74" s="8555" t="s">
        <v>605</v>
      </c>
      <c r="Y74" s="8556"/>
      <c r="Z74" s="8541" t="s">
        <v>62</v>
      </c>
      <c r="AA74" s="8542"/>
      <c r="AB74" s="8588" t="str">
        <f>+AB3</f>
        <v>Oct'20</v>
      </c>
      <c r="AC74" s="8589"/>
      <c r="AD74" s="8605" t="s">
        <v>62</v>
      </c>
      <c r="AE74" s="8606"/>
      <c r="AF74" s="8588" t="str">
        <f>+AF3</f>
        <v>Nov'20</v>
      </c>
      <c r="AG74" s="8589"/>
      <c r="AH74" s="8605" t="s">
        <v>62</v>
      </c>
      <c r="AI74" s="8606"/>
      <c r="AJ74" s="8588"/>
      <c r="AK74" s="8589"/>
      <c r="AL74" s="8555"/>
      <c r="AM74" s="8556"/>
      <c r="AN74" s="8605" t="s">
        <v>62</v>
      </c>
      <c r="AO74" s="8606"/>
      <c r="AP74" s="8588"/>
      <c r="AQ74" s="8589"/>
      <c r="AR74" s="8605" t="s">
        <v>62</v>
      </c>
      <c r="AS74" s="8653"/>
      <c r="AT74" s="8588"/>
      <c r="AU74" s="8589"/>
      <c r="AV74" s="4109" t="s">
        <v>62</v>
      </c>
      <c r="AW74" s="4109"/>
      <c r="AX74" s="4109"/>
      <c r="AY74" s="4109"/>
      <c r="AZ74" s="8555"/>
      <c r="BA74" s="8556"/>
      <c r="BB74" s="8555"/>
      <c r="BC74" s="8556"/>
      <c r="BD74" s="8541"/>
      <c r="BE74" s="8542"/>
      <c r="BF74" s="5345"/>
      <c r="BG74" s="5345"/>
    </row>
    <row r="75" spans="2:59" ht="16.5" hidden="1" customHeight="1" thickBot="1" x14ac:dyDescent="0.25">
      <c r="B75" s="4730" t="s">
        <v>1203</v>
      </c>
      <c r="C75" s="4731"/>
      <c r="D75" s="8635">
        <f>+D107</f>
        <v>0</v>
      </c>
      <c r="E75" s="8619"/>
      <c r="F75" s="8618">
        <f t="shared" ref="F75" si="415">+F107</f>
        <v>0</v>
      </c>
      <c r="G75" s="8619"/>
      <c r="H75" s="8620">
        <f>+H107</f>
        <v>0</v>
      </c>
      <c r="I75" s="8621"/>
      <c r="J75" s="8618">
        <f t="shared" ref="J75" si="416">+J107</f>
        <v>0</v>
      </c>
      <c r="K75" s="8619"/>
      <c r="L75" s="8567">
        <f t="shared" ref="L75:P75" si="417">+L107</f>
        <v>0</v>
      </c>
      <c r="M75" s="8568"/>
      <c r="N75" s="8618">
        <f t="shared" ref="N75" si="418">+N107</f>
        <v>0</v>
      </c>
      <c r="O75" s="8619"/>
      <c r="P75" s="8620">
        <f t="shared" si="417"/>
        <v>0</v>
      </c>
      <c r="Q75" s="8621"/>
      <c r="R75" s="8618">
        <f t="shared" ref="R75" si="419">+R107</f>
        <v>0</v>
      </c>
      <c r="S75" s="8619"/>
      <c r="T75" s="8620">
        <f t="shared" ref="T75" si="420">+T107</f>
        <v>0</v>
      </c>
      <c r="U75" s="8621"/>
      <c r="V75" s="8618">
        <f t="shared" ref="V75" si="421">+V107</f>
        <v>0</v>
      </c>
      <c r="W75" s="8619"/>
      <c r="X75" s="8567">
        <f t="shared" ref="X75" si="422">+X107</f>
        <v>0</v>
      </c>
      <c r="Y75" s="8568"/>
      <c r="Z75" s="8549">
        <f t="shared" ref="Z75" si="423">+Z107</f>
        <v>0</v>
      </c>
      <c r="AA75" s="8550"/>
      <c r="AB75" s="8618">
        <f t="shared" ref="AB75" si="424">+AB107</f>
        <v>0</v>
      </c>
      <c r="AC75" s="8619"/>
      <c r="AD75" s="8620">
        <f t="shared" ref="AD75" si="425">+AD107</f>
        <v>0</v>
      </c>
      <c r="AE75" s="8621"/>
      <c r="AF75" s="8618">
        <f t="shared" ref="AF75" si="426">+AF107</f>
        <v>0</v>
      </c>
      <c r="AG75" s="8619"/>
      <c r="AH75" s="8620">
        <f t="shared" ref="AH75" si="427">+AH107</f>
        <v>0</v>
      </c>
      <c r="AI75" s="8621"/>
      <c r="AJ75" s="8618"/>
      <c r="AK75" s="8619"/>
      <c r="AL75" s="8567"/>
      <c r="AM75" s="8568"/>
      <c r="AN75" s="8620">
        <f t="shared" ref="AN75" si="428">+AN107</f>
        <v>0</v>
      </c>
      <c r="AO75" s="8621"/>
      <c r="AP75" s="8618"/>
      <c r="AQ75" s="8619"/>
      <c r="AR75" s="8620">
        <f t="shared" ref="AR75" si="429">+AR107</f>
        <v>0</v>
      </c>
      <c r="AS75" s="8657"/>
      <c r="AT75" s="8618"/>
      <c r="AU75" s="8619"/>
      <c r="AV75" s="8250">
        <f t="shared" ref="AV75" si="430">+AV107</f>
        <v>0</v>
      </c>
      <c r="AW75" s="8250"/>
      <c r="AX75" s="8250"/>
      <c r="AY75" s="8250"/>
      <c r="AZ75" s="8567"/>
      <c r="BA75" s="8568"/>
      <c r="BB75" s="8567"/>
      <c r="BC75" s="8568"/>
      <c r="BD75" s="8549"/>
      <c r="BE75" s="8550"/>
      <c r="BF75" s="5345"/>
      <c r="BG75" s="5345"/>
    </row>
    <row r="76" spans="2:59" ht="15.75" hidden="1" customHeight="1" thickBot="1" x14ac:dyDescent="0.25">
      <c r="B76" s="4728" t="s">
        <v>1204</v>
      </c>
      <c r="C76" s="4729"/>
      <c r="D76" s="8634"/>
      <c r="E76" s="8623"/>
      <c r="F76" s="8622"/>
      <c r="G76" s="8623"/>
      <c r="H76" s="8624"/>
      <c r="I76" s="8625"/>
      <c r="J76" s="8622"/>
      <c r="K76" s="8623"/>
      <c r="L76" s="8569"/>
      <c r="M76" s="8570"/>
      <c r="N76" s="8622"/>
      <c r="O76" s="8623"/>
      <c r="P76" s="8624"/>
      <c r="Q76" s="8625"/>
      <c r="R76" s="8622"/>
      <c r="S76" s="8623"/>
      <c r="T76" s="8624"/>
      <c r="U76" s="8625"/>
      <c r="V76" s="8622"/>
      <c r="W76" s="8623"/>
      <c r="X76" s="8569"/>
      <c r="Y76" s="8570"/>
      <c r="Z76" s="8551"/>
      <c r="AA76" s="8552"/>
      <c r="AB76" s="8622"/>
      <c r="AC76" s="8623"/>
      <c r="AD76" s="8624"/>
      <c r="AE76" s="8625"/>
      <c r="AF76" s="8622"/>
      <c r="AG76" s="8623"/>
      <c r="AH76" s="8624"/>
      <c r="AI76" s="8625"/>
      <c r="AJ76" s="8622"/>
      <c r="AK76" s="8623"/>
      <c r="AL76" s="8569"/>
      <c r="AM76" s="8570"/>
      <c r="AN76" s="8624"/>
      <c r="AO76" s="8625"/>
      <c r="AP76" s="8622"/>
      <c r="AQ76" s="8623"/>
      <c r="AR76" s="8624"/>
      <c r="AS76" s="8658"/>
      <c r="AT76" s="8622"/>
      <c r="AU76" s="8623"/>
      <c r="AV76" s="8251"/>
      <c r="AW76" s="8251"/>
      <c r="AX76" s="8251"/>
      <c r="AY76" s="8251"/>
      <c r="AZ76" s="8569"/>
      <c r="BA76" s="8570"/>
      <c r="BB76" s="8569"/>
      <c r="BC76" s="8570"/>
      <c r="BD76" s="8551"/>
      <c r="BE76" s="8552"/>
      <c r="BF76" s="5345"/>
      <c r="BG76" s="5345"/>
    </row>
    <row r="77" spans="2:59" ht="15.75" hidden="1" customHeight="1" x14ac:dyDescent="0.2">
      <c r="B77" s="3133" t="s">
        <v>1520</v>
      </c>
      <c r="C77" s="1581" t="s">
        <v>170</v>
      </c>
      <c r="D77" s="8584"/>
      <c r="E77" s="8585"/>
      <c r="F77" s="8584"/>
      <c r="G77" s="8585"/>
      <c r="H77" s="8603">
        <f>+D77+F77</f>
        <v>0</v>
      </c>
      <c r="I77" s="8604"/>
      <c r="J77" s="8584"/>
      <c r="K77" s="8585"/>
      <c r="L77" s="8537">
        <f>+D77+F77+J77</f>
        <v>0</v>
      </c>
      <c r="M77" s="8538"/>
      <c r="N77" s="8584"/>
      <c r="O77" s="8585"/>
      <c r="P77" s="8603">
        <f>+L77+N77</f>
        <v>0</v>
      </c>
      <c r="Q77" s="8604"/>
      <c r="R77" s="8584"/>
      <c r="S77" s="8585"/>
      <c r="T77" s="8603">
        <f>+P77+R77</f>
        <v>0</v>
      </c>
      <c r="U77" s="8604"/>
      <c r="V77" s="8584"/>
      <c r="W77" s="8585"/>
      <c r="X77" s="8537">
        <f>+P77+R77+V77</f>
        <v>0</v>
      </c>
      <c r="Y77" s="8538"/>
      <c r="Z77" s="8553">
        <f>+T77+V77</f>
        <v>0</v>
      </c>
      <c r="AA77" s="8554"/>
      <c r="AB77" s="8584"/>
      <c r="AC77" s="8585"/>
      <c r="AD77" s="8603">
        <f>+Z77+AB77</f>
        <v>0</v>
      </c>
      <c r="AE77" s="8604"/>
      <c r="AF77" s="8584"/>
      <c r="AG77" s="8585"/>
      <c r="AH77" s="8603">
        <f>+AD77+AF77</f>
        <v>0</v>
      </c>
      <c r="AI77" s="8604"/>
      <c r="AJ77" s="8584"/>
      <c r="AK77" s="8585"/>
      <c r="AL77" s="8537"/>
      <c r="AM77" s="8538"/>
      <c r="AN77" s="8603">
        <f>+AH77+AJ77</f>
        <v>0</v>
      </c>
      <c r="AO77" s="8604"/>
      <c r="AP77" s="8584"/>
      <c r="AQ77" s="8585"/>
      <c r="AR77" s="8603">
        <f>+AN77+AP77</f>
        <v>0</v>
      </c>
      <c r="AS77" s="8659"/>
      <c r="AT77" s="8584"/>
      <c r="AU77" s="8585"/>
      <c r="AV77" s="8245">
        <f>+AR77+AT77</f>
        <v>0</v>
      </c>
      <c r="AW77" s="8245"/>
      <c r="AX77" s="8245"/>
      <c r="AY77" s="8245"/>
      <c r="AZ77" s="8537"/>
      <c r="BA77" s="8538"/>
      <c r="BB77" s="8537"/>
      <c r="BC77" s="8538"/>
      <c r="BD77" s="8553"/>
      <c r="BE77" s="8554"/>
      <c r="BF77" s="5345"/>
      <c r="BG77" s="5345"/>
    </row>
    <row r="78" spans="2:59" ht="15.75" hidden="1" customHeight="1" thickBot="1" x14ac:dyDescent="0.25">
      <c r="B78" s="3133" t="s">
        <v>1692</v>
      </c>
      <c r="C78" s="1581" t="s">
        <v>170</v>
      </c>
      <c r="D78" s="5168"/>
      <c r="E78" s="5169"/>
      <c r="F78" s="5168"/>
      <c r="G78" s="5169"/>
      <c r="H78" s="8603">
        <f>+D78+F78</f>
        <v>0</v>
      </c>
      <c r="I78" s="8604"/>
      <c r="J78" s="5677"/>
      <c r="K78" s="5678"/>
      <c r="L78" s="8537">
        <f>+D78+F78+J78</f>
        <v>0</v>
      </c>
      <c r="M78" s="8538"/>
      <c r="N78" s="5880"/>
      <c r="O78" s="5881"/>
      <c r="P78" s="8603">
        <f>+L78+N78</f>
        <v>0</v>
      </c>
      <c r="Q78" s="8604"/>
      <c r="R78" s="6316"/>
      <c r="S78" s="6317"/>
      <c r="T78" s="8603">
        <f>+P78+R78</f>
        <v>0</v>
      </c>
      <c r="U78" s="8604"/>
      <c r="V78" s="6478"/>
      <c r="W78" s="6479"/>
      <c r="X78" s="8537">
        <f>+P78+R78+V78</f>
        <v>0</v>
      </c>
      <c r="Y78" s="8538"/>
      <c r="Z78" s="8553">
        <f>+T78+V78</f>
        <v>0</v>
      </c>
      <c r="AA78" s="8554"/>
      <c r="AB78" s="7289"/>
      <c r="AC78" s="7290"/>
      <c r="AD78" s="8603">
        <f>+Z78+AB78</f>
        <v>0</v>
      </c>
      <c r="AE78" s="8604"/>
      <c r="AF78" s="7548"/>
      <c r="AG78" s="7549"/>
      <c r="AH78" s="8603">
        <f>+AD78+AF78</f>
        <v>0</v>
      </c>
      <c r="AI78" s="8604"/>
      <c r="AJ78" s="7689"/>
      <c r="AK78" s="7690"/>
      <c r="AL78" s="8537"/>
      <c r="AM78" s="8538"/>
      <c r="AN78" s="8603">
        <f>+AH78+AJ78</f>
        <v>0</v>
      </c>
      <c r="AO78" s="8604"/>
      <c r="AP78" s="8012"/>
      <c r="AQ78" s="8013"/>
      <c r="AR78" s="8603">
        <f>+AN78+AP78</f>
        <v>0</v>
      </c>
      <c r="AS78" s="8659"/>
      <c r="AT78" s="8215"/>
      <c r="AU78" s="8216"/>
      <c r="AV78" s="8245">
        <f>+AR78+AT78</f>
        <v>0</v>
      </c>
      <c r="AW78" s="8245"/>
      <c r="AX78" s="8245"/>
      <c r="AY78" s="8245"/>
      <c r="AZ78" s="8537"/>
      <c r="BA78" s="8538"/>
      <c r="BB78" s="8537"/>
      <c r="BC78" s="8538"/>
      <c r="BD78" s="8553"/>
      <c r="BE78" s="8554"/>
      <c r="BF78" s="5345"/>
      <c r="BG78" s="5345"/>
    </row>
    <row r="79" spans="2:59" ht="15.75" hidden="1" customHeight="1" thickBot="1" x14ac:dyDescent="0.25">
      <c r="B79" s="3133" t="s">
        <v>1521</v>
      </c>
      <c r="C79" s="1598" t="s">
        <v>170</v>
      </c>
      <c r="D79" s="8580"/>
      <c r="E79" s="8581"/>
      <c r="F79" s="8580"/>
      <c r="G79" s="8581"/>
      <c r="H79" s="8597">
        <f t="shared" ref="H79:H106" si="431">+D79+F79</f>
        <v>0</v>
      </c>
      <c r="I79" s="8598"/>
      <c r="J79" s="8580"/>
      <c r="K79" s="8581"/>
      <c r="L79" s="8533">
        <f t="shared" ref="L79:L106" si="432">+D79+F79+J79</f>
        <v>0</v>
      </c>
      <c r="M79" s="8534"/>
      <c r="N79" s="8580"/>
      <c r="O79" s="8581"/>
      <c r="P79" s="8597">
        <f t="shared" ref="P79:P106" si="433">+L79+N79</f>
        <v>0</v>
      </c>
      <c r="Q79" s="8598"/>
      <c r="R79" s="8580"/>
      <c r="S79" s="8581"/>
      <c r="T79" s="8597">
        <f t="shared" ref="T79:T89" si="434">+P79+R79</f>
        <v>0</v>
      </c>
      <c r="U79" s="8598"/>
      <c r="V79" s="8580"/>
      <c r="W79" s="8581"/>
      <c r="X79" s="8533">
        <f t="shared" ref="X79:X94" si="435">+P79+R79+V79</f>
        <v>0</v>
      </c>
      <c r="Y79" s="8534"/>
      <c r="Z79" s="8529">
        <f t="shared" ref="Z79:Z89" si="436">+T79+V79</f>
        <v>0</v>
      </c>
      <c r="AA79" s="8530"/>
      <c r="AB79" s="8580"/>
      <c r="AC79" s="8581"/>
      <c r="AD79" s="8597">
        <f t="shared" ref="AD79:AD89" si="437">+Z79+AB79</f>
        <v>0</v>
      </c>
      <c r="AE79" s="8598"/>
      <c r="AF79" s="8580"/>
      <c r="AG79" s="8581"/>
      <c r="AH79" s="8597">
        <f t="shared" ref="AH79:AH89" si="438">+AD79+AF79</f>
        <v>0</v>
      </c>
      <c r="AI79" s="8598"/>
      <c r="AJ79" s="8580"/>
      <c r="AK79" s="8581"/>
      <c r="AL79" s="8533"/>
      <c r="AM79" s="8534"/>
      <c r="AN79" s="8597">
        <f t="shared" ref="AN79:AN89" si="439">+AH79+AJ79</f>
        <v>0</v>
      </c>
      <c r="AO79" s="8598"/>
      <c r="AP79" s="8580"/>
      <c r="AQ79" s="8581"/>
      <c r="AR79" s="8597">
        <f t="shared" ref="AR79:AR89" si="440">+AN79+AP79</f>
        <v>0</v>
      </c>
      <c r="AS79" s="8651"/>
      <c r="AT79" s="8580"/>
      <c r="AU79" s="8581"/>
      <c r="AV79" s="8245">
        <f t="shared" ref="AV79:AV89" si="441">+AR79+AT79</f>
        <v>0</v>
      </c>
      <c r="AW79" s="8245"/>
      <c r="AX79" s="8245"/>
      <c r="AY79" s="8245"/>
      <c r="AZ79" s="8533"/>
      <c r="BA79" s="8534"/>
      <c r="BB79" s="8533"/>
      <c r="BC79" s="8534"/>
      <c r="BD79" s="8529"/>
      <c r="BE79" s="8530"/>
      <c r="BF79" s="5345"/>
      <c r="BG79" s="5345"/>
    </row>
    <row r="80" spans="2:59" ht="15.75" hidden="1" customHeight="1" thickBot="1" x14ac:dyDescent="0.25">
      <c r="B80" s="2771" t="s">
        <v>1522</v>
      </c>
      <c r="C80" s="1598" t="s">
        <v>170</v>
      </c>
      <c r="D80" s="8580"/>
      <c r="E80" s="8581"/>
      <c r="F80" s="8580"/>
      <c r="G80" s="8581"/>
      <c r="H80" s="8597">
        <f t="shared" si="431"/>
        <v>0</v>
      </c>
      <c r="I80" s="8598"/>
      <c r="J80" s="8580"/>
      <c r="K80" s="8581"/>
      <c r="L80" s="8533">
        <f t="shared" si="432"/>
        <v>0</v>
      </c>
      <c r="M80" s="8534"/>
      <c r="N80" s="8580"/>
      <c r="O80" s="8581"/>
      <c r="P80" s="8597">
        <f t="shared" si="433"/>
        <v>0</v>
      </c>
      <c r="Q80" s="8598"/>
      <c r="R80" s="8580"/>
      <c r="S80" s="8581"/>
      <c r="T80" s="8597">
        <f t="shared" si="434"/>
        <v>0</v>
      </c>
      <c r="U80" s="8598"/>
      <c r="V80" s="8580"/>
      <c r="W80" s="8581"/>
      <c r="X80" s="8533">
        <f t="shared" si="435"/>
        <v>0</v>
      </c>
      <c r="Y80" s="8534"/>
      <c r="Z80" s="8529">
        <f t="shared" si="436"/>
        <v>0</v>
      </c>
      <c r="AA80" s="8530"/>
      <c r="AB80" s="8580"/>
      <c r="AC80" s="8581"/>
      <c r="AD80" s="8597">
        <f t="shared" si="437"/>
        <v>0</v>
      </c>
      <c r="AE80" s="8598"/>
      <c r="AF80" s="8580"/>
      <c r="AG80" s="8581"/>
      <c r="AH80" s="8597">
        <f t="shared" si="438"/>
        <v>0</v>
      </c>
      <c r="AI80" s="8598"/>
      <c r="AJ80" s="8580"/>
      <c r="AK80" s="8581"/>
      <c r="AL80" s="8533"/>
      <c r="AM80" s="8534"/>
      <c r="AN80" s="8597">
        <f t="shared" si="439"/>
        <v>0</v>
      </c>
      <c r="AO80" s="8598"/>
      <c r="AP80" s="8580"/>
      <c r="AQ80" s="8581"/>
      <c r="AR80" s="8597">
        <f t="shared" si="440"/>
        <v>0</v>
      </c>
      <c r="AS80" s="8651"/>
      <c r="AT80" s="8580"/>
      <c r="AU80" s="8581"/>
      <c r="AV80" s="8245">
        <f t="shared" si="441"/>
        <v>0</v>
      </c>
      <c r="AW80" s="8245"/>
      <c r="AX80" s="8245"/>
      <c r="AY80" s="8245"/>
      <c r="AZ80" s="8533"/>
      <c r="BA80" s="8534"/>
      <c r="BB80" s="8533"/>
      <c r="BC80" s="8534"/>
      <c r="BD80" s="8529"/>
      <c r="BE80" s="8530"/>
      <c r="BF80" s="5345"/>
      <c r="BG80" s="5345"/>
    </row>
    <row r="81" spans="2:59" ht="15.75" hidden="1" customHeight="1" thickBot="1" x14ac:dyDescent="0.25">
      <c r="B81" s="2772" t="s">
        <v>1523</v>
      </c>
      <c r="C81" s="1598" t="s">
        <v>170</v>
      </c>
      <c r="D81" s="8580"/>
      <c r="E81" s="8581"/>
      <c r="F81" s="8580"/>
      <c r="G81" s="8581"/>
      <c r="H81" s="8597">
        <f t="shared" si="431"/>
        <v>0</v>
      </c>
      <c r="I81" s="8598"/>
      <c r="J81" s="8580"/>
      <c r="K81" s="8581"/>
      <c r="L81" s="8533">
        <f t="shared" si="432"/>
        <v>0</v>
      </c>
      <c r="M81" s="8534"/>
      <c r="N81" s="8580"/>
      <c r="O81" s="8581"/>
      <c r="P81" s="8597">
        <f t="shared" si="433"/>
        <v>0</v>
      </c>
      <c r="Q81" s="8598"/>
      <c r="R81" s="8580"/>
      <c r="S81" s="8581"/>
      <c r="T81" s="8597">
        <f t="shared" si="434"/>
        <v>0</v>
      </c>
      <c r="U81" s="8598"/>
      <c r="V81" s="8580"/>
      <c r="W81" s="8581"/>
      <c r="X81" s="8533">
        <f t="shared" si="435"/>
        <v>0</v>
      </c>
      <c r="Y81" s="8534"/>
      <c r="Z81" s="8529">
        <f t="shared" si="436"/>
        <v>0</v>
      </c>
      <c r="AA81" s="8530"/>
      <c r="AB81" s="8580"/>
      <c r="AC81" s="8581"/>
      <c r="AD81" s="8597">
        <f t="shared" si="437"/>
        <v>0</v>
      </c>
      <c r="AE81" s="8598"/>
      <c r="AF81" s="8580"/>
      <c r="AG81" s="8581"/>
      <c r="AH81" s="8597">
        <f t="shared" si="438"/>
        <v>0</v>
      </c>
      <c r="AI81" s="8598"/>
      <c r="AJ81" s="8580"/>
      <c r="AK81" s="8581"/>
      <c r="AL81" s="8533"/>
      <c r="AM81" s="8534"/>
      <c r="AN81" s="8597">
        <f t="shared" si="439"/>
        <v>0</v>
      </c>
      <c r="AO81" s="8598"/>
      <c r="AP81" s="8580"/>
      <c r="AQ81" s="8581"/>
      <c r="AR81" s="8597">
        <f t="shared" si="440"/>
        <v>0</v>
      </c>
      <c r="AS81" s="8651"/>
      <c r="AT81" s="8580"/>
      <c r="AU81" s="8581"/>
      <c r="AV81" s="8245">
        <f t="shared" si="441"/>
        <v>0</v>
      </c>
      <c r="AW81" s="8245"/>
      <c r="AX81" s="8245"/>
      <c r="AY81" s="8245"/>
      <c r="AZ81" s="8533"/>
      <c r="BA81" s="8534"/>
      <c r="BB81" s="8533"/>
      <c r="BC81" s="8534"/>
      <c r="BD81" s="8529"/>
      <c r="BE81" s="8530"/>
      <c r="BF81" s="5345"/>
      <c r="BG81" s="5345"/>
    </row>
    <row r="82" spans="2:59" ht="16.5" hidden="1" customHeight="1" thickBot="1" x14ac:dyDescent="0.25">
      <c r="B82" s="2772" t="s">
        <v>1654</v>
      </c>
      <c r="C82" s="1598" t="s">
        <v>170</v>
      </c>
      <c r="D82" s="8586"/>
      <c r="E82" s="8587"/>
      <c r="F82" s="8586"/>
      <c r="G82" s="8587"/>
      <c r="H82" s="8601">
        <f t="shared" si="431"/>
        <v>0</v>
      </c>
      <c r="I82" s="8602"/>
      <c r="J82" s="8586"/>
      <c r="K82" s="8587"/>
      <c r="L82" s="8559">
        <f t="shared" si="432"/>
        <v>0</v>
      </c>
      <c r="M82" s="8560"/>
      <c r="N82" s="8586"/>
      <c r="O82" s="8587"/>
      <c r="P82" s="8601">
        <f t="shared" si="433"/>
        <v>0</v>
      </c>
      <c r="Q82" s="8602"/>
      <c r="R82" s="8586"/>
      <c r="S82" s="8587"/>
      <c r="T82" s="8601">
        <f t="shared" si="434"/>
        <v>0</v>
      </c>
      <c r="U82" s="8602"/>
      <c r="V82" s="8586"/>
      <c r="W82" s="8587"/>
      <c r="X82" s="8559">
        <f t="shared" si="435"/>
        <v>0</v>
      </c>
      <c r="Y82" s="8560"/>
      <c r="Z82" s="8531">
        <f t="shared" si="436"/>
        <v>0</v>
      </c>
      <c r="AA82" s="8532"/>
      <c r="AB82" s="8586"/>
      <c r="AC82" s="8587"/>
      <c r="AD82" s="8601">
        <f t="shared" si="437"/>
        <v>0</v>
      </c>
      <c r="AE82" s="8602"/>
      <c r="AF82" s="8586"/>
      <c r="AG82" s="8587"/>
      <c r="AH82" s="8601">
        <f t="shared" si="438"/>
        <v>0</v>
      </c>
      <c r="AI82" s="8602"/>
      <c r="AJ82" s="8586"/>
      <c r="AK82" s="8587"/>
      <c r="AL82" s="8559"/>
      <c r="AM82" s="8560"/>
      <c r="AN82" s="8601">
        <f t="shared" si="439"/>
        <v>0</v>
      </c>
      <c r="AO82" s="8602"/>
      <c r="AP82" s="8586"/>
      <c r="AQ82" s="8587"/>
      <c r="AR82" s="8601">
        <f t="shared" si="440"/>
        <v>0</v>
      </c>
      <c r="AS82" s="8660"/>
      <c r="AT82" s="8586"/>
      <c r="AU82" s="8587"/>
      <c r="AV82" s="8245">
        <f t="shared" si="441"/>
        <v>0</v>
      </c>
      <c r="AW82" s="8245"/>
      <c r="AX82" s="8245"/>
      <c r="AY82" s="8245"/>
      <c r="AZ82" s="8559"/>
      <c r="BA82" s="8560"/>
      <c r="BB82" s="8559"/>
      <c r="BC82" s="8560"/>
      <c r="BD82" s="8531"/>
      <c r="BE82" s="8532"/>
      <c r="BF82" s="5345"/>
      <c r="BG82" s="5345"/>
    </row>
    <row r="83" spans="2:59" ht="15.75" hidden="1" customHeight="1" thickBot="1" x14ac:dyDescent="0.25">
      <c r="B83" s="2772" t="s">
        <v>1524</v>
      </c>
      <c r="C83" s="1598" t="s">
        <v>170</v>
      </c>
      <c r="D83" s="8580"/>
      <c r="E83" s="8581"/>
      <c r="F83" s="8580"/>
      <c r="G83" s="8581"/>
      <c r="H83" s="8597">
        <f t="shared" si="431"/>
        <v>0</v>
      </c>
      <c r="I83" s="8598"/>
      <c r="J83" s="8580"/>
      <c r="K83" s="8581"/>
      <c r="L83" s="8533">
        <f t="shared" si="432"/>
        <v>0</v>
      </c>
      <c r="M83" s="8534"/>
      <c r="N83" s="8580"/>
      <c r="O83" s="8581"/>
      <c r="P83" s="8597">
        <f t="shared" si="433"/>
        <v>0</v>
      </c>
      <c r="Q83" s="8598"/>
      <c r="R83" s="8580"/>
      <c r="S83" s="8581"/>
      <c r="T83" s="8597">
        <f t="shared" si="434"/>
        <v>0</v>
      </c>
      <c r="U83" s="8598"/>
      <c r="V83" s="8580"/>
      <c r="W83" s="8581"/>
      <c r="X83" s="8533">
        <f t="shared" si="435"/>
        <v>0</v>
      </c>
      <c r="Y83" s="8534"/>
      <c r="Z83" s="8529">
        <f t="shared" si="436"/>
        <v>0</v>
      </c>
      <c r="AA83" s="8530"/>
      <c r="AB83" s="8580"/>
      <c r="AC83" s="8581"/>
      <c r="AD83" s="8597">
        <f t="shared" si="437"/>
        <v>0</v>
      </c>
      <c r="AE83" s="8598"/>
      <c r="AF83" s="8580"/>
      <c r="AG83" s="8581"/>
      <c r="AH83" s="8597">
        <f t="shared" si="438"/>
        <v>0</v>
      </c>
      <c r="AI83" s="8598"/>
      <c r="AJ83" s="8580"/>
      <c r="AK83" s="8581"/>
      <c r="AL83" s="8533"/>
      <c r="AM83" s="8534"/>
      <c r="AN83" s="8597">
        <f t="shared" si="439"/>
        <v>0</v>
      </c>
      <c r="AO83" s="8598"/>
      <c r="AP83" s="8580"/>
      <c r="AQ83" s="8581"/>
      <c r="AR83" s="8597">
        <f t="shared" si="440"/>
        <v>0</v>
      </c>
      <c r="AS83" s="8651"/>
      <c r="AT83" s="8580"/>
      <c r="AU83" s="8581"/>
      <c r="AV83" s="8245">
        <f t="shared" si="441"/>
        <v>0</v>
      </c>
      <c r="AW83" s="8245"/>
      <c r="AX83" s="8245"/>
      <c r="AY83" s="8245"/>
      <c r="AZ83" s="8533"/>
      <c r="BA83" s="8534"/>
      <c r="BB83" s="8533"/>
      <c r="BC83" s="8534"/>
      <c r="BD83" s="8529"/>
      <c r="BE83" s="8530"/>
      <c r="BF83" s="5345"/>
      <c r="BG83" s="5345"/>
    </row>
    <row r="84" spans="2:59" ht="15.75" hidden="1" customHeight="1" thickBot="1" x14ac:dyDescent="0.25">
      <c r="B84" s="2771" t="s">
        <v>1525</v>
      </c>
      <c r="C84" s="1598" t="s">
        <v>170</v>
      </c>
      <c r="D84" s="8580"/>
      <c r="E84" s="8581"/>
      <c r="F84" s="8580"/>
      <c r="G84" s="8581"/>
      <c r="H84" s="8597">
        <f t="shared" si="431"/>
        <v>0</v>
      </c>
      <c r="I84" s="8598"/>
      <c r="J84" s="8580"/>
      <c r="K84" s="8581"/>
      <c r="L84" s="8533">
        <f t="shared" si="432"/>
        <v>0</v>
      </c>
      <c r="M84" s="8534"/>
      <c r="N84" s="8580"/>
      <c r="O84" s="8581"/>
      <c r="P84" s="8597">
        <f t="shared" si="433"/>
        <v>0</v>
      </c>
      <c r="Q84" s="8598"/>
      <c r="R84" s="8580"/>
      <c r="S84" s="8581"/>
      <c r="T84" s="8597">
        <f t="shared" si="434"/>
        <v>0</v>
      </c>
      <c r="U84" s="8598"/>
      <c r="V84" s="8580"/>
      <c r="W84" s="8581"/>
      <c r="X84" s="8533">
        <f t="shared" si="435"/>
        <v>0</v>
      </c>
      <c r="Y84" s="8534"/>
      <c r="Z84" s="8529">
        <f t="shared" si="436"/>
        <v>0</v>
      </c>
      <c r="AA84" s="8530"/>
      <c r="AB84" s="8580"/>
      <c r="AC84" s="8581"/>
      <c r="AD84" s="8597">
        <f t="shared" si="437"/>
        <v>0</v>
      </c>
      <c r="AE84" s="8598"/>
      <c r="AF84" s="8580"/>
      <c r="AG84" s="8581"/>
      <c r="AH84" s="8597">
        <f t="shared" si="438"/>
        <v>0</v>
      </c>
      <c r="AI84" s="8598"/>
      <c r="AJ84" s="8580"/>
      <c r="AK84" s="8581"/>
      <c r="AL84" s="8533"/>
      <c r="AM84" s="8534"/>
      <c r="AN84" s="8597">
        <f t="shared" si="439"/>
        <v>0</v>
      </c>
      <c r="AO84" s="8598"/>
      <c r="AP84" s="8580"/>
      <c r="AQ84" s="8581"/>
      <c r="AR84" s="8597">
        <f t="shared" si="440"/>
        <v>0</v>
      </c>
      <c r="AS84" s="8651"/>
      <c r="AT84" s="8580"/>
      <c r="AU84" s="8581"/>
      <c r="AV84" s="8245">
        <f t="shared" si="441"/>
        <v>0</v>
      </c>
      <c r="AW84" s="8245"/>
      <c r="AX84" s="8245"/>
      <c r="AY84" s="8245"/>
      <c r="AZ84" s="8533"/>
      <c r="BA84" s="8534"/>
      <c r="BB84" s="8533"/>
      <c r="BC84" s="8534"/>
      <c r="BD84" s="8529"/>
      <c r="BE84" s="8530"/>
      <c r="BF84" s="5345"/>
      <c r="BG84" s="5345"/>
    </row>
    <row r="85" spans="2:59" ht="15.75" hidden="1" customHeight="1" thickBot="1" x14ac:dyDescent="0.25">
      <c r="B85" s="2772" t="s">
        <v>1567</v>
      </c>
      <c r="C85" s="1598" t="s">
        <v>170</v>
      </c>
      <c r="D85" s="8580"/>
      <c r="E85" s="8581"/>
      <c r="F85" s="8580"/>
      <c r="G85" s="8581"/>
      <c r="H85" s="8597">
        <f t="shared" si="431"/>
        <v>0</v>
      </c>
      <c r="I85" s="8598"/>
      <c r="J85" s="8580"/>
      <c r="K85" s="8581"/>
      <c r="L85" s="8533">
        <f t="shared" si="432"/>
        <v>0</v>
      </c>
      <c r="M85" s="8534"/>
      <c r="N85" s="8580"/>
      <c r="O85" s="8581"/>
      <c r="P85" s="8597">
        <f t="shared" si="433"/>
        <v>0</v>
      </c>
      <c r="Q85" s="8598"/>
      <c r="R85" s="8580"/>
      <c r="S85" s="8581"/>
      <c r="T85" s="8597">
        <f t="shared" si="434"/>
        <v>0</v>
      </c>
      <c r="U85" s="8598"/>
      <c r="V85" s="8580"/>
      <c r="W85" s="8581"/>
      <c r="X85" s="8533">
        <f t="shared" si="435"/>
        <v>0</v>
      </c>
      <c r="Y85" s="8534"/>
      <c r="Z85" s="8529">
        <f t="shared" si="436"/>
        <v>0</v>
      </c>
      <c r="AA85" s="8530"/>
      <c r="AB85" s="8580"/>
      <c r="AC85" s="8581"/>
      <c r="AD85" s="8597">
        <f t="shared" si="437"/>
        <v>0</v>
      </c>
      <c r="AE85" s="8598"/>
      <c r="AF85" s="8580"/>
      <c r="AG85" s="8581"/>
      <c r="AH85" s="8597">
        <f t="shared" si="438"/>
        <v>0</v>
      </c>
      <c r="AI85" s="8598"/>
      <c r="AJ85" s="8580"/>
      <c r="AK85" s="8581"/>
      <c r="AL85" s="8533"/>
      <c r="AM85" s="8534"/>
      <c r="AN85" s="8597">
        <f t="shared" si="439"/>
        <v>0</v>
      </c>
      <c r="AO85" s="8598"/>
      <c r="AP85" s="8580"/>
      <c r="AQ85" s="8581"/>
      <c r="AR85" s="8597">
        <f t="shared" si="440"/>
        <v>0</v>
      </c>
      <c r="AS85" s="8651"/>
      <c r="AT85" s="8580"/>
      <c r="AU85" s="8581"/>
      <c r="AV85" s="8245">
        <f t="shared" si="441"/>
        <v>0</v>
      </c>
      <c r="AW85" s="8245"/>
      <c r="AX85" s="8245"/>
      <c r="AY85" s="8245"/>
      <c r="AZ85" s="8533"/>
      <c r="BA85" s="8534"/>
      <c r="BB85" s="8533"/>
      <c r="BC85" s="8534"/>
      <c r="BD85" s="8529"/>
      <c r="BE85" s="8530"/>
      <c r="BF85" s="5345"/>
      <c r="BG85" s="5345"/>
    </row>
    <row r="86" spans="2:59" ht="15.75" hidden="1" customHeight="1" thickBot="1" x14ac:dyDescent="0.25">
      <c r="B86" s="2772" t="s">
        <v>1694</v>
      </c>
      <c r="C86" s="1598" t="s">
        <v>170</v>
      </c>
      <c r="D86" s="4912"/>
      <c r="E86" s="4913"/>
      <c r="F86" s="4912"/>
      <c r="G86" s="4913"/>
      <c r="H86" s="8597">
        <f t="shared" si="431"/>
        <v>0</v>
      </c>
      <c r="I86" s="8598"/>
      <c r="J86" s="4912"/>
      <c r="K86" s="4913"/>
      <c r="L86" s="8533">
        <f t="shared" si="432"/>
        <v>0</v>
      </c>
      <c r="M86" s="8534"/>
      <c r="N86" s="4912"/>
      <c r="O86" s="4913"/>
      <c r="P86" s="8597">
        <f t="shared" si="433"/>
        <v>0</v>
      </c>
      <c r="Q86" s="8598"/>
      <c r="R86" s="4912"/>
      <c r="S86" s="4913"/>
      <c r="T86" s="8597">
        <f t="shared" si="434"/>
        <v>0</v>
      </c>
      <c r="U86" s="8598"/>
      <c r="V86" s="4912"/>
      <c r="W86" s="4913"/>
      <c r="X86" s="8533">
        <f t="shared" si="435"/>
        <v>0</v>
      </c>
      <c r="Y86" s="8534"/>
      <c r="Z86" s="8529">
        <f t="shared" si="436"/>
        <v>0</v>
      </c>
      <c r="AA86" s="8530"/>
      <c r="AB86" s="4912"/>
      <c r="AC86" s="4913"/>
      <c r="AD86" s="8597">
        <f t="shared" si="437"/>
        <v>0</v>
      </c>
      <c r="AE86" s="8598"/>
      <c r="AF86" s="4912"/>
      <c r="AG86" s="4913"/>
      <c r="AH86" s="8597">
        <f t="shared" si="438"/>
        <v>0</v>
      </c>
      <c r="AI86" s="8598"/>
      <c r="AJ86" s="4912"/>
      <c r="AK86" s="4913"/>
      <c r="AL86" s="8533"/>
      <c r="AM86" s="8534"/>
      <c r="AN86" s="8597">
        <f t="shared" si="439"/>
        <v>0</v>
      </c>
      <c r="AO86" s="8598"/>
      <c r="AP86" s="4912"/>
      <c r="AQ86" s="4913"/>
      <c r="AR86" s="8597">
        <f t="shared" si="440"/>
        <v>0</v>
      </c>
      <c r="AS86" s="8651"/>
      <c r="AT86" s="4912"/>
      <c r="AU86" s="4913"/>
      <c r="AV86" s="8245">
        <f t="shared" si="441"/>
        <v>0</v>
      </c>
      <c r="AW86" s="8245"/>
      <c r="AX86" s="8245"/>
      <c r="AY86" s="8245"/>
      <c r="AZ86" s="8533"/>
      <c r="BA86" s="8534"/>
      <c r="BB86" s="8533"/>
      <c r="BC86" s="8534"/>
      <c r="BD86" s="8529"/>
      <c r="BE86" s="8530"/>
      <c r="BF86" s="5345"/>
      <c r="BG86" s="5345"/>
    </row>
    <row r="87" spans="2:59" ht="16.5" hidden="1" customHeight="1" thickBot="1" x14ac:dyDescent="0.25">
      <c r="B87" s="2772" t="s">
        <v>1585</v>
      </c>
      <c r="C87" s="1598" t="s">
        <v>170</v>
      </c>
      <c r="D87" s="8586"/>
      <c r="E87" s="8587"/>
      <c r="F87" s="8586"/>
      <c r="G87" s="8587"/>
      <c r="H87" s="8601">
        <f t="shared" si="431"/>
        <v>0</v>
      </c>
      <c r="I87" s="8602"/>
      <c r="J87" s="8586"/>
      <c r="K87" s="8587"/>
      <c r="L87" s="8559">
        <f t="shared" si="432"/>
        <v>0</v>
      </c>
      <c r="M87" s="8560"/>
      <c r="N87" s="8586"/>
      <c r="O87" s="8587"/>
      <c r="P87" s="8601">
        <f t="shared" si="433"/>
        <v>0</v>
      </c>
      <c r="Q87" s="8602"/>
      <c r="R87" s="8586"/>
      <c r="S87" s="8587"/>
      <c r="T87" s="8601">
        <f t="shared" si="434"/>
        <v>0</v>
      </c>
      <c r="U87" s="8602"/>
      <c r="V87" s="8586"/>
      <c r="W87" s="8587"/>
      <c r="X87" s="8559">
        <f t="shared" si="435"/>
        <v>0</v>
      </c>
      <c r="Y87" s="8560"/>
      <c r="Z87" s="8531">
        <f t="shared" si="436"/>
        <v>0</v>
      </c>
      <c r="AA87" s="8532"/>
      <c r="AB87" s="8586"/>
      <c r="AC87" s="8587"/>
      <c r="AD87" s="8601">
        <f t="shared" si="437"/>
        <v>0</v>
      </c>
      <c r="AE87" s="8602"/>
      <c r="AF87" s="8586"/>
      <c r="AG87" s="8587"/>
      <c r="AH87" s="8601">
        <f t="shared" si="438"/>
        <v>0</v>
      </c>
      <c r="AI87" s="8602"/>
      <c r="AJ87" s="8586"/>
      <c r="AK87" s="8587"/>
      <c r="AL87" s="8559"/>
      <c r="AM87" s="8560"/>
      <c r="AN87" s="8601">
        <f t="shared" si="439"/>
        <v>0</v>
      </c>
      <c r="AO87" s="8602"/>
      <c r="AP87" s="8586"/>
      <c r="AQ87" s="8587"/>
      <c r="AR87" s="8601">
        <f t="shared" si="440"/>
        <v>0</v>
      </c>
      <c r="AS87" s="8660"/>
      <c r="AT87" s="8586"/>
      <c r="AU87" s="8587"/>
      <c r="AV87" s="8245">
        <f t="shared" si="441"/>
        <v>0</v>
      </c>
      <c r="AW87" s="8245"/>
      <c r="AX87" s="8245"/>
      <c r="AY87" s="8245"/>
      <c r="AZ87" s="8559"/>
      <c r="BA87" s="8560"/>
      <c r="BB87" s="8559"/>
      <c r="BC87" s="8560"/>
      <c r="BD87" s="8531"/>
      <c r="BE87" s="8532"/>
      <c r="BF87" s="5345"/>
      <c r="BG87" s="5345"/>
    </row>
    <row r="88" spans="2:59" ht="15.75" hidden="1" customHeight="1" thickBot="1" x14ac:dyDescent="0.25">
      <c r="B88" s="2772" t="s">
        <v>1565</v>
      </c>
      <c r="C88" s="1598" t="s">
        <v>170</v>
      </c>
      <c r="D88" s="8580"/>
      <c r="E88" s="8581"/>
      <c r="F88" s="8580"/>
      <c r="G88" s="8581"/>
      <c r="H88" s="8597">
        <f t="shared" si="431"/>
        <v>0</v>
      </c>
      <c r="I88" s="8598"/>
      <c r="J88" s="8580"/>
      <c r="K88" s="8581"/>
      <c r="L88" s="8533">
        <f t="shared" si="432"/>
        <v>0</v>
      </c>
      <c r="M88" s="8534"/>
      <c r="N88" s="8580"/>
      <c r="O88" s="8581"/>
      <c r="P88" s="8597">
        <f t="shared" si="433"/>
        <v>0</v>
      </c>
      <c r="Q88" s="8598"/>
      <c r="R88" s="8580"/>
      <c r="S88" s="8581"/>
      <c r="T88" s="8597">
        <f t="shared" si="434"/>
        <v>0</v>
      </c>
      <c r="U88" s="8598"/>
      <c r="V88" s="8580"/>
      <c r="W88" s="8581"/>
      <c r="X88" s="8533">
        <f t="shared" si="435"/>
        <v>0</v>
      </c>
      <c r="Y88" s="8534"/>
      <c r="Z88" s="8529">
        <f t="shared" si="436"/>
        <v>0</v>
      </c>
      <c r="AA88" s="8530"/>
      <c r="AB88" s="8580"/>
      <c r="AC88" s="8581"/>
      <c r="AD88" s="8597">
        <f t="shared" si="437"/>
        <v>0</v>
      </c>
      <c r="AE88" s="8598"/>
      <c r="AF88" s="8580"/>
      <c r="AG88" s="8581"/>
      <c r="AH88" s="8597">
        <f t="shared" si="438"/>
        <v>0</v>
      </c>
      <c r="AI88" s="8598"/>
      <c r="AJ88" s="8580"/>
      <c r="AK88" s="8581"/>
      <c r="AL88" s="8533"/>
      <c r="AM88" s="8534"/>
      <c r="AN88" s="8597">
        <f t="shared" si="439"/>
        <v>0</v>
      </c>
      <c r="AO88" s="8598"/>
      <c r="AP88" s="8580"/>
      <c r="AQ88" s="8581"/>
      <c r="AR88" s="8597">
        <f t="shared" si="440"/>
        <v>0</v>
      </c>
      <c r="AS88" s="8651"/>
      <c r="AT88" s="8580"/>
      <c r="AU88" s="8581"/>
      <c r="AV88" s="8245">
        <f t="shared" si="441"/>
        <v>0</v>
      </c>
      <c r="AW88" s="8245"/>
      <c r="AX88" s="8245"/>
      <c r="AY88" s="8245"/>
      <c r="AZ88" s="8533"/>
      <c r="BA88" s="8534"/>
      <c r="BB88" s="8533"/>
      <c r="BC88" s="8534"/>
      <c r="BD88" s="8529"/>
      <c r="BE88" s="8530"/>
      <c r="BF88" s="5345"/>
      <c r="BG88" s="5345"/>
    </row>
    <row r="89" spans="2:59" ht="15.75" hidden="1" customHeight="1" thickBot="1" x14ac:dyDescent="0.25">
      <c r="B89" s="2772" t="s">
        <v>1566</v>
      </c>
      <c r="C89" s="1598" t="s">
        <v>170</v>
      </c>
      <c r="D89" s="8580"/>
      <c r="E89" s="8581"/>
      <c r="F89" s="8580"/>
      <c r="G89" s="8581"/>
      <c r="H89" s="8597">
        <f t="shared" si="431"/>
        <v>0</v>
      </c>
      <c r="I89" s="8598"/>
      <c r="J89" s="8580"/>
      <c r="K89" s="8581"/>
      <c r="L89" s="8533">
        <f t="shared" si="432"/>
        <v>0</v>
      </c>
      <c r="M89" s="8534"/>
      <c r="N89" s="8580"/>
      <c r="O89" s="8581"/>
      <c r="P89" s="8597">
        <f t="shared" si="433"/>
        <v>0</v>
      </c>
      <c r="Q89" s="8598"/>
      <c r="R89" s="8580"/>
      <c r="S89" s="8581"/>
      <c r="T89" s="8597">
        <f t="shared" si="434"/>
        <v>0</v>
      </c>
      <c r="U89" s="8598"/>
      <c r="V89" s="8580"/>
      <c r="W89" s="8581"/>
      <c r="X89" s="8533">
        <f t="shared" si="435"/>
        <v>0</v>
      </c>
      <c r="Y89" s="8534"/>
      <c r="Z89" s="8529">
        <f t="shared" si="436"/>
        <v>0</v>
      </c>
      <c r="AA89" s="8530"/>
      <c r="AB89" s="8580"/>
      <c r="AC89" s="8581"/>
      <c r="AD89" s="8597">
        <f t="shared" si="437"/>
        <v>0</v>
      </c>
      <c r="AE89" s="8598"/>
      <c r="AF89" s="8580"/>
      <c r="AG89" s="8581"/>
      <c r="AH89" s="8597">
        <f t="shared" si="438"/>
        <v>0</v>
      </c>
      <c r="AI89" s="8598"/>
      <c r="AJ89" s="8580"/>
      <c r="AK89" s="8581"/>
      <c r="AL89" s="8533"/>
      <c r="AM89" s="8534"/>
      <c r="AN89" s="8597">
        <f t="shared" si="439"/>
        <v>0</v>
      </c>
      <c r="AO89" s="8598"/>
      <c r="AP89" s="8580"/>
      <c r="AQ89" s="8581"/>
      <c r="AR89" s="8597">
        <f t="shared" si="440"/>
        <v>0</v>
      </c>
      <c r="AS89" s="8651"/>
      <c r="AT89" s="8580"/>
      <c r="AU89" s="8581"/>
      <c r="AV89" s="8245">
        <f t="shared" si="441"/>
        <v>0</v>
      </c>
      <c r="AW89" s="8245"/>
      <c r="AX89" s="8245"/>
      <c r="AY89" s="8245"/>
      <c r="AZ89" s="8533"/>
      <c r="BA89" s="8534"/>
      <c r="BB89" s="8533"/>
      <c r="BC89" s="8534"/>
      <c r="BD89" s="8529"/>
      <c r="BE89" s="8530"/>
      <c r="BF89" s="5345"/>
      <c r="BG89" s="5345"/>
    </row>
    <row r="90" spans="2:59" ht="15.75" hidden="1" customHeight="1" thickBot="1" x14ac:dyDescent="0.25">
      <c r="B90" s="2772" t="s">
        <v>1731</v>
      </c>
      <c r="C90" s="1598" t="s">
        <v>170</v>
      </c>
      <c r="D90" s="5166"/>
      <c r="E90" s="5167"/>
      <c r="F90" s="5166"/>
      <c r="G90" s="5167"/>
      <c r="H90" s="8597">
        <f t="shared" ref="H90" si="442">+D90+F90</f>
        <v>0</v>
      </c>
      <c r="I90" s="8598"/>
      <c r="J90" s="5675"/>
      <c r="K90" s="5676"/>
      <c r="L90" s="8533">
        <f t="shared" si="432"/>
        <v>0</v>
      </c>
      <c r="M90" s="8534"/>
      <c r="N90" s="5878"/>
      <c r="O90" s="5879"/>
      <c r="P90" s="2983"/>
      <c r="Q90" s="5165"/>
      <c r="R90" s="6312"/>
      <c r="S90" s="6313"/>
      <c r="T90" s="2983"/>
      <c r="U90" s="6318"/>
      <c r="V90" s="6476"/>
      <c r="W90" s="6477"/>
      <c r="X90" s="8533">
        <f t="shared" si="435"/>
        <v>0</v>
      </c>
      <c r="Y90" s="8534"/>
      <c r="Z90" s="6542"/>
      <c r="AA90" s="6543"/>
      <c r="AB90" s="7287"/>
      <c r="AC90" s="7288"/>
      <c r="AD90" s="2983"/>
      <c r="AE90" s="7296"/>
      <c r="AF90" s="7546"/>
      <c r="AG90" s="7547"/>
      <c r="AH90" s="2983"/>
      <c r="AI90" s="7550"/>
      <c r="AJ90" s="7687"/>
      <c r="AK90" s="7688"/>
      <c r="AL90" s="8533"/>
      <c r="AM90" s="8534"/>
      <c r="AN90" s="2983"/>
      <c r="AO90" s="7691"/>
      <c r="AP90" s="8014"/>
      <c r="AQ90" s="8015"/>
      <c r="AR90" s="2983"/>
      <c r="AS90" s="8244"/>
      <c r="AT90" s="8213"/>
      <c r="AU90" s="8214"/>
      <c r="AV90" s="8245"/>
      <c r="AW90" s="8245"/>
      <c r="AX90" s="8245"/>
      <c r="AY90" s="8245"/>
      <c r="AZ90" s="8533"/>
      <c r="BA90" s="8534"/>
      <c r="BB90" s="8533"/>
      <c r="BC90" s="8534"/>
      <c r="BD90" s="6542"/>
      <c r="BE90" s="8276"/>
      <c r="BF90" s="5345"/>
      <c r="BG90" s="5345"/>
    </row>
    <row r="91" spans="2:59" ht="15.75" hidden="1" customHeight="1" thickBot="1" x14ac:dyDescent="0.25">
      <c r="B91" s="2772" t="s">
        <v>1581</v>
      </c>
      <c r="C91" s="1598" t="s">
        <v>170</v>
      </c>
      <c r="D91" s="8580"/>
      <c r="E91" s="8581"/>
      <c r="F91" s="8580"/>
      <c r="G91" s="8581"/>
      <c r="H91" s="8597">
        <f t="shared" ref="H91" si="443">+D91+F91</f>
        <v>0</v>
      </c>
      <c r="I91" s="8598"/>
      <c r="J91" s="8580"/>
      <c r="K91" s="8581"/>
      <c r="L91" s="8533">
        <f t="shared" si="432"/>
        <v>0</v>
      </c>
      <c r="M91" s="8534"/>
      <c r="N91" s="8580"/>
      <c r="O91" s="8581"/>
      <c r="P91" s="8597">
        <f t="shared" ref="P91" si="444">+L91+N91</f>
        <v>0</v>
      </c>
      <c r="Q91" s="8598"/>
      <c r="R91" s="8580"/>
      <c r="S91" s="8581"/>
      <c r="T91" s="8597">
        <f t="shared" ref="T91:T102" si="445">+P91+R91</f>
        <v>0</v>
      </c>
      <c r="U91" s="8598"/>
      <c r="V91" s="8580"/>
      <c r="W91" s="8581"/>
      <c r="X91" s="8533">
        <f t="shared" si="435"/>
        <v>0</v>
      </c>
      <c r="Y91" s="8534"/>
      <c r="Z91" s="8529">
        <f t="shared" ref="Z91:Z102" si="446">+T91+V91</f>
        <v>0</v>
      </c>
      <c r="AA91" s="8530"/>
      <c r="AB91" s="8580"/>
      <c r="AC91" s="8581"/>
      <c r="AD91" s="8597">
        <f t="shared" ref="AD91:AD102" si="447">+Z91+AB91</f>
        <v>0</v>
      </c>
      <c r="AE91" s="8598"/>
      <c r="AF91" s="8580"/>
      <c r="AG91" s="8581"/>
      <c r="AH91" s="8597">
        <f t="shared" ref="AH91:AH102" si="448">+AD91+AF91</f>
        <v>0</v>
      </c>
      <c r="AI91" s="8598"/>
      <c r="AJ91" s="8580"/>
      <c r="AK91" s="8581"/>
      <c r="AL91" s="8533"/>
      <c r="AM91" s="8534"/>
      <c r="AN91" s="8597">
        <f t="shared" ref="AN91:AN102" si="449">+AH91+AJ91</f>
        <v>0</v>
      </c>
      <c r="AO91" s="8598"/>
      <c r="AP91" s="8580"/>
      <c r="AQ91" s="8581"/>
      <c r="AR91" s="8597">
        <f t="shared" ref="AR91:AR102" si="450">+AN91+AP91</f>
        <v>0</v>
      </c>
      <c r="AS91" s="8651"/>
      <c r="AT91" s="8580"/>
      <c r="AU91" s="8581"/>
      <c r="AV91" s="8245">
        <f t="shared" ref="AV91:AV102" si="451">+AR91+AT91</f>
        <v>0</v>
      </c>
      <c r="AW91" s="8245"/>
      <c r="AX91" s="8245"/>
      <c r="AY91" s="8245"/>
      <c r="AZ91" s="8533"/>
      <c r="BA91" s="8534"/>
      <c r="BB91" s="8533"/>
      <c r="BC91" s="8534"/>
      <c r="BD91" s="8529"/>
      <c r="BE91" s="8530"/>
      <c r="BF91" s="5345"/>
      <c r="BG91" s="5345"/>
    </row>
    <row r="92" spans="2:59" ht="15.75" hidden="1" customHeight="1" thickBot="1" x14ac:dyDescent="0.25">
      <c r="B92" s="2772" t="s">
        <v>1564</v>
      </c>
      <c r="C92" s="1598" t="s">
        <v>170</v>
      </c>
      <c r="D92" s="8580"/>
      <c r="E92" s="8581"/>
      <c r="F92" s="8580"/>
      <c r="G92" s="8581"/>
      <c r="H92" s="8597">
        <f t="shared" si="431"/>
        <v>0</v>
      </c>
      <c r="I92" s="8598"/>
      <c r="J92" s="8580"/>
      <c r="K92" s="8581"/>
      <c r="L92" s="8533">
        <f t="shared" si="432"/>
        <v>0</v>
      </c>
      <c r="M92" s="8534"/>
      <c r="N92" s="8580"/>
      <c r="O92" s="8581"/>
      <c r="P92" s="8597">
        <f t="shared" si="433"/>
        <v>0</v>
      </c>
      <c r="Q92" s="8598"/>
      <c r="R92" s="8580"/>
      <c r="S92" s="8581"/>
      <c r="T92" s="8597">
        <f t="shared" si="445"/>
        <v>0</v>
      </c>
      <c r="U92" s="8598"/>
      <c r="V92" s="8580"/>
      <c r="W92" s="8581"/>
      <c r="X92" s="8533">
        <f t="shared" si="435"/>
        <v>0</v>
      </c>
      <c r="Y92" s="8534"/>
      <c r="Z92" s="8529">
        <f t="shared" si="446"/>
        <v>0</v>
      </c>
      <c r="AA92" s="8530"/>
      <c r="AB92" s="8580"/>
      <c r="AC92" s="8581"/>
      <c r="AD92" s="8597">
        <f t="shared" si="447"/>
        <v>0</v>
      </c>
      <c r="AE92" s="8598"/>
      <c r="AF92" s="8580"/>
      <c r="AG92" s="8581"/>
      <c r="AH92" s="8597">
        <f t="shared" si="448"/>
        <v>0</v>
      </c>
      <c r="AI92" s="8598"/>
      <c r="AJ92" s="8580"/>
      <c r="AK92" s="8581"/>
      <c r="AL92" s="8533"/>
      <c r="AM92" s="8534"/>
      <c r="AN92" s="8597">
        <f t="shared" si="449"/>
        <v>0</v>
      </c>
      <c r="AO92" s="8598"/>
      <c r="AP92" s="8580"/>
      <c r="AQ92" s="8581"/>
      <c r="AR92" s="8597">
        <f t="shared" si="450"/>
        <v>0</v>
      </c>
      <c r="AS92" s="8651"/>
      <c r="AT92" s="8580"/>
      <c r="AU92" s="8581"/>
      <c r="AV92" s="8245">
        <f t="shared" si="451"/>
        <v>0</v>
      </c>
      <c r="AW92" s="8245"/>
      <c r="AX92" s="8245"/>
      <c r="AY92" s="8245"/>
      <c r="AZ92" s="8533"/>
      <c r="BA92" s="8534"/>
      <c r="BB92" s="8533"/>
      <c r="BC92" s="8534"/>
      <c r="BD92" s="8529"/>
      <c r="BE92" s="8530"/>
      <c r="BF92" s="5345"/>
      <c r="BG92" s="5345"/>
    </row>
    <row r="93" spans="2:59" ht="16.5" hidden="1" customHeight="1" thickBot="1" x14ac:dyDescent="0.25">
      <c r="B93" s="2772" t="s">
        <v>1582</v>
      </c>
      <c r="C93" s="1598" t="s">
        <v>170</v>
      </c>
      <c r="D93" s="8586"/>
      <c r="E93" s="8587"/>
      <c r="F93" s="8586"/>
      <c r="G93" s="8587"/>
      <c r="H93" s="8601">
        <f t="shared" si="431"/>
        <v>0</v>
      </c>
      <c r="I93" s="8602"/>
      <c r="J93" s="8586"/>
      <c r="K93" s="8587"/>
      <c r="L93" s="8559">
        <f t="shared" si="432"/>
        <v>0</v>
      </c>
      <c r="M93" s="8560"/>
      <c r="N93" s="8586"/>
      <c r="O93" s="8587"/>
      <c r="P93" s="8601">
        <f t="shared" si="433"/>
        <v>0</v>
      </c>
      <c r="Q93" s="8602"/>
      <c r="R93" s="8586"/>
      <c r="S93" s="8587"/>
      <c r="T93" s="8601">
        <f t="shared" si="445"/>
        <v>0</v>
      </c>
      <c r="U93" s="8602"/>
      <c r="V93" s="8586"/>
      <c r="W93" s="8587"/>
      <c r="X93" s="8559">
        <f t="shared" si="435"/>
        <v>0</v>
      </c>
      <c r="Y93" s="8560"/>
      <c r="Z93" s="8531">
        <f t="shared" si="446"/>
        <v>0</v>
      </c>
      <c r="AA93" s="8532"/>
      <c r="AB93" s="8586"/>
      <c r="AC93" s="8587"/>
      <c r="AD93" s="8601">
        <f t="shared" si="447"/>
        <v>0</v>
      </c>
      <c r="AE93" s="8602"/>
      <c r="AF93" s="8586"/>
      <c r="AG93" s="8587"/>
      <c r="AH93" s="8601">
        <f t="shared" si="448"/>
        <v>0</v>
      </c>
      <c r="AI93" s="8602"/>
      <c r="AJ93" s="8586"/>
      <c r="AK93" s="8587"/>
      <c r="AL93" s="8559"/>
      <c r="AM93" s="8560"/>
      <c r="AN93" s="8601">
        <f t="shared" si="449"/>
        <v>0</v>
      </c>
      <c r="AO93" s="8602"/>
      <c r="AP93" s="8586"/>
      <c r="AQ93" s="8587"/>
      <c r="AR93" s="8601">
        <f t="shared" si="450"/>
        <v>0</v>
      </c>
      <c r="AS93" s="8660"/>
      <c r="AT93" s="8586"/>
      <c r="AU93" s="8587"/>
      <c r="AV93" s="8245">
        <f t="shared" si="451"/>
        <v>0</v>
      </c>
      <c r="AW93" s="8245"/>
      <c r="AX93" s="8245"/>
      <c r="AY93" s="8245"/>
      <c r="AZ93" s="8559"/>
      <c r="BA93" s="8560"/>
      <c r="BB93" s="8559"/>
      <c r="BC93" s="8560"/>
      <c r="BD93" s="8531"/>
      <c r="BE93" s="8532"/>
      <c r="BF93" s="5345"/>
      <c r="BG93" s="5345"/>
    </row>
    <row r="94" spans="2:59" ht="15.75" hidden="1" customHeight="1" thickBot="1" x14ac:dyDescent="0.25">
      <c r="B94" s="2772" t="s">
        <v>1655</v>
      </c>
      <c r="C94" s="1598" t="s">
        <v>170</v>
      </c>
      <c r="D94" s="8580"/>
      <c r="E94" s="8581"/>
      <c r="F94" s="8580"/>
      <c r="G94" s="8581"/>
      <c r="H94" s="8597">
        <f t="shared" si="431"/>
        <v>0</v>
      </c>
      <c r="I94" s="8598"/>
      <c r="J94" s="8580"/>
      <c r="K94" s="8581"/>
      <c r="L94" s="8533">
        <f t="shared" si="432"/>
        <v>0</v>
      </c>
      <c r="M94" s="8534"/>
      <c r="N94" s="8580"/>
      <c r="O94" s="8581"/>
      <c r="P94" s="8597">
        <f t="shared" si="433"/>
        <v>0</v>
      </c>
      <c r="Q94" s="8598"/>
      <c r="R94" s="8580"/>
      <c r="S94" s="8581"/>
      <c r="T94" s="8597">
        <f t="shared" si="445"/>
        <v>0</v>
      </c>
      <c r="U94" s="8598"/>
      <c r="V94" s="8580"/>
      <c r="W94" s="8581"/>
      <c r="X94" s="8533">
        <f t="shared" si="435"/>
        <v>0</v>
      </c>
      <c r="Y94" s="8534"/>
      <c r="Z94" s="8529">
        <f t="shared" si="446"/>
        <v>0</v>
      </c>
      <c r="AA94" s="8530"/>
      <c r="AB94" s="8580"/>
      <c r="AC94" s="8581"/>
      <c r="AD94" s="8597">
        <f t="shared" si="447"/>
        <v>0</v>
      </c>
      <c r="AE94" s="8598"/>
      <c r="AF94" s="8580"/>
      <c r="AG94" s="8581"/>
      <c r="AH94" s="8597">
        <f t="shared" si="448"/>
        <v>0</v>
      </c>
      <c r="AI94" s="8598"/>
      <c r="AJ94" s="8580"/>
      <c r="AK94" s="8581"/>
      <c r="AL94" s="8533"/>
      <c r="AM94" s="8534"/>
      <c r="AN94" s="8597">
        <f t="shared" si="449"/>
        <v>0</v>
      </c>
      <c r="AO94" s="8598"/>
      <c r="AP94" s="8580"/>
      <c r="AQ94" s="8581"/>
      <c r="AR94" s="8597">
        <f t="shared" si="450"/>
        <v>0</v>
      </c>
      <c r="AS94" s="8651"/>
      <c r="AT94" s="8580"/>
      <c r="AU94" s="8581"/>
      <c r="AV94" s="8245">
        <f t="shared" si="451"/>
        <v>0</v>
      </c>
      <c r="AW94" s="8245"/>
      <c r="AX94" s="8245"/>
      <c r="AY94" s="8245"/>
      <c r="AZ94" s="8533"/>
      <c r="BA94" s="8534"/>
      <c r="BB94" s="8533"/>
      <c r="BC94" s="8534"/>
      <c r="BD94" s="8529"/>
      <c r="BE94" s="8530"/>
      <c r="BF94" s="5345"/>
      <c r="BG94" s="5345"/>
    </row>
    <row r="95" spans="2:59" ht="15.75" hidden="1" customHeight="1" thickBot="1" x14ac:dyDescent="0.25">
      <c r="B95" s="2772" t="s">
        <v>1526</v>
      </c>
      <c r="C95" s="1598" t="s">
        <v>170</v>
      </c>
      <c r="D95" s="8580"/>
      <c r="E95" s="8581"/>
      <c r="F95" s="8580"/>
      <c r="G95" s="8581"/>
      <c r="H95" s="8597">
        <f>+D95+F95</f>
        <v>0</v>
      </c>
      <c r="I95" s="8598"/>
      <c r="J95" s="8580"/>
      <c r="K95" s="8581"/>
      <c r="L95" s="8533">
        <f>+D95+F95+J95</f>
        <v>0</v>
      </c>
      <c r="M95" s="8534"/>
      <c r="N95" s="8580"/>
      <c r="O95" s="8581"/>
      <c r="P95" s="8597">
        <f t="shared" si="433"/>
        <v>0</v>
      </c>
      <c r="Q95" s="8598"/>
      <c r="R95" s="8580"/>
      <c r="S95" s="8581"/>
      <c r="T95" s="8597">
        <f t="shared" si="445"/>
        <v>0</v>
      </c>
      <c r="U95" s="8598"/>
      <c r="V95" s="8580"/>
      <c r="W95" s="8581"/>
      <c r="X95" s="8533">
        <f>+P95+R95+V95</f>
        <v>0</v>
      </c>
      <c r="Y95" s="8534"/>
      <c r="Z95" s="8529">
        <f t="shared" si="446"/>
        <v>0</v>
      </c>
      <c r="AA95" s="8530"/>
      <c r="AB95" s="8580"/>
      <c r="AC95" s="8581"/>
      <c r="AD95" s="8597">
        <f t="shared" si="447"/>
        <v>0</v>
      </c>
      <c r="AE95" s="8598"/>
      <c r="AF95" s="8580"/>
      <c r="AG95" s="8581"/>
      <c r="AH95" s="8597">
        <f t="shared" si="448"/>
        <v>0</v>
      </c>
      <c r="AI95" s="8598"/>
      <c r="AJ95" s="8580"/>
      <c r="AK95" s="8581"/>
      <c r="AL95" s="8533"/>
      <c r="AM95" s="8534"/>
      <c r="AN95" s="8597">
        <f t="shared" si="449"/>
        <v>0</v>
      </c>
      <c r="AO95" s="8598"/>
      <c r="AP95" s="8580"/>
      <c r="AQ95" s="8581"/>
      <c r="AR95" s="8597">
        <f t="shared" si="450"/>
        <v>0</v>
      </c>
      <c r="AS95" s="8651"/>
      <c r="AT95" s="8580"/>
      <c r="AU95" s="8581"/>
      <c r="AV95" s="8245">
        <f t="shared" si="451"/>
        <v>0</v>
      </c>
      <c r="AW95" s="8245"/>
      <c r="AX95" s="8245"/>
      <c r="AY95" s="8245"/>
      <c r="AZ95" s="8533"/>
      <c r="BA95" s="8534"/>
      <c r="BB95" s="8533"/>
      <c r="BC95" s="8534"/>
      <c r="BD95" s="8529"/>
      <c r="BE95" s="8530"/>
      <c r="BF95" s="5345"/>
      <c r="BG95" s="5345"/>
    </row>
    <row r="96" spans="2:59" ht="15.75" hidden="1" customHeight="1" thickBot="1" x14ac:dyDescent="0.25">
      <c r="B96" s="2772" t="s">
        <v>1527</v>
      </c>
      <c r="C96" s="1598" t="s">
        <v>170</v>
      </c>
      <c r="D96" s="8580"/>
      <c r="E96" s="8581"/>
      <c r="F96" s="8580"/>
      <c r="G96" s="8581"/>
      <c r="H96" s="8597">
        <f>+D96+F96</f>
        <v>0</v>
      </c>
      <c r="I96" s="8598"/>
      <c r="J96" s="8580"/>
      <c r="K96" s="8581"/>
      <c r="L96" s="8533">
        <f>+D96+F96+J96</f>
        <v>0</v>
      </c>
      <c r="M96" s="8534"/>
      <c r="N96" s="8580"/>
      <c r="O96" s="8581"/>
      <c r="P96" s="8597">
        <f t="shared" si="433"/>
        <v>0</v>
      </c>
      <c r="Q96" s="8598"/>
      <c r="R96" s="8580"/>
      <c r="S96" s="8581"/>
      <c r="T96" s="8597">
        <f t="shared" si="445"/>
        <v>0</v>
      </c>
      <c r="U96" s="8598"/>
      <c r="V96" s="8580"/>
      <c r="W96" s="8581"/>
      <c r="X96" s="8533">
        <f>+P96+R96+V96</f>
        <v>0</v>
      </c>
      <c r="Y96" s="8534"/>
      <c r="Z96" s="8529">
        <f t="shared" si="446"/>
        <v>0</v>
      </c>
      <c r="AA96" s="8530"/>
      <c r="AB96" s="8580"/>
      <c r="AC96" s="8581"/>
      <c r="AD96" s="8597">
        <f t="shared" si="447"/>
        <v>0</v>
      </c>
      <c r="AE96" s="8598"/>
      <c r="AF96" s="8580"/>
      <c r="AG96" s="8581"/>
      <c r="AH96" s="8597">
        <f t="shared" si="448"/>
        <v>0</v>
      </c>
      <c r="AI96" s="8598"/>
      <c r="AJ96" s="8580"/>
      <c r="AK96" s="8581"/>
      <c r="AL96" s="8533"/>
      <c r="AM96" s="8534"/>
      <c r="AN96" s="8597">
        <f t="shared" si="449"/>
        <v>0</v>
      </c>
      <c r="AO96" s="8598"/>
      <c r="AP96" s="8580"/>
      <c r="AQ96" s="8581"/>
      <c r="AR96" s="8597">
        <f t="shared" si="450"/>
        <v>0</v>
      </c>
      <c r="AS96" s="8651"/>
      <c r="AT96" s="8580"/>
      <c r="AU96" s="8581"/>
      <c r="AV96" s="8245">
        <f t="shared" si="451"/>
        <v>0</v>
      </c>
      <c r="AW96" s="8245"/>
      <c r="AX96" s="8245"/>
      <c r="AY96" s="8245"/>
      <c r="AZ96" s="8533"/>
      <c r="BA96" s="8534"/>
      <c r="BB96" s="8533"/>
      <c r="BC96" s="8534"/>
      <c r="BD96" s="8529"/>
      <c r="BE96" s="8530"/>
      <c r="BF96" s="5345"/>
      <c r="BG96" s="5345"/>
    </row>
    <row r="97" spans="2:59" ht="15.75" hidden="1" customHeight="1" thickBot="1" x14ac:dyDescent="0.25">
      <c r="B97" s="2772" t="s">
        <v>1528</v>
      </c>
      <c r="C97" s="1598" t="s">
        <v>170</v>
      </c>
      <c r="D97" s="8580"/>
      <c r="E97" s="8581"/>
      <c r="F97" s="8580"/>
      <c r="G97" s="8581"/>
      <c r="H97" s="8597">
        <f t="shared" si="431"/>
        <v>0</v>
      </c>
      <c r="I97" s="8598"/>
      <c r="J97" s="8580"/>
      <c r="K97" s="8581"/>
      <c r="L97" s="8533">
        <f t="shared" si="432"/>
        <v>0</v>
      </c>
      <c r="M97" s="8534"/>
      <c r="N97" s="8580"/>
      <c r="O97" s="8581"/>
      <c r="P97" s="8597">
        <f t="shared" si="433"/>
        <v>0</v>
      </c>
      <c r="Q97" s="8598"/>
      <c r="R97" s="8580"/>
      <c r="S97" s="8581"/>
      <c r="T97" s="8597">
        <f t="shared" si="445"/>
        <v>0</v>
      </c>
      <c r="U97" s="8598"/>
      <c r="V97" s="8580"/>
      <c r="W97" s="8581"/>
      <c r="X97" s="8533">
        <f t="shared" ref="X97:X106" si="452">+P97+R97+V97</f>
        <v>0</v>
      </c>
      <c r="Y97" s="8534"/>
      <c r="Z97" s="8529">
        <f t="shared" si="446"/>
        <v>0</v>
      </c>
      <c r="AA97" s="8530"/>
      <c r="AB97" s="8580"/>
      <c r="AC97" s="8581"/>
      <c r="AD97" s="8597">
        <f t="shared" si="447"/>
        <v>0</v>
      </c>
      <c r="AE97" s="8598"/>
      <c r="AF97" s="8580"/>
      <c r="AG97" s="8581"/>
      <c r="AH97" s="8597">
        <f t="shared" si="448"/>
        <v>0</v>
      </c>
      <c r="AI97" s="8598"/>
      <c r="AJ97" s="8580"/>
      <c r="AK97" s="8581"/>
      <c r="AL97" s="8533"/>
      <c r="AM97" s="8534"/>
      <c r="AN97" s="8597">
        <f t="shared" si="449"/>
        <v>0</v>
      </c>
      <c r="AO97" s="8598"/>
      <c r="AP97" s="8580"/>
      <c r="AQ97" s="8581"/>
      <c r="AR97" s="8597">
        <f t="shared" si="450"/>
        <v>0</v>
      </c>
      <c r="AS97" s="8651"/>
      <c r="AT97" s="8580"/>
      <c r="AU97" s="8581"/>
      <c r="AV97" s="8245">
        <f t="shared" si="451"/>
        <v>0</v>
      </c>
      <c r="AW97" s="8245"/>
      <c r="AX97" s="8245"/>
      <c r="AY97" s="8245"/>
      <c r="AZ97" s="8533"/>
      <c r="BA97" s="8534"/>
      <c r="BB97" s="8533"/>
      <c r="BC97" s="8534"/>
      <c r="BD97" s="8529"/>
      <c r="BE97" s="8530"/>
      <c r="BF97" s="5345"/>
      <c r="BG97" s="5345"/>
    </row>
    <row r="98" spans="2:59" ht="15.75" hidden="1" customHeight="1" thickBot="1" x14ac:dyDescent="0.25">
      <c r="B98" s="2772" t="s">
        <v>1656</v>
      </c>
      <c r="C98" s="1598" t="s">
        <v>170</v>
      </c>
      <c r="D98" s="8580"/>
      <c r="E98" s="8581"/>
      <c r="F98" s="8580"/>
      <c r="G98" s="8581"/>
      <c r="H98" s="8597">
        <f t="shared" si="431"/>
        <v>0</v>
      </c>
      <c r="I98" s="8598"/>
      <c r="J98" s="8580"/>
      <c r="K98" s="8581"/>
      <c r="L98" s="8533">
        <f t="shared" si="432"/>
        <v>0</v>
      </c>
      <c r="M98" s="8534"/>
      <c r="N98" s="8580"/>
      <c r="O98" s="8581"/>
      <c r="P98" s="8597">
        <f t="shared" si="433"/>
        <v>0</v>
      </c>
      <c r="Q98" s="8598"/>
      <c r="R98" s="8580"/>
      <c r="S98" s="8581"/>
      <c r="T98" s="8597">
        <f t="shared" si="445"/>
        <v>0</v>
      </c>
      <c r="U98" s="8598"/>
      <c r="V98" s="8580"/>
      <c r="W98" s="8581"/>
      <c r="X98" s="8533">
        <f t="shared" si="452"/>
        <v>0</v>
      </c>
      <c r="Y98" s="8534"/>
      <c r="Z98" s="8529">
        <f t="shared" si="446"/>
        <v>0</v>
      </c>
      <c r="AA98" s="8530"/>
      <c r="AB98" s="8580"/>
      <c r="AC98" s="8581"/>
      <c r="AD98" s="8597">
        <f t="shared" si="447"/>
        <v>0</v>
      </c>
      <c r="AE98" s="8598"/>
      <c r="AF98" s="8580"/>
      <c r="AG98" s="8581"/>
      <c r="AH98" s="8597">
        <f t="shared" si="448"/>
        <v>0</v>
      </c>
      <c r="AI98" s="8598"/>
      <c r="AJ98" s="8580"/>
      <c r="AK98" s="8581"/>
      <c r="AL98" s="8533"/>
      <c r="AM98" s="8534"/>
      <c r="AN98" s="8597">
        <f t="shared" si="449"/>
        <v>0</v>
      </c>
      <c r="AO98" s="8598"/>
      <c r="AP98" s="8580"/>
      <c r="AQ98" s="8581"/>
      <c r="AR98" s="8597">
        <f t="shared" si="450"/>
        <v>0</v>
      </c>
      <c r="AS98" s="8651"/>
      <c r="AT98" s="8580"/>
      <c r="AU98" s="8581"/>
      <c r="AV98" s="8245">
        <f t="shared" si="451"/>
        <v>0</v>
      </c>
      <c r="AW98" s="8245"/>
      <c r="AX98" s="8245"/>
      <c r="AY98" s="8245"/>
      <c r="AZ98" s="8533"/>
      <c r="BA98" s="8534"/>
      <c r="BB98" s="8533"/>
      <c r="BC98" s="8534"/>
      <c r="BD98" s="8529"/>
      <c r="BE98" s="8530"/>
      <c r="BF98" s="5345"/>
      <c r="BG98" s="5345"/>
    </row>
    <row r="99" spans="2:59" ht="15.75" hidden="1" customHeight="1" thickBot="1" x14ac:dyDescent="0.25">
      <c r="B99" s="2772" t="s">
        <v>1657</v>
      </c>
      <c r="C99" s="1598" t="s">
        <v>170</v>
      </c>
      <c r="D99" s="8580"/>
      <c r="E99" s="8581"/>
      <c r="F99" s="8580"/>
      <c r="G99" s="8581"/>
      <c r="H99" s="8597">
        <f t="shared" si="431"/>
        <v>0</v>
      </c>
      <c r="I99" s="8598"/>
      <c r="J99" s="8580"/>
      <c r="K99" s="8581"/>
      <c r="L99" s="8533">
        <f t="shared" si="432"/>
        <v>0</v>
      </c>
      <c r="M99" s="8534"/>
      <c r="N99" s="8580"/>
      <c r="O99" s="8581"/>
      <c r="P99" s="8597">
        <f t="shared" si="433"/>
        <v>0</v>
      </c>
      <c r="Q99" s="8598"/>
      <c r="R99" s="8580"/>
      <c r="S99" s="8581"/>
      <c r="T99" s="8597">
        <f t="shared" si="445"/>
        <v>0</v>
      </c>
      <c r="U99" s="8598"/>
      <c r="V99" s="8580"/>
      <c r="W99" s="8581"/>
      <c r="X99" s="8533">
        <f t="shared" si="452"/>
        <v>0</v>
      </c>
      <c r="Y99" s="8534"/>
      <c r="Z99" s="8529">
        <f t="shared" si="446"/>
        <v>0</v>
      </c>
      <c r="AA99" s="8530"/>
      <c r="AB99" s="8580"/>
      <c r="AC99" s="8581"/>
      <c r="AD99" s="8597">
        <f t="shared" si="447"/>
        <v>0</v>
      </c>
      <c r="AE99" s="8598"/>
      <c r="AF99" s="8580"/>
      <c r="AG99" s="8581"/>
      <c r="AH99" s="8597">
        <f t="shared" si="448"/>
        <v>0</v>
      </c>
      <c r="AI99" s="8598"/>
      <c r="AJ99" s="8580"/>
      <c r="AK99" s="8581"/>
      <c r="AL99" s="8533"/>
      <c r="AM99" s="8534"/>
      <c r="AN99" s="8597">
        <f t="shared" si="449"/>
        <v>0</v>
      </c>
      <c r="AO99" s="8598"/>
      <c r="AP99" s="8580"/>
      <c r="AQ99" s="8581"/>
      <c r="AR99" s="8597">
        <f t="shared" si="450"/>
        <v>0</v>
      </c>
      <c r="AS99" s="8651"/>
      <c r="AT99" s="8580"/>
      <c r="AU99" s="8581"/>
      <c r="AV99" s="8245">
        <f t="shared" si="451"/>
        <v>0</v>
      </c>
      <c r="AW99" s="8245"/>
      <c r="AX99" s="8245"/>
      <c r="AY99" s="8245"/>
      <c r="AZ99" s="8533"/>
      <c r="BA99" s="8534"/>
      <c r="BB99" s="8533"/>
      <c r="BC99" s="8534"/>
      <c r="BD99" s="8529"/>
      <c r="BE99" s="8530"/>
      <c r="BF99" s="5345"/>
      <c r="BG99" s="5345"/>
    </row>
    <row r="100" spans="2:59" ht="16.5" hidden="1" customHeight="1" thickBot="1" x14ac:dyDescent="0.25">
      <c r="B100" s="3133" t="s">
        <v>1583</v>
      </c>
      <c r="C100" s="1598" t="s">
        <v>170</v>
      </c>
      <c r="D100" s="8580"/>
      <c r="E100" s="8581"/>
      <c r="F100" s="8580"/>
      <c r="G100" s="8581"/>
      <c r="H100" s="8597">
        <f t="shared" si="431"/>
        <v>0</v>
      </c>
      <c r="I100" s="8598"/>
      <c r="J100" s="8580"/>
      <c r="K100" s="8581"/>
      <c r="L100" s="8533">
        <f t="shared" si="432"/>
        <v>0</v>
      </c>
      <c r="M100" s="8534"/>
      <c r="N100" s="8580"/>
      <c r="O100" s="8581"/>
      <c r="P100" s="8597">
        <f t="shared" si="433"/>
        <v>0</v>
      </c>
      <c r="Q100" s="8598"/>
      <c r="R100" s="8580"/>
      <c r="S100" s="8581"/>
      <c r="T100" s="8597">
        <f t="shared" si="445"/>
        <v>0</v>
      </c>
      <c r="U100" s="8598"/>
      <c r="V100" s="8580"/>
      <c r="W100" s="8581"/>
      <c r="X100" s="8533">
        <f t="shared" si="452"/>
        <v>0</v>
      </c>
      <c r="Y100" s="8534"/>
      <c r="Z100" s="8529">
        <f t="shared" si="446"/>
        <v>0</v>
      </c>
      <c r="AA100" s="8530"/>
      <c r="AB100" s="8580"/>
      <c r="AC100" s="8581"/>
      <c r="AD100" s="8597">
        <f t="shared" si="447"/>
        <v>0</v>
      </c>
      <c r="AE100" s="8598"/>
      <c r="AF100" s="8580"/>
      <c r="AG100" s="8581"/>
      <c r="AH100" s="8597">
        <f t="shared" si="448"/>
        <v>0</v>
      </c>
      <c r="AI100" s="8598"/>
      <c r="AJ100" s="8580"/>
      <c r="AK100" s="8581"/>
      <c r="AL100" s="8533"/>
      <c r="AM100" s="8534"/>
      <c r="AN100" s="8597">
        <f t="shared" si="449"/>
        <v>0</v>
      </c>
      <c r="AO100" s="8598"/>
      <c r="AP100" s="8580"/>
      <c r="AQ100" s="8581"/>
      <c r="AR100" s="8597">
        <f t="shared" si="450"/>
        <v>0</v>
      </c>
      <c r="AS100" s="8651"/>
      <c r="AT100" s="8580"/>
      <c r="AU100" s="8581"/>
      <c r="AV100" s="8245">
        <f t="shared" si="451"/>
        <v>0</v>
      </c>
      <c r="AW100" s="8245"/>
      <c r="AX100" s="8245"/>
      <c r="AY100" s="8245"/>
      <c r="AZ100" s="8533"/>
      <c r="BA100" s="8534"/>
      <c r="BB100" s="8533"/>
      <c r="BC100" s="8534"/>
      <c r="BD100" s="8529"/>
      <c r="BE100" s="8530"/>
      <c r="BF100" s="5345"/>
      <c r="BG100" s="5345"/>
    </row>
    <row r="101" spans="2:59" ht="16.5" hidden="1" customHeight="1" thickBot="1" x14ac:dyDescent="0.25">
      <c r="B101" s="3133" t="s">
        <v>1584</v>
      </c>
      <c r="C101" s="1598" t="s">
        <v>170</v>
      </c>
      <c r="D101" s="8580"/>
      <c r="E101" s="8581"/>
      <c r="F101" s="8580"/>
      <c r="G101" s="8581"/>
      <c r="H101" s="8597">
        <f t="shared" si="431"/>
        <v>0</v>
      </c>
      <c r="I101" s="8598"/>
      <c r="J101" s="8580"/>
      <c r="K101" s="8581"/>
      <c r="L101" s="8533">
        <f t="shared" si="432"/>
        <v>0</v>
      </c>
      <c r="M101" s="8534"/>
      <c r="N101" s="8580"/>
      <c r="O101" s="8581"/>
      <c r="P101" s="8597">
        <f t="shared" si="433"/>
        <v>0</v>
      </c>
      <c r="Q101" s="8598"/>
      <c r="R101" s="8580"/>
      <c r="S101" s="8581"/>
      <c r="T101" s="8597">
        <f t="shared" si="445"/>
        <v>0</v>
      </c>
      <c r="U101" s="8598"/>
      <c r="V101" s="8580"/>
      <c r="W101" s="8581"/>
      <c r="X101" s="8533">
        <f t="shared" si="452"/>
        <v>0</v>
      </c>
      <c r="Y101" s="8534"/>
      <c r="Z101" s="8529">
        <f t="shared" si="446"/>
        <v>0</v>
      </c>
      <c r="AA101" s="8530"/>
      <c r="AB101" s="8580"/>
      <c r="AC101" s="8581"/>
      <c r="AD101" s="8597">
        <f t="shared" si="447"/>
        <v>0</v>
      </c>
      <c r="AE101" s="8598"/>
      <c r="AF101" s="8580"/>
      <c r="AG101" s="8581"/>
      <c r="AH101" s="8597">
        <f t="shared" si="448"/>
        <v>0</v>
      </c>
      <c r="AI101" s="8598"/>
      <c r="AJ101" s="8580"/>
      <c r="AK101" s="8581"/>
      <c r="AL101" s="8533"/>
      <c r="AM101" s="8534"/>
      <c r="AN101" s="8597">
        <f t="shared" si="449"/>
        <v>0</v>
      </c>
      <c r="AO101" s="8598"/>
      <c r="AP101" s="8580"/>
      <c r="AQ101" s="8581"/>
      <c r="AR101" s="8597">
        <f t="shared" si="450"/>
        <v>0</v>
      </c>
      <c r="AS101" s="8651"/>
      <c r="AT101" s="8580"/>
      <c r="AU101" s="8581"/>
      <c r="AV101" s="8245">
        <f t="shared" si="451"/>
        <v>0</v>
      </c>
      <c r="AW101" s="8245"/>
      <c r="AX101" s="8245"/>
      <c r="AY101" s="8245"/>
      <c r="AZ101" s="8533"/>
      <c r="BA101" s="8534"/>
      <c r="BB101" s="8533"/>
      <c r="BC101" s="8534"/>
      <c r="BD101" s="8529"/>
      <c r="BE101" s="8530"/>
      <c r="BF101" s="5345"/>
      <c r="BG101" s="5345"/>
    </row>
    <row r="102" spans="2:59" ht="16.5" hidden="1" customHeight="1" thickBot="1" x14ac:dyDescent="0.25">
      <c r="B102" s="3133" t="s">
        <v>1693</v>
      </c>
      <c r="C102" s="1598" t="s">
        <v>170</v>
      </c>
      <c r="D102" s="5166"/>
      <c r="E102" s="5167"/>
      <c r="F102" s="5166"/>
      <c r="G102" s="5167"/>
      <c r="H102" s="8597">
        <f t="shared" si="431"/>
        <v>0</v>
      </c>
      <c r="I102" s="8598"/>
      <c r="J102" s="5675"/>
      <c r="K102" s="5676"/>
      <c r="L102" s="8533">
        <f t="shared" si="432"/>
        <v>0</v>
      </c>
      <c r="M102" s="8534"/>
      <c r="N102" s="5878"/>
      <c r="O102" s="5879"/>
      <c r="P102" s="8597">
        <f t="shared" si="433"/>
        <v>0</v>
      </c>
      <c r="Q102" s="8598"/>
      <c r="R102" s="6312"/>
      <c r="S102" s="6313"/>
      <c r="T102" s="8597">
        <f t="shared" si="445"/>
        <v>0</v>
      </c>
      <c r="U102" s="8598"/>
      <c r="V102" s="6476"/>
      <c r="W102" s="6477"/>
      <c r="X102" s="8533">
        <f t="shared" si="452"/>
        <v>0</v>
      </c>
      <c r="Y102" s="8534"/>
      <c r="Z102" s="8529">
        <f t="shared" si="446"/>
        <v>0</v>
      </c>
      <c r="AA102" s="8530"/>
      <c r="AB102" s="7287"/>
      <c r="AC102" s="7288"/>
      <c r="AD102" s="8597">
        <f t="shared" si="447"/>
        <v>0</v>
      </c>
      <c r="AE102" s="8598"/>
      <c r="AF102" s="7546"/>
      <c r="AG102" s="7547"/>
      <c r="AH102" s="8597">
        <f t="shared" si="448"/>
        <v>0</v>
      </c>
      <c r="AI102" s="8598"/>
      <c r="AJ102" s="7687"/>
      <c r="AK102" s="7688"/>
      <c r="AL102" s="8533"/>
      <c r="AM102" s="8534"/>
      <c r="AN102" s="8597">
        <f t="shared" si="449"/>
        <v>0</v>
      </c>
      <c r="AO102" s="8598"/>
      <c r="AP102" s="8014"/>
      <c r="AQ102" s="8015"/>
      <c r="AR102" s="8597">
        <f t="shared" si="450"/>
        <v>0</v>
      </c>
      <c r="AS102" s="8651"/>
      <c r="AT102" s="8213"/>
      <c r="AU102" s="8214"/>
      <c r="AV102" s="8245">
        <f t="shared" si="451"/>
        <v>0</v>
      </c>
      <c r="AW102" s="8245"/>
      <c r="AX102" s="8245"/>
      <c r="AY102" s="8245"/>
      <c r="AZ102" s="8533"/>
      <c r="BA102" s="8534"/>
      <c r="BB102" s="8533"/>
      <c r="BC102" s="8534"/>
      <c r="BD102" s="8529"/>
      <c r="BE102" s="8530"/>
      <c r="BF102" s="5345"/>
      <c r="BG102" s="5345"/>
    </row>
    <row r="103" spans="2:59" ht="16.5" hidden="1" customHeight="1" thickBot="1" x14ac:dyDescent="0.25">
      <c r="B103" s="3133" t="s">
        <v>1732</v>
      </c>
      <c r="C103" s="1598" t="s">
        <v>170</v>
      </c>
      <c r="D103" s="5166"/>
      <c r="E103" s="5167"/>
      <c r="F103" s="5166"/>
      <c r="G103" s="5167"/>
      <c r="H103" s="8597">
        <f t="shared" ref="H103" si="453">+D103+F103</f>
        <v>0</v>
      </c>
      <c r="I103" s="8598"/>
      <c r="J103" s="5675"/>
      <c r="K103" s="5676"/>
      <c r="L103" s="8533">
        <f t="shared" si="432"/>
        <v>0</v>
      </c>
      <c r="M103" s="8534"/>
      <c r="N103" s="5878"/>
      <c r="O103" s="5879"/>
      <c r="P103" s="2983"/>
      <c r="Q103" s="5165"/>
      <c r="R103" s="6312"/>
      <c r="S103" s="6313"/>
      <c r="T103" s="2983"/>
      <c r="U103" s="6318"/>
      <c r="V103" s="6476"/>
      <c r="W103" s="6477"/>
      <c r="X103" s="8533">
        <f t="shared" si="452"/>
        <v>0</v>
      </c>
      <c r="Y103" s="8534"/>
      <c r="Z103" s="6542"/>
      <c r="AA103" s="6543"/>
      <c r="AB103" s="7287"/>
      <c r="AC103" s="7288"/>
      <c r="AD103" s="2983"/>
      <c r="AE103" s="7296"/>
      <c r="AF103" s="7546"/>
      <c r="AG103" s="7547"/>
      <c r="AH103" s="2983"/>
      <c r="AI103" s="7550"/>
      <c r="AJ103" s="7687"/>
      <c r="AK103" s="7688"/>
      <c r="AL103" s="8533"/>
      <c r="AM103" s="8534"/>
      <c r="AN103" s="2983"/>
      <c r="AO103" s="7691"/>
      <c r="AP103" s="8014"/>
      <c r="AQ103" s="8015"/>
      <c r="AR103" s="2983"/>
      <c r="AS103" s="8244"/>
      <c r="AT103" s="8213"/>
      <c r="AU103" s="8214"/>
      <c r="AV103" s="8245"/>
      <c r="AW103" s="8245"/>
      <c r="AX103" s="8245"/>
      <c r="AY103" s="8245"/>
      <c r="AZ103" s="8533"/>
      <c r="BA103" s="8534"/>
      <c r="BB103" s="8533"/>
      <c r="BC103" s="8534"/>
      <c r="BD103" s="6542"/>
      <c r="BE103" s="8276"/>
      <c r="BF103" s="5345"/>
      <c r="BG103" s="5345"/>
    </row>
    <row r="104" spans="2:59" ht="16.5" hidden="1" customHeight="1" thickBot="1" x14ac:dyDescent="0.25">
      <c r="B104" s="2773" t="s">
        <v>1653</v>
      </c>
      <c r="C104" s="1598" t="s">
        <v>170</v>
      </c>
      <c r="D104" s="8580"/>
      <c r="E104" s="8581"/>
      <c r="F104" s="8580"/>
      <c r="G104" s="8581"/>
      <c r="H104" s="8597">
        <f t="shared" si="431"/>
        <v>0</v>
      </c>
      <c r="I104" s="8598"/>
      <c r="J104" s="8580"/>
      <c r="K104" s="8581"/>
      <c r="L104" s="8533">
        <f t="shared" si="432"/>
        <v>0</v>
      </c>
      <c r="M104" s="8534"/>
      <c r="N104" s="8580"/>
      <c r="O104" s="8581"/>
      <c r="P104" s="8597">
        <f t="shared" si="433"/>
        <v>0</v>
      </c>
      <c r="Q104" s="8598"/>
      <c r="R104" s="8580"/>
      <c r="S104" s="8581"/>
      <c r="T104" s="8597">
        <f t="shared" ref="T104:T106" si="454">+P104+R104</f>
        <v>0</v>
      </c>
      <c r="U104" s="8598"/>
      <c r="V104" s="8580"/>
      <c r="W104" s="8581"/>
      <c r="X104" s="8533">
        <f t="shared" si="452"/>
        <v>0</v>
      </c>
      <c r="Y104" s="8534"/>
      <c r="Z104" s="8529">
        <f t="shared" ref="Z104:Z106" si="455">+T104+V104</f>
        <v>0</v>
      </c>
      <c r="AA104" s="8530"/>
      <c r="AB104" s="8580"/>
      <c r="AC104" s="8581"/>
      <c r="AD104" s="8597">
        <f t="shared" ref="AD104:AD106" si="456">+Z104+AB104</f>
        <v>0</v>
      </c>
      <c r="AE104" s="8598"/>
      <c r="AF104" s="8580"/>
      <c r="AG104" s="8581"/>
      <c r="AH104" s="8597">
        <f t="shared" ref="AH104:AH106" si="457">+AD104+AF104</f>
        <v>0</v>
      </c>
      <c r="AI104" s="8598"/>
      <c r="AJ104" s="8580"/>
      <c r="AK104" s="8581"/>
      <c r="AL104" s="8533"/>
      <c r="AM104" s="8534"/>
      <c r="AN104" s="8597">
        <f t="shared" ref="AN104:AN106" si="458">+AH104+AJ104</f>
        <v>0</v>
      </c>
      <c r="AO104" s="8598"/>
      <c r="AP104" s="8580"/>
      <c r="AQ104" s="8581"/>
      <c r="AR104" s="8597">
        <f t="shared" ref="AR104:AR106" si="459">+AN104+AP104</f>
        <v>0</v>
      </c>
      <c r="AS104" s="8651"/>
      <c r="AT104" s="8580"/>
      <c r="AU104" s="8581"/>
      <c r="AV104" s="8245">
        <f t="shared" ref="AV104:AV106" si="460">+AR104+AT104</f>
        <v>0</v>
      </c>
      <c r="AW104" s="8245"/>
      <c r="AX104" s="8245"/>
      <c r="AY104" s="8245"/>
      <c r="AZ104" s="8533"/>
      <c r="BA104" s="8534"/>
      <c r="BB104" s="8533"/>
      <c r="BC104" s="8534"/>
      <c r="BD104" s="8529"/>
      <c r="BE104" s="8530"/>
      <c r="BF104" s="5345"/>
      <c r="BG104" s="5345"/>
    </row>
    <row r="105" spans="2:59" ht="16.5" hidden="1" customHeight="1" thickBot="1" x14ac:dyDescent="0.25">
      <c r="B105" s="2773"/>
      <c r="C105" s="1598" t="s">
        <v>170</v>
      </c>
      <c r="D105" s="8580"/>
      <c r="E105" s="8581"/>
      <c r="F105" s="8580"/>
      <c r="G105" s="8581"/>
      <c r="H105" s="8597">
        <f t="shared" si="431"/>
        <v>0</v>
      </c>
      <c r="I105" s="8598"/>
      <c r="J105" s="8580"/>
      <c r="K105" s="8581"/>
      <c r="L105" s="8533">
        <f t="shared" si="432"/>
        <v>0</v>
      </c>
      <c r="M105" s="8534"/>
      <c r="N105" s="8580"/>
      <c r="O105" s="8581"/>
      <c r="P105" s="8597">
        <f t="shared" si="433"/>
        <v>0</v>
      </c>
      <c r="Q105" s="8598"/>
      <c r="R105" s="8580"/>
      <c r="S105" s="8581"/>
      <c r="T105" s="8597">
        <f t="shared" si="454"/>
        <v>0</v>
      </c>
      <c r="U105" s="8598"/>
      <c r="V105" s="8580"/>
      <c r="W105" s="8581"/>
      <c r="X105" s="8533">
        <f t="shared" si="452"/>
        <v>0</v>
      </c>
      <c r="Y105" s="8534"/>
      <c r="Z105" s="8529">
        <f t="shared" si="455"/>
        <v>0</v>
      </c>
      <c r="AA105" s="8530"/>
      <c r="AB105" s="8580"/>
      <c r="AC105" s="8581"/>
      <c r="AD105" s="8597">
        <f t="shared" si="456"/>
        <v>0</v>
      </c>
      <c r="AE105" s="8598"/>
      <c r="AF105" s="8580"/>
      <c r="AG105" s="8581"/>
      <c r="AH105" s="8597">
        <f t="shared" si="457"/>
        <v>0</v>
      </c>
      <c r="AI105" s="8598"/>
      <c r="AJ105" s="8580"/>
      <c r="AK105" s="8581"/>
      <c r="AL105" s="8533"/>
      <c r="AM105" s="8534"/>
      <c r="AN105" s="8597">
        <f t="shared" si="458"/>
        <v>0</v>
      </c>
      <c r="AO105" s="8598"/>
      <c r="AP105" s="8580"/>
      <c r="AQ105" s="8581"/>
      <c r="AR105" s="8597">
        <f t="shared" si="459"/>
        <v>0</v>
      </c>
      <c r="AS105" s="8651"/>
      <c r="AT105" s="8580"/>
      <c r="AU105" s="8581"/>
      <c r="AV105" s="8245">
        <f t="shared" si="460"/>
        <v>0</v>
      </c>
      <c r="AW105" s="8245"/>
      <c r="AX105" s="8245"/>
      <c r="AY105" s="8245"/>
      <c r="AZ105" s="8533"/>
      <c r="BA105" s="8534"/>
      <c r="BB105" s="8533"/>
      <c r="BC105" s="8534"/>
      <c r="BD105" s="8529"/>
      <c r="BE105" s="8530"/>
      <c r="BF105" s="5345"/>
      <c r="BG105" s="5345"/>
    </row>
    <row r="106" spans="2:59" ht="16.5" hidden="1" customHeight="1" thickBot="1" x14ac:dyDescent="0.25">
      <c r="B106" s="2773"/>
      <c r="C106" s="2115" t="s">
        <v>170</v>
      </c>
      <c r="D106" s="8580"/>
      <c r="E106" s="8581"/>
      <c r="F106" s="8580"/>
      <c r="G106" s="8581"/>
      <c r="H106" s="8597">
        <f t="shared" si="431"/>
        <v>0</v>
      </c>
      <c r="I106" s="8598"/>
      <c r="J106" s="8580"/>
      <c r="K106" s="8581"/>
      <c r="L106" s="8533">
        <f t="shared" si="432"/>
        <v>0</v>
      </c>
      <c r="M106" s="8534"/>
      <c r="N106" s="8580"/>
      <c r="O106" s="8581"/>
      <c r="P106" s="8597">
        <f t="shared" si="433"/>
        <v>0</v>
      </c>
      <c r="Q106" s="8598"/>
      <c r="R106" s="8580"/>
      <c r="S106" s="8581"/>
      <c r="T106" s="8597">
        <f t="shared" si="454"/>
        <v>0</v>
      </c>
      <c r="U106" s="8598"/>
      <c r="V106" s="8580"/>
      <c r="W106" s="8581"/>
      <c r="X106" s="8533">
        <f t="shared" si="452"/>
        <v>0</v>
      </c>
      <c r="Y106" s="8534"/>
      <c r="Z106" s="8529">
        <f t="shared" si="455"/>
        <v>0</v>
      </c>
      <c r="AA106" s="8530"/>
      <c r="AB106" s="8580"/>
      <c r="AC106" s="8581"/>
      <c r="AD106" s="8597">
        <f t="shared" si="456"/>
        <v>0</v>
      </c>
      <c r="AE106" s="8598"/>
      <c r="AF106" s="8580"/>
      <c r="AG106" s="8581"/>
      <c r="AH106" s="8597">
        <f t="shared" si="457"/>
        <v>0</v>
      </c>
      <c r="AI106" s="8598"/>
      <c r="AJ106" s="8580"/>
      <c r="AK106" s="8581"/>
      <c r="AL106" s="8533"/>
      <c r="AM106" s="8534"/>
      <c r="AN106" s="8597">
        <f t="shared" si="458"/>
        <v>0</v>
      </c>
      <c r="AO106" s="8598"/>
      <c r="AP106" s="8580"/>
      <c r="AQ106" s="8581"/>
      <c r="AR106" s="8597">
        <f t="shared" si="459"/>
        <v>0</v>
      </c>
      <c r="AS106" s="8651"/>
      <c r="AT106" s="8580"/>
      <c r="AU106" s="8581"/>
      <c r="AV106" s="8245">
        <f t="shared" si="460"/>
        <v>0</v>
      </c>
      <c r="AW106" s="8245"/>
      <c r="AX106" s="8245"/>
      <c r="AY106" s="8245"/>
      <c r="AZ106" s="8533"/>
      <c r="BA106" s="8534"/>
      <c r="BB106" s="8533"/>
      <c r="BC106" s="8534"/>
      <c r="BD106" s="8529"/>
      <c r="BE106" s="8530"/>
      <c r="BF106" s="5345"/>
      <c r="BG106" s="5345"/>
    </row>
    <row r="107" spans="2:59" ht="16.5" hidden="1" customHeight="1" thickBot="1" x14ac:dyDescent="0.25">
      <c r="B107" s="4176"/>
      <c r="C107" s="4177" t="s">
        <v>170</v>
      </c>
      <c r="D107" s="8582">
        <f>SUM(D77:D106)</f>
        <v>0</v>
      </c>
      <c r="E107" s="8583"/>
      <c r="F107" s="8582">
        <f t="shared" ref="F107:M107" si="461">SUM(F77:F106)</f>
        <v>0</v>
      </c>
      <c r="G107" s="8583">
        <f t="shared" si="461"/>
        <v>0</v>
      </c>
      <c r="H107" s="8599">
        <f t="shared" si="461"/>
        <v>0</v>
      </c>
      <c r="I107" s="8600">
        <f t="shared" si="461"/>
        <v>0</v>
      </c>
      <c r="J107" s="8582">
        <f t="shared" ref="J107:K107" si="462">SUM(J77:J106)</f>
        <v>0</v>
      </c>
      <c r="K107" s="8583">
        <f t="shared" si="462"/>
        <v>0</v>
      </c>
      <c r="L107" s="8535">
        <f t="shared" si="461"/>
        <v>0</v>
      </c>
      <c r="M107" s="8536">
        <f t="shared" si="461"/>
        <v>0</v>
      </c>
      <c r="N107" s="8582">
        <f t="shared" ref="N107:O107" si="463">SUM(N77:N106)</f>
        <v>0</v>
      </c>
      <c r="O107" s="8583">
        <f t="shared" si="463"/>
        <v>0</v>
      </c>
      <c r="P107" s="8599">
        <f>SUM(P77:P106)</f>
        <v>0</v>
      </c>
      <c r="Q107" s="8600"/>
      <c r="R107" s="8582">
        <f t="shared" ref="R107:S107" si="464">SUM(R77:R106)</f>
        <v>0</v>
      </c>
      <c r="S107" s="8583">
        <f t="shared" si="464"/>
        <v>0</v>
      </c>
      <c r="T107" s="8599">
        <f>SUM(T77:T106)</f>
        <v>0</v>
      </c>
      <c r="U107" s="8600"/>
      <c r="V107" s="8582">
        <f t="shared" ref="V107:Y107" si="465">SUM(V77:V106)</f>
        <v>0</v>
      </c>
      <c r="W107" s="8583">
        <f t="shared" si="465"/>
        <v>0</v>
      </c>
      <c r="X107" s="8535">
        <f t="shared" si="465"/>
        <v>0</v>
      </c>
      <c r="Y107" s="8536">
        <f t="shared" si="465"/>
        <v>0</v>
      </c>
      <c r="Z107" s="8527">
        <f>SUM(Z77:Z106)</f>
        <v>0</v>
      </c>
      <c r="AA107" s="8528"/>
      <c r="AB107" s="8582">
        <f t="shared" ref="AB107:AC107" si="466">SUM(AB77:AB106)</f>
        <v>0</v>
      </c>
      <c r="AC107" s="8583">
        <f t="shared" si="466"/>
        <v>0</v>
      </c>
      <c r="AD107" s="8599">
        <f>SUM(AD77:AD106)</f>
        <v>0</v>
      </c>
      <c r="AE107" s="8600"/>
      <c r="AF107" s="8582">
        <f t="shared" ref="AF107:AG107" si="467">SUM(AF77:AF106)</f>
        <v>0</v>
      </c>
      <c r="AG107" s="8583">
        <f t="shared" si="467"/>
        <v>0</v>
      </c>
      <c r="AH107" s="8599">
        <f>SUM(AH77:AH106)</f>
        <v>0</v>
      </c>
      <c r="AI107" s="8600"/>
      <c r="AJ107" s="8582"/>
      <c r="AK107" s="8583"/>
      <c r="AL107" s="8535"/>
      <c r="AM107" s="8536"/>
      <c r="AN107" s="8599">
        <f>SUM(AN77:AN106)</f>
        <v>0</v>
      </c>
      <c r="AO107" s="8600"/>
      <c r="AP107" s="8582"/>
      <c r="AQ107" s="8583"/>
      <c r="AR107" s="8599">
        <f>SUM(AR77:AR106)</f>
        <v>0</v>
      </c>
      <c r="AS107" s="8652"/>
      <c r="AT107" s="8582"/>
      <c r="AU107" s="8583"/>
      <c r="AV107" s="8250">
        <f>SUM(AV77:AV106)</f>
        <v>0</v>
      </c>
      <c r="AW107" s="8250"/>
      <c r="AX107" s="8250"/>
      <c r="AY107" s="8250"/>
      <c r="AZ107" s="8535"/>
      <c r="BA107" s="8536"/>
      <c r="BB107" s="8535"/>
      <c r="BC107" s="8536"/>
      <c r="BD107" s="8527"/>
      <c r="BE107" s="8528"/>
      <c r="BF107" s="5345"/>
      <c r="BG107" s="5345"/>
    </row>
    <row r="108" spans="2:59" ht="15" hidden="1" customHeight="1" x14ac:dyDescent="0.2">
      <c r="J108" s="2100"/>
      <c r="K108" s="2265"/>
      <c r="N108" s="2100"/>
      <c r="O108" s="2265"/>
      <c r="R108" s="2100"/>
      <c r="S108" s="2265"/>
      <c r="T108" s="2100"/>
      <c r="V108" s="2100"/>
      <c r="W108" s="2265"/>
      <c r="Z108" s="6529"/>
      <c r="AA108" s="6530"/>
      <c r="AB108" s="2100"/>
      <c r="AC108" s="2265"/>
      <c r="AD108" s="2100"/>
      <c r="AF108" s="2100"/>
      <c r="AG108" s="2265"/>
      <c r="AH108" s="2100"/>
      <c r="AJ108" s="2100"/>
      <c r="AK108" s="2265"/>
      <c r="AL108" s="7686"/>
      <c r="AM108" s="2265"/>
      <c r="AN108" s="2100"/>
      <c r="AP108" s="2100"/>
      <c r="AQ108" s="2265"/>
      <c r="AR108" s="2100"/>
      <c r="AT108" s="2100"/>
      <c r="AU108" s="2265"/>
      <c r="AV108" s="3938"/>
      <c r="AW108" s="3938"/>
      <c r="AX108" s="3938"/>
      <c r="AY108" s="3938"/>
      <c r="BA108" s="2265"/>
      <c r="BC108" s="2265"/>
      <c r="BD108" s="6529"/>
      <c r="BE108" s="6530"/>
      <c r="BF108" s="5345"/>
      <c r="BG108" s="5345"/>
    </row>
    <row r="109" spans="2:59" ht="21" hidden="1" customHeight="1" thickBot="1" x14ac:dyDescent="0.3">
      <c r="B109" s="4739" t="s">
        <v>1617</v>
      </c>
      <c r="J109" s="2100"/>
      <c r="K109" s="2265"/>
      <c r="N109" s="2100"/>
      <c r="O109" s="2265"/>
      <c r="R109" s="2100"/>
      <c r="S109" s="2265"/>
      <c r="T109" s="2100"/>
      <c r="V109" s="2100"/>
      <c r="W109" s="2265"/>
      <c r="Z109" s="6529"/>
      <c r="AA109" s="6530"/>
      <c r="AB109" s="2100"/>
      <c r="AC109" s="2265"/>
      <c r="AD109" s="2100"/>
      <c r="AF109" s="2100"/>
      <c r="AG109" s="2265"/>
      <c r="AH109" s="2100"/>
      <c r="AJ109" s="2100"/>
      <c r="AK109" s="2265"/>
      <c r="AL109" s="7686"/>
      <c r="AM109" s="2265"/>
      <c r="AN109" s="2100"/>
      <c r="AP109" s="2100"/>
      <c r="AQ109" s="2265"/>
      <c r="AR109" s="2100"/>
      <c r="AT109" s="2100"/>
      <c r="AU109" s="2265"/>
      <c r="AV109" s="3938"/>
      <c r="AW109" s="3938"/>
      <c r="AX109" s="3938"/>
      <c r="AY109" s="3938"/>
      <c r="BA109" s="2265"/>
      <c r="BC109" s="2265"/>
      <c r="BD109" s="6529"/>
      <c r="BE109" s="6530"/>
      <c r="BF109" s="5345"/>
      <c r="BG109" s="5345"/>
    </row>
    <row r="110" spans="2:59" ht="19.5" hidden="1" customHeight="1" thickBot="1" x14ac:dyDescent="0.3">
      <c r="B110" s="4746" t="s">
        <v>1618</v>
      </c>
      <c r="C110" s="4733"/>
      <c r="D110" s="8588" t="str">
        <f>+D3</f>
        <v>Apr'20</v>
      </c>
      <c r="E110" s="8589"/>
      <c r="F110" s="8588" t="str">
        <f>+F3</f>
        <v>May'20</v>
      </c>
      <c r="G110" s="8589"/>
      <c r="H110" s="8605" t="s">
        <v>52</v>
      </c>
      <c r="I110" s="8606"/>
      <c r="J110" s="8588" t="str">
        <f>+J3</f>
        <v>Jun'20</v>
      </c>
      <c r="K110" s="8589"/>
      <c r="L110" s="8555" t="s">
        <v>605</v>
      </c>
      <c r="M110" s="8556"/>
      <c r="N110" s="8588" t="str">
        <f>+N3</f>
        <v>Jul'20</v>
      </c>
      <c r="O110" s="8589"/>
      <c r="R110" s="8588" t="str">
        <f>+R3</f>
        <v>Aug'20</v>
      </c>
      <c r="S110" s="8589"/>
      <c r="T110" s="2100"/>
      <c r="V110" s="8588" t="str">
        <f>+V3</f>
        <v>Sep'20</v>
      </c>
      <c r="W110" s="8589"/>
      <c r="X110" s="8555" t="s">
        <v>605</v>
      </c>
      <c r="Y110" s="8556"/>
      <c r="Z110" s="6529"/>
      <c r="AA110" s="6530"/>
      <c r="AB110" s="8588" t="str">
        <f>+AB3</f>
        <v>Oct'20</v>
      </c>
      <c r="AC110" s="8589"/>
      <c r="AD110" s="2100"/>
      <c r="AF110" s="8588" t="str">
        <f>+AF3</f>
        <v>Nov'20</v>
      </c>
      <c r="AG110" s="8589"/>
      <c r="AH110" s="2100"/>
      <c r="AJ110" s="8588"/>
      <c r="AK110" s="8589"/>
      <c r="AL110" s="8555"/>
      <c r="AM110" s="8556"/>
      <c r="AN110" s="2100"/>
      <c r="AP110" s="8588"/>
      <c r="AQ110" s="8589"/>
      <c r="AR110" s="2100"/>
      <c r="AT110" s="8588"/>
      <c r="AU110" s="8589"/>
      <c r="AV110" s="3938"/>
      <c r="AW110" s="3938"/>
      <c r="AX110" s="3938"/>
      <c r="AY110" s="3938"/>
      <c r="AZ110" s="8555"/>
      <c r="BA110" s="8556"/>
      <c r="BB110" s="8555"/>
      <c r="BC110" s="8556"/>
      <c r="BD110" s="6529"/>
      <c r="BE110" s="6530"/>
      <c r="BF110" s="5345"/>
      <c r="BG110" s="5345"/>
    </row>
    <row r="111" spans="2:59" ht="15.75" hidden="1" customHeight="1" thickBot="1" x14ac:dyDescent="0.25">
      <c r="B111" s="4737" t="s">
        <v>1513</v>
      </c>
      <c r="C111" s="4734" t="s">
        <v>170</v>
      </c>
      <c r="D111" s="8584"/>
      <c r="E111" s="8585"/>
      <c r="F111" s="8584"/>
      <c r="G111" s="8585"/>
      <c r="H111" s="8603">
        <f>+D111+F111</f>
        <v>0</v>
      </c>
      <c r="I111" s="8604"/>
      <c r="J111" s="8584"/>
      <c r="K111" s="8585"/>
      <c r="L111" s="8537">
        <f>+D111+F111+J111</f>
        <v>0</v>
      </c>
      <c r="M111" s="8538"/>
      <c r="N111" s="8584"/>
      <c r="O111" s="8585"/>
      <c r="R111" s="8584"/>
      <c r="S111" s="8585"/>
      <c r="T111" s="2100"/>
      <c r="V111" s="8584"/>
      <c r="W111" s="8585"/>
      <c r="X111" s="8537">
        <f>+P111+R111+V111</f>
        <v>0</v>
      </c>
      <c r="Y111" s="8538"/>
      <c r="Z111" s="6529"/>
      <c r="AA111" s="6530"/>
      <c r="AB111" s="8584"/>
      <c r="AC111" s="8585"/>
      <c r="AD111" s="2100"/>
      <c r="AF111" s="8584"/>
      <c r="AG111" s="8585"/>
      <c r="AH111" s="2100"/>
      <c r="AJ111" s="8584"/>
      <c r="AK111" s="8585"/>
      <c r="AL111" s="8537"/>
      <c r="AM111" s="8538"/>
      <c r="AN111" s="2100"/>
      <c r="AP111" s="8584"/>
      <c r="AQ111" s="8585"/>
      <c r="AR111" s="2100"/>
      <c r="AT111" s="8584"/>
      <c r="AU111" s="8585"/>
      <c r="AV111" s="3938"/>
      <c r="AW111" s="3938"/>
      <c r="AX111" s="3938"/>
      <c r="AY111" s="3938"/>
      <c r="AZ111" s="8537"/>
      <c r="BA111" s="8538"/>
      <c r="BB111" s="8537"/>
      <c r="BC111" s="8538"/>
      <c r="BD111" s="6529"/>
      <c r="BE111" s="6530"/>
      <c r="BF111" s="5345"/>
      <c r="BG111" s="5345"/>
    </row>
    <row r="112" spans="2:59" ht="15.75" hidden="1" customHeight="1" thickBot="1" x14ac:dyDescent="0.25">
      <c r="B112" s="4737" t="s">
        <v>1452</v>
      </c>
      <c r="C112" s="4735" t="s">
        <v>170</v>
      </c>
      <c r="D112" s="8580"/>
      <c r="E112" s="8581"/>
      <c r="F112" s="8580"/>
      <c r="G112" s="8581"/>
      <c r="H112" s="8597">
        <f t="shared" ref="H112:H120" si="468">+D112+F112</f>
        <v>0</v>
      </c>
      <c r="I112" s="8598"/>
      <c r="J112" s="8580"/>
      <c r="K112" s="8581"/>
      <c r="L112" s="8533">
        <f t="shared" ref="L112:L120" si="469">+D112+F112+J112</f>
        <v>0</v>
      </c>
      <c r="M112" s="8534"/>
      <c r="N112" s="8580"/>
      <c r="O112" s="8581"/>
      <c r="R112" s="8580"/>
      <c r="S112" s="8581"/>
      <c r="T112" s="2100"/>
      <c r="V112" s="8580"/>
      <c r="W112" s="8581"/>
      <c r="X112" s="8533">
        <f t="shared" ref="X112:X120" si="470">+P112+R112+V112</f>
        <v>0</v>
      </c>
      <c r="Y112" s="8534"/>
      <c r="Z112" s="6529"/>
      <c r="AA112" s="6530"/>
      <c r="AB112" s="8580"/>
      <c r="AC112" s="8581"/>
      <c r="AD112" s="2100"/>
      <c r="AF112" s="8580"/>
      <c r="AG112" s="8581"/>
      <c r="AH112" s="2100"/>
      <c r="AJ112" s="8580"/>
      <c r="AK112" s="8581"/>
      <c r="AL112" s="8533"/>
      <c r="AM112" s="8534"/>
      <c r="AN112" s="2100"/>
      <c r="AP112" s="8580"/>
      <c r="AQ112" s="8581"/>
      <c r="AR112" s="2100"/>
      <c r="AT112" s="8580"/>
      <c r="AU112" s="8581"/>
      <c r="AV112" s="3938"/>
      <c r="AW112" s="3938"/>
      <c r="AX112" s="3938"/>
      <c r="AY112" s="3938"/>
      <c r="AZ112" s="8533"/>
      <c r="BA112" s="8534"/>
      <c r="BB112" s="8533"/>
      <c r="BC112" s="8534"/>
      <c r="BD112" s="6529"/>
      <c r="BE112" s="6530"/>
      <c r="BF112" s="5345"/>
      <c r="BG112" s="5345"/>
    </row>
    <row r="113" spans="2:59" ht="15.75" hidden="1" customHeight="1" thickBot="1" x14ac:dyDescent="0.25">
      <c r="B113" s="4737" t="s">
        <v>1512</v>
      </c>
      <c r="C113" s="4735" t="s">
        <v>170</v>
      </c>
      <c r="D113" s="8580"/>
      <c r="E113" s="8581"/>
      <c r="F113" s="8580"/>
      <c r="G113" s="8581"/>
      <c r="H113" s="8597">
        <f t="shared" si="468"/>
        <v>0</v>
      </c>
      <c r="I113" s="8598"/>
      <c r="J113" s="8580"/>
      <c r="K113" s="8581"/>
      <c r="L113" s="8533">
        <f t="shared" si="469"/>
        <v>0</v>
      </c>
      <c r="M113" s="8534"/>
      <c r="N113" s="8580"/>
      <c r="O113" s="8581"/>
      <c r="R113" s="8580"/>
      <c r="S113" s="8581"/>
      <c r="T113" s="2100"/>
      <c r="V113" s="8580"/>
      <c r="W113" s="8581"/>
      <c r="X113" s="8533">
        <f t="shared" si="470"/>
        <v>0</v>
      </c>
      <c r="Y113" s="8534"/>
      <c r="Z113" s="6529"/>
      <c r="AA113" s="6530"/>
      <c r="AB113" s="8580"/>
      <c r="AC113" s="8581"/>
      <c r="AD113" s="2100"/>
      <c r="AF113" s="8580"/>
      <c r="AG113" s="8581"/>
      <c r="AH113" s="2100"/>
      <c r="AJ113" s="8580"/>
      <c r="AK113" s="8581"/>
      <c r="AL113" s="8533"/>
      <c r="AM113" s="8534"/>
      <c r="AN113" s="2100"/>
      <c r="AP113" s="8580"/>
      <c r="AQ113" s="8581"/>
      <c r="AR113" s="2100"/>
      <c r="AT113" s="8580"/>
      <c r="AU113" s="8581"/>
      <c r="AV113" s="3938"/>
      <c r="AW113" s="3938"/>
      <c r="AX113" s="3938"/>
      <c r="AY113" s="3938"/>
      <c r="AZ113" s="8533"/>
      <c r="BA113" s="8534"/>
      <c r="BB113" s="8533"/>
      <c r="BC113" s="8534"/>
      <c r="BD113" s="6529"/>
      <c r="BE113" s="6530"/>
      <c r="BF113" s="5345"/>
      <c r="BG113" s="5345"/>
    </row>
    <row r="114" spans="2:59" ht="15.75" hidden="1" customHeight="1" thickBot="1" x14ac:dyDescent="0.25">
      <c r="B114" s="4737" t="s">
        <v>1514</v>
      </c>
      <c r="C114" s="4735" t="s">
        <v>170</v>
      </c>
      <c r="D114" s="8580"/>
      <c r="E114" s="8581"/>
      <c r="F114" s="8580"/>
      <c r="G114" s="8581"/>
      <c r="H114" s="8597">
        <f t="shared" si="468"/>
        <v>0</v>
      </c>
      <c r="I114" s="8598"/>
      <c r="J114" s="8580"/>
      <c r="K114" s="8581"/>
      <c r="L114" s="8533">
        <f t="shared" si="469"/>
        <v>0</v>
      </c>
      <c r="M114" s="8534"/>
      <c r="N114" s="8580"/>
      <c r="O114" s="8581"/>
      <c r="R114" s="8580"/>
      <c r="S114" s="8581"/>
      <c r="T114" s="2100"/>
      <c r="V114" s="8580"/>
      <c r="W114" s="8581"/>
      <c r="X114" s="8533">
        <f t="shared" si="470"/>
        <v>0</v>
      </c>
      <c r="Y114" s="8534"/>
      <c r="Z114" s="6529"/>
      <c r="AA114" s="6530"/>
      <c r="AB114" s="8580"/>
      <c r="AC114" s="8581"/>
      <c r="AD114" s="2100"/>
      <c r="AF114" s="8580"/>
      <c r="AG114" s="8581"/>
      <c r="AH114" s="2100"/>
      <c r="AJ114" s="8580"/>
      <c r="AK114" s="8581"/>
      <c r="AL114" s="8533"/>
      <c r="AM114" s="8534"/>
      <c r="AN114" s="2100"/>
      <c r="AP114" s="8580"/>
      <c r="AQ114" s="8581"/>
      <c r="AR114" s="2100"/>
      <c r="AT114" s="8580"/>
      <c r="AU114" s="8581"/>
      <c r="AV114" s="3938"/>
      <c r="AW114" s="3938"/>
      <c r="AX114" s="3938"/>
      <c r="AY114" s="3938"/>
      <c r="AZ114" s="8533"/>
      <c r="BA114" s="8534"/>
      <c r="BB114" s="8533"/>
      <c r="BC114" s="8534"/>
      <c r="BD114" s="6529"/>
      <c r="BE114" s="6530"/>
      <c r="BF114" s="5345"/>
      <c r="BG114" s="5345"/>
    </row>
    <row r="115" spans="2:59" ht="15.75" hidden="1" customHeight="1" thickBot="1" x14ac:dyDescent="0.25">
      <c r="B115" s="4737" t="s">
        <v>1182</v>
      </c>
      <c r="C115" s="4735" t="s">
        <v>170</v>
      </c>
      <c r="D115" s="8580"/>
      <c r="E115" s="8581"/>
      <c r="F115" s="8580"/>
      <c r="G115" s="8581"/>
      <c r="H115" s="8597">
        <f t="shared" si="468"/>
        <v>0</v>
      </c>
      <c r="I115" s="8598"/>
      <c r="J115" s="8580"/>
      <c r="K115" s="8581"/>
      <c r="L115" s="8533">
        <f t="shared" si="469"/>
        <v>0</v>
      </c>
      <c r="M115" s="8534"/>
      <c r="N115" s="8580"/>
      <c r="O115" s="8581"/>
      <c r="R115" s="8580"/>
      <c r="S115" s="8581"/>
      <c r="T115" s="2100"/>
      <c r="V115" s="8580"/>
      <c r="W115" s="8581"/>
      <c r="X115" s="8533">
        <f t="shared" si="470"/>
        <v>0</v>
      </c>
      <c r="Y115" s="8534"/>
      <c r="Z115" s="6529"/>
      <c r="AA115" s="6530"/>
      <c r="AB115" s="8580"/>
      <c r="AC115" s="8581"/>
      <c r="AD115" s="2100"/>
      <c r="AF115" s="8580"/>
      <c r="AG115" s="8581"/>
      <c r="AH115" s="2100"/>
      <c r="AJ115" s="8580"/>
      <c r="AK115" s="8581"/>
      <c r="AL115" s="8533"/>
      <c r="AM115" s="8534"/>
      <c r="AN115" s="2100"/>
      <c r="AP115" s="8580"/>
      <c r="AQ115" s="8581"/>
      <c r="AR115" s="2100"/>
      <c r="AT115" s="8580"/>
      <c r="AU115" s="8581"/>
      <c r="AV115" s="3938"/>
      <c r="AW115" s="3938"/>
      <c r="AX115" s="3938"/>
      <c r="AY115" s="3938"/>
      <c r="AZ115" s="8533"/>
      <c r="BA115" s="8534"/>
      <c r="BB115" s="8533"/>
      <c r="BC115" s="8534"/>
      <c r="BD115" s="6529"/>
      <c r="BE115" s="6530"/>
      <c r="BF115" s="5345"/>
      <c r="BG115" s="5345"/>
    </row>
    <row r="116" spans="2:59" ht="15.75" hidden="1" customHeight="1" thickBot="1" x14ac:dyDescent="0.25">
      <c r="B116" s="4737"/>
      <c r="C116" s="4735" t="s">
        <v>170</v>
      </c>
      <c r="D116" s="8580"/>
      <c r="E116" s="8581"/>
      <c r="F116" s="8580"/>
      <c r="G116" s="8581"/>
      <c r="H116" s="8597">
        <f t="shared" si="468"/>
        <v>0</v>
      </c>
      <c r="I116" s="8598"/>
      <c r="J116" s="8580"/>
      <c r="K116" s="8581"/>
      <c r="L116" s="8533">
        <f t="shared" si="469"/>
        <v>0</v>
      </c>
      <c r="M116" s="8534"/>
      <c r="N116" s="8580"/>
      <c r="O116" s="8581"/>
      <c r="R116" s="8580"/>
      <c r="S116" s="8581"/>
      <c r="T116" s="2100"/>
      <c r="V116" s="8580"/>
      <c r="W116" s="8581"/>
      <c r="X116" s="8533">
        <f t="shared" si="470"/>
        <v>0</v>
      </c>
      <c r="Y116" s="8534"/>
      <c r="Z116" s="6529"/>
      <c r="AA116" s="6530"/>
      <c r="AB116" s="8580"/>
      <c r="AC116" s="8581"/>
      <c r="AD116" s="2100"/>
      <c r="AF116" s="8580"/>
      <c r="AG116" s="8581"/>
      <c r="AH116" s="2100"/>
      <c r="AJ116" s="8580"/>
      <c r="AK116" s="8581"/>
      <c r="AL116" s="8533"/>
      <c r="AM116" s="8534"/>
      <c r="AN116" s="2100"/>
      <c r="AP116" s="8580"/>
      <c r="AQ116" s="8581"/>
      <c r="AR116" s="2100"/>
      <c r="AT116" s="8580"/>
      <c r="AU116" s="8581"/>
      <c r="AV116" s="3938"/>
      <c r="AW116" s="3938"/>
      <c r="AX116" s="3938"/>
      <c r="AY116" s="3938"/>
      <c r="AZ116" s="8533"/>
      <c r="BA116" s="8534"/>
      <c r="BB116" s="8533"/>
      <c r="BC116" s="8534"/>
      <c r="BD116" s="6529"/>
      <c r="BE116" s="6530"/>
      <c r="BF116" s="5345"/>
      <c r="BG116" s="5345"/>
    </row>
    <row r="117" spans="2:59" s="4740" customFormat="1" ht="19.5" hidden="1" customHeight="1" thickBot="1" x14ac:dyDescent="0.3">
      <c r="B117" s="4742" t="s">
        <v>1625</v>
      </c>
      <c r="C117" s="4735" t="s">
        <v>170</v>
      </c>
      <c r="D117" s="8582"/>
      <c r="E117" s="8583"/>
      <c r="F117" s="8582"/>
      <c r="G117" s="8583"/>
      <c r="H117" s="8599">
        <f t="shared" si="468"/>
        <v>0</v>
      </c>
      <c r="I117" s="8600"/>
      <c r="J117" s="8582"/>
      <c r="K117" s="8583"/>
      <c r="L117" s="8535">
        <f t="shared" si="469"/>
        <v>0</v>
      </c>
      <c r="M117" s="8536"/>
      <c r="N117" s="8582"/>
      <c r="O117" s="8583"/>
      <c r="R117" s="8582"/>
      <c r="S117" s="8583"/>
      <c r="V117" s="8582"/>
      <c r="W117" s="8583"/>
      <c r="X117" s="8535">
        <f t="shared" si="470"/>
        <v>0</v>
      </c>
      <c r="Y117" s="8536"/>
      <c r="Z117" s="6544"/>
      <c r="AA117" s="6544"/>
      <c r="AB117" s="8582"/>
      <c r="AC117" s="8583"/>
      <c r="AF117" s="8582"/>
      <c r="AG117" s="8583"/>
      <c r="AJ117" s="8582"/>
      <c r="AK117" s="8583"/>
      <c r="AL117" s="8535"/>
      <c r="AM117" s="8536"/>
      <c r="AP117" s="8582"/>
      <c r="AQ117" s="8583"/>
      <c r="AT117" s="8582"/>
      <c r="AU117" s="8583"/>
      <c r="AV117" s="8252"/>
      <c r="AW117" s="8252"/>
      <c r="AX117" s="8252"/>
      <c r="AY117" s="8252"/>
      <c r="AZ117" s="8535"/>
      <c r="BA117" s="8536"/>
      <c r="BB117" s="8535"/>
      <c r="BC117" s="8536"/>
      <c r="BD117" s="6544"/>
      <c r="BE117" s="6544"/>
      <c r="BF117" s="5347"/>
      <c r="BG117" s="5347"/>
    </row>
    <row r="118" spans="2:59" ht="15.75" hidden="1" customHeight="1" thickBot="1" x14ac:dyDescent="0.25">
      <c r="B118" s="4743"/>
      <c r="C118" s="4744" t="s">
        <v>170</v>
      </c>
      <c r="D118" s="8590"/>
      <c r="E118" s="8591"/>
      <c r="F118" s="8590"/>
      <c r="G118" s="8591"/>
      <c r="H118" s="8632">
        <f t="shared" si="468"/>
        <v>0</v>
      </c>
      <c r="I118" s="8633"/>
      <c r="J118" s="8590"/>
      <c r="K118" s="8591"/>
      <c r="L118" s="8557">
        <f t="shared" si="469"/>
        <v>0</v>
      </c>
      <c r="M118" s="8558"/>
      <c r="N118" s="8590"/>
      <c r="O118" s="8591"/>
      <c r="R118" s="8590"/>
      <c r="S118" s="8591"/>
      <c r="T118" s="2100"/>
      <c r="V118" s="8590"/>
      <c r="W118" s="8591"/>
      <c r="X118" s="8557">
        <f t="shared" si="470"/>
        <v>0</v>
      </c>
      <c r="Y118" s="8558"/>
      <c r="Z118" s="6529"/>
      <c r="AA118" s="6530"/>
      <c r="AB118" s="8590"/>
      <c r="AC118" s="8591"/>
      <c r="AD118" s="2100"/>
      <c r="AF118" s="8590"/>
      <c r="AG118" s="8591"/>
      <c r="AH118" s="2100"/>
      <c r="AJ118" s="8590"/>
      <c r="AK118" s="8591"/>
      <c r="AL118" s="8557"/>
      <c r="AM118" s="8558"/>
      <c r="AN118" s="2100"/>
      <c r="AP118" s="8590"/>
      <c r="AQ118" s="8591"/>
      <c r="AR118" s="2100"/>
      <c r="AT118" s="8590"/>
      <c r="AU118" s="8591"/>
      <c r="AV118" s="3938"/>
      <c r="AW118" s="3938"/>
      <c r="AX118" s="3938"/>
      <c r="AY118" s="3938"/>
      <c r="AZ118" s="8557"/>
      <c r="BA118" s="8558"/>
      <c r="BB118" s="8557"/>
      <c r="BC118" s="8558"/>
      <c r="BD118" s="6529"/>
      <c r="BE118" s="6530"/>
      <c r="BF118" s="5345"/>
      <c r="BG118" s="5345"/>
    </row>
    <row r="119" spans="2:59" ht="18.75" hidden="1" customHeight="1" thickBot="1" x14ac:dyDescent="0.3">
      <c r="B119" s="4746" t="s">
        <v>1623</v>
      </c>
      <c r="C119" s="4745" t="s">
        <v>170</v>
      </c>
      <c r="D119" s="8580"/>
      <c r="E119" s="8581"/>
      <c r="F119" s="8580"/>
      <c r="G119" s="8581"/>
      <c r="H119" s="8597">
        <f t="shared" si="468"/>
        <v>0</v>
      </c>
      <c r="I119" s="8598"/>
      <c r="J119" s="8580"/>
      <c r="K119" s="8581"/>
      <c r="L119" s="8533">
        <f t="shared" si="469"/>
        <v>0</v>
      </c>
      <c r="M119" s="8534"/>
      <c r="N119" s="8580"/>
      <c r="O119" s="8581"/>
      <c r="R119" s="8580"/>
      <c r="S119" s="8581"/>
      <c r="T119" s="2100"/>
      <c r="V119" s="8580"/>
      <c r="W119" s="8581"/>
      <c r="X119" s="8533">
        <f t="shared" si="470"/>
        <v>0</v>
      </c>
      <c r="Y119" s="8534"/>
      <c r="Z119" s="6529"/>
      <c r="AA119" s="6530"/>
      <c r="AB119" s="8580"/>
      <c r="AC119" s="8581"/>
      <c r="AD119" s="2100"/>
      <c r="AF119" s="8580"/>
      <c r="AG119" s="8581"/>
      <c r="AH119" s="2100"/>
      <c r="AJ119" s="8580"/>
      <c r="AK119" s="8581"/>
      <c r="AL119" s="8533"/>
      <c r="AM119" s="8534"/>
      <c r="AN119" s="2100"/>
      <c r="AP119" s="8580"/>
      <c r="AQ119" s="8581"/>
      <c r="AR119" s="2100"/>
      <c r="AT119" s="8580"/>
      <c r="AU119" s="8581"/>
      <c r="AV119" s="3938"/>
      <c r="AW119" s="3938"/>
      <c r="AX119" s="3938"/>
      <c r="AY119" s="3938"/>
      <c r="AZ119" s="8533"/>
      <c r="BA119" s="8534"/>
      <c r="BB119" s="8533"/>
      <c r="BC119" s="8534"/>
      <c r="BD119" s="6529"/>
      <c r="BE119" s="6530"/>
      <c r="BF119" s="5345"/>
      <c r="BG119" s="5345"/>
    </row>
    <row r="120" spans="2:59" ht="15.75" hidden="1" customHeight="1" thickBot="1" x14ac:dyDescent="0.25">
      <c r="B120" s="4737" t="s">
        <v>1595</v>
      </c>
      <c r="C120" s="4735" t="s">
        <v>170</v>
      </c>
      <c r="D120" s="8580"/>
      <c r="E120" s="8581"/>
      <c r="F120" s="8580"/>
      <c r="G120" s="8581"/>
      <c r="H120" s="8597">
        <f t="shared" si="468"/>
        <v>0</v>
      </c>
      <c r="I120" s="8598"/>
      <c r="J120" s="8580"/>
      <c r="K120" s="8581"/>
      <c r="L120" s="8533">
        <f t="shared" si="469"/>
        <v>0</v>
      </c>
      <c r="M120" s="8534"/>
      <c r="N120" s="8580"/>
      <c r="O120" s="8581"/>
      <c r="R120" s="8580"/>
      <c r="S120" s="8581"/>
      <c r="T120" s="2100"/>
      <c r="V120" s="8580"/>
      <c r="W120" s="8581"/>
      <c r="X120" s="8533">
        <f t="shared" si="470"/>
        <v>0</v>
      </c>
      <c r="Y120" s="8534"/>
      <c r="Z120" s="6529"/>
      <c r="AA120" s="6530"/>
      <c r="AB120" s="8580"/>
      <c r="AC120" s="8581"/>
      <c r="AD120" s="2100"/>
      <c r="AF120" s="8580"/>
      <c r="AG120" s="8581"/>
      <c r="AH120" s="2100"/>
      <c r="AJ120" s="8580"/>
      <c r="AK120" s="8581"/>
      <c r="AL120" s="8533"/>
      <c r="AM120" s="8534"/>
      <c r="AN120" s="2100"/>
      <c r="AP120" s="8580"/>
      <c r="AQ120" s="8581"/>
      <c r="AR120" s="2100"/>
      <c r="AT120" s="8580"/>
      <c r="AU120" s="8581"/>
      <c r="AV120" s="3938"/>
      <c r="AW120" s="3938"/>
      <c r="AX120" s="3938"/>
      <c r="AY120" s="3938"/>
      <c r="AZ120" s="8533"/>
      <c r="BA120" s="8534"/>
      <c r="BB120" s="8533"/>
      <c r="BC120" s="8534"/>
      <c r="BD120" s="6529"/>
      <c r="BE120" s="6530"/>
      <c r="BF120" s="5345"/>
      <c r="BG120" s="5345"/>
    </row>
    <row r="121" spans="2:59" ht="15.75" hidden="1" customHeight="1" thickBot="1" x14ac:dyDescent="0.25">
      <c r="B121" s="4737" t="s">
        <v>1605</v>
      </c>
      <c r="C121" s="4735" t="s">
        <v>170</v>
      </c>
      <c r="D121" s="8580"/>
      <c r="E121" s="8581"/>
      <c r="F121" s="8580"/>
      <c r="G121" s="8581"/>
      <c r="H121" s="8597">
        <f>+D121+F121</f>
        <v>0</v>
      </c>
      <c r="I121" s="8598"/>
      <c r="J121" s="8580"/>
      <c r="K121" s="8581"/>
      <c r="L121" s="8533">
        <f>+D121+F121+J121</f>
        <v>0</v>
      </c>
      <c r="M121" s="8534"/>
      <c r="N121" s="8580"/>
      <c r="O121" s="8581"/>
      <c r="R121" s="8580"/>
      <c r="S121" s="8581"/>
      <c r="T121" s="2100"/>
      <c r="V121" s="8580"/>
      <c r="W121" s="8581"/>
      <c r="X121" s="8533">
        <f>+P121+R121+V121</f>
        <v>0</v>
      </c>
      <c r="Y121" s="8534"/>
      <c r="Z121" s="6529"/>
      <c r="AA121" s="6530"/>
      <c r="AB121" s="8580"/>
      <c r="AC121" s="8581"/>
      <c r="AD121" s="2100"/>
      <c r="AF121" s="8580"/>
      <c r="AG121" s="8581"/>
      <c r="AH121" s="2100"/>
      <c r="AJ121" s="8580"/>
      <c r="AK121" s="8581"/>
      <c r="AL121" s="8533"/>
      <c r="AM121" s="8534"/>
      <c r="AN121" s="2100"/>
      <c r="AP121" s="8580"/>
      <c r="AQ121" s="8581"/>
      <c r="AR121" s="2100"/>
      <c r="AT121" s="8580"/>
      <c r="AU121" s="8581"/>
      <c r="AV121" s="3938"/>
      <c r="AW121" s="3938"/>
      <c r="AX121" s="3938"/>
      <c r="AY121" s="3938"/>
      <c r="AZ121" s="8533"/>
      <c r="BA121" s="8534"/>
      <c r="BB121" s="8533"/>
      <c r="BC121" s="8534"/>
      <c r="BD121" s="6529"/>
      <c r="BE121" s="6530"/>
      <c r="BF121" s="5345"/>
      <c r="BG121" s="5345"/>
    </row>
    <row r="122" spans="2:59" ht="15.75" hidden="1" customHeight="1" thickBot="1" x14ac:dyDescent="0.25">
      <c r="B122" s="4737" t="s">
        <v>1606</v>
      </c>
      <c r="C122" s="4735" t="s">
        <v>170</v>
      </c>
      <c r="D122" s="8580"/>
      <c r="E122" s="8581"/>
      <c r="F122" s="8580"/>
      <c r="G122" s="8581"/>
      <c r="H122" s="8597">
        <f>+D122+F122</f>
        <v>0</v>
      </c>
      <c r="I122" s="8598"/>
      <c r="J122" s="8580"/>
      <c r="K122" s="8581"/>
      <c r="L122" s="8533">
        <f>+D122+F122+J122</f>
        <v>0</v>
      </c>
      <c r="M122" s="8534"/>
      <c r="N122" s="8580"/>
      <c r="O122" s="8581"/>
      <c r="R122" s="8580"/>
      <c r="S122" s="8581"/>
      <c r="T122" s="2100"/>
      <c r="V122" s="8580"/>
      <c r="W122" s="8581"/>
      <c r="X122" s="8533">
        <f>+P122+R122+V122</f>
        <v>0</v>
      </c>
      <c r="Y122" s="8534"/>
      <c r="Z122" s="6529"/>
      <c r="AA122" s="6530"/>
      <c r="AB122" s="8580"/>
      <c r="AC122" s="8581"/>
      <c r="AD122" s="2100"/>
      <c r="AF122" s="8580"/>
      <c r="AG122" s="8581"/>
      <c r="AH122" s="2100"/>
      <c r="AJ122" s="8580"/>
      <c r="AK122" s="8581"/>
      <c r="AL122" s="8533"/>
      <c r="AM122" s="8534"/>
      <c r="AN122" s="2100"/>
      <c r="AP122" s="8580"/>
      <c r="AQ122" s="8581"/>
      <c r="AR122" s="2100"/>
      <c r="AT122" s="8580"/>
      <c r="AU122" s="8581"/>
      <c r="AV122" s="3938"/>
      <c r="AW122" s="3938"/>
      <c r="AX122" s="3938"/>
      <c r="AY122" s="3938"/>
      <c r="AZ122" s="8533"/>
      <c r="BA122" s="8534"/>
      <c r="BB122" s="8533"/>
      <c r="BC122" s="8534"/>
      <c r="BD122" s="6529"/>
      <c r="BE122" s="6530"/>
      <c r="BF122" s="5345"/>
      <c r="BG122" s="5345"/>
    </row>
    <row r="123" spans="2:59" ht="15.75" hidden="1" customHeight="1" thickBot="1" x14ac:dyDescent="0.25">
      <c r="B123" s="4737" t="s">
        <v>1607</v>
      </c>
      <c r="C123" s="4735" t="s">
        <v>170</v>
      </c>
      <c r="D123" s="8580"/>
      <c r="E123" s="8581"/>
      <c r="F123" s="8580"/>
      <c r="G123" s="8581"/>
      <c r="H123" s="8597">
        <f t="shared" ref="H123:H136" si="471">+D123+F123</f>
        <v>0</v>
      </c>
      <c r="I123" s="8598"/>
      <c r="J123" s="8580"/>
      <c r="K123" s="8581"/>
      <c r="L123" s="8533">
        <f t="shared" ref="L123:L136" si="472">+D123+F123+J123</f>
        <v>0</v>
      </c>
      <c r="M123" s="8534"/>
      <c r="N123" s="8580"/>
      <c r="O123" s="8581"/>
      <c r="R123" s="8580"/>
      <c r="S123" s="8581"/>
      <c r="T123" s="2100"/>
      <c r="V123" s="8580"/>
      <c r="W123" s="8581"/>
      <c r="X123" s="8533">
        <f t="shared" ref="X123:X136" si="473">+P123+R123+V123</f>
        <v>0</v>
      </c>
      <c r="Y123" s="8534"/>
      <c r="Z123" s="6529"/>
      <c r="AA123" s="6530"/>
      <c r="AB123" s="8580"/>
      <c r="AC123" s="8581"/>
      <c r="AD123" s="2100"/>
      <c r="AF123" s="8580"/>
      <c r="AG123" s="8581"/>
      <c r="AH123" s="2100"/>
      <c r="AJ123" s="8580"/>
      <c r="AK123" s="8581"/>
      <c r="AL123" s="8533"/>
      <c r="AM123" s="8534"/>
      <c r="AN123" s="2100"/>
      <c r="AP123" s="8580"/>
      <c r="AQ123" s="8581"/>
      <c r="AR123" s="2100"/>
      <c r="AT123" s="8580"/>
      <c r="AU123" s="8581"/>
      <c r="AV123" s="3938"/>
      <c r="AW123" s="3938"/>
      <c r="AX123" s="3938"/>
      <c r="AY123" s="3938"/>
      <c r="AZ123" s="8533"/>
      <c r="BA123" s="8534"/>
      <c r="BB123" s="8533"/>
      <c r="BC123" s="8534"/>
      <c r="BD123" s="6529"/>
      <c r="BE123" s="6530"/>
      <c r="BF123" s="5345"/>
      <c r="BG123" s="5345"/>
    </row>
    <row r="124" spans="2:59" ht="15.75" hidden="1" customHeight="1" thickBot="1" x14ac:dyDescent="0.25">
      <c r="B124" s="4737" t="s">
        <v>1624</v>
      </c>
      <c r="C124" s="4735" t="s">
        <v>170</v>
      </c>
      <c r="D124" s="8580"/>
      <c r="E124" s="8581"/>
      <c r="F124" s="8580"/>
      <c r="G124" s="8581"/>
      <c r="H124" s="8597">
        <f t="shared" si="471"/>
        <v>0</v>
      </c>
      <c r="I124" s="8598"/>
      <c r="J124" s="8580"/>
      <c r="K124" s="8581"/>
      <c r="L124" s="8533">
        <f t="shared" si="472"/>
        <v>0</v>
      </c>
      <c r="M124" s="8534"/>
      <c r="N124" s="8580"/>
      <c r="O124" s="8581"/>
      <c r="R124" s="8580"/>
      <c r="S124" s="8581"/>
      <c r="T124" s="2100"/>
      <c r="V124" s="8580"/>
      <c r="W124" s="8581"/>
      <c r="X124" s="8533">
        <f t="shared" si="473"/>
        <v>0</v>
      </c>
      <c r="Y124" s="8534"/>
      <c r="Z124" s="6529"/>
      <c r="AA124" s="6530"/>
      <c r="AB124" s="8580"/>
      <c r="AC124" s="8581"/>
      <c r="AD124" s="2100"/>
      <c r="AF124" s="8580"/>
      <c r="AG124" s="8581"/>
      <c r="AH124" s="2100"/>
      <c r="AJ124" s="8580"/>
      <c r="AK124" s="8581"/>
      <c r="AL124" s="8533"/>
      <c r="AM124" s="8534"/>
      <c r="AN124" s="2100"/>
      <c r="AP124" s="8580"/>
      <c r="AQ124" s="8581"/>
      <c r="AR124" s="2100"/>
      <c r="AT124" s="8580"/>
      <c r="AU124" s="8581"/>
      <c r="AV124" s="3938"/>
      <c r="AW124" s="3938"/>
      <c r="AX124" s="3938"/>
      <c r="AY124" s="3938"/>
      <c r="AZ124" s="8533"/>
      <c r="BA124" s="8534"/>
      <c r="BB124" s="8533"/>
      <c r="BC124" s="8534"/>
      <c r="BD124" s="6529"/>
      <c r="BE124" s="6530"/>
      <c r="BF124" s="5345"/>
      <c r="BG124" s="5345"/>
    </row>
    <row r="125" spans="2:59" ht="15.75" hidden="1" customHeight="1" thickBot="1" x14ac:dyDescent="0.25">
      <c r="B125" s="4737"/>
      <c r="C125" s="4735" t="s">
        <v>170</v>
      </c>
      <c r="D125" s="8580"/>
      <c r="E125" s="8581"/>
      <c r="F125" s="8580"/>
      <c r="G125" s="8581"/>
      <c r="H125" s="8597">
        <f t="shared" si="471"/>
        <v>0</v>
      </c>
      <c r="I125" s="8598"/>
      <c r="J125" s="8580"/>
      <c r="K125" s="8581"/>
      <c r="L125" s="8533">
        <f t="shared" si="472"/>
        <v>0</v>
      </c>
      <c r="M125" s="8534"/>
      <c r="N125" s="8580"/>
      <c r="O125" s="8581"/>
      <c r="R125" s="8580"/>
      <c r="S125" s="8581"/>
      <c r="T125" s="2100"/>
      <c r="V125" s="8580"/>
      <c r="W125" s="8581"/>
      <c r="X125" s="8533">
        <f t="shared" si="473"/>
        <v>0</v>
      </c>
      <c r="Y125" s="8534"/>
      <c r="Z125" s="6529"/>
      <c r="AA125" s="6530"/>
      <c r="AB125" s="8580"/>
      <c r="AC125" s="8581"/>
      <c r="AD125" s="2100"/>
      <c r="AF125" s="8580"/>
      <c r="AG125" s="8581"/>
      <c r="AH125" s="2100"/>
      <c r="AJ125" s="8580"/>
      <c r="AK125" s="8581"/>
      <c r="AL125" s="8533"/>
      <c r="AM125" s="8534"/>
      <c r="AN125" s="2100"/>
      <c r="AP125" s="8580"/>
      <c r="AQ125" s="8581"/>
      <c r="AR125" s="2100"/>
      <c r="AT125" s="8580"/>
      <c r="AU125" s="8581"/>
      <c r="AV125" s="3938"/>
      <c r="AW125" s="3938"/>
      <c r="AX125" s="3938"/>
      <c r="AY125" s="3938"/>
      <c r="AZ125" s="8533"/>
      <c r="BA125" s="8534"/>
      <c r="BB125" s="8533"/>
      <c r="BC125" s="8534"/>
      <c r="BD125" s="6529"/>
      <c r="BE125" s="6530"/>
      <c r="BF125" s="5345"/>
      <c r="BG125" s="5345"/>
    </row>
    <row r="126" spans="2:59" ht="15.75" hidden="1" customHeight="1" thickBot="1" x14ac:dyDescent="0.25">
      <c r="B126" s="4737"/>
      <c r="C126" s="4735" t="s">
        <v>170</v>
      </c>
      <c r="D126" s="8580"/>
      <c r="E126" s="8581"/>
      <c r="F126" s="8580"/>
      <c r="G126" s="8581"/>
      <c r="H126" s="8597">
        <f t="shared" si="471"/>
        <v>0</v>
      </c>
      <c r="I126" s="8598"/>
      <c r="J126" s="8580"/>
      <c r="K126" s="8581"/>
      <c r="L126" s="8533">
        <f t="shared" si="472"/>
        <v>0</v>
      </c>
      <c r="M126" s="8534"/>
      <c r="N126" s="8580"/>
      <c r="O126" s="8581"/>
      <c r="R126" s="8580"/>
      <c r="S126" s="8581"/>
      <c r="T126" s="2100"/>
      <c r="V126" s="8580"/>
      <c r="W126" s="8581"/>
      <c r="X126" s="8533">
        <f t="shared" si="473"/>
        <v>0</v>
      </c>
      <c r="Y126" s="8534"/>
      <c r="Z126" s="6529"/>
      <c r="AA126" s="6530"/>
      <c r="AB126" s="8580"/>
      <c r="AC126" s="8581"/>
      <c r="AD126" s="2100"/>
      <c r="AF126" s="8580"/>
      <c r="AG126" s="8581"/>
      <c r="AH126" s="2100"/>
      <c r="AJ126" s="8580"/>
      <c r="AK126" s="8581"/>
      <c r="AL126" s="8533"/>
      <c r="AM126" s="8534"/>
      <c r="AN126" s="2100"/>
      <c r="AP126" s="8580"/>
      <c r="AQ126" s="8581"/>
      <c r="AR126" s="2100"/>
      <c r="AT126" s="8580"/>
      <c r="AU126" s="8581"/>
      <c r="AV126" s="3938"/>
      <c r="AW126" s="3938"/>
      <c r="AX126" s="3938"/>
      <c r="AY126" s="3938"/>
      <c r="AZ126" s="8533"/>
      <c r="BA126" s="8534"/>
      <c r="BB126" s="8533"/>
      <c r="BC126" s="8534"/>
      <c r="BD126" s="6529"/>
      <c r="BE126" s="6530"/>
      <c r="BF126" s="5345"/>
      <c r="BG126" s="5345"/>
    </row>
    <row r="127" spans="2:59" s="4740" customFormat="1" ht="19.5" hidden="1" customHeight="1" thickBot="1" x14ac:dyDescent="0.3">
      <c r="B127" s="4742" t="s">
        <v>1626</v>
      </c>
      <c r="C127" s="4735" t="s">
        <v>170</v>
      </c>
      <c r="D127" s="8582"/>
      <c r="E127" s="8583"/>
      <c r="F127" s="8582"/>
      <c r="G127" s="8583"/>
      <c r="H127" s="8599">
        <f t="shared" si="471"/>
        <v>0</v>
      </c>
      <c r="I127" s="8600"/>
      <c r="J127" s="8582"/>
      <c r="K127" s="8583"/>
      <c r="L127" s="8535">
        <f t="shared" si="472"/>
        <v>0</v>
      </c>
      <c r="M127" s="8536"/>
      <c r="N127" s="8582"/>
      <c r="O127" s="8583"/>
      <c r="R127" s="8582"/>
      <c r="S127" s="8583"/>
      <c r="V127" s="8582"/>
      <c r="W127" s="8583"/>
      <c r="X127" s="8535">
        <f t="shared" si="473"/>
        <v>0</v>
      </c>
      <c r="Y127" s="8536"/>
      <c r="Z127" s="6544"/>
      <c r="AA127" s="6544"/>
      <c r="AB127" s="8582"/>
      <c r="AC127" s="8583"/>
      <c r="AF127" s="8582"/>
      <c r="AG127" s="8583"/>
      <c r="AJ127" s="8582"/>
      <c r="AK127" s="8583"/>
      <c r="AL127" s="8535"/>
      <c r="AM127" s="8536"/>
      <c r="AP127" s="8582"/>
      <c r="AQ127" s="8583"/>
      <c r="AT127" s="8582"/>
      <c r="AU127" s="8583"/>
      <c r="AV127" s="8252"/>
      <c r="AW127" s="8252"/>
      <c r="AX127" s="8252"/>
      <c r="AY127" s="8252"/>
      <c r="AZ127" s="8535"/>
      <c r="BA127" s="8536"/>
      <c r="BB127" s="8535"/>
      <c r="BC127" s="8536"/>
      <c r="BD127" s="6544"/>
      <c r="BE127" s="6544"/>
      <c r="BF127" s="5347"/>
      <c r="BG127" s="5347"/>
    </row>
    <row r="128" spans="2:59" ht="15.75" hidden="1" customHeight="1" thickBot="1" x14ac:dyDescent="0.25">
      <c r="B128" s="4741"/>
      <c r="C128" s="4734" t="s">
        <v>170</v>
      </c>
      <c r="D128" s="8584"/>
      <c r="E128" s="8585"/>
      <c r="F128" s="8584"/>
      <c r="G128" s="8585"/>
      <c r="H128" s="8603">
        <f t="shared" si="471"/>
        <v>0</v>
      </c>
      <c r="I128" s="8604"/>
      <c r="J128" s="8584"/>
      <c r="K128" s="8585"/>
      <c r="L128" s="8537">
        <f t="shared" si="472"/>
        <v>0</v>
      </c>
      <c r="M128" s="8538"/>
      <c r="N128" s="8584"/>
      <c r="O128" s="8585"/>
      <c r="R128" s="8584"/>
      <c r="S128" s="8585"/>
      <c r="T128" s="2100"/>
      <c r="V128" s="8584"/>
      <c r="W128" s="8585"/>
      <c r="X128" s="8537">
        <f t="shared" si="473"/>
        <v>0</v>
      </c>
      <c r="Y128" s="8538"/>
      <c r="Z128" s="6529"/>
      <c r="AA128" s="6530"/>
      <c r="AB128" s="8584"/>
      <c r="AC128" s="8585"/>
      <c r="AD128" s="2100"/>
      <c r="AF128" s="8584"/>
      <c r="AG128" s="8585"/>
      <c r="AH128" s="2100"/>
      <c r="AJ128" s="8584"/>
      <c r="AK128" s="8585"/>
      <c r="AL128" s="8537"/>
      <c r="AM128" s="8538"/>
      <c r="AN128" s="2100"/>
      <c r="AP128" s="8584"/>
      <c r="AQ128" s="8585"/>
      <c r="AR128" s="2100"/>
      <c r="AT128" s="8584"/>
      <c r="AU128" s="8585"/>
      <c r="AV128" s="3938"/>
      <c r="AW128" s="3938"/>
      <c r="AX128" s="3938"/>
      <c r="AY128" s="3938"/>
      <c r="AZ128" s="8537"/>
      <c r="BA128" s="8538"/>
      <c r="BB128" s="8537"/>
      <c r="BC128" s="8538"/>
      <c r="BD128" s="6529"/>
      <c r="BE128" s="6530"/>
      <c r="BF128" s="5345"/>
      <c r="BG128" s="5345"/>
    </row>
    <row r="129" spans="2:59" ht="15.75" hidden="1" customHeight="1" thickBot="1" x14ac:dyDescent="0.25">
      <c r="B129" s="4737"/>
      <c r="C129" s="4735" t="s">
        <v>170</v>
      </c>
      <c r="D129" s="8580"/>
      <c r="E129" s="8581"/>
      <c r="F129" s="8580"/>
      <c r="G129" s="8581"/>
      <c r="H129" s="8597">
        <f t="shared" si="471"/>
        <v>0</v>
      </c>
      <c r="I129" s="8598"/>
      <c r="J129" s="8580"/>
      <c r="K129" s="8581"/>
      <c r="L129" s="8533">
        <f t="shared" si="472"/>
        <v>0</v>
      </c>
      <c r="M129" s="8534"/>
      <c r="N129" s="8580"/>
      <c r="O129" s="8581"/>
      <c r="R129" s="8580"/>
      <c r="S129" s="8581"/>
      <c r="T129" s="2100"/>
      <c r="V129" s="8580"/>
      <c r="W129" s="8581"/>
      <c r="X129" s="8533">
        <f t="shared" si="473"/>
        <v>0</v>
      </c>
      <c r="Y129" s="8534"/>
      <c r="Z129" s="6529"/>
      <c r="AA129" s="6530"/>
      <c r="AB129" s="8580"/>
      <c r="AC129" s="8581"/>
      <c r="AD129" s="2100"/>
      <c r="AF129" s="8580"/>
      <c r="AG129" s="8581"/>
      <c r="AH129" s="2100"/>
      <c r="AJ129" s="8580"/>
      <c r="AK129" s="8581"/>
      <c r="AL129" s="8533"/>
      <c r="AM129" s="8534"/>
      <c r="AN129" s="2100"/>
      <c r="AP129" s="8580"/>
      <c r="AQ129" s="8581"/>
      <c r="AR129" s="2100"/>
      <c r="AT129" s="8580"/>
      <c r="AU129" s="8581"/>
      <c r="AV129" s="3938"/>
      <c r="AW129" s="3938"/>
      <c r="AX129" s="3938"/>
      <c r="AY129" s="3938"/>
      <c r="AZ129" s="8533"/>
      <c r="BA129" s="8534"/>
      <c r="BB129" s="8533"/>
      <c r="BC129" s="8534"/>
      <c r="BD129" s="6529"/>
      <c r="BE129" s="6530"/>
      <c r="BF129" s="5345"/>
      <c r="BG129" s="5345"/>
    </row>
    <row r="130" spans="2:59" ht="15.75" hidden="1" customHeight="1" thickBot="1" x14ac:dyDescent="0.25">
      <c r="B130" s="4737"/>
      <c r="C130" s="4735" t="s">
        <v>170</v>
      </c>
      <c r="D130" s="8580"/>
      <c r="E130" s="8581"/>
      <c r="F130" s="8580"/>
      <c r="G130" s="8581"/>
      <c r="H130" s="8597">
        <f t="shared" si="471"/>
        <v>0</v>
      </c>
      <c r="I130" s="8598"/>
      <c r="J130" s="8580"/>
      <c r="K130" s="8581"/>
      <c r="L130" s="8533">
        <f t="shared" si="472"/>
        <v>0</v>
      </c>
      <c r="M130" s="8534"/>
      <c r="N130" s="8580"/>
      <c r="O130" s="8581"/>
      <c r="R130" s="8580"/>
      <c r="S130" s="8581"/>
      <c r="T130" s="2100"/>
      <c r="V130" s="8580"/>
      <c r="W130" s="8581"/>
      <c r="X130" s="8533">
        <f t="shared" si="473"/>
        <v>0</v>
      </c>
      <c r="Y130" s="8534"/>
      <c r="Z130" s="6529"/>
      <c r="AA130" s="6530"/>
      <c r="AB130" s="8580"/>
      <c r="AC130" s="8581"/>
      <c r="AD130" s="2100"/>
      <c r="AF130" s="8580"/>
      <c r="AG130" s="8581"/>
      <c r="AH130" s="2100"/>
      <c r="AJ130" s="8580"/>
      <c r="AK130" s="8581"/>
      <c r="AL130" s="8533"/>
      <c r="AM130" s="8534"/>
      <c r="AN130" s="2100"/>
      <c r="AP130" s="8580"/>
      <c r="AQ130" s="8581"/>
      <c r="AR130" s="2100"/>
      <c r="AT130" s="8580"/>
      <c r="AU130" s="8581"/>
      <c r="AV130" s="3938"/>
      <c r="AW130" s="3938"/>
      <c r="AX130" s="3938"/>
      <c r="AY130" s="3938"/>
      <c r="AZ130" s="8533"/>
      <c r="BA130" s="8534"/>
      <c r="BB130" s="8533"/>
      <c r="BC130" s="8534"/>
      <c r="BD130" s="6529"/>
      <c r="BE130" s="6530"/>
      <c r="BF130" s="5345"/>
      <c r="BG130" s="5345"/>
    </row>
    <row r="131" spans="2:59" ht="15.75" hidden="1" customHeight="1" thickBot="1" x14ac:dyDescent="0.25">
      <c r="B131" s="4737"/>
      <c r="C131" s="4735" t="s">
        <v>170</v>
      </c>
      <c r="D131" s="8580"/>
      <c r="E131" s="8581"/>
      <c r="F131" s="8580"/>
      <c r="G131" s="8581"/>
      <c r="H131" s="8597">
        <f t="shared" si="471"/>
        <v>0</v>
      </c>
      <c r="I131" s="8598"/>
      <c r="J131" s="8580"/>
      <c r="K131" s="8581"/>
      <c r="L131" s="8533">
        <f t="shared" si="472"/>
        <v>0</v>
      </c>
      <c r="M131" s="8534"/>
      <c r="N131" s="8580"/>
      <c r="O131" s="8581"/>
      <c r="R131" s="8580"/>
      <c r="S131" s="8581"/>
      <c r="T131" s="2100"/>
      <c r="V131" s="8580"/>
      <c r="W131" s="8581"/>
      <c r="X131" s="8533">
        <f t="shared" si="473"/>
        <v>0</v>
      </c>
      <c r="Y131" s="8534"/>
      <c r="Z131" s="6529"/>
      <c r="AA131" s="6530"/>
      <c r="AB131" s="8580"/>
      <c r="AC131" s="8581"/>
      <c r="AD131" s="2100"/>
      <c r="AF131" s="8580"/>
      <c r="AG131" s="8581"/>
      <c r="AH131" s="2100"/>
      <c r="AJ131" s="8580"/>
      <c r="AK131" s="8581"/>
      <c r="AL131" s="8533"/>
      <c r="AM131" s="8534"/>
      <c r="AN131" s="2100"/>
      <c r="AP131" s="8580"/>
      <c r="AQ131" s="8581"/>
      <c r="AR131" s="2100"/>
      <c r="AT131" s="8580"/>
      <c r="AU131" s="8581"/>
      <c r="AV131" s="3938"/>
      <c r="AW131" s="3938"/>
      <c r="AX131" s="3938"/>
      <c r="AY131" s="3938"/>
      <c r="AZ131" s="8533"/>
      <c r="BA131" s="8534"/>
      <c r="BB131" s="8533"/>
      <c r="BC131" s="8534"/>
      <c r="BD131" s="6529"/>
      <c r="BE131" s="6530"/>
      <c r="BF131" s="5345"/>
      <c r="BG131" s="5345"/>
    </row>
    <row r="132" spans="2:59" ht="15.75" hidden="1" customHeight="1" thickBot="1" x14ac:dyDescent="0.25">
      <c r="B132" s="4737"/>
      <c r="C132" s="4735" t="s">
        <v>170</v>
      </c>
      <c r="D132" s="8580"/>
      <c r="E132" s="8581"/>
      <c r="F132" s="8580"/>
      <c r="G132" s="8581"/>
      <c r="H132" s="8597">
        <f t="shared" si="471"/>
        <v>0</v>
      </c>
      <c r="I132" s="8598"/>
      <c r="J132" s="8580"/>
      <c r="K132" s="8581"/>
      <c r="L132" s="8533">
        <f t="shared" si="472"/>
        <v>0</v>
      </c>
      <c r="M132" s="8534"/>
      <c r="N132" s="8580"/>
      <c r="O132" s="8581"/>
      <c r="R132" s="8580"/>
      <c r="S132" s="8581"/>
      <c r="T132" s="2100"/>
      <c r="V132" s="8580"/>
      <c r="W132" s="8581"/>
      <c r="X132" s="8533">
        <f t="shared" si="473"/>
        <v>0</v>
      </c>
      <c r="Y132" s="8534"/>
      <c r="Z132" s="6529"/>
      <c r="AA132" s="6530"/>
      <c r="AB132" s="8580"/>
      <c r="AC132" s="8581"/>
      <c r="AD132" s="2100"/>
      <c r="AF132" s="8580"/>
      <c r="AG132" s="8581"/>
      <c r="AH132" s="2100"/>
      <c r="AJ132" s="8580"/>
      <c r="AK132" s="8581"/>
      <c r="AL132" s="8533"/>
      <c r="AM132" s="8534"/>
      <c r="AN132" s="2100"/>
      <c r="AP132" s="8580"/>
      <c r="AQ132" s="8581"/>
      <c r="AR132" s="2100"/>
      <c r="AT132" s="8580"/>
      <c r="AU132" s="8581"/>
      <c r="AV132" s="3938"/>
      <c r="AW132" s="3938"/>
      <c r="AX132" s="3938"/>
      <c r="AY132" s="3938"/>
      <c r="AZ132" s="8533"/>
      <c r="BA132" s="8534"/>
      <c r="BB132" s="8533"/>
      <c r="BC132" s="8534"/>
      <c r="BD132" s="6529"/>
      <c r="BE132" s="6530"/>
      <c r="BF132" s="5345"/>
      <c r="BG132" s="5345"/>
    </row>
    <row r="133" spans="2:59" ht="15.75" hidden="1" customHeight="1" thickBot="1" x14ac:dyDescent="0.25">
      <c r="B133" s="4737"/>
      <c r="C133" s="4735" t="s">
        <v>170</v>
      </c>
      <c r="D133" s="8580"/>
      <c r="E133" s="8581"/>
      <c r="F133" s="8580"/>
      <c r="G133" s="8581"/>
      <c r="H133" s="8597">
        <f t="shared" si="471"/>
        <v>0</v>
      </c>
      <c r="I133" s="8598"/>
      <c r="J133" s="8580"/>
      <c r="K133" s="8581"/>
      <c r="L133" s="8533">
        <f t="shared" si="472"/>
        <v>0</v>
      </c>
      <c r="M133" s="8534"/>
      <c r="N133" s="8580"/>
      <c r="O133" s="8581"/>
      <c r="R133" s="8580"/>
      <c r="S133" s="8581"/>
      <c r="T133" s="2100"/>
      <c r="V133" s="8580"/>
      <c r="W133" s="8581"/>
      <c r="X133" s="8533">
        <f t="shared" si="473"/>
        <v>0</v>
      </c>
      <c r="Y133" s="8534"/>
      <c r="Z133" s="6529"/>
      <c r="AA133" s="6530"/>
      <c r="AB133" s="8580"/>
      <c r="AC133" s="8581"/>
      <c r="AD133" s="2100"/>
      <c r="AF133" s="8580"/>
      <c r="AG133" s="8581"/>
      <c r="AH133" s="2100"/>
      <c r="AJ133" s="8580"/>
      <c r="AK133" s="8581"/>
      <c r="AL133" s="8533"/>
      <c r="AM133" s="8534"/>
      <c r="AN133" s="2100"/>
      <c r="AP133" s="8580"/>
      <c r="AQ133" s="8581"/>
      <c r="AR133" s="2100"/>
      <c r="AT133" s="8580"/>
      <c r="AU133" s="8581"/>
      <c r="AV133" s="3938"/>
      <c r="AW133" s="3938"/>
      <c r="AX133" s="3938"/>
      <c r="AY133" s="3938"/>
      <c r="AZ133" s="8533"/>
      <c r="BA133" s="8534"/>
      <c r="BB133" s="8533"/>
      <c r="BC133" s="8534"/>
      <c r="BD133" s="6529"/>
      <c r="BE133" s="6530"/>
      <c r="BF133" s="5345"/>
      <c r="BG133" s="5345"/>
    </row>
    <row r="134" spans="2:59" ht="15.75" hidden="1" customHeight="1" thickBot="1" x14ac:dyDescent="0.25">
      <c r="B134" s="4737"/>
      <c r="C134" s="4735" t="s">
        <v>170</v>
      </c>
      <c r="D134" s="8580"/>
      <c r="E134" s="8581"/>
      <c r="F134" s="8580"/>
      <c r="G134" s="8581"/>
      <c r="H134" s="8597">
        <f t="shared" si="471"/>
        <v>0</v>
      </c>
      <c r="I134" s="8598"/>
      <c r="J134" s="8580"/>
      <c r="K134" s="8581"/>
      <c r="L134" s="8533">
        <f t="shared" si="472"/>
        <v>0</v>
      </c>
      <c r="M134" s="8534"/>
      <c r="N134" s="8580"/>
      <c r="O134" s="8581"/>
      <c r="R134" s="8580"/>
      <c r="S134" s="8581"/>
      <c r="T134" s="2100"/>
      <c r="V134" s="8580"/>
      <c r="W134" s="8581"/>
      <c r="X134" s="8533">
        <f t="shared" si="473"/>
        <v>0</v>
      </c>
      <c r="Y134" s="8534"/>
      <c r="Z134" s="6529"/>
      <c r="AA134" s="6530"/>
      <c r="AB134" s="8580"/>
      <c r="AC134" s="8581"/>
      <c r="AD134" s="2100"/>
      <c r="AF134" s="8580"/>
      <c r="AG134" s="8581"/>
      <c r="AH134" s="2100"/>
      <c r="AJ134" s="8580"/>
      <c r="AK134" s="8581"/>
      <c r="AL134" s="8533"/>
      <c r="AM134" s="8534"/>
      <c r="AN134" s="2100"/>
      <c r="AP134" s="8580"/>
      <c r="AQ134" s="8581"/>
      <c r="AR134" s="2100"/>
      <c r="AT134" s="8580"/>
      <c r="AU134" s="8581"/>
      <c r="AV134" s="3938"/>
      <c r="AW134" s="3938"/>
      <c r="AX134" s="3938"/>
      <c r="AY134" s="3938"/>
      <c r="AZ134" s="8533"/>
      <c r="BA134" s="8534"/>
      <c r="BB134" s="8533"/>
      <c r="BC134" s="8534"/>
      <c r="BD134" s="6529"/>
      <c r="BE134" s="6530"/>
      <c r="BF134" s="5345"/>
      <c r="BG134" s="5345"/>
    </row>
    <row r="135" spans="2:59" ht="15.75" hidden="1" customHeight="1" thickBot="1" x14ac:dyDescent="0.25">
      <c r="B135" s="4737"/>
      <c r="C135" s="4735" t="s">
        <v>170</v>
      </c>
      <c r="D135" s="8580"/>
      <c r="E135" s="8581"/>
      <c r="F135" s="8580"/>
      <c r="G135" s="8581"/>
      <c r="H135" s="8597">
        <f t="shared" si="471"/>
        <v>0</v>
      </c>
      <c r="I135" s="8598"/>
      <c r="J135" s="8580"/>
      <c r="K135" s="8581"/>
      <c r="L135" s="8533">
        <f t="shared" si="472"/>
        <v>0</v>
      </c>
      <c r="M135" s="8534"/>
      <c r="N135" s="8580"/>
      <c r="O135" s="8581"/>
      <c r="R135" s="8580"/>
      <c r="S135" s="8581"/>
      <c r="T135" s="2100"/>
      <c r="V135" s="8580"/>
      <c r="W135" s="8581"/>
      <c r="X135" s="8533">
        <f t="shared" si="473"/>
        <v>0</v>
      </c>
      <c r="Y135" s="8534"/>
      <c r="Z135" s="6529"/>
      <c r="AA135" s="6530"/>
      <c r="AB135" s="8580"/>
      <c r="AC135" s="8581"/>
      <c r="AD135" s="2100"/>
      <c r="AF135" s="8580"/>
      <c r="AG135" s="8581"/>
      <c r="AH135" s="2100"/>
      <c r="AJ135" s="8580"/>
      <c r="AK135" s="8581"/>
      <c r="AL135" s="8533"/>
      <c r="AM135" s="8534"/>
      <c r="AN135" s="2100"/>
      <c r="AP135" s="8580"/>
      <c r="AQ135" s="8581"/>
      <c r="AR135" s="2100"/>
      <c r="AT135" s="8580"/>
      <c r="AU135" s="8581"/>
      <c r="AV135" s="3938"/>
      <c r="AW135" s="3938"/>
      <c r="AX135" s="3938"/>
      <c r="AY135" s="3938"/>
      <c r="AZ135" s="8533"/>
      <c r="BA135" s="8534"/>
      <c r="BB135" s="8533"/>
      <c r="BC135" s="8534"/>
      <c r="BD135" s="6529"/>
      <c r="BE135" s="6530"/>
      <c r="BF135" s="5345"/>
      <c r="BG135" s="5345"/>
    </row>
    <row r="136" spans="2:59" ht="15.75" hidden="1" customHeight="1" thickBot="1" x14ac:dyDescent="0.25">
      <c r="B136" s="4737"/>
      <c r="C136" s="4736" t="s">
        <v>170</v>
      </c>
      <c r="D136" s="8580"/>
      <c r="E136" s="8581"/>
      <c r="F136" s="8580"/>
      <c r="G136" s="8581"/>
      <c r="H136" s="8597">
        <f t="shared" si="471"/>
        <v>0</v>
      </c>
      <c r="I136" s="8598"/>
      <c r="J136" s="8580"/>
      <c r="K136" s="8581"/>
      <c r="L136" s="8533">
        <f t="shared" si="472"/>
        <v>0</v>
      </c>
      <c r="M136" s="8534"/>
      <c r="N136" s="8580"/>
      <c r="O136" s="8581"/>
      <c r="R136" s="8580"/>
      <c r="S136" s="8581"/>
      <c r="T136" s="2100"/>
      <c r="V136" s="8580"/>
      <c r="W136" s="8581"/>
      <c r="X136" s="8533">
        <f t="shared" si="473"/>
        <v>0</v>
      </c>
      <c r="Y136" s="8534"/>
      <c r="Z136" s="6529"/>
      <c r="AA136" s="6530"/>
      <c r="AB136" s="8580"/>
      <c r="AC136" s="8581"/>
      <c r="AD136" s="2100"/>
      <c r="AF136" s="8580"/>
      <c r="AG136" s="8581"/>
      <c r="AH136" s="2100"/>
      <c r="AJ136" s="8580"/>
      <c r="AK136" s="8581"/>
      <c r="AL136" s="8533"/>
      <c r="AM136" s="8534"/>
      <c r="AN136" s="2100"/>
      <c r="AP136" s="8580"/>
      <c r="AQ136" s="8581"/>
      <c r="AR136" s="2100"/>
      <c r="AT136" s="8580"/>
      <c r="AU136" s="8581"/>
      <c r="AV136" s="3938"/>
      <c r="AW136" s="3938"/>
      <c r="AX136" s="3938"/>
      <c r="AY136" s="3938"/>
      <c r="AZ136" s="8533"/>
      <c r="BA136" s="8534"/>
      <c r="BB136" s="8533"/>
      <c r="BC136" s="8534"/>
      <c r="BD136" s="6529"/>
      <c r="BE136" s="6530"/>
      <c r="BF136" s="5345"/>
      <c r="BG136" s="5345"/>
    </row>
    <row r="137" spans="2:59" ht="16.5" hidden="1" customHeight="1" thickBot="1" x14ac:dyDescent="0.25">
      <c r="B137" s="4738"/>
      <c r="C137" s="1644" t="s">
        <v>170</v>
      </c>
      <c r="D137" s="8582"/>
      <c r="E137" s="8583"/>
      <c r="F137" s="8582"/>
      <c r="G137" s="8583"/>
      <c r="H137" s="8599">
        <f t="shared" ref="H137:M137" si="474">SUM(H111:H136)</f>
        <v>0</v>
      </c>
      <c r="I137" s="8600">
        <f t="shared" si="474"/>
        <v>0</v>
      </c>
      <c r="J137" s="8582"/>
      <c r="K137" s="8583"/>
      <c r="L137" s="8535">
        <f t="shared" si="474"/>
        <v>0</v>
      </c>
      <c r="M137" s="8536">
        <f t="shared" si="474"/>
        <v>0</v>
      </c>
      <c r="N137" s="8582"/>
      <c r="O137" s="8583"/>
      <c r="R137" s="8582"/>
      <c r="S137" s="8583"/>
      <c r="T137" s="2100"/>
      <c r="V137" s="8582"/>
      <c r="W137" s="8583"/>
      <c r="X137" s="8535">
        <f t="shared" ref="X137:Y137" si="475">SUM(X111:X136)</f>
        <v>0</v>
      </c>
      <c r="Y137" s="8536">
        <f t="shared" si="475"/>
        <v>0</v>
      </c>
      <c r="Z137" s="6529"/>
      <c r="AA137" s="6530"/>
      <c r="AB137" s="8582"/>
      <c r="AC137" s="8583"/>
      <c r="AD137" s="2100"/>
      <c r="AF137" s="8582"/>
      <c r="AG137" s="8583"/>
      <c r="AH137" s="2100"/>
      <c r="AJ137" s="8582"/>
      <c r="AK137" s="8583"/>
      <c r="AL137" s="8539"/>
      <c r="AM137" s="8540"/>
      <c r="AN137" s="2100"/>
      <c r="AP137" s="8582"/>
      <c r="AQ137" s="8583"/>
      <c r="AR137" s="2100"/>
      <c r="AT137" s="8582"/>
      <c r="AU137" s="8583"/>
      <c r="AV137" s="3938"/>
      <c r="AW137" s="3938"/>
      <c r="AX137" s="3938"/>
      <c r="AY137" s="3938"/>
      <c r="AZ137" s="8539"/>
      <c r="BA137" s="8540"/>
      <c r="BB137" s="8539"/>
      <c r="BC137" s="8540"/>
      <c r="BD137" s="6529"/>
      <c r="BE137" s="6530"/>
      <c r="BF137" s="5345"/>
      <c r="BG137" s="5345"/>
    </row>
    <row r="138" spans="2:59" x14ac:dyDescent="0.2">
      <c r="B138" s="5187" t="s">
        <v>1923</v>
      </c>
      <c r="C138" s="1545" t="s">
        <v>1924</v>
      </c>
      <c r="D138" s="5295">
        <v>857</v>
      </c>
      <c r="E138" s="2750">
        <v>857</v>
      </c>
      <c r="F138" s="5295">
        <v>887</v>
      </c>
      <c r="G138" s="4406">
        <f>346+302+239</f>
        <v>887</v>
      </c>
      <c r="H138" s="5294">
        <f>+D138+F138</f>
        <v>1744</v>
      </c>
      <c r="I138" s="1823">
        <f>+E138+G138</f>
        <v>1744</v>
      </c>
      <c r="J138" s="5683">
        <v>1079.6466666666668</v>
      </c>
      <c r="K138" s="4406">
        <f>329+346+293</f>
        <v>968</v>
      </c>
      <c r="L138" s="4792">
        <f t="shared" ref="L138" si="476">+H138+J138</f>
        <v>2823.6466666666665</v>
      </c>
      <c r="M138" s="2011">
        <f t="shared" ref="M138" si="477">+I138+K138</f>
        <v>2712</v>
      </c>
      <c r="N138" s="5890">
        <v>1474.98</v>
      </c>
      <c r="O138" s="4406">
        <v>1066</v>
      </c>
      <c r="P138" s="4809">
        <f>+L138+N138</f>
        <v>4298.626666666667</v>
      </c>
      <c r="Q138" s="1713">
        <f>+M138+O138</f>
        <v>3778</v>
      </c>
      <c r="R138" s="6346">
        <v>1466.3866666666668</v>
      </c>
      <c r="S138" s="4406">
        <v>1130</v>
      </c>
      <c r="T138" s="4809">
        <f>+P138+R138</f>
        <v>5765.0133333333342</v>
      </c>
      <c r="U138" s="1713">
        <f>+Q138+S138</f>
        <v>4908</v>
      </c>
      <c r="V138" s="6484">
        <v>1447.0866666666666</v>
      </c>
      <c r="W138" s="4406">
        <f>228+238+72</f>
        <v>538</v>
      </c>
      <c r="X138" s="6502">
        <f>+N138+R138+V138</f>
        <v>4388.4533333333329</v>
      </c>
      <c r="Y138" s="6570">
        <f>+O138+S138+W138</f>
        <v>2734</v>
      </c>
      <c r="Z138" s="6519">
        <f>+T138+V138</f>
        <v>7212.1</v>
      </c>
      <c r="AA138" s="6510">
        <f>+U138+W138</f>
        <v>5446</v>
      </c>
      <c r="AB138" s="7318">
        <v>761.0333333333333</v>
      </c>
      <c r="AC138" s="4406">
        <f>296+211+137</f>
        <v>644</v>
      </c>
      <c r="AD138" s="4809">
        <f>+Z138+AB138</f>
        <v>7973.1333333333332</v>
      </c>
      <c r="AE138" s="1713">
        <f>+AA138+AC138</f>
        <v>6090</v>
      </c>
      <c r="AF138" s="7393">
        <v>1439.7</v>
      </c>
      <c r="AG138" s="4406">
        <f>373+342+203</f>
        <v>918</v>
      </c>
      <c r="AH138" s="4809">
        <f>+AD138+AF138</f>
        <v>9412.8333333333339</v>
      </c>
      <c r="AI138" s="1713">
        <f>+AE138+AG138</f>
        <v>7008</v>
      </c>
      <c r="AJ138" s="7393">
        <v>1510.6</v>
      </c>
      <c r="AK138" s="4406">
        <v>1111</v>
      </c>
      <c r="AL138" s="5783">
        <f t="shared" ref="AL138" si="478">+AB138+AF138+AJ138</f>
        <v>3711.3333333333335</v>
      </c>
      <c r="AM138" s="5029">
        <f t="shared" ref="AM138" si="479">+AC138+AG138+AK138</f>
        <v>2673</v>
      </c>
      <c r="AN138" s="7804">
        <f>+AH138+AJ138</f>
        <v>10923.433333333334</v>
      </c>
      <c r="AO138" s="1713">
        <f>+AI138+AK138</f>
        <v>8119</v>
      </c>
      <c r="AP138" s="7393">
        <v>1486.3833333333334</v>
      </c>
      <c r="AQ138" s="4406">
        <v>1335</v>
      </c>
      <c r="AR138" s="4809">
        <f>+AN138+AP138</f>
        <v>12409.816666666668</v>
      </c>
      <c r="AS138" s="8185">
        <f>+AO138+AQ138</f>
        <v>9454</v>
      </c>
      <c r="AT138" s="7393">
        <v>1374</v>
      </c>
      <c r="AU138" s="4406">
        <f>+SMS!AU27</f>
        <v>1243</v>
      </c>
      <c r="AV138" s="8245">
        <f>+AR138+AT138</f>
        <v>13783.816666666668</v>
      </c>
      <c r="AW138" s="8245">
        <f>+AS138+AU138</f>
        <v>10697</v>
      </c>
      <c r="AX138" s="3174">
        <v>1517</v>
      </c>
      <c r="AY138" s="4419">
        <f>+SMS!AY27</f>
        <v>1461</v>
      </c>
      <c r="AZ138" s="5783">
        <f t="shared" ref="AZ138" si="480">+AP138+AT138+AX138</f>
        <v>4377.3833333333332</v>
      </c>
      <c r="BA138" s="5029">
        <f t="shared" ref="BA138" si="481">+AQ138+AU138+AY138</f>
        <v>4039</v>
      </c>
      <c r="BB138" s="5783">
        <f t="shared" ref="BB138" si="482">+AL138+AZ138</f>
        <v>8088.7166666666672</v>
      </c>
      <c r="BC138" s="5029">
        <f t="shared" ref="BC138" si="483">+AM138+BA138</f>
        <v>6712</v>
      </c>
      <c r="BD138" s="6519">
        <f t="shared" ref="BD138:BE138" si="484">+AV138+AX138</f>
        <v>15300.816666666668</v>
      </c>
      <c r="BE138" s="6510">
        <f t="shared" si="484"/>
        <v>12158</v>
      </c>
      <c r="BF138" s="6481">
        <v>16891.891891891893</v>
      </c>
      <c r="BG138" s="6481">
        <v>14151</v>
      </c>
    </row>
    <row r="139" spans="2:59" x14ac:dyDescent="0.2">
      <c r="AT139" s="3174"/>
      <c r="AU139" s="3743"/>
    </row>
  </sheetData>
  <mergeCells count="1409">
    <mergeCell ref="AX37:AX38"/>
    <mergeCell ref="AX40:AX42"/>
    <mergeCell ref="AT3:AU3"/>
    <mergeCell ref="AV3:AW3"/>
    <mergeCell ref="AT37:AT38"/>
    <mergeCell ref="AV37:AV38"/>
    <mergeCell ref="AT40:AT42"/>
    <mergeCell ref="AV40:AV42"/>
    <mergeCell ref="AR89:AS89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83:AS83"/>
    <mergeCell ref="AR84:AS84"/>
    <mergeCell ref="AR85:AS85"/>
    <mergeCell ref="AR86:AS86"/>
    <mergeCell ref="AR87:AS87"/>
    <mergeCell ref="AR88:AS88"/>
    <mergeCell ref="AT68:AU68"/>
    <mergeCell ref="AT74:AU74"/>
    <mergeCell ref="AT75:AU75"/>
    <mergeCell ref="AT76:AU76"/>
    <mergeCell ref="AT77:AU77"/>
    <mergeCell ref="AT79:AU79"/>
    <mergeCell ref="AT80:AU80"/>
    <mergeCell ref="AT81:AU81"/>
    <mergeCell ref="AT82:AU82"/>
    <mergeCell ref="AT100:AU100"/>
    <mergeCell ref="AR101:AS101"/>
    <mergeCell ref="AR102:AS102"/>
    <mergeCell ref="AR104:AS104"/>
    <mergeCell ref="AR105:AS105"/>
    <mergeCell ref="AR106:AS106"/>
    <mergeCell ref="AR107:AS107"/>
    <mergeCell ref="AP128:AQ128"/>
    <mergeCell ref="AP129:AQ129"/>
    <mergeCell ref="AP130:AQ130"/>
    <mergeCell ref="AP131:AQ131"/>
    <mergeCell ref="AP132:AQ132"/>
    <mergeCell ref="AP133:AQ133"/>
    <mergeCell ref="AP134:AQ134"/>
    <mergeCell ref="AP135:AQ135"/>
    <mergeCell ref="AP136:AQ136"/>
    <mergeCell ref="AP137:AQ137"/>
    <mergeCell ref="AR3:AS3"/>
    <mergeCell ref="AR37:AR38"/>
    <mergeCell ref="AR40:AR42"/>
    <mergeCell ref="AR68:AS68"/>
    <mergeCell ref="AR69:AS69"/>
    <mergeCell ref="AR70:AS70"/>
    <mergeCell ref="AR71:AS71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P111:AQ111"/>
    <mergeCell ref="AP112:AQ112"/>
    <mergeCell ref="AP113:AQ113"/>
    <mergeCell ref="AP114:AQ114"/>
    <mergeCell ref="AP115:AQ115"/>
    <mergeCell ref="AP116:AQ116"/>
    <mergeCell ref="AP117:AQ117"/>
    <mergeCell ref="AP118:AQ118"/>
    <mergeCell ref="AP119:AQ119"/>
    <mergeCell ref="AP120:AQ120"/>
    <mergeCell ref="AP121:AQ121"/>
    <mergeCell ref="AP122:AQ122"/>
    <mergeCell ref="AP123:AQ123"/>
    <mergeCell ref="AP124:AQ124"/>
    <mergeCell ref="AP125:AQ125"/>
    <mergeCell ref="AP126:AQ126"/>
    <mergeCell ref="AP127:AQ127"/>
    <mergeCell ref="AP89:AQ89"/>
    <mergeCell ref="AP91:AQ91"/>
    <mergeCell ref="AP92:AQ92"/>
    <mergeCell ref="AP93:AQ93"/>
    <mergeCell ref="AP94:AQ94"/>
    <mergeCell ref="AP95:AQ95"/>
    <mergeCell ref="AP96:AQ96"/>
    <mergeCell ref="AP97:AQ97"/>
    <mergeCell ref="AP98:AQ98"/>
    <mergeCell ref="AP99:AQ99"/>
    <mergeCell ref="AP100:AQ100"/>
    <mergeCell ref="AP101:AQ101"/>
    <mergeCell ref="AP104:AQ104"/>
    <mergeCell ref="AP105:AQ105"/>
    <mergeCell ref="AP106:AQ106"/>
    <mergeCell ref="AP107:AQ107"/>
    <mergeCell ref="AP110:AQ110"/>
    <mergeCell ref="AP3:AQ3"/>
    <mergeCell ref="AP37:AP38"/>
    <mergeCell ref="AP40:AP42"/>
    <mergeCell ref="AP68:AQ68"/>
    <mergeCell ref="AP74:AQ74"/>
    <mergeCell ref="AP75:AQ75"/>
    <mergeCell ref="AP76:AQ76"/>
    <mergeCell ref="AP77:AQ77"/>
    <mergeCell ref="AP79:AQ79"/>
    <mergeCell ref="AP80:AQ80"/>
    <mergeCell ref="AP81:AQ81"/>
    <mergeCell ref="AP82:AQ82"/>
    <mergeCell ref="AP83:AQ83"/>
    <mergeCell ref="AP84:AQ84"/>
    <mergeCell ref="AP85:AQ85"/>
    <mergeCell ref="AP87:AQ87"/>
    <mergeCell ref="AP88:AQ88"/>
    <mergeCell ref="AL136:AM136"/>
    <mergeCell ref="AL137:AM137"/>
    <mergeCell ref="AL122:AM122"/>
    <mergeCell ref="AL123:AM123"/>
    <mergeCell ref="AL124:AM124"/>
    <mergeCell ref="AL125:AM125"/>
    <mergeCell ref="AL126:AM126"/>
    <mergeCell ref="AL127:AM127"/>
    <mergeCell ref="AL128:AM128"/>
    <mergeCell ref="AL129:AM129"/>
    <mergeCell ref="AL130:AM130"/>
    <mergeCell ref="AL113:AM113"/>
    <mergeCell ref="AL114:AM114"/>
    <mergeCell ref="AL115:AM115"/>
    <mergeCell ref="AL116:AM116"/>
    <mergeCell ref="AL117:AM117"/>
    <mergeCell ref="AL118:AM118"/>
    <mergeCell ref="AL119:AM119"/>
    <mergeCell ref="AL120:AM120"/>
    <mergeCell ref="AL121:AM121"/>
    <mergeCell ref="AL110:AM110"/>
    <mergeCell ref="AL111:AM111"/>
    <mergeCell ref="AL112:AM112"/>
    <mergeCell ref="AL93:AM93"/>
    <mergeCell ref="AL94:AM94"/>
    <mergeCell ref="AL95:AM95"/>
    <mergeCell ref="AL96:AM96"/>
    <mergeCell ref="AL97:AM97"/>
    <mergeCell ref="AL98:AM98"/>
    <mergeCell ref="AL99:AM99"/>
    <mergeCell ref="AL100:AM100"/>
    <mergeCell ref="AL101:AM101"/>
    <mergeCell ref="AL131:AM131"/>
    <mergeCell ref="AL132:AM132"/>
    <mergeCell ref="AL133:AM133"/>
    <mergeCell ref="AL134:AM134"/>
    <mergeCell ref="AL135:AM135"/>
    <mergeCell ref="AJ137:AK137"/>
    <mergeCell ref="AL68:AM68"/>
    <mergeCell ref="AL69:AM69"/>
    <mergeCell ref="AL70:AM70"/>
    <mergeCell ref="AL71:AM71"/>
    <mergeCell ref="AL74:AM74"/>
    <mergeCell ref="AL75:AM75"/>
    <mergeCell ref="AL76:AM76"/>
    <mergeCell ref="AL77:AM77"/>
    <mergeCell ref="AL78:AM78"/>
    <mergeCell ref="AL79:AM79"/>
    <mergeCell ref="AL80:AM80"/>
    <mergeCell ref="AL81:AM81"/>
    <mergeCell ref="AL82:AM82"/>
    <mergeCell ref="AL83:AM83"/>
    <mergeCell ref="AL84:AM84"/>
    <mergeCell ref="AL85:AM85"/>
    <mergeCell ref="AL86:AM86"/>
    <mergeCell ref="AL87:AM87"/>
    <mergeCell ref="AL88:AM88"/>
    <mergeCell ref="AL89:AM89"/>
    <mergeCell ref="AL90:AM90"/>
    <mergeCell ref="AL91:AM91"/>
    <mergeCell ref="AL92:AM92"/>
    <mergeCell ref="AJ128:AK128"/>
    <mergeCell ref="AJ129:AK129"/>
    <mergeCell ref="AJ130:AK130"/>
    <mergeCell ref="AJ131:AK131"/>
    <mergeCell ref="AJ132:AK132"/>
    <mergeCell ref="AJ133:AK133"/>
    <mergeCell ref="AJ134:AK134"/>
    <mergeCell ref="AJ135:AK135"/>
    <mergeCell ref="AJ136:AK136"/>
    <mergeCell ref="AJ119:AK119"/>
    <mergeCell ref="AJ120:AK120"/>
    <mergeCell ref="AJ121:AK121"/>
    <mergeCell ref="AJ122:AK122"/>
    <mergeCell ref="AJ123:AK123"/>
    <mergeCell ref="AJ124:AK124"/>
    <mergeCell ref="AJ125:AK125"/>
    <mergeCell ref="AJ126:AK126"/>
    <mergeCell ref="AJ127:AK127"/>
    <mergeCell ref="AJ110:AK110"/>
    <mergeCell ref="AJ111:AK111"/>
    <mergeCell ref="AJ112:AK112"/>
    <mergeCell ref="AJ113:AK113"/>
    <mergeCell ref="AJ114:AK114"/>
    <mergeCell ref="AJ115:AK115"/>
    <mergeCell ref="AJ116:AK116"/>
    <mergeCell ref="AJ117:AK117"/>
    <mergeCell ref="AJ118:AK118"/>
    <mergeCell ref="AJ105:AK105"/>
    <mergeCell ref="AJ106:AK106"/>
    <mergeCell ref="AJ107:AK107"/>
    <mergeCell ref="AN105:AO105"/>
    <mergeCell ref="AN106:AO106"/>
    <mergeCell ref="AN107:AO107"/>
    <mergeCell ref="AJ68:AK68"/>
    <mergeCell ref="AJ74:AK74"/>
    <mergeCell ref="AJ75:AK75"/>
    <mergeCell ref="AJ76:AK76"/>
    <mergeCell ref="AJ77:AK77"/>
    <mergeCell ref="AJ79:AK79"/>
    <mergeCell ref="AJ80:AK80"/>
    <mergeCell ref="AJ81:AK81"/>
    <mergeCell ref="AJ82:AK82"/>
    <mergeCell ref="AJ83:AK83"/>
    <mergeCell ref="AJ84:AK84"/>
    <mergeCell ref="AJ85:AK85"/>
    <mergeCell ref="AJ87:AK87"/>
    <mergeCell ref="AJ88:AK88"/>
    <mergeCell ref="AJ89:AK89"/>
    <mergeCell ref="AJ91:AK91"/>
    <mergeCell ref="AJ92:AK92"/>
    <mergeCell ref="AJ93:AK93"/>
    <mergeCell ref="AJ94:AK94"/>
    <mergeCell ref="AJ95:AK95"/>
    <mergeCell ref="AL102:AM102"/>
    <mergeCell ref="AL103:AM103"/>
    <mergeCell ref="AL104:AM104"/>
    <mergeCell ref="AL105:AM105"/>
    <mergeCell ref="AL106:AM106"/>
    <mergeCell ref="AL107:AM107"/>
    <mergeCell ref="AJ96:AK96"/>
    <mergeCell ref="AN95:AO95"/>
    <mergeCell ref="AN96:AO96"/>
    <mergeCell ref="AN97:AO97"/>
    <mergeCell ref="AN98:AO98"/>
    <mergeCell ref="AN99:AO99"/>
    <mergeCell ref="AN100:AO100"/>
    <mergeCell ref="AN101:AO101"/>
    <mergeCell ref="AN102:AO102"/>
    <mergeCell ref="AN104:AO104"/>
    <mergeCell ref="AN85:AO85"/>
    <mergeCell ref="AN86:AO86"/>
    <mergeCell ref="AN87:AO87"/>
    <mergeCell ref="AN88:AO88"/>
    <mergeCell ref="AN89:AO89"/>
    <mergeCell ref="AN91:AO91"/>
    <mergeCell ref="AN92:AO92"/>
    <mergeCell ref="AN93:AO93"/>
    <mergeCell ref="AN94:AO94"/>
    <mergeCell ref="AJ97:AK97"/>
    <mergeCell ref="AJ98:AK98"/>
    <mergeCell ref="AJ99:AK99"/>
    <mergeCell ref="AJ100:AK100"/>
    <mergeCell ref="AJ101:AK101"/>
    <mergeCell ref="AJ104:AK104"/>
    <mergeCell ref="AN76:AO76"/>
    <mergeCell ref="AN77:AO77"/>
    <mergeCell ref="AN78:AO78"/>
    <mergeCell ref="AN79:AO79"/>
    <mergeCell ref="AN80:AO80"/>
    <mergeCell ref="AN81:AO81"/>
    <mergeCell ref="AN82:AO82"/>
    <mergeCell ref="AN83:AO83"/>
    <mergeCell ref="AN84:AO84"/>
    <mergeCell ref="AN3:AO3"/>
    <mergeCell ref="AN37:AN38"/>
    <mergeCell ref="AN40:AN42"/>
    <mergeCell ref="AN68:AO68"/>
    <mergeCell ref="AN69:AO69"/>
    <mergeCell ref="AN70:AO70"/>
    <mergeCell ref="AN71:AO71"/>
    <mergeCell ref="AN74:AO74"/>
    <mergeCell ref="AN75:AO75"/>
    <mergeCell ref="AF131:AG131"/>
    <mergeCell ref="AF132:AG132"/>
    <mergeCell ref="AF133:AG133"/>
    <mergeCell ref="AF134:AG134"/>
    <mergeCell ref="AF135:AG135"/>
    <mergeCell ref="AF136:AG136"/>
    <mergeCell ref="AF137:AG137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0:AG130"/>
    <mergeCell ref="AF113:AG113"/>
    <mergeCell ref="AF114:AG114"/>
    <mergeCell ref="AF115:AG115"/>
    <mergeCell ref="AF116:AG116"/>
    <mergeCell ref="AF117:AG117"/>
    <mergeCell ref="AF118:AG118"/>
    <mergeCell ref="AF119:AG119"/>
    <mergeCell ref="AF120:AG120"/>
    <mergeCell ref="AF121:AG121"/>
    <mergeCell ref="AF105:AG105"/>
    <mergeCell ref="AH105:AI105"/>
    <mergeCell ref="AF106:AG106"/>
    <mergeCell ref="AH106:AI106"/>
    <mergeCell ref="AF107:AG107"/>
    <mergeCell ref="AH107:AI107"/>
    <mergeCell ref="AF110:AG110"/>
    <mergeCell ref="AF111:AG111"/>
    <mergeCell ref="AF112:AG112"/>
    <mergeCell ref="AF99:AG99"/>
    <mergeCell ref="AH99:AI99"/>
    <mergeCell ref="AF100:AG100"/>
    <mergeCell ref="AH100:AI100"/>
    <mergeCell ref="AF101:AG101"/>
    <mergeCell ref="AH101:AI101"/>
    <mergeCell ref="AH102:AI102"/>
    <mergeCell ref="AF104:AG104"/>
    <mergeCell ref="AH104:AI104"/>
    <mergeCell ref="AF94:AG94"/>
    <mergeCell ref="AH94:AI94"/>
    <mergeCell ref="AF95:AG95"/>
    <mergeCell ref="AH95:AI95"/>
    <mergeCell ref="AF96:AG96"/>
    <mergeCell ref="AH96:AI96"/>
    <mergeCell ref="AF97:AG97"/>
    <mergeCell ref="AH97:AI97"/>
    <mergeCell ref="AF98:AG98"/>
    <mergeCell ref="AH98:AI98"/>
    <mergeCell ref="AF88:AG88"/>
    <mergeCell ref="AH88:AI88"/>
    <mergeCell ref="AF89:AG89"/>
    <mergeCell ref="AH89:AI89"/>
    <mergeCell ref="AF91:AG91"/>
    <mergeCell ref="AH91:AI91"/>
    <mergeCell ref="AF92:AG92"/>
    <mergeCell ref="AH92:AI92"/>
    <mergeCell ref="AF93:AG93"/>
    <mergeCell ref="AH93:AI93"/>
    <mergeCell ref="AF83:AG83"/>
    <mergeCell ref="AH83:AI83"/>
    <mergeCell ref="AF84:AG84"/>
    <mergeCell ref="AH84:AI84"/>
    <mergeCell ref="AF85:AG85"/>
    <mergeCell ref="AH85:AI85"/>
    <mergeCell ref="AH86:AI86"/>
    <mergeCell ref="AF87:AG87"/>
    <mergeCell ref="AH87:AI87"/>
    <mergeCell ref="AH78:AI78"/>
    <mergeCell ref="AF79:AG79"/>
    <mergeCell ref="AH79:AI79"/>
    <mergeCell ref="AF80:AG80"/>
    <mergeCell ref="AH80:AI80"/>
    <mergeCell ref="AF81:AG81"/>
    <mergeCell ref="AH81:AI81"/>
    <mergeCell ref="AF82:AG82"/>
    <mergeCell ref="AH82:AI82"/>
    <mergeCell ref="AH70:AI70"/>
    <mergeCell ref="AH71:AI71"/>
    <mergeCell ref="AF74:AG74"/>
    <mergeCell ref="AH74:AI74"/>
    <mergeCell ref="AF75:AG75"/>
    <mergeCell ref="AH75:AI75"/>
    <mergeCell ref="AF76:AG76"/>
    <mergeCell ref="AH76:AI76"/>
    <mergeCell ref="AF77:AG77"/>
    <mergeCell ref="AH77:AI77"/>
    <mergeCell ref="AF3:AG3"/>
    <mergeCell ref="AH3:AI3"/>
    <mergeCell ref="AF37:AF38"/>
    <mergeCell ref="AH37:AH38"/>
    <mergeCell ref="AF40:AF42"/>
    <mergeCell ref="AH40:AH42"/>
    <mergeCell ref="AF68:AG68"/>
    <mergeCell ref="AH68:AI68"/>
    <mergeCell ref="AH69:AI69"/>
    <mergeCell ref="AB131:AC131"/>
    <mergeCell ref="AB132:AC132"/>
    <mergeCell ref="AB133:AC133"/>
    <mergeCell ref="AB134:AC134"/>
    <mergeCell ref="AB135:AC135"/>
    <mergeCell ref="AB136:AC136"/>
    <mergeCell ref="AB137:AC137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0:AC130"/>
    <mergeCell ref="AB113:AC113"/>
    <mergeCell ref="AB114:AC114"/>
    <mergeCell ref="AB115:AC115"/>
    <mergeCell ref="AB116:AC116"/>
    <mergeCell ref="AB117:AC117"/>
    <mergeCell ref="AB118:AC118"/>
    <mergeCell ref="AB119:AC119"/>
    <mergeCell ref="AB120:AC120"/>
    <mergeCell ref="AB121:AC121"/>
    <mergeCell ref="AB105:AC105"/>
    <mergeCell ref="AD105:AE105"/>
    <mergeCell ref="AB106:AC106"/>
    <mergeCell ref="AD106:AE106"/>
    <mergeCell ref="AB107:AC107"/>
    <mergeCell ref="AD107:AE107"/>
    <mergeCell ref="AB110:AC110"/>
    <mergeCell ref="AB111:AC111"/>
    <mergeCell ref="AB112:AC112"/>
    <mergeCell ref="AB99:AC99"/>
    <mergeCell ref="AD99:AE99"/>
    <mergeCell ref="AB100:AC100"/>
    <mergeCell ref="AD100:AE100"/>
    <mergeCell ref="AB101:AC101"/>
    <mergeCell ref="AD101:AE101"/>
    <mergeCell ref="AD102:AE102"/>
    <mergeCell ref="AB104:AC104"/>
    <mergeCell ref="AD104:AE104"/>
    <mergeCell ref="AB94:AC94"/>
    <mergeCell ref="AD94:AE94"/>
    <mergeCell ref="AB95:AC95"/>
    <mergeCell ref="AD95:AE95"/>
    <mergeCell ref="AB96:AC96"/>
    <mergeCell ref="AD96:AE96"/>
    <mergeCell ref="AB97:AC97"/>
    <mergeCell ref="AD97:AE97"/>
    <mergeCell ref="AB98:AC98"/>
    <mergeCell ref="AD98:AE98"/>
    <mergeCell ref="AB88:AC88"/>
    <mergeCell ref="AD88:AE88"/>
    <mergeCell ref="AB89:AC89"/>
    <mergeCell ref="AD89:AE89"/>
    <mergeCell ref="AB91:AC91"/>
    <mergeCell ref="AD91:AE91"/>
    <mergeCell ref="AB92:AC92"/>
    <mergeCell ref="AD92:AE92"/>
    <mergeCell ref="AB93:AC93"/>
    <mergeCell ref="AD93:AE93"/>
    <mergeCell ref="AB83:AC83"/>
    <mergeCell ref="AD83:AE83"/>
    <mergeCell ref="AB84:AC84"/>
    <mergeCell ref="AD84:AE84"/>
    <mergeCell ref="AB85:AC85"/>
    <mergeCell ref="AD85:AE85"/>
    <mergeCell ref="AD86:AE86"/>
    <mergeCell ref="AB87:AC87"/>
    <mergeCell ref="AD87:AE87"/>
    <mergeCell ref="AD78:AE78"/>
    <mergeCell ref="AB79:AC79"/>
    <mergeCell ref="AD79:AE79"/>
    <mergeCell ref="AB80:AC80"/>
    <mergeCell ref="AD80:AE80"/>
    <mergeCell ref="AB81:AC81"/>
    <mergeCell ref="AD81:AE81"/>
    <mergeCell ref="AB82:AC82"/>
    <mergeCell ref="AD82:AE82"/>
    <mergeCell ref="AD70:AE70"/>
    <mergeCell ref="AD71:AE71"/>
    <mergeCell ref="AB74:AC74"/>
    <mergeCell ref="AD74:AE74"/>
    <mergeCell ref="AB75:AC75"/>
    <mergeCell ref="AD75:AE75"/>
    <mergeCell ref="AB76:AC76"/>
    <mergeCell ref="AD76:AE76"/>
    <mergeCell ref="AB77:AC77"/>
    <mergeCell ref="AD77:AE77"/>
    <mergeCell ref="AB3:AC3"/>
    <mergeCell ref="AD3:AE3"/>
    <mergeCell ref="AB37:AB38"/>
    <mergeCell ref="AD37:AD38"/>
    <mergeCell ref="AB40:AB42"/>
    <mergeCell ref="AD40:AD42"/>
    <mergeCell ref="AB68:AC68"/>
    <mergeCell ref="AD68:AE68"/>
    <mergeCell ref="AD69:AE69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17:Y117"/>
    <mergeCell ref="X118:Y118"/>
    <mergeCell ref="X119:Y119"/>
    <mergeCell ref="X120:Y120"/>
    <mergeCell ref="X121:Y121"/>
    <mergeCell ref="X122:Y122"/>
    <mergeCell ref="X123:Y123"/>
    <mergeCell ref="X124:Y124"/>
    <mergeCell ref="X125:Y125"/>
    <mergeCell ref="X90:Y90"/>
    <mergeCell ref="X91:Y91"/>
    <mergeCell ref="X92:Y92"/>
    <mergeCell ref="X93:Y93"/>
    <mergeCell ref="X94:Y94"/>
    <mergeCell ref="X95:Y95"/>
    <mergeCell ref="X96:Y96"/>
    <mergeCell ref="X97:Y97"/>
    <mergeCell ref="X98:Y98"/>
    <mergeCell ref="V135:W135"/>
    <mergeCell ref="V136:W136"/>
    <mergeCell ref="V137:W137"/>
    <mergeCell ref="Z3:AA3"/>
    <mergeCell ref="Z37:Z38"/>
    <mergeCell ref="X3:Y3"/>
    <mergeCell ref="X37:X38"/>
    <mergeCell ref="X68:Y68"/>
    <mergeCell ref="X69:Y69"/>
    <mergeCell ref="X70:Y70"/>
    <mergeCell ref="X71:Y71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Z107:AA107"/>
    <mergeCell ref="V110:W110"/>
    <mergeCell ref="V111:W111"/>
    <mergeCell ref="V112:W112"/>
    <mergeCell ref="V113:W113"/>
    <mergeCell ref="V114:W114"/>
    <mergeCell ref="V115:W115"/>
    <mergeCell ref="V116:W116"/>
    <mergeCell ref="X107:Y107"/>
    <mergeCell ref="X110:Y110"/>
    <mergeCell ref="X111:Y111"/>
    <mergeCell ref="X112:Y112"/>
    <mergeCell ref="X113:Y113"/>
    <mergeCell ref="X114:Y114"/>
    <mergeCell ref="X115:Y115"/>
    <mergeCell ref="X116:Y116"/>
    <mergeCell ref="V101:W101"/>
    <mergeCell ref="Z101:AA101"/>
    <mergeCell ref="Z102:AA102"/>
    <mergeCell ref="V104:W104"/>
    <mergeCell ref="Z104:AA104"/>
    <mergeCell ref="V105:W105"/>
    <mergeCell ref="Z105:AA105"/>
    <mergeCell ref="V106:W106"/>
    <mergeCell ref="Z106:AA106"/>
    <mergeCell ref="X101:Y101"/>
    <mergeCell ref="X102:Y102"/>
    <mergeCell ref="X103:Y103"/>
    <mergeCell ref="X104:Y104"/>
    <mergeCell ref="X105:Y105"/>
    <mergeCell ref="X106:Y106"/>
    <mergeCell ref="V107:W107"/>
    <mergeCell ref="Z96:AA96"/>
    <mergeCell ref="V97:W97"/>
    <mergeCell ref="Z97:AA97"/>
    <mergeCell ref="V98:W98"/>
    <mergeCell ref="Z98:AA98"/>
    <mergeCell ref="V99:W99"/>
    <mergeCell ref="Z99:AA99"/>
    <mergeCell ref="V100:W100"/>
    <mergeCell ref="Z100:AA100"/>
    <mergeCell ref="X99:Y99"/>
    <mergeCell ref="X100:Y100"/>
    <mergeCell ref="V91:W91"/>
    <mergeCell ref="Z91:AA91"/>
    <mergeCell ref="V92:W92"/>
    <mergeCell ref="Z92:AA92"/>
    <mergeCell ref="V93:W93"/>
    <mergeCell ref="Z93:AA93"/>
    <mergeCell ref="V94:W94"/>
    <mergeCell ref="Z94:AA94"/>
    <mergeCell ref="V95:W95"/>
    <mergeCell ref="Z95:AA95"/>
    <mergeCell ref="V96:W96"/>
    <mergeCell ref="V85:W85"/>
    <mergeCell ref="Z85:AA85"/>
    <mergeCell ref="Z86:AA86"/>
    <mergeCell ref="V87:W87"/>
    <mergeCell ref="Z87:AA87"/>
    <mergeCell ref="V88:W88"/>
    <mergeCell ref="Z88:AA88"/>
    <mergeCell ref="V89:W89"/>
    <mergeCell ref="Z89:AA89"/>
    <mergeCell ref="X87:Y87"/>
    <mergeCell ref="X88:Y88"/>
    <mergeCell ref="X89:Y89"/>
    <mergeCell ref="V80:W80"/>
    <mergeCell ref="Z80:AA80"/>
    <mergeCell ref="V81:W81"/>
    <mergeCell ref="Z81:AA81"/>
    <mergeCell ref="V82:W82"/>
    <mergeCell ref="Z82:AA82"/>
    <mergeCell ref="V83:W83"/>
    <mergeCell ref="Z83:AA83"/>
    <mergeCell ref="V84:W84"/>
    <mergeCell ref="Z84:AA84"/>
    <mergeCell ref="X86:Y86"/>
    <mergeCell ref="V75:W75"/>
    <mergeCell ref="Z75:AA75"/>
    <mergeCell ref="V76:W76"/>
    <mergeCell ref="Z76:AA76"/>
    <mergeCell ref="V77:W77"/>
    <mergeCell ref="Z77:AA77"/>
    <mergeCell ref="Z78:AA78"/>
    <mergeCell ref="V79:W79"/>
    <mergeCell ref="Z79:AA79"/>
    <mergeCell ref="V3:W3"/>
    <mergeCell ref="V37:V38"/>
    <mergeCell ref="V40:V42"/>
    <mergeCell ref="V68:W68"/>
    <mergeCell ref="Z68:AA68"/>
    <mergeCell ref="Z69:AA69"/>
    <mergeCell ref="Z70:AA70"/>
    <mergeCell ref="Z71:AA71"/>
    <mergeCell ref="V74:W74"/>
    <mergeCell ref="Z74:AA74"/>
    <mergeCell ref="X40:X42"/>
    <mergeCell ref="Z40:Z42"/>
    <mergeCell ref="P3:Q3"/>
    <mergeCell ref="B3:B4"/>
    <mergeCell ref="C3:C4"/>
    <mergeCell ref="D3:E3"/>
    <mergeCell ref="F3:G3"/>
    <mergeCell ref="H3:I3"/>
    <mergeCell ref="J3:K3"/>
    <mergeCell ref="D37:D38"/>
    <mergeCell ref="L3:M3"/>
    <mergeCell ref="N3:O3"/>
    <mergeCell ref="D40:D42"/>
    <mergeCell ref="D68:E68"/>
    <mergeCell ref="F68:G68"/>
    <mergeCell ref="H68:I68"/>
    <mergeCell ref="J68:K68"/>
    <mergeCell ref="L68:M68"/>
    <mergeCell ref="J40:J42"/>
    <mergeCell ref="N37:N38"/>
    <mergeCell ref="N40:N42"/>
    <mergeCell ref="H70:I70"/>
    <mergeCell ref="L70:M70"/>
    <mergeCell ref="P70:Q70"/>
    <mergeCell ref="H69:I69"/>
    <mergeCell ref="L69:M69"/>
    <mergeCell ref="P69:Q69"/>
    <mergeCell ref="J37:J38"/>
    <mergeCell ref="N68:O68"/>
    <mergeCell ref="P68:Q68"/>
    <mergeCell ref="P37:P38"/>
    <mergeCell ref="H40:H42"/>
    <mergeCell ref="L40:L42"/>
    <mergeCell ref="P40:P42"/>
    <mergeCell ref="D74:E74"/>
    <mergeCell ref="F74:G74"/>
    <mergeCell ref="H74:I74"/>
    <mergeCell ref="J74:K74"/>
    <mergeCell ref="L74:M74"/>
    <mergeCell ref="N74:O74"/>
    <mergeCell ref="P74:Q74"/>
    <mergeCell ref="H71:I71"/>
    <mergeCell ref="L71:M71"/>
    <mergeCell ref="P71:Q71"/>
    <mergeCell ref="D76:E76"/>
    <mergeCell ref="F76:G76"/>
    <mergeCell ref="H76:I76"/>
    <mergeCell ref="J76:K76"/>
    <mergeCell ref="L76:M76"/>
    <mergeCell ref="N76:O76"/>
    <mergeCell ref="P76:Q76"/>
    <mergeCell ref="D75:E75"/>
    <mergeCell ref="F75:G75"/>
    <mergeCell ref="H75:I75"/>
    <mergeCell ref="J75:K75"/>
    <mergeCell ref="L75:M75"/>
    <mergeCell ref="N75:O75"/>
    <mergeCell ref="P75:Q75"/>
    <mergeCell ref="D79:E79"/>
    <mergeCell ref="F79:G79"/>
    <mergeCell ref="H79:I79"/>
    <mergeCell ref="J79:K79"/>
    <mergeCell ref="L79:M79"/>
    <mergeCell ref="D77:E77"/>
    <mergeCell ref="F77:G77"/>
    <mergeCell ref="P77:Q77"/>
    <mergeCell ref="H77:I77"/>
    <mergeCell ref="J77:K77"/>
    <mergeCell ref="L77:M77"/>
    <mergeCell ref="N77:O77"/>
    <mergeCell ref="H78:I78"/>
    <mergeCell ref="L78:M78"/>
    <mergeCell ref="P78:Q78"/>
    <mergeCell ref="D81:E81"/>
    <mergeCell ref="F81:G81"/>
    <mergeCell ref="H81:I81"/>
    <mergeCell ref="J81:K81"/>
    <mergeCell ref="L81:M81"/>
    <mergeCell ref="N81:O81"/>
    <mergeCell ref="P81:Q81"/>
    <mergeCell ref="P80:Q80"/>
    <mergeCell ref="D80:E80"/>
    <mergeCell ref="F80:G80"/>
    <mergeCell ref="H80:I80"/>
    <mergeCell ref="J80:K80"/>
    <mergeCell ref="L80:M80"/>
    <mergeCell ref="N80:O80"/>
    <mergeCell ref="D83:E83"/>
    <mergeCell ref="F83:G83"/>
    <mergeCell ref="H83:I83"/>
    <mergeCell ref="J83:K83"/>
    <mergeCell ref="L83:M83"/>
    <mergeCell ref="N83:O83"/>
    <mergeCell ref="P83:Q83"/>
    <mergeCell ref="D82:E82"/>
    <mergeCell ref="F82:G82"/>
    <mergeCell ref="H82:I82"/>
    <mergeCell ref="J82:K82"/>
    <mergeCell ref="L82:M82"/>
    <mergeCell ref="N82:O82"/>
    <mergeCell ref="P82:Q82"/>
    <mergeCell ref="D84:E84"/>
    <mergeCell ref="F84:G84"/>
    <mergeCell ref="H84:I84"/>
    <mergeCell ref="J84:K84"/>
    <mergeCell ref="L84:M84"/>
    <mergeCell ref="N84:O84"/>
    <mergeCell ref="D85:E85"/>
    <mergeCell ref="F85:G85"/>
    <mergeCell ref="H85:I85"/>
    <mergeCell ref="J85:K85"/>
    <mergeCell ref="L85:M85"/>
    <mergeCell ref="N85:O85"/>
    <mergeCell ref="D87:E87"/>
    <mergeCell ref="F87:G87"/>
    <mergeCell ref="H87:I87"/>
    <mergeCell ref="J87:K87"/>
    <mergeCell ref="L87:M87"/>
    <mergeCell ref="N87:O87"/>
    <mergeCell ref="P87:Q87"/>
    <mergeCell ref="H86:I86"/>
    <mergeCell ref="L86:M86"/>
    <mergeCell ref="P86:Q86"/>
    <mergeCell ref="L90:M90"/>
    <mergeCell ref="P89:Q89"/>
    <mergeCell ref="D89:E89"/>
    <mergeCell ref="F89:G89"/>
    <mergeCell ref="H89:I89"/>
    <mergeCell ref="J89:K89"/>
    <mergeCell ref="L89:M89"/>
    <mergeCell ref="N89:O89"/>
    <mergeCell ref="D88:E88"/>
    <mergeCell ref="F88:G88"/>
    <mergeCell ref="H88:I88"/>
    <mergeCell ref="J88:K88"/>
    <mergeCell ref="L88:M88"/>
    <mergeCell ref="N88:O88"/>
    <mergeCell ref="P88:Q88"/>
    <mergeCell ref="H90:I90"/>
    <mergeCell ref="D92:E92"/>
    <mergeCell ref="F92:G92"/>
    <mergeCell ref="H92:I92"/>
    <mergeCell ref="J92:K92"/>
    <mergeCell ref="L92:M92"/>
    <mergeCell ref="N92:O92"/>
    <mergeCell ref="N91:O91"/>
    <mergeCell ref="P91:Q91"/>
    <mergeCell ref="D91:E91"/>
    <mergeCell ref="F91:G91"/>
    <mergeCell ref="H91:I91"/>
    <mergeCell ref="J91:K91"/>
    <mergeCell ref="L91:M91"/>
    <mergeCell ref="D94:E94"/>
    <mergeCell ref="F94:G94"/>
    <mergeCell ref="H94:I94"/>
    <mergeCell ref="J94:K94"/>
    <mergeCell ref="L94:M94"/>
    <mergeCell ref="N94:O94"/>
    <mergeCell ref="P94:Q94"/>
    <mergeCell ref="D93:E93"/>
    <mergeCell ref="F93:G93"/>
    <mergeCell ref="H93:I93"/>
    <mergeCell ref="J93:K93"/>
    <mergeCell ref="L93:M93"/>
    <mergeCell ref="N93:O93"/>
    <mergeCell ref="P93:Q93"/>
    <mergeCell ref="N101:O101"/>
    <mergeCell ref="D96:E96"/>
    <mergeCell ref="F96:G96"/>
    <mergeCell ref="H96:I96"/>
    <mergeCell ref="J96:K96"/>
    <mergeCell ref="L96:M96"/>
    <mergeCell ref="N96:O96"/>
    <mergeCell ref="D95:E95"/>
    <mergeCell ref="F95:G95"/>
    <mergeCell ref="H95:I95"/>
    <mergeCell ref="J95:K95"/>
    <mergeCell ref="L95:M95"/>
    <mergeCell ref="N95:O95"/>
    <mergeCell ref="D98:E98"/>
    <mergeCell ref="F98:G98"/>
    <mergeCell ref="H98:I98"/>
    <mergeCell ref="J98:K98"/>
    <mergeCell ref="L98:M98"/>
    <mergeCell ref="N98:O98"/>
    <mergeCell ref="P106:Q106"/>
    <mergeCell ref="D105:E105"/>
    <mergeCell ref="F105:G105"/>
    <mergeCell ref="H105:I105"/>
    <mergeCell ref="J105:K105"/>
    <mergeCell ref="L105:M105"/>
    <mergeCell ref="N105:O105"/>
    <mergeCell ref="P105:Q105"/>
    <mergeCell ref="P98:Q98"/>
    <mergeCell ref="D97:E97"/>
    <mergeCell ref="F97:G97"/>
    <mergeCell ref="H97:I97"/>
    <mergeCell ref="J97:K97"/>
    <mergeCell ref="L97:M97"/>
    <mergeCell ref="N97:O97"/>
    <mergeCell ref="P97:Q97"/>
    <mergeCell ref="D101:E101"/>
    <mergeCell ref="F101:G101"/>
    <mergeCell ref="H101:I101"/>
    <mergeCell ref="D99:E99"/>
    <mergeCell ref="F99:G99"/>
    <mergeCell ref="H99:I99"/>
    <mergeCell ref="J99:K99"/>
    <mergeCell ref="L99:M99"/>
    <mergeCell ref="N99:O99"/>
    <mergeCell ref="D100:E100"/>
    <mergeCell ref="F100:G100"/>
    <mergeCell ref="H100:I100"/>
    <mergeCell ref="J100:K100"/>
    <mergeCell ref="L100:M100"/>
    <mergeCell ref="N100:O100"/>
    <mergeCell ref="P100:Q100"/>
    <mergeCell ref="D104:E104"/>
    <mergeCell ref="F104:G104"/>
    <mergeCell ref="H104:I104"/>
    <mergeCell ref="J104:K104"/>
    <mergeCell ref="L104:M104"/>
    <mergeCell ref="N104:O104"/>
    <mergeCell ref="L103:M103"/>
    <mergeCell ref="H102:I102"/>
    <mergeCell ref="L102:M102"/>
    <mergeCell ref="H103:I103"/>
    <mergeCell ref="D106:E106"/>
    <mergeCell ref="F106:G106"/>
    <mergeCell ref="H106:I106"/>
    <mergeCell ref="J106:K106"/>
    <mergeCell ref="L106:M106"/>
    <mergeCell ref="N106:O106"/>
    <mergeCell ref="J112:K112"/>
    <mergeCell ref="L112:M112"/>
    <mergeCell ref="N110:O110"/>
    <mergeCell ref="N111:O111"/>
    <mergeCell ref="N112:O112"/>
    <mergeCell ref="D107:E107"/>
    <mergeCell ref="F107:G107"/>
    <mergeCell ref="H107:I107"/>
    <mergeCell ref="J107:K107"/>
    <mergeCell ref="L107:M107"/>
    <mergeCell ref="N107:O107"/>
    <mergeCell ref="F119:G119"/>
    <mergeCell ref="H119:I119"/>
    <mergeCell ref="J119:K119"/>
    <mergeCell ref="L119:M119"/>
    <mergeCell ref="D110:E110"/>
    <mergeCell ref="F110:G110"/>
    <mergeCell ref="H110:I110"/>
    <mergeCell ref="J110:K110"/>
    <mergeCell ref="L110:M110"/>
    <mergeCell ref="D111:E111"/>
    <mergeCell ref="F111:G111"/>
    <mergeCell ref="H111:I111"/>
    <mergeCell ref="J111:K111"/>
    <mergeCell ref="L111:M111"/>
    <mergeCell ref="D116:E116"/>
    <mergeCell ref="F116:G116"/>
    <mergeCell ref="H116:I116"/>
    <mergeCell ref="J116:K116"/>
    <mergeCell ref="L116:M116"/>
    <mergeCell ref="D119:E119"/>
    <mergeCell ref="D117:E117"/>
    <mergeCell ref="F117:G117"/>
    <mergeCell ref="D112:E112"/>
    <mergeCell ref="F112:G112"/>
    <mergeCell ref="J117:K117"/>
    <mergeCell ref="L117:M117"/>
    <mergeCell ref="L128:M128"/>
    <mergeCell ref="D120:E120"/>
    <mergeCell ref="F120:G120"/>
    <mergeCell ref="H120:I120"/>
    <mergeCell ref="J120:K120"/>
    <mergeCell ref="L120:M120"/>
    <mergeCell ref="D121:E121"/>
    <mergeCell ref="D128:E128"/>
    <mergeCell ref="F128:G128"/>
    <mergeCell ref="H128:I128"/>
    <mergeCell ref="J128:K128"/>
    <mergeCell ref="H112:I112"/>
    <mergeCell ref="D113:E113"/>
    <mergeCell ref="F113:G113"/>
    <mergeCell ref="H113:I113"/>
    <mergeCell ref="J113:K113"/>
    <mergeCell ref="L113:M113"/>
    <mergeCell ref="D118:E118"/>
    <mergeCell ref="F118:G118"/>
    <mergeCell ref="H118:I118"/>
    <mergeCell ref="J118:K118"/>
    <mergeCell ref="L118:M118"/>
    <mergeCell ref="D114:E114"/>
    <mergeCell ref="F114:G114"/>
    <mergeCell ref="H114:I114"/>
    <mergeCell ref="J114:K114"/>
    <mergeCell ref="L114:M114"/>
    <mergeCell ref="D115:E115"/>
    <mergeCell ref="F115:G115"/>
    <mergeCell ref="H115:I115"/>
    <mergeCell ref="J115:K115"/>
    <mergeCell ref="L115:M115"/>
    <mergeCell ref="L121:M121"/>
    <mergeCell ref="D126:E126"/>
    <mergeCell ref="F126:G126"/>
    <mergeCell ref="H126:I126"/>
    <mergeCell ref="J126:K126"/>
    <mergeCell ref="L126:M126"/>
    <mergeCell ref="D127:E127"/>
    <mergeCell ref="F127:G127"/>
    <mergeCell ref="F124:G124"/>
    <mergeCell ref="H124:I124"/>
    <mergeCell ref="J124:K124"/>
    <mergeCell ref="L124:M124"/>
    <mergeCell ref="D125:E125"/>
    <mergeCell ref="F125:G125"/>
    <mergeCell ref="H125:I125"/>
    <mergeCell ref="J125:K125"/>
    <mergeCell ref="L125:M125"/>
    <mergeCell ref="F121:G121"/>
    <mergeCell ref="H121:I121"/>
    <mergeCell ref="J121:K121"/>
    <mergeCell ref="J127:K127"/>
    <mergeCell ref="L127:M127"/>
    <mergeCell ref="D124:E124"/>
    <mergeCell ref="D122:E122"/>
    <mergeCell ref="F122:G122"/>
    <mergeCell ref="H122:I122"/>
    <mergeCell ref="J122:K122"/>
    <mergeCell ref="L122:M122"/>
    <mergeCell ref="D123:E123"/>
    <mergeCell ref="F123:G123"/>
    <mergeCell ref="H123:I123"/>
    <mergeCell ref="D131:E131"/>
    <mergeCell ref="F131:G131"/>
    <mergeCell ref="H131:I131"/>
    <mergeCell ref="P99:Q99"/>
    <mergeCell ref="P96:Q96"/>
    <mergeCell ref="P95:Q95"/>
    <mergeCell ref="P92:Q92"/>
    <mergeCell ref="P84:Q84"/>
    <mergeCell ref="P85:Q85"/>
    <mergeCell ref="N79:O79"/>
    <mergeCell ref="P79:Q79"/>
    <mergeCell ref="D136:E136"/>
    <mergeCell ref="F136:G136"/>
    <mergeCell ref="H136:I136"/>
    <mergeCell ref="J136:K136"/>
    <mergeCell ref="L136:M136"/>
    <mergeCell ref="D129:E129"/>
    <mergeCell ref="F129:G129"/>
    <mergeCell ref="H129:I129"/>
    <mergeCell ref="J129:K129"/>
    <mergeCell ref="L129:M129"/>
    <mergeCell ref="D132:E132"/>
    <mergeCell ref="F132:G132"/>
    <mergeCell ref="H132:I132"/>
    <mergeCell ref="J132:K132"/>
    <mergeCell ref="L132:M132"/>
    <mergeCell ref="D130:E130"/>
    <mergeCell ref="F130:G130"/>
    <mergeCell ref="H130:I130"/>
    <mergeCell ref="J130:K130"/>
    <mergeCell ref="L130:M130"/>
    <mergeCell ref="H127:I127"/>
    <mergeCell ref="P107:Q107"/>
    <mergeCell ref="P104:Q104"/>
    <mergeCell ref="P102:Q102"/>
    <mergeCell ref="P101:Q101"/>
    <mergeCell ref="N131:O131"/>
    <mergeCell ref="N132:O132"/>
    <mergeCell ref="BF3:BG3"/>
    <mergeCell ref="F37:F38"/>
    <mergeCell ref="F40:F42"/>
    <mergeCell ref="BF37:BF38"/>
    <mergeCell ref="BF40:BF42"/>
    <mergeCell ref="BG40:BG42"/>
    <mergeCell ref="D137:E137"/>
    <mergeCell ref="F137:G137"/>
    <mergeCell ref="H137:I137"/>
    <mergeCell ref="J137:K137"/>
    <mergeCell ref="L137:M137"/>
    <mergeCell ref="D134:E134"/>
    <mergeCell ref="F134:G134"/>
    <mergeCell ref="H134:I134"/>
    <mergeCell ref="J134:K134"/>
    <mergeCell ref="L134:M134"/>
    <mergeCell ref="D135:E135"/>
    <mergeCell ref="F135:G135"/>
    <mergeCell ref="H135:I135"/>
    <mergeCell ref="J135:K135"/>
    <mergeCell ref="L135:M135"/>
    <mergeCell ref="D133:E133"/>
    <mergeCell ref="F133:G133"/>
    <mergeCell ref="H133:I133"/>
    <mergeCell ref="N133:O133"/>
    <mergeCell ref="N134:O134"/>
    <mergeCell ref="N135:O135"/>
    <mergeCell ref="N136:O136"/>
    <mergeCell ref="N137:O137"/>
    <mergeCell ref="H37:H38"/>
    <mergeCell ref="L37:L38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J101:K101"/>
    <mergeCell ref="L101:M101"/>
    <mergeCell ref="J133:K133"/>
    <mergeCell ref="L133:M133"/>
    <mergeCell ref="J131:K131"/>
    <mergeCell ref="L131:M131"/>
    <mergeCell ref="N130:O130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H117:I117"/>
    <mergeCell ref="J123:K123"/>
    <mergeCell ref="L123:M123"/>
    <mergeCell ref="R3:S3"/>
    <mergeCell ref="T3:U3"/>
    <mergeCell ref="R37:R38"/>
    <mergeCell ref="T37:T38"/>
    <mergeCell ref="R40:R42"/>
    <mergeCell ref="R68:S68"/>
    <mergeCell ref="T68:U68"/>
    <mergeCell ref="T69:U69"/>
    <mergeCell ref="T70:U70"/>
    <mergeCell ref="T40:T42"/>
    <mergeCell ref="T71:U71"/>
    <mergeCell ref="R74:S74"/>
    <mergeCell ref="T74:U74"/>
    <mergeCell ref="R75:S75"/>
    <mergeCell ref="T75:U75"/>
    <mergeCell ref="R76:S76"/>
    <mergeCell ref="T76:U76"/>
    <mergeCell ref="R77:S77"/>
    <mergeCell ref="T77:U77"/>
    <mergeCell ref="T78:U78"/>
    <mergeCell ref="R79:S79"/>
    <mergeCell ref="T79:U79"/>
    <mergeCell ref="R80:S80"/>
    <mergeCell ref="T80:U80"/>
    <mergeCell ref="R81:S81"/>
    <mergeCell ref="T81:U81"/>
    <mergeCell ref="R82:S82"/>
    <mergeCell ref="T82:U82"/>
    <mergeCell ref="R83:S83"/>
    <mergeCell ref="T83:U83"/>
    <mergeCell ref="R84:S84"/>
    <mergeCell ref="T84:U84"/>
    <mergeCell ref="R85:S85"/>
    <mergeCell ref="T85:U85"/>
    <mergeCell ref="T86:U86"/>
    <mergeCell ref="R87:S87"/>
    <mergeCell ref="T87:U87"/>
    <mergeCell ref="R88:S88"/>
    <mergeCell ref="T88:U88"/>
    <mergeCell ref="R89:S89"/>
    <mergeCell ref="T89:U89"/>
    <mergeCell ref="R91:S91"/>
    <mergeCell ref="T91:U91"/>
    <mergeCell ref="R92:S92"/>
    <mergeCell ref="T92:U92"/>
    <mergeCell ref="R93:S93"/>
    <mergeCell ref="T93:U93"/>
    <mergeCell ref="R94:S94"/>
    <mergeCell ref="T94:U94"/>
    <mergeCell ref="R95:S95"/>
    <mergeCell ref="T95:U95"/>
    <mergeCell ref="R121:S121"/>
    <mergeCell ref="R105:S105"/>
    <mergeCell ref="R96:S96"/>
    <mergeCell ref="T96:U96"/>
    <mergeCell ref="R97:S97"/>
    <mergeCell ref="T97:U97"/>
    <mergeCell ref="R98:S98"/>
    <mergeCell ref="T98:U98"/>
    <mergeCell ref="R110:S110"/>
    <mergeCell ref="R111:S111"/>
    <mergeCell ref="R112:S112"/>
    <mergeCell ref="R99:S99"/>
    <mergeCell ref="T99:U99"/>
    <mergeCell ref="R100:S100"/>
    <mergeCell ref="T100:U100"/>
    <mergeCell ref="R101:S101"/>
    <mergeCell ref="T101:U101"/>
    <mergeCell ref="T102:U102"/>
    <mergeCell ref="R104:S104"/>
    <mergeCell ref="T104:U104"/>
    <mergeCell ref="T105:U105"/>
    <mergeCell ref="R106:S106"/>
    <mergeCell ref="T106:U106"/>
    <mergeCell ref="R107:S107"/>
    <mergeCell ref="T107:U107"/>
    <mergeCell ref="AT101:AU101"/>
    <mergeCell ref="R134:S134"/>
    <mergeCell ref="R135:S135"/>
    <mergeCell ref="R136:S136"/>
    <mergeCell ref="R137:S137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0:S130"/>
    <mergeCell ref="AJ3:AK3"/>
    <mergeCell ref="AJ37:AJ38"/>
    <mergeCell ref="AJ40:AJ42"/>
    <mergeCell ref="AL3:AM3"/>
    <mergeCell ref="AL37:AL38"/>
    <mergeCell ref="AL40:AL42"/>
    <mergeCell ref="R131:S131"/>
    <mergeCell ref="R132:S132"/>
    <mergeCell ref="R133:S133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AT129:AU129"/>
    <mergeCell ref="AT130:AU130"/>
    <mergeCell ref="AT131:AU131"/>
    <mergeCell ref="AT132:AU132"/>
    <mergeCell ref="AT133:AU133"/>
    <mergeCell ref="AT134:AU134"/>
    <mergeCell ref="AT135:AU135"/>
    <mergeCell ref="AT136:AU136"/>
    <mergeCell ref="AT137:AU137"/>
    <mergeCell ref="AT104:AU104"/>
    <mergeCell ref="AT105:AU105"/>
    <mergeCell ref="AT106:AU106"/>
    <mergeCell ref="AT107:AU107"/>
    <mergeCell ref="AT110:AU110"/>
    <mergeCell ref="AT111:AU111"/>
    <mergeCell ref="AT112:AU112"/>
    <mergeCell ref="AT113:AU113"/>
    <mergeCell ref="AT114:AU114"/>
    <mergeCell ref="AT115:AU115"/>
    <mergeCell ref="AT116:AU116"/>
    <mergeCell ref="AT117:AU117"/>
    <mergeCell ref="AT118:AU118"/>
    <mergeCell ref="AT119:AU119"/>
    <mergeCell ref="AT120:AU120"/>
    <mergeCell ref="AT121:AU121"/>
    <mergeCell ref="AT122:AU122"/>
    <mergeCell ref="AZ3:BA3"/>
    <mergeCell ref="BD3:BE3"/>
    <mergeCell ref="AZ37:AZ38"/>
    <mergeCell ref="BD37:BD38"/>
    <mergeCell ref="AZ40:AZ42"/>
    <mergeCell ref="BD40:BD42"/>
    <mergeCell ref="AX3:AY3"/>
    <mergeCell ref="BB3:BC3"/>
    <mergeCell ref="BB37:BB38"/>
    <mergeCell ref="BB40:BB42"/>
    <mergeCell ref="AZ68:BA68"/>
    <mergeCell ref="AT123:AU123"/>
    <mergeCell ref="AT124:AU124"/>
    <mergeCell ref="AT125:AU125"/>
    <mergeCell ref="AT126:AU126"/>
    <mergeCell ref="AT127:AU127"/>
    <mergeCell ref="AT128:AU128"/>
    <mergeCell ref="AT83:AU83"/>
    <mergeCell ref="AT84:AU84"/>
    <mergeCell ref="AT85:AU85"/>
    <mergeCell ref="AT87:AU87"/>
    <mergeCell ref="AT88:AU88"/>
    <mergeCell ref="AT89:AU89"/>
    <mergeCell ref="AT91:AU91"/>
    <mergeCell ref="AT92:AU92"/>
    <mergeCell ref="AT93:AU93"/>
    <mergeCell ref="AT94:AU94"/>
    <mergeCell ref="AT95:AU95"/>
    <mergeCell ref="AT96:AU96"/>
    <mergeCell ref="AT97:AU97"/>
    <mergeCell ref="AT98:AU98"/>
    <mergeCell ref="AT99:AU99"/>
    <mergeCell ref="AZ69:BA69"/>
    <mergeCell ref="AZ70:BA70"/>
    <mergeCell ref="AZ71:BA71"/>
    <mergeCell ref="AZ74:BA74"/>
    <mergeCell ref="AZ75:BA75"/>
    <mergeCell ref="AZ76:BA76"/>
    <mergeCell ref="AZ77:BA77"/>
    <mergeCell ref="AZ78:BA78"/>
    <mergeCell ref="AZ79:BA79"/>
    <mergeCell ref="AZ80:BA80"/>
    <mergeCell ref="AZ81:BA81"/>
    <mergeCell ref="AZ82:BA82"/>
    <mergeCell ref="AZ83:BA83"/>
    <mergeCell ref="AZ84:BA84"/>
    <mergeCell ref="AZ85:BA85"/>
    <mergeCell ref="AZ86:BA86"/>
    <mergeCell ref="AZ87:BA87"/>
    <mergeCell ref="AZ88:BA88"/>
    <mergeCell ref="AZ89:BA89"/>
    <mergeCell ref="AZ90:BA90"/>
    <mergeCell ref="AZ91:BA91"/>
    <mergeCell ref="AZ92:BA92"/>
    <mergeCell ref="AZ93:BA93"/>
    <mergeCell ref="AZ94:BA94"/>
    <mergeCell ref="AZ95:BA95"/>
    <mergeCell ref="AZ96:BA96"/>
    <mergeCell ref="AZ97:BA97"/>
    <mergeCell ref="AZ98:BA98"/>
    <mergeCell ref="AZ99:BA99"/>
    <mergeCell ref="AZ100:BA100"/>
    <mergeCell ref="AZ101:BA101"/>
    <mergeCell ref="AZ102:BA102"/>
    <mergeCell ref="AZ103:BA103"/>
    <mergeCell ref="AZ104:BA104"/>
    <mergeCell ref="AZ105:BA105"/>
    <mergeCell ref="AZ106:BA106"/>
    <mergeCell ref="AZ107:BA107"/>
    <mergeCell ref="AZ110:BA110"/>
    <mergeCell ref="AZ111:BA111"/>
    <mergeCell ref="AZ112:BA112"/>
    <mergeCell ref="AZ113:BA113"/>
    <mergeCell ref="AZ114:BA114"/>
    <mergeCell ref="AZ115:BA115"/>
    <mergeCell ref="AZ116:BA116"/>
    <mergeCell ref="AZ117:BA117"/>
    <mergeCell ref="AZ118:BA118"/>
    <mergeCell ref="AZ119:BA119"/>
    <mergeCell ref="AZ120:BA120"/>
    <mergeCell ref="AZ121:BA121"/>
    <mergeCell ref="AZ122:BA122"/>
    <mergeCell ref="AZ123:BA123"/>
    <mergeCell ref="AZ124:BA124"/>
    <mergeCell ref="AZ125:BA125"/>
    <mergeCell ref="AZ126:BA126"/>
    <mergeCell ref="AZ127:BA127"/>
    <mergeCell ref="AZ128:BA128"/>
    <mergeCell ref="AZ129:BA129"/>
    <mergeCell ref="AZ130:BA130"/>
    <mergeCell ref="AZ131:BA131"/>
    <mergeCell ref="AZ132:BA132"/>
    <mergeCell ref="AZ133:BA133"/>
    <mergeCell ref="AZ134:BA134"/>
    <mergeCell ref="AZ135:BA135"/>
    <mergeCell ref="AZ136:BA136"/>
    <mergeCell ref="AZ137:BA137"/>
    <mergeCell ref="BB68:BC68"/>
    <mergeCell ref="BB69:BC69"/>
    <mergeCell ref="BB70:BC70"/>
    <mergeCell ref="BB71:BC71"/>
    <mergeCell ref="BB74:BC74"/>
    <mergeCell ref="BB75:BC75"/>
    <mergeCell ref="BB76:BC76"/>
    <mergeCell ref="BB77:BC77"/>
    <mergeCell ref="BB78:BC78"/>
    <mergeCell ref="BB79:BC79"/>
    <mergeCell ref="BB80:BC80"/>
    <mergeCell ref="BB81:BC81"/>
    <mergeCell ref="BB82:BC82"/>
    <mergeCell ref="BB83:BC83"/>
    <mergeCell ref="BB84:BC84"/>
    <mergeCell ref="BB85:BC85"/>
    <mergeCell ref="BB86:BC86"/>
    <mergeCell ref="BB87:BC87"/>
    <mergeCell ref="BB88:BC88"/>
    <mergeCell ref="BB89:BC89"/>
    <mergeCell ref="BB90:BC90"/>
    <mergeCell ref="BB91:BC91"/>
    <mergeCell ref="BB92:BC92"/>
    <mergeCell ref="BB93:BC93"/>
    <mergeCell ref="BB94:BC94"/>
    <mergeCell ref="BB95:BC95"/>
    <mergeCell ref="BB96:BC96"/>
    <mergeCell ref="BB97:BC97"/>
    <mergeCell ref="BB98:BC98"/>
    <mergeCell ref="BB99:BC99"/>
    <mergeCell ref="BB100:BC100"/>
    <mergeCell ref="BB101:BC101"/>
    <mergeCell ref="BB102:BC102"/>
    <mergeCell ref="BB103:BC103"/>
    <mergeCell ref="BB104:BC104"/>
    <mergeCell ref="BB105:BC105"/>
    <mergeCell ref="BB106:BC106"/>
    <mergeCell ref="BB107:BC107"/>
    <mergeCell ref="BB110:BC110"/>
    <mergeCell ref="BB111:BC111"/>
    <mergeCell ref="BB112:BC112"/>
    <mergeCell ref="BB113:BC113"/>
    <mergeCell ref="BB114:BC114"/>
    <mergeCell ref="BB115:BC115"/>
    <mergeCell ref="BB116:BC116"/>
    <mergeCell ref="BB117:BC117"/>
    <mergeCell ref="BB118:BC118"/>
    <mergeCell ref="BB119:BC119"/>
    <mergeCell ref="BB120:BC120"/>
    <mergeCell ref="BB121:BC121"/>
    <mergeCell ref="BB122:BC122"/>
    <mergeCell ref="BB123:BC123"/>
    <mergeCell ref="BB124:BC124"/>
    <mergeCell ref="BB125:BC125"/>
    <mergeCell ref="BB126:BC126"/>
    <mergeCell ref="BB127:BC127"/>
    <mergeCell ref="BB128:BC128"/>
    <mergeCell ref="BB129:BC129"/>
    <mergeCell ref="BB130:BC130"/>
    <mergeCell ref="BB131:BC131"/>
    <mergeCell ref="BB132:BC132"/>
    <mergeCell ref="BB133:BC133"/>
    <mergeCell ref="BB134:BC134"/>
    <mergeCell ref="BB135:BC135"/>
    <mergeCell ref="BB136:BC136"/>
    <mergeCell ref="BB137:BC137"/>
    <mergeCell ref="BD68:BE68"/>
    <mergeCell ref="BD69:BE69"/>
    <mergeCell ref="BD70:BE70"/>
    <mergeCell ref="BD71:BE71"/>
    <mergeCell ref="BD74:BE74"/>
    <mergeCell ref="BD75:BE75"/>
    <mergeCell ref="BD76:BE76"/>
    <mergeCell ref="BD77:BE77"/>
    <mergeCell ref="BD78:BE78"/>
    <mergeCell ref="BD79:BE79"/>
    <mergeCell ref="BD80:BE80"/>
    <mergeCell ref="BD81:BE81"/>
    <mergeCell ref="BD82:BE82"/>
    <mergeCell ref="BD83:BE83"/>
    <mergeCell ref="BD84:BE84"/>
    <mergeCell ref="BD85:BE85"/>
    <mergeCell ref="BD86:BE86"/>
    <mergeCell ref="BD87:BE87"/>
    <mergeCell ref="BD107:BE107"/>
    <mergeCell ref="BD88:BE88"/>
    <mergeCell ref="BD89:BE89"/>
    <mergeCell ref="BD91:BE91"/>
    <mergeCell ref="BD92:BE92"/>
    <mergeCell ref="BD93:BE93"/>
    <mergeCell ref="BD94:BE94"/>
    <mergeCell ref="BD95:BE95"/>
    <mergeCell ref="BD96:BE96"/>
    <mergeCell ref="BD97:BE97"/>
    <mergeCell ref="BD98:BE98"/>
    <mergeCell ref="BD99:BE99"/>
    <mergeCell ref="BD100:BE100"/>
    <mergeCell ref="BD101:BE101"/>
    <mergeCell ref="BD102:BE102"/>
    <mergeCell ref="BD104:BE104"/>
    <mergeCell ref="BD105:BE105"/>
    <mergeCell ref="BD106:BE106"/>
  </mergeCells>
  <printOptions horizontalCentered="1" verticalCentered="1"/>
  <pageMargins left="0" right="0" top="0" bottom="0" header="0" footer="0"/>
  <pageSetup paperSize="9" scale="88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  <pageSetUpPr fitToPage="1"/>
  </sheetPr>
  <dimension ref="B1:BJ56"/>
  <sheetViews>
    <sheetView topLeftCell="A9" workbookViewId="0">
      <pane xSplit="3" topLeftCell="AZ1" activePane="topRight" state="frozen"/>
      <selection pane="topRight" activeCell="BF9" sqref="BF9"/>
    </sheetView>
  </sheetViews>
  <sheetFormatPr baseColWidth="10" defaultColWidth="8.83203125" defaultRowHeight="15" x14ac:dyDescent="0.2"/>
  <cols>
    <col min="2" max="2" width="39" style="5435" customWidth="1"/>
    <col min="3" max="3" width="12.5" customWidth="1"/>
    <col min="4" max="4" width="10.5" style="2100" customWidth="1"/>
    <col min="5" max="5" width="9.1640625" style="2265" customWidth="1"/>
    <col min="6" max="6" width="11" style="2100" customWidth="1"/>
    <col min="7" max="7" width="12" style="2265" customWidth="1"/>
    <col min="8" max="8" width="10.5" style="2100" customWidth="1"/>
    <col min="9" max="9" width="9.33203125" style="2265" customWidth="1"/>
    <col min="10" max="10" width="11.6640625" customWidth="1"/>
    <col min="11" max="11" width="11" customWidth="1"/>
    <col min="12" max="13" width="9.1640625" customWidth="1"/>
    <col min="14" max="14" width="12.5" customWidth="1"/>
    <col min="15" max="17" width="9.1640625" customWidth="1"/>
    <col min="18" max="18" width="11.1640625" style="6311" customWidth="1"/>
    <col min="19" max="19" width="8.5" style="6311" customWidth="1"/>
    <col min="20" max="20" width="9" style="6311" customWidth="1"/>
    <col min="21" max="21" width="9.1640625" style="6311" customWidth="1"/>
    <col min="22" max="27" width="9.1640625" style="6486" customWidth="1"/>
    <col min="28" max="31" width="9.1640625" style="7286" customWidth="1"/>
    <col min="32" max="35" width="9.1640625" style="7545" customWidth="1"/>
    <col min="36" max="41" width="9.1640625" style="7686" customWidth="1"/>
    <col min="42" max="45" width="9.1640625" style="8011" customWidth="1"/>
    <col min="46" max="49" width="9.1640625" style="8136" customWidth="1"/>
    <col min="50" max="57" width="9.1640625" style="8260" customWidth="1"/>
    <col min="58" max="64" width="9.1640625" customWidth="1"/>
  </cols>
  <sheetData>
    <row r="1" spans="2:62" ht="23" x14ac:dyDescent="0.25">
      <c r="B1" s="5439" t="s">
        <v>2054</v>
      </c>
      <c r="C1" s="1537"/>
      <c r="D1" s="2883"/>
      <c r="E1" s="1833"/>
      <c r="F1" s="2883"/>
      <c r="G1" s="1833"/>
      <c r="H1" s="2883"/>
      <c r="I1" s="1833"/>
      <c r="N1" s="1673"/>
      <c r="O1" s="1673"/>
      <c r="P1" s="1673"/>
      <c r="Q1" s="1673"/>
      <c r="R1" s="1673"/>
      <c r="S1" s="1673"/>
      <c r="T1" s="1673"/>
      <c r="U1" s="1673"/>
      <c r="V1" s="1673"/>
      <c r="W1" s="1673"/>
      <c r="X1" s="1673"/>
      <c r="Y1" s="1673"/>
      <c r="Z1" s="1673"/>
      <c r="AA1" s="1673"/>
      <c r="AB1" s="1673"/>
      <c r="AC1" s="1673"/>
      <c r="AD1" s="1673"/>
      <c r="AE1" s="1673"/>
      <c r="AF1" s="1673"/>
      <c r="AG1" s="1673"/>
      <c r="AH1" s="1673"/>
      <c r="AI1" s="1673"/>
      <c r="AJ1" s="1673"/>
      <c r="AK1" s="1673"/>
      <c r="AL1" s="1673"/>
      <c r="AM1" s="1673"/>
      <c r="AN1" s="1673"/>
      <c r="AO1" s="1673"/>
      <c r="AP1" s="1673"/>
      <c r="AQ1" s="1673"/>
      <c r="AR1" s="1673"/>
      <c r="AS1" s="1673"/>
      <c r="AT1" s="1673"/>
      <c r="AU1" s="1673"/>
      <c r="AV1" s="1673"/>
      <c r="AW1" s="1673"/>
      <c r="AX1" s="1673"/>
      <c r="AY1" s="1673"/>
      <c r="AZ1" s="1673"/>
      <c r="BA1" s="1673"/>
      <c r="BB1" s="1673"/>
      <c r="BC1" s="1673"/>
      <c r="BD1" s="1673"/>
      <c r="BE1" s="1673"/>
    </row>
    <row r="2" spans="2:62" ht="16" thickBot="1" x14ac:dyDescent="0.25">
      <c r="B2" s="5428"/>
      <c r="C2" s="1537"/>
      <c r="D2" s="4404">
        <v>30</v>
      </c>
      <c r="E2" s="4407">
        <v>30</v>
      </c>
      <c r="F2" s="4404">
        <v>31</v>
      </c>
      <c r="G2" s="4407">
        <v>31</v>
      </c>
      <c r="H2" s="4404">
        <f>+F2+D2</f>
        <v>61</v>
      </c>
      <c r="I2" s="4407">
        <f>+G2+E2</f>
        <v>61</v>
      </c>
      <c r="J2" s="1660">
        <v>30</v>
      </c>
      <c r="K2" s="1660">
        <v>30</v>
      </c>
      <c r="L2" s="5780">
        <f>+D2+F2+J2</f>
        <v>91</v>
      </c>
      <c r="M2" s="5780">
        <f>+E2+G2+K2</f>
        <v>91</v>
      </c>
      <c r="N2" s="5780">
        <v>31</v>
      </c>
      <c r="O2" s="5780">
        <v>31</v>
      </c>
      <c r="P2" s="5780">
        <f>+L2+N2</f>
        <v>122</v>
      </c>
      <c r="Q2" s="5780">
        <f>+M2+O2</f>
        <v>122</v>
      </c>
      <c r="R2" s="5780">
        <v>31</v>
      </c>
      <c r="S2" s="5780">
        <v>31</v>
      </c>
      <c r="T2" s="5780">
        <f>+P2+R2</f>
        <v>153</v>
      </c>
      <c r="U2" s="5780">
        <f>+Q2+S2</f>
        <v>153</v>
      </c>
      <c r="V2" s="5780">
        <v>30</v>
      </c>
      <c r="W2" s="5780">
        <v>30</v>
      </c>
      <c r="X2" s="5780">
        <f>+N2+R2+V2</f>
        <v>92</v>
      </c>
      <c r="Y2" s="5780">
        <f>+O2+S2+W2</f>
        <v>92</v>
      </c>
      <c r="Z2" s="5780">
        <f>+T2+V2</f>
        <v>183</v>
      </c>
      <c r="AA2" s="5780">
        <f>+U2+W2</f>
        <v>183</v>
      </c>
      <c r="AB2" s="5780">
        <v>31</v>
      </c>
      <c r="AC2" s="5780">
        <v>31</v>
      </c>
      <c r="AD2" s="5780">
        <f>+Z2+AB2</f>
        <v>214</v>
      </c>
      <c r="AE2" s="5780">
        <f>+AA2+AC2</f>
        <v>214</v>
      </c>
      <c r="AF2" s="5780">
        <v>30</v>
      </c>
      <c r="AG2" s="5780">
        <v>30</v>
      </c>
      <c r="AH2" s="5780">
        <f>+AD2+AF2</f>
        <v>244</v>
      </c>
      <c r="AI2" s="5780">
        <f>+AE2+AG2</f>
        <v>244</v>
      </c>
      <c r="AJ2" s="5780">
        <v>31</v>
      </c>
      <c r="AK2" s="5780">
        <v>31</v>
      </c>
      <c r="AL2" s="5780">
        <f>+AB2+AF2+AJ2</f>
        <v>92</v>
      </c>
      <c r="AM2" s="5780">
        <f>+AC2+AG2+AK2</f>
        <v>92</v>
      </c>
      <c r="AN2" s="5780">
        <f>+AH2+AJ2</f>
        <v>275</v>
      </c>
      <c r="AO2" s="5780">
        <f>+AI2+AK2</f>
        <v>275</v>
      </c>
      <c r="AP2" s="5780">
        <v>31</v>
      </c>
      <c r="AQ2" s="5780">
        <v>31</v>
      </c>
      <c r="AR2" s="5780">
        <f>+AN2+AP2</f>
        <v>306</v>
      </c>
      <c r="AS2" s="5780">
        <f>+AO2+AQ2</f>
        <v>306</v>
      </c>
      <c r="AT2" s="5780">
        <v>28</v>
      </c>
      <c r="AU2" s="5780">
        <v>28</v>
      </c>
      <c r="AV2" s="5780">
        <f>+AR2+AT2</f>
        <v>334</v>
      </c>
      <c r="AW2" s="5780">
        <f>+AS2+AU2</f>
        <v>334</v>
      </c>
      <c r="AX2" s="5780">
        <v>31</v>
      </c>
      <c r="AY2" s="5780">
        <v>31</v>
      </c>
      <c r="AZ2" s="5780">
        <f>+AP2+AT2+AX2</f>
        <v>90</v>
      </c>
      <c r="BA2" s="5780">
        <f>+AQ2+AU2+AY2</f>
        <v>90</v>
      </c>
      <c r="BB2" s="5780">
        <f>+AL2+AZ2</f>
        <v>182</v>
      </c>
      <c r="BC2" s="5780">
        <f>+AM2+BA2</f>
        <v>182</v>
      </c>
      <c r="BD2" s="5780">
        <f>+AV2+AX2</f>
        <v>365</v>
      </c>
      <c r="BE2" s="5780">
        <f>+AW2+AY2</f>
        <v>365</v>
      </c>
      <c r="BF2" s="2335">
        <v>366</v>
      </c>
      <c r="BG2" s="2335">
        <v>366</v>
      </c>
    </row>
    <row r="3" spans="2:62" ht="15" customHeight="1" thickBot="1" x14ac:dyDescent="0.25">
      <c r="B3" s="8681" t="s">
        <v>657</v>
      </c>
      <c r="C3" s="8642" t="s">
        <v>658</v>
      </c>
      <c r="D3" s="8644" t="s">
        <v>1859</v>
      </c>
      <c r="E3" s="8645"/>
      <c r="F3" s="8644" t="s">
        <v>1862</v>
      </c>
      <c r="G3" s="8644"/>
      <c r="H3" s="8646" t="s">
        <v>52</v>
      </c>
      <c r="I3" s="8647"/>
      <c r="J3" s="8648" t="s">
        <v>1863</v>
      </c>
      <c r="K3" s="8649"/>
      <c r="L3" s="8650" t="s">
        <v>1568</v>
      </c>
      <c r="M3" s="8556"/>
      <c r="N3" s="8579" t="s">
        <v>1864</v>
      </c>
      <c r="O3" s="8579"/>
      <c r="P3" s="8605" t="s">
        <v>62</v>
      </c>
      <c r="Q3" s="8606"/>
      <c r="R3" s="8579" t="s">
        <v>2160</v>
      </c>
      <c r="S3" s="8579"/>
      <c r="T3" s="8605" t="s">
        <v>64</v>
      </c>
      <c r="U3" s="8606"/>
      <c r="V3" s="8579" t="s">
        <v>2227</v>
      </c>
      <c r="W3" s="8579"/>
      <c r="X3" s="8555" t="s">
        <v>1717</v>
      </c>
      <c r="Y3" s="8556"/>
      <c r="Z3" s="8541" t="s">
        <v>1697</v>
      </c>
      <c r="AA3" s="8542"/>
      <c r="AB3" s="8579" t="s">
        <v>2265</v>
      </c>
      <c r="AC3" s="8579"/>
      <c r="AD3" s="8605" t="s">
        <v>101</v>
      </c>
      <c r="AE3" s="8606"/>
      <c r="AF3" s="8579" t="s">
        <v>2423</v>
      </c>
      <c r="AG3" s="8579"/>
      <c r="AH3" s="8605" t="s">
        <v>105</v>
      </c>
      <c r="AI3" s="8606"/>
      <c r="AJ3" s="8579" t="s">
        <v>2449</v>
      </c>
      <c r="AK3" s="8579"/>
      <c r="AL3" s="8555" t="s">
        <v>1756</v>
      </c>
      <c r="AM3" s="8556"/>
      <c r="AN3" s="8605" t="s">
        <v>108</v>
      </c>
      <c r="AO3" s="8606"/>
      <c r="AP3" s="8579" t="s">
        <v>2533</v>
      </c>
      <c r="AQ3" s="8579"/>
      <c r="AR3" s="8605" t="s">
        <v>110</v>
      </c>
      <c r="AS3" s="8606"/>
      <c r="AT3" s="8579" t="s">
        <v>2577</v>
      </c>
      <c r="AU3" s="8579"/>
      <c r="AV3" s="8605" t="s">
        <v>113</v>
      </c>
      <c r="AW3" s="8606"/>
      <c r="AX3" s="8579" t="s">
        <v>2600</v>
      </c>
      <c r="AY3" s="8579"/>
      <c r="AZ3" s="8555" t="s">
        <v>1757</v>
      </c>
      <c r="BA3" s="8556"/>
      <c r="BB3" s="8555" t="s">
        <v>1842</v>
      </c>
      <c r="BC3" s="8556"/>
      <c r="BD3" s="8541" t="s">
        <v>1865</v>
      </c>
      <c r="BE3" s="8542"/>
      <c r="BF3" s="8683" t="s">
        <v>1630</v>
      </c>
      <c r="BG3" s="8684"/>
    </row>
    <row r="4" spans="2:62" ht="15" customHeight="1" thickBot="1" x14ac:dyDescent="0.25">
      <c r="B4" s="8682"/>
      <c r="C4" s="8643"/>
      <c r="D4" s="4363" t="s">
        <v>659</v>
      </c>
      <c r="E4" s="3833" t="s">
        <v>660</v>
      </c>
      <c r="F4" s="4363" t="s">
        <v>659</v>
      </c>
      <c r="G4" s="3909" t="s">
        <v>660</v>
      </c>
      <c r="H4" s="3373" t="s">
        <v>659</v>
      </c>
      <c r="I4" s="3866" t="s">
        <v>660</v>
      </c>
      <c r="J4" s="1831" t="s">
        <v>659</v>
      </c>
      <c r="K4" s="1538" t="s">
        <v>660</v>
      </c>
      <c r="L4" s="2314" t="s">
        <v>659</v>
      </c>
      <c r="M4" s="1996" t="s">
        <v>660</v>
      </c>
      <c r="N4" s="6496" t="s">
        <v>659</v>
      </c>
      <c r="O4" s="1538" t="s">
        <v>660</v>
      </c>
      <c r="P4" s="2315" t="s">
        <v>659</v>
      </c>
      <c r="Q4" s="1701" t="s">
        <v>660</v>
      </c>
      <c r="R4" s="6496" t="s">
        <v>659</v>
      </c>
      <c r="S4" s="5184" t="s">
        <v>660</v>
      </c>
      <c r="T4" s="5170" t="s">
        <v>659</v>
      </c>
      <c r="U4" s="1701" t="s">
        <v>660</v>
      </c>
      <c r="V4" s="6496" t="s">
        <v>659</v>
      </c>
      <c r="W4" s="1539" t="s">
        <v>660</v>
      </c>
      <c r="X4" s="6493" t="s">
        <v>659</v>
      </c>
      <c r="Y4" s="1996" t="s">
        <v>660</v>
      </c>
      <c r="Z4" s="6592" t="s">
        <v>659</v>
      </c>
      <c r="AA4" s="6508" t="s">
        <v>660</v>
      </c>
      <c r="AB4" s="7293" t="s">
        <v>659</v>
      </c>
      <c r="AC4" s="5184" t="s">
        <v>660</v>
      </c>
      <c r="AD4" s="5170" t="s">
        <v>659</v>
      </c>
      <c r="AE4" s="1701" t="s">
        <v>660</v>
      </c>
      <c r="AF4" s="7560" t="s">
        <v>659</v>
      </c>
      <c r="AG4" s="5184" t="s">
        <v>660</v>
      </c>
      <c r="AH4" s="5170" t="s">
        <v>659</v>
      </c>
      <c r="AI4" s="1701" t="s">
        <v>660</v>
      </c>
      <c r="AJ4" s="7801" t="s">
        <v>659</v>
      </c>
      <c r="AK4" s="1539" t="s">
        <v>660</v>
      </c>
      <c r="AL4" s="7795" t="s">
        <v>659</v>
      </c>
      <c r="AM4" s="1996" t="s">
        <v>660</v>
      </c>
      <c r="AN4" s="5170" t="s">
        <v>659</v>
      </c>
      <c r="AO4" s="1701" t="s">
        <v>660</v>
      </c>
      <c r="AP4" s="8024" t="s">
        <v>659</v>
      </c>
      <c r="AQ4" s="1539" t="s">
        <v>660</v>
      </c>
      <c r="AR4" s="5170" t="s">
        <v>659</v>
      </c>
      <c r="AS4" s="1701" t="s">
        <v>660</v>
      </c>
      <c r="AT4" s="8139" t="s">
        <v>659</v>
      </c>
      <c r="AU4" s="1539" t="s">
        <v>660</v>
      </c>
      <c r="AV4" s="5170" t="s">
        <v>659</v>
      </c>
      <c r="AW4" s="1701" t="s">
        <v>660</v>
      </c>
      <c r="AX4" s="8274" t="s">
        <v>659</v>
      </c>
      <c r="AY4" s="1539" t="s">
        <v>660</v>
      </c>
      <c r="AZ4" s="8265" t="s">
        <v>659</v>
      </c>
      <c r="BA4" s="1996" t="s">
        <v>660</v>
      </c>
      <c r="BB4" s="8265" t="s">
        <v>659</v>
      </c>
      <c r="BC4" s="1996" t="s">
        <v>660</v>
      </c>
      <c r="BD4" s="6592" t="s">
        <v>659</v>
      </c>
      <c r="BE4" s="6508" t="s">
        <v>660</v>
      </c>
      <c r="BF4" s="5308" t="s">
        <v>659</v>
      </c>
      <c r="BG4" s="5309" t="s">
        <v>660</v>
      </c>
    </row>
    <row r="5" spans="2:62" s="3380" customFormat="1" ht="15" customHeight="1" x14ac:dyDescent="0.2">
      <c r="B5" s="6602" t="s">
        <v>609</v>
      </c>
      <c r="C5" s="5327"/>
      <c r="D5" s="5653"/>
      <c r="E5" s="5303"/>
      <c r="F5" s="5302"/>
      <c r="G5" s="4902"/>
      <c r="H5" s="5302"/>
      <c r="I5" s="4902"/>
      <c r="J5" s="4902"/>
      <c r="K5" s="4902"/>
      <c r="L5" s="4902"/>
      <c r="M5" s="4902"/>
      <c r="N5" s="4902"/>
      <c r="O5" s="4902"/>
      <c r="P5" s="4902"/>
      <c r="Q5" s="4902"/>
      <c r="R5" s="4902"/>
      <c r="S5" s="4902"/>
      <c r="T5" s="4902"/>
      <c r="U5" s="4902"/>
      <c r="V5" s="4902"/>
      <c r="W5" s="4902"/>
      <c r="X5" s="4902"/>
      <c r="Y5" s="4902"/>
      <c r="Z5" s="4902"/>
      <c r="AA5" s="4902"/>
      <c r="AB5" s="4902"/>
      <c r="AC5" s="4902"/>
      <c r="AD5" s="4902"/>
      <c r="AE5" s="4902"/>
      <c r="AF5" s="4902"/>
      <c r="AG5" s="4902"/>
      <c r="AH5" s="4902"/>
      <c r="AI5" s="4902"/>
      <c r="AJ5" s="4902"/>
      <c r="AK5" s="4902"/>
      <c r="AL5" s="4902"/>
      <c r="AM5" s="4902"/>
      <c r="AN5" s="4902"/>
      <c r="AO5" s="4902"/>
      <c r="AP5" s="4902"/>
      <c r="AQ5" s="4902"/>
      <c r="AR5" s="4902"/>
      <c r="AS5" s="4902"/>
      <c r="AT5" s="4902"/>
      <c r="AU5" s="4902"/>
      <c r="AV5" s="4902"/>
      <c r="AW5" s="4902"/>
      <c r="AX5" s="4902"/>
      <c r="AY5" s="4902"/>
      <c r="AZ5" s="4902"/>
      <c r="BA5" s="4902"/>
      <c r="BB5" s="4902"/>
      <c r="BC5" s="4902"/>
      <c r="BD5" s="4902"/>
      <c r="BE5" s="4902"/>
      <c r="BF5" s="4902"/>
      <c r="BG5" s="5327"/>
    </row>
    <row r="6" spans="2:62" ht="15" customHeight="1" x14ac:dyDescent="0.2">
      <c r="B6" s="5429" t="s">
        <v>1356</v>
      </c>
      <c r="C6" s="1636" t="s">
        <v>863</v>
      </c>
      <c r="D6" s="4361">
        <v>0</v>
      </c>
      <c r="E6" s="2717">
        <v>0</v>
      </c>
      <c r="F6" s="5292">
        <v>0</v>
      </c>
      <c r="G6" s="2717">
        <v>2126.39</v>
      </c>
      <c r="H6" s="2783">
        <f t="shared" ref="H6:I8" si="0">+D6+F6</f>
        <v>0</v>
      </c>
      <c r="I6" s="1823">
        <f t="shared" si="0"/>
        <v>2126.39</v>
      </c>
      <c r="J6" s="5720">
        <v>0</v>
      </c>
      <c r="K6" s="5245">
        <v>4977.5600000000004</v>
      </c>
      <c r="L6" s="2950">
        <f t="shared" ref="L6:M8" si="1">+H6+J6</f>
        <v>0</v>
      </c>
      <c r="M6" s="2011">
        <f t="shared" si="1"/>
        <v>7103.9500000000007</v>
      </c>
      <c r="N6" s="2677">
        <v>0</v>
      </c>
      <c r="O6" s="5245">
        <v>2063.21</v>
      </c>
      <c r="P6" s="2786">
        <f t="shared" ref="P6:Q8" si="2">+L6+N6</f>
        <v>0</v>
      </c>
      <c r="Q6" s="1823">
        <f t="shared" si="2"/>
        <v>9167.16</v>
      </c>
      <c r="R6" s="2677">
        <v>0</v>
      </c>
      <c r="S6" s="5245">
        <v>3108.639999999999</v>
      </c>
      <c r="T6" s="4809">
        <f t="shared" ref="T6:T11" si="3">+P6+R6</f>
        <v>0</v>
      </c>
      <c r="U6" s="1823">
        <f t="shared" ref="U6:U11" si="4">+Q6+S6</f>
        <v>12275.8</v>
      </c>
      <c r="V6" s="2677">
        <v>0</v>
      </c>
      <c r="W6" s="5245">
        <v>5547.5400000000009</v>
      </c>
      <c r="X6" s="6504">
        <f>+N6+R6+V6</f>
        <v>0</v>
      </c>
      <c r="Y6" s="2011">
        <f>+O6+S6+W6</f>
        <v>10719.39</v>
      </c>
      <c r="Z6" s="6519">
        <f>+T6+V6</f>
        <v>0</v>
      </c>
      <c r="AA6" s="6531">
        <f t="shared" ref="AA6:AA11" si="5">+U6+W6</f>
        <v>17823.34</v>
      </c>
      <c r="AB6" s="2677">
        <v>0</v>
      </c>
      <c r="AC6" s="5245">
        <v>2544.1499999999996</v>
      </c>
      <c r="AD6" s="4809">
        <f t="shared" ref="AD6:AD11" si="6">+Z6+AB6</f>
        <v>0</v>
      </c>
      <c r="AE6" s="1823">
        <f t="shared" ref="AE6:AE11" si="7">+AA6+AC6</f>
        <v>20367.489999999998</v>
      </c>
      <c r="AF6" s="2677">
        <v>0</v>
      </c>
      <c r="AG6" s="5245">
        <v>3032.45</v>
      </c>
      <c r="AH6" s="4809">
        <f t="shared" ref="AH6:AH11" si="8">+AD6+AF6</f>
        <v>0</v>
      </c>
      <c r="AI6" s="1823">
        <f t="shared" ref="AI6:AI11" si="9">+AE6+AG6</f>
        <v>23399.94</v>
      </c>
      <c r="AJ6" s="5245">
        <v>0</v>
      </c>
      <c r="AK6" s="5245">
        <v>2622.9900000000007</v>
      </c>
      <c r="AL6" s="7803">
        <f>+AB6+AF6+AJ6</f>
        <v>0</v>
      </c>
      <c r="AM6" s="2011">
        <f>+AC6+AG6+AK6</f>
        <v>8199.59</v>
      </c>
      <c r="AN6" s="4809">
        <f>+AH6+AJ6</f>
        <v>0</v>
      </c>
      <c r="AO6" s="1823">
        <f t="shared" ref="AO6:AO11" si="10">+AI6+AK6</f>
        <v>26022.93</v>
      </c>
      <c r="AP6" s="5245">
        <v>0</v>
      </c>
      <c r="AQ6" s="5245">
        <v>3556.32</v>
      </c>
      <c r="AR6" s="4809">
        <f t="shared" ref="AR6:AR11" si="11">+AN6+AP6</f>
        <v>0</v>
      </c>
      <c r="AS6" s="1823">
        <f t="shared" ref="AS6:AS11" si="12">+AO6+AQ6</f>
        <v>29579.25</v>
      </c>
      <c r="AT6" s="5245">
        <v>0</v>
      </c>
      <c r="AU6" s="5245">
        <v>613.39</v>
      </c>
      <c r="AV6" s="4809">
        <f t="shared" ref="AV6" si="13">+AR6+AT6</f>
        <v>0</v>
      </c>
      <c r="AW6" s="1823">
        <f t="shared" ref="AW6:AW11" si="14">+AS6+AU6</f>
        <v>30192.639999999999</v>
      </c>
      <c r="AX6" s="5245">
        <v>0</v>
      </c>
      <c r="AY6" s="5245">
        <v>5075.6099999999997</v>
      </c>
      <c r="AZ6" s="8323">
        <f>+AP6+AT6+AX6</f>
        <v>0</v>
      </c>
      <c r="BA6" s="2011">
        <f>+AQ6+AU6+AY6</f>
        <v>9245.32</v>
      </c>
      <c r="BB6" s="8323">
        <f>+AL6+AZ6</f>
        <v>0</v>
      </c>
      <c r="BC6" s="2011">
        <f t="shared" ref="BC6:BC18" si="15">+AM6+BA6</f>
        <v>17444.91</v>
      </c>
      <c r="BD6" s="6519">
        <f>+AV6+AX6</f>
        <v>0</v>
      </c>
      <c r="BE6" s="6531">
        <f t="shared" ref="BE6:BE11" si="16">+AW6+AY6</f>
        <v>35268.25</v>
      </c>
      <c r="BF6" s="5310">
        <v>2000</v>
      </c>
      <c r="BG6" s="5311">
        <v>28405.85</v>
      </c>
    </row>
    <row r="7" spans="2:62" s="4179" customFormat="1" ht="15" customHeight="1" x14ac:dyDescent="0.2">
      <c r="B7" s="5429" t="s">
        <v>250</v>
      </c>
      <c r="C7" s="1636" t="s">
        <v>863</v>
      </c>
      <c r="D7" s="4649">
        <v>0</v>
      </c>
      <c r="E7" s="2717">
        <v>0</v>
      </c>
      <c r="F7" s="5292">
        <v>0</v>
      </c>
      <c r="G7" s="2717">
        <v>0</v>
      </c>
      <c r="H7" s="2783">
        <f t="shared" si="0"/>
        <v>0</v>
      </c>
      <c r="I7" s="1823">
        <f t="shared" si="0"/>
        <v>0</v>
      </c>
      <c r="J7" s="5720">
        <v>0</v>
      </c>
      <c r="K7" s="5245">
        <v>0</v>
      </c>
      <c r="L7" s="2950">
        <f t="shared" si="1"/>
        <v>0</v>
      </c>
      <c r="M7" s="2011">
        <f t="shared" si="1"/>
        <v>0</v>
      </c>
      <c r="N7" s="4648">
        <v>0</v>
      </c>
      <c r="O7" s="5245">
        <v>0</v>
      </c>
      <c r="P7" s="4753">
        <f t="shared" si="2"/>
        <v>0</v>
      </c>
      <c r="Q7" s="1823">
        <f t="shared" si="2"/>
        <v>0</v>
      </c>
      <c r="R7" s="6320">
        <v>2700</v>
      </c>
      <c r="S7" s="5245">
        <v>1092.3899999999999</v>
      </c>
      <c r="T7" s="4809">
        <f t="shared" si="3"/>
        <v>2700</v>
      </c>
      <c r="U7" s="1823">
        <f t="shared" si="4"/>
        <v>1092.3899999999999</v>
      </c>
      <c r="V7" s="6489">
        <v>2700</v>
      </c>
      <c r="W7" s="5245">
        <v>190.24000000000004</v>
      </c>
      <c r="X7" s="6504">
        <f t="shared" ref="X7:X11" si="17">+N7+R7+V7</f>
        <v>5400</v>
      </c>
      <c r="Y7" s="2011">
        <f t="shared" ref="Y7:Y11" si="18">+O7+S7+W7</f>
        <v>1282.6299999999999</v>
      </c>
      <c r="Z7" s="6519">
        <f t="shared" ref="Z7:Z11" si="19">+T7+V7</f>
        <v>5400</v>
      </c>
      <c r="AA7" s="6531">
        <f t="shared" si="5"/>
        <v>1282.6299999999999</v>
      </c>
      <c r="AB7" s="7291">
        <v>0</v>
      </c>
      <c r="AC7" s="5245">
        <v>0</v>
      </c>
      <c r="AD7" s="4809">
        <f t="shared" si="6"/>
        <v>5400</v>
      </c>
      <c r="AE7" s="1823">
        <f t="shared" si="7"/>
        <v>1282.6299999999999</v>
      </c>
      <c r="AF7" s="7553">
        <v>2700</v>
      </c>
      <c r="AG7" s="5245">
        <v>0</v>
      </c>
      <c r="AH7" s="4809">
        <f t="shared" si="8"/>
        <v>8100</v>
      </c>
      <c r="AI7" s="1823">
        <f t="shared" si="9"/>
        <v>1282.6299999999999</v>
      </c>
      <c r="AJ7" s="5245">
        <v>2700</v>
      </c>
      <c r="AK7" s="5245">
        <v>0</v>
      </c>
      <c r="AL7" s="7803">
        <f t="shared" ref="AL7:AL11" si="20">+AB7+AF7+AJ7</f>
        <v>5400</v>
      </c>
      <c r="AM7" s="2011">
        <f t="shared" ref="AM7:AM11" si="21">+AC7+AG7+AK7</f>
        <v>0</v>
      </c>
      <c r="AN7" s="4809">
        <f t="shared" ref="AN7:AN11" si="22">+AH7+AJ7</f>
        <v>10800</v>
      </c>
      <c r="AO7" s="1823">
        <f t="shared" si="10"/>
        <v>1282.6299999999999</v>
      </c>
      <c r="AP7" s="5245">
        <v>0</v>
      </c>
      <c r="AQ7" s="5245">
        <v>8475.8799999999974</v>
      </c>
      <c r="AR7" s="4809">
        <f>+AN7+AP7</f>
        <v>10800</v>
      </c>
      <c r="AS7" s="1823">
        <f t="shared" si="12"/>
        <v>9758.5099999999966</v>
      </c>
      <c r="AT7" s="5245">
        <v>0</v>
      </c>
      <c r="AU7" s="5245">
        <v>0</v>
      </c>
      <c r="AV7" s="4809">
        <f>+AR7+AT7</f>
        <v>10800</v>
      </c>
      <c r="AW7" s="1823">
        <f t="shared" si="14"/>
        <v>9758.5099999999966</v>
      </c>
      <c r="AX7" s="5245">
        <v>0</v>
      </c>
      <c r="AY7" s="5245">
        <v>0</v>
      </c>
      <c r="AZ7" s="8323">
        <f t="shared" ref="AZ7:AZ11" si="23">+AP7+AT7+AX7</f>
        <v>0</v>
      </c>
      <c r="BA7" s="2011">
        <f t="shared" ref="BA7:BA11" si="24">+AQ7+AU7+AY7</f>
        <v>8475.8799999999974</v>
      </c>
      <c r="BB7" s="8323">
        <f t="shared" ref="BB7:BB12" si="25">+AL7+AZ7</f>
        <v>5400</v>
      </c>
      <c r="BC7" s="2011">
        <f t="shared" si="15"/>
        <v>8475.8799999999974</v>
      </c>
      <c r="BD7" s="6519">
        <f t="shared" ref="BD7:BD11" si="26">+AV7+AX7</f>
        <v>10800</v>
      </c>
      <c r="BE7" s="6531">
        <f t="shared" si="16"/>
        <v>9758.5099999999966</v>
      </c>
      <c r="BF7" s="5310">
        <v>24210</v>
      </c>
      <c r="BG7" s="5311">
        <v>5928.0949999999839</v>
      </c>
    </row>
    <row r="8" spans="2:62" ht="15" customHeight="1" x14ac:dyDescent="0.2">
      <c r="B8" s="5429" t="s">
        <v>1266</v>
      </c>
      <c r="C8" s="1636" t="s">
        <v>863</v>
      </c>
      <c r="D8" s="3174">
        <v>14366.4</v>
      </c>
      <c r="E8" s="2750">
        <v>16375.711000000007</v>
      </c>
      <c r="F8" s="3174">
        <v>17668</v>
      </c>
      <c r="G8" s="2750">
        <v>16536.607</v>
      </c>
      <c r="H8" s="2783">
        <f t="shared" si="0"/>
        <v>32034.400000000001</v>
      </c>
      <c r="I8" s="1823">
        <f t="shared" si="0"/>
        <v>32912.318000000007</v>
      </c>
      <c r="J8" s="3174">
        <v>35910</v>
      </c>
      <c r="K8" s="4406">
        <v>30920.368000000002</v>
      </c>
      <c r="L8" s="2950">
        <f t="shared" si="1"/>
        <v>67944.399999999994</v>
      </c>
      <c r="M8" s="2011">
        <f t="shared" si="1"/>
        <v>63832.686000000009</v>
      </c>
      <c r="N8" s="2694">
        <v>34800</v>
      </c>
      <c r="O8" s="4406">
        <v>33185.977999999996</v>
      </c>
      <c r="P8" s="2786">
        <f t="shared" si="2"/>
        <v>102744.4</v>
      </c>
      <c r="Q8" s="1823">
        <f t="shared" si="2"/>
        <v>97018.664000000004</v>
      </c>
      <c r="R8" s="6320">
        <v>34800</v>
      </c>
      <c r="S8" s="4406">
        <v>35758.760999999999</v>
      </c>
      <c r="T8" s="4809">
        <f t="shared" si="3"/>
        <v>137544.4</v>
      </c>
      <c r="U8" s="1823">
        <f t="shared" si="4"/>
        <v>132777.42499999999</v>
      </c>
      <c r="V8" s="6489">
        <v>32000</v>
      </c>
      <c r="W8" s="4406">
        <v>26492.411000000011</v>
      </c>
      <c r="X8" s="6504">
        <f t="shared" si="17"/>
        <v>101600</v>
      </c>
      <c r="Y8" s="2011">
        <f t="shared" si="18"/>
        <v>95437.150000000009</v>
      </c>
      <c r="Z8" s="6519">
        <f t="shared" si="19"/>
        <v>169544.4</v>
      </c>
      <c r="AA8" s="6531">
        <f t="shared" si="5"/>
        <v>159269.83600000001</v>
      </c>
      <c r="AB8" s="7291">
        <v>39800</v>
      </c>
      <c r="AC8" s="4406">
        <v>24289.42</v>
      </c>
      <c r="AD8" s="4809">
        <f t="shared" si="6"/>
        <v>209344.4</v>
      </c>
      <c r="AE8" s="1823">
        <f t="shared" si="7"/>
        <v>183559.25599999999</v>
      </c>
      <c r="AF8" s="7553">
        <v>45249.811321000008</v>
      </c>
      <c r="AG8" s="4406">
        <v>32282.62</v>
      </c>
      <c r="AH8" s="4809">
        <f t="shared" si="8"/>
        <v>254594.21132100001</v>
      </c>
      <c r="AI8" s="1823">
        <f t="shared" si="9"/>
        <v>215841.87599999999</v>
      </c>
      <c r="AJ8" s="4406">
        <v>46094.037736100006</v>
      </c>
      <c r="AK8" s="4406">
        <v>36641.610000000008</v>
      </c>
      <c r="AL8" s="7803">
        <f t="shared" si="20"/>
        <v>131143.84905710001</v>
      </c>
      <c r="AM8" s="2011">
        <f t="shared" si="21"/>
        <v>93213.65</v>
      </c>
      <c r="AN8" s="4809">
        <f t="shared" si="22"/>
        <v>300688.24905710004</v>
      </c>
      <c r="AO8" s="1823">
        <f t="shared" si="10"/>
        <v>252483.486</v>
      </c>
      <c r="AP8" s="4406">
        <v>46294.037736100006</v>
      </c>
      <c r="AQ8" s="4406">
        <v>30074.79</v>
      </c>
      <c r="AR8" s="4809">
        <f t="shared" si="11"/>
        <v>346982.28679320007</v>
      </c>
      <c r="AS8" s="1823">
        <f t="shared" si="12"/>
        <v>282558.27600000001</v>
      </c>
      <c r="AT8" s="4406">
        <v>41769</v>
      </c>
      <c r="AU8" s="4406">
        <f>+'DETAIL DESP  '!AU11</f>
        <v>31673.72</v>
      </c>
      <c r="AV8" s="4809">
        <f t="shared" ref="AV8:AV11" si="27">+AR8+AT8</f>
        <v>388751.28679320007</v>
      </c>
      <c r="AW8" s="1823">
        <f t="shared" si="14"/>
        <v>314231.99600000004</v>
      </c>
      <c r="AX8" s="4406">
        <v>46415</v>
      </c>
      <c r="AY8" s="4406">
        <v>37035.019999999997</v>
      </c>
      <c r="AZ8" s="8323">
        <f t="shared" si="23"/>
        <v>134478.0377361</v>
      </c>
      <c r="BA8" s="2011">
        <f t="shared" si="24"/>
        <v>98783.53</v>
      </c>
      <c r="BB8" s="8323">
        <f t="shared" si="25"/>
        <v>265621.88679320004</v>
      </c>
      <c r="BC8" s="2011">
        <f t="shared" si="15"/>
        <v>191997.18</v>
      </c>
      <c r="BD8" s="6519">
        <f t="shared" si="26"/>
        <v>435166.28679320007</v>
      </c>
      <c r="BE8" s="6531">
        <f t="shared" si="16"/>
        <v>351267.01600000006</v>
      </c>
      <c r="BF8" s="5310">
        <v>498000</v>
      </c>
      <c r="BG8" s="5311">
        <v>399090.26199999993</v>
      </c>
    </row>
    <row r="9" spans="2:62" ht="15" customHeight="1" x14ac:dyDescent="0.2">
      <c r="B9" s="5429" t="s">
        <v>1267</v>
      </c>
      <c r="C9" s="1636" t="s">
        <v>863</v>
      </c>
      <c r="D9" s="3174">
        <v>8073.14</v>
      </c>
      <c r="E9" s="2750">
        <v>11672.028999999999</v>
      </c>
      <c r="F9" s="3174">
        <v>43712</v>
      </c>
      <c r="G9" s="2750">
        <v>31996.589</v>
      </c>
      <c r="H9" s="2783">
        <f t="shared" ref="H9:H11" si="28">+D9+F9</f>
        <v>51785.14</v>
      </c>
      <c r="I9" s="1823">
        <f t="shared" ref="I9:I11" si="29">+E9+G9</f>
        <v>43668.618000000002</v>
      </c>
      <c r="J9" s="3174">
        <v>41998</v>
      </c>
      <c r="K9" s="4406">
        <v>34772.045000000006</v>
      </c>
      <c r="L9" s="2950">
        <f t="shared" ref="L9:L11" si="30">+H9+J9</f>
        <v>93783.14</v>
      </c>
      <c r="M9" s="2011">
        <f t="shared" ref="M9:M11" si="31">+I9+K9</f>
        <v>78440.663</v>
      </c>
      <c r="N9" s="2694">
        <v>59600</v>
      </c>
      <c r="O9" s="4406">
        <v>28512.978999999999</v>
      </c>
      <c r="P9" s="2786">
        <f t="shared" ref="P9:P11" si="32">+L9+N9</f>
        <v>153383.14000000001</v>
      </c>
      <c r="Q9" s="1823">
        <f t="shared" ref="Q9:Q11" si="33">+M9+O9</f>
        <v>106953.64199999999</v>
      </c>
      <c r="R9" s="6320">
        <v>55000</v>
      </c>
      <c r="S9" s="4406">
        <v>29750.625000000004</v>
      </c>
      <c r="T9" s="4809">
        <f t="shared" si="3"/>
        <v>208383.14</v>
      </c>
      <c r="U9" s="1823">
        <f t="shared" si="4"/>
        <v>136704.26699999999</v>
      </c>
      <c r="V9" s="6489">
        <v>58000</v>
      </c>
      <c r="W9" s="4406">
        <v>35123.995999999999</v>
      </c>
      <c r="X9" s="6504">
        <f t="shared" si="17"/>
        <v>172600</v>
      </c>
      <c r="Y9" s="2011">
        <f t="shared" si="18"/>
        <v>93387.6</v>
      </c>
      <c r="Z9" s="6519">
        <f t="shared" si="19"/>
        <v>266383.14</v>
      </c>
      <c r="AA9" s="6531">
        <f t="shared" si="5"/>
        <v>171828.26299999998</v>
      </c>
      <c r="AB9" s="7291">
        <v>50000</v>
      </c>
      <c r="AC9" s="4406">
        <v>26097</v>
      </c>
      <c r="AD9" s="4809">
        <f t="shared" si="6"/>
        <v>316383.14</v>
      </c>
      <c r="AE9" s="1823">
        <f t="shared" si="7"/>
        <v>197925.26299999998</v>
      </c>
      <c r="AF9" s="7553">
        <v>72144</v>
      </c>
      <c r="AG9" s="4406">
        <v>43636.790000000008</v>
      </c>
      <c r="AH9" s="4809">
        <f t="shared" si="8"/>
        <v>388527.14</v>
      </c>
      <c r="AI9" s="1823">
        <f t="shared" si="9"/>
        <v>241562.05299999999</v>
      </c>
      <c r="AJ9" s="4406">
        <v>72945.600000000006</v>
      </c>
      <c r="AK9" s="4406">
        <v>50121.09</v>
      </c>
      <c r="AL9" s="7803">
        <f t="shared" si="20"/>
        <v>195089.6</v>
      </c>
      <c r="AM9" s="2011">
        <f t="shared" si="21"/>
        <v>119854.88</v>
      </c>
      <c r="AN9" s="4809">
        <f t="shared" si="22"/>
        <v>461472.74</v>
      </c>
      <c r="AO9" s="1823">
        <f t="shared" si="10"/>
        <v>291683.14299999998</v>
      </c>
      <c r="AP9" s="4406">
        <v>73480</v>
      </c>
      <c r="AQ9" s="4406">
        <v>48805.760000000002</v>
      </c>
      <c r="AR9" s="4809">
        <f t="shared" si="11"/>
        <v>534952.74</v>
      </c>
      <c r="AS9" s="1823">
        <f t="shared" si="12"/>
        <v>340488.90299999999</v>
      </c>
      <c r="AT9" s="4406">
        <v>66800</v>
      </c>
      <c r="AU9" s="4406">
        <v>49089.91</v>
      </c>
      <c r="AV9" s="4809">
        <f t="shared" si="27"/>
        <v>601752.74</v>
      </c>
      <c r="AW9" s="1823">
        <f t="shared" si="14"/>
        <v>389578.81299999997</v>
      </c>
      <c r="AX9" s="4406">
        <v>73122</v>
      </c>
      <c r="AY9" s="4406">
        <f>48408.45-1028.8</f>
        <v>47379.649999999994</v>
      </c>
      <c r="AZ9" s="8323">
        <f t="shared" si="23"/>
        <v>213402</v>
      </c>
      <c r="BA9" s="2011">
        <f t="shared" si="24"/>
        <v>145275.32</v>
      </c>
      <c r="BB9" s="8323">
        <f t="shared" si="25"/>
        <v>408491.6</v>
      </c>
      <c r="BC9" s="2011">
        <f t="shared" si="15"/>
        <v>265130.2</v>
      </c>
      <c r="BD9" s="6519">
        <f t="shared" si="26"/>
        <v>674874.74</v>
      </c>
      <c r="BE9" s="6531">
        <f t="shared" si="16"/>
        <v>436958.46299999999</v>
      </c>
      <c r="BF9" s="5310">
        <v>800000</v>
      </c>
      <c r="BG9" s="5311">
        <v>612890.54699999979</v>
      </c>
    </row>
    <row r="10" spans="2:62" ht="15" customHeight="1" x14ac:dyDescent="0.2">
      <c r="B10" s="5429" t="s">
        <v>1268</v>
      </c>
      <c r="C10" s="1636" t="s">
        <v>863</v>
      </c>
      <c r="D10" s="3174">
        <v>0</v>
      </c>
      <c r="E10" s="2750">
        <v>985.8</v>
      </c>
      <c r="F10" s="3174">
        <v>0</v>
      </c>
      <c r="G10" s="2750">
        <v>3719.2910000000002</v>
      </c>
      <c r="H10" s="2783">
        <f t="shared" si="28"/>
        <v>0</v>
      </c>
      <c r="I10" s="1823">
        <f t="shared" si="29"/>
        <v>4705.0910000000003</v>
      </c>
      <c r="J10" s="3174">
        <v>0</v>
      </c>
      <c r="K10" s="4406">
        <v>4850.5109999999995</v>
      </c>
      <c r="L10" s="2950">
        <f t="shared" si="30"/>
        <v>0</v>
      </c>
      <c r="M10" s="2011">
        <f t="shared" si="31"/>
        <v>9555.601999999999</v>
      </c>
      <c r="N10" s="2694">
        <v>7000</v>
      </c>
      <c r="O10" s="4406">
        <v>2379.6999999999998</v>
      </c>
      <c r="P10" s="2786">
        <f t="shared" si="32"/>
        <v>7000</v>
      </c>
      <c r="Q10" s="1823">
        <f t="shared" si="33"/>
        <v>11935.302</v>
      </c>
      <c r="R10" s="6320">
        <v>8000</v>
      </c>
      <c r="S10" s="4406">
        <v>461.73</v>
      </c>
      <c r="T10" s="4809">
        <f t="shared" si="3"/>
        <v>15000</v>
      </c>
      <c r="U10" s="1823">
        <f t="shared" si="4"/>
        <v>12397.031999999999</v>
      </c>
      <c r="V10" s="6489">
        <v>10000</v>
      </c>
      <c r="W10" s="4406">
        <v>359.27</v>
      </c>
      <c r="X10" s="6504">
        <f t="shared" si="17"/>
        <v>25000</v>
      </c>
      <c r="Y10" s="2011">
        <f t="shared" si="18"/>
        <v>3200.7</v>
      </c>
      <c r="Z10" s="6519">
        <f t="shared" si="19"/>
        <v>25000</v>
      </c>
      <c r="AA10" s="6531">
        <f t="shared" si="5"/>
        <v>12756.302</v>
      </c>
      <c r="AB10" s="7291">
        <v>10000</v>
      </c>
      <c r="AC10" s="4406">
        <v>12306.48</v>
      </c>
      <c r="AD10" s="4809">
        <f t="shared" si="6"/>
        <v>35000</v>
      </c>
      <c r="AE10" s="1823">
        <f t="shared" si="7"/>
        <v>25062.781999999999</v>
      </c>
      <c r="AF10" s="7553">
        <v>40000</v>
      </c>
      <c r="AG10" s="4406">
        <v>18714.310000000001</v>
      </c>
      <c r="AH10" s="4809">
        <f t="shared" si="8"/>
        <v>75000</v>
      </c>
      <c r="AI10" s="1823">
        <f t="shared" si="9"/>
        <v>43777.092000000004</v>
      </c>
      <c r="AJ10" s="4406">
        <v>30000</v>
      </c>
      <c r="AK10" s="4406">
        <v>12687.539999999999</v>
      </c>
      <c r="AL10" s="7803">
        <f t="shared" si="20"/>
        <v>80000</v>
      </c>
      <c r="AM10" s="2011">
        <f t="shared" si="21"/>
        <v>43708.33</v>
      </c>
      <c r="AN10" s="4809">
        <f t="shared" si="22"/>
        <v>105000</v>
      </c>
      <c r="AO10" s="1823">
        <f t="shared" si="10"/>
        <v>56464.632000000005</v>
      </c>
      <c r="AP10" s="4406">
        <v>35000</v>
      </c>
      <c r="AQ10" s="4406">
        <v>13700.860000000002</v>
      </c>
      <c r="AR10" s="4809">
        <f t="shared" si="11"/>
        <v>140000</v>
      </c>
      <c r="AS10" s="1823">
        <f t="shared" si="12"/>
        <v>70165.492000000013</v>
      </c>
      <c r="AT10" s="4406">
        <v>35000</v>
      </c>
      <c r="AU10" s="4406">
        <v>17221.009999999998</v>
      </c>
      <c r="AV10" s="4809">
        <f t="shared" si="27"/>
        <v>175000</v>
      </c>
      <c r="AW10" s="1823">
        <f t="shared" si="14"/>
        <v>87386.502000000008</v>
      </c>
      <c r="AX10" s="4406">
        <v>45000</v>
      </c>
      <c r="AY10" s="4406">
        <f>11212.68+1864.3-63.08</f>
        <v>13013.9</v>
      </c>
      <c r="AZ10" s="8323">
        <f t="shared" si="23"/>
        <v>115000</v>
      </c>
      <c r="BA10" s="2011">
        <f t="shared" si="24"/>
        <v>43935.770000000004</v>
      </c>
      <c r="BB10" s="8323">
        <f t="shared" si="25"/>
        <v>195000</v>
      </c>
      <c r="BC10" s="2011">
        <f t="shared" si="15"/>
        <v>87644.1</v>
      </c>
      <c r="BD10" s="6519">
        <f t="shared" si="26"/>
        <v>220000</v>
      </c>
      <c r="BE10" s="6531">
        <f t="shared" si="16"/>
        <v>100400.402</v>
      </c>
      <c r="BF10" s="5310">
        <v>535000</v>
      </c>
      <c r="BG10" s="5311">
        <v>167166.99200000003</v>
      </c>
      <c r="BJ10" s="1673"/>
    </row>
    <row r="11" spans="2:62" ht="15" customHeight="1" thickBot="1" x14ac:dyDescent="0.25">
      <c r="B11" s="5430" t="s">
        <v>1739</v>
      </c>
      <c r="C11" s="1637" t="s">
        <v>863</v>
      </c>
      <c r="D11" s="3276">
        <v>94808</v>
      </c>
      <c r="E11" s="2818">
        <v>40972.332999999991</v>
      </c>
      <c r="F11" s="3276">
        <v>65936.95</v>
      </c>
      <c r="G11" s="2818">
        <v>97680.587999999974</v>
      </c>
      <c r="H11" s="2783">
        <f t="shared" si="28"/>
        <v>160744.95000000001</v>
      </c>
      <c r="I11" s="1823">
        <f t="shared" si="29"/>
        <v>138652.92099999997</v>
      </c>
      <c r="J11" s="3276">
        <v>77842</v>
      </c>
      <c r="K11" s="4698">
        <v>144748.36199999991</v>
      </c>
      <c r="L11" s="2950">
        <f t="shared" si="30"/>
        <v>238586.95</v>
      </c>
      <c r="M11" s="2011">
        <f t="shared" si="31"/>
        <v>283401.28299999988</v>
      </c>
      <c r="N11" s="2694">
        <v>119500</v>
      </c>
      <c r="O11" s="4698">
        <v>125532.51499999996</v>
      </c>
      <c r="P11" s="2789">
        <f t="shared" si="32"/>
        <v>358086.95</v>
      </c>
      <c r="Q11" s="1828">
        <f t="shared" si="33"/>
        <v>408933.79799999984</v>
      </c>
      <c r="R11" s="6320">
        <v>119300</v>
      </c>
      <c r="S11" s="4698">
        <v>103938.32399999992</v>
      </c>
      <c r="T11" s="2789">
        <f t="shared" si="3"/>
        <v>477386.95</v>
      </c>
      <c r="U11" s="1828">
        <f t="shared" si="4"/>
        <v>512872.12199999974</v>
      </c>
      <c r="V11" s="6489">
        <v>118300</v>
      </c>
      <c r="W11" s="4698">
        <v>35832.575999999994</v>
      </c>
      <c r="X11" s="6504">
        <f t="shared" si="17"/>
        <v>357100</v>
      </c>
      <c r="Y11" s="2011">
        <f t="shared" si="18"/>
        <v>265303.41499999986</v>
      </c>
      <c r="Z11" s="6527">
        <f t="shared" si="19"/>
        <v>595686.94999999995</v>
      </c>
      <c r="AA11" s="6593">
        <f t="shared" si="5"/>
        <v>548704.69799999974</v>
      </c>
      <c r="AB11" s="7291">
        <v>9175.3772204806719</v>
      </c>
      <c r="AC11" s="4698">
        <v>8843.8799999999974</v>
      </c>
      <c r="AD11" s="2789">
        <f t="shared" si="6"/>
        <v>604862.32722048066</v>
      </c>
      <c r="AE11" s="1828">
        <f t="shared" si="7"/>
        <v>557548.57799999975</v>
      </c>
      <c r="AF11" s="7553">
        <v>49806.09887418367</v>
      </c>
      <c r="AG11" s="4698">
        <v>41046.290000000008</v>
      </c>
      <c r="AH11" s="2789">
        <f t="shared" si="8"/>
        <v>654668.42609466438</v>
      </c>
      <c r="AI11" s="1828">
        <f t="shared" si="9"/>
        <v>598594.86799999978</v>
      </c>
      <c r="AJ11" s="4698">
        <v>66977.646181181786</v>
      </c>
      <c r="AK11" s="4698">
        <v>69541.31</v>
      </c>
      <c r="AL11" s="7803">
        <f t="shared" si="20"/>
        <v>125959.12227584614</v>
      </c>
      <c r="AM11" s="2011">
        <f t="shared" si="21"/>
        <v>119431.48000000001</v>
      </c>
      <c r="AN11" s="2789">
        <f t="shared" si="22"/>
        <v>721646.07227584615</v>
      </c>
      <c r="AO11" s="1828">
        <f t="shared" si="10"/>
        <v>668136.17799999984</v>
      </c>
      <c r="AP11" s="4698">
        <v>61266.703400687926</v>
      </c>
      <c r="AQ11" s="4698">
        <v>76352.019999999975</v>
      </c>
      <c r="AR11" s="2789">
        <f t="shared" si="11"/>
        <v>782912.77567653405</v>
      </c>
      <c r="AS11" s="1828">
        <f t="shared" si="12"/>
        <v>744488.19799999986</v>
      </c>
      <c r="AT11" s="4698">
        <v>55498</v>
      </c>
      <c r="AU11" s="4698">
        <v>81687.710000000006</v>
      </c>
      <c r="AV11" s="2789">
        <f t="shared" si="27"/>
        <v>838410.77567653405</v>
      </c>
      <c r="AW11" s="1828">
        <f t="shared" si="14"/>
        <v>826175.90799999982</v>
      </c>
      <c r="AX11" s="4698">
        <v>55223</v>
      </c>
      <c r="AY11" s="4698">
        <v>117826.3</v>
      </c>
      <c r="AZ11" s="8323">
        <f t="shared" si="23"/>
        <v>171987.70340068793</v>
      </c>
      <c r="BA11" s="2011">
        <f t="shared" si="24"/>
        <v>275866.02999999997</v>
      </c>
      <c r="BB11" s="8323">
        <f t="shared" si="25"/>
        <v>297946.82567653409</v>
      </c>
      <c r="BC11" s="2011">
        <f t="shared" si="15"/>
        <v>395297.51</v>
      </c>
      <c r="BD11" s="6527">
        <f t="shared" si="26"/>
        <v>893633.77567653405</v>
      </c>
      <c r="BE11" s="6593">
        <f t="shared" si="16"/>
        <v>944002.20799999987</v>
      </c>
      <c r="BF11" s="5310">
        <v>547789.74093264237</v>
      </c>
      <c r="BG11" s="5311">
        <v>836451.00399999984</v>
      </c>
    </row>
    <row r="12" spans="2:62" ht="15" customHeight="1" thickBot="1" x14ac:dyDescent="0.25">
      <c r="B12" s="5431" t="s">
        <v>15</v>
      </c>
      <c r="C12" s="1638" t="s">
        <v>863</v>
      </c>
      <c r="D12" s="2319">
        <f t="shared" ref="D12:Q12" si="34">SUM(D6:D11)</f>
        <v>117247.54000000001</v>
      </c>
      <c r="E12" s="2817">
        <f t="shared" si="34"/>
        <v>70005.872999999992</v>
      </c>
      <c r="F12" s="2319">
        <f t="shared" ref="F12:G12" si="35">SUM(F6:F11)</f>
        <v>127316.95</v>
      </c>
      <c r="G12" s="2817">
        <f t="shared" si="35"/>
        <v>152059.46499999997</v>
      </c>
      <c r="H12" s="2784">
        <f t="shared" si="34"/>
        <v>244564.49000000002</v>
      </c>
      <c r="I12" s="1825">
        <f t="shared" si="34"/>
        <v>222065.33799999999</v>
      </c>
      <c r="J12" s="2319">
        <f t="shared" ref="J12" si="36">SUM(J6:J11)</f>
        <v>155750</v>
      </c>
      <c r="K12" s="1678">
        <f t="shared" si="34"/>
        <v>220268.8459999999</v>
      </c>
      <c r="L12" s="2951">
        <f t="shared" si="34"/>
        <v>400314.49</v>
      </c>
      <c r="M12" s="2005">
        <f t="shared" si="34"/>
        <v>442334.18399999989</v>
      </c>
      <c r="N12" s="2319">
        <f t="shared" si="34"/>
        <v>220900</v>
      </c>
      <c r="O12" s="1678">
        <f t="shared" si="34"/>
        <v>191674.38199999995</v>
      </c>
      <c r="P12" s="2784">
        <f t="shared" si="34"/>
        <v>621214.49</v>
      </c>
      <c r="Q12" s="1825">
        <f t="shared" si="34"/>
        <v>634008.56599999988</v>
      </c>
      <c r="R12" s="2319">
        <f t="shared" ref="R12:U12" si="37">SUM(R6:R11)</f>
        <v>219800</v>
      </c>
      <c r="S12" s="1678">
        <f t="shared" si="37"/>
        <v>174110.46999999991</v>
      </c>
      <c r="T12" s="2784">
        <f t="shared" si="37"/>
        <v>841014.49</v>
      </c>
      <c r="U12" s="1825">
        <f t="shared" si="37"/>
        <v>808119.03599999973</v>
      </c>
      <c r="V12" s="2319">
        <f t="shared" ref="V12:AI12" si="38">SUM(V6:V11)</f>
        <v>221000</v>
      </c>
      <c r="W12" s="1678">
        <f t="shared" si="38"/>
        <v>103546.033</v>
      </c>
      <c r="X12" s="2951">
        <f t="shared" ref="X12:Y12" si="39">SUM(X6:X11)</f>
        <v>661700</v>
      </c>
      <c r="Y12" s="2005">
        <f t="shared" si="39"/>
        <v>469330.88499999989</v>
      </c>
      <c r="Z12" s="6511">
        <f t="shared" si="38"/>
        <v>1062014.49</v>
      </c>
      <c r="AA12" s="6594">
        <f t="shared" si="38"/>
        <v>911665.06899999978</v>
      </c>
      <c r="AB12" s="2319">
        <f t="shared" si="38"/>
        <v>108975.37722048067</v>
      </c>
      <c r="AC12" s="1678">
        <f t="shared" si="38"/>
        <v>74080.929999999993</v>
      </c>
      <c r="AD12" s="2784">
        <f t="shared" si="38"/>
        <v>1170989.8672204807</v>
      </c>
      <c r="AE12" s="1825">
        <f t="shared" si="38"/>
        <v>985745.99899999972</v>
      </c>
      <c r="AF12" s="2319">
        <f t="shared" si="38"/>
        <v>209899.91019518368</v>
      </c>
      <c r="AG12" s="1678">
        <f t="shared" si="38"/>
        <v>138712.46000000002</v>
      </c>
      <c r="AH12" s="2784">
        <f t="shared" si="38"/>
        <v>1380889.7774156644</v>
      </c>
      <c r="AI12" s="1825">
        <f t="shared" si="38"/>
        <v>1124458.4589999998</v>
      </c>
      <c r="AJ12" s="2319">
        <f t="shared" ref="AJ12:AO12" si="40">SUM(AJ6:AJ11)</f>
        <v>218717.28391728178</v>
      </c>
      <c r="AK12" s="1678">
        <f t="shared" si="40"/>
        <v>171614.53999999998</v>
      </c>
      <c r="AL12" s="2951">
        <f t="shared" si="40"/>
        <v>537592.57133294619</v>
      </c>
      <c r="AM12" s="2005">
        <f t="shared" si="40"/>
        <v>384407.93000000005</v>
      </c>
      <c r="AN12" s="2784">
        <f t="shared" si="40"/>
        <v>1599607.0613329462</v>
      </c>
      <c r="AO12" s="1825">
        <f t="shared" si="40"/>
        <v>1296072.9989999998</v>
      </c>
      <c r="AP12" s="2319">
        <f t="shared" ref="AP12:AS12" si="41">SUM(AP6:AP11)</f>
        <v>216040.74113678792</v>
      </c>
      <c r="AQ12" s="1678">
        <f t="shared" si="41"/>
        <v>180965.62999999998</v>
      </c>
      <c r="AR12" s="2784">
        <f t="shared" si="41"/>
        <v>1815647.8024697341</v>
      </c>
      <c r="AS12" s="1825">
        <f t="shared" si="41"/>
        <v>1477038.6289999997</v>
      </c>
      <c r="AT12" s="2319">
        <f t="shared" ref="AT12:AU12" si="42">SUM(AT6:AT11)</f>
        <v>199067</v>
      </c>
      <c r="AU12" s="1678">
        <f t="shared" si="42"/>
        <v>180285.74</v>
      </c>
      <c r="AV12" s="2784">
        <f t="shared" ref="AV12:AY12" si="43">SUM(AV6:AV11)</f>
        <v>2014714.8024697341</v>
      </c>
      <c r="AW12" s="1825">
        <f t="shared" si="43"/>
        <v>1657324.3689999999</v>
      </c>
      <c r="AX12" s="2319">
        <f t="shared" si="43"/>
        <v>219760</v>
      </c>
      <c r="AY12" s="1678">
        <f t="shared" si="43"/>
        <v>220330.47999999998</v>
      </c>
      <c r="AZ12" s="2951">
        <f t="shared" ref="AZ12:BE12" si="44">SUM(AZ6:AZ11)</f>
        <v>634867.74113678792</v>
      </c>
      <c r="BA12" s="2005">
        <f t="shared" si="44"/>
        <v>581581.85</v>
      </c>
      <c r="BB12" s="2951">
        <f t="shared" si="25"/>
        <v>1172460.3124697341</v>
      </c>
      <c r="BC12" s="2005">
        <f t="shared" si="15"/>
        <v>965989.78</v>
      </c>
      <c r="BD12" s="6511">
        <f t="shared" si="44"/>
        <v>2234474.8024697341</v>
      </c>
      <c r="BE12" s="6594">
        <f t="shared" si="44"/>
        <v>1877654.8489999999</v>
      </c>
      <c r="BF12" s="5312">
        <v>2406999.7409326425</v>
      </c>
      <c r="BG12" s="5313">
        <v>2049932.7499999995</v>
      </c>
    </row>
    <row r="13" spans="2:62" s="3380" customFormat="1" ht="15" customHeight="1" x14ac:dyDescent="0.2">
      <c r="B13" s="5432" t="s">
        <v>858</v>
      </c>
      <c r="C13" s="5350"/>
      <c r="D13" s="3640"/>
      <c r="E13" s="5351"/>
      <c r="F13" s="3640"/>
      <c r="G13" s="5351"/>
      <c r="H13" s="5302"/>
      <c r="I13" s="4902"/>
      <c r="J13" s="3640"/>
      <c r="K13" s="4902"/>
      <c r="L13" s="5302"/>
      <c r="M13" s="4902"/>
      <c r="N13" s="4902"/>
      <c r="O13" s="4902"/>
      <c r="P13" s="4902"/>
      <c r="Q13" s="4902"/>
      <c r="R13" s="4902"/>
      <c r="S13" s="4902"/>
      <c r="T13" s="4902"/>
      <c r="U13" s="4902"/>
      <c r="V13" s="4902"/>
      <c r="W13" s="4902"/>
      <c r="X13" s="5302"/>
      <c r="Y13" s="4902"/>
      <c r="Z13" s="4902"/>
      <c r="AA13" s="4902"/>
      <c r="AB13" s="4902"/>
      <c r="AC13" s="4902"/>
      <c r="AD13" s="4902"/>
      <c r="AE13" s="4902"/>
      <c r="AF13" s="4902"/>
      <c r="AG13" s="4902"/>
      <c r="AH13" s="4902"/>
      <c r="AI13" s="4902"/>
      <c r="AJ13" s="4902"/>
      <c r="AK13" s="4902"/>
      <c r="AL13" s="5302"/>
      <c r="AM13" s="4902"/>
      <c r="AN13" s="4902"/>
      <c r="AO13" s="4902"/>
      <c r="AP13" s="4902"/>
      <c r="AQ13" s="4902"/>
      <c r="AR13" s="4902"/>
      <c r="AS13" s="4902"/>
      <c r="AT13" s="4902"/>
      <c r="AU13" s="4902"/>
      <c r="AV13" s="4902"/>
      <c r="AW13" s="4902"/>
      <c r="AX13" s="4902"/>
      <c r="AY13" s="4902"/>
      <c r="AZ13" s="5302"/>
      <c r="BA13" s="4902"/>
      <c r="BB13" s="5302"/>
      <c r="BC13" s="4902">
        <f t="shared" si="15"/>
        <v>0</v>
      </c>
      <c r="BD13" s="4902"/>
      <c r="BE13" s="4902"/>
      <c r="BF13" s="4102"/>
      <c r="BG13" s="4102"/>
    </row>
    <row r="14" spans="2:62" ht="15" customHeight="1" x14ac:dyDescent="0.2">
      <c r="B14" s="5433" t="s">
        <v>250</v>
      </c>
      <c r="C14" s="1636" t="s">
        <v>863</v>
      </c>
      <c r="D14" s="8667">
        <f>+D12</f>
        <v>117247.54000000001</v>
      </c>
      <c r="E14" s="2717">
        <v>0</v>
      </c>
      <c r="F14" s="8667">
        <f>+F12</f>
        <v>127316.95</v>
      </c>
      <c r="G14" s="2717">
        <v>0</v>
      </c>
      <c r="H14" s="8676">
        <f>+D14+F14</f>
        <v>244564.49</v>
      </c>
      <c r="I14" s="1823">
        <f t="shared" ref="I14:I18" si="45">+E14+G14</f>
        <v>0</v>
      </c>
      <c r="J14" s="8667">
        <f>+J12</f>
        <v>155750</v>
      </c>
      <c r="K14" s="3918">
        <v>0</v>
      </c>
      <c r="L14" s="8661">
        <f>+H14+J14</f>
        <v>400314.49</v>
      </c>
      <c r="M14" s="2011">
        <f t="shared" ref="M14:M18" si="46">+I14+K14</f>
        <v>0</v>
      </c>
      <c r="N14" s="8670">
        <f>+N12</f>
        <v>220900</v>
      </c>
      <c r="O14" s="3918">
        <v>0</v>
      </c>
      <c r="P14" s="8676">
        <f>+L14+N14</f>
        <v>621214.49</v>
      </c>
      <c r="Q14" s="1823">
        <f t="shared" ref="Q14:Q18" si="47">+M14+O14</f>
        <v>0</v>
      </c>
      <c r="R14" s="8670">
        <f>+R12</f>
        <v>219800</v>
      </c>
      <c r="S14" s="3918">
        <f>+S7</f>
        <v>1092.3899999999999</v>
      </c>
      <c r="T14" s="8676">
        <f>+P14+R14</f>
        <v>841014.49</v>
      </c>
      <c r="U14" s="1823">
        <f t="shared" ref="U14:U18" si="48">+Q14+S14</f>
        <v>1092.3899999999999</v>
      </c>
      <c r="V14" s="8667">
        <f>+V12</f>
        <v>221000</v>
      </c>
      <c r="W14" s="3918">
        <v>190.24000000000004</v>
      </c>
      <c r="X14" s="8661">
        <f>+N14+R14+V14</f>
        <v>661700</v>
      </c>
      <c r="Y14" s="2011">
        <f>+O14+S14+W14</f>
        <v>1282.6299999999999</v>
      </c>
      <c r="Z14" s="8664">
        <f>+T14+V14</f>
        <v>1062014.49</v>
      </c>
      <c r="AA14" s="6531">
        <f t="shared" ref="AA14:AA18" si="49">+U14+W14</f>
        <v>1282.6299999999999</v>
      </c>
      <c r="AB14" s="8670">
        <f>+AB12</f>
        <v>108975.37722048067</v>
      </c>
      <c r="AC14" s="3918">
        <f>+AC7</f>
        <v>0</v>
      </c>
      <c r="AD14" s="8676">
        <f>+Z14+AB14</f>
        <v>1170989.8672204807</v>
      </c>
      <c r="AE14" s="1823">
        <f t="shared" ref="AE14:AE18" si="50">+AA14+AC14</f>
        <v>1282.6299999999999</v>
      </c>
      <c r="AF14" s="8670">
        <f>+AF12</f>
        <v>209899.91019518368</v>
      </c>
      <c r="AG14" s="3918">
        <f>+AG7</f>
        <v>0</v>
      </c>
      <c r="AH14" s="8676">
        <f>+AD14+AF14</f>
        <v>1380889.7774156644</v>
      </c>
      <c r="AI14" s="1823">
        <f t="shared" ref="AI14:AI18" si="51">+AE14+AG14</f>
        <v>1282.6299999999999</v>
      </c>
      <c r="AJ14" s="8667">
        <f>+AJ12</f>
        <v>218717.28391728178</v>
      </c>
      <c r="AK14" s="3918">
        <f>+AK7</f>
        <v>0</v>
      </c>
      <c r="AL14" s="8661">
        <f>+AB14+AF14+AJ14</f>
        <v>537592.57133294619</v>
      </c>
      <c r="AM14" s="2011">
        <f>+AC14+AG14+AK14</f>
        <v>0</v>
      </c>
      <c r="AN14" s="8676">
        <f>+AH14+AJ14</f>
        <v>1599607.0613329462</v>
      </c>
      <c r="AO14" s="1823">
        <f t="shared" ref="AO14:AO15" si="52">+AI14+AK14</f>
        <v>1282.6299999999999</v>
      </c>
      <c r="AP14" s="8667">
        <f>+AP12</f>
        <v>216040.74113678792</v>
      </c>
      <c r="AQ14" s="3918">
        <f>+AQ7</f>
        <v>8475.8799999999974</v>
      </c>
      <c r="AR14" s="8676">
        <f>+AN14+AP14</f>
        <v>1815647.8024697341</v>
      </c>
      <c r="AS14" s="1823">
        <f t="shared" ref="AS14:AS18" si="53">+AO14+AQ14</f>
        <v>9758.5099999999966</v>
      </c>
      <c r="AT14" s="8667">
        <f>+AT12</f>
        <v>199067</v>
      </c>
      <c r="AU14" s="3918">
        <v>0</v>
      </c>
      <c r="AV14" s="8676">
        <f>+AR14+AT14</f>
        <v>2014714.8024697341</v>
      </c>
      <c r="AW14" s="1823">
        <f t="shared" ref="AW14:AW18" si="54">+AS14+AU14</f>
        <v>9758.5099999999966</v>
      </c>
      <c r="AX14" s="8667">
        <f>+AX12</f>
        <v>219760</v>
      </c>
      <c r="AY14" s="3918"/>
      <c r="AZ14" s="8661">
        <f>+AP14+AT14+AX14</f>
        <v>634867.74113678792</v>
      </c>
      <c r="BA14" s="2011">
        <f>+AQ14+AU14+AY14</f>
        <v>8475.8799999999974</v>
      </c>
      <c r="BB14" s="8661">
        <f>+BB12</f>
        <v>1172460.3124697341</v>
      </c>
      <c r="BC14" s="2011">
        <f t="shared" si="15"/>
        <v>8475.8799999999974</v>
      </c>
      <c r="BD14" s="8664">
        <f>+AV14+AX14</f>
        <v>2234474.8024697341</v>
      </c>
      <c r="BE14" s="6531">
        <f t="shared" ref="BE14:BE15" si="55">+AW14+AY14</f>
        <v>9758.5099999999966</v>
      </c>
      <c r="BF14" s="8685">
        <f>+BF12</f>
        <v>2406999.7409326425</v>
      </c>
      <c r="BG14" s="5311">
        <v>5928.2490000000007</v>
      </c>
    </row>
    <row r="15" spans="2:62" ht="15" customHeight="1" x14ac:dyDescent="0.2">
      <c r="B15" s="5429" t="s">
        <v>244</v>
      </c>
      <c r="C15" s="1636" t="s">
        <v>863</v>
      </c>
      <c r="D15" s="8668"/>
      <c r="E15" s="2750">
        <v>122.16</v>
      </c>
      <c r="F15" s="8668"/>
      <c r="G15" s="2750">
        <v>34820.793999999987</v>
      </c>
      <c r="H15" s="8677"/>
      <c r="I15" s="1823">
        <f t="shared" si="45"/>
        <v>34942.953999999991</v>
      </c>
      <c r="J15" s="8668"/>
      <c r="K15" s="3918">
        <v>58512.050999999992</v>
      </c>
      <c r="L15" s="8662"/>
      <c r="M15" s="2011">
        <f t="shared" si="46"/>
        <v>93455.004999999976</v>
      </c>
      <c r="N15" s="8671"/>
      <c r="O15" s="3918">
        <v>63472.620999999999</v>
      </c>
      <c r="P15" s="8677"/>
      <c r="Q15" s="1823">
        <f t="shared" si="47"/>
        <v>156927.62599999999</v>
      </c>
      <c r="R15" s="8671"/>
      <c r="S15" s="3918">
        <v>62729.821000000011</v>
      </c>
      <c r="T15" s="8677"/>
      <c r="U15" s="1823">
        <f t="shared" si="48"/>
        <v>219657.44699999999</v>
      </c>
      <c r="V15" s="8668"/>
      <c r="W15" s="3918">
        <v>35304.871000000006</v>
      </c>
      <c r="X15" s="8662"/>
      <c r="Y15" s="2011">
        <f t="shared" ref="Y15:Y18" si="56">+O15+S15+W15</f>
        <v>161507.31300000002</v>
      </c>
      <c r="Z15" s="8665"/>
      <c r="AA15" s="6531">
        <f t="shared" si="49"/>
        <v>254962.318</v>
      </c>
      <c r="AB15" s="8671"/>
      <c r="AC15" s="3918">
        <v>53651.130000000005</v>
      </c>
      <c r="AD15" s="8677"/>
      <c r="AE15" s="1823">
        <f t="shared" si="50"/>
        <v>308613.44799999997</v>
      </c>
      <c r="AF15" s="8671"/>
      <c r="AG15" s="3918">
        <v>83158.94</v>
      </c>
      <c r="AH15" s="8677"/>
      <c r="AI15" s="1823">
        <f t="shared" si="51"/>
        <v>391772.38799999998</v>
      </c>
      <c r="AJ15" s="8668"/>
      <c r="AK15" s="3918">
        <v>102972.69</v>
      </c>
      <c r="AL15" s="8662"/>
      <c r="AM15" s="2011">
        <f t="shared" ref="AM15:AM18" si="57">+AC15+AG15+AK15</f>
        <v>239782.76</v>
      </c>
      <c r="AN15" s="8677"/>
      <c r="AO15" s="1823">
        <f t="shared" si="52"/>
        <v>494745.07799999998</v>
      </c>
      <c r="AP15" s="8668"/>
      <c r="AQ15" s="3918">
        <v>54335.569999999978</v>
      </c>
      <c r="AR15" s="8677"/>
      <c r="AS15" s="1823">
        <f t="shared" si="53"/>
        <v>549080.64799999993</v>
      </c>
      <c r="AT15" s="8668"/>
      <c r="AU15" s="3918">
        <v>58789.760000000002</v>
      </c>
      <c r="AV15" s="8677"/>
      <c r="AW15" s="1823">
        <f t="shared" si="54"/>
        <v>607870.40799999994</v>
      </c>
      <c r="AX15" s="8668"/>
      <c r="AY15" s="3918">
        <v>83456.11</v>
      </c>
      <c r="AZ15" s="8662"/>
      <c r="BA15" s="2011">
        <f t="shared" ref="BA15:BA18" si="58">+AQ15+AU15+AY15</f>
        <v>196581.44</v>
      </c>
      <c r="BB15" s="8662"/>
      <c r="BC15" s="2011">
        <f t="shared" si="15"/>
        <v>436364.2</v>
      </c>
      <c r="BD15" s="8665"/>
      <c r="BE15" s="6531">
        <f t="shared" si="55"/>
        <v>691326.51799999992</v>
      </c>
      <c r="BF15" s="8686"/>
      <c r="BG15" s="5311">
        <v>569419.82700000005</v>
      </c>
    </row>
    <row r="16" spans="2:62" ht="15" customHeight="1" x14ac:dyDescent="0.2">
      <c r="B16" s="5429" t="s">
        <v>245</v>
      </c>
      <c r="C16" s="1636" t="s">
        <v>863</v>
      </c>
      <c r="D16" s="8668"/>
      <c r="E16" s="2750">
        <v>21003.339</v>
      </c>
      <c r="F16" s="8668"/>
      <c r="G16" s="2750">
        <v>43245.988000000005</v>
      </c>
      <c r="H16" s="8677"/>
      <c r="I16" s="1823">
        <f t="shared" si="45"/>
        <v>64249.327000000005</v>
      </c>
      <c r="J16" s="8668"/>
      <c r="K16" s="3918">
        <v>52184.348000000005</v>
      </c>
      <c r="L16" s="8662"/>
      <c r="M16" s="2011">
        <f t="shared" si="46"/>
        <v>116433.67500000002</v>
      </c>
      <c r="N16" s="8671"/>
      <c r="O16" s="3918">
        <v>36302.983999999997</v>
      </c>
      <c r="P16" s="8677"/>
      <c r="Q16" s="1823">
        <f t="shared" si="47"/>
        <v>152736.65900000001</v>
      </c>
      <c r="R16" s="8671"/>
      <c r="S16" s="3918">
        <v>29096.228000000006</v>
      </c>
      <c r="T16" s="8677"/>
      <c r="U16" s="1823">
        <f t="shared" si="48"/>
        <v>181832.88700000002</v>
      </c>
      <c r="V16" s="8668"/>
      <c r="W16" s="3918">
        <v>30382.415999999997</v>
      </c>
      <c r="X16" s="8662"/>
      <c r="Y16" s="2011">
        <f t="shared" si="56"/>
        <v>95781.627999999997</v>
      </c>
      <c r="Z16" s="8665"/>
      <c r="AA16" s="6531">
        <f>+U16+W16</f>
        <v>212215.30300000001</v>
      </c>
      <c r="AB16" s="8671"/>
      <c r="AC16" s="3918">
        <v>17823.580000000002</v>
      </c>
      <c r="AD16" s="8677"/>
      <c r="AE16" s="1823">
        <f t="shared" si="50"/>
        <v>230038.88300000003</v>
      </c>
      <c r="AF16" s="8671"/>
      <c r="AG16" s="3918">
        <v>36285.449999999997</v>
      </c>
      <c r="AH16" s="8677"/>
      <c r="AI16" s="1823">
        <f t="shared" si="51"/>
        <v>266324.33300000004</v>
      </c>
      <c r="AJ16" s="8668"/>
      <c r="AK16" s="3918">
        <v>37228.550000000003</v>
      </c>
      <c r="AL16" s="8662"/>
      <c r="AM16" s="2011">
        <f t="shared" si="57"/>
        <v>91337.58</v>
      </c>
      <c r="AN16" s="8677"/>
      <c r="AO16" s="1823">
        <f>+AI16+AK16</f>
        <v>303552.88300000003</v>
      </c>
      <c r="AP16" s="8668"/>
      <c r="AQ16" s="3918">
        <v>74738.849999999977</v>
      </c>
      <c r="AR16" s="8677"/>
      <c r="AS16" s="1823">
        <f t="shared" si="53"/>
        <v>378291.73300000001</v>
      </c>
      <c r="AT16" s="8668"/>
      <c r="AU16" s="3918">
        <v>69720.89</v>
      </c>
      <c r="AV16" s="8677"/>
      <c r="AW16" s="1823">
        <f t="shared" si="54"/>
        <v>448012.62300000002</v>
      </c>
      <c r="AX16" s="8668"/>
      <c r="AY16" s="3918">
        <v>31192.53</v>
      </c>
      <c r="AZ16" s="8662"/>
      <c r="BA16" s="2011">
        <f t="shared" si="58"/>
        <v>175652.27</v>
      </c>
      <c r="BB16" s="8662"/>
      <c r="BC16" s="2011">
        <f t="shared" si="15"/>
        <v>266989.84999999998</v>
      </c>
      <c r="BD16" s="8665"/>
      <c r="BE16" s="6531">
        <f>+AW16+AY16</f>
        <v>479205.15300000005</v>
      </c>
      <c r="BF16" s="8686"/>
      <c r="BG16" s="5311">
        <v>909567.00199999986</v>
      </c>
    </row>
    <row r="17" spans="2:59" ht="15" customHeight="1" x14ac:dyDescent="0.2">
      <c r="B17" s="5430" t="s">
        <v>1265</v>
      </c>
      <c r="C17" s="1636" t="s">
        <v>863</v>
      </c>
      <c r="D17" s="8668"/>
      <c r="E17" s="2750">
        <v>0</v>
      </c>
      <c r="F17" s="8668"/>
      <c r="G17" s="2750">
        <v>2126.39</v>
      </c>
      <c r="H17" s="8677"/>
      <c r="I17" s="1823">
        <f t="shared" si="45"/>
        <v>2126.39</v>
      </c>
      <c r="J17" s="8668"/>
      <c r="K17" s="3918">
        <v>4977.5600000000004</v>
      </c>
      <c r="L17" s="8662"/>
      <c r="M17" s="2011">
        <f t="shared" si="46"/>
        <v>7103.9500000000007</v>
      </c>
      <c r="N17" s="8671"/>
      <c r="O17" s="3918">
        <v>2063.21</v>
      </c>
      <c r="P17" s="8677"/>
      <c r="Q17" s="1823">
        <f t="shared" si="47"/>
        <v>9167.16</v>
      </c>
      <c r="R17" s="8671"/>
      <c r="S17" s="3918">
        <f>+S6</f>
        <v>3108.639999999999</v>
      </c>
      <c r="T17" s="8677"/>
      <c r="U17" s="1823">
        <f t="shared" si="48"/>
        <v>12275.8</v>
      </c>
      <c r="V17" s="8668"/>
      <c r="W17" s="3918">
        <v>5547.5400000000009</v>
      </c>
      <c r="X17" s="8662"/>
      <c r="Y17" s="2011">
        <f t="shared" si="56"/>
        <v>10719.39</v>
      </c>
      <c r="Z17" s="8665"/>
      <c r="AA17" s="6531">
        <f t="shared" si="49"/>
        <v>17823.34</v>
      </c>
      <c r="AB17" s="8671"/>
      <c r="AC17" s="3918">
        <f>+AC6</f>
        <v>2544.1499999999996</v>
      </c>
      <c r="AD17" s="8677"/>
      <c r="AE17" s="1823">
        <f t="shared" si="50"/>
        <v>20367.489999999998</v>
      </c>
      <c r="AF17" s="8671"/>
      <c r="AG17" s="3918">
        <f>+AG6</f>
        <v>3032.45</v>
      </c>
      <c r="AH17" s="8677"/>
      <c r="AI17" s="1823">
        <f t="shared" si="51"/>
        <v>23399.94</v>
      </c>
      <c r="AJ17" s="8668"/>
      <c r="AK17" s="3918">
        <f>+AK6</f>
        <v>2622.9900000000007</v>
      </c>
      <c r="AL17" s="8662"/>
      <c r="AM17" s="2011">
        <f t="shared" si="57"/>
        <v>8199.59</v>
      </c>
      <c r="AN17" s="8677"/>
      <c r="AO17" s="1823">
        <f t="shared" ref="AO17:AO18" si="59">+AI17+AK17</f>
        <v>26022.93</v>
      </c>
      <c r="AP17" s="8668"/>
      <c r="AQ17" s="3918">
        <f>+AQ6</f>
        <v>3556.32</v>
      </c>
      <c r="AR17" s="8677"/>
      <c r="AS17" s="1823">
        <f t="shared" si="53"/>
        <v>29579.25</v>
      </c>
      <c r="AT17" s="8668"/>
      <c r="AU17" s="3918">
        <f>+AU6</f>
        <v>613.39</v>
      </c>
      <c r="AV17" s="8677"/>
      <c r="AW17" s="1823">
        <f t="shared" si="54"/>
        <v>30192.639999999999</v>
      </c>
      <c r="AX17" s="8668"/>
      <c r="AY17" s="3918">
        <f>+AY6</f>
        <v>5075.6099999999997</v>
      </c>
      <c r="AZ17" s="8662"/>
      <c r="BA17" s="2011">
        <f t="shared" si="58"/>
        <v>9245.32</v>
      </c>
      <c r="BB17" s="8662"/>
      <c r="BC17" s="2011">
        <f t="shared" si="15"/>
        <v>17444.91</v>
      </c>
      <c r="BD17" s="8665"/>
      <c r="BE17" s="6531">
        <f t="shared" ref="BE17:BE18" si="60">+AW17+AY17</f>
        <v>35268.25</v>
      </c>
      <c r="BF17" s="8686"/>
      <c r="BG17" s="5311">
        <v>28405.85</v>
      </c>
    </row>
    <row r="18" spans="2:59" ht="15" customHeight="1" thickBot="1" x14ac:dyDescent="0.25">
      <c r="B18" s="5430" t="s">
        <v>467</v>
      </c>
      <c r="C18" s="1637" t="s">
        <v>863</v>
      </c>
      <c r="D18" s="8668"/>
      <c r="E18" s="2816">
        <v>48880.373999999989</v>
      </c>
      <c r="F18" s="8668"/>
      <c r="G18" s="2816">
        <v>71866.292999999991</v>
      </c>
      <c r="H18" s="8677"/>
      <c r="I18" s="1823">
        <f t="shared" si="45"/>
        <v>120746.66699999999</v>
      </c>
      <c r="J18" s="8668"/>
      <c r="K18" s="3918">
        <v>104594.8869999999</v>
      </c>
      <c r="L18" s="8662"/>
      <c r="M18" s="2011">
        <f t="shared" si="46"/>
        <v>225341.55399999989</v>
      </c>
      <c r="N18" s="8671"/>
      <c r="O18" s="3918">
        <v>89835.566999999966</v>
      </c>
      <c r="P18" s="8677"/>
      <c r="Q18" s="1823">
        <f t="shared" si="47"/>
        <v>315177.12099999987</v>
      </c>
      <c r="R18" s="8671"/>
      <c r="S18" s="3918">
        <v>78083.390999999916</v>
      </c>
      <c r="T18" s="8677"/>
      <c r="U18" s="1823">
        <f t="shared" si="48"/>
        <v>393260.51199999976</v>
      </c>
      <c r="V18" s="8668"/>
      <c r="W18" s="3918">
        <v>32120.965999999993</v>
      </c>
      <c r="X18" s="8662"/>
      <c r="Y18" s="2011">
        <f t="shared" si="56"/>
        <v>200039.92399999985</v>
      </c>
      <c r="Z18" s="8665"/>
      <c r="AA18" s="6531">
        <f t="shared" si="49"/>
        <v>425381.47799999977</v>
      </c>
      <c r="AB18" s="8671"/>
      <c r="AC18" s="3918">
        <v>62.07</v>
      </c>
      <c r="AD18" s="8677"/>
      <c r="AE18" s="1823">
        <f t="shared" si="50"/>
        <v>425443.54799999978</v>
      </c>
      <c r="AF18" s="8671"/>
      <c r="AG18" s="3918">
        <v>16235.619999999999</v>
      </c>
      <c r="AH18" s="8677"/>
      <c r="AI18" s="1823">
        <f t="shared" si="51"/>
        <v>441679.16799999977</v>
      </c>
      <c r="AJ18" s="8668"/>
      <c r="AK18" s="3918">
        <v>28790.31</v>
      </c>
      <c r="AL18" s="8662"/>
      <c r="AM18" s="2011">
        <f t="shared" si="57"/>
        <v>45088</v>
      </c>
      <c r="AN18" s="8677"/>
      <c r="AO18" s="1823">
        <f t="shared" si="59"/>
        <v>470469.47799999977</v>
      </c>
      <c r="AP18" s="8668"/>
      <c r="AQ18" s="3918">
        <v>39859.00999999998</v>
      </c>
      <c r="AR18" s="8677"/>
      <c r="AS18" s="1823">
        <f t="shared" si="53"/>
        <v>510328.48799999978</v>
      </c>
      <c r="AT18" s="8668"/>
      <c r="AU18" s="3918">
        <v>51161.7</v>
      </c>
      <c r="AV18" s="8677"/>
      <c r="AW18" s="1823">
        <f t="shared" si="54"/>
        <v>561490.18799999973</v>
      </c>
      <c r="AX18" s="8668"/>
      <c r="AY18" s="3918">
        <v>100606.79</v>
      </c>
      <c r="AZ18" s="8662"/>
      <c r="BA18" s="2011">
        <f t="shared" si="58"/>
        <v>191627.49999999997</v>
      </c>
      <c r="BB18" s="8662"/>
      <c r="BC18" s="2011">
        <f t="shared" si="15"/>
        <v>236715.49999999997</v>
      </c>
      <c r="BD18" s="8665"/>
      <c r="BE18" s="6531">
        <f t="shared" si="60"/>
        <v>662096.97799999977</v>
      </c>
      <c r="BF18" s="8686"/>
      <c r="BG18" s="5311">
        <v>536611.97599999979</v>
      </c>
    </row>
    <row r="19" spans="2:59" ht="15" customHeight="1" thickBot="1" x14ac:dyDescent="0.25">
      <c r="B19" s="5431" t="s">
        <v>960</v>
      </c>
      <c r="C19" s="2749" t="s">
        <v>169</v>
      </c>
      <c r="D19" s="8669"/>
      <c r="E19" s="2819">
        <f>+((E15+E17+E18)/E12)*100</f>
        <v>69.997747189010838</v>
      </c>
      <c r="F19" s="8669"/>
      <c r="G19" s="2819">
        <f>+((G15+G17+G18)/G12)*100</f>
        <v>71.55981839078548</v>
      </c>
      <c r="H19" s="2790"/>
      <c r="I19" s="1826">
        <f>+((I15+I17+I18)/I12)*100</f>
        <v>71.067377025765268</v>
      </c>
      <c r="J19" s="8669"/>
      <c r="K19" s="1679">
        <f>+((K15+K17+K18)/K12)*100</f>
        <v>76.308793119114071</v>
      </c>
      <c r="L19" s="8663"/>
      <c r="M19" s="2012">
        <f>+((M15+M17+M18)/M12)*100</f>
        <v>73.677441352803058</v>
      </c>
      <c r="N19" s="2316"/>
      <c r="O19" s="1679">
        <f>+((O15+O17+O18)/O12)*100</f>
        <v>81.060075101742086</v>
      </c>
      <c r="P19" s="8678"/>
      <c r="Q19" s="1915">
        <f>+((Q15+Q17+Q18)/Q12)*100</f>
        <v>75.909369811258983</v>
      </c>
      <c r="R19" s="2316"/>
      <c r="S19" s="1679">
        <f>+((S15+S17+S18)/S12)*100</f>
        <v>82.661227667698554</v>
      </c>
      <c r="T19" s="8678"/>
      <c r="U19" s="1915">
        <f>+((U15+U17+U18)/U12)*100</f>
        <v>77.36406781042588</v>
      </c>
      <c r="V19" s="8669"/>
      <c r="W19" s="1679">
        <f>+((W15+W17+W18)/W12)*100</f>
        <v>70.474333864630054</v>
      </c>
      <c r="X19" s="8663"/>
      <c r="Y19" s="2012">
        <f>+((Y15+Y17+Y18)/Y12)*100</f>
        <v>79.318587141351244</v>
      </c>
      <c r="Z19" s="8666"/>
      <c r="AA19" s="6595">
        <f>+((AA15+AA17+AA18)/AA12)*100</f>
        <v>76.581538521138597</v>
      </c>
      <c r="AB19" s="2316"/>
      <c r="AC19" s="1679">
        <f>+((AC15+AC17+AC18)/AC12)*100</f>
        <v>75.940393836848443</v>
      </c>
      <c r="AD19" s="8678"/>
      <c r="AE19" s="1915">
        <f>+((AE15+AE17+AE18)/AE12)*100</f>
        <v>76.533355120419827</v>
      </c>
      <c r="AF19" s="2316"/>
      <c r="AG19" s="1679">
        <f>+((AG15+AG17+AG18)/AG12)*100</f>
        <v>73.841246849778301</v>
      </c>
      <c r="AH19" s="8678"/>
      <c r="AI19" s="1915">
        <f>+((AI15+AI17+AI18)/AI12)*100</f>
        <v>76.201258405047042</v>
      </c>
      <c r="AJ19" s="8669"/>
      <c r="AK19" s="1679">
        <f>+((AK15+AK17+AK18)/AK12)*100</f>
        <v>78.30687889266261</v>
      </c>
      <c r="AL19" s="8663"/>
      <c r="AM19" s="2012">
        <f>+((AM15+AM17+AM18)/AM12)*100</f>
        <v>76.239413167152918</v>
      </c>
      <c r="AN19" s="8678"/>
      <c r="AO19" s="1915">
        <f>+((AO15+AO17+AO18)/AO12)*100</f>
        <v>76.480066073809155</v>
      </c>
      <c r="AP19" s="8669"/>
      <c r="AQ19" s="1679">
        <f>+((AQ15+AQ17+AQ18)/AQ12)*100</f>
        <v>54.016279223850397</v>
      </c>
      <c r="AR19" s="8678"/>
      <c r="AS19" s="1915">
        <f>+((AS15+AS17+AS18)/AS12)*100</f>
        <v>73.727820289796895</v>
      </c>
      <c r="AT19" s="8669"/>
      <c r="AU19" s="1679">
        <f>+((AU15+AU17+AU18)/AU12)*100</f>
        <v>61.327562568176496</v>
      </c>
      <c r="AV19" s="8678"/>
      <c r="AW19" s="1915">
        <f>+((AW15+AW17+AW18)/AW12)*100</f>
        <v>72.378905327011438</v>
      </c>
      <c r="AX19" s="8669"/>
      <c r="AY19" s="1679">
        <f>+((AY15+AY17+AY18)/AY12)*100</f>
        <v>85.843098058879562</v>
      </c>
      <c r="AZ19" s="8663"/>
      <c r="BA19" s="2012">
        <f>+((BA15+BA17+BA18)/BA12)*100</f>
        <v>68.340210410624053</v>
      </c>
      <c r="BB19" s="8663"/>
      <c r="BC19" s="2012">
        <f>+((BC15+BC17+BC18)/BC12)*100</f>
        <v>71.483635158127655</v>
      </c>
      <c r="BD19" s="8666"/>
      <c r="BE19" s="6595">
        <f>+((BE15+BE17+BE18)/BE12)*100</f>
        <v>73.958840025342681</v>
      </c>
      <c r="BF19" s="8687"/>
      <c r="BG19" s="5360">
        <f>+((BG15+BG17+BG18)/BG12)*100</f>
        <v>55.340237527304261</v>
      </c>
    </row>
    <row r="20" spans="2:59" s="3380" customFormat="1" ht="15" customHeight="1" thickBot="1" x14ac:dyDescent="0.25">
      <c r="B20" s="5432" t="s">
        <v>611</v>
      </c>
      <c r="C20" s="5350"/>
      <c r="D20" s="3640"/>
      <c r="E20" s="5351"/>
      <c r="F20" s="3640"/>
      <c r="G20" s="5351"/>
      <c r="H20" s="3640"/>
      <c r="I20" s="4902"/>
      <c r="J20" s="3640"/>
      <c r="K20" s="4902"/>
      <c r="L20" s="5302"/>
      <c r="M20" s="4902"/>
      <c r="N20" s="4902"/>
      <c r="O20" s="5300"/>
      <c r="P20" s="5302"/>
      <c r="Q20" s="4902"/>
      <c r="R20" s="4902"/>
      <c r="S20" s="5300"/>
      <c r="T20" s="5302"/>
      <c r="U20" s="4902"/>
      <c r="V20" s="4902"/>
      <c r="W20" s="5300"/>
      <c r="X20" s="5302"/>
      <c r="Y20" s="4902"/>
      <c r="Z20" s="5302"/>
      <c r="AA20" s="4902"/>
      <c r="AB20" s="4902"/>
      <c r="AC20" s="5300"/>
      <c r="AD20" s="5302"/>
      <c r="AE20" s="4902"/>
      <c r="AF20" s="4902"/>
      <c r="AG20" s="5300"/>
      <c r="AH20" s="5302"/>
      <c r="AI20" s="4902"/>
      <c r="AJ20" s="4902"/>
      <c r="AK20" s="5300"/>
      <c r="AL20" s="5302"/>
      <c r="AM20" s="4902"/>
      <c r="AN20" s="5302"/>
      <c r="AO20" s="4902"/>
      <c r="AP20" s="4902"/>
      <c r="AQ20" s="5300"/>
      <c r="AR20" s="5302"/>
      <c r="AS20" s="4902"/>
      <c r="AT20" s="4902"/>
      <c r="AU20" s="5300"/>
      <c r="AV20" s="5302"/>
      <c r="AW20" s="4902"/>
      <c r="AX20" s="4902"/>
      <c r="AY20" s="5300"/>
      <c r="AZ20" s="5302"/>
      <c r="BA20" s="4902"/>
      <c r="BB20" s="5302"/>
      <c r="BC20" s="4902"/>
      <c r="BD20" s="5302"/>
      <c r="BE20" s="4902"/>
      <c r="BF20" s="4100"/>
      <c r="BG20" s="4102"/>
    </row>
    <row r="21" spans="2:59" ht="15" customHeight="1" x14ac:dyDescent="0.2">
      <c r="B21" s="5429" t="s">
        <v>98</v>
      </c>
      <c r="C21" s="1636" t="s">
        <v>863</v>
      </c>
      <c r="D21" s="8667">
        <f>+D12</f>
        <v>117247.54000000001</v>
      </c>
      <c r="E21" s="2717">
        <v>68765.633000000002</v>
      </c>
      <c r="F21" s="8667">
        <f>+F12</f>
        <v>127316.95</v>
      </c>
      <c r="G21" s="2717">
        <v>124775.23499999999</v>
      </c>
      <c r="H21" s="8676">
        <f>+H12</f>
        <v>244564.49000000002</v>
      </c>
      <c r="I21" s="1823">
        <f t="shared" ref="I21" si="61">+E21+G21</f>
        <v>193540.86799999999</v>
      </c>
      <c r="J21" s="8667">
        <f>+J12</f>
        <v>155750</v>
      </c>
      <c r="K21" s="4957">
        <v>193311.75599999988</v>
      </c>
      <c r="L21" s="8661">
        <f>+L12</f>
        <v>400314.49</v>
      </c>
      <c r="M21" s="2011">
        <f t="shared" ref="M21:M22" si="62">+I21+K21</f>
        <v>386852.62399999984</v>
      </c>
      <c r="N21" s="8670">
        <f>+N12</f>
        <v>220900</v>
      </c>
      <c r="O21" s="4957">
        <v>157731.73199999996</v>
      </c>
      <c r="P21" s="8676">
        <f>+P12</f>
        <v>621214.49</v>
      </c>
      <c r="Q21" s="1823">
        <f t="shared" ref="Q21:Q22" si="63">+M21+O21</f>
        <v>544584.3559999998</v>
      </c>
      <c r="R21" s="8670">
        <f>+R12</f>
        <v>219800</v>
      </c>
      <c r="S21" s="4957">
        <v>136841.40999999992</v>
      </c>
      <c r="T21" s="8676">
        <f>+T12</f>
        <v>841014.49</v>
      </c>
      <c r="U21" s="1823">
        <f t="shared" ref="U21:U22" si="64">+Q21+S21</f>
        <v>681425.76599999971</v>
      </c>
      <c r="V21" s="8670">
        <f>+V12</f>
        <v>221000</v>
      </c>
      <c r="W21" s="4957">
        <v>77711.063000000024</v>
      </c>
      <c r="X21" s="8661">
        <f>+X12</f>
        <v>661700</v>
      </c>
      <c r="Y21" s="2011">
        <f>+O21+S21+W21</f>
        <v>372284.2049999999</v>
      </c>
      <c r="Z21" s="8664">
        <f>+Z12</f>
        <v>1062014.49</v>
      </c>
      <c r="AA21" s="6531">
        <f t="shared" ref="AA21:AA22" si="65">+U21+W21</f>
        <v>759136.82899999968</v>
      </c>
      <c r="AB21" s="8670">
        <f>+AB12</f>
        <v>108975.37722048067</v>
      </c>
      <c r="AC21" s="4957">
        <v>49715.880000000005</v>
      </c>
      <c r="AD21" s="8676">
        <f>+AD12</f>
        <v>1170989.8672204807</v>
      </c>
      <c r="AE21" s="1823">
        <f t="shared" ref="AE21:AE22" si="66">+AA21+AC21</f>
        <v>808852.70899999968</v>
      </c>
      <c r="AF21" s="8670">
        <f>+AF12</f>
        <v>209899.91019518368</v>
      </c>
      <c r="AG21" s="4957">
        <v>97538.359999999986</v>
      </c>
      <c r="AH21" s="8676">
        <f>+AH12</f>
        <v>1380889.7774156644</v>
      </c>
      <c r="AI21" s="1823">
        <f t="shared" ref="AI21:AI22" si="67">+AE21+AG21</f>
        <v>906391.06899999967</v>
      </c>
      <c r="AJ21" s="8670">
        <f>+AJ12</f>
        <v>218717.28391728178</v>
      </c>
      <c r="AK21" s="4957">
        <v>138016.78</v>
      </c>
      <c r="AL21" s="8661">
        <f>+AL12</f>
        <v>537592.57133294619</v>
      </c>
      <c r="AM21" s="2011">
        <f>+AC21+AG21+AK21</f>
        <v>285271.02</v>
      </c>
      <c r="AN21" s="8676">
        <f>+AN12</f>
        <v>1599607.0613329462</v>
      </c>
      <c r="AO21" s="1823">
        <f t="shared" ref="AO21:AO22" si="68">+AI21+AK21</f>
        <v>1044407.8489999997</v>
      </c>
      <c r="AP21" s="8670">
        <f>+AP12</f>
        <v>216040.74113678792</v>
      </c>
      <c r="AQ21" s="4957">
        <f>151753.48+11741.26</f>
        <v>163494.74000000002</v>
      </c>
      <c r="AR21" s="8676">
        <f>+AR12</f>
        <v>1815647.8024697341</v>
      </c>
      <c r="AS21" s="1823">
        <f t="shared" ref="AS21:AS22" si="69">+AO21+AQ21</f>
        <v>1207902.5889999997</v>
      </c>
      <c r="AT21" s="8670">
        <f>+AT12</f>
        <v>199067</v>
      </c>
      <c r="AU21" s="4957">
        <v>159781.49</v>
      </c>
      <c r="AV21" s="8676">
        <f>+AV12</f>
        <v>2014714.8024697341</v>
      </c>
      <c r="AW21" s="1823">
        <f t="shared" ref="AW21:AW22" si="70">+AS21+AU21</f>
        <v>1367684.0789999997</v>
      </c>
      <c r="AX21" s="8670">
        <f>+AX12</f>
        <v>219760</v>
      </c>
      <c r="AY21" s="4957">
        <v>189497.87</v>
      </c>
      <c r="AZ21" s="8661">
        <f>+AZ12</f>
        <v>634867.74113678792</v>
      </c>
      <c r="BA21" s="2011">
        <f>+AQ21+AU21+AY21</f>
        <v>512774.1</v>
      </c>
      <c r="BB21" s="8661">
        <f>+BB12</f>
        <v>1172460.3124697341</v>
      </c>
      <c r="BC21" s="2011">
        <f t="shared" ref="BC21" si="71">+AM21+BA21</f>
        <v>798045.12</v>
      </c>
      <c r="BD21" s="8664">
        <f>+BD12</f>
        <v>2234474.8024697341</v>
      </c>
      <c r="BE21" s="6531">
        <f t="shared" ref="BE21:BE22" si="72">+AW21+AY21</f>
        <v>1557181.9489999996</v>
      </c>
      <c r="BF21" s="8688">
        <f>+BF12</f>
        <v>2406999.7409326425</v>
      </c>
      <c r="BG21" s="5355">
        <v>1655527.3639999998</v>
      </c>
    </row>
    <row r="22" spans="2:59" ht="15" customHeight="1" thickBot="1" x14ac:dyDescent="0.25">
      <c r="B22" s="5430" t="s">
        <v>99</v>
      </c>
      <c r="C22" s="1637" t="s">
        <v>863</v>
      </c>
      <c r="D22" s="8668"/>
      <c r="E22" s="2816">
        <v>1240.2399999999998</v>
      </c>
      <c r="F22" s="8668"/>
      <c r="G22" s="2816">
        <v>27284.23</v>
      </c>
      <c r="H22" s="8677"/>
      <c r="I22" s="1823">
        <f>+E22+G22</f>
        <v>28524.47</v>
      </c>
      <c r="J22" s="8668"/>
      <c r="K22" s="4957">
        <v>26957.090000000004</v>
      </c>
      <c r="L22" s="8662"/>
      <c r="M22" s="2011">
        <f t="shared" si="62"/>
        <v>55481.560000000005</v>
      </c>
      <c r="N22" s="8671"/>
      <c r="O22" s="4957">
        <v>33942.650000000009</v>
      </c>
      <c r="P22" s="8677"/>
      <c r="Q22" s="1823">
        <f t="shared" si="63"/>
        <v>89424.210000000021</v>
      </c>
      <c r="R22" s="8671"/>
      <c r="S22" s="4957">
        <v>37269.06</v>
      </c>
      <c r="T22" s="8677"/>
      <c r="U22" s="1823">
        <f t="shared" si="64"/>
        <v>126693.27000000002</v>
      </c>
      <c r="V22" s="8671"/>
      <c r="W22" s="4957">
        <f>20097.19+5737.78</f>
        <v>25834.969999999998</v>
      </c>
      <c r="X22" s="8662"/>
      <c r="Y22" s="2011">
        <f>+O22+S22+W22</f>
        <v>97046.680000000008</v>
      </c>
      <c r="Z22" s="8665"/>
      <c r="AA22" s="6531">
        <f t="shared" si="65"/>
        <v>152528.24000000002</v>
      </c>
      <c r="AB22" s="8671"/>
      <c r="AC22" s="4957">
        <f>21820.9+2544.15</f>
        <v>24365.050000000003</v>
      </c>
      <c r="AD22" s="8677"/>
      <c r="AE22" s="1823">
        <f t="shared" si="66"/>
        <v>176893.29000000004</v>
      </c>
      <c r="AF22" s="8671"/>
      <c r="AG22" s="4957">
        <v>41174.1</v>
      </c>
      <c r="AH22" s="8677"/>
      <c r="AI22" s="1823">
        <f t="shared" si="67"/>
        <v>218067.39000000004</v>
      </c>
      <c r="AJ22" s="8671"/>
      <c r="AK22" s="4957">
        <v>33597.760000000002</v>
      </c>
      <c r="AL22" s="8662"/>
      <c r="AM22" s="2011">
        <f>+AC22+AG22+AK22</f>
        <v>99136.91</v>
      </c>
      <c r="AN22" s="8677"/>
      <c r="AO22" s="1823">
        <f t="shared" si="68"/>
        <v>251665.15000000005</v>
      </c>
      <c r="AP22" s="8671"/>
      <c r="AQ22" s="4957">
        <f>17179.95+290.94</f>
        <v>17470.89</v>
      </c>
      <c r="AR22" s="8677"/>
      <c r="AS22" s="1823">
        <f t="shared" si="69"/>
        <v>269136.04000000004</v>
      </c>
      <c r="AT22" s="8671"/>
      <c r="AU22" s="4957">
        <f>+AU12-AU21</f>
        <v>20504.25</v>
      </c>
      <c r="AV22" s="8677"/>
      <c r="AW22" s="1823">
        <f t="shared" si="70"/>
        <v>289640.29000000004</v>
      </c>
      <c r="AX22" s="8671"/>
      <c r="AY22" s="4957">
        <f>+AY12-AY21</f>
        <v>30832.609999999986</v>
      </c>
      <c r="AZ22" s="8662"/>
      <c r="BA22" s="2011">
        <f>+AQ22+AU22+AY22</f>
        <v>68807.749999999985</v>
      </c>
      <c r="BB22" s="8662"/>
      <c r="BC22" s="2011">
        <f>+BC12-BC21</f>
        <v>167944.66000000003</v>
      </c>
      <c r="BD22" s="8665"/>
      <c r="BE22" s="6531">
        <f t="shared" si="72"/>
        <v>320472.90000000002</v>
      </c>
      <c r="BF22" s="8689"/>
      <c r="BG22" s="5361">
        <v>394405.53999999992</v>
      </c>
    </row>
    <row r="23" spans="2:59" ht="15" customHeight="1" thickBot="1" x14ac:dyDescent="0.25">
      <c r="B23" s="5431" t="s">
        <v>15</v>
      </c>
      <c r="C23" s="1638" t="s">
        <v>863</v>
      </c>
      <c r="D23" s="8668"/>
      <c r="E23" s="2817">
        <f>SUM(E21:E22)</f>
        <v>70005.873000000007</v>
      </c>
      <c r="F23" s="8668"/>
      <c r="G23" s="2817">
        <f>SUM(G21:G22)</f>
        <v>152059.465</v>
      </c>
      <c r="H23" s="8677"/>
      <c r="I23" s="1825">
        <f>SUM(I21:I22)</f>
        <v>222065.33799999999</v>
      </c>
      <c r="J23" s="8668"/>
      <c r="K23" s="1682">
        <f>SUM(K21:K22)</f>
        <v>220268.84599999987</v>
      </c>
      <c r="L23" s="8662"/>
      <c r="M23" s="2013">
        <f>SUM(M21:M22)</f>
        <v>442334.18399999983</v>
      </c>
      <c r="N23" s="8671"/>
      <c r="O23" s="1682">
        <f>SUM(O21:O22)</f>
        <v>191674.38199999998</v>
      </c>
      <c r="P23" s="8677"/>
      <c r="Q23" s="1822">
        <f>SUM(Q21:Q22)</f>
        <v>634008.56599999988</v>
      </c>
      <c r="R23" s="8671"/>
      <c r="S23" s="1682">
        <f>SUM(S21:S22)</f>
        <v>174110.46999999991</v>
      </c>
      <c r="T23" s="8677"/>
      <c r="U23" s="1822">
        <f>SUM(U21:U22)</f>
        <v>808119.03599999973</v>
      </c>
      <c r="V23" s="8671"/>
      <c r="W23" s="1682">
        <f>SUM(W21:W22)</f>
        <v>103546.03300000002</v>
      </c>
      <c r="X23" s="8662"/>
      <c r="Y23" s="2013">
        <f>SUM(Y21:Y22)</f>
        <v>469330.88499999989</v>
      </c>
      <c r="Z23" s="8665"/>
      <c r="AA23" s="6596">
        <f>SUM(AA21:AA22)</f>
        <v>911665.06899999967</v>
      </c>
      <c r="AB23" s="8671"/>
      <c r="AC23" s="1682">
        <f>SUM(AC21:AC22)</f>
        <v>74080.930000000008</v>
      </c>
      <c r="AD23" s="8677"/>
      <c r="AE23" s="1822">
        <f>SUM(AE21:AE22)</f>
        <v>985745.99899999972</v>
      </c>
      <c r="AF23" s="8671"/>
      <c r="AG23" s="1682">
        <f>SUM(AG21:AG22)</f>
        <v>138712.46</v>
      </c>
      <c r="AH23" s="8677"/>
      <c r="AI23" s="1822">
        <f>SUM(AI21:AI22)</f>
        <v>1124458.4589999998</v>
      </c>
      <c r="AJ23" s="8671"/>
      <c r="AK23" s="1682">
        <f>SUM(AK21:AK22)</f>
        <v>171614.54</v>
      </c>
      <c r="AL23" s="8662"/>
      <c r="AM23" s="2013">
        <f>SUM(AM21:AM22)</f>
        <v>384407.93000000005</v>
      </c>
      <c r="AN23" s="8677"/>
      <c r="AO23" s="1822">
        <f>SUM(AO21:AO22)</f>
        <v>1296072.9989999998</v>
      </c>
      <c r="AP23" s="8671"/>
      <c r="AQ23" s="1682">
        <f>SUM(AQ21:AQ22)</f>
        <v>180965.63</v>
      </c>
      <c r="AR23" s="8677"/>
      <c r="AS23" s="1822">
        <f>SUM(AS21:AS22)</f>
        <v>1477038.6289999997</v>
      </c>
      <c r="AT23" s="8671"/>
      <c r="AU23" s="1682">
        <f>SUM(AU21:AU22)</f>
        <v>180285.74</v>
      </c>
      <c r="AV23" s="8677"/>
      <c r="AW23" s="1822">
        <f>SUM(AW21:AW22)</f>
        <v>1657324.3689999997</v>
      </c>
      <c r="AX23" s="8671"/>
      <c r="AY23" s="1682">
        <f>SUM(AY21:AY22)</f>
        <v>220330.47999999998</v>
      </c>
      <c r="AZ23" s="8662"/>
      <c r="BA23" s="2013">
        <f>SUM(BA21:BA22)</f>
        <v>581581.85</v>
      </c>
      <c r="BB23" s="8662"/>
      <c r="BC23" s="2013">
        <f>SUM(BC21:BC22)</f>
        <v>965989.78</v>
      </c>
      <c r="BD23" s="8665"/>
      <c r="BE23" s="6596">
        <f>SUM(BE21:BE22)</f>
        <v>1877654.8489999995</v>
      </c>
      <c r="BF23" s="8689"/>
      <c r="BG23" s="5313">
        <f>SUM(BG21:BG22)</f>
        <v>2049932.9039999996</v>
      </c>
    </row>
    <row r="24" spans="2:59" ht="15" customHeight="1" thickBot="1" x14ac:dyDescent="0.25">
      <c r="B24" s="5431" t="s">
        <v>1669</v>
      </c>
      <c r="C24" s="1638" t="s">
        <v>169</v>
      </c>
      <c r="D24" s="8669"/>
      <c r="E24" s="2820">
        <f>+E22/E23*100</f>
        <v>1.7716227894193959</v>
      </c>
      <c r="F24" s="8669"/>
      <c r="G24" s="2820">
        <f>+G22/G23*100</f>
        <v>17.94313165576375</v>
      </c>
      <c r="H24" s="8678"/>
      <c r="I24" s="1826">
        <f>+I22/I23*100</f>
        <v>12.845079856632108</v>
      </c>
      <c r="J24" s="8669"/>
      <c r="K24" s="1681">
        <f>+K22/K23*100</f>
        <v>12.238267230945596</v>
      </c>
      <c r="L24" s="8663"/>
      <c r="M24" s="2014">
        <f>+M22/M23*100</f>
        <v>12.542905795406496</v>
      </c>
      <c r="N24" s="8672"/>
      <c r="O24" s="1681">
        <f>+O22/O23*100</f>
        <v>17.708495859399726</v>
      </c>
      <c r="P24" s="8678"/>
      <c r="Q24" s="1826">
        <f>+Q22/Q23*100</f>
        <v>14.10457441674377</v>
      </c>
      <c r="R24" s="8672"/>
      <c r="S24" s="1681">
        <f>+S22/S23*100</f>
        <v>21.405410025026075</v>
      </c>
      <c r="T24" s="8678"/>
      <c r="U24" s="1826">
        <f>+U22/U23*100</f>
        <v>15.677550503834444</v>
      </c>
      <c r="V24" s="8672"/>
      <c r="W24" s="1681">
        <f>+W22/W23*100</f>
        <v>24.950226726696513</v>
      </c>
      <c r="X24" s="8663"/>
      <c r="Y24" s="2014">
        <f>+Y22/Y23*100</f>
        <v>20.67766752661079</v>
      </c>
      <c r="Z24" s="8666"/>
      <c r="AA24" s="6597">
        <f>+AA22/AA23*100</f>
        <v>16.730732062303034</v>
      </c>
      <c r="AB24" s="8672"/>
      <c r="AC24" s="1681">
        <f>+AC22/AC23*100</f>
        <v>32.889773387024164</v>
      </c>
      <c r="AD24" s="8678"/>
      <c r="AE24" s="1826">
        <f>+AE22/AE23*100</f>
        <v>17.945118740471813</v>
      </c>
      <c r="AF24" s="8672"/>
      <c r="AG24" s="1681">
        <f>+AG22/AG23*100</f>
        <v>29.68305803242189</v>
      </c>
      <c r="AH24" s="8678"/>
      <c r="AI24" s="1826">
        <f>+AI22/AI23*100</f>
        <v>19.393103253803712</v>
      </c>
      <c r="AJ24" s="8672"/>
      <c r="AK24" s="1681">
        <f>+AK22/AK23*100</f>
        <v>19.577455383442452</v>
      </c>
      <c r="AL24" s="8663"/>
      <c r="AM24" s="2014">
        <f>+AM22/AM23*100</f>
        <v>25.789506995862439</v>
      </c>
      <c r="AN24" s="8678"/>
      <c r="AO24" s="1826">
        <f>+AO22/AO23*100</f>
        <v>19.417513534667819</v>
      </c>
      <c r="AP24" s="8672"/>
      <c r="AQ24" s="1681">
        <f>+AQ22/AQ23*100</f>
        <v>9.6542586567405078</v>
      </c>
      <c r="AR24" s="8678"/>
      <c r="AS24" s="1826">
        <f>+AS22/AS23*100</f>
        <v>18.221327101120799</v>
      </c>
      <c r="AT24" s="8672"/>
      <c r="AU24" s="1681">
        <f>+AU22/AU23*100</f>
        <v>11.373195683696338</v>
      </c>
      <c r="AV24" s="8678"/>
      <c r="AW24" s="1826">
        <f>+AW22/AW23*100</f>
        <v>17.476379121533334</v>
      </c>
      <c r="AX24" s="8672"/>
      <c r="AY24" s="1681">
        <f>+AY22/AY23*100</f>
        <v>13.993801493102536</v>
      </c>
      <c r="AZ24" s="8663"/>
      <c r="BA24" s="2014">
        <f>+BA22/BA23*100</f>
        <v>11.831137783959383</v>
      </c>
      <c r="BB24" s="8663"/>
      <c r="BC24" s="2014">
        <f>+BC22/BC23*100</f>
        <v>17.385759505654399</v>
      </c>
      <c r="BD24" s="8666"/>
      <c r="BE24" s="6597">
        <f>+BE22/BE23*100</f>
        <v>17.06772148090355</v>
      </c>
      <c r="BF24" s="8690"/>
      <c r="BG24" s="5348">
        <f>+BG22/BG23*100</f>
        <v>19.239924352177724</v>
      </c>
    </row>
    <row r="25" spans="2:59" ht="30.75" customHeight="1" x14ac:dyDescent="0.2">
      <c r="B25" s="1593" t="s">
        <v>2442</v>
      </c>
      <c r="C25" s="1639" t="s">
        <v>863</v>
      </c>
      <c r="D25" s="4355">
        <v>3047</v>
      </c>
      <c r="E25" s="2717">
        <v>0</v>
      </c>
      <c r="F25" s="5289">
        <v>2899</v>
      </c>
      <c r="G25" s="2717">
        <v>20776.959999999995</v>
      </c>
      <c r="H25" s="4358">
        <f t="shared" ref="H25:H27" si="73">+D25+F25</f>
        <v>5946</v>
      </c>
      <c r="I25" s="1823">
        <f t="shared" ref="I25:I27" si="74">+E25+G25</f>
        <v>20776.959999999995</v>
      </c>
      <c r="J25" s="5720">
        <v>3951.439913043489</v>
      </c>
      <c r="K25" s="3183">
        <v>7691</v>
      </c>
      <c r="L25" s="2876">
        <f t="shared" ref="L25:L27" si="75">+H25+J25</f>
        <v>9897.4399130434886</v>
      </c>
      <c r="M25" s="2011">
        <f t="shared" ref="M25:M27" si="76">+I25+K25</f>
        <v>28467.959999999995</v>
      </c>
      <c r="N25" s="2694">
        <v>0</v>
      </c>
      <c r="O25" s="3183">
        <v>6302.3899999999994</v>
      </c>
      <c r="P25" s="2786">
        <f t="shared" ref="P25:P27" si="77">+L25+N25</f>
        <v>9897.4399130434886</v>
      </c>
      <c r="Q25" s="1823">
        <f t="shared" ref="Q25:Q27" si="78">+M25+O25</f>
        <v>34770.349999999991</v>
      </c>
      <c r="R25" s="6320">
        <v>0</v>
      </c>
      <c r="S25" s="3183">
        <v>7754.6899999999987</v>
      </c>
      <c r="T25" s="4809">
        <f t="shared" ref="T25:T27" si="79">+P25+R25</f>
        <v>9897.4399130434886</v>
      </c>
      <c r="U25" s="1823">
        <f t="shared" ref="U25:U27" si="80">+Q25+S25</f>
        <v>42525.039999999994</v>
      </c>
      <c r="V25" s="6489">
        <v>0</v>
      </c>
      <c r="W25" s="3183">
        <v>5957.6900000000014</v>
      </c>
      <c r="X25" s="2875">
        <f t="shared" ref="X25:X27" si="81">+N25+R25+V25</f>
        <v>0</v>
      </c>
      <c r="Y25" s="2016">
        <f t="shared" ref="Y25:Y27" si="82">+O25+S25+W25</f>
        <v>20014.77</v>
      </c>
      <c r="Z25" s="6519">
        <f t="shared" ref="Z25:Z27" si="83">+T25+V25</f>
        <v>9897.4399130434886</v>
      </c>
      <c r="AA25" s="6531">
        <f t="shared" ref="AA25:AA27" si="84">+U25+W25</f>
        <v>48482.729999999996</v>
      </c>
      <c r="AB25" s="7291">
        <v>2130.1605375000004</v>
      </c>
      <c r="AC25" s="3183">
        <v>4510.619999999999</v>
      </c>
      <c r="AD25" s="4809">
        <f t="shared" ref="AD25:AD27" si="85">+Z25+AB25</f>
        <v>12027.600450543488</v>
      </c>
      <c r="AE25" s="1823">
        <f t="shared" ref="AE25:AE27" si="86">+AA25+AC25</f>
        <v>52993.349999999991</v>
      </c>
      <c r="AF25" s="7553">
        <v>1873.1932324999893</v>
      </c>
      <c r="AG25" s="3183">
        <v>9056.1400000000012</v>
      </c>
      <c r="AH25" s="4809">
        <f t="shared" ref="AH25:AH27" si="87">+AD25+AF25</f>
        <v>13900.793683043477</v>
      </c>
      <c r="AI25" s="1823">
        <f t="shared" ref="AI25:AI27" si="88">+AE25+AG25</f>
        <v>62049.489999999991</v>
      </c>
      <c r="AJ25" s="7800">
        <v>2501.7112849999949</v>
      </c>
      <c r="AK25" s="3183">
        <v>8811.57</v>
      </c>
      <c r="AL25" s="2875">
        <f t="shared" ref="AL25:AL27" si="89">+AB25+AF25+AJ25</f>
        <v>6505.0650549999846</v>
      </c>
      <c r="AM25" s="2016">
        <f t="shared" ref="AM25:AM27" si="90">+AC25+AG25+AK25</f>
        <v>22378.33</v>
      </c>
      <c r="AN25" s="4809">
        <f t="shared" ref="AN25" si="91">+AH25+AJ25</f>
        <v>16402.504968043471</v>
      </c>
      <c r="AO25" s="1823">
        <f t="shared" ref="AO25:AO27" si="92">+AI25+AK25</f>
        <v>70861.06</v>
      </c>
      <c r="AP25" s="8021">
        <v>2379.1398862500109</v>
      </c>
      <c r="AQ25" s="3183">
        <v>2182.92</v>
      </c>
      <c r="AR25" s="4809">
        <f t="shared" ref="AR25:AR27" si="93">+AN25+AP25</f>
        <v>18781.644854293481</v>
      </c>
      <c r="AS25" s="1823">
        <f t="shared" ref="AS25:AS27" si="94">+AO25+AQ25</f>
        <v>73043.98</v>
      </c>
      <c r="AT25" s="8144">
        <v>492</v>
      </c>
      <c r="AU25" s="3183">
        <v>4417.97</v>
      </c>
      <c r="AV25" s="4809">
        <f t="shared" ref="AV25:AV27" si="95">+AR25+AT25</f>
        <v>19273.644854293481</v>
      </c>
      <c r="AW25" s="1823">
        <f t="shared" ref="AW25:AW27" si="96">+AS25+AU25</f>
        <v>77461.95</v>
      </c>
      <c r="AX25" s="8339">
        <v>1481</v>
      </c>
      <c r="AY25" s="3183">
        <v>2540.23</v>
      </c>
      <c r="AZ25" s="2875">
        <f t="shared" ref="AZ25:AZ27" si="97">+AP25+AT25+AX25</f>
        <v>4352.1398862500109</v>
      </c>
      <c r="BA25" s="2016">
        <f t="shared" ref="BA25:BA27" si="98">+AQ25+AU25+AY25</f>
        <v>9141.1200000000008</v>
      </c>
      <c r="BB25" s="2875"/>
      <c r="BC25" s="2016">
        <f t="shared" ref="BC25:BC27" si="99">+AM25+BA25</f>
        <v>31519.450000000004</v>
      </c>
      <c r="BD25" s="6519">
        <f t="shared" ref="BD25" si="100">+AV25+AX25</f>
        <v>20754.644854293481</v>
      </c>
      <c r="BE25" s="6531">
        <f t="shared" ref="BE25:BE27" si="101">+AW25+AY25</f>
        <v>80002.179999999993</v>
      </c>
      <c r="BF25" s="5349">
        <v>29958.27154308611</v>
      </c>
      <c r="BG25" s="5355">
        <v>124050.80000000006</v>
      </c>
    </row>
    <row r="26" spans="2:59" ht="15" customHeight="1" x14ac:dyDescent="0.2">
      <c r="B26" s="5429" t="s">
        <v>610</v>
      </c>
      <c r="C26" s="1636" t="s">
        <v>863</v>
      </c>
      <c r="D26" s="3174">
        <v>647.49189999999987</v>
      </c>
      <c r="E26" s="2750">
        <v>0</v>
      </c>
      <c r="F26" s="3174">
        <v>640.17734999999993</v>
      </c>
      <c r="G26" s="2750">
        <v>4059.4499999999989</v>
      </c>
      <c r="H26" s="4358">
        <f t="shared" si="73"/>
        <v>1287.6692499999999</v>
      </c>
      <c r="I26" s="1823">
        <f t="shared" si="74"/>
        <v>4059.4499999999989</v>
      </c>
      <c r="J26" s="3174">
        <v>807.01939565217526</v>
      </c>
      <c r="K26" s="3184">
        <v>3123.7100000000019</v>
      </c>
      <c r="L26" s="2876">
        <f t="shared" si="75"/>
        <v>2094.6886456521752</v>
      </c>
      <c r="M26" s="2011">
        <f t="shared" si="76"/>
        <v>7183.1600000000008</v>
      </c>
      <c r="N26" s="2677">
        <v>416.569001186945</v>
      </c>
      <c r="O26" s="3184">
        <v>2966.5499999999993</v>
      </c>
      <c r="P26" s="2786">
        <f t="shared" si="77"/>
        <v>2511.2576468391203</v>
      </c>
      <c r="Q26" s="1823">
        <f t="shared" si="78"/>
        <v>10149.709999999999</v>
      </c>
      <c r="R26" s="2677">
        <v>414.1988803274038</v>
      </c>
      <c r="S26" s="3184">
        <v>1521.0699999999993</v>
      </c>
      <c r="T26" s="4809">
        <f t="shared" si="79"/>
        <v>2925.4565271665242</v>
      </c>
      <c r="U26" s="1823">
        <f t="shared" si="80"/>
        <v>11670.779999999999</v>
      </c>
      <c r="V26" s="2677">
        <v>408.66503842485781</v>
      </c>
      <c r="W26" s="3184">
        <v>3132.9900000000002</v>
      </c>
      <c r="X26" s="4792">
        <f t="shared" si="81"/>
        <v>1239.4329199392066</v>
      </c>
      <c r="Y26" s="2011">
        <f t="shared" si="82"/>
        <v>7620.6099999999988</v>
      </c>
      <c r="Z26" s="6519">
        <f>+T26+V26</f>
        <v>3334.121565591382</v>
      </c>
      <c r="AA26" s="6531">
        <f t="shared" si="84"/>
        <v>14803.769999999999</v>
      </c>
      <c r="AB26" s="2677">
        <v>484.30664999999999</v>
      </c>
      <c r="AC26" s="3184">
        <v>2455.9499999999998</v>
      </c>
      <c r="AD26" s="4809">
        <f t="shared" si="85"/>
        <v>3818.428215591382</v>
      </c>
      <c r="AE26" s="1823">
        <f t="shared" si="86"/>
        <v>17259.719999999998</v>
      </c>
      <c r="AF26" s="2677">
        <v>640.09372999999857</v>
      </c>
      <c r="AG26" s="3184">
        <v>1774.5500000000002</v>
      </c>
      <c r="AH26" s="4809">
        <f t="shared" si="87"/>
        <v>4458.5219455913802</v>
      </c>
      <c r="AI26" s="1823">
        <f t="shared" si="88"/>
        <v>19034.269999999997</v>
      </c>
      <c r="AJ26" s="2677">
        <v>739.76353999999924</v>
      </c>
      <c r="AK26" s="3184">
        <v>3257.06</v>
      </c>
      <c r="AL26" s="4792">
        <f t="shared" si="89"/>
        <v>1864.1639199999979</v>
      </c>
      <c r="AM26" s="2011">
        <f t="shared" si="90"/>
        <v>7487.5599999999995</v>
      </c>
      <c r="AN26" s="4809">
        <f>+AH26+AJ26</f>
        <v>5198.2854855913793</v>
      </c>
      <c r="AO26" s="1823">
        <f t="shared" si="92"/>
        <v>22291.329999999998</v>
      </c>
      <c r="AP26" s="2677">
        <v>717.42474500000128</v>
      </c>
      <c r="AQ26" s="3184">
        <v>1615.1499999999994</v>
      </c>
      <c r="AR26" s="4809">
        <f t="shared" si="93"/>
        <v>5915.7102305913804</v>
      </c>
      <c r="AS26" s="1823">
        <f t="shared" si="94"/>
        <v>23906.479999999996</v>
      </c>
      <c r="AT26" s="2677">
        <v>446</v>
      </c>
      <c r="AU26" s="3184">
        <v>2379.75</v>
      </c>
      <c r="AV26" s="4809">
        <f t="shared" si="95"/>
        <v>6361.7102305913804</v>
      </c>
      <c r="AW26" s="1823">
        <f t="shared" si="96"/>
        <v>26286.229999999996</v>
      </c>
      <c r="AX26" s="2677">
        <v>612</v>
      </c>
      <c r="AY26" s="3184">
        <v>3197.55</v>
      </c>
      <c r="AZ26" s="4792">
        <f t="shared" si="97"/>
        <v>1775.4247450000012</v>
      </c>
      <c r="BA26" s="2011">
        <f t="shared" si="98"/>
        <v>7192.45</v>
      </c>
      <c r="BB26" s="4792"/>
      <c r="BC26" s="2011">
        <f t="shared" si="99"/>
        <v>14680.009999999998</v>
      </c>
      <c r="BD26" s="6519">
        <f>+AV26+AX26</f>
        <v>6973.7102305913804</v>
      </c>
      <c r="BE26" s="6531">
        <f t="shared" si="101"/>
        <v>29483.779999999995</v>
      </c>
      <c r="BF26" s="5314">
        <v>8472.5250501001919</v>
      </c>
      <c r="BG26" s="5311">
        <v>59555.1</v>
      </c>
    </row>
    <row r="27" spans="2:59" ht="15" customHeight="1" thickBot="1" x14ac:dyDescent="0.25">
      <c r="B27" s="5430" t="s">
        <v>818</v>
      </c>
      <c r="C27" s="1637" t="s">
        <v>863</v>
      </c>
      <c r="D27" s="4360">
        <v>0</v>
      </c>
      <c r="E27" s="2816">
        <v>0</v>
      </c>
      <c r="F27" s="5288">
        <v>0</v>
      </c>
      <c r="G27" s="2816">
        <v>0</v>
      </c>
      <c r="H27" s="4358">
        <f t="shared" si="73"/>
        <v>0</v>
      </c>
      <c r="I27" s="1823">
        <f t="shared" si="74"/>
        <v>0</v>
      </c>
      <c r="J27" s="5719">
        <v>0</v>
      </c>
      <c r="K27" s="3185">
        <v>0</v>
      </c>
      <c r="L27" s="2876">
        <f t="shared" si="75"/>
        <v>0</v>
      </c>
      <c r="M27" s="2011">
        <f t="shared" si="76"/>
        <v>0</v>
      </c>
      <c r="N27" s="2693">
        <v>0</v>
      </c>
      <c r="O27" s="3185">
        <v>0</v>
      </c>
      <c r="P27" s="2786">
        <f t="shared" si="77"/>
        <v>0</v>
      </c>
      <c r="Q27" s="1823">
        <f t="shared" si="78"/>
        <v>0</v>
      </c>
      <c r="R27" s="6333">
        <v>0</v>
      </c>
      <c r="S27" s="3185">
        <v>0</v>
      </c>
      <c r="T27" s="4809">
        <f t="shared" si="79"/>
        <v>0</v>
      </c>
      <c r="U27" s="1823">
        <f t="shared" si="80"/>
        <v>0</v>
      </c>
      <c r="V27" s="6501">
        <v>0</v>
      </c>
      <c r="W27" s="3185">
        <v>0</v>
      </c>
      <c r="X27" s="4792">
        <f t="shared" si="81"/>
        <v>0</v>
      </c>
      <c r="Y27" s="2011">
        <f t="shared" si="82"/>
        <v>0</v>
      </c>
      <c r="Z27" s="6519">
        <f t="shared" si="83"/>
        <v>0</v>
      </c>
      <c r="AA27" s="6531">
        <f t="shared" si="84"/>
        <v>0</v>
      </c>
      <c r="AB27" s="7311">
        <v>0</v>
      </c>
      <c r="AC27" s="3185">
        <v>0</v>
      </c>
      <c r="AD27" s="4809">
        <f t="shared" si="85"/>
        <v>0</v>
      </c>
      <c r="AE27" s="1823">
        <f t="shared" si="86"/>
        <v>0</v>
      </c>
      <c r="AF27" s="7585">
        <v>0</v>
      </c>
      <c r="AG27" s="3185">
        <v>0</v>
      </c>
      <c r="AH27" s="4809">
        <f t="shared" si="87"/>
        <v>0</v>
      </c>
      <c r="AI27" s="1823">
        <f t="shared" si="88"/>
        <v>0</v>
      </c>
      <c r="AJ27" s="7805">
        <v>0</v>
      </c>
      <c r="AK27" s="3185">
        <v>0</v>
      </c>
      <c r="AL27" s="4792">
        <f t="shared" si="89"/>
        <v>0</v>
      </c>
      <c r="AM27" s="2011">
        <f t="shared" si="90"/>
        <v>0</v>
      </c>
      <c r="AN27" s="4809">
        <f t="shared" ref="AN27" si="102">+AH27+AJ27</f>
        <v>0</v>
      </c>
      <c r="AO27" s="1823">
        <f t="shared" si="92"/>
        <v>0</v>
      </c>
      <c r="AP27" s="8050">
        <v>0</v>
      </c>
      <c r="AQ27" s="3185">
        <v>0</v>
      </c>
      <c r="AR27" s="4809">
        <f t="shared" si="93"/>
        <v>0</v>
      </c>
      <c r="AS27" s="1823">
        <f t="shared" si="94"/>
        <v>0</v>
      </c>
      <c r="AT27" s="8141">
        <v>0</v>
      </c>
      <c r="AU27" s="3185">
        <v>0</v>
      </c>
      <c r="AV27" s="4809">
        <f t="shared" si="95"/>
        <v>0</v>
      </c>
      <c r="AW27" s="1823">
        <f t="shared" si="96"/>
        <v>0</v>
      </c>
      <c r="AX27" s="8322">
        <v>0</v>
      </c>
      <c r="AY27" s="3185">
        <v>0</v>
      </c>
      <c r="AZ27" s="4792">
        <f t="shared" si="97"/>
        <v>0</v>
      </c>
      <c r="BA27" s="2011">
        <f t="shared" si="98"/>
        <v>0</v>
      </c>
      <c r="BB27" s="4792"/>
      <c r="BC27" s="2011">
        <f t="shared" si="99"/>
        <v>0</v>
      </c>
      <c r="BD27" s="6519">
        <f t="shared" ref="BD27" si="103">+AV27+AX27</f>
        <v>0</v>
      </c>
      <c r="BE27" s="6531">
        <f t="shared" si="101"/>
        <v>0</v>
      </c>
      <c r="BF27" s="5365">
        <v>4268.537074148353</v>
      </c>
      <c r="BG27" s="5366">
        <v>0</v>
      </c>
    </row>
    <row r="28" spans="2:59" ht="15" customHeight="1" thickBot="1" x14ac:dyDescent="0.25">
      <c r="B28" s="5431" t="s">
        <v>859</v>
      </c>
      <c r="C28" s="1638" t="s">
        <v>863</v>
      </c>
      <c r="D28" s="2464">
        <f t="shared" ref="D28:BG28" si="104">SUM(D25:D27)</f>
        <v>3694.4919</v>
      </c>
      <c r="E28" s="2817">
        <f t="shared" si="104"/>
        <v>0</v>
      </c>
      <c r="F28" s="2464">
        <f t="shared" si="104"/>
        <v>3539.1773499999999</v>
      </c>
      <c r="G28" s="2817">
        <f t="shared" si="104"/>
        <v>24836.409999999996</v>
      </c>
      <c r="H28" s="2320">
        <f t="shared" si="104"/>
        <v>7233.6692499999999</v>
      </c>
      <c r="I28" s="1825">
        <f t="shared" si="104"/>
        <v>24836.409999999996</v>
      </c>
      <c r="J28" s="3288">
        <f t="shared" si="104"/>
        <v>4758.4593086956647</v>
      </c>
      <c r="K28" s="1682">
        <f t="shared" si="104"/>
        <v>10814.710000000003</v>
      </c>
      <c r="L28" s="2321">
        <f t="shared" si="104"/>
        <v>11992.128558695664</v>
      </c>
      <c r="M28" s="2005">
        <f t="shared" si="104"/>
        <v>35651.119999999995</v>
      </c>
      <c r="N28" s="2464">
        <f t="shared" si="104"/>
        <v>416.569001186945</v>
      </c>
      <c r="O28" s="1682">
        <f t="shared" si="104"/>
        <v>9268.9399999999987</v>
      </c>
      <c r="P28" s="2320">
        <f t="shared" si="104"/>
        <v>12408.697559882608</v>
      </c>
      <c r="Q28" s="1825">
        <f t="shared" si="104"/>
        <v>44920.05999999999</v>
      </c>
      <c r="R28" s="2464">
        <f t="shared" si="104"/>
        <v>414.1988803274038</v>
      </c>
      <c r="S28" s="1682">
        <f t="shared" si="104"/>
        <v>9275.7599999999984</v>
      </c>
      <c r="T28" s="2320">
        <f t="shared" si="104"/>
        <v>12822.896440210014</v>
      </c>
      <c r="U28" s="1825">
        <f t="shared" si="104"/>
        <v>54195.819999999992</v>
      </c>
      <c r="V28" s="2464">
        <f t="shared" si="104"/>
        <v>408.66503842485781</v>
      </c>
      <c r="W28" s="1678">
        <f t="shared" si="104"/>
        <v>9090.6800000000021</v>
      </c>
      <c r="X28" s="2951">
        <f t="shared" si="104"/>
        <v>1239.4329199392066</v>
      </c>
      <c r="Y28" s="2005">
        <f t="shared" si="104"/>
        <v>27635.379999999997</v>
      </c>
      <c r="Z28" s="6598">
        <f t="shared" si="104"/>
        <v>13231.561478634871</v>
      </c>
      <c r="AA28" s="6594">
        <f t="shared" si="104"/>
        <v>63286.499999999993</v>
      </c>
      <c r="AB28" s="2464">
        <f t="shared" si="104"/>
        <v>2614.4671875000004</v>
      </c>
      <c r="AC28" s="1682">
        <f t="shared" si="104"/>
        <v>6966.5699999999988</v>
      </c>
      <c r="AD28" s="2320">
        <f t="shared" si="104"/>
        <v>15846.028666134871</v>
      </c>
      <c r="AE28" s="1825">
        <f t="shared" si="104"/>
        <v>70253.069999999992</v>
      </c>
      <c r="AF28" s="2464">
        <f t="shared" si="104"/>
        <v>2513.286962499988</v>
      </c>
      <c r="AG28" s="1682">
        <f t="shared" si="104"/>
        <v>10830.690000000002</v>
      </c>
      <c r="AH28" s="2320">
        <f t="shared" si="104"/>
        <v>18359.315628634857</v>
      </c>
      <c r="AI28" s="1825">
        <f t="shared" si="104"/>
        <v>81083.75999999998</v>
      </c>
      <c r="AJ28" s="2464">
        <f t="shared" ref="AJ28:AO28" si="105">SUM(AJ25:AJ27)</f>
        <v>3241.4748249999939</v>
      </c>
      <c r="AK28" s="1678">
        <f t="shared" si="105"/>
        <v>12068.63</v>
      </c>
      <c r="AL28" s="2951">
        <f t="shared" si="105"/>
        <v>8369.2289749999818</v>
      </c>
      <c r="AM28" s="2005">
        <f t="shared" si="105"/>
        <v>29865.89</v>
      </c>
      <c r="AN28" s="2320">
        <f t="shared" si="105"/>
        <v>21600.790453634851</v>
      </c>
      <c r="AO28" s="1825">
        <f t="shared" si="105"/>
        <v>93152.39</v>
      </c>
      <c r="AP28" s="2464">
        <f t="shared" ref="AP28:AQ28" si="106">SUM(AP25:AP27)</f>
        <v>3096.5646312500121</v>
      </c>
      <c r="AQ28" s="1678">
        <f t="shared" si="106"/>
        <v>3798.0699999999997</v>
      </c>
      <c r="AR28" s="2320">
        <f t="shared" ref="AR28:AU28" si="107">SUM(AR25:AR27)</f>
        <v>24697.355084884861</v>
      </c>
      <c r="AS28" s="1825">
        <f t="shared" si="107"/>
        <v>96950.459999999992</v>
      </c>
      <c r="AT28" s="2464">
        <f t="shared" si="107"/>
        <v>938</v>
      </c>
      <c r="AU28" s="1678">
        <f t="shared" si="107"/>
        <v>6797.72</v>
      </c>
      <c r="AV28" s="2320">
        <f t="shared" ref="AV28:AY28" si="108">SUM(AV25:AV27)</f>
        <v>25635.355084884861</v>
      </c>
      <c r="AW28" s="1825">
        <f t="shared" si="108"/>
        <v>103748.18</v>
      </c>
      <c r="AX28" s="2464">
        <f t="shared" si="108"/>
        <v>2093</v>
      </c>
      <c r="AY28" s="1678">
        <f t="shared" si="108"/>
        <v>5737.7800000000007</v>
      </c>
      <c r="AZ28" s="2951">
        <f t="shared" ref="AZ28:BE28" si="109">SUM(AZ25:AZ27)</f>
        <v>6127.5646312500121</v>
      </c>
      <c r="BA28" s="2005">
        <f t="shared" si="109"/>
        <v>16333.57</v>
      </c>
      <c r="BB28" s="2951">
        <f t="shared" ref="BB28:BC28" si="110">SUM(BB25:BB27)</f>
        <v>0</v>
      </c>
      <c r="BC28" s="2005">
        <f t="shared" si="110"/>
        <v>46199.460000000006</v>
      </c>
      <c r="BD28" s="6598">
        <f t="shared" si="109"/>
        <v>27728.355084884861</v>
      </c>
      <c r="BE28" s="6594">
        <f t="shared" si="109"/>
        <v>109485.95999999999</v>
      </c>
      <c r="BF28" s="5312">
        <f t="shared" si="104"/>
        <v>42699.333667334649</v>
      </c>
      <c r="BG28" s="5313">
        <f t="shared" si="104"/>
        <v>183605.90000000005</v>
      </c>
    </row>
    <row r="29" spans="2:59" s="3380" customFormat="1" ht="15" customHeight="1" thickBot="1" x14ac:dyDescent="0.25">
      <c r="B29" s="5432" t="s">
        <v>860</v>
      </c>
      <c r="C29" s="5300"/>
      <c r="D29" s="5302"/>
      <c r="E29" s="5351"/>
      <c r="F29" s="5302"/>
      <c r="G29" s="5351"/>
      <c r="H29" s="3640"/>
      <c r="I29" s="4902"/>
      <c r="J29" s="5302"/>
      <c r="K29" s="4902"/>
      <c r="L29" s="5302"/>
      <c r="M29" s="4902"/>
      <c r="N29" s="4902"/>
      <c r="O29" s="4902"/>
      <c r="P29" s="5302"/>
      <c r="Q29" s="4902"/>
      <c r="R29" s="4902"/>
      <c r="S29" s="4902"/>
      <c r="T29" s="5302"/>
      <c r="U29" s="4902"/>
      <c r="V29" s="4902"/>
      <c r="W29" s="4902"/>
      <c r="X29" s="5302"/>
      <c r="Y29" s="4902"/>
      <c r="Z29" s="5302"/>
      <c r="AA29" s="4902"/>
      <c r="AB29" s="4902"/>
      <c r="AC29" s="4902"/>
      <c r="AD29" s="5302"/>
      <c r="AE29" s="4902"/>
      <c r="AF29" s="4902"/>
      <c r="AG29" s="4902"/>
      <c r="AH29" s="5302"/>
      <c r="AI29" s="4902"/>
      <c r="AJ29" s="4902"/>
      <c r="AK29" s="4902"/>
      <c r="AL29" s="5302"/>
      <c r="AM29" s="4902"/>
      <c r="AN29" s="5302"/>
      <c r="AO29" s="4902"/>
      <c r="AP29" s="4902"/>
      <c r="AQ29" s="4902"/>
      <c r="AR29" s="5302"/>
      <c r="AS29" s="4902"/>
      <c r="AT29" s="4902"/>
      <c r="AU29" s="4902"/>
      <c r="AV29" s="5302"/>
      <c r="AW29" s="4902"/>
      <c r="AX29" s="4902"/>
      <c r="AY29" s="4902"/>
      <c r="AZ29" s="5302"/>
      <c r="BA29" s="4902"/>
      <c r="BB29" s="5302"/>
      <c r="BC29" s="4902"/>
      <c r="BD29" s="5302"/>
      <c r="BE29" s="4902"/>
      <c r="BF29" s="4100"/>
      <c r="BG29" s="4102"/>
    </row>
    <row r="30" spans="2:59" ht="15" customHeight="1" x14ac:dyDescent="0.2">
      <c r="B30" s="5429" t="s">
        <v>98</v>
      </c>
      <c r="C30" s="1545" t="s">
        <v>863</v>
      </c>
      <c r="D30" s="6454"/>
      <c r="E30" s="2750">
        <v>19751.66</v>
      </c>
      <c r="F30" s="6454"/>
      <c r="G30" s="2750">
        <v>69551.360000000015</v>
      </c>
      <c r="H30" s="6462"/>
      <c r="I30" s="1823">
        <f t="shared" ref="I30:I31" si="111">+E30+G30</f>
        <v>89303.020000000019</v>
      </c>
      <c r="J30" s="6457"/>
      <c r="K30" s="5125">
        <v>77900.91</v>
      </c>
      <c r="L30" s="6464"/>
      <c r="M30" s="2011">
        <f t="shared" ref="M30:M31" si="112">+I30+K30</f>
        <v>167203.93000000002</v>
      </c>
      <c r="N30" s="6454"/>
      <c r="O30" s="5125">
        <v>73503.63</v>
      </c>
      <c r="P30" s="6462"/>
      <c r="Q30" s="1823">
        <f t="shared" ref="Q30:Q31" si="113">+M30+O30</f>
        <v>240707.56000000003</v>
      </c>
      <c r="R30" s="6454"/>
      <c r="S30" s="5125">
        <v>77428.87000000001</v>
      </c>
      <c r="T30" s="6462"/>
      <c r="U30" s="1823">
        <f t="shared" ref="U30:U31" si="114">+Q30+S30</f>
        <v>318136.43000000005</v>
      </c>
      <c r="V30" s="6454"/>
      <c r="W30" s="5125">
        <v>46883.219999999994</v>
      </c>
      <c r="X30" s="6464"/>
      <c r="Y30" s="2011">
        <f t="shared" ref="Y30:Y31" si="115">+O30+S30+W30</f>
        <v>197815.72</v>
      </c>
      <c r="Z30" s="6599"/>
      <c r="AA30" s="6531">
        <f t="shared" ref="AA30:AA31" si="116">+U30+W30</f>
        <v>365019.65</v>
      </c>
      <c r="AB30" s="6454"/>
      <c r="AC30" s="5125">
        <v>28974.930000000004</v>
      </c>
      <c r="AD30" s="6462"/>
      <c r="AE30" s="1823">
        <f t="shared" ref="AE30:AE31" si="117">+AA30+AC30</f>
        <v>393994.58</v>
      </c>
      <c r="AF30" s="6454"/>
      <c r="AG30" s="5125">
        <v>70613.84</v>
      </c>
      <c r="AH30" s="6462"/>
      <c r="AI30" s="1823">
        <f t="shared" ref="AI30:AI31" si="118">+AE30+AG30</f>
        <v>464608.42000000004</v>
      </c>
      <c r="AJ30" s="6454"/>
      <c r="AK30" s="5125">
        <v>70626.11</v>
      </c>
      <c r="AL30" s="6464"/>
      <c r="AM30" s="2011">
        <f t="shared" ref="AM30:AM31" si="119">+AC30+AG30+AK30</f>
        <v>170214.88</v>
      </c>
      <c r="AN30" s="6462"/>
      <c r="AO30" s="1823">
        <f t="shared" ref="AO30:AO31" si="120">+AI30+AK30</f>
        <v>535234.53</v>
      </c>
      <c r="AP30" s="6454"/>
      <c r="AQ30" s="5125">
        <v>74386.92</v>
      </c>
      <c r="AR30" s="6462"/>
      <c r="AS30" s="1823">
        <f t="shared" ref="AS30:AS31" si="121">+AO30+AQ30</f>
        <v>609621.45000000007</v>
      </c>
      <c r="AT30" s="6454"/>
      <c r="AU30" s="5125">
        <f>85015-AU31</f>
        <v>84766.96</v>
      </c>
      <c r="AV30" s="6462"/>
      <c r="AW30" s="1823">
        <f t="shared" ref="AW30:AW31" si="122">+AS30+AU30</f>
        <v>694388.41</v>
      </c>
      <c r="AX30" s="6454"/>
      <c r="AY30" s="5125">
        <v>104578.25</v>
      </c>
      <c r="AZ30" s="6464"/>
      <c r="BA30" s="2011">
        <f t="shared" ref="BA30:BA31" si="123">+AQ30+AU30+AY30</f>
        <v>263732.13</v>
      </c>
      <c r="BB30" s="6464"/>
      <c r="BC30" s="2011">
        <f t="shared" ref="BC30:BC31" si="124">+AM30+BA30</f>
        <v>433947.01</v>
      </c>
      <c r="BD30" s="6599"/>
      <c r="BE30" s="6531">
        <f t="shared" ref="BE30:BE31" si="125">+AW30+AY30</f>
        <v>798966.66</v>
      </c>
      <c r="BF30" s="6459"/>
      <c r="BG30" s="5355">
        <v>895368.16999999993</v>
      </c>
    </row>
    <row r="31" spans="2:59" ht="15" customHeight="1" thickBot="1" x14ac:dyDescent="0.25">
      <c r="B31" s="5430" t="s">
        <v>99</v>
      </c>
      <c r="C31" s="1548" t="s">
        <v>863</v>
      </c>
      <c r="D31" s="6455"/>
      <c r="E31" s="2816">
        <v>0</v>
      </c>
      <c r="F31" s="6455"/>
      <c r="G31" s="2816">
        <v>0</v>
      </c>
      <c r="H31" s="6463"/>
      <c r="I31" s="1823">
        <f t="shared" si="111"/>
        <v>0</v>
      </c>
      <c r="J31" s="6458"/>
      <c r="K31" s="5125">
        <v>0</v>
      </c>
      <c r="L31" s="6465"/>
      <c r="M31" s="2011">
        <f t="shared" si="112"/>
        <v>0</v>
      </c>
      <c r="N31" s="6455"/>
      <c r="O31" s="5125">
        <v>0</v>
      </c>
      <c r="P31" s="6463"/>
      <c r="Q31" s="1823">
        <f t="shared" si="113"/>
        <v>0</v>
      </c>
      <c r="R31" s="6455"/>
      <c r="S31" s="5125">
        <v>0</v>
      </c>
      <c r="T31" s="6463"/>
      <c r="U31" s="1823">
        <f t="shared" si="114"/>
        <v>0</v>
      </c>
      <c r="V31" s="6455"/>
      <c r="W31" s="5125">
        <v>0</v>
      </c>
      <c r="X31" s="6465"/>
      <c r="Y31" s="2011">
        <f t="shared" si="115"/>
        <v>0</v>
      </c>
      <c r="Z31" s="6600"/>
      <c r="AA31" s="6531">
        <f t="shared" si="116"/>
        <v>0</v>
      </c>
      <c r="AB31" s="6455"/>
      <c r="AC31" s="5125">
        <v>0</v>
      </c>
      <c r="AD31" s="6463"/>
      <c r="AE31" s="1823">
        <f t="shared" si="117"/>
        <v>0</v>
      </c>
      <c r="AF31" s="6455"/>
      <c r="AG31" s="5125">
        <v>0</v>
      </c>
      <c r="AH31" s="6463"/>
      <c r="AI31" s="1823">
        <f t="shared" si="118"/>
        <v>0</v>
      </c>
      <c r="AJ31" s="6455"/>
      <c r="AK31" s="5125">
        <v>0</v>
      </c>
      <c r="AL31" s="6465"/>
      <c r="AM31" s="2011">
        <f t="shared" si="119"/>
        <v>0</v>
      </c>
      <c r="AN31" s="6463"/>
      <c r="AO31" s="1823">
        <f t="shared" si="120"/>
        <v>0</v>
      </c>
      <c r="AP31" s="6455"/>
      <c r="AQ31" s="5125">
        <v>0</v>
      </c>
      <c r="AR31" s="6463"/>
      <c r="AS31" s="1823">
        <f t="shared" si="121"/>
        <v>0</v>
      </c>
      <c r="AT31" s="6455"/>
      <c r="AU31" s="5125">
        <v>248.04</v>
      </c>
      <c r="AV31" s="6463"/>
      <c r="AW31" s="1823">
        <f t="shared" si="122"/>
        <v>248.04</v>
      </c>
      <c r="AX31" s="6455"/>
      <c r="AY31" s="5125">
        <v>0</v>
      </c>
      <c r="AZ31" s="6465"/>
      <c r="BA31" s="2011">
        <f t="shared" si="123"/>
        <v>248.04</v>
      </c>
      <c r="BB31" s="6465"/>
      <c r="BC31" s="2011">
        <f t="shared" si="124"/>
        <v>248.04</v>
      </c>
      <c r="BD31" s="6600"/>
      <c r="BE31" s="6531">
        <f t="shared" si="125"/>
        <v>248.04</v>
      </c>
      <c r="BF31" s="6460"/>
      <c r="BG31" s="5311">
        <v>0</v>
      </c>
    </row>
    <row r="32" spans="2:59" ht="15" customHeight="1" thickBot="1" x14ac:dyDescent="0.25">
      <c r="B32" s="5431" t="s">
        <v>15</v>
      </c>
      <c r="C32" s="1562" t="s">
        <v>863</v>
      </c>
      <c r="D32" s="6456">
        <v>55704.058964494376</v>
      </c>
      <c r="E32" s="1677">
        <f>SUM(E30:E31)</f>
        <v>19751.66</v>
      </c>
      <c r="F32" s="6456">
        <v>59123.730337078654</v>
      </c>
      <c r="G32" s="2817">
        <f>SUM(G30:G31)</f>
        <v>69551.360000000015</v>
      </c>
      <c r="H32" s="6466">
        <f>+D32+F32</f>
        <v>114827.78930157304</v>
      </c>
      <c r="I32" s="1914">
        <f>SUM(I30:I31)</f>
        <v>89303.020000000019</v>
      </c>
      <c r="J32" s="6456">
        <v>67868.385846153848</v>
      </c>
      <c r="K32" s="1684">
        <f>SUM(K30:K31)</f>
        <v>77900.91</v>
      </c>
      <c r="L32" s="6467">
        <f>+H32+J32</f>
        <v>182696.1751477269</v>
      </c>
      <c r="M32" s="1999">
        <f>SUM(M30:M31)</f>
        <v>167203.93000000002</v>
      </c>
      <c r="N32" s="6456">
        <v>84144</v>
      </c>
      <c r="O32" s="1684">
        <f>SUM(O30:O31)</f>
        <v>73503.63</v>
      </c>
      <c r="P32" s="6466">
        <f>+L32+N32</f>
        <v>266840.1751477269</v>
      </c>
      <c r="Q32" s="1715">
        <f>SUM(Q30:Q31)</f>
        <v>240707.56000000003</v>
      </c>
      <c r="R32" s="6456">
        <v>83654</v>
      </c>
      <c r="S32" s="1684">
        <f>SUM(S30:S31)</f>
        <v>77428.87000000001</v>
      </c>
      <c r="T32" s="6466">
        <f>+P32+R32</f>
        <v>350494.1751477269</v>
      </c>
      <c r="U32" s="1715">
        <f>SUM(U30:U31)</f>
        <v>318136.43000000005</v>
      </c>
      <c r="V32" s="6456">
        <v>82552.966558166838</v>
      </c>
      <c r="W32" s="1684">
        <f>SUM(W30:W31)</f>
        <v>46883.219999999994</v>
      </c>
      <c r="X32" s="6467">
        <f>+N32+R32+V32</f>
        <v>250350.96655816684</v>
      </c>
      <c r="Y32" s="1999">
        <f>SUM(Y30:Y31)</f>
        <v>197815.72</v>
      </c>
      <c r="Z32" s="6601">
        <f>+T32+V32</f>
        <v>433047.14170589374</v>
      </c>
      <c r="AA32" s="6512">
        <f>SUM(AA30:AA31)</f>
        <v>365019.65</v>
      </c>
      <c r="AB32" s="6456">
        <v>43737</v>
      </c>
      <c r="AC32" s="1684">
        <f>SUM(AC30:AC31)</f>
        <v>28974.930000000004</v>
      </c>
      <c r="AD32" s="6466">
        <f>+Z32+AB32</f>
        <v>476784.14170589374</v>
      </c>
      <c r="AE32" s="1715">
        <f>SUM(AE30:AE31)</f>
        <v>393994.58</v>
      </c>
      <c r="AF32" s="6456">
        <v>81175.01538461537</v>
      </c>
      <c r="AG32" s="1684">
        <f>SUM(AG30:AG31)</f>
        <v>70613.84</v>
      </c>
      <c r="AH32" s="6466">
        <f>+AD32+AF32</f>
        <v>557959.15709050908</v>
      </c>
      <c r="AI32" s="1715">
        <f>SUM(AI30:AI31)</f>
        <v>464608.42000000004</v>
      </c>
      <c r="AJ32" s="6456">
        <v>85373.723076923066</v>
      </c>
      <c r="AK32" s="1684">
        <f>SUM(AK30:AK31)</f>
        <v>70626.11</v>
      </c>
      <c r="AL32" s="6467">
        <f>+AB32+AF32+AJ32</f>
        <v>210285.73846153845</v>
      </c>
      <c r="AM32" s="1999">
        <f>SUM(AM30:AM31)</f>
        <v>170214.88</v>
      </c>
      <c r="AN32" s="6466">
        <f>+AH32+AJ32</f>
        <v>643332.88016743213</v>
      </c>
      <c r="AO32" s="1715">
        <f>SUM(AO30:AO31)</f>
        <v>535234.53</v>
      </c>
      <c r="AP32" s="6456">
        <v>85373.723076923066</v>
      </c>
      <c r="AQ32" s="1684">
        <f>SUM(AQ30:AQ31)</f>
        <v>74386.92</v>
      </c>
      <c r="AR32" s="6466">
        <f>+AN32+AP32</f>
        <v>728706.60324435518</v>
      </c>
      <c r="AS32" s="1715">
        <f>SUM(AS30:AS31)</f>
        <v>609621.45000000007</v>
      </c>
      <c r="AT32" s="6456">
        <v>76976</v>
      </c>
      <c r="AU32" s="1684">
        <f>SUM(AU30:AU31)</f>
        <v>85015</v>
      </c>
      <c r="AV32" s="6466">
        <f>+AR32+AT32</f>
        <v>805682.60324435518</v>
      </c>
      <c r="AW32" s="1715">
        <f>SUM(AW30:AW31)</f>
        <v>694636.45000000007</v>
      </c>
      <c r="AX32" s="6456">
        <v>85374</v>
      </c>
      <c r="AY32" s="1684">
        <f>SUM(AY30:AY31)</f>
        <v>104578.25</v>
      </c>
      <c r="AZ32" s="6467">
        <f>+AP32+AT32+AX32</f>
        <v>247723.72307692305</v>
      </c>
      <c r="BA32" s="1999">
        <f>SUM(BA30:BA31)</f>
        <v>263980.17</v>
      </c>
      <c r="BB32" s="6467"/>
      <c r="BC32" s="1999">
        <f>SUM(BC30:BC31)</f>
        <v>434195.05</v>
      </c>
      <c r="BD32" s="6601">
        <f>+AV32+AX32</f>
        <v>891056.60324435518</v>
      </c>
      <c r="BE32" s="6512">
        <f>SUM(BE30:BE31)</f>
        <v>799214.70000000007</v>
      </c>
      <c r="BF32" s="6461">
        <v>850423</v>
      </c>
      <c r="BG32" s="5388">
        <f>SUM(BG30:BG31)</f>
        <v>895368.16999999993</v>
      </c>
    </row>
    <row r="33" spans="2:59" s="3453" customFormat="1" ht="15" customHeight="1" thickBot="1" x14ac:dyDescent="0.25">
      <c r="B33" s="5432" t="s">
        <v>861</v>
      </c>
      <c r="C33" s="5300"/>
      <c r="D33" s="4902"/>
      <c r="E33" s="5351"/>
      <c r="F33" s="4902"/>
      <c r="G33" s="5351"/>
      <c r="H33" s="5300"/>
      <c r="I33" s="4902"/>
      <c r="J33" s="4902"/>
      <c r="K33" s="4902"/>
      <c r="L33" s="4902"/>
      <c r="M33" s="4902"/>
      <c r="N33" s="4902"/>
      <c r="O33" s="5300"/>
      <c r="P33" s="4902"/>
      <c r="Q33" s="4902"/>
      <c r="R33" s="4902"/>
      <c r="S33" s="5300"/>
      <c r="T33" s="4902"/>
      <c r="U33" s="4902"/>
      <c r="V33" s="4902"/>
      <c r="W33" s="5300"/>
      <c r="X33" s="4902"/>
      <c r="Y33" s="4902"/>
      <c r="Z33" s="4902"/>
      <c r="AA33" s="4902"/>
      <c r="AB33" s="4902"/>
      <c r="AC33" s="5300"/>
      <c r="AD33" s="4902"/>
      <c r="AE33" s="4902"/>
      <c r="AF33" s="4902"/>
      <c r="AG33" s="5300"/>
      <c r="AH33" s="4902"/>
      <c r="AI33" s="4902"/>
      <c r="AJ33" s="4902"/>
      <c r="AK33" s="5300"/>
      <c r="AL33" s="4902"/>
      <c r="AM33" s="4902"/>
      <c r="AN33" s="4902"/>
      <c r="AO33" s="4902"/>
      <c r="AP33" s="4902"/>
      <c r="AQ33" s="5300"/>
      <c r="AR33" s="4902"/>
      <c r="AS33" s="4902"/>
      <c r="AT33" s="4902"/>
      <c r="AU33" s="5300"/>
      <c r="AV33" s="4902"/>
      <c r="AW33" s="4902"/>
      <c r="AX33" s="4902"/>
      <c r="AY33" s="5300"/>
      <c r="AZ33" s="4902"/>
      <c r="BA33" s="4902"/>
      <c r="BB33" s="4902"/>
      <c r="BC33" s="4902"/>
      <c r="BD33" s="4902"/>
      <c r="BE33" s="4902"/>
      <c r="BF33" s="5357"/>
      <c r="BG33" s="5358"/>
    </row>
    <row r="34" spans="2:59" ht="15" customHeight="1" x14ac:dyDescent="0.2">
      <c r="B34" s="5429" t="s">
        <v>502</v>
      </c>
      <c r="C34" s="1545" t="s">
        <v>863</v>
      </c>
      <c r="D34" s="8670">
        <f>+D32</f>
        <v>55704.058964494376</v>
      </c>
      <c r="E34" s="2750">
        <v>19751.66</v>
      </c>
      <c r="F34" s="8670">
        <f>+F32</f>
        <v>59123.730337078654</v>
      </c>
      <c r="G34" s="2750">
        <v>62282.520000000011</v>
      </c>
      <c r="H34" s="8676">
        <f t="shared" ref="H34" si="126">+D34+F34</f>
        <v>114827.78930157304</v>
      </c>
      <c r="I34" s="1823">
        <f t="shared" ref="I34:I35" si="127">+E34+G34</f>
        <v>82034.180000000008</v>
      </c>
      <c r="J34" s="8670">
        <f>+J32</f>
        <v>67868.385846153848</v>
      </c>
      <c r="K34" s="5125">
        <v>70484.41</v>
      </c>
      <c r="L34" s="8673">
        <f t="shared" ref="L34" si="128">+H34+J34</f>
        <v>182696.1751477269</v>
      </c>
      <c r="M34" s="2011">
        <f t="shared" ref="M34:M35" si="129">+I34+K34</f>
        <v>152518.59000000003</v>
      </c>
      <c r="N34" s="8670">
        <f>+N32</f>
        <v>84144</v>
      </c>
      <c r="O34" s="5125">
        <v>69714.63</v>
      </c>
      <c r="P34" s="8691">
        <f t="shared" ref="P34" si="130">+L34+N34</f>
        <v>266840.1751477269</v>
      </c>
      <c r="Q34" s="1823">
        <f t="shared" ref="Q34:Q35" si="131">+M34+O34</f>
        <v>222233.22000000003</v>
      </c>
      <c r="R34" s="8670">
        <f>+R32</f>
        <v>83654</v>
      </c>
      <c r="S34" s="5125">
        <v>66353.350000000006</v>
      </c>
      <c r="T34" s="8676">
        <f t="shared" ref="T34" si="132">+P34+R34</f>
        <v>350494.1751477269</v>
      </c>
      <c r="U34" s="1823">
        <f t="shared" ref="U34:U35" si="133">+Q34+S34</f>
        <v>288586.57000000007</v>
      </c>
      <c r="V34" s="8670">
        <f>+V32</f>
        <v>82552.966558166838</v>
      </c>
      <c r="W34" s="5125">
        <v>43119.799999999996</v>
      </c>
      <c r="X34" s="8673">
        <f>+N34+R34+V34</f>
        <v>250350.96655816684</v>
      </c>
      <c r="Y34" s="2011">
        <f t="shared" ref="Y34:Y35" si="134">+O34+S34+W34</f>
        <v>179187.78</v>
      </c>
      <c r="Z34" s="8664">
        <f t="shared" ref="Z34" si="135">+T34+V34</f>
        <v>433047.14170589374</v>
      </c>
      <c r="AA34" s="6531">
        <f t="shared" ref="AA34:AA35" si="136">+U34+W34</f>
        <v>331706.37000000005</v>
      </c>
      <c r="AB34" s="8670">
        <f>+AB32</f>
        <v>43737</v>
      </c>
      <c r="AC34" s="5125">
        <v>28974.930000000004</v>
      </c>
      <c r="AD34" s="8676">
        <f t="shared" ref="AD34" si="137">+Z34+AB34</f>
        <v>476784.14170589374</v>
      </c>
      <c r="AE34" s="1823">
        <f t="shared" ref="AE34:AE35" si="138">+AA34+AC34</f>
        <v>360681.30000000005</v>
      </c>
      <c r="AF34" s="8670">
        <f>+AF32</f>
        <v>81175.01538461537</v>
      </c>
      <c r="AG34" s="5125">
        <v>70613.84</v>
      </c>
      <c r="AH34" s="8676">
        <f t="shared" ref="AH34" si="139">+AD34+AF34</f>
        <v>557959.15709050908</v>
      </c>
      <c r="AI34" s="1823">
        <f t="shared" ref="AI34:AI35" si="140">+AE34+AG34</f>
        <v>431295.14</v>
      </c>
      <c r="AJ34" s="8670">
        <f>+AJ32</f>
        <v>85373.723076923066</v>
      </c>
      <c r="AK34" s="5125">
        <v>66811.11</v>
      </c>
      <c r="AL34" s="8673">
        <f>+AB34+AF34+AJ34</f>
        <v>210285.73846153845</v>
      </c>
      <c r="AM34" s="2011">
        <f t="shared" ref="AM34:AM35" si="141">+AC34+AG34+AK34</f>
        <v>166399.88</v>
      </c>
      <c r="AN34" s="8676">
        <f t="shared" ref="AN34" si="142">+AH34+AJ34</f>
        <v>643332.88016743213</v>
      </c>
      <c r="AO34" s="1823">
        <f t="shared" ref="AO34:AO35" si="143">+AI34+AK34</f>
        <v>498106.25</v>
      </c>
      <c r="AP34" s="8670">
        <f>+AP32</f>
        <v>85373.723076923066</v>
      </c>
      <c r="AQ34" s="5125">
        <v>66878.09</v>
      </c>
      <c r="AR34" s="8676">
        <f t="shared" ref="AR34" si="144">+AN34+AP34</f>
        <v>728706.60324435518</v>
      </c>
      <c r="AS34" s="1823">
        <f t="shared" ref="AS34:AS35" si="145">+AO34+AQ34</f>
        <v>564984.34</v>
      </c>
      <c r="AT34" s="8670">
        <f>+AT32</f>
        <v>76976</v>
      </c>
      <c r="AU34" s="5125">
        <v>77506.149999999994</v>
      </c>
      <c r="AV34" s="8676">
        <f t="shared" ref="AV34" si="146">+AR34+AT34</f>
        <v>805682.60324435518</v>
      </c>
      <c r="AW34" s="1823">
        <f t="shared" ref="AW34:AW35" si="147">+AS34+AU34</f>
        <v>642490.49</v>
      </c>
      <c r="AX34" s="8670">
        <f>+AX32</f>
        <v>85374</v>
      </c>
      <c r="AY34" s="5125">
        <v>104578.25</v>
      </c>
      <c r="AZ34" s="8673">
        <f>+AP34+AT34+AX34</f>
        <v>247723.72307692305</v>
      </c>
      <c r="BA34" s="2011">
        <f t="shared" ref="BA34:BA35" si="148">+AQ34+AU34+AY34</f>
        <v>248962.49</v>
      </c>
      <c r="BB34" s="8673">
        <f>+BB32</f>
        <v>0</v>
      </c>
      <c r="BC34" s="2011">
        <f t="shared" ref="BC34:BC35" si="149">+AM34+BA34</f>
        <v>415362.37</v>
      </c>
      <c r="BD34" s="8664">
        <f t="shared" ref="BD34" si="150">+AV34+AX34</f>
        <v>891056.60324435518</v>
      </c>
      <c r="BE34" s="6531">
        <f t="shared" ref="BE34:BE35" si="151">+AW34+AY34</f>
        <v>747068.74</v>
      </c>
      <c r="BF34" s="8688">
        <f>+BF32</f>
        <v>850423</v>
      </c>
      <c r="BG34" s="5355">
        <v>843210.72000000009</v>
      </c>
    </row>
    <row r="35" spans="2:59" ht="15" customHeight="1" thickBot="1" x14ac:dyDescent="0.25">
      <c r="B35" s="5430" t="s">
        <v>503</v>
      </c>
      <c r="C35" s="1548" t="s">
        <v>863</v>
      </c>
      <c r="D35" s="8679"/>
      <c r="E35" s="2816">
        <v>0</v>
      </c>
      <c r="F35" s="8679"/>
      <c r="G35" s="2816">
        <v>7268.84</v>
      </c>
      <c r="H35" s="8677"/>
      <c r="I35" s="1823">
        <f t="shared" si="127"/>
        <v>7268.84</v>
      </c>
      <c r="J35" s="8679"/>
      <c r="K35" s="5125">
        <v>7416.5</v>
      </c>
      <c r="L35" s="8674"/>
      <c r="M35" s="2011">
        <f t="shared" si="129"/>
        <v>14685.34</v>
      </c>
      <c r="N35" s="8679"/>
      <c r="O35" s="5125">
        <v>3789</v>
      </c>
      <c r="P35" s="8692"/>
      <c r="Q35" s="1823">
        <f t="shared" si="131"/>
        <v>18474.34</v>
      </c>
      <c r="R35" s="8679"/>
      <c r="S35" s="5125">
        <v>11075.52</v>
      </c>
      <c r="T35" s="8677"/>
      <c r="U35" s="1823">
        <f t="shared" si="133"/>
        <v>29549.86</v>
      </c>
      <c r="V35" s="8679"/>
      <c r="W35" s="5125">
        <v>3763.42</v>
      </c>
      <c r="X35" s="8674"/>
      <c r="Y35" s="2011">
        <f t="shared" si="134"/>
        <v>18627.940000000002</v>
      </c>
      <c r="Z35" s="8665"/>
      <c r="AA35" s="6531">
        <f t="shared" si="136"/>
        <v>33313.279999999999</v>
      </c>
      <c r="AB35" s="8679"/>
      <c r="AC35" s="5125">
        <v>0</v>
      </c>
      <c r="AD35" s="8677"/>
      <c r="AE35" s="1823">
        <f t="shared" si="138"/>
        <v>33313.279999999999</v>
      </c>
      <c r="AF35" s="8679"/>
      <c r="AG35" s="5125">
        <v>0</v>
      </c>
      <c r="AH35" s="8677"/>
      <c r="AI35" s="1823">
        <f t="shared" si="140"/>
        <v>33313.279999999999</v>
      </c>
      <c r="AJ35" s="8679"/>
      <c r="AK35" s="5125">
        <v>3815</v>
      </c>
      <c r="AL35" s="8674"/>
      <c r="AM35" s="2011">
        <f t="shared" si="141"/>
        <v>3815</v>
      </c>
      <c r="AN35" s="8677"/>
      <c r="AO35" s="1823">
        <f t="shared" si="143"/>
        <v>37128.28</v>
      </c>
      <c r="AP35" s="8679"/>
      <c r="AQ35" s="5125">
        <v>7508.83</v>
      </c>
      <c r="AR35" s="8677"/>
      <c r="AS35" s="1823">
        <f t="shared" si="145"/>
        <v>44637.11</v>
      </c>
      <c r="AT35" s="8679"/>
      <c r="AU35" s="5125">
        <v>7508.4</v>
      </c>
      <c r="AV35" s="8677"/>
      <c r="AW35" s="1823">
        <f t="shared" si="147"/>
        <v>52145.51</v>
      </c>
      <c r="AX35" s="8679"/>
      <c r="AY35" s="5125">
        <v>0</v>
      </c>
      <c r="AZ35" s="8674"/>
      <c r="BA35" s="2011">
        <f t="shared" si="148"/>
        <v>15017.23</v>
      </c>
      <c r="BB35" s="8674"/>
      <c r="BC35" s="2011">
        <f t="shared" si="149"/>
        <v>18832.23</v>
      </c>
      <c r="BD35" s="8665"/>
      <c r="BE35" s="6531">
        <f t="shared" si="151"/>
        <v>52145.51</v>
      </c>
      <c r="BF35" s="8694"/>
      <c r="BG35" s="5311">
        <v>52157.45</v>
      </c>
    </row>
    <row r="36" spans="2:59" ht="15" customHeight="1" thickBot="1" x14ac:dyDescent="0.25">
      <c r="B36" s="5431" t="s">
        <v>15</v>
      </c>
      <c r="C36" s="1562" t="s">
        <v>863</v>
      </c>
      <c r="D36" s="8680"/>
      <c r="E36" s="2817">
        <f>SUM(E34:E35)</f>
        <v>19751.66</v>
      </c>
      <c r="F36" s="8680"/>
      <c r="G36" s="2817">
        <f>SUM(G34:G35)</f>
        <v>69551.360000000015</v>
      </c>
      <c r="H36" s="8678"/>
      <c r="I36" s="1825">
        <f>SUM(I34:I35)</f>
        <v>89303.02</v>
      </c>
      <c r="J36" s="8680"/>
      <c r="K36" s="1684">
        <f>SUM(K34:K35)</f>
        <v>77900.91</v>
      </c>
      <c r="L36" s="8675"/>
      <c r="M36" s="1999">
        <f>SUM(M34:M35)</f>
        <v>167203.93000000002</v>
      </c>
      <c r="N36" s="8680"/>
      <c r="O36" s="1684">
        <f>SUM(O34:O35)</f>
        <v>73503.63</v>
      </c>
      <c r="P36" s="8693"/>
      <c r="Q36" s="1715">
        <f>SUM(Q34:Q35)</f>
        <v>240707.56000000003</v>
      </c>
      <c r="R36" s="8680"/>
      <c r="S36" s="1684">
        <f>SUM(S34:S35)</f>
        <v>77428.87000000001</v>
      </c>
      <c r="T36" s="8678"/>
      <c r="U36" s="1715">
        <f>SUM(U34:U35)</f>
        <v>318136.43000000005</v>
      </c>
      <c r="V36" s="8680"/>
      <c r="W36" s="1684">
        <f>SUM(W34:W35)</f>
        <v>46883.219999999994</v>
      </c>
      <c r="X36" s="8675"/>
      <c r="Y36" s="1999">
        <f>SUM(Y34:Y35)</f>
        <v>197815.72</v>
      </c>
      <c r="Z36" s="8666"/>
      <c r="AA36" s="6512">
        <f>SUM(AA34:AA35)</f>
        <v>365019.65</v>
      </c>
      <c r="AB36" s="8680"/>
      <c r="AC36" s="1684">
        <f>SUM(AC34:AC35)</f>
        <v>28974.930000000004</v>
      </c>
      <c r="AD36" s="8678"/>
      <c r="AE36" s="1715">
        <f>SUM(AE34:AE35)</f>
        <v>393994.58000000007</v>
      </c>
      <c r="AF36" s="8680"/>
      <c r="AG36" s="1684">
        <f>SUM(AG34:AG35)</f>
        <v>70613.84</v>
      </c>
      <c r="AH36" s="8678"/>
      <c r="AI36" s="1715">
        <f>SUM(AI34:AI35)</f>
        <v>464608.42000000004</v>
      </c>
      <c r="AJ36" s="8680"/>
      <c r="AK36" s="1684">
        <f>SUM(AK34:AK35)</f>
        <v>70626.11</v>
      </c>
      <c r="AL36" s="8675"/>
      <c r="AM36" s="1999">
        <f>SUM(AM34:AM35)</f>
        <v>170214.88</v>
      </c>
      <c r="AN36" s="8678"/>
      <c r="AO36" s="1715">
        <f>SUM(AO34:AO35)</f>
        <v>535234.53</v>
      </c>
      <c r="AP36" s="8680"/>
      <c r="AQ36" s="1684">
        <f>SUM(AQ34:AQ35)</f>
        <v>74386.92</v>
      </c>
      <c r="AR36" s="8678"/>
      <c r="AS36" s="1715">
        <f>SUM(AS34:AS35)</f>
        <v>609621.44999999995</v>
      </c>
      <c r="AT36" s="8680"/>
      <c r="AU36" s="1684">
        <f>SUM(AU34:AU35)</f>
        <v>85014.549999999988</v>
      </c>
      <c r="AV36" s="8678"/>
      <c r="AW36" s="1715">
        <f>SUM(AW34:AW35)</f>
        <v>694636</v>
      </c>
      <c r="AX36" s="8680"/>
      <c r="AY36" s="1684">
        <f>SUM(AY34:AY35)</f>
        <v>104578.25</v>
      </c>
      <c r="AZ36" s="8675"/>
      <c r="BA36" s="1999">
        <f>SUM(BA34:BA35)</f>
        <v>263979.71999999997</v>
      </c>
      <c r="BB36" s="8675"/>
      <c r="BC36" s="1999">
        <f>SUM(BC34:BC35)</f>
        <v>434194.6</v>
      </c>
      <c r="BD36" s="8666"/>
      <c r="BE36" s="6512">
        <f>SUM(BE34:BE35)</f>
        <v>799214.25</v>
      </c>
      <c r="BF36" s="8695"/>
      <c r="BG36" s="5313">
        <f>SUM(BG34:BG35)</f>
        <v>895368.17</v>
      </c>
    </row>
    <row r="37" spans="2:59" ht="15" customHeight="1" thickBot="1" x14ac:dyDescent="0.25">
      <c r="B37" s="1593" t="s">
        <v>823</v>
      </c>
      <c r="C37" s="1542" t="s">
        <v>863</v>
      </c>
      <c r="D37" s="2676">
        <v>3035.5899999999997</v>
      </c>
      <c r="E37" s="3834">
        <v>2951.9100000000008</v>
      </c>
      <c r="F37" s="2676">
        <v>3735.8900000000003</v>
      </c>
      <c r="G37" s="3834">
        <v>4722.0300000000016</v>
      </c>
      <c r="H37" s="2785">
        <f t="shared" ref="H37:H38" si="152">+D37+F37</f>
        <v>6771.48</v>
      </c>
      <c r="I37" s="1827">
        <f t="shared" ref="I37:I38" si="153">+E37+G37</f>
        <v>7673.9400000000023</v>
      </c>
      <c r="J37" s="3289">
        <v>4000.0630000000001</v>
      </c>
      <c r="K37" s="5896">
        <v>4246.2199999999993</v>
      </c>
      <c r="L37" s="2875">
        <f t="shared" ref="L37:L38" si="154">+H37+J37</f>
        <v>10771.543</v>
      </c>
      <c r="M37" s="2016">
        <f t="shared" ref="M37:M38" si="155">+I37+K37</f>
        <v>11920.160000000002</v>
      </c>
      <c r="N37" s="2676">
        <v>4294.7586000000001</v>
      </c>
      <c r="O37" s="5961">
        <v>4469.45</v>
      </c>
      <c r="P37" s="2785">
        <f t="shared" ref="P37:P38" si="156">+L37+N37</f>
        <v>15066.301599999999</v>
      </c>
      <c r="Q37" s="1827">
        <f t="shared" ref="Q37:Q38" si="157">+M37+O37</f>
        <v>16389.61</v>
      </c>
      <c r="R37" s="2676">
        <v>4295</v>
      </c>
      <c r="S37" s="6313">
        <v>2964.3100000000018</v>
      </c>
      <c r="T37" s="2785">
        <f t="shared" ref="T37:T38" si="158">+P37+R37</f>
        <v>19361.301599999999</v>
      </c>
      <c r="U37" s="1827">
        <f t="shared" ref="U37:U38" si="159">+Q37+S37</f>
        <v>19353.920000000002</v>
      </c>
      <c r="V37" s="2676">
        <v>4156.2179999999998</v>
      </c>
      <c r="W37" s="6487">
        <v>5277.0299999999988</v>
      </c>
      <c r="X37" s="4792">
        <f t="shared" ref="X37:X38" si="160">+N37+R37+V37</f>
        <v>12745.976600000002</v>
      </c>
      <c r="Y37" s="2011">
        <f t="shared" ref="Y37:Y38" si="161">+O37+S37+W37</f>
        <v>12710.79</v>
      </c>
      <c r="Z37" s="6518">
        <f t="shared" ref="Z37:Z38" si="162">+T37+V37</f>
        <v>23517.5196</v>
      </c>
      <c r="AA37" s="6590">
        <f t="shared" ref="AA37:AA38" si="163">+U37+W37</f>
        <v>24630.95</v>
      </c>
      <c r="AB37" s="2676">
        <v>4295</v>
      </c>
      <c r="AC37" s="7288">
        <v>4013.5600000000013</v>
      </c>
      <c r="AD37" s="2785">
        <f t="shared" ref="AD37:AD38" si="164">+Z37+AB37</f>
        <v>27812.5196</v>
      </c>
      <c r="AE37" s="1827">
        <f t="shared" ref="AE37:AE38" si="165">+AA37+AC37</f>
        <v>28644.510000000002</v>
      </c>
      <c r="AF37" s="2676">
        <v>4156.2179999999998</v>
      </c>
      <c r="AG37" s="7547">
        <v>3334.9899999999971</v>
      </c>
      <c r="AH37" s="2785">
        <f t="shared" ref="AH37:AH38" si="166">+AD37+AF37</f>
        <v>31968.7376</v>
      </c>
      <c r="AI37" s="1827">
        <f t="shared" ref="AI37:AI38" si="167">+AE37+AG37</f>
        <v>31979.5</v>
      </c>
      <c r="AJ37" s="2676">
        <v>4294.7586000000001</v>
      </c>
      <c r="AK37" s="7797">
        <v>4865.0100000000011</v>
      </c>
      <c r="AL37" s="4792">
        <f t="shared" ref="AL37:AL38" si="168">+AB37+AF37+AJ37</f>
        <v>12745.976600000002</v>
      </c>
      <c r="AM37" s="2011">
        <f t="shared" ref="AM37:AM38" si="169">+AC37+AG37+AK37</f>
        <v>12213.56</v>
      </c>
      <c r="AN37" s="8696">
        <f t="shared" ref="AN37:AN38" si="170">+AH37+AJ37</f>
        <v>36263.496200000001</v>
      </c>
      <c r="AO37" s="8697">
        <f t="shared" ref="AO37:AO38" si="171">+AI37+AK37</f>
        <v>36844.51</v>
      </c>
      <c r="AP37" s="2676">
        <v>4294.7586000000001</v>
      </c>
      <c r="AQ37" s="8015">
        <v>4114.5599999999995</v>
      </c>
      <c r="AR37" s="2785">
        <f t="shared" ref="AR37:AR38" si="172">+AN37+AP37</f>
        <v>40558.254800000002</v>
      </c>
      <c r="AS37" s="1827">
        <f t="shared" ref="AS37:AS38" si="173">+AO37+AQ37</f>
        <v>40959.07</v>
      </c>
      <c r="AT37" s="2676">
        <v>3879</v>
      </c>
      <c r="AU37" s="8214">
        <v>4072.9</v>
      </c>
      <c r="AV37" s="2785">
        <f t="shared" ref="AV37:AV38" si="174">+AR37+AT37</f>
        <v>44437.254800000002</v>
      </c>
      <c r="AW37" s="1827">
        <f t="shared" ref="AW37:AW38" si="175">+AS37+AU37</f>
        <v>45031.97</v>
      </c>
      <c r="AX37" s="2676">
        <f>+'Maj Prod Summ'!AX45</f>
        <v>4294.759</v>
      </c>
      <c r="AY37" s="8399">
        <v>4389.55</v>
      </c>
      <c r="AZ37" s="4792">
        <f t="shared" ref="AZ37:AZ38" si="176">+AP37+AT37+AX37</f>
        <v>12468.517599999999</v>
      </c>
      <c r="BA37" s="2011">
        <f t="shared" ref="BA37:BA38" si="177">+AQ37+AU37+AY37</f>
        <v>12577.009999999998</v>
      </c>
      <c r="BB37" s="4792"/>
      <c r="BC37" s="2011">
        <f t="shared" ref="BC37:BC38" si="178">+AM37+BA37</f>
        <v>24790.57</v>
      </c>
      <c r="BD37" s="6518">
        <f t="shared" ref="BD37:BD38" si="179">+AV37+AX37</f>
        <v>48732.013800000001</v>
      </c>
      <c r="BE37" s="6590">
        <f t="shared" ref="BE37:BE38" si="180">+AW37+AY37</f>
        <v>49421.520000000004</v>
      </c>
      <c r="BF37" s="5349">
        <v>46118.873100000012</v>
      </c>
      <c r="BG37" s="5362">
        <v>46910.34</v>
      </c>
    </row>
    <row r="38" spans="2:59" ht="15" customHeight="1" thickBot="1" x14ac:dyDescent="0.25">
      <c r="B38" s="5434" t="s">
        <v>825</v>
      </c>
      <c r="C38" s="1577" t="s">
        <v>863</v>
      </c>
      <c r="D38" s="4362">
        <v>611.23</v>
      </c>
      <c r="E38" s="4403">
        <v>298.44</v>
      </c>
      <c r="F38" s="5092">
        <v>805.5648638900816</v>
      </c>
      <c r="G38" s="4403">
        <v>1229.23</v>
      </c>
      <c r="H38" s="2789">
        <f t="shared" si="152"/>
        <v>1416.7948638900816</v>
      </c>
      <c r="I38" s="1828">
        <f t="shared" si="153"/>
        <v>1527.67</v>
      </c>
      <c r="J38" s="5091">
        <v>1326.0580824999997</v>
      </c>
      <c r="K38" s="5897">
        <v>1109.1200000000001</v>
      </c>
      <c r="L38" s="2952">
        <f t="shared" si="154"/>
        <v>2742.8529463900813</v>
      </c>
      <c r="M38" s="2017">
        <f t="shared" si="155"/>
        <v>2636.79</v>
      </c>
      <c r="N38" s="4647">
        <v>2170.4448150000003</v>
      </c>
      <c r="O38" s="5980">
        <v>706.71000000000015</v>
      </c>
      <c r="P38" s="2789">
        <f t="shared" si="156"/>
        <v>4913.2977613900821</v>
      </c>
      <c r="Q38" s="1828">
        <f t="shared" si="157"/>
        <v>3343.5</v>
      </c>
      <c r="R38" s="5092">
        <v>2170</v>
      </c>
      <c r="S38" s="5980">
        <v>573.67999999999995</v>
      </c>
      <c r="T38" s="2789">
        <f t="shared" si="158"/>
        <v>7083.2977613900821</v>
      </c>
      <c r="U38" s="1828">
        <f t="shared" si="159"/>
        <v>3917.18</v>
      </c>
      <c r="V38" s="5092">
        <v>2099.2249575000001</v>
      </c>
      <c r="W38" s="5980">
        <v>734.28000000000009</v>
      </c>
      <c r="X38" s="4792">
        <f t="shared" si="160"/>
        <v>6439.6697725000013</v>
      </c>
      <c r="Y38" s="2011">
        <f t="shared" si="161"/>
        <v>2014.67</v>
      </c>
      <c r="Z38" s="6527">
        <f t="shared" si="162"/>
        <v>9182.5227188900826</v>
      </c>
      <c r="AA38" s="6593">
        <f t="shared" si="163"/>
        <v>4651.46</v>
      </c>
      <c r="AB38" s="5092">
        <v>2170</v>
      </c>
      <c r="AC38" s="5980">
        <v>912.15</v>
      </c>
      <c r="AD38" s="2789">
        <f t="shared" si="164"/>
        <v>11352.522718890083</v>
      </c>
      <c r="AE38" s="1828">
        <f t="shared" si="165"/>
        <v>5563.61</v>
      </c>
      <c r="AF38" s="5092">
        <v>2099.2249575000001</v>
      </c>
      <c r="AG38" s="5980">
        <v>1106.24</v>
      </c>
      <c r="AH38" s="2789">
        <f t="shared" si="166"/>
        <v>13451.747676390083</v>
      </c>
      <c r="AI38" s="1828">
        <f t="shared" si="167"/>
        <v>6669.8499999999995</v>
      </c>
      <c r="AJ38" s="5092">
        <v>2170.4448150000003</v>
      </c>
      <c r="AK38" s="5980">
        <v>1490.8399999999995</v>
      </c>
      <c r="AL38" s="4792">
        <f t="shared" si="168"/>
        <v>6439.6697725000013</v>
      </c>
      <c r="AM38" s="2011">
        <f t="shared" si="169"/>
        <v>3509.2299999999996</v>
      </c>
      <c r="AN38" s="7811">
        <f t="shared" si="170"/>
        <v>15622.192491390084</v>
      </c>
      <c r="AO38" s="7810">
        <f t="shared" si="171"/>
        <v>8160.6899999999987</v>
      </c>
      <c r="AP38" s="5092">
        <v>2170.4448150000003</v>
      </c>
      <c r="AQ38" s="5980">
        <v>988.96000000000026</v>
      </c>
      <c r="AR38" s="2789">
        <f t="shared" si="172"/>
        <v>17792.637306390083</v>
      </c>
      <c r="AS38" s="1828">
        <f t="shared" si="173"/>
        <v>9149.65</v>
      </c>
      <c r="AT38" s="5092">
        <v>1977</v>
      </c>
      <c r="AU38" s="5980">
        <v>690.26</v>
      </c>
      <c r="AV38" s="2789">
        <f t="shared" si="174"/>
        <v>19769.637306390083</v>
      </c>
      <c r="AW38" s="1828">
        <f t="shared" si="175"/>
        <v>9839.91</v>
      </c>
      <c r="AX38" s="5092">
        <f>+'Maj Prod Summ'!AX46</f>
        <v>2170</v>
      </c>
      <c r="AY38" s="5980">
        <v>674.57</v>
      </c>
      <c r="AZ38" s="4792">
        <f t="shared" si="176"/>
        <v>6317.4448150000007</v>
      </c>
      <c r="BA38" s="2011">
        <f t="shared" si="177"/>
        <v>2353.7900000000004</v>
      </c>
      <c r="BB38" s="4792"/>
      <c r="BC38" s="2011">
        <f t="shared" si="178"/>
        <v>5863.02</v>
      </c>
      <c r="BD38" s="6527">
        <f t="shared" si="179"/>
        <v>21939.637306390083</v>
      </c>
      <c r="BE38" s="6593">
        <f t="shared" si="180"/>
        <v>10514.48</v>
      </c>
      <c r="BF38" s="5364">
        <v>15654.414839999999</v>
      </c>
      <c r="BG38" s="5363">
        <v>12285.02</v>
      </c>
    </row>
    <row r="39" spans="2:59" ht="15" customHeight="1" x14ac:dyDescent="0.2">
      <c r="AJ39" s="7794"/>
      <c r="AK39" s="7794"/>
      <c r="AL39" s="7794"/>
      <c r="AM39" s="7794"/>
      <c r="AN39" s="7794"/>
      <c r="AO39" s="7794"/>
    </row>
    <row r="40" spans="2:59" ht="15" customHeight="1" x14ac:dyDescent="0.2">
      <c r="B40" s="5436"/>
      <c r="AJ40" s="7794"/>
      <c r="AK40" s="7794"/>
      <c r="AL40" s="7794"/>
      <c r="AM40" s="7794"/>
      <c r="AN40" s="7794"/>
      <c r="AO40" s="7794"/>
    </row>
    <row r="41" spans="2:59" ht="15" customHeight="1" x14ac:dyDescent="0.2">
      <c r="B41" s="5437"/>
      <c r="AJ41" s="7794"/>
      <c r="AK41" s="7794"/>
      <c r="AL41" s="7794"/>
      <c r="AM41" s="7794"/>
      <c r="AN41" s="7794"/>
      <c r="AO41" s="7794"/>
    </row>
    <row r="42" spans="2:59" ht="15" customHeight="1" x14ac:dyDescent="0.2">
      <c r="B42" s="5437"/>
      <c r="AJ42" s="7794"/>
      <c r="AK42" s="7794"/>
      <c r="AL42" s="7794"/>
      <c r="AM42" s="7794"/>
      <c r="AN42" s="7794"/>
      <c r="AO42" s="7794"/>
    </row>
    <row r="43" spans="2:59" ht="15" customHeight="1" x14ac:dyDescent="0.2">
      <c r="B43" s="5437"/>
    </row>
    <row r="44" spans="2:59" ht="15" customHeight="1" x14ac:dyDescent="0.2">
      <c r="B44" s="5437"/>
    </row>
    <row r="45" spans="2:59" ht="15" customHeight="1" x14ac:dyDescent="0.2">
      <c r="B45" s="5437"/>
    </row>
    <row r="46" spans="2:59" ht="15" customHeight="1" x14ac:dyDescent="0.2"/>
    <row r="47" spans="2:59" ht="15" customHeight="1" x14ac:dyDescent="0.2"/>
    <row r="48" spans="2:59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</sheetData>
  <mergeCells count="115">
    <mergeCell ref="AP3:AQ3"/>
    <mergeCell ref="AP14:AP19"/>
    <mergeCell ref="AP21:AP24"/>
    <mergeCell ref="AP34:AP36"/>
    <mergeCell ref="AT14:AT19"/>
    <mergeCell ref="AV14:AV19"/>
    <mergeCell ref="AT21:AT24"/>
    <mergeCell ref="AV21:AV24"/>
    <mergeCell ref="AN37:AO37"/>
    <mergeCell ref="AJ21:AJ24"/>
    <mergeCell ref="AL21:AL24"/>
    <mergeCell ref="AN21:AN24"/>
    <mergeCell ref="AJ34:AJ36"/>
    <mergeCell ref="AL34:AL36"/>
    <mergeCell ref="AN34:AN36"/>
    <mergeCell ref="P34:P36"/>
    <mergeCell ref="BF34:BF36"/>
    <mergeCell ref="N34:N36"/>
    <mergeCell ref="R34:R36"/>
    <mergeCell ref="T34:T36"/>
    <mergeCell ref="V34:V36"/>
    <mergeCell ref="Z34:Z36"/>
    <mergeCell ref="X34:X36"/>
    <mergeCell ref="AB34:AB36"/>
    <mergeCell ref="AD34:AD36"/>
    <mergeCell ref="AF34:AF36"/>
    <mergeCell ref="AH34:AH36"/>
    <mergeCell ref="AT34:AT36"/>
    <mergeCell ref="AV34:AV36"/>
    <mergeCell ref="BD34:BD36"/>
    <mergeCell ref="BB34:BB36"/>
    <mergeCell ref="AR34:AR36"/>
    <mergeCell ref="AX34:AX36"/>
    <mergeCell ref="BF3:BG3"/>
    <mergeCell ref="BF14:BF19"/>
    <mergeCell ref="BF21:BF24"/>
    <mergeCell ref="N21:N24"/>
    <mergeCell ref="R3:S3"/>
    <mergeCell ref="T3:U3"/>
    <mergeCell ref="R14:R18"/>
    <mergeCell ref="T14:T19"/>
    <mergeCell ref="R21:R24"/>
    <mergeCell ref="T21:T24"/>
    <mergeCell ref="P3:Q3"/>
    <mergeCell ref="N14:N18"/>
    <mergeCell ref="P14:P19"/>
    <mergeCell ref="P21:P24"/>
    <mergeCell ref="N3:O3"/>
    <mergeCell ref="V3:W3"/>
    <mergeCell ref="AB3:AC3"/>
    <mergeCell ref="AD3:AE3"/>
    <mergeCell ref="AB14:AB18"/>
    <mergeCell ref="AD14:AD19"/>
    <mergeCell ref="AB21:AB24"/>
    <mergeCell ref="AD21:AD24"/>
    <mergeCell ref="AF3:AG3"/>
    <mergeCell ref="AH3:AI3"/>
    <mergeCell ref="L34:L36"/>
    <mergeCell ref="H21:H24"/>
    <mergeCell ref="D34:D36"/>
    <mergeCell ref="F34:F36"/>
    <mergeCell ref="H34:H36"/>
    <mergeCell ref="J34:J36"/>
    <mergeCell ref="B3:B4"/>
    <mergeCell ref="C3:C4"/>
    <mergeCell ref="D3:E3"/>
    <mergeCell ref="F3:G3"/>
    <mergeCell ref="H3:I3"/>
    <mergeCell ref="J3:K3"/>
    <mergeCell ref="L3:M3"/>
    <mergeCell ref="L14:L19"/>
    <mergeCell ref="D14:D19"/>
    <mergeCell ref="D21:D24"/>
    <mergeCell ref="J21:J24"/>
    <mergeCell ref="F21:F24"/>
    <mergeCell ref="L21:L24"/>
    <mergeCell ref="F14:F19"/>
    <mergeCell ref="J14:J19"/>
    <mergeCell ref="H14:H18"/>
    <mergeCell ref="AZ34:AZ36"/>
    <mergeCell ref="Z3:AA3"/>
    <mergeCell ref="Z14:Z19"/>
    <mergeCell ref="V21:V24"/>
    <mergeCell ref="Z21:Z24"/>
    <mergeCell ref="X3:Y3"/>
    <mergeCell ref="X14:X19"/>
    <mergeCell ref="X21:X24"/>
    <mergeCell ref="V14:V19"/>
    <mergeCell ref="AF14:AF18"/>
    <mergeCell ref="AH14:AH19"/>
    <mergeCell ref="AF21:AF24"/>
    <mergeCell ref="AH21:AH24"/>
    <mergeCell ref="AJ3:AK3"/>
    <mergeCell ref="AL3:AM3"/>
    <mergeCell ref="AN3:AO3"/>
    <mergeCell ref="AJ14:AJ19"/>
    <mergeCell ref="AL14:AL19"/>
    <mergeCell ref="AN14:AN19"/>
    <mergeCell ref="AR3:AS3"/>
    <mergeCell ref="AR14:AR19"/>
    <mergeCell ref="AR21:AR24"/>
    <mergeCell ref="AT3:AU3"/>
    <mergeCell ref="AV3:AW3"/>
    <mergeCell ref="BD3:BE3"/>
    <mergeCell ref="AZ14:AZ19"/>
    <mergeCell ref="BD14:BD19"/>
    <mergeCell ref="AZ21:AZ24"/>
    <mergeCell ref="BD21:BD24"/>
    <mergeCell ref="BB3:BC3"/>
    <mergeCell ref="BB14:BB19"/>
    <mergeCell ref="BB21:BB24"/>
    <mergeCell ref="AX3:AY3"/>
    <mergeCell ref="AX14:AX19"/>
    <mergeCell ref="AX21:AX24"/>
    <mergeCell ref="AZ3:BA3"/>
  </mergeCells>
  <pageMargins left="0.7" right="0.7" top="0.75" bottom="0.75" header="0.3" footer="0.3"/>
  <pageSetup scale="71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  <pageSetUpPr fitToPage="1"/>
  </sheetPr>
  <dimension ref="A1:BJ115"/>
  <sheetViews>
    <sheetView zoomScaleNormal="100" workbookViewId="0">
      <pane xSplit="3" topLeftCell="AX1" activePane="topRight" state="frozen"/>
      <selection pane="topRight" activeCell="BE24" sqref="BE24"/>
    </sheetView>
  </sheetViews>
  <sheetFormatPr baseColWidth="10" defaultColWidth="9.1640625" defaultRowHeight="15" x14ac:dyDescent="0.2"/>
  <cols>
    <col min="1" max="1" width="9.1640625" style="5164"/>
    <col min="2" max="2" width="48.5" style="5164" bestFit="1" customWidth="1"/>
    <col min="3" max="3" width="22.1640625" style="5164" customWidth="1"/>
    <col min="4" max="4" width="12.83203125" style="2100" customWidth="1"/>
    <col min="5" max="5" width="12.6640625" style="2265" customWidth="1"/>
    <col min="6" max="6" width="11.1640625" style="2100" customWidth="1"/>
    <col min="7" max="7" width="12.6640625" style="2265" customWidth="1"/>
    <col min="8" max="8" width="15.5" style="2100" customWidth="1"/>
    <col min="9" max="9" width="13" style="2265" customWidth="1"/>
    <col min="10" max="10" width="13.5" style="2100" customWidth="1"/>
    <col min="11" max="11" width="10.33203125" style="2265" customWidth="1"/>
    <col min="12" max="12" width="11.33203125" style="2100" customWidth="1"/>
    <col min="13" max="13" width="12.5" style="2265" customWidth="1"/>
    <col min="14" max="14" width="11" style="2100" customWidth="1"/>
    <col min="15" max="15" width="10.6640625" style="2265" customWidth="1"/>
    <col min="16" max="16" width="10.6640625" style="2100" customWidth="1"/>
    <col min="17" max="17" width="11.33203125" style="2265" customWidth="1"/>
    <col min="18" max="18" width="11.33203125" style="2100" customWidth="1"/>
    <col min="19" max="19" width="11.33203125" style="2265" customWidth="1"/>
    <col min="20" max="20" width="11.33203125" style="2100" customWidth="1"/>
    <col min="21" max="21" width="11.33203125" style="2265" customWidth="1"/>
    <col min="22" max="22" width="11.33203125" style="2100" customWidth="1"/>
    <col min="23" max="23" width="11.33203125" style="2265" customWidth="1"/>
    <col min="24" max="24" width="11.33203125" style="2100" customWidth="1"/>
    <col min="25" max="25" width="11.33203125" style="2265" customWidth="1"/>
    <col min="26" max="26" width="11.33203125" style="2100" customWidth="1"/>
    <col min="27" max="52" width="11.33203125" style="2265" customWidth="1"/>
    <col min="53" max="53" width="12.33203125" style="2265" customWidth="1"/>
    <col min="54" max="57" width="11.33203125" style="2265" customWidth="1"/>
    <col min="58" max="58" width="11.33203125" style="5164" customWidth="1"/>
    <col min="59" max="59" width="10.33203125" style="5164" customWidth="1"/>
    <col min="60" max="60" width="12.6640625" style="5164" customWidth="1"/>
    <col min="61" max="61" width="11.83203125" style="5164" customWidth="1"/>
    <col min="62" max="62" width="11.6640625" style="5164" bestFit="1" customWidth="1"/>
    <col min="63" max="63" width="10.5" style="5164" bestFit="1" customWidth="1"/>
    <col min="64" max="16384" width="9.1640625" style="5164"/>
  </cols>
  <sheetData>
    <row r="1" spans="1:62" ht="23" x14ac:dyDescent="0.25">
      <c r="B1" s="1641" t="s">
        <v>2055</v>
      </c>
      <c r="C1" s="1537"/>
      <c r="D1" s="2883"/>
      <c r="E1" s="1833"/>
      <c r="F1" s="2883"/>
      <c r="G1" s="1833"/>
      <c r="H1" s="2883"/>
      <c r="I1" s="1833"/>
    </row>
    <row r="2" spans="1:62" ht="16" thickBot="1" x14ac:dyDescent="0.25">
      <c r="B2" s="1537"/>
      <c r="C2" s="1537"/>
      <c r="D2" s="2842">
        <v>30</v>
      </c>
      <c r="E2" s="2318">
        <v>30</v>
      </c>
      <c r="F2" s="2842">
        <v>31</v>
      </c>
      <c r="G2" s="2318">
        <v>31</v>
      </c>
      <c r="H2" s="2842">
        <f>+D2+F2</f>
        <v>61</v>
      </c>
      <c r="I2" s="2318">
        <f>+E2+G2</f>
        <v>61</v>
      </c>
      <c r="J2" s="2842">
        <v>30</v>
      </c>
      <c r="K2" s="2318">
        <v>30</v>
      </c>
      <c r="L2" s="2874">
        <f>+H2+J2</f>
        <v>91</v>
      </c>
      <c r="M2" s="6622">
        <f>+I2+K2</f>
        <v>91</v>
      </c>
      <c r="N2" s="2874">
        <v>31</v>
      </c>
      <c r="O2" s="6622">
        <v>31</v>
      </c>
      <c r="P2" s="2874">
        <f>+L2+N2</f>
        <v>122</v>
      </c>
      <c r="Q2" s="6622">
        <f>+M2+O2</f>
        <v>122</v>
      </c>
      <c r="R2" s="2874">
        <v>31</v>
      </c>
      <c r="S2" s="6622">
        <v>31</v>
      </c>
      <c r="T2" s="2874">
        <f>+P2+R2</f>
        <v>153</v>
      </c>
      <c r="U2" s="6622">
        <f>+Q2+S2</f>
        <v>153</v>
      </c>
      <c r="V2" s="2874">
        <v>30</v>
      </c>
      <c r="W2" s="6622">
        <v>30</v>
      </c>
      <c r="X2" s="2874">
        <f>+N2+R2+V2</f>
        <v>92</v>
      </c>
      <c r="Y2" s="6622">
        <f>+O2+S2+W2</f>
        <v>92</v>
      </c>
      <c r="Z2" s="2874">
        <f>+T2+V2</f>
        <v>183</v>
      </c>
      <c r="AA2" s="6622">
        <f>+U2+W2</f>
        <v>183</v>
      </c>
      <c r="AB2" s="2874">
        <v>31</v>
      </c>
      <c r="AC2" s="6622">
        <v>31</v>
      </c>
      <c r="AD2" s="2874">
        <f>+Z2+AB2</f>
        <v>214</v>
      </c>
      <c r="AE2" s="6622">
        <f>+AA2+AC2</f>
        <v>214</v>
      </c>
      <c r="AF2" s="2874">
        <v>30</v>
      </c>
      <c r="AG2" s="6622">
        <v>30</v>
      </c>
      <c r="AH2" s="2874">
        <f>+AD2+AF2</f>
        <v>244</v>
      </c>
      <c r="AI2" s="6622">
        <f>+AE2+AG2</f>
        <v>244</v>
      </c>
      <c r="AJ2" s="2874">
        <v>31</v>
      </c>
      <c r="AK2" s="6622">
        <v>31</v>
      </c>
      <c r="AL2" s="2874">
        <f>+AB2+AF2+AJ2</f>
        <v>92</v>
      </c>
      <c r="AM2" s="6622">
        <f>+AC2+AG2+AK2</f>
        <v>92</v>
      </c>
      <c r="AN2" s="2874">
        <f>+AH2+AJ2</f>
        <v>275</v>
      </c>
      <c r="AO2" s="6622">
        <f>+AI2+AK2</f>
        <v>275</v>
      </c>
      <c r="AP2" s="2874">
        <v>31</v>
      </c>
      <c r="AQ2" s="6622">
        <v>31</v>
      </c>
      <c r="AR2" s="2874">
        <f>+AN2+AP2</f>
        <v>306</v>
      </c>
      <c r="AS2" s="6622">
        <f>+AO2+AQ2</f>
        <v>306</v>
      </c>
      <c r="AT2" s="6622">
        <v>28</v>
      </c>
      <c r="AU2" s="6622">
        <v>28</v>
      </c>
      <c r="AV2" s="6622">
        <f>+AR2+AT2</f>
        <v>334</v>
      </c>
      <c r="AW2" s="6622">
        <f>+AS2+AU2</f>
        <v>334</v>
      </c>
      <c r="AX2" s="6622">
        <v>31</v>
      </c>
      <c r="AY2" s="6622">
        <v>31</v>
      </c>
      <c r="AZ2" s="6622">
        <f>+AP2+AT2+AX2</f>
        <v>90</v>
      </c>
      <c r="BA2" s="6622">
        <f>+AQ2+AU2+AY2</f>
        <v>90</v>
      </c>
      <c r="BB2" s="6622">
        <f>+AZ2+AL2</f>
        <v>182</v>
      </c>
      <c r="BC2" s="6622">
        <f>+AM2+BA2</f>
        <v>182</v>
      </c>
      <c r="BD2" s="6622">
        <f>+AV2+AX2</f>
        <v>365</v>
      </c>
      <c r="BE2" s="6622">
        <f>+AW2+AY2</f>
        <v>365</v>
      </c>
      <c r="BF2" s="2874">
        <v>366</v>
      </c>
      <c r="BG2" s="2874">
        <v>366</v>
      </c>
      <c r="BH2" s="2874">
        <v>365</v>
      </c>
      <c r="BI2" s="2874"/>
    </row>
    <row r="3" spans="1:62" s="2265" customFormat="1" ht="16" thickBot="1" x14ac:dyDescent="0.25">
      <c r="B3" s="8707" t="s">
        <v>657</v>
      </c>
      <c r="C3" s="8709" t="s">
        <v>658</v>
      </c>
      <c r="D3" s="8644" t="s">
        <v>1859</v>
      </c>
      <c r="E3" s="8645"/>
      <c r="F3" s="8644" t="s">
        <v>1862</v>
      </c>
      <c r="G3" s="8644"/>
      <c r="H3" s="8646" t="s">
        <v>52</v>
      </c>
      <c r="I3" s="8647"/>
      <c r="J3" s="8703" t="s">
        <v>1863</v>
      </c>
      <c r="K3" s="8704"/>
      <c r="L3" s="8700" t="s">
        <v>1568</v>
      </c>
      <c r="M3" s="8699"/>
      <c r="N3" s="8644" t="s">
        <v>1864</v>
      </c>
      <c r="O3" s="8644"/>
      <c r="P3" s="8646" t="s">
        <v>62</v>
      </c>
      <c r="Q3" s="8647"/>
      <c r="R3" s="8644" t="s">
        <v>2160</v>
      </c>
      <c r="S3" s="8644"/>
      <c r="T3" s="8646" t="s">
        <v>64</v>
      </c>
      <c r="U3" s="8647"/>
      <c r="V3" s="8644" t="s">
        <v>2227</v>
      </c>
      <c r="W3" s="8644"/>
      <c r="X3" s="8698" t="s">
        <v>1717</v>
      </c>
      <c r="Y3" s="8699"/>
      <c r="Z3" s="8701" t="s">
        <v>1697</v>
      </c>
      <c r="AA3" s="8702"/>
      <c r="AB3" s="8579" t="s">
        <v>2265</v>
      </c>
      <c r="AC3" s="8579"/>
      <c r="AD3" s="8605" t="s">
        <v>101</v>
      </c>
      <c r="AE3" s="8606"/>
      <c r="AF3" s="8644" t="s">
        <v>2423</v>
      </c>
      <c r="AG3" s="8644"/>
      <c r="AH3" s="8646" t="s">
        <v>105</v>
      </c>
      <c r="AI3" s="8647"/>
      <c r="AJ3" s="8644" t="s">
        <v>2449</v>
      </c>
      <c r="AK3" s="8644"/>
      <c r="AL3" s="8698" t="s">
        <v>1756</v>
      </c>
      <c r="AM3" s="8699"/>
      <c r="AN3" s="8646" t="s">
        <v>2448</v>
      </c>
      <c r="AO3" s="8647"/>
      <c r="AP3" s="8644" t="s">
        <v>2533</v>
      </c>
      <c r="AQ3" s="8644"/>
      <c r="AR3" s="8646" t="s">
        <v>110</v>
      </c>
      <c r="AS3" s="8647"/>
      <c r="AT3" s="8644" t="s">
        <v>2577</v>
      </c>
      <c r="AU3" s="8644"/>
      <c r="AV3" s="8646" t="s">
        <v>113</v>
      </c>
      <c r="AW3" s="8647"/>
      <c r="AX3" s="8644" t="s">
        <v>2600</v>
      </c>
      <c r="AY3" s="8644"/>
      <c r="AZ3" s="8700" t="s">
        <v>1757</v>
      </c>
      <c r="BA3" s="8699"/>
      <c r="BB3" s="8700" t="s">
        <v>1842</v>
      </c>
      <c r="BC3" s="8699"/>
      <c r="BD3" s="8701" t="s">
        <v>1865</v>
      </c>
      <c r="BE3" s="8702"/>
      <c r="BF3" s="8683" t="s">
        <v>1836</v>
      </c>
      <c r="BG3" s="8684"/>
      <c r="BH3" s="6497" t="s">
        <v>1470</v>
      </c>
    </row>
    <row r="4" spans="1:62" s="2265" customFormat="1" ht="16" thickBot="1" x14ac:dyDescent="0.25">
      <c r="B4" s="8708"/>
      <c r="C4" s="8710"/>
      <c r="D4" s="6496" t="s">
        <v>659</v>
      </c>
      <c r="E4" s="3833" t="s">
        <v>660</v>
      </c>
      <c r="F4" s="6496" t="s">
        <v>659</v>
      </c>
      <c r="G4" s="3909" t="s">
        <v>660</v>
      </c>
      <c r="H4" s="3373" t="s">
        <v>659</v>
      </c>
      <c r="I4" s="3866" t="s">
        <v>660</v>
      </c>
      <c r="J4" s="3910" t="s">
        <v>659</v>
      </c>
      <c r="K4" s="3909" t="s">
        <v>660</v>
      </c>
      <c r="L4" s="6498" t="s">
        <v>659</v>
      </c>
      <c r="M4" s="3888" t="s">
        <v>660</v>
      </c>
      <c r="N4" s="3910" t="s">
        <v>659</v>
      </c>
      <c r="O4" s="3909" t="s">
        <v>660</v>
      </c>
      <c r="P4" s="3373" t="s">
        <v>659</v>
      </c>
      <c r="Q4" s="3866" t="s">
        <v>660</v>
      </c>
      <c r="R4" s="3910" t="s">
        <v>659</v>
      </c>
      <c r="S4" s="3909" t="s">
        <v>660</v>
      </c>
      <c r="T4" s="3373" t="s">
        <v>659</v>
      </c>
      <c r="U4" s="3866" t="s">
        <v>660</v>
      </c>
      <c r="V4" s="3910" t="s">
        <v>659</v>
      </c>
      <c r="W4" s="3909" t="s">
        <v>660</v>
      </c>
      <c r="X4" s="6654" t="s">
        <v>659</v>
      </c>
      <c r="Y4" s="3888" t="s">
        <v>660</v>
      </c>
      <c r="Z4" s="6507" t="s">
        <v>659</v>
      </c>
      <c r="AA4" s="6624" t="s">
        <v>660</v>
      </c>
      <c r="AB4" s="3910" t="s">
        <v>659</v>
      </c>
      <c r="AC4" s="3909" t="s">
        <v>660</v>
      </c>
      <c r="AD4" s="3373" t="s">
        <v>659</v>
      </c>
      <c r="AE4" s="3866" t="s">
        <v>660</v>
      </c>
      <c r="AF4" s="3910" t="s">
        <v>659</v>
      </c>
      <c r="AG4" s="3909" t="s">
        <v>660</v>
      </c>
      <c r="AH4" s="3373" t="s">
        <v>659</v>
      </c>
      <c r="AI4" s="3866" t="s">
        <v>660</v>
      </c>
      <c r="AJ4" s="3910" t="s">
        <v>659</v>
      </c>
      <c r="AK4" s="3909" t="s">
        <v>660</v>
      </c>
      <c r="AL4" s="7707" t="s">
        <v>659</v>
      </c>
      <c r="AM4" s="3888" t="s">
        <v>660</v>
      </c>
      <c r="AN4" s="3373" t="s">
        <v>659</v>
      </c>
      <c r="AO4" s="3866" t="s">
        <v>660</v>
      </c>
      <c r="AP4" s="3910" t="s">
        <v>659</v>
      </c>
      <c r="AQ4" s="3909" t="s">
        <v>660</v>
      </c>
      <c r="AR4" s="3373" t="s">
        <v>659</v>
      </c>
      <c r="AS4" s="3866" t="s">
        <v>660</v>
      </c>
      <c r="AT4" s="3910" t="s">
        <v>659</v>
      </c>
      <c r="AU4" s="3909" t="s">
        <v>660</v>
      </c>
      <c r="AV4" s="3373" t="s">
        <v>659</v>
      </c>
      <c r="AW4" s="3866" t="s">
        <v>660</v>
      </c>
      <c r="AX4" s="3910" t="s">
        <v>659</v>
      </c>
      <c r="AY4" s="3909" t="s">
        <v>660</v>
      </c>
      <c r="AZ4" s="8348" t="s">
        <v>659</v>
      </c>
      <c r="BA4" s="3888" t="s">
        <v>660</v>
      </c>
      <c r="BB4" s="8348" t="s">
        <v>659</v>
      </c>
      <c r="BC4" s="3888" t="s">
        <v>660</v>
      </c>
      <c r="BD4" s="8331" t="s">
        <v>659</v>
      </c>
      <c r="BE4" s="6624" t="s">
        <v>660</v>
      </c>
      <c r="BF4" s="5308" t="s">
        <v>659</v>
      </c>
      <c r="BG4" s="5309" t="s">
        <v>660</v>
      </c>
      <c r="BH4" s="5308" t="s">
        <v>660</v>
      </c>
    </row>
    <row r="5" spans="1:62" x14ac:dyDescent="0.2">
      <c r="B5" s="1674" t="s">
        <v>872</v>
      </c>
      <c r="C5" s="1542" t="s">
        <v>169</v>
      </c>
      <c r="D5" s="3224">
        <f>('Maj Prod Summ'!D14*100)/('Maj Prod Summ'!D10*31.55)</f>
        <v>70.999502079649588</v>
      </c>
      <c r="E5" s="2723">
        <f>('Maj Prod Summ'!E14*100)/('Maj Prod Summ'!E10*31.55)</f>
        <v>69.525848043947406</v>
      </c>
      <c r="F5" s="3224">
        <f>('Maj Prod Summ'!F14*100)/('Maj Prod Summ'!F10*31.55)</f>
        <v>71.01256873473649</v>
      </c>
      <c r="G5" s="2723">
        <f>('Maj Prod Summ'!G14*100)/('Maj Prod Summ'!G10*31.55)</f>
        <v>70.013656786647246</v>
      </c>
      <c r="H5" s="2793">
        <f>('Maj Prod Summ'!H14*100)/('Maj Prod Summ'!H10*31.55)</f>
        <v>71.006029801592405</v>
      </c>
      <c r="I5" s="1863">
        <f>('Maj Prod Summ'!I14*100)/('Maj Prod Summ'!I10*31.55)</f>
        <v>69.769543145137433</v>
      </c>
      <c r="J5" s="3224">
        <f>('Maj Prod Summ'!J14*100)/('Maj Prod Summ'!J10*31.55)</f>
        <v>70.99963662901655</v>
      </c>
      <c r="K5" s="2723">
        <f>('Maj Prod Summ'!K14*100)/('Maj Prod Summ'!K10*31.55)</f>
        <v>70.771354152353211</v>
      </c>
      <c r="L5" s="2879">
        <f>('Maj Prod Summ'!L14*100)/('Maj Prod Summ'!L10*31.55)</f>
        <v>71.003743693994991</v>
      </c>
      <c r="M5" s="4775">
        <f>('Maj Prod Summ'!M14*100)/('Maj Prod Summ'!M10*31.55)</f>
        <v>70.127776514811529</v>
      </c>
      <c r="N5" s="3224">
        <f>('Maj Prod Summ'!N14*100)/('Maj Prod Summ'!N10*31.55)</f>
        <v>70.999861092392152</v>
      </c>
      <c r="O5" s="2723">
        <f>('Maj Prod Summ'!O14*100)/('Maj Prod Summ'!O10*31.55)</f>
        <v>70.864023555683616</v>
      </c>
      <c r="P5" s="2793">
        <f>('Maj Prod Summ'!P14*100)/('Maj Prod Summ'!P10*31.55)</f>
        <v>71.002589742385553</v>
      </c>
      <c r="Q5" s="1863">
        <f>('Maj Prod Summ'!Q14*100)/('Maj Prod Summ'!Q10*31.55)</f>
        <v>70.33360116159956</v>
      </c>
      <c r="R5" s="3224">
        <f>('Maj Prod Summ'!R14*100)/('Maj Prod Summ'!R10*31.55)</f>
        <v>70.999861092392152</v>
      </c>
      <c r="S5" s="2723">
        <f>('Maj Prod Summ'!S14*100)/('Maj Prod Summ'!S10*31.55)</f>
        <v>71.725132887953507</v>
      </c>
      <c r="T5" s="2793">
        <f>('Maj Prod Summ'!T14*100)/('Maj Prod Summ'!T10*31.55)</f>
        <v>71.001964566810358</v>
      </c>
      <c r="U5" s="1863">
        <f>('Maj Prod Summ'!U14*100)/('Maj Prod Summ'!U10*31.55)</f>
        <v>70.658397798184623</v>
      </c>
      <c r="V5" s="3224">
        <f>('Maj Prod Summ'!V14*100)/('Maj Prod Summ'!V10*31.55)</f>
        <v>70.999482409942004</v>
      </c>
      <c r="W5" s="2723">
        <f>('Maj Prod Summ'!W14*100)/('Maj Prod Summ'!W10*31.55)</f>
        <v>73.252754418823301</v>
      </c>
      <c r="X5" s="2879">
        <f>('Maj Prod Summ'!X14*100)/('Maj Prod Summ'!X10*31.55)</f>
        <v>70.999737608984489</v>
      </c>
      <c r="Y5" s="4775">
        <f>('Maj Prod Summ'!Y14*100)/('Maj Prod Summ'!Y10*31.55)</f>
        <v>71.892739957402853</v>
      </c>
      <c r="Z5" s="6618">
        <f>('Maj Prod Summ'!Z14*100)/('Maj Prod Summ'!Z10*31.55)</f>
        <v>71.001514092878239</v>
      </c>
      <c r="AA5" s="6603">
        <f>('Maj Prod Summ'!AA14*100)/('Maj Prod Summ'!AA10*31.55)</f>
        <v>71.074211090909671</v>
      </c>
      <c r="AB5" s="3224">
        <f>('Maj Prod Summ'!AB14*100)/('Maj Prod Summ'!AB10*31.55)</f>
        <v>70.999861092392152</v>
      </c>
      <c r="AC5" s="3847">
        <f>('Maj Prod Summ'!AC14*100)/('Maj Prod Summ'!AC10*31.55)</f>
        <v>73.346921447512017</v>
      </c>
      <c r="AD5" s="2793">
        <f>('Maj Prod Summ'!AD14*100)/('Maj Prod Summ'!AD10*31.55)</f>
        <v>71.00125305251126</v>
      </c>
      <c r="AE5" s="1863">
        <f>('Maj Prod Summ'!AE14*100)/('Maj Prod Summ'!AE10*31.55)</f>
        <v>71.42457703345184</v>
      </c>
      <c r="AF5" s="3224">
        <f>('Maj Prod Summ'!AF14*100)/('Maj Prod Summ'!AF10*31.55)</f>
        <v>70.999482409942004</v>
      </c>
      <c r="AG5" s="2723">
        <f>('Maj Prod Summ'!AG14*100)/('Maj Prod Summ'!AG10*31.55)</f>
        <v>72.794069002264237</v>
      </c>
      <c r="AH5" s="2793">
        <f>('Maj Prod Summ'!AH14*100)/('Maj Prod Summ'!AH10*31.55)</f>
        <v>71.001018326193162</v>
      </c>
      <c r="AI5" s="1863">
        <f>('Maj Prod Summ'!AI14*100)/('Maj Prod Summ'!AI10*31.55)</f>
        <v>71.59667775395242</v>
      </c>
      <c r="AJ5" s="3224">
        <f>('Maj Prod Summ'!AJ14*100)/('Maj Prod Summ'!AJ10*31.55)</f>
        <v>70.999861092392152</v>
      </c>
      <c r="AK5" s="2723">
        <f>('Maj Prod Summ'!AK14*100)/('Maj Prod Summ'!AK10*31.55)</f>
        <v>72.028112366710388</v>
      </c>
      <c r="AL5" s="2879">
        <f>('Maj Prod Summ'!AL14*100)/('Maj Prod Summ'!AL10*31.55)</f>
        <v>70.999737608984489</v>
      </c>
      <c r="AM5" s="4775">
        <f>('Maj Prod Summ'!AM14*100)/('Maj Prod Summ'!AM10*31.55)</f>
        <v>72.704254896434463</v>
      </c>
      <c r="AN5" s="2793">
        <f>('Maj Prod Summ'!AN14*100)/('Maj Prod Summ'!AN10*31.55)</f>
        <v>71.000878902076053</v>
      </c>
      <c r="AO5" s="1863">
        <f>('Maj Prod Summ'!AO14*100)/('Maj Prod Summ'!AO10*31.55)</f>
        <v>71.651250501072539</v>
      </c>
      <c r="AP5" s="3224">
        <f>('Maj Prod Summ'!AP14*100)/('Maj Prod Summ'!AP10*31.55)</f>
        <v>70.999861092392152</v>
      </c>
      <c r="AQ5" s="2723">
        <f>('Maj Prod Summ'!AQ14*100)/('Maj Prod Summ'!AQ10*31.55)</f>
        <v>71.951042555817367</v>
      </c>
      <c r="AR5" s="2793">
        <f>('Maj Prod Summ'!AR14*100)/('Maj Prod Summ'!AR10*31.55)</f>
        <v>71.000769461324879</v>
      </c>
      <c r="AS5" s="1863">
        <f>('Maj Prod Summ'!AS14*100)/('Maj Prod Summ'!AS10*31.55)</f>
        <v>71.684962278003951</v>
      </c>
      <c r="AT5" s="3224">
        <f>('Maj Prod Summ'!AT14*100)/('Maj Prod Summ'!AT10*31.55)</f>
        <v>70.99978732308368</v>
      </c>
      <c r="AU5" s="2723">
        <f>('Maj Prod Summ'!AU14*100)/('Maj Prod Summ'!AU10*31.55)</f>
        <v>72.523971890057467</v>
      </c>
      <c r="AV5" s="2793">
        <f>('Maj Prod Summ'!AV14*100)/('Maj Prod Summ'!AV10*31.55)</f>
        <v>71.000682519790587</v>
      </c>
      <c r="AW5" s="1863">
        <f>('Maj Prod Summ'!AW14*100)/('Maj Prod Summ'!AW10*31.55)</f>
        <v>71.762321732654428</v>
      </c>
      <c r="AX5" s="3224">
        <f>('Maj Prod Summ'!AX14*100)/('Maj Prod Summ'!AX10*31.55)</f>
        <v>70.999861092392152</v>
      </c>
      <c r="AY5" s="2723">
        <f>('Maj Prod Summ'!AY14*100)/('Maj Prod Summ'!AY10*31.55)</f>
        <v>74.244387431149562</v>
      </c>
      <c r="AZ5" s="2879">
        <f>('Maj Prod Summ'!AZ14*100)/('Maj Prod Summ'!AZ10*31.55)</f>
        <v>70.999838141940629</v>
      </c>
      <c r="BA5" s="4775">
        <f>('Maj Prod Summ'!BA14*100)/('Maj Prod Summ'!BA10*31.55)</f>
        <v>72.919365850821677</v>
      </c>
      <c r="BB5" s="2879">
        <f>('Maj Prod Summ'!BB14*100)/('Maj Prod Summ'!BB10*31.55)</f>
        <v>70.99978732308368</v>
      </c>
      <c r="BC5" s="4775">
        <f>('Maj Prod Summ'!BC14*100)/('Maj Prod Summ'!BC10*31.55)</f>
        <v>72.813877092165015</v>
      </c>
      <c r="BD5" s="6618">
        <f>('Maj Prod Summ'!BB14*100)/('Maj Prod Summ'!BB10*31.55)</f>
        <v>70.99978732308368</v>
      </c>
      <c r="BE5" s="6603">
        <f>('Maj Prod Summ'!BC14*100)/('Maj Prod Summ'!BC10*31.55)</f>
        <v>72.813877092165015</v>
      </c>
      <c r="BF5" s="5379">
        <v>66.5</v>
      </c>
      <c r="BG5" s="5380">
        <v>67.485669750420143</v>
      </c>
      <c r="BH5" s="5379">
        <v>67.015011462089603</v>
      </c>
    </row>
    <row r="6" spans="1:62" s="3380" customFormat="1" x14ac:dyDescent="0.2">
      <c r="B6" s="5401" t="s">
        <v>870</v>
      </c>
      <c r="C6" s="5402"/>
      <c r="D6" s="5404"/>
      <c r="E6" s="5403"/>
      <c r="F6" s="5404"/>
      <c r="G6" s="5403"/>
      <c r="H6" s="5404"/>
      <c r="I6" s="5402"/>
      <c r="J6" s="5404"/>
      <c r="K6" s="5403"/>
      <c r="L6" s="5712"/>
      <c r="M6" s="5710"/>
      <c r="N6" s="5404"/>
      <c r="O6" s="5403"/>
      <c r="P6" s="5404"/>
      <c r="Q6" s="5402"/>
      <c r="R6" s="5404"/>
      <c r="S6" s="5403"/>
      <c r="T6" s="5712"/>
      <c r="U6" s="5402"/>
      <c r="V6" s="5404"/>
      <c r="W6" s="5403"/>
      <c r="X6" s="5712"/>
      <c r="Y6" s="5710"/>
      <c r="Z6" s="5712"/>
      <c r="AA6" s="5402"/>
      <c r="AB6" s="5404"/>
      <c r="AC6" s="5403"/>
      <c r="AD6" s="5712"/>
      <c r="AE6" s="5402"/>
      <c r="AF6" s="5404"/>
      <c r="AG6" s="5403"/>
      <c r="AH6" s="5712"/>
      <c r="AI6" s="5402"/>
      <c r="AJ6" s="5404"/>
      <c r="AK6" s="5403"/>
      <c r="AL6" s="5712"/>
      <c r="AM6" s="5710"/>
      <c r="AN6" s="5712"/>
      <c r="AO6" s="5402"/>
      <c r="AP6" s="5404"/>
      <c r="AQ6" s="5403"/>
      <c r="AR6" s="5712"/>
      <c r="AS6" s="5402"/>
      <c r="AT6" s="5404"/>
      <c r="AU6" s="5403"/>
      <c r="AV6" s="5712"/>
      <c r="AW6" s="5402"/>
      <c r="AX6" s="5404"/>
      <c r="AY6" s="5403"/>
      <c r="AZ6" s="5712"/>
      <c r="BA6" s="5710"/>
      <c r="BB6" s="5712"/>
      <c r="BC6" s="5710"/>
      <c r="BD6" s="5712"/>
      <c r="BE6" s="5402"/>
      <c r="BF6" s="5402"/>
      <c r="BG6" s="5402"/>
      <c r="BH6" s="5402"/>
    </row>
    <row r="7" spans="1:62" x14ac:dyDescent="0.2">
      <c r="B7" s="1609" t="s">
        <v>856</v>
      </c>
      <c r="C7" s="1545" t="s">
        <v>169</v>
      </c>
      <c r="D7" s="4811">
        <f>'COKE OVENS'!D137</f>
        <v>90.113580702133845</v>
      </c>
      <c r="E7" s="2750">
        <f>'COKE OVENS'!E137</f>
        <v>89.55969133000454</v>
      </c>
      <c r="F7" s="4811">
        <f>'COKE OVENS'!F137</f>
        <v>90.139696995386089</v>
      </c>
      <c r="G7" s="2750">
        <f>'COKE OVENS'!G137</f>
        <v>89.989969909729183</v>
      </c>
      <c r="H7" s="6490">
        <f>'COKE OVENS'!H137</f>
        <v>90.127407520791508</v>
      </c>
      <c r="I7" s="6199">
        <f>'COKE OVENS'!I137</f>
        <v>89.788094984559677</v>
      </c>
      <c r="J7" s="4811">
        <f>'COKE OVENS'!J137</f>
        <v>95.078914651755298</v>
      </c>
      <c r="K7" s="2750">
        <f>'COKE OVENS'!K137</f>
        <v>91.997697179044323</v>
      </c>
      <c r="L7" s="6492">
        <f>'COKE OVENS'!L137</f>
        <v>91.905807327604265</v>
      </c>
      <c r="M7" s="2250">
        <f>'COKE OVENS'!M137</f>
        <v>90.576633337898912</v>
      </c>
      <c r="N7" s="4811">
        <f>'COKE OVENS'!N137</f>
        <v>95.078914651755298</v>
      </c>
      <c r="O7" s="2750">
        <f>'COKE OVENS'!O137</f>
        <v>94.995594713656388</v>
      </c>
      <c r="P7" s="6490">
        <f>'COKE OVENS'!P137</f>
        <v>92.809990893264782</v>
      </c>
      <c r="Q7" s="6199">
        <f>'COKE OVENS'!Q137</f>
        <v>91.813384622971839</v>
      </c>
      <c r="R7" s="4811">
        <f>'COKE OVENS'!R137</f>
        <v>95.078914651755298</v>
      </c>
      <c r="S7" s="2750">
        <f>'COKE OVENS'!S137</f>
        <v>94.994813278008309</v>
      </c>
      <c r="T7" s="6490">
        <f>'COKE OVENS'!T137</f>
        <v>93.313149394732079</v>
      </c>
      <c r="U7" s="6199">
        <f>'COKE OVENS'!U137</f>
        <v>92.519473542841794</v>
      </c>
      <c r="V7" s="4811">
        <f>'COKE OVENS'!V137</f>
        <v>95.078914651755298</v>
      </c>
      <c r="W7" s="2750">
        <f>'COKE OVENS'!W137</f>
        <v>95.112917795844623</v>
      </c>
      <c r="X7" s="5783">
        <f>'COKE OVENS'!X137</f>
        <v>95.078914651755298</v>
      </c>
      <c r="Y7" s="5029">
        <f>'COKE OVENS'!Y137</f>
        <v>95.033541249852888</v>
      </c>
      <c r="Z7" s="6614">
        <f>'COKE OVENS'!Z137</f>
        <v>93.625140028785509</v>
      </c>
      <c r="AA7" s="6615">
        <f>'COKE OVENS'!AA137</f>
        <v>92.973794151158359</v>
      </c>
      <c r="AB7" s="4811">
        <f>'COKE OVENS'!AB137</f>
        <v>95.078914651755298</v>
      </c>
      <c r="AC7" s="2750">
        <f>'COKE OVENS'!AC137</f>
        <v>95.002602811035914</v>
      </c>
      <c r="AD7" s="7295">
        <f>'COKE OVENS'!AD137</f>
        <v>93.849588280316624</v>
      </c>
      <c r="AE7" s="6199">
        <f>'COKE OVENS'!AE137</f>
        <v>93.286758210872875</v>
      </c>
      <c r="AF7" s="4811">
        <f>'COKE OVENS'!AF137</f>
        <v>95.078914651755298</v>
      </c>
      <c r="AG7" s="2750">
        <f>'COKE OVENS'!AG137</f>
        <v>94.996438746438741</v>
      </c>
      <c r="AH7" s="7599">
        <f>'COKE OVENS'!AH137</f>
        <v>94.009386175968643</v>
      </c>
      <c r="AI7" s="6199">
        <f>'COKE OVENS'!AI137</f>
        <v>93.510180337405473</v>
      </c>
      <c r="AJ7" s="4811">
        <f>'COKE OVENS'!AJ137</f>
        <v>95.078914651755298</v>
      </c>
      <c r="AK7" s="2750">
        <f>'COKE OVENS'!AK137</f>
        <v>94.99956818378098</v>
      </c>
      <c r="AL7" s="5783">
        <f>'COKE OVENS'!AL137</f>
        <v>95.078914651755298</v>
      </c>
      <c r="AM7" s="5029">
        <f>'COKE OVENS'!AM137</f>
        <v>94.999563153449628</v>
      </c>
      <c r="AN7" s="7798">
        <f>'COKE OVENS'!AN137</f>
        <v>94.136034845375448</v>
      </c>
      <c r="AO7" s="6199">
        <f>'COKE OVENS'!AO137</f>
        <v>93.687005916189037</v>
      </c>
      <c r="AP7" s="4811">
        <f>'COKE OVENS'!AP137</f>
        <v>95.078914651755298</v>
      </c>
      <c r="AQ7" s="2750">
        <f>'COKE OVENS'!AQ137</f>
        <v>94.99956818378098</v>
      </c>
      <c r="AR7" s="8017">
        <f>'COKE OVENS'!AR137</f>
        <v>94.235864936067614</v>
      </c>
      <c r="AS7" s="6199">
        <f>'COKE OVENS'!AS137</f>
        <v>93.826300546247751</v>
      </c>
      <c r="AT7" s="4811">
        <f>'COKE OVENS'!AT137</f>
        <v>95.078656265633967</v>
      </c>
      <c r="AU7" s="2750">
        <f>'COKE OVENS'!AU137</f>
        <v>94.999521942824373</v>
      </c>
      <c r="AV7" s="8137">
        <f>'COKE OVENS'!AV137</f>
        <v>94.309426968558697</v>
      </c>
      <c r="AW7" s="6199">
        <f>'COKE OVENS'!AW137</f>
        <v>93.92892687781746</v>
      </c>
      <c r="AX7" s="4811">
        <f>'COKE OVENS'!AX137</f>
        <v>95.078914617108111</v>
      </c>
      <c r="AY7" s="2750">
        <f>'COKE OVENS'!AY137</f>
        <v>94.996980936772175</v>
      </c>
      <c r="AZ7" s="8344">
        <f>'COKE OVENS'!AZ137</f>
        <v>95.078834253482526</v>
      </c>
      <c r="BA7" s="2250">
        <f>'COKE OVENS'!BA137</f>
        <v>94.998661948797235</v>
      </c>
      <c r="BB7" s="8344">
        <f>'COKE OVENS'!BB137</f>
        <v>95.078874894418973</v>
      </c>
      <c r="BC7" s="2250">
        <f>'COKE OVENS'!BC137</f>
        <v>94.999117231638422</v>
      </c>
      <c r="BD7" s="6614">
        <f>'COKE OVENS'!BD137</f>
        <v>94.377234802612818</v>
      </c>
      <c r="BE7" s="6615">
        <f>'COKE OVENS'!BE137</f>
        <v>95.478511315335126</v>
      </c>
      <c r="BF7" s="5314">
        <v>90</v>
      </c>
      <c r="BG7" s="5381">
        <v>91.425994537590384</v>
      </c>
      <c r="BH7" s="5314">
        <v>91.808305695910761</v>
      </c>
    </row>
    <row r="8" spans="1:62" ht="16" thickBot="1" x14ac:dyDescent="0.25">
      <c r="B8" s="1610" t="s">
        <v>871</v>
      </c>
      <c r="C8" s="1548" t="s">
        <v>169</v>
      </c>
      <c r="D8" s="4811">
        <f>'COKE OVENS'!D162</f>
        <v>92.9512509050967</v>
      </c>
      <c r="E8" s="2750">
        <f>'COKE OVENS'!E162</f>
        <v>92.851579402855904</v>
      </c>
      <c r="F8" s="4811">
        <f>'COKE OVENS'!F162</f>
        <v>93.632607038021106</v>
      </c>
      <c r="G8" s="2750">
        <f>'COKE OVENS'!G162</f>
        <v>93.531728340020805</v>
      </c>
      <c r="H8" s="6490">
        <f>'COKE OVENS'!H162</f>
        <v>93.291665641946324</v>
      </c>
      <c r="I8" s="6199">
        <f>'COKE OVENS'!I162</f>
        <v>93.191365624593985</v>
      </c>
      <c r="J8" s="4811">
        <f>'COKE OVENS'!J162</f>
        <v>95.078914651755298</v>
      </c>
      <c r="K8" s="2750">
        <f>'COKE OVENS'!K162</f>
        <v>96.075314830663899</v>
      </c>
      <c r="L8" s="6492">
        <f>'COKE OVENS'!L162</f>
        <v>93.930827813863971</v>
      </c>
      <c r="M8" s="2250">
        <f>'COKE OVENS'!M162</f>
        <v>94.222621441800953</v>
      </c>
      <c r="N8" s="4811">
        <f>'COKE OVENS'!N162</f>
        <v>95.078914651755312</v>
      </c>
      <c r="O8" s="2750">
        <f>'COKE OVENS'!O162</f>
        <v>94.999590298262859</v>
      </c>
      <c r="P8" s="6490">
        <f>'COKE OVENS'!P162</f>
        <v>94.27207703170653</v>
      </c>
      <c r="Q8" s="6199">
        <f>'COKE OVENS'!Q162</f>
        <v>94.439831173368006</v>
      </c>
      <c r="R8" s="4811">
        <f>'COKE OVENS'!R162</f>
        <v>95.078914651755312</v>
      </c>
      <c r="S8" s="2750">
        <f>'COKE OVENS'!S162</f>
        <v>94.999764893967168</v>
      </c>
      <c r="T8" s="6490">
        <f>'COKE OVENS'!T162</f>
        <v>94.456946461079127</v>
      </c>
      <c r="U8" s="6199">
        <f>'COKE OVENS'!U162</f>
        <v>94.570526089351986</v>
      </c>
      <c r="V8" s="4811">
        <f>'COKE OVENS'!V162</f>
        <v>95.078914651755298</v>
      </c>
      <c r="W8" s="2750">
        <f>'COKE OVENS'!W162</f>
        <v>96.936240684515596</v>
      </c>
      <c r="X8" s="5783">
        <f>'COKE OVENS'!X162</f>
        <v>95.078914651755312</v>
      </c>
      <c r="Y8" s="5029">
        <f>'COKE OVENS'!Y162</f>
        <v>95.578494357535945</v>
      </c>
      <c r="Z8" s="6614">
        <f>'COKE OVENS'!Z162</f>
        <v>94.569829555263411</v>
      </c>
      <c r="AA8" s="6615">
        <f>'COKE OVENS'!AA162</f>
        <v>94.949688583483407</v>
      </c>
      <c r="AB8" s="4811">
        <f>'COKE OVENS'!AB162</f>
        <v>95.078914651755312</v>
      </c>
      <c r="AC8" s="2750">
        <f>'COKE OVENS'!AC162</f>
        <v>94.999949433145559</v>
      </c>
      <c r="AD8" s="7295">
        <f>'COKE OVENS'!AD162</f>
        <v>94.650226984136793</v>
      </c>
      <c r="AE8" s="6199">
        <f>'COKE OVENS'!AE162</f>
        <v>94.957436856875574</v>
      </c>
      <c r="AF8" s="4811">
        <f>'COKE OVENS'!AF162</f>
        <v>95.078914651755298</v>
      </c>
      <c r="AG8" s="2750">
        <f>'COKE OVENS'!AG162</f>
        <v>96.152385911245617</v>
      </c>
      <c r="AH8" s="7599">
        <f>'COKE OVENS'!AH162</f>
        <v>94.707058167217923</v>
      </c>
      <c r="AI8" s="6199">
        <f>'COKE OVENS'!AI162</f>
        <v>95.10760141605563</v>
      </c>
      <c r="AJ8" s="4811">
        <f>'COKE OVENS'!AJ162</f>
        <v>95.078914651755312</v>
      </c>
      <c r="AK8" s="2750">
        <f>'COKE OVENS'!AK162</f>
        <v>95.129247858420399</v>
      </c>
      <c r="AL8" s="5783">
        <f>'COKE OVENS'!AL162</f>
        <v>95.078914651755298</v>
      </c>
      <c r="AM8" s="5029">
        <f>'COKE OVENS'!AM162</f>
        <v>95.403503578924727</v>
      </c>
      <c r="AN8" s="7798">
        <f>'COKE OVENS'!AN162</f>
        <v>94.751860970464946</v>
      </c>
      <c r="AO8" s="6199">
        <f>'COKE OVENS'!AO162</f>
        <v>95.110339514441833</v>
      </c>
      <c r="AP8" s="4811">
        <f>'COKE OVENS'!AP162</f>
        <v>95.078914651755312</v>
      </c>
      <c r="AQ8" s="2750">
        <f>'COKE OVENS'!AQ162</f>
        <v>94.99924814856584</v>
      </c>
      <c r="AR8" s="8017">
        <f>'COKE OVENS'!AR162</f>
        <v>94.78702860542154</v>
      </c>
      <c r="AS8" s="6199">
        <f>'COKE OVENS'!AS162</f>
        <v>95.097847120281614</v>
      </c>
      <c r="AT8" s="4811">
        <f>'COKE OVENS'!AT162</f>
        <v>95.078589033900357</v>
      </c>
      <c r="AU8" s="2750">
        <f>'COKE OVENS'!AU162</f>
        <v>95.50080119867647</v>
      </c>
      <c r="AV8" s="8137">
        <f>'COKE OVENS'!AV162</f>
        <v>94.812838888267237</v>
      </c>
      <c r="AW8" s="6199">
        <f>'COKE OVENS'!AW162</f>
        <v>95.135000820279998</v>
      </c>
      <c r="AX8" s="4811">
        <f>'COKE OVENS'!AX162</f>
        <v>95.07891475142668</v>
      </c>
      <c r="AY8" s="2750">
        <f>'COKE OVENS'!AY162</f>
        <v>94.547999774516612</v>
      </c>
      <c r="AZ8" s="8344">
        <f>'COKE OVENS'!AZ162</f>
        <v>95.078813382947828</v>
      </c>
      <c r="BA8" s="2250">
        <f>'COKE OVENS'!BA162</f>
        <v>94.999805792560565</v>
      </c>
      <c r="BB8" s="8344">
        <f>'COKE OVENS'!BB162</f>
        <v>95.078864573795414</v>
      </c>
      <c r="BC8" s="2250">
        <f>'COKE OVENS'!BC162</f>
        <v>95.197775153238638</v>
      </c>
      <c r="BD8" s="6614">
        <f>'COKE OVENS'!BD162</f>
        <v>94.836589147670892</v>
      </c>
      <c r="BE8" s="6615">
        <f>'COKE OVENS'!BE162</f>
        <v>95.080612657941344</v>
      </c>
      <c r="BF8" s="5314">
        <v>90</v>
      </c>
      <c r="BG8" s="5382">
        <v>96.370934540963361</v>
      </c>
      <c r="BH8" s="5314">
        <v>94.117212910536992</v>
      </c>
    </row>
    <row r="9" spans="1:62" ht="17" thickBot="1" x14ac:dyDescent="0.25">
      <c r="A9" s="2100"/>
      <c r="B9" s="1592" t="s">
        <v>869</v>
      </c>
      <c r="C9" s="1562" t="s">
        <v>169</v>
      </c>
      <c r="D9" s="6620">
        <f>'COKE OVENS'!D261</f>
        <v>91.952861695615567</v>
      </c>
      <c r="E9" s="2817">
        <f>'COKE OVENS'!E261</f>
        <v>91.690743927328029</v>
      </c>
      <c r="F9" s="6620">
        <f>'COKE OVENS'!F261</f>
        <v>92.306967877728539</v>
      </c>
      <c r="G9" s="2817">
        <f>'COKE OVENS'!G261</f>
        <v>92.179818986508209</v>
      </c>
      <c r="H9" s="6620">
        <f>'COKE OVENS'!H261</f>
        <v>92.133642260856107</v>
      </c>
      <c r="I9" s="2817">
        <f>'COKE OVENS'!I261</f>
        <v>91.940690999166492</v>
      </c>
      <c r="J9" s="6620">
        <f>'COKE OVENS'!J261</f>
        <v>95.078914651755312</v>
      </c>
      <c r="K9" s="2817">
        <f>'COKE OVENS'!K261</f>
        <v>94.579776040090394</v>
      </c>
      <c r="L9" s="6620">
        <f>'COKE OVENS'!L261</f>
        <v>93.188603088101871</v>
      </c>
      <c r="M9" s="2817">
        <f>'COKE OVENS'!M261</f>
        <v>92.883693558203532</v>
      </c>
      <c r="N9" s="6620">
        <f>'COKE OVENS'!N261</f>
        <v>95.078914651755312</v>
      </c>
      <c r="O9" s="2817">
        <f>'COKE OVENS'!O261</f>
        <v>95.127799054835933</v>
      </c>
      <c r="P9" s="6620">
        <f>'COKE OVENS'!P261</f>
        <v>93.742050313547949</v>
      </c>
      <c r="Q9" s="2817">
        <f>'COKE OVENS'!Q261</f>
        <v>93.523258762158051</v>
      </c>
      <c r="R9" s="6620">
        <f>'COKE OVENS'!R261</f>
        <v>95.078914651755312</v>
      </c>
      <c r="S9" s="2817">
        <f>'COKE OVENS'!S261</f>
        <v>95.035126540186951</v>
      </c>
      <c r="T9" s="6620">
        <f>'COKE OVENS'!T261</f>
        <v>94.044814998049134</v>
      </c>
      <c r="U9" s="2817">
        <f>'COKE OVENS'!U261</f>
        <v>93.869843315800779</v>
      </c>
      <c r="V9" s="6620">
        <f>'COKE OVENS'!V261</f>
        <v>95.078914651755312</v>
      </c>
      <c r="W9" s="2817">
        <f>'COKE OVENS'!W261</f>
        <v>96.227038270720016</v>
      </c>
      <c r="X9" s="6620">
        <f>'COKE OVENS'!X261</f>
        <v>95.078914651755312</v>
      </c>
      <c r="Y9" s="2817">
        <f>'COKE OVENS'!Y261</f>
        <v>95.43045292206051</v>
      </c>
      <c r="Z9" s="6620">
        <f>'COKE OVENS'!Z261</f>
        <v>94.230713642735736</v>
      </c>
      <c r="AA9" s="2817">
        <f>'COKE OVENS'!AA261</f>
        <v>94.258158846144497</v>
      </c>
      <c r="AB9" s="6620">
        <f>'COKE OVENS'!AB261</f>
        <v>95.078914651755312</v>
      </c>
      <c r="AC9" s="2817">
        <f>'COKE OVENS'!AC261</f>
        <v>95.000926464292803</v>
      </c>
      <c r="AD9" s="6620">
        <f>'COKE OVENS'!AD261</f>
        <v>94.363592515381981</v>
      </c>
      <c r="AE9" s="2817">
        <f>'COKE OVENS'!AE261</f>
        <v>94.372092840915556</v>
      </c>
      <c r="AF9" s="6620">
        <f>'COKE OVENS'!AF261</f>
        <v>95.078914651755312</v>
      </c>
      <c r="AG9" s="2817">
        <f>'COKE OVENS'!AG261</f>
        <v>95.714776840785447</v>
      </c>
      <c r="AH9" s="6620">
        <f>'COKE OVENS'!AH261</f>
        <v>94.457762915278053</v>
      </c>
      <c r="AI9" s="2817">
        <f>'COKE OVENS'!AI261</f>
        <v>94.542528149448117</v>
      </c>
      <c r="AJ9" s="6620">
        <f>'COKE OVENS'!AJ261</f>
        <v>95.078914651755312</v>
      </c>
      <c r="AK9" s="2817">
        <f>'COKE OVENS'!AK261</f>
        <v>95.083503427265782</v>
      </c>
      <c r="AL9" s="6620">
        <f>'COKE OVENS'!AL261</f>
        <v>95.078914651755298</v>
      </c>
      <c r="AM9" s="2817">
        <f>'COKE OVENS'!AM261</f>
        <v>95.255628692846855</v>
      </c>
      <c r="AN9" s="6620">
        <f>'COKE OVENS'!AN261</f>
        <v>94.532143378392831</v>
      </c>
      <c r="AO9" s="2817">
        <f>'COKE OVENS'!AO261</f>
        <v>94.60914557194711</v>
      </c>
      <c r="AP9" s="6620">
        <f>'COKE OVENS'!AP261</f>
        <v>95.078914651755312</v>
      </c>
      <c r="AQ9" s="2817">
        <f>'COKE OVENS'!AQ261</f>
        <v>94.999360921247245</v>
      </c>
      <c r="AR9" s="6620">
        <f>'COKE OVENS'!AR261</f>
        <v>94.590615294652679</v>
      </c>
      <c r="AS9" s="2817">
        <f>'COKE OVENS'!AS261</f>
        <v>94.651969778845299</v>
      </c>
      <c r="AT9" s="6620">
        <f>'COKE OVENS'!AT261</f>
        <v>95.078612754551699</v>
      </c>
      <c r="AU9" s="2817">
        <f>'COKE OVENS'!AU261</f>
        <v>95.324155497604451</v>
      </c>
      <c r="AV9" s="6620">
        <f>'COKE OVENS'!AV261</f>
        <v>94.633599498304164</v>
      </c>
      <c r="AW9" s="2817">
        <f>'COKE OVENS'!AW261</f>
        <v>94.712591568023782</v>
      </c>
      <c r="AX9" s="6620">
        <f>'COKE OVENS'!AX261</f>
        <v>95.07891470403635</v>
      </c>
      <c r="AY9" s="2817">
        <f>'COKE OVENS'!AY261</f>
        <v>94.706300979909116</v>
      </c>
      <c r="AZ9" s="6620">
        <f>'COKE OVENS'!AZ261</f>
        <v>95.078820746492525</v>
      </c>
      <c r="BA9" s="2817">
        <f>'COKE OVENS'!BA261</f>
        <v>94.999402644711935</v>
      </c>
      <c r="BB9" s="6620">
        <f>'COKE OVENS'!BB261</f>
        <v>95.078868215121148</v>
      </c>
      <c r="BC9" s="2817">
        <f>'COKE OVENS'!BC261</f>
        <v>95.126415836225959</v>
      </c>
      <c r="BD9" s="6620">
        <f>'COKE OVENS'!BD261</f>
        <v>94.673168200952773</v>
      </c>
      <c r="BE9" s="2817">
        <f>'COKE OVENS'!BE261</f>
        <v>94.712020160218685</v>
      </c>
      <c r="BF9" s="5312">
        <v>90</v>
      </c>
      <c r="BG9" s="5383">
        <v>94.617132782598674</v>
      </c>
      <c r="BH9" s="5312">
        <v>93.297277602628242</v>
      </c>
    </row>
    <row r="10" spans="1:62" x14ac:dyDescent="0.2">
      <c r="B10" s="1590" t="s">
        <v>864</v>
      </c>
      <c r="C10" s="1542" t="s">
        <v>877</v>
      </c>
      <c r="D10" s="6621">
        <v>428.04279175883033</v>
      </c>
      <c r="E10" s="5245">
        <f>+('B-FCE'!E23/'Maj Prod Summ'!E$17)*1000</f>
        <v>428.04279175883033</v>
      </c>
      <c r="F10" s="6500">
        <v>430.79693949990798</v>
      </c>
      <c r="G10" s="5245">
        <f>+('B-FCE'!G23/'Maj Prod Summ'!G$17)*1000</f>
        <v>430.79693949990798</v>
      </c>
      <c r="H10" s="6490">
        <f>+('B-FCE'!H23/'Maj Prod Summ'!H$17)*1000</f>
        <v>429.45879999188907</v>
      </c>
      <c r="I10" s="6199">
        <f>+('B-FCE'!I23/'Maj Prod Summ'!I$17)*1000</f>
        <v>429.45879999188907</v>
      </c>
      <c r="J10" s="4963">
        <v>408</v>
      </c>
      <c r="K10" s="5245">
        <f>+('B-FCE'!K23/'Maj Prod Summ'!K$17)*1000</f>
        <v>420.24483065580921</v>
      </c>
      <c r="L10" s="6492">
        <f>+('B-FCE'!L23/'Maj Prod Summ'!L$17)*1000</f>
        <v>421.33496302736665</v>
      </c>
      <c r="M10" s="2250">
        <f>+('B-FCE'!M23/'Maj Prod Summ'!M$17)*1000</f>
        <v>426.12982673507753</v>
      </c>
      <c r="N10" s="4963">
        <v>360</v>
      </c>
      <c r="O10" s="5245">
        <f>+('B-FCE'!O23/'Maj Prod Summ'!O$17)*1000</f>
        <v>426.53981181681269</v>
      </c>
      <c r="P10" s="6490">
        <f>+('B-FCE'!P23/'Maj Prod Summ'!P$17)*1000</f>
        <v>400.75276599218114</v>
      </c>
      <c r="Q10" s="6199">
        <f>+('B-FCE'!Q23/'Maj Prod Summ'!Q$17)*1000</f>
        <v>426.24931557970018</v>
      </c>
      <c r="R10" s="4963">
        <v>360</v>
      </c>
      <c r="S10" s="5245">
        <f>+('B-FCE'!S23/'Maj Prod Summ'!S$17)*1000</f>
        <v>408.540390143107</v>
      </c>
      <c r="T10" s="6490">
        <f>+('B-FCE'!T23/'Maj Prod Summ'!T$17)*1000</f>
        <v>390.55812798077244</v>
      </c>
      <c r="U10" s="6199">
        <f>+('B-FCE'!U23/'Maj Prod Summ'!U$17)*1000</f>
        <v>422.1727991560665</v>
      </c>
      <c r="V10" s="4963">
        <v>360</v>
      </c>
      <c r="W10" s="5245">
        <f>+('B-FCE'!W23/'Maj Prod Summ'!W$17)*1000</f>
        <v>492.92349548575845</v>
      </c>
      <c r="X10" s="3053">
        <f>+('B-FCE'!X23/'Maj Prod Summ'!X$17)*1000</f>
        <v>360</v>
      </c>
      <c r="Y10" s="6822">
        <f>+('B-FCE'!Y23/'Maj Prod Summ'!Y$17)*1000</f>
        <v>433.84731376316364</v>
      </c>
      <c r="Z10" s="6606">
        <f>+('B-FCE'!Z23/'Maj Prod Summ'!Z$17)*1000</f>
        <v>384.50794869889899</v>
      </c>
      <c r="AA10" s="6824">
        <f>+('B-FCE'!AA23/'Maj Prod Summ'!AA$17)*1000</f>
        <v>430.11007825998786</v>
      </c>
      <c r="AB10" s="4963">
        <v>385</v>
      </c>
      <c r="AC10" s="5245">
        <f>+('B-FCE'!AC23/'Maj Prod Summ'!AC$17)*1000</f>
        <v>585.76923999712096</v>
      </c>
      <c r="AD10" s="7295">
        <f>+('B-FCE'!AD23/'Maj Prod Summ'!AD$17)*1000</f>
        <v>384.55466223535643</v>
      </c>
      <c r="AE10" s="6199">
        <f>+('B-FCE'!AE23/'Maj Prod Summ'!AE$17)*1000</f>
        <v>448.10311706704681</v>
      </c>
      <c r="AF10" s="4963">
        <v>370</v>
      </c>
      <c r="AG10" s="5245">
        <f>+('B-FCE'!AG23/'Maj Prod Summ'!AG$17)*1000</f>
        <v>455.86204661113095</v>
      </c>
      <c r="AH10" s="7599">
        <f>+('B-FCE'!AH23/'Maj Prod Summ'!AH$17)*1000</f>
        <v>382.37429008149741</v>
      </c>
      <c r="AI10" s="6199">
        <f>+('B-FCE'!AI23/'Maj Prod Summ'!AI$17)*1000</f>
        <v>449.07146330392879</v>
      </c>
      <c r="AJ10" s="4963">
        <v>360</v>
      </c>
      <c r="AK10" s="5245">
        <f>+('B-FCE'!AK23/'Maj Prod Summ'!AK$17)*1000</f>
        <v>399.71330131026332</v>
      </c>
      <c r="AL10" s="3053">
        <f>+('B-FCE'!AL23/'Maj Prod Summ'!AL$17)*1000</f>
        <v>369.05990016638935</v>
      </c>
      <c r="AM10" s="7796">
        <f>+('B-FCE'!AM23/'Maj Prod Summ'!AM$17)*1000</f>
        <v>466.48776743378602</v>
      </c>
      <c r="AN10" s="7798">
        <f>+('B-FCE'!AN23/'Maj Prod Summ'!AN$17)*1000</f>
        <v>379.32893303184989</v>
      </c>
      <c r="AO10" s="6199">
        <f>+('B-FCE'!AO23/'Maj Prod Summ'!AO$17)*1000</f>
        <v>442.23204478419171</v>
      </c>
      <c r="AP10" s="4963">
        <v>360</v>
      </c>
      <c r="AQ10" s="5245">
        <f>+('B-FCE'!AQ23/'Maj Prod Summ'!AQ$17)*1000</f>
        <v>382.62975497128605</v>
      </c>
      <c r="AR10" s="8017">
        <f>+('B-FCE'!AR23/'Maj Prod Summ'!AR$17)*1000</f>
        <v>377.04674309776823</v>
      </c>
      <c r="AS10" s="6199">
        <f>+('B-FCE'!AS23/'Maj Prod Summ'!AS$17)*1000</f>
        <v>434.26686464027512</v>
      </c>
      <c r="AT10" s="4963">
        <v>360</v>
      </c>
      <c r="AU10" s="5245">
        <f>+('B-FCE'!AU23/'Maj Prod Summ'!AU$17)*1000</f>
        <v>383.53969997078292</v>
      </c>
      <c r="AV10" s="8137">
        <f>+('B-FCE'!AV23/'Maj Prod Summ'!AV$17)*1000</f>
        <v>375.38192761365707</v>
      </c>
      <c r="AW10" s="6199">
        <f>+('B-FCE'!AW23/'Maj Prod Summ'!AW$17)*1000</f>
        <v>428.83717318900244</v>
      </c>
      <c r="AX10" s="4963">
        <v>360</v>
      </c>
      <c r="AY10" s="5245">
        <f>+('B-FCE'!AY23/'Maj Prod Summ'!AY$17)*1000</f>
        <v>383.35481649739052</v>
      </c>
      <c r="AZ10" s="8344">
        <f>+('B-FCE'!AZ23/'Maj Prod Summ'!AZ$17)*1000</f>
        <v>360</v>
      </c>
      <c r="BA10" s="2250">
        <f>+('B-FCE'!BA23/'Maj Prod Summ'!BA$17)*1000</f>
        <v>383.16671884450903</v>
      </c>
      <c r="BB10" s="8344">
        <f>+('B-FCE'!BB23/'Maj Prod Summ'!BB$17)*1000</f>
        <v>364.17241379310343</v>
      </c>
      <c r="BC10" s="2250">
        <f>+('B-FCE'!BC23/'Maj Prod Summ'!BC$17)*1000</f>
        <v>418.23054884408714</v>
      </c>
      <c r="BD10" s="6606">
        <f>+('B-FCE'!BD23/'Maj Prod Summ'!BD$17)*1000</f>
        <v>373.8786504081541</v>
      </c>
      <c r="BE10" s="8277">
        <f>+('B-FCE'!BE23/'Maj Prod Summ'!BE$17)*1000</f>
        <v>423.66105089932233</v>
      </c>
      <c r="BF10" s="5349">
        <v>370.47898148148147</v>
      </c>
      <c r="BG10" s="5355">
        <v>381.58770716890342</v>
      </c>
      <c r="BH10" s="5349">
        <v>388.39310872643784</v>
      </c>
    </row>
    <row r="11" spans="1:62" x14ac:dyDescent="0.2">
      <c r="B11" s="1586" t="s">
        <v>865</v>
      </c>
      <c r="C11" s="1545" t="s">
        <v>877</v>
      </c>
      <c r="D11" s="6621">
        <v>50.310921914778177</v>
      </c>
      <c r="E11" s="5245">
        <f>+('B-FCE'!E24/'Maj Prod Summ'!E$17)*1000</f>
        <v>50.310921914778177</v>
      </c>
      <c r="F11" s="6503">
        <v>53.907133278994557</v>
      </c>
      <c r="G11" s="5245">
        <f>+('B-FCE'!G24/'Maj Prod Summ'!G$17)*1000</f>
        <v>53.907133278994557</v>
      </c>
      <c r="H11" s="6490">
        <f>+('B-FCE'!H24/'Maj Prod Summ'!H$17)*1000</f>
        <v>52.159865899735721</v>
      </c>
      <c r="I11" s="6199">
        <f>+('B-FCE'!I24/'Maj Prod Summ'!I$17)*1000</f>
        <v>52.159865899735721</v>
      </c>
      <c r="J11" s="1786">
        <v>51</v>
      </c>
      <c r="K11" s="5245">
        <f>+('B-FCE'!K24/'Maj Prod Summ'!K$17)*1000</f>
        <v>49.438108267963507</v>
      </c>
      <c r="L11" s="6492">
        <f>+('B-FCE'!L24/'Maj Prod Summ'!L$17)*1000</f>
        <v>51.720765788185979</v>
      </c>
      <c r="M11" s="2250">
        <f>+('B-FCE'!M24/'Maj Prod Summ'!M$17)*1000</f>
        <v>51.17650487071505</v>
      </c>
      <c r="N11" s="1786">
        <v>30</v>
      </c>
      <c r="O11" s="5245">
        <f>+('B-FCE'!O24/'Maj Prod Summ'!O$17)*1000</f>
        <v>53.411279446260735</v>
      </c>
      <c r="P11" s="6490">
        <f>+('B-FCE'!P24/'Maj Prod Summ'!P$17)*1000</f>
        <v>44.431920093307347</v>
      </c>
      <c r="Q11" s="6199">
        <f>+('B-FCE'!Q24/'Maj Prod Summ'!Q$17)*1000</f>
        <v>51.82782279402543</v>
      </c>
      <c r="R11" s="1786">
        <v>30</v>
      </c>
      <c r="S11" s="5245">
        <f>+('B-FCE'!S24/'Maj Prod Summ'!S$17)*1000</f>
        <v>45.213228449554521</v>
      </c>
      <c r="T11" s="6490">
        <f>+('B-FCE'!T24/'Maj Prod Summ'!T$17)*1000</f>
        <v>40.82165714357108</v>
      </c>
      <c r="U11" s="6199">
        <f>+('B-FCE'!U24/'Maj Prod Summ'!U$17)*1000</f>
        <v>50.305172389433878</v>
      </c>
      <c r="V11" s="1786">
        <v>30</v>
      </c>
      <c r="W11" s="5245">
        <f>+('B-FCE'!W24/'Maj Prod Summ'!W$17)*1000</f>
        <v>31.371416325808045</v>
      </c>
      <c r="X11" s="3053">
        <f>+('B-FCE'!X24/'Maj Prod Summ'!X$17)*1000</f>
        <v>29.999999999999996</v>
      </c>
      <c r="Y11" s="6822">
        <f>+('B-FCE'!Y24/'Maj Prod Summ'!Y$17)*1000</f>
        <v>45.368501268737184</v>
      </c>
      <c r="Z11" s="6606">
        <f>+('B-FCE'!Z24/'Maj Prod Summ'!Z$17)*1000</f>
        <v>38.679085913855445</v>
      </c>
      <c r="AA11" s="6824">
        <f>+('B-FCE'!AA24/'Maj Prod Summ'!AA$17)*1000</f>
        <v>48.181058929655904</v>
      </c>
      <c r="AB11" s="1786">
        <v>35</v>
      </c>
      <c r="AC11" s="5245">
        <f>+('B-FCE'!AC24/'Maj Prod Summ'!AC$17)*1000</f>
        <v>6.7818840521757213</v>
      </c>
      <c r="AD11" s="7295">
        <f>+('B-FCE'!AD24/'Maj Prod Summ'!AD$17)*1000</f>
        <v>38.329807061056123</v>
      </c>
      <c r="AE11" s="6199">
        <f>+('B-FCE'!AE24/'Maj Prod Summ'!AE$17)*1000</f>
        <v>43.395622904960796</v>
      </c>
      <c r="AF11" s="1786">
        <v>35</v>
      </c>
      <c r="AG11" s="5245">
        <f>+('B-FCE'!AG24/'Maj Prod Summ'!AG$17)*1000</f>
        <v>19.928041230430129</v>
      </c>
      <c r="AH11" s="7599">
        <f>+('B-FCE'!AH24/'Maj Prod Summ'!AH$17)*1000</f>
        <v>37.830982802804819</v>
      </c>
      <c r="AI11" s="6199">
        <f>+('B-FCE'!AI24/'Maj Prod Summ'!AI$17)*1000</f>
        <v>40.466772439940229</v>
      </c>
      <c r="AJ11" s="1786">
        <v>30</v>
      </c>
      <c r="AK11" s="5245">
        <f>+('B-FCE'!AK24/'Maj Prod Summ'!AK$17)*1000</f>
        <v>33.910922214118656</v>
      </c>
      <c r="AL11" s="3053">
        <f>+('B-FCE'!AL24/'Maj Prod Summ'!AL$17)*1000</f>
        <v>32.97004991680533</v>
      </c>
      <c r="AM11" s="7796">
        <f>+('B-FCE'!AM24/'Maj Prod Summ'!AM$17)*1000</f>
        <v>22.304537249873981</v>
      </c>
      <c r="AN11" s="7798">
        <f>+('B-FCE'!AN24/'Maj Prod Summ'!AN$17)*1000</f>
        <v>36.765110384179501</v>
      </c>
      <c r="AO11" s="6199">
        <f>+('B-FCE'!AO24/'Maj Prod Summ'!AO$17)*1000</f>
        <v>39.558347133243011</v>
      </c>
      <c r="AP11" s="1786">
        <v>30</v>
      </c>
      <c r="AQ11" s="5245">
        <f>+('B-FCE'!AQ24/'Maj Prod Summ'!AQ$17)*1000</f>
        <v>46.010093935957272</v>
      </c>
      <c r="AR11" s="8017">
        <f>+('B-FCE'!AR24/'Maj Prod Summ'!AR$17)*1000</f>
        <v>35.966345817284626</v>
      </c>
      <c r="AS11" s="6199">
        <f>+('B-FCE'!AS24/'Maj Prod Summ'!AS$17)*1000</f>
        <v>40.420551013125312</v>
      </c>
      <c r="AT11" s="1786">
        <v>30</v>
      </c>
      <c r="AU11" s="5245">
        <f>+('B-FCE'!AU24/'Maj Prod Summ'!AU$17)*1000</f>
        <v>45.503087943419608</v>
      </c>
      <c r="AV11" s="8137">
        <f>+('B-FCE'!AV24/'Maj Prod Summ'!AV$17)*1000</f>
        <v>35.383661791180081</v>
      </c>
      <c r="AW11" s="6199">
        <f>+('B-FCE'!AW24/'Maj Prod Summ'!AW$17)*1000</f>
        <v>40.964571312722178</v>
      </c>
      <c r="AX11" s="1786">
        <v>30</v>
      </c>
      <c r="AY11" s="5245">
        <f>+('B-FCE'!AY24/'Maj Prod Summ'!AY$17)*1000</f>
        <v>43.111881799211496</v>
      </c>
      <c r="AZ11" s="8344">
        <f>+('B-FCE'!AZ24/'Maj Prod Summ'!AZ$17)*1000</f>
        <v>30</v>
      </c>
      <c r="BA11" s="2250">
        <f>+('B-FCE'!BA24/'Maj Prod Summ'!BA$17)*1000</f>
        <v>44.808102053780665</v>
      </c>
      <c r="BB11" s="8344">
        <f>+('B-FCE'!BB24/'Maj Prod Summ'!BB$17)*1000</f>
        <v>31.367816091954019</v>
      </c>
      <c r="BC11" s="2250">
        <f>+('B-FCE'!BC24/'Maj Prod Summ'!BC$17)*1000</f>
        <v>35.337971948262279</v>
      </c>
      <c r="BD11" s="6606">
        <f>+('B-FCE'!BD24/'Maj Prod Summ'!BD$17)*1000</f>
        <v>34.857516027392144</v>
      </c>
      <c r="BE11" s="8277">
        <f>+('B-FCE'!BE24/'Maj Prod Summ'!BE$17)*1000</f>
        <v>41.208946109466851</v>
      </c>
      <c r="BF11" s="5314">
        <v>25</v>
      </c>
      <c r="BG11" s="5361">
        <v>44.993877243288374</v>
      </c>
      <c r="BH11" s="5314">
        <v>29.180384193772984</v>
      </c>
    </row>
    <row r="12" spans="1:62" ht="16" thickBot="1" x14ac:dyDescent="0.25">
      <c r="B12" s="1589" t="s">
        <v>866</v>
      </c>
      <c r="C12" s="1548" t="s">
        <v>877</v>
      </c>
      <c r="D12" s="6621">
        <v>67</v>
      </c>
      <c r="E12" s="5245">
        <f>+('B-FCE'!E25/'Maj Prod Summ'!E$17)*1000</f>
        <v>67.429016596413618</v>
      </c>
      <c r="F12" s="6499">
        <v>68.999290090184843</v>
      </c>
      <c r="G12" s="5245">
        <f>+('B-FCE'!G25/'Maj Prod Summ'!G$17)*1000</f>
        <v>68.999290090184843</v>
      </c>
      <c r="H12" s="6490">
        <f>+('B-FCE'!H25/'Maj Prod Summ'!H$17)*1000</f>
        <v>68.02790826568615</v>
      </c>
      <c r="I12" s="6199">
        <f>+('B-FCE'!I25/'Maj Prod Summ'!I$17)*1000</f>
        <v>68.236351715793958</v>
      </c>
      <c r="J12" s="1788">
        <v>84</v>
      </c>
      <c r="K12" s="5245">
        <f>+('B-FCE'!K25/'Maj Prod Summ'!K$17)*1000</f>
        <v>74.703819429923357</v>
      </c>
      <c r="L12" s="6492">
        <f>+('B-FCE'!L25/'Maj Prod Summ'!L$17)*1000</f>
        <v>74.074596304206764</v>
      </c>
      <c r="M12" s="2250">
        <f>+('B-FCE'!M25/'Maj Prod Summ'!M$17)*1000</f>
        <v>70.573024030875558</v>
      </c>
      <c r="N12" s="1788">
        <v>145</v>
      </c>
      <c r="O12" s="5245">
        <f>+('B-FCE'!O25/'Maj Prod Summ'!O$17)*1000</f>
        <v>91.79834067139312</v>
      </c>
      <c r="P12" s="6490">
        <f>+('B-FCE'!P25/'Maj Prod Summ'!P$17)*1000</f>
        <v>97.875061187760295</v>
      </c>
      <c r="Q12" s="6199">
        <f>+('B-FCE'!Q25/'Maj Prod Summ'!Q$17)*1000</f>
        <v>76.759074877874951</v>
      </c>
      <c r="R12" s="1788">
        <v>145</v>
      </c>
      <c r="S12" s="5245">
        <f>+('B-FCE'!S25/'Maj Prod Summ'!S$17)*1000</f>
        <v>94.359598604732042</v>
      </c>
      <c r="T12" s="6490">
        <f>+('B-FCE'!T25/'Maj Prod Summ'!T$17)*1000</f>
        <v>109.66375039213825</v>
      </c>
      <c r="U12" s="6199">
        <f>+('B-FCE'!U25/'Maj Prod Summ'!U$17)*1000</f>
        <v>80.810637706686009</v>
      </c>
      <c r="V12" s="1788">
        <v>145</v>
      </c>
      <c r="W12" s="5245">
        <f>+('B-FCE'!W25/'Maj Prod Summ'!W$17)*1000</f>
        <v>75.582099564881162</v>
      </c>
      <c r="X12" s="3053">
        <f>+('B-FCE'!X25/'Maj Prod Summ'!X$17)*1000</f>
        <v>145</v>
      </c>
      <c r="Y12" s="6822">
        <f>+('B-FCE'!Y25/'Maj Prod Summ'!Y$17)*1000</f>
        <v>89.2858590526222</v>
      </c>
      <c r="Z12" s="6606">
        <f>+('B-FCE'!Z25/'Maj Prod Summ'!Z$17)*1000</f>
        <v>116.65994614768691</v>
      </c>
      <c r="AA12" s="6824">
        <f>+('B-FCE'!AA25/'Maj Prod Summ'!AA$17)*1000</f>
        <v>80.224065860896445</v>
      </c>
      <c r="AB12" s="1788">
        <v>115</v>
      </c>
      <c r="AC12" s="5245">
        <f>+('B-FCE'!AC25/'Maj Prod Summ'!AC$17)*1000</f>
        <v>5.438303249386192</v>
      </c>
      <c r="AD12" s="7295">
        <f>+('B-FCE'!AD25/'Maj Prod Summ'!AD$17)*1000</f>
        <v>116.50235698022841</v>
      </c>
      <c r="AE12" s="6199">
        <f>+('B-FCE'!AE25/'Maj Prod Summ'!AE$17)*1000</f>
        <v>71.579389159137008</v>
      </c>
      <c r="AF12" s="1788">
        <v>130</v>
      </c>
      <c r="AG12" s="5245">
        <f>+('B-FCE'!AG25/'Maj Prod Summ'!AG$17)*1000</f>
        <v>86.486661696541447</v>
      </c>
      <c r="AH12" s="7599">
        <f>+('B-FCE'!AH25/'Maj Prod Summ'!AH$17)*1000</f>
        <v>118.5243815732518</v>
      </c>
      <c r="AI12" s="6199">
        <f>+('B-FCE'!AI25/'Maj Prod Summ'!AI$17)*1000</f>
        <v>73.439877926530997</v>
      </c>
      <c r="AJ12" s="1788">
        <v>145</v>
      </c>
      <c r="AK12" s="5245">
        <f>+('B-FCE'!AK25/'Maj Prod Summ'!AK$17)*1000</f>
        <v>110.2884591202877</v>
      </c>
      <c r="AL12" s="3053">
        <f>+('B-FCE'!AL25/'Maj Prod Summ'!AL$17)*1000</f>
        <v>132.97004991680532</v>
      </c>
      <c r="AM12" s="7796">
        <f>+('B-FCE'!AM25/'Maj Prod Summ'!AM$17)*1000</f>
        <v>75.187875568123587</v>
      </c>
      <c r="AN12" s="7798">
        <f>+('B-FCE'!AN25/'Maj Prod Summ'!AN$17)*1000</f>
        <v>122.12796903573633</v>
      </c>
      <c r="AO12" s="6199">
        <f>+('B-FCE'!AO25/'Maj Prod Summ'!AO$17)*1000</f>
        <v>78.545879820907842</v>
      </c>
      <c r="AP12" s="1788">
        <v>145</v>
      </c>
      <c r="AQ12" s="5245">
        <f>+('B-FCE'!AQ25/'Maj Prod Summ'!AQ$17)*1000</f>
        <v>108.73346858183362</v>
      </c>
      <c r="AR12" s="8017">
        <f>+('B-FCE'!AR25/'Maj Prod Summ'!AR$17)*1000</f>
        <v>124.82849672407971</v>
      </c>
      <c r="AS12" s="6199">
        <f>+('B-FCE'!AS25/'Maj Prod Summ'!AS$17)*1000</f>
        <v>82.580113796582722</v>
      </c>
      <c r="AT12" s="1788">
        <v>145</v>
      </c>
      <c r="AU12" s="5245">
        <f>+('B-FCE'!AU25/'Maj Prod Summ'!AU$17)*1000</f>
        <v>111.68985562731092</v>
      </c>
      <c r="AV12" s="8137">
        <f>+('B-FCE'!AV25/'Maj Prod Summ'!AV$17)*1000</f>
        <v>126.79848188775289</v>
      </c>
      <c r="AW12" s="6199">
        <f>+('B-FCE'!AW25/'Maj Prod Summ'!AW$17)*1000</f>
        <v>85.695937781559323</v>
      </c>
      <c r="AX12" s="1788">
        <v>145</v>
      </c>
      <c r="AY12" s="5245">
        <f>+('B-FCE'!AY25/'Maj Prod Summ'!AY$17)*1000</f>
        <v>116.26940307594123</v>
      </c>
      <c r="AZ12" s="8344">
        <f>+('B-FCE'!AZ25/'Maj Prod Summ'!AZ$17)*1000</f>
        <v>145</v>
      </c>
      <c r="BA12" s="2250">
        <f>+('B-FCE'!BA25/'Maj Prod Summ'!BA$17)*1000</f>
        <v>112.35307884730534</v>
      </c>
      <c r="BB12" s="8344">
        <f>+('B-FCE'!BB25/'Maj Prod Summ'!BB$17)*1000</f>
        <v>139.45977011494253</v>
      </c>
      <c r="BC12" s="2250">
        <f>+('B-FCE'!BC25/'Maj Prod Summ'!BC$17)*1000</f>
        <v>96.712920787068214</v>
      </c>
      <c r="BD12" s="6606">
        <f>+('B-FCE'!BD25/'Maj Prod Summ'!BD$17)*1000</f>
        <v>128.5773179329438</v>
      </c>
      <c r="BE12" s="8277">
        <f>+('B-FCE'!BE25/'Maj Prod Summ'!BE$17)*1000</f>
        <v>89.175352805191892</v>
      </c>
      <c r="BF12" s="5356">
        <v>139.85351851851851</v>
      </c>
      <c r="BG12" s="5361">
        <v>118.98027062075417</v>
      </c>
      <c r="BH12" s="5356">
        <v>123.03826485628637</v>
      </c>
      <c r="BJ12" s="5352"/>
    </row>
    <row r="13" spans="1:62" ht="17" thickBot="1" x14ac:dyDescent="0.25">
      <c r="B13" s="1594" t="s">
        <v>731</v>
      </c>
      <c r="C13" s="1562" t="s">
        <v>877</v>
      </c>
      <c r="D13" s="6620">
        <f t="shared" ref="D13" si="0">SUM(D10:D12)</f>
        <v>545.35371367360858</v>
      </c>
      <c r="E13" s="2817">
        <f t="shared" ref="E13" si="1">SUM(E10:E12)</f>
        <v>545.78273027002217</v>
      </c>
      <c r="F13" s="2319">
        <f t="shared" ref="F13:G13" si="2">SUM(F10:F12)</f>
        <v>553.70336286908741</v>
      </c>
      <c r="G13" s="2817">
        <f t="shared" si="2"/>
        <v>553.70336286908741</v>
      </c>
      <c r="H13" s="2784">
        <f>SUM(H10:H12)</f>
        <v>549.64657415731097</v>
      </c>
      <c r="I13" s="1824">
        <f>SUM(I10:I12)</f>
        <v>549.85501760741874</v>
      </c>
      <c r="J13" s="1750">
        <f t="shared" ref="J13:K13" si="3">SUM(J10:J12)</f>
        <v>543</v>
      </c>
      <c r="K13" s="2817">
        <f t="shared" si="3"/>
        <v>544.38675835369611</v>
      </c>
      <c r="L13" s="2951">
        <f t="shared" ref="L13:O13" si="4">SUM(L10:L12)</f>
        <v>547.13032511975939</v>
      </c>
      <c r="M13" s="5711">
        <f t="shared" si="4"/>
        <v>547.87935563666815</v>
      </c>
      <c r="N13" s="1750">
        <f t="shared" si="4"/>
        <v>535</v>
      </c>
      <c r="O13" s="2817">
        <f t="shared" si="4"/>
        <v>571.74943193446654</v>
      </c>
      <c r="P13" s="2784">
        <f t="shared" ref="P13:S13" si="5">SUM(P10:P12)</f>
        <v>543.05974727324872</v>
      </c>
      <c r="Q13" s="1824">
        <f t="shared" si="5"/>
        <v>554.83621325160061</v>
      </c>
      <c r="R13" s="1750">
        <f t="shared" si="5"/>
        <v>535</v>
      </c>
      <c r="S13" s="2817">
        <f t="shared" si="5"/>
        <v>548.11321719739351</v>
      </c>
      <c r="T13" s="2784">
        <f t="shared" ref="T13:Y13" si="6">SUM(T10:T12)</f>
        <v>541.04353551648182</v>
      </c>
      <c r="U13" s="1824">
        <f t="shared" si="6"/>
        <v>553.28860925218646</v>
      </c>
      <c r="V13" s="1750">
        <f t="shared" si="6"/>
        <v>535</v>
      </c>
      <c r="W13" s="2817">
        <f t="shared" si="6"/>
        <v>599.87701137644763</v>
      </c>
      <c r="X13" s="2951">
        <f t="shared" si="6"/>
        <v>535</v>
      </c>
      <c r="Y13" s="5711">
        <f t="shared" si="6"/>
        <v>568.50167408452307</v>
      </c>
      <c r="Z13" s="6511">
        <f t="shared" ref="Z13:AM13" si="7">SUM(Z10:Z12)</f>
        <v>539.84698076044128</v>
      </c>
      <c r="AA13" s="6607">
        <f t="shared" si="7"/>
        <v>558.51520305054021</v>
      </c>
      <c r="AB13" s="1750">
        <f t="shared" si="7"/>
        <v>535</v>
      </c>
      <c r="AC13" s="2817">
        <f t="shared" si="7"/>
        <v>597.98942729868293</v>
      </c>
      <c r="AD13" s="2784">
        <f t="shared" si="7"/>
        <v>539.38682627664093</v>
      </c>
      <c r="AE13" s="1824">
        <f t="shared" si="7"/>
        <v>563.07812913114458</v>
      </c>
      <c r="AF13" s="1750">
        <f t="shared" si="7"/>
        <v>535</v>
      </c>
      <c r="AG13" s="2817">
        <f t="shared" si="7"/>
        <v>562.27674953810254</v>
      </c>
      <c r="AH13" s="2784">
        <f t="shared" si="7"/>
        <v>538.72965445755403</v>
      </c>
      <c r="AI13" s="1824">
        <f t="shared" si="7"/>
        <v>562.97811367040003</v>
      </c>
      <c r="AJ13" s="1750">
        <f t="shared" si="7"/>
        <v>535</v>
      </c>
      <c r="AK13" s="2817">
        <f t="shared" si="7"/>
        <v>543.91268264466964</v>
      </c>
      <c r="AL13" s="2951">
        <f t="shared" si="7"/>
        <v>535</v>
      </c>
      <c r="AM13" s="5711">
        <f t="shared" si="7"/>
        <v>563.98018025178362</v>
      </c>
      <c r="AN13" s="2784">
        <f t="shared" ref="AN13:AS13" si="8">SUM(AN10:AN12)</f>
        <v>538.22201245176575</v>
      </c>
      <c r="AO13" s="1824">
        <f t="shared" si="8"/>
        <v>560.33627173834259</v>
      </c>
      <c r="AP13" s="1750">
        <f t="shared" si="8"/>
        <v>535</v>
      </c>
      <c r="AQ13" s="2817">
        <f t="shared" si="8"/>
        <v>537.37331748907695</v>
      </c>
      <c r="AR13" s="2784">
        <f t="shared" si="8"/>
        <v>537.84158563913252</v>
      </c>
      <c r="AS13" s="1824">
        <f t="shared" si="8"/>
        <v>557.26752944998316</v>
      </c>
      <c r="AT13" s="1750">
        <f t="shared" ref="AT13:AU13" si="9">SUM(AT10:AT12)</f>
        <v>535</v>
      </c>
      <c r="AU13" s="2817">
        <f t="shared" si="9"/>
        <v>540.73264354151343</v>
      </c>
      <c r="AV13" s="2784">
        <f t="shared" ref="AV13:AY13" si="10">SUM(AV10:AV12)</f>
        <v>537.56407129259003</v>
      </c>
      <c r="AW13" s="1824">
        <f t="shared" si="10"/>
        <v>555.49768228328389</v>
      </c>
      <c r="AX13" s="1750">
        <f t="shared" si="10"/>
        <v>535</v>
      </c>
      <c r="AY13" s="2817">
        <f t="shared" si="10"/>
        <v>542.73610137254332</v>
      </c>
      <c r="AZ13" s="2951">
        <f t="shared" ref="AZ13:BE13" si="11">SUM(AZ10:AZ12)</f>
        <v>535</v>
      </c>
      <c r="BA13" s="5711">
        <f t="shared" si="11"/>
        <v>540.327899745595</v>
      </c>
      <c r="BB13" s="2951">
        <f t="shared" ref="BB13:BC13" si="12">SUM(BB10:BB12)</f>
        <v>535</v>
      </c>
      <c r="BC13" s="5711">
        <f t="shared" si="12"/>
        <v>550.28144157941767</v>
      </c>
      <c r="BD13" s="6511">
        <f t="shared" si="11"/>
        <v>537.31348436848998</v>
      </c>
      <c r="BE13" s="6607">
        <f t="shared" si="11"/>
        <v>554.04534981398115</v>
      </c>
      <c r="BF13" s="5312">
        <v>535.33249999999998</v>
      </c>
      <c r="BG13" s="5313">
        <v>545.56185503294591</v>
      </c>
      <c r="BH13" s="5312">
        <v>540.61175777649714</v>
      </c>
    </row>
    <row r="14" spans="1:62" ht="16" x14ac:dyDescent="0.2">
      <c r="B14" s="1623" t="s">
        <v>873</v>
      </c>
      <c r="C14" s="1581" t="s">
        <v>886</v>
      </c>
      <c r="D14" s="2684">
        <v>1.4568571523826617</v>
      </c>
      <c r="E14" s="4405">
        <v>1.4570000000000001</v>
      </c>
      <c r="F14" s="2684">
        <v>1.448</v>
      </c>
      <c r="G14" s="5424">
        <v>1.448</v>
      </c>
      <c r="H14" s="2953">
        <f>+('Maj Prod Summ'!H17/3551)/('B-FCE'!D47+'B-FCE'!F47)</f>
        <v>1.4522898747794677</v>
      </c>
      <c r="I14" s="5414">
        <f>+('Maj Prod Summ'!I17/3551)/('B-FCE'!E47+'B-FCE'!G47)</f>
        <v>1.4523588412309316</v>
      </c>
      <c r="J14" s="2684">
        <v>1.8459844858042549</v>
      </c>
      <c r="K14" s="5424">
        <v>1.7</v>
      </c>
      <c r="L14" s="2954">
        <f>+('Maj Prod Summ'!L17/3551)/('B-FCE'!H47+'B-FCE'!J47)</f>
        <v>1.5798462004054226</v>
      </c>
      <c r="M14" s="5713">
        <f>+('Maj Prod Summ'!M17/3551)/('B-FCE'!I47+'B-FCE'!K47)</f>
        <v>1.5330436885140646</v>
      </c>
      <c r="N14" s="2684">
        <v>2.257451140805407</v>
      </c>
      <c r="O14" s="5424">
        <v>1.774</v>
      </c>
      <c r="P14" s="2953">
        <f>+('Maj Prod Summ'!P17/3551)/('B-FCE'!L47+'B-FCE'!N47)</f>
        <v>1.7568019294284003</v>
      </c>
      <c r="Q14" s="5414">
        <f>+('Maj Prod Summ'!Q17/3551)/('B-FCE'!M47+'B-FCE'!O47)</f>
        <v>1.5962324940561921</v>
      </c>
      <c r="R14" s="2684">
        <v>2.2442942664038301</v>
      </c>
      <c r="S14" s="5424">
        <v>1.845</v>
      </c>
      <c r="T14" s="2953">
        <f>+('Maj Prod Summ'!T17/3551)/('B-FCE'!P47+'B-FCE'!R47)</f>
        <v>1.8577480236838868</v>
      </c>
      <c r="U14" s="5414">
        <f>+('Maj Prod Summ'!U17/3551)/('B-FCE'!Q47+'B-FCE'!S47)</f>
        <v>1.6473634235524466</v>
      </c>
      <c r="V14" s="2684">
        <v>2.2522967043086455</v>
      </c>
      <c r="W14" s="5424">
        <v>1.599</v>
      </c>
      <c r="X14" s="2954">
        <f>+('Maj Prod Summ'!X17/3551)/('B-FCE'!N47+'B-FCE'!R47+'B-FCE'!V47)</f>
        <v>2.2513420669651638</v>
      </c>
      <c r="Y14" s="5713">
        <f>+('Maj Prod Summ'!Y17/3551)/('B-FCE'!O47+'B-FCE'!S47+'B-FCE'!W47)</f>
        <v>1.7589480573405147</v>
      </c>
      <c r="Z14" s="6608">
        <f>+('Maj Prod Summ'!Z17/3551)/('B-FCE'!V47+'B-FCE'!T47)</f>
        <v>1.9244952679833884</v>
      </c>
      <c r="AA14" s="6609">
        <f>+('Maj Prod Summ'!AA17/3551)/('B-FCE'!W47+'B-FCE'!U47)</f>
        <v>1.6417924926573886</v>
      </c>
      <c r="AB14" s="2684">
        <v>1.7600675865953253</v>
      </c>
      <c r="AC14" s="5424">
        <v>1.1819999999999999</v>
      </c>
      <c r="AD14" s="2953">
        <f>+('Maj Prod Summ'!AD17/3551)/('B-FCE'!Z47+'B-FCE'!AB47)</f>
        <v>1.9075768406154094</v>
      </c>
      <c r="AE14" s="5414">
        <f>+('Maj Prod Summ'!AE17/3551)/('B-FCE'!AA47+'B-FCE'!AC47)</f>
        <v>1.5711459739669573</v>
      </c>
      <c r="AF14" s="2684">
        <v>2.2528865108420164</v>
      </c>
      <c r="AG14" s="5424">
        <v>1.65</v>
      </c>
      <c r="AH14" s="2953">
        <f>+('Maj Prod Summ'!AH17/3551)/('B-FCE'!AD47+'B-FCE'!AF47)</f>
        <v>1.9524067881384419</v>
      </c>
      <c r="AI14" s="5414">
        <f>+('Maj Prod Summ'!AI17/3551)/('B-FCE'!AE47+'B-FCE'!AG47)</f>
        <v>1.5805731886958954</v>
      </c>
      <c r="AJ14" s="2684">
        <v>2.2528865108420164</v>
      </c>
      <c r="AK14" s="5424">
        <v>1.9279999999999999</v>
      </c>
      <c r="AL14" s="2954">
        <f>+('Maj Prod Summ'!AL17/3551)/('B-FCE'!AB47+'B-FCE'!AF47+'B-FCE'!AJ47)</f>
        <v>2.1289069072579432</v>
      </c>
      <c r="AM14" s="5713">
        <f>+('Maj Prod Summ'!AM17/3551)/('B-FCE'!AC47+'B-FCE'!AG47+'B-FCE'!AK47)</f>
        <v>1.5810814911202304</v>
      </c>
      <c r="AN14" s="2953">
        <f>+('Maj Prod Summ'!AN17/3551)/('B-FCE'!AJ47+'B-FCE'!AH47)</f>
        <v>1.9885054915930476</v>
      </c>
      <c r="AO14" s="5414">
        <f>+('Maj Prod Summ'!AO17/3551)/('B-FCE'!AK47+'B-FCE'!AI47)</f>
        <v>1.6210506328147731</v>
      </c>
      <c r="AP14" s="2684">
        <v>2.2528865108420164</v>
      </c>
      <c r="AQ14" s="5424">
        <v>2.0590000000000002</v>
      </c>
      <c r="AR14" s="2953">
        <f>+('Maj Prod Summ'!AR17/3551)/('B-FCE'!AN47+'B-FCE'!AP47)</f>
        <v>2.0164451619404913</v>
      </c>
      <c r="AS14" s="5414">
        <f>+('Maj Prod Summ'!AS17/3551)/('B-FCE'!AO47+'B-FCE'!AQ47)</f>
        <v>1.6684770650764711</v>
      </c>
      <c r="AT14" s="2684">
        <v>2.2530000000000001</v>
      </c>
      <c r="AU14" s="5424">
        <v>2.0299999999999998</v>
      </c>
      <c r="AV14" s="2953">
        <f>+('Maj Prod Summ'!AV17/3551)/('B-FCE'!AR47+'B-FCE'!AT47)</f>
        <v>2.0373361035254063</v>
      </c>
      <c r="AW14" s="5414">
        <f>+('Maj Prod Summ'!AW17/3551)/('B-FCE'!AS47+'B-FCE'!AU47)</f>
        <v>1.7009000635479676</v>
      </c>
      <c r="AX14" s="2684">
        <v>2.2530000000000001</v>
      </c>
      <c r="AY14" s="5424">
        <v>2.1869999999999998</v>
      </c>
      <c r="AZ14" s="2954">
        <f>+('Maj Prod Summ'!AZ17/3551)/('B-FCE'!AP47+'B-FCE'!AT47+'B-FCE'!AX47)</f>
        <v>2.2529613092297889</v>
      </c>
      <c r="BA14" s="5713">
        <f>+('Maj Prod Summ'!BA17/3551)/('B-FCE'!AQ47+'B-FCE'!AU47+'B-FCE'!AY47)</f>
        <v>2.0943414602321919</v>
      </c>
      <c r="BB14" s="2954">
        <f>+('Maj Prod Summ'!BB17/3551)/('B-FCE'!AL47+'B-FCE'!AZ47)</f>
        <v>2.1940807302302208</v>
      </c>
      <c r="BC14" s="5713">
        <f>+('Maj Prod Summ'!BC17/3551)/('B-FCE'!AM47+'B-FCE'!BA47)</f>
        <v>1.8426183159850877</v>
      </c>
      <c r="BD14" s="6608">
        <f>+('Maj Prod Summ'!BD17/3551)/('B-FCE'!AX47+'B-FCE'!AV47)</f>
        <v>2.0565754006373806</v>
      </c>
      <c r="BE14" s="6609">
        <f>+('Maj Prod Summ'!BE17/3551)/('B-FCE'!AY47+'B-FCE'!AW47)</f>
        <v>1.7450412546954082</v>
      </c>
      <c r="BF14" s="5384">
        <v>2.1585498861864605</v>
      </c>
      <c r="BG14" s="5385">
        <v>2.0057992136444116</v>
      </c>
      <c r="BH14" s="5384">
        <v>1.7419241961288634</v>
      </c>
    </row>
    <row r="15" spans="1:62" x14ac:dyDescent="0.2">
      <c r="B15" s="1612" t="s">
        <v>874</v>
      </c>
      <c r="C15" s="1545" t="s">
        <v>877</v>
      </c>
      <c r="D15" s="6503">
        <v>991.89383299449219</v>
      </c>
      <c r="E15" s="4406">
        <v>991.57268186624344</v>
      </c>
      <c r="F15" s="6503">
        <v>1001.3621664058677</v>
      </c>
      <c r="G15" s="5245">
        <v>1001.2956380014117</v>
      </c>
      <c r="H15" s="2957">
        <f>+((D15*'Maj Prod Summ'!D$17)+('Maj Prod Summ'!F$17*F15))/('Maj Prod Summ'!H$17)</f>
        <v>996.7618500089344</v>
      </c>
      <c r="I15" s="6491">
        <v>996.89046696217952</v>
      </c>
      <c r="J15" s="6503">
        <v>958.676897164818</v>
      </c>
      <c r="K15" s="5245">
        <v>986.78215139234203</v>
      </c>
      <c r="L15" s="3053">
        <f>+((H15*'Maj Prod Summ'!H$17)+('Maj Prod Summ'!J$17*J15))/('Maj Prod Summ'!L$17)</f>
        <v>982.34371163101616</v>
      </c>
      <c r="M15" s="6495">
        <v>992.9743360963372</v>
      </c>
      <c r="N15" s="6503">
        <v>881</v>
      </c>
      <c r="O15" s="5245">
        <v>1026.6953904932448</v>
      </c>
      <c r="P15" s="2957">
        <f>+((L15*'Maj Prod Summ'!L$17)+('Maj Prod Summ'!N$17*N15))/('Maj Prod Summ'!P$17)</f>
        <v>948.33576350303053</v>
      </c>
      <c r="Q15" s="6491">
        <v>1002.0323394838654</v>
      </c>
      <c r="R15" s="6503">
        <v>881</v>
      </c>
      <c r="S15" s="5245">
        <v>981.69055486595676</v>
      </c>
      <c r="T15" s="2957">
        <f>+((P15*'Maj Prod Summ'!P$17)+('Maj Prod Summ'!R$17*R15))/('Maj Prod Summ'!T$17)</f>
        <v>931.4911710582644</v>
      </c>
      <c r="U15" s="6491">
        <v>997.49039722008797</v>
      </c>
      <c r="V15" s="6503">
        <v>881</v>
      </c>
      <c r="W15" s="5245">
        <v>1170.2716013371453</v>
      </c>
      <c r="X15" s="3053">
        <f>+((N15*'Maj Prod Summ'!N$17)+('Maj Prod Summ'!V$17*V15)+(R15*'Maj Prod Summ'!R$17))/('Maj Prod Summ'!X$17)</f>
        <v>881</v>
      </c>
      <c r="Y15" s="6495">
        <v>1038.2667344001445</v>
      </c>
      <c r="Z15" s="6606">
        <f>+((V15*'Maj Prod Summ'!V$17)+(T15*'Maj Prod Summ'!T$17))/('Maj Prod Summ'!Z$17)</f>
        <v>921.49446454383235</v>
      </c>
      <c r="AA15" s="6540">
        <v>1015.9172141363308</v>
      </c>
      <c r="AB15" s="7315">
        <v>1000</v>
      </c>
      <c r="AC15" s="5245">
        <v>1254.4862186659466</v>
      </c>
      <c r="AD15" s="2957">
        <f>+((Z15*'Maj Prod Summ'!Z$17)+('Maj Prod Summ'!AB$17*AB15))/('Maj Prod Summ'!AD$17)</f>
        <v>928.94749064992618</v>
      </c>
      <c r="AE15" s="7294">
        <v>1043.3321377844964</v>
      </c>
      <c r="AF15" s="7607">
        <v>882</v>
      </c>
      <c r="AG15" s="5245">
        <v>1045.5776414600118</v>
      </c>
      <c r="AH15" s="2957">
        <f>+((AD15*'Maj Prod Summ'!AD$17)+('Maj Prod Summ'!AF$17*AF15))/('Maj Prod Summ'!AH$17)</f>
        <v>921.91448640349347</v>
      </c>
      <c r="AI15" s="7600">
        <v>1043.5757421850678</v>
      </c>
      <c r="AJ15" s="7802">
        <v>883</v>
      </c>
      <c r="AK15" s="5245">
        <v>966.73826673279871</v>
      </c>
      <c r="AL15" s="3053">
        <f>+((AB15*'Maj Prod Summ'!AB$17)+('Maj Prod Summ'!AJ$17*AJ15)+(AF15*'Maj Prod Summ'!AF$17))/('Maj Prod Summ'!AL$17)</f>
        <v>906.94841930116468</v>
      </c>
      <c r="AM15" s="7815">
        <v>1067.5942161706357</v>
      </c>
      <c r="AN15" s="2957">
        <f>+((AJ15*'Maj Prod Summ'!AJ$17)+(AH15*'Maj Prod Summ'!AH$17))/('Maj Prod Summ'!AN$17)</f>
        <v>916.6178488310552</v>
      </c>
      <c r="AO15" s="7799">
        <v>1032.9764132577257</v>
      </c>
      <c r="AP15" s="8049">
        <v>884</v>
      </c>
      <c r="AQ15" s="5245">
        <v>896.07875053124189</v>
      </c>
      <c r="AR15" s="2957">
        <f>+((AN15*'Maj Prod Summ'!AN$17)+('Maj Prod Summ'!AP$17*AP15))/('Maj Prod Summ'!AR$17)</f>
        <v>912.76662092566744</v>
      </c>
      <c r="AS15" s="8020">
        <v>1014.8133342284378</v>
      </c>
      <c r="AT15" s="8237">
        <v>885</v>
      </c>
      <c r="AU15" s="5245">
        <v>918</v>
      </c>
      <c r="AV15" s="2957">
        <f>+((AR15*'Maj Prod Summ'!AR$17)+('Maj Prod Summ'!AT$17*AT15))/('Maj Prod Summ'!AV$17)</f>
        <v>910.05488295945452</v>
      </c>
      <c r="AW15" s="8138">
        <v>1005</v>
      </c>
      <c r="AX15" s="8351">
        <v>884</v>
      </c>
      <c r="AY15" s="5245">
        <f>+((('B-FCE'!AY33*100/'Maj Techno Summ'!AY5)*100/(100-(('COKE OVENS'!AY140*1+'COKE OVENS'!AY166*31.55/17.2)/(1+31.55/17.2))))*100/(100-((3*AY9+4*(100-AY9))/100))+(('B-FCE'!AY25/0.91/0.97)))*1000/'Maj Prod Summ'!AY17</f>
        <v>885.90486605852686</v>
      </c>
      <c r="AZ15" s="3053">
        <f>+((AP15*'Maj Prod Summ'!AP$17)+('Maj Prod Summ'!AX$17*AX15)+(AT15*'Maj Prod Summ'!AT$17))/('Maj Prod Summ'!AZ$17)</f>
        <v>884.3125</v>
      </c>
      <c r="BA15" s="8343">
        <f>+((AQ15*'Maj Prod Summ'!AQ$17)+('Maj Prod Summ'!AY$17*AY15)+(AU15*'Maj Prod Summ'!AU$17))/('Maj Prod Summ'!BA$17)</f>
        <v>899.00965188820521</v>
      </c>
      <c r="BB15" s="3053">
        <f>+((AL15*'Maj Prod Summ'!AL$17)+('Maj Prod Summ'!AZ$17*AZ15))/('Maj Prod Summ'!BB$17)</f>
        <v>894.73716475095785</v>
      </c>
      <c r="BC15" s="8343">
        <f>+((AM15*'Maj Prod Summ'!AM$17)+('Maj Prod Summ'!BA$17*BA15))/('Maj Prod Summ'!BC$17)</f>
        <v>969.95475642824613</v>
      </c>
      <c r="BD15" s="6606">
        <f>+((AX15*'Maj Prod Summ'!AX$17)+(AV15*'Maj Prod Summ'!AV$17))/('Maj Prod Summ'!BD$17)</f>
        <v>907.5085368428455</v>
      </c>
      <c r="BE15" s="8277">
        <f>+(AW15*'Maj Prod Summ'!AW17+'Maj Prod Summ'!AY17*'Maj Techno Summ'!AY15)/'Maj Prod Summ'!BE17</f>
        <v>991.44637124749988</v>
      </c>
      <c r="BF15" s="5314">
        <v>886.42711546488033</v>
      </c>
      <c r="BG15" s="5311">
        <v>931.68362998699263</v>
      </c>
      <c r="BH15" s="5314">
        <v>905.60969999999998</v>
      </c>
    </row>
    <row r="16" spans="1:62" x14ac:dyDescent="0.2">
      <c r="B16" s="1609" t="s">
        <v>878</v>
      </c>
      <c r="C16" s="1545" t="s">
        <v>766</v>
      </c>
      <c r="D16" s="5986">
        <f>+(D43/'Maj Prod Summ'!D18)*1000</f>
        <v>1085.5737400612566</v>
      </c>
      <c r="E16" s="2750">
        <f>+(E43/'Maj Prod Summ'!E18)*1000</f>
        <v>1060.5760603904339</v>
      </c>
      <c r="F16" s="5986">
        <f>+(F43/'Maj Prod Summ'!F18)*1000</f>
        <v>1108.5977230590531</v>
      </c>
      <c r="G16" s="2750">
        <f>+(G43/'Maj Prod Summ'!G18)*1000</f>
        <v>1090.3404987230367</v>
      </c>
      <c r="H16" s="2957">
        <f>+(H43/'Maj Prod Summ'!H18)*1000</f>
        <v>1097.3045770974413</v>
      </c>
      <c r="I16" s="6491">
        <f>+(I43/'Maj Prod Summ'!I18)*1000</f>
        <v>1075.7411938769703</v>
      </c>
      <c r="J16" s="5986">
        <f>+(J43/'Maj Prod Summ'!J18)*1000</f>
        <v>1086.9565217391303</v>
      </c>
      <c r="K16" s="2750">
        <f>+(K43/'Maj Prod Summ'!K18)*1000</f>
        <v>1100.9078449200038</v>
      </c>
      <c r="L16" s="3053">
        <f>+(L43/'Maj Prod Summ'!L18)*1000</f>
        <v>1093.3664546063301</v>
      </c>
      <c r="M16" s="6495">
        <f>+(M43/'Maj Prod Summ'!M18)*1000</f>
        <v>1084.7663007905553</v>
      </c>
      <c r="N16" s="5986">
        <f>+(N43/'Maj Prod Summ'!N18)*1000</f>
        <v>1086.9565217391303</v>
      </c>
      <c r="O16" s="2750">
        <f>+(O43/'Maj Prod Summ'!O18)*1000</f>
        <v>1117.7724338062128</v>
      </c>
      <c r="P16" s="2957">
        <f>+(P43/'Maj Prod Summ'!P18)*1000</f>
        <v>1091.1738099926008</v>
      </c>
      <c r="Q16" s="6491">
        <f>+(Q43/'Maj Prod Summ'!Q18)*1000</f>
        <v>1094.0539179515513</v>
      </c>
      <c r="R16" s="5986">
        <f>+(R43/'Maj Prod Summ'!R18)*1000</f>
        <v>1086.95652173913</v>
      </c>
      <c r="S16" s="2750">
        <f>+(S43/'Maj Prod Summ'!S18)*1000</f>
        <v>1091.6912773527426</v>
      </c>
      <c r="T16" s="2957">
        <f>+(T43/'Maj Prod Summ'!T18)*1000</f>
        <v>1090.1035711689799</v>
      </c>
      <c r="U16" s="6491">
        <f>+(U43/'Maj Prod Summ'!U18)*1000</f>
        <v>1093.5076177750773</v>
      </c>
      <c r="V16" s="5986">
        <f>+(V43/'Maj Prod Summ'!V18)*1000</f>
        <v>1086.95652173913</v>
      </c>
      <c r="W16" s="2750">
        <f>+(W43/'Maj Prod Summ'!W18)*1000</f>
        <v>1071.2645053236033</v>
      </c>
      <c r="X16" s="3053">
        <f>+(X43/'Maj Prod Summ'!X18)*1000</f>
        <v>1086.95652173913</v>
      </c>
      <c r="Y16" s="6495">
        <f>+(Y43/'Maj Prod Summ'!Y18)*1000</f>
        <v>1097.6686008964518</v>
      </c>
      <c r="Z16" s="6606">
        <f>+(Z43/'Maj Prod Summ'!Z18)*1000</f>
        <v>1089.4732872719946</v>
      </c>
      <c r="AA16" s="6540">
        <f>+(AA43/'Maj Prod Summ'!AA18)*1000</f>
        <v>1091.2607491407937</v>
      </c>
      <c r="AB16" s="5986">
        <f>+(AB43/'Maj Prod Summ'!AB18)*1000</f>
        <v>1075</v>
      </c>
      <c r="AC16" s="2750">
        <f>+(AC43/'Maj Prod Summ'!AC18)*1000</f>
        <v>1047.8663629460896</v>
      </c>
      <c r="AD16" s="2957">
        <f>+(AD43/'Maj Prod Summ'!AD18)*1000</f>
        <v>1088.0941166714058</v>
      </c>
      <c r="AE16" s="7294">
        <f>+(AE43/'Maj Prod Summ'!AE18)*1000</f>
        <v>1086.6333507146303</v>
      </c>
      <c r="AF16" s="5986">
        <f>+(AF43/'Maj Prod Summ'!AF18)*1000</f>
        <v>1065</v>
      </c>
      <c r="AG16" s="2750">
        <f>+(AG43/'Maj Prod Summ'!AG18)*1000</f>
        <v>1065.5063744449221</v>
      </c>
      <c r="AH16" s="2957">
        <f>+(AH43/'Maj Prod Summ'!AH18)*1000</f>
        <v>1084.5668379245362</v>
      </c>
      <c r="AI16" s="7600">
        <f>+(AI43/'Maj Prod Summ'!AI18)*1000</f>
        <v>1083.8659803002713</v>
      </c>
      <c r="AJ16" s="5986">
        <f>+(AJ43/'Maj Prod Summ'!AJ18)*1000</f>
        <v>1065</v>
      </c>
      <c r="AK16" s="2750">
        <f>+(AK43/'Maj Prod Summ'!AK18)*1000</f>
        <v>1082.6334117086817</v>
      </c>
      <c r="AL16" s="3053">
        <f>+(AL43/'Maj Prod Summ'!AL18)*1000</f>
        <v>1067.0505658343811</v>
      </c>
      <c r="AM16" s="7796">
        <f>+(AM43/'Maj Prod Summ'!AM18)*1000</f>
        <v>1068.2989246782647</v>
      </c>
      <c r="AN16" s="2957">
        <f>+(AN43/'Maj Prod Summ'!AN18)*1000</f>
        <v>1081.8642333653927</v>
      </c>
      <c r="AO16" s="7799">
        <f>+(AO43/'Maj Prod Summ'!AO18)*1000</f>
        <v>1083.698166298997</v>
      </c>
      <c r="AP16" s="5986">
        <f>+(AP43/'Maj Prod Summ'!AP18)*1000</f>
        <v>1065</v>
      </c>
      <c r="AQ16" s="2750">
        <f>+(AQ43/'Maj Prod Summ'!AQ18)*1000</f>
        <v>1059.6622088028328</v>
      </c>
      <c r="AR16" s="2957">
        <f>+(AR43/'Maj Prod Summ'!AR18)*1000</f>
        <v>1079.8464856394119</v>
      </c>
      <c r="AS16" s="8020">
        <f>+(AS43/'Maj Prod Summ'!AS18)*1000</f>
        <v>1080.3259328416702</v>
      </c>
      <c r="AT16" s="5986">
        <v>1065</v>
      </c>
      <c r="AU16" s="2750">
        <f>+(AU43/'Maj Prod Summ'!AU18)*1000</f>
        <v>1037.5790386364117</v>
      </c>
      <c r="AV16" s="2957">
        <f>+(AV43/'Maj Prod Summ'!AV18)*1000</f>
        <v>1078.3680914375936</v>
      </c>
      <c r="AW16" s="8138">
        <f>+(AW43/'Maj Prod Summ'!AW18)*1000</f>
        <v>1075.3484489474042</v>
      </c>
      <c r="AX16" s="5986">
        <v>1065</v>
      </c>
      <c r="AY16" s="2750">
        <f>+(AY43/'Maj Prod Summ'!AY18)*1000</f>
        <v>1040.7855797686304</v>
      </c>
      <c r="AZ16" s="3053">
        <f>+(AZ43/'Maj Prod Summ'!AZ18)*1000</f>
        <v>1064.9996345104382</v>
      </c>
      <c r="BA16" s="8343">
        <f>+(BA43/'Maj Prod Summ'!BA18)*1000</f>
        <v>1045.9924861662332</v>
      </c>
      <c r="BB16" s="3053">
        <f>+(BB43/BB33)*1000</f>
        <v>1065.9406244758845</v>
      </c>
      <c r="BC16" s="8343">
        <f>+(BC43/BC33)*1000</f>
        <v>1054.8805059195529</v>
      </c>
      <c r="BD16" s="6606">
        <f>+(BD43/BD33)*1000</f>
        <v>1077.0434194075694</v>
      </c>
      <c r="BE16" s="8277">
        <f>+(BE43/'Maj Prod Summ'!BE18)*1000</f>
        <v>1071.1760588881978</v>
      </c>
      <c r="BF16" s="5314">
        <v>1065</v>
      </c>
      <c r="BG16" s="5386">
        <v>1093.6626453647993</v>
      </c>
      <c r="BH16" s="5314">
        <v>1078.3300007201833</v>
      </c>
    </row>
    <row r="17" spans="2:60" ht="16" thickBot="1" x14ac:dyDescent="0.25">
      <c r="B17" s="1610" t="s">
        <v>879</v>
      </c>
      <c r="C17" s="1548" t="s">
        <v>766</v>
      </c>
      <c r="D17" s="5986">
        <f>+(D44/'Maj Prod Summ'!D18)*1000</f>
        <v>54.501747981313606</v>
      </c>
      <c r="E17" s="2750">
        <f>+(E44/'Maj Prod Summ'!E18)*1000</f>
        <v>54.501747981313613</v>
      </c>
      <c r="F17" s="5986">
        <f>+(F44/'Maj Prod Summ'!F18)*1000</f>
        <v>25.435023789490902</v>
      </c>
      <c r="G17" s="2750">
        <f>+(G44/'Maj Prod Summ'!G18)*1000</f>
        <v>25.435023789490927</v>
      </c>
      <c r="H17" s="2957">
        <f>+(H44/'Maj Prod Summ'!H18)*1000</f>
        <v>39.692103416225628</v>
      </c>
      <c r="I17" s="6491">
        <f>+(I44/'Maj Prod Summ'!I18)*1000</f>
        <v>39.692103416225642</v>
      </c>
      <c r="J17" s="5986">
        <f>+(J44/'Maj Prod Summ'!J18)*1000</f>
        <v>27.999999999999996</v>
      </c>
      <c r="K17" s="2750">
        <f>+(K44/'Maj Prod Summ'!K18)*1000</f>
        <v>21.146408652345603</v>
      </c>
      <c r="L17" s="3053">
        <f>+(L44/'Maj Prod Summ'!L18)*1000</f>
        <v>35.24248135319192</v>
      </c>
      <c r="M17" s="6495">
        <f>+(M44/'Maj Prod Summ'!M18)*1000</f>
        <v>33.041362412008461</v>
      </c>
      <c r="N17" s="5986">
        <f>+(N44/'Maj Prod Summ'!N18)*1000</f>
        <v>28</v>
      </c>
      <c r="O17" s="2750">
        <f>+(O44/'Maj Prod Summ'!O18)*1000</f>
        <v>8.1215939948673004</v>
      </c>
      <c r="P17" s="2957">
        <f>+(P44/'Maj Prod Summ'!P18)*1000</f>
        <v>32.76504702460926</v>
      </c>
      <c r="Q17" s="6491">
        <f>+(Q44/'Maj Prod Summ'!Q18)*1000</f>
        <v>26.02917262627075</v>
      </c>
      <c r="R17" s="5986">
        <f>+(R44/'Maj Prod Summ'!R18)*1000</f>
        <v>27.999999999999996</v>
      </c>
      <c r="S17" s="2750">
        <f>+(S44/'Maj Prod Summ'!S18)*1000</f>
        <v>27.236471874055297</v>
      </c>
      <c r="T17" s="2957">
        <f>+(T44/'Maj Prod Summ'!T18)*1000</f>
        <v>31.55580117381427</v>
      </c>
      <c r="U17" s="6491">
        <f>+(U44/'Maj Prod Summ'!U18)*1000</f>
        <v>26.308329681497153</v>
      </c>
      <c r="V17" s="5986">
        <f>+(V44/'Maj Prod Summ'!V18)*1000</f>
        <v>28</v>
      </c>
      <c r="W17" s="2750">
        <f>+(W44/'Maj Prod Summ'!W18)*1000</f>
        <v>43.904773298241416</v>
      </c>
      <c r="X17" s="3053">
        <f>+(X44/'Maj Prod Summ'!X18)*1000</f>
        <v>28</v>
      </c>
      <c r="Y17" s="6495">
        <f>+(Y44/'Maj Prod Summ'!Y18)*1000</f>
        <v>23.196352732449686</v>
      </c>
      <c r="Z17" s="6606">
        <f>+(Z44/'Maj Prod Summ'!Z18)*1000</f>
        <v>30.843653407885142</v>
      </c>
      <c r="AA17" s="6540">
        <f>+(AA44/'Maj Prod Summ'!AA18)*1000</f>
        <v>28.085819109905884</v>
      </c>
      <c r="AB17" s="5986">
        <f>+(AB44/'Maj Prod Summ'!AB18)*1000</f>
        <v>40</v>
      </c>
      <c r="AC17" s="2750">
        <f>+(AC44/'Maj Prod Summ'!AC18)*1000</f>
        <v>65.856745127815742</v>
      </c>
      <c r="AD17" s="2957">
        <f>+(AD44/'Maj Prod Summ'!AD18)*1000</f>
        <v>31.716168669368468</v>
      </c>
      <c r="AE17" s="7294">
        <f>+(AE44/'Maj Prod Summ'!AE18)*1000</f>
        <v>32.113554928677303</v>
      </c>
      <c r="AF17" s="5986">
        <f>+(AF44/'Maj Prod Summ'!AF18)*1000</f>
        <v>50</v>
      </c>
      <c r="AG17" s="2750">
        <f>+(AG44/'Maj Prod Summ'!AG18)*1000</f>
        <v>49.95702621400946</v>
      </c>
      <c r="AH17" s="2957">
        <f>+(AH44/'Maj Prod Summ'!AH18)*1000</f>
        <v>34.508748726943523</v>
      </c>
      <c r="AI17" s="7600">
        <f>+(AI44/'Maj Prod Summ'!AI18)*1000</f>
        <v>34.450827139054866</v>
      </c>
      <c r="AJ17" s="5986">
        <f>+(AJ44/'Maj Prod Summ'!AJ18)*1000</f>
        <v>50</v>
      </c>
      <c r="AK17" s="2750">
        <f>+(AK44/'Maj Prod Summ'!AK18)*1000</f>
        <v>29.923509628262746</v>
      </c>
      <c r="AL17" s="3053">
        <f>+(AL44/'Maj Prod Summ'!AL18)*1000</f>
        <v>47.949434165618825</v>
      </c>
      <c r="AM17" s="7796">
        <f>+(AM44/'Maj Prod Summ'!AM18)*1000</f>
        <v>45.539998523585723</v>
      </c>
      <c r="AN17" s="2957">
        <f>+(AN44/'Maj Prod Summ'!AN18)*1000</f>
        <v>36.648426403984125</v>
      </c>
      <c r="AO17" s="7799">
        <f>+(AO44/'Maj Prod Summ'!AO18)*1000</f>
        <v>33.834433640381938</v>
      </c>
      <c r="AP17" s="5986">
        <f>+(AP44/'Maj Prod Summ'!AP18)*1000</f>
        <v>50</v>
      </c>
      <c r="AQ17" s="2750">
        <f>+(AQ44/'Maj Prod Summ'!AQ18)*1000</f>
        <v>47.639384804858793</v>
      </c>
      <c r="AR17" s="2957">
        <f>+(AR44/'Maj Prod Summ'!AR18)*1000</f>
        <v>38.245896426956726</v>
      </c>
      <c r="AS17" s="8020">
        <f>+(AS44/'Maj Prod Summ'!AS18)*1000</f>
        <v>35.771261753056052</v>
      </c>
      <c r="AT17" s="5986">
        <v>50</v>
      </c>
      <c r="AU17" s="2750">
        <f>+(AU44/'Maj Prod Summ'!AU18)*1000</f>
        <v>62.552604309852597</v>
      </c>
      <c r="AV17" s="2957">
        <f>+(AV44/'Maj Prod Summ'!AV18)*1000</f>
        <v>39.416328367750303</v>
      </c>
      <c r="AW17" s="8138">
        <f>+(AW44/'Maj Prod Summ'!AW18)*1000</f>
        <v>38.889703542141071</v>
      </c>
      <c r="AX17" s="5986">
        <v>50</v>
      </c>
      <c r="AY17" s="2750">
        <f>+(AY44/'Maj Prod Summ'!AY18)*1000</f>
        <v>57.384987893462466</v>
      </c>
      <c r="AZ17" s="3053">
        <f>+(AZ44/'Maj Prod Summ'!AZ18)*1000</f>
        <v>50</v>
      </c>
      <c r="BA17" s="8343">
        <f>+(BA44/'Maj Prod Summ'!BA18)*1000</f>
        <v>55.77953987955047</v>
      </c>
      <c r="BB17" s="3053">
        <f>+(BB44/BB33)*1000</f>
        <v>49.059177725205394</v>
      </c>
      <c r="BC17" s="8343">
        <f>+(BC44/BC33)*1000</f>
        <v>51.69958575385445</v>
      </c>
      <c r="BD17" s="6606">
        <f>+(BD44/BD33)*1000</f>
        <v>40.465027848474861</v>
      </c>
      <c r="BE17" s="8277">
        <f>+(BE44/'Maj Prod Summ'!BE18)*1000</f>
        <v>41.122433127480129</v>
      </c>
      <c r="BF17" s="5314">
        <v>50</v>
      </c>
      <c r="BG17" s="5386">
        <v>25.53216575879436</v>
      </c>
      <c r="BH17" s="5314">
        <v>41.130412495604766</v>
      </c>
    </row>
    <row r="18" spans="2:60" ht="17" thickBot="1" x14ac:dyDescent="0.25">
      <c r="B18" s="1635" t="s">
        <v>783</v>
      </c>
      <c r="C18" s="1562" t="s">
        <v>766</v>
      </c>
      <c r="D18" s="2319">
        <f t="shared" ref="D18:E18" si="13">SUM(D16:D17)</f>
        <v>1140.0754880425702</v>
      </c>
      <c r="E18" s="2817">
        <f t="shared" si="13"/>
        <v>1115.0778083717476</v>
      </c>
      <c r="F18" s="2319">
        <f t="shared" ref="F18:G18" si="14">SUM(F16:F17)</f>
        <v>1134.0327468485441</v>
      </c>
      <c r="G18" s="2817">
        <f t="shared" si="14"/>
        <v>1115.7755225125277</v>
      </c>
      <c r="H18" s="2784">
        <f t="shared" ref="H18:K18" si="15">SUM(H16:H17)</f>
        <v>1136.9966805136669</v>
      </c>
      <c r="I18" s="1824">
        <f t="shared" si="15"/>
        <v>1115.4332972931959</v>
      </c>
      <c r="J18" s="2319">
        <f t="shared" si="15"/>
        <v>1114.9565217391303</v>
      </c>
      <c r="K18" s="2817">
        <f t="shared" si="15"/>
        <v>1122.0542535723494</v>
      </c>
      <c r="L18" s="2951">
        <f t="shared" ref="L18:O18" si="16">SUM(L16:L17)</f>
        <v>1128.6089359595221</v>
      </c>
      <c r="M18" s="5711">
        <f t="shared" si="16"/>
        <v>1117.8076632025638</v>
      </c>
      <c r="N18" s="2319">
        <f t="shared" si="16"/>
        <v>1114.9565217391303</v>
      </c>
      <c r="O18" s="2817">
        <f t="shared" si="16"/>
        <v>1125.89402780108</v>
      </c>
      <c r="P18" s="2784">
        <f t="shared" ref="P18" si="17">SUM(P16:P17)</f>
        <v>1123.93885701721</v>
      </c>
      <c r="Q18" s="1825">
        <f>SUM(Q16:Q17)</f>
        <v>1120.0830905778221</v>
      </c>
      <c r="R18" s="2319">
        <f t="shared" ref="R18:T18" si="18">SUM(R16:R17)</f>
        <v>1114.95652173913</v>
      </c>
      <c r="S18" s="2817">
        <f t="shared" si="18"/>
        <v>1118.9277492267979</v>
      </c>
      <c r="T18" s="2784">
        <f t="shared" si="18"/>
        <v>1121.6593723427941</v>
      </c>
      <c r="U18" s="1825">
        <f>SUM(U16:U17)</f>
        <v>1119.8159474565743</v>
      </c>
      <c r="V18" s="2319">
        <f t="shared" ref="V18:Z18" si="19">SUM(V16:V17)</f>
        <v>1114.95652173913</v>
      </c>
      <c r="W18" s="2817">
        <f t="shared" si="19"/>
        <v>1115.1692786218448</v>
      </c>
      <c r="X18" s="2951">
        <f t="shared" si="19"/>
        <v>1114.95652173913</v>
      </c>
      <c r="Y18" s="5711">
        <f t="shared" si="19"/>
        <v>1120.8649536289015</v>
      </c>
      <c r="Z18" s="6511">
        <f t="shared" si="19"/>
        <v>1120.3169406798797</v>
      </c>
      <c r="AA18" s="6594">
        <f>SUM(AA16:AA17)</f>
        <v>1119.3465682506996</v>
      </c>
      <c r="AB18" s="2319">
        <f t="shared" ref="AB18:AD18" si="20">SUM(AB16:AB17)</f>
        <v>1115</v>
      </c>
      <c r="AC18" s="2817">
        <f t="shared" si="20"/>
        <v>1113.7231080739052</v>
      </c>
      <c r="AD18" s="2784">
        <f t="shared" si="20"/>
        <v>1119.8102853407743</v>
      </c>
      <c r="AE18" s="1825">
        <f>SUM(AE16:AE17)</f>
        <v>1118.7469056433076</v>
      </c>
      <c r="AF18" s="2319">
        <f t="shared" ref="AF18:AH18" si="21">SUM(AF16:AF17)</f>
        <v>1115</v>
      </c>
      <c r="AG18" s="2817">
        <f t="shared" si="21"/>
        <v>1115.4634006589315</v>
      </c>
      <c r="AH18" s="2784">
        <f t="shared" si="21"/>
        <v>1119.0755866514799</v>
      </c>
      <c r="AI18" s="1825">
        <f>SUM(AI16:AI17)</f>
        <v>1118.3168074393261</v>
      </c>
      <c r="AJ18" s="2319">
        <f t="shared" ref="AJ18:AN18" si="22">SUM(AJ16:AJ17)</f>
        <v>1115</v>
      </c>
      <c r="AK18" s="2817">
        <f t="shared" si="22"/>
        <v>1112.5569213369445</v>
      </c>
      <c r="AL18" s="2951">
        <f t="shared" si="22"/>
        <v>1115</v>
      </c>
      <c r="AM18" s="5711">
        <f t="shared" si="22"/>
        <v>1113.8389232018503</v>
      </c>
      <c r="AN18" s="2784">
        <f t="shared" si="22"/>
        <v>1118.5126597693768</v>
      </c>
      <c r="AO18" s="1825">
        <f>SUM(AO16:AO17)</f>
        <v>1117.532599939379</v>
      </c>
      <c r="AP18" s="2319">
        <f t="shared" ref="AP18:AR18" si="23">SUM(AP16:AP17)</f>
        <v>1115</v>
      </c>
      <c r="AQ18" s="2817">
        <f t="shared" si="23"/>
        <v>1107.3015936076915</v>
      </c>
      <c r="AR18" s="2784">
        <f t="shared" si="23"/>
        <v>1118.0923820663686</v>
      </c>
      <c r="AS18" s="1825">
        <f>SUM(AS16:AS17)</f>
        <v>1116.0971945947263</v>
      </c>
      <c r="AT18" s="2319">
        <f t="shared" ref="AT18:AU18" si="24">SUM(AT16:AT17)</f>
        <v>1115</v>
      </c>
      <c r="AU18" s="2817">
        <f t="shared" si="24"/>
        <v>1100.1316429462643</v>
      </c>
      <c r="AV18" s="2784">
        <f t="shared" ref="AV18" si="25">SUM(AV16:AV17)</f>
        <v>1117.784419805344</v>
      </c>
      <c r="AW18" s="1825">
        <f>SUM(AW16:AW17)</f>
        <v>1114.2381524895452</v>
      </c>
      <c r="AX18" s="2319">
        <f t="shared" ref="AX18:AY18" si="26">SUM(AX16:AX17)</f>
        <v>1115</v>
      </c>
      <c r="AY18" s="2817">
        <f t="shared" si="26"/>
        <v>1098.1705676620929</v>
      </c>
      <c r="AZ18" s="2951">
        <f t="shared" ref="AZ18:BD18" si="27">SUM(AZ16:AZ17)</f>
        <v>1114.9996345104382</v>
      </c>
      <c r="BA18" s="5711">
        <f t="shared" si="27"/>
        <v>1101.7720260457836</v>
      </c>
      <c r="BB18" s="2951">
        <f t="shared" ref="BB18:BC18" si="28">SUM(BB16:BB17)</f>
        <v>1114.99980220109</v>
      </c>
      <c r="BC18" s="5711">
        <f t="shared" si="28"/>
        <v>1106.5800916734074</v>
      </c>
      <c r="BD18" s="6511">
        <f t="shared" si="27"/>
        <v>1117.5084472560443</v>
      </c>
      <c r="BE18" s="6594">
        <f>SUM(BE16:BE17)</f>
        <v>1112.298492015678</v>
      </c>
      <c r="BF18" s="5387">
        <v>1115</v>
      </c>
      <c r="BG18" s="5388">
        <v>1119.1948111235938</v>
      </c>
      <c r="BH18" s="5312">
        <v>1119.4604132157881</v>
      </c>
    </row>
    <row r="19" spans="2:60" s="3380" customFormat="1" ht="17" thickBot="1" x14ac:dyDescent="0.25">
      <c r="B19" s="7812" t="s">
        <v>1376</v>
      </c>
      <c r="C19" s="5858" t="s">
        <v>766</v>
      </c>
      <c r="D19" s="4710">
        <f t="shared" ref="D19" si="29">D53+D54+D55</f>
        <v>20.592129443430377</v>
      </c>
      <c r="E19" s="4710">
        <f>E53+E54+E55</f>
        <v>20.612257525600967</v>
      </c>
      <c r="F19" s="4710">
        <f t="shared" ref="F19:AE19" si="30">F53+F54+F55</f>
        <v>20.342062351548364</v>
      </c>
      <c r="G19" s="4710">
        <f t="shared" si="30"/>
        <v>20.342062351548364</v>
      </c>
      <c r="H19" s="4710">
        <f t="shared" si="30"/>
        <v>20.464718981771277</v>
      </c>
      <c r="I19" s="4710">
        <f t="shared" si="30"/>
        <v>20.474591703181016</v>
      </c>
      <c r="J19" s="4710">
        <f t="shared" si="30"/>
        <v>21</v>
      </c>
      <c r="K19" s="4710">
        <f t="shared" si="30"/>
        <v>20.354995861095656</v>
      </c>
      <c r="L19" s="4710">
        <f t="shared" si="30"/>
        <v>20.668428968233453</v>
      </c>
      <c r="M19" s="4710">
        <f t="shared" si="30"/>
        <v>20.431702990678314</v>
      </c>
      <c r="N19" s="4710">
        <f t="shared" si="30"/>
        <v>21</v>
      </c>
      <c r="O19" s="4710">
        <f t="shared" si="30"/>
        <v>20.226310981861566</v>
      </c>
      <c r="P19" s="4710">
        <f t="shared" si="30"/>
        <v>20.781849413023416</v>
      </c>
      <c r="Q19" s="4710">
        <f t="shared" si="30"/>
        <v>20.373907600200031</v>
      </c>
      <c r="R19" s="4710">
        <f t="shared" si="30"/>
        <v>21</v>
      </c>
      <c r="S19" s="4710">
        <f t="shared" si="30"/>
        <v>20.475315675650538</v>
      </c>
      <c r="T19" s="4710">
        <f t="shared" si="30"/>
        <v>20.837210397036273</v>
      </c>
      <c r="U19" s="4710">
        <f t="shared" si="30"/>
        <v>20.397355622528288</v>
      </c>
      <c r="V19" s="4710">
        <f t="shared" si="30"/>
        <v>21</v>
      </c>
      <c r="W19" s="4710">
        <f t="shared" si="30"/>
        <v>20.385213542289748</v>
      </c>
      <c r="X19" s="4710">
        <f t="shared" si="30"/>
        <v>21</v>
      </c>
      <c r="Y19" s="4710">
        <f t="shared" si="30"/>
        <v>20.361029551221879</v>
      </c>
      <c r="Z19" s="4710">
        <f t="shared" si="30"/>
        <v>20.869813528201437</v>
      </c>
      <c r="AA19" s="4710">
        <f t="shared" si="30"/>
        <v>20.396129100866698</v>
      </c>
      <c r="AB19" s="4710">
        <f t="shared" si="30"/>
        <v>21</v>
      </c>
      <c r="AC19" s="4710">
        <f t="shared" si="30"/>
        <v>20.329030625158186</v>
      </c>
      <c r="AD19" s="4710">
        <f t="shared" si="30"/>
        <v>20.882219096551232</v>
      </c>
      <c r="AE19" s="4710">
        <f t="shared" si="30"/>
        <v>20.388973996068156</v>
      </c>
      <c r="AF19" s="4710">
        <f t="shared" ref="AF19:AO19" si="31">AF53+AF54+AF55</f>
        <v>21</v>
      </c>
      <c r="AG19" s="4710">
        <f t="shared" si="31"/>
        <v>20.495630998424289</v>
      </c>
      <c r="AH19" s="4710">
        <f t="shared" si="31"/>
        <v>20.90020835690845</v>
      </c>
      <c r="AI19" s="4710">
        <f t="shared" si="31"/>
        <v>20.402944733244958</v>
      </c>
      <c r="AJ19" s="4710">
        <f t="shared" si="31"/>
        <v>21</v>
      </c>
      <c r="AK19" s="4710">
        <f t="shared" si="31"/>
        <v>20.333938510074702</v>
      </c>
      <c r="AL19" s="4710">
        <f t="shared" si="31"/>
        <v>21</v>
      </c>
      <c r="AM19" s="4710">
        <f t="shared" si="31"/>
        <v>20.388296956125885</v>
      </c>
      <c r="AN19" s="4710">
        <f t="shared" si="31"/>
        <v>20.913991746469083</v>
      </c>
      <c r="AO19" s="4710">
        <f t="shared" si="31"/>
        <v>20.39354954785566</v>
      </c>
      <c r="AP19" s="4710">
        <f t="shared" ref="AP19:AS19" si="32">AP53+AP54+AP55</f>
        <v>21</v>
      </c>
      <c r="AQ19" s="4710">
        <f t="shared" si="32"/>
        <v>20.5098154116613</v>
      </c>
      <c r="AR19" s="4710">
        <f t="shared" si="32"/>
        <v>20.92428233924122</v>
      </c>
      <c r="AS19" s="4710">
        <f t="shared" si="32"/>
        <v>20.409861593503638</v>
      </c>
      <c r="AT19" s="4710">
        <f t="shared" ref="AT19:AU19" si="33">AT53+AT54+AT55</f>
        <v>21</v>
      </c>
      <c r="AU19" s="4710">
        <f t="shared" si="33"/>
        <v>20.787954406073549</v>
      </c>
      <c r="AV19" s="4710">
        <f t="shared" ref="AV19:AY19" si="34">AV53+AV54+AV55</f>
        <v>20.931822035321275</v>
      </c>
      <c r="AW19" s="4710">
        <f t="shared" si="34"/>
        <v>20.453887034885831</v>
      </c>
      <c r="AX19" s="4710">
        <f t="shared" si="34"/>
        <v>21</v>
      </c>
      <c r="AY19" s="4710">
        <f t="shared" si="34"/>
        <v>18.455743879472692</v>
      </c>
      <c r="AZ19" s="4710">
        <f t="shared" ref="AZ19:BE19" si="35">AZ53+AZ54+AZ55</f>
        <v>21</v>
      </c>
      <c r="BA19" s="4710">
        <f t="shared" si="35"/>
        <v>19.848908375235315</v>
      </c>
      <c r="BB19" s="4710">
        <f t="shared" ref="BB19:BC19" si="36">BB53+BB54+BB55</f>
        <v>21.000000000000004</v>
      </c>
      <c r="BC19" s="4710">
        <f t="shared" si="36"/>
        <v>20.063828222663432</v>
      </c>
      <c r="BD19" s="4710">
        <f t="shared" si="35"/>
        <v>20.938577554449214</v>
      </c>
      <c r="BE19" s="4710">
        <f t="shared" si="35"/>
        <v>20.212673477197818</v>
      </c>
      <c r="BF19" s="5856">
        <v>21</v>
      </c>
      <c r="BG19" s="7813">
        <v>21.832464031742681</v>
      </c>
      <c r="BH19" s="5856">
        <v>23.120676252165847</v>
      </c>
    </row>
    <row r="20" spans="2:60" s="3380" customFormat="1" ht="19" thickBot="1" x14ac:dyDescent="0.25">
      <c r="B20" s="5396" t="s">
        <v>881</v>
      </c>
      <c r="C20" s="5397"/>
      <c r="D20" s="5399"/>
      <c r="E20" s="5398"/>
      <c r="F20" s="5399"/>
      <c r="G20" s="5398"/>
      <c r="H20" s="5399"/>
      <c r="I20" s="5397"/>
      <c r="J20" s="5399"/>
      <c r="K20" s="5398"/>
      <c r="L20" s="5399"/>
      <c r="M20" s="5397"/>
      <c r="N20" s="5399"/>
      <c r="O20" s="5398"/>
      <c r="P20" s="5399"/>
      <c r="Q20" s="5400"/>
      <c r="R20" s="5399"/>
      <c r="S20" s="5398"/>
      <c r="T20" s="5399"/>
      <c r="U20" s="5400"/>
      <c r="V20" s="5399"/>
      <c r="W20" s="5398"/>
      <c r="X20" s="5399"/>
      <c r="Y20" s="5397"/>
      <c r="Z20" s="5399"/>
      <c r="AA20" s="5400"/>
      <c r="AB20" s="5399"/>
      <c r="AC20" s="5398"/>
      <c r="AD20" s="5399"/>
      <c r="AE20" s="5400"/>
      <c r="AF20" s="5399"/>
      <c r="AG20" s="5398"/>
      <c r="AH20" s="5399"/>
      <c r="AI20" s="5400"/>
      <c r="AJ20" s="5399"/>
      <c r="AK20" s="5398"/>
      <c r="AL20" s="5399"/>
      <c r="AM20" s="5397"/>
      <c r="AN20" s="5399"/>
      <c r="AO20" s="5400"/>
      <c r="AP20" s="5399"/>
      <c r="AQ20" s="5398"/>
      <c r="AR20" s="5399"/>
      <c r="AS20" s="5400"/>
      <c r="AT20" s="5399"/>
      <c r="AU20" s="5398"/>
      <c r="AV20" s="5399"/>
      <c r="AW20" s="5400"/>
      <c r="AX20" s="5399"/>
      <c r="AY20" s="5398"/>
      <c r="AZ20" s="5399"/>
      <c r="BA20" s="5397"/>
      <c r="BB20" s="5399"/>
      <c r="BC20" s="5397"/>
      <c r="BD20" s="5399"/>
      <c r="BE20" s="5400"/>
      <c r="BF20" s="5405"/>
      <c r="BG20" s="5405"/>
      <c r="BH20" s="6896"/>
    </row>
    <row r="21" spans="2:60" x14ac:dyDescent="0.2">
      <c r="B21" s="1609" t="s">
        <v>129</v>
      </c>
      <c r="C21" s="1545" t="s">
        <v>169</v>
      </c>
      <c r="D21" s="3224">
        <f>+('Maj Prod Summ'!D28/WRM!E5)*100</f>
        <v>95.03718099999999</v>
      </c>
      <c r="E21" s="2723">
        <f>+('Maj Prod Summ'!E28/WRM!F5)*100</f>
        <v>95.037180955253845</v>
      </c>
      <c r="F21" s="3224">
        <f>+('Maj Prod Summ'!F28/WRM!G5)*100</f>
        <v>95.693366999999995</v>
      </c>
      <c r="G21" s="2723">
        <f>+('Maj Prod Summ'!G28/WRM!H5)*100</f>
        <v>95.694883893042061</v>
      </c>
      <c r="H21" s="2793">
        <f>+('Maj Prod Summ'!H28/WRM!I5)*100</f>
        <v>95.397971473063393</v>
      </c>
      <c r="I21" s="1863">
        <f>+('Maj Prod Summ'!I28/WRM!J5)*100</f>
        <v>95.398802905002285</v>
      </c>
      <c r="J21" s="3224">
        <f>+('Maj Prod Summ'!J28/WRM!K5)*100</f>
        <v>95</v>
      </c>
      <c r="K21" s="2723">
        <f>+('Maj Prod Summ'!K28/WRM!L5)*100</f>
        <v>95.952244183101826</v>
      </c>
      <c r="L21" s="2879">
        <f>+('Maj Prod Summ'!L28/WRM!M5)*100</f>
        <v>95.187220920508139</v>
      </c>
      <c r="M21" s="4775">
        <f>+('Maj Prod Summ'!M28/WRM!N5)*100</f>
        <v>95.671683061390297</v>
      </c>
      <c r="N21" s="3224">
        <f>+('Maj Prod Summ'!N28/WRM!O5)*100</f>
        <v>96.2</v>
      </c>
      <c r="O21" s="2723">
        <f>+('Maj Prod Summ'!O28/WRM!P5)*100</f>
        <v>95.93372375227203</v>
      </c>
      <c r="P21" s="2793">
        <f>+('Maj Prod Summ'!P28/WRM!Q5)*100</f>
        <v>95.529153827286237</v>
      </c>
      <c r="Q21" s="1863">
        <f>+('Maj Prod Summ'!Q28/WRM!R5)*100</f>
        <v>95.760617703629208</v>
      </c>
      <c r="R21" s="3224">
        <f>+('Maj Prod Summ'!R28/WRM!S5)*100</f>
        <v>96.2</v>
      </c>
      <c r="S21" s="2723">
        <f>+('Maj Prod Summ'!S28/WRM!T5)*100</f>
        <v>95.958678726881558</v>
      </c>
      <c r="T21" s="2793">
        <f>+('Maj Prod Summ'!T28/WRM!U5)*100</f>
        <v>95.698477184694895</v>
      </c>
      <c r="U21" s="1863">
        <f>+('Maj Prod Summ'!U28/WRM!V5)*100</f>
        <v>95.812367795728974</v>
      </c>
      <c r="V21" s="3224">
        <f>+('Maj Prod Summ'!V28/WRM!W5)*100</f>
        <v>96.2</v>
      </c>
      <c r="W21" s="2723">
        <f>+('Maj Prod Summ'!W28/WRM!X5)*100</f>
        <v>95.464088443436239</v>
      </c>
      <c r="X21" s="2879">
        <f>+('Maj Prod Summ'!X28/WRM!Y5)*100</f>
        <v>96.2</v>
      </c>
      <c r="Y21" s="4775">
        <f>+('Maj Prod Summ'!Y28/WRM!Z5)*100</f>
        <v>95.80679364878084</v>
      </c>
      <c r="Z21" s="6618">
        <f>+('Maj Prod Summ'!Z28/WRM!AA5)*100</f>
        <v>95.792512353042696</v>
      </c>
      <c r="AA21" s="6603">
        <f>+('Maj Prod Summ'!AA28/WRM!AB5)*100</f>
        <v>95.752242103491596</v>
      </c>
      <c r="AB21" s="3224">
        <f>+('Maj Prod Summ'!AB28/WRM!AC5)*100</f>
        <v>96.5</v>
      </c>
      <c r="AC21" s="2723">
        <f>+('Maj Prod Summ'!AC28/WRM!AD5)*100</f>
        <v>94.481748837330699</v>
      </c>
      <c r="AD21" s="2793">
        <f>+('Maj Prod Summ'!AD28/WRM!AE5)*100</f>
        <v>95.926506513775038</v>
      </c>
      <c r="AE21" s="1863">
        <f>+('Maj Prod Summ'!AE28/WRM!AF5)*100</f>
        <v>95.564209551033258</v>
      </c>
      <c r="AF21" s="3224">
        <f>+('Maj Prod Summ'!AF28/WRM!AG5)*100</f>
        <v>96.5</v>
      </c>
      <c r="AG21" s="2723">
        <f>+('Maj Prod Summ'!AG28/WRM!AH5)*100</f>
        <v>93.61528964823485</v>
      </c>
      <c r="AH21" s="2793">
        <f>+('Maj Prod Summ'!AH28/WRM!AI5)*100</f>
        <v>96.027697923818096</v>
      </c>
      <c r="AI21" s="1863">
        <f>+('Maj Prod Summ'!AI28/WRM!AJ5)*100</f>
        <v>95.264516275048621</v>
      </c>
      <c r="AJ21" s="3224">
        <f>+('Maj Prod Summ'!AJ28/WRM!AK5)*100</f>
        <v>96.5</v>
      </c>
      <c r="AK21" s="2723">
        <f>+('Maj Prod Summ'!AK28/WRM!AL5)*100</f>
        <v>94.154124484837496</v>
      </c>
      <c r="AL21" s="2879">
        <f>+('Maj Prod Summ'!AL28/WRM!AM5)*100</f>
        <v>96.5</v>
      </c>
      <c r="AM21" s="4775">
        <f>+('Maj Prod Summ'!AM28/WRM!AN5)*100</f>
        <v>94.059295819364294</v>
      </c>
      <c r="AN21" s="2793">
        <f>+('Maj Prod Summ'!AN28/WRM!AO5)*100</f>
        <v>96.099920044972436</v>
      </c>
      <c r="AO21" s="1863">
        <f>+('Maj Prod Summ'!AO28/WRM!AP5)*100</f>
        <v>95.109660253859388</v>
      </c>
      <c r="AP21" s="3224">
        <f>+('Maj Prod Summ'!AP28/WRM!AQ5)*100</f>
        <v>96.5</v>
      </c>
      <c r="AQ21" s="2723">
        <f>+('Maj Prod Summ'!AQ28/WRM!AR5)*100</f>
        <v>94.308552368472533</v>
      </c>
      <c r="AR21" s="2793">
        <f>+('Maj Prod Summ'!AR28/WRM!AS5)*100</f>
        <v>96.152984028400098</v>
      </c>
      <c r="AS21" s="1863">
        <f>+('Maj Prod Summ'!AS28/WRM!AT5)*100</f>
        <v>95.008549109511961</v>
      </c>
      <c r="AT21" s="3224">
        <f>+('Maj Prod Summ'!AT28/WRM!AU5)*100</f>
        <v>96.499861380648738</v>
      </c>
      <c r="AU21" s="2723">
        <f>+('Maj Prod Summ'!AU28/WRM!AV5)*100</f>
        <v>94.434101505235773</v>
      </c>
      <c r="AV21" s="2793">
        <f>+('Maj Prod Summ'!AV28/WRM!AW5)*100</f>
        <v>96.190057979871199</v>
      </c>
      <c r="AW21" s="1863">
        <f>+('Maj Prod Summ'!AW28/WRM!AX5)*100</f>
        <v>94.952332620420947</v>
      </c>
      <c r="AX21" s="3224">
        <f>+('Maj Prod Summ'!AX28/WRM!AY5)*100</f>
        <v>96.500218304295402</v>
      </c>
      <c r="AY21" s="2723">
        <f>+('Maj Prod Summ'!AY28/WRM!AZ5)*100</f>
        <v>95.011671012357439</v>
      </c>
      <c r="AZ21" s="2879">
        <f>+('Maj Prod Summ'!AZ28/WRM!BA5)*100</f>
        <v>96.500032291607027</v>
      </c>
      <c r="BA21" s="4775">
        <f>+('Maj Prod Summ'!BA28/WRM!BB5)*100</f>
        <v>94.598993357702156</v>
      </c>
      <c r="BB21" s="2879">
        <f>+('Maj Prod Summ'!BB28/WRM!BC5)*100</f>
        <v>96.500016323867541</v>
      </c>
      <c r="BC21" s="4775">
        <f>+('Maj Prod Summ'!BC28/WRM!BD5)*100</f>
        <v>94.342745498849993</v>
      </c>
      <c r="BD21" s="8379">
        <f>+('Maj Prod Summ'!BD28/WRM!BE5)*100</f>
        <v>96.222984019632065</v>
      </c>
      <c r="BE21" s="8379">
        <f>+('Maj Prod Summ'!BE28/WRM!BF5)*100</f>
        <v>94.958654249153824</v>
      </c>
      <c r="BF21" s="5406">
        <v>96.5</v>
      </c>
      <c r="BG21" s="5407">
        <v>96.195270984402612</v>
      </c>
      <c r="BH21" s="6897">
        <v>96.032658515622913</v>
      </c>
    </row>
    <row r="22" spans="2:60" x14ac:dyDescent="0.2">
      <c r="B22" s="1609" t="s">
        <v>318</v>
      </c>
      <c r="C22" s="1545" t="s">
        <v>169</v>
      </c>
      <c r="D22" s="3224">
        <f>+('Maj Prod Summ'!D29/BM!E5)*100</f>
        <v>92.39899010000002</v>
      </c>
      <c r="E22" s="2723">
        <f>+('Maj Prod Summ'!E29/BM!F5)*100</f>
        <v>92.398990072402583</v>
      </c>
      <c r="F22" s="3224">
        <f>+('Maj Prod Summ'!F29/BM!G5)*100</f>
        <v>95.462710193999996</v>
      </c>
      <c r="G22" s="2723">
        <f>+('Maj Prod Summ'!G29/BM!H5)*100</f>
        <v>95.462994101853667</v>
      </c>
      <c r="H22" s="2793">
        <f>+('Maj Prod Summ'!H29/BM!I5)*100</f>
        <v>94.971786720732283</v>
      </c>
      <c r="I22" s="1863">
        <f>+('Maj Prod Summ'!I29/BM!J5)*100</f>
        <v>94.972023905119116</v>
      </c>
      <c r="J22" s="3224">
        <f>+('Maj Prod Summ'!J29/BM!K5)*100</f>
        <v>95</v>
      </c>
      <c r="K22" s="2723">
        <f>+('Maj Prod Summ'!K29/BM!L5)*100</f>
        <v>94.819005973523502</v>
      </c>
      <c r="L22" s="2879">
        <f>+('Maj Prod Summ'!L29/BM!M5)*100</f>
        <v>94.984419129585476</v>
      </c>
      <c r="M22" s="4775">
        <f>+('Maj Prod Summ'!M29/BM!N5)*100</f>
        <v>94.913355161571729</v>
      </c>
      <c r="N22" s="3224">
        <f>+('Maj Prod Summ'!N29/BM!O5)*100</f>
        <v>96.2</v>
      </c>
      <c r="O22" s="2723">
        <f>+('Maj Prod Summ'!O29/BM!P5)*100</f>
        <v>95.171347290560888</v>
      </c>
      <c r="P22" s="2793">
        <f>+('Maj Prod Summ'!P29/BM!Q5)*100</f>
        <v>95.453089404575238</v>
      </c>
      <c r="Q22" s="1863">
        <f>+('Maj Prod Summ'!Q29/BM!R5)*100</f>
        <v>94.970922834449766</v>
      </c>
      <c r="R22" s="3224">
        <f>+('Maj Prod Summ'!R29/BM!S5)*100</f>
        <v>96.200000000000017</v>
      </c>
      <c r="S22" s="2723">
        <f>+('Maj Prod Summ'!S29/BM!T5)*100</f>
        <v>94.782972031763819</v>
      </c>
      <c r="T22" s="2793">
        <f>+('Maj Prod Summ'!T29/BM!U5)*100</f>
        <v>95.649097738645082</v>
      </c>
      <c r="U22" s="1863">
        <f>+('Maj Prod Summ'!U29/BM!V5)*100</f>
        <v>94.929193368556611</v>
      </c>
      <c r="V22" s="3224">
        <f>+('Maj Prod Summ'!V29/BM!W5)*100</f>
        <v>96.2</v>
      </c>
      <c r="W22" s="2723">
        <f>+('Maj Prod Summ'!W29/BM!X5)*100</f>
        <v>94.266501526208273</v>
      </c>
      <c r="X22" s="2879">
        <f>+('Maj Prod Summ'!X29/BM!Y5)*100</f>
        <v>96.200000000000017</v>
      </c>
      <c r="Y22" s="4775">
        <f>+('Maj Prod Summ'!Y29/BM!Z5)*100</f>
        <v>94.700610727265243</v>
      </c>
      <c r="Z22" s="6618">
        <f>+('Maj Prod Summ'!Z29/BM!AA5)*100</f>
        <v>95.768508499755058</v>
      </c>
      <c r="AA22" s="6603">
        <f>+('Maj Prod Summ'!AA29/BM!AB5)*100</f>
        <v>94.805115170570502</v>
      </c>
      <c r="AB22" s="3224">
        <f>+('Maj Prod Summ'!AB29/BM!AC5)*100</f>
        <v>96.5</v>
      </c>
      <c r="AC22" s="2723">
        <f>+('Maj Prod Summ'!AC29/BM!AD5)*100</f>
        <v>94.703436204707941</v>
      </c>
      <c r="AD22" s="2793">
        <f>+('Maj Prod Summ'!AD29/BM!AE5)*100</f>
        <v>95.88337197231715</v>
      </c>
      <c r="AE22" s="1863">
        <f>+('Maj Prod Summ'!AE29/BM!AF5)*100</f>
        <v>94.790149300537138</v>
      </c>
      <c r="AF22" s="3224">
        <f>+('Maj Prod Summ'!AF29/BM!AG5)*100</f>
        <v>96.499999999999986</v>
      </c>
      <c r="AG22" s="2723">
        <f>+('Maj Prod Summ'!AG29/BM!AH5)*100</f>
        <v>94.80678689641428</v>
      </c>
      <c r="AH22" s="2793">
        <f>+('Maj Prod Summ'!AH29/BM!AI5)*100</f>
        <v>95.997274590691518</v>
      </c>
      <c r="AI22" s="1863">
        <f>+('Maj Prod Summ'!AI29/BM!AJ5)*100</f>
        <v>94.792884612090063</v>
      </c>
      <c r="AJ22" s="3224">
        <f>+('Maj Prod Summ'!AJ29/BM!AK5)*100</f>
        <v>96.5</v>
      </c>
      <c r="AK22" s="2723">
        <f>+('Maj Prod Summ'!AK29/BM!AL5)*100</f>
        <v>95.859370017289905</v>
      </c>
      <c r="AL22" s="2879">
        <f>+('Maj Prod Summ'!AL29/BM!AM5)*100</f>
        <v>96.5</v>
      </c>
      <c r="AM22" s="4775">
        <f>+('Maj Prod Summ'!AM29/BM!AN5)*100</f>
        <v>95.248305987554843</v>
      </c>
      <c r="AN22" s="2793">
        <f>+('Maj Prod Summ'!AN29/BM!AO5)*100</f>
        <v>96.076392218761555</v>
      </c>
      <c r="AO22" s="1863">
        <f>+('Maj Prod Summ'!AO29/BM!AP5)*100</f>
        <v>94.991218843631003</v>
      </c>
      <c r="AP22" s="3224">
        <f>+('Maj Prod Summ'!AP29/BM!AQ5)*100</f>
        <v>96.500000000000014</v>
      </c>
      <c r="AQ22" s="2723">
        <f>+('Maj Prod Summ'!AQ29/BM!AR5)*100</f>
        <v>95.476548304512576</v>
      </c>
      <c r="AR22" s="2793">
        <f>+('Maj Prod Summ'!AR29/BM!AS5)*100</f>
        <v>96.134357637265694</v>
      </c>
      <c r="AS22" s="1863">
        <f>+('Maj Prod Summ'!AS29/BM!AT5)*100</f>
        <v>95.056448556874699</v>
      </c>
      <c r="AT22" s="3224">
        <f>+('Maj Prod Summ'!AT29/BM!AU5)*100</f>
        <v>96.49971830172052</v>
      </c>
      <c r="AU22" s="2723">
        <f>+('Maj Prod Summ'!AU29/BM!AV5)*100</f>
        <v>95.614010520388476</v>
      </c>
      <c r="AV22" s="2793">
        <f>+('Maj Prod Summ'!AV29/BM!AW5)*100</f>
        <v>96.174779407369954</v>
      </c>
      <c r="AW22" s="1863">
        <f>+('Maj Prod Summ'!AW29/BM!AX5)*100</f>
        <v>95.125910444070144</v>
      </c>
      <c r="AX22" s="3224">
        <f>+('Maj Prod Summ'!AX29/BM!AY5)*100</f>
        <v>96.499373144176843</v>
      </c>
      <c r="AY22" s="2723">
        <f>+('Maj Prod Summ'!AY29/BM!AZ5)*100</f>
        <v>95.560100421847835</v>
      </c>
      <c r="AZ22" s="2879">
        <f>+('Maj Prod Summ'!AZ29/BM!BA5)*100</f>
        <v>96.499697028725976</v>
      </c>
      <c r="BA22" s="4775">
        <f>+('Maj Prod Summ'!BA29/BM!BB5)*100</f>
        <v>95.55173781122906</v>
      </c>
      <c r="BB22" s="2879">
        <f>+('Maj Prod Summ'!BB29/BM!BC5)*100</f>
        <v>96.499841722986119</v>
      </c>
      <c r="BC22" s="4775">
        <f>+('Maj Prod Summ'!BC29/BM!BD5)*100</f>
        <v>95.411934792272291</v>
      </c>
      <c r="BD22" s="8379">
        <f>+('Maj Prod Summ'!BD29/BM!BE5)*100</f>
        <v>96.209843463927712</v>
      </c>
      <c r="BE22" s="8379">
        <f>+('Maj Prod Summ'!BE29/BM!BF5)*100</f>
        <v>95.175924318366739</v>
      </c>
      <c r="BF22" s="5408">
        <v>96.5</v>
      </c>
      <c r="BG22" s="5409">
        <v>96.065592581466589</v>
      </c>
      <c r="BH22" s="6898">
        <v>96.054939695674079</v>
      </c>
    </row>
    <row r="23" spans="2:60" ht="16" thickBot="1" x14ac:dyDescent="0.25">
      <c r="B23" s="1614" t="s">
        <v>401</v>
      </c>
      <c r="C23" s="1577" t="s">
        <v>169</v>
      </c>
      <c r="D23" s="3225" t="e">
        <f>+('Maj Prod Summ'!D30/USM!F5)*100</f>
        <v>#DIV/0!</v>
      </c>
      <c r="E23" s="7462" t="e">
        <f>+('Maj Prod Summ'!E30/USM!G5)*100</f>
        <v>#DIV/0!</v>
      </c>
      <c r="F23" s="3225" t="e">
        <f>+('Maj Prod Summ'!F30/USM!H5)*100</f>
        <v>#DIV/0!</v>
      </c>
      <c r="G23" s="7462" t="e">
        <f>+('Maj Prod Summ'!G30/USM!I5)*100</f>
        <v>#DIV/0!</v>
      </c>
      <c r="H23" s="2981" t="e">
        <f>+('Maj Prod Summ'!H30/USM!J5)*100</f>
        <v>#DIV/0!</v>
      </c>
      <c r="I23" s="7463" t="e">
        <f>+('Maj Prod Summ'!I30/USM!K5)*100</f>
        <v>#DIV/0!</v>
      </c>
      <c r="J23" s="3225" t="e">
        <f>+('Maj Prod Summ'!J30/USM!L5)*100</f>
        <v>#DIV/0!</v>
      </c>
      <c r="K23" s="7462" t="e">
        <f>+('Maj Prod Summ'!K30/USM!M5)*100</f>
        <v>#DIV/0!</v>
      </c>
      <c r="L23" s="7464" t="e">
        <f>+('Maj Prod Summ'!L30/USM!N5)*100</f>
        <v>#DIV/0!</v>
      </c>
      <c r="M23" s="7465" t="e">
        <f>+('Maj Prod Summ'!M30/USM!O5)*100</f>
        <v>#DIV/0!</v>
      </c>
      <c r="N23" s="3225">
        <f>+('Maj Prod Summ'!N30/USM!P5)*100</f>
        <v>95.7</v>
      </c>
      <c r="O23" s="7462" t="e">
        <f>+('Maj Prod Summ'!O30/USM!Q5)*100</f>
        <v>#DIV/0!</v>
      </c>
      <c r="P23" s="2981">
        <f>+('Maj Prod Summ'!P30/USM!R5)*100</f>
        <v>95.7</v>
      </c>
      <c r="Q23" s="7463" t="e">
        <f>+('Maj Prod Summ'!Q30/USM!S5)*100</f>
        <v>#DIV/0!</v>
      </c>
      <c r="R23" s="3225">
        <f>+('Maj Prod Summ'!R30/USM!T5)*100</f>
        <v>95.7</v>
      </c>
      <c r="S23" s="7462" t="e">
        <f>+('Maj Prod Summ'!S30/USM!U5)*100</f>
        <v>#DIV/0!</v>
      </c>
      <c r="T23" s="2981">
        <f>+('Maj Prod Summ'!T30/USM!V5)*100</f>
        <v>95.7</v>
      </c>
      <c r="U23" s="7463" t="e">
        <f>+('Maj Prod Summ'!U30/USM!W5)*100</f>
        <v>#DIV/0!</v>
      </c>
      <c r="V23" s="3225">
        <f>+('Maj Prod Summ'!V30/USM!X5)*100</f>
        <v>95.7</v>
      </c>
      <c r="W23" s="7462" t="e">
        <f>+('Maj Prod Summ'!W30/USM!Y5)*100</f>
        <v>#DIV/0!</v>
      </c>
      <c r="X23" s="7464">
        <f>+('Maj Prod Summ'!X30/USM!Z5)*100</f>
        <v>95.7</v>
      </c>
      <c r="Y23" s="7465" t="e">
        <f>+('Maj Prod Summ'!Y30/USM!AA5)*100</f>
        <v>#DIV/0!</v>
      </c>
      <c r="Z23" s="7466">
        <f>+('Maj Prod Summ'!Z30/USM!AB5)*100</f>
        <v>95.7</v>
      </c>
      <c r="AA23" s="7467" t="e">
        <f>+('Maj Prod Summ'!AA30/USM!AC5)*100</f>
        <v>#DIV/0!</v>
      </c>
      <c r="AB23" s="3225">
        <f>+('Maj Prod Summ'!AB30/USM!AD5)*100</f>
        <v>95.7</v>
      </c>
      <c r="AC23" s="7462">
        <f>+('Maj Prod Summ'!AC30/USM!AE5)*100</f>
        <v>94.89357741866506</v>
      </c>
      <c r="AD23" s="2981">
        <f>+('Maj Prod Summ'!AD30/USM!AF5)*100</f>
        <v>95.700000000000017</v>
      </c>
      <c r="AE23" s="7463">
        <f>+('Maj Prod Summ'!AE30/USM!AG5)*100</f>
        <v>94.89357741866506</v>
      </c>
      <c r="AF23" s="3225">
        <f>+('Maj Prod Summ'!AF30/USM!AH5)*100</f>
        <v>95.7</v>
      </c>
      <c r="AG23" s="7462">
        <f>+('Maj Prod Summ'!AG30/USM!AI5)*100</f>
        <v>95.578324684990307</v>
      </c>
      <c r="AH23" s="2981">
        <f>+('Maj Prod Summ'!AH30/USM!AJ5)*100</f>
        <v>95.700000000000017</v>
      </c>
      <c r="AI23" s="7463">
        <f>+('Maj Prod Summ'!AI30/USM!AK5)*100</f>
        <v>95.256086426719278</v>
      </c>
      <c r="AJ23" s="3225">
        <f>+('Maj Prod Summ'!AJ30/USM!AL5)*100</f>
        <v>95.7</v>
      </c>
      <c r="AK23" s="7462">
        <f>+('Maj Prod Summ'!AK30/USM!AM5)*100</f>
        <v>95.685413305475223</v>
      </c>
      <c r="AL23" s="7464">
        <f>+('Maj Prod Summ'!AL30/USM!AN5)*100</f>
        <v>95.7</v>
      </c>
      <c r="AM23" s="7465">
        <f>+('Maj Prod Summ'!AM30/USM!AO5)*100</f>
        <v>95.352219189190848</v>
      </c>
      <c r="AN23" s="2981">
        <f>+('Maj Prod Summ'!AN30/USM!AP5)*100</f>
        <v>95.700000000000017</v>
      </c>
      <c r="AO23" s="7463">
        <f>+('Maj Prod Summ'!AO30/USM!AQ5)*100</f>
        <v>95.352219189190848</v>
      </c>
      <c r="AP23" s="3225">
        <f>+('Maj Prod Summ'!AP30/USM!AR5)*100</f>
        <v>95.700000000000017</v>
      </c>
      <c r="AQ23" s="7462">
        <f>+('Maj Prod Summ'!AQ30/USM!AS5)*100</f>
        <v>95.481189466399499</v>
      </c>
      <c r="AR23" s="2981">
        <f>+('Maj Prod Summ'!AR30/USM!AT5)*100</f>
        <v>95.700000000000017</v>
      </c>
      <c r="AS23" s="7463">
        <f>+('Maj Prod Summ'!AS30/USM!AU5)*100</f>
        <v>95.381795842277043</v>
      </c>
      <c r="AT23" s="3225">
        <f>+('Maj Prod Summ'!AT30/USM!AV5)*100</f>
        <v>95.699012933038034</v>
      </c>
      <c r="AU23" s="7462">
        <f>+('Maj Prod Summ'!AU30/USM!AW5)*100</f>
        <v>95.40149016902258</v>
      </c>
      <c r="AV23" s="2981">
        <f>+('Maj Prod Summ'!AV30/USM!AX5)*100</f>
        <v>95.69980258497867</v>
      </c>
      <c r="AW23" s="7463">
        <f>+('Maj Prod Summ'!AW30/USM!AY5)*100</f>
        <v>95.38661783801318</v>
      </c>
      <c r="AX23" s="3225">
        <f>+('Maj Prod Summ'!AX30/USM!AZ5)*100</f>
        <v>95.699885160137811</v>
      </c>
      <c r="AY23" s="7462">
        <f>+('Maj Prod Summ'!AY30/USM!BA5)*100</f>
        <v>94.43384394532697</v>
      </c>
      <c r="AZ23" s="7464">
        <f>+('Maj Prod Summ'!AZ30/USM!BB5)*100</f>
        <v>95.699654649072357</v>
      </c>
      <c r="BA23" s="7465">
        <f>+('Maj Prod Summ'!BA30/USM!BC5)*100</f>
        <v>95.178254916512856</v>
      </c>
      <c r="BB23" s="7464">
        <f>+BD23</f>
        <v>95.699819475340547</v>
      </c>
      <c r="BC23" s="7465">
        <f>+('Maj Prod Summ'!BC30/USM!BE5)*100</f>
        <v>95.266762287385902</v>
      </c>
      <c r="BD23" s="8380">
        <f>+('Maj Prod Summ'!BD30/USM!BD5)*100</f>
        <v>95.699819475340547</v>
      </c>
      <c r="BE23" s="8380">
        <f>+('Maj Prod Summ'!BE30/USM!BE5)*100</f>
        <v>95.266762287385887</v>
      </c>
      <c r="BF23" s="5410">
        <v>95.7</v>
      </c>
      <c r="BG23" s="5411">
        <v>95.476013180662989</v>
      </c>
      <c r="BH23" s="6899">
        <v>95.486332877569964</v>
      </c>
    </row>
    <row r="24" spans="2:60" ht="16" thickBot="1" x14ac:dyDescent="0.25">
      <c r="B24" s="1611" t="s">
        <v>880</v>
      </c>
      <c r="C24" s="1542" t="s">
        <v>831</v>
      </c>
      <c r="D24" s="3238">
        <v>6.5341823737430502</v>
      </c>
      <c r="E24" s="1978">
        <v>6.5338425330024439</v>
      </c>
      <c r="F24" s="3238">
        <v>6.6470000000000002</v>
      </c>
      <c r="G24" s="5818">
        <v>6.6638049168784539</v>
      </c>
      <c r="H24" s="6891">
        <f>+((D33*D24)+(F33*F24))/H33</f>
        <v>6.5916635310456817</v>
      </c>
      <c r="I24" s="6892">
        <f>+((E33*E24)+(G33*G24))/I33</f>
        <v>6.6000590319561416</v>
      </c>
      <c r="J24" s="3238">
        <v>6.27</v>
      </c>
      <c r="K24" s="5818">
        <v>6.3708622903852206</v>
      </c>
      <c r="L24" s="6893">
        <f>+((H33*H24)+(J33*J24))/L33</f>
        <v>6.4692491891892834</v>
      </c>
      <c r="M24" s="2252">
        <f>+((I33*I24)+(K33*K24))/M33</f>
        <v>6.5178659307212659</v>
      </c>
      <c r="N24" s="3238">
        <v>6.2</v>
      </c>
      <c r="O24" s="5818">
        <v>6.57581296266323</v>
      </c>
      <c r="P24" s="6891">
        <f>+((L33*L24)+(N33*N24))/P33</f>
        <v>6.3771471661793671</v>
      </c>
      <c r="Q24" s="2337">
        <f>+((M33*M24)+(O33*O24))/Q33</f>
        <v>6.5341716835956687</v>
      </c>
      <c r="R24" s="3238">
        <v>5.95</v>
      </c>
      <c r="S24" s="5818">
        <v>6.3597117944672101</v>
      </c>
      <c r="T24" s="6891">
        <f>+((P33*P24)+(R33*R24))/T33</f>
        <v>6.2687482488730701</v>
      </c>
      <c r="U24" s="2337">
        <f>+((Q33*Q24)+(S33*S24))/U33</f>
        <v>6.4938322988129853</v>
      </c>
      <c r="V24" s="3238">
        <v>5.95</v>
      </c>
      <c r="W24" s="5818">
        <v>8.1269049164188374</v>
      </c>
      <c r="X24" s="3067">
        <f>+((N24*N33)+(R24*R33)+(V24*V33))/X33</f>
        <v>6.0340261869025991</v>
      </c>
      <c r="Y24" s="6767">
        <f>+((O24*O33)+(S24*S33)+(W24*W33))/Y33</f>
        <v>6.7978463341786695</v>
      </c>
      <c r="Z24" s="6894">
        <f>+((T33*T24)+(V33*V24))/Z33</f>
        <v>6.2049100750740322</v>
      </c>
      <c r="AA24" s="6688">
        <f>+((U33*U24)+(W33*W24))/AA33</f>
        <v>6.6587957071494293</v>
      </c>
      <c r="AB24" s="3238">
        <v>8.5</v>
      </c>
      <c r="AC24" s="5818">
        <v>7.9370955315012406</v>
      </c>
      <c r="AD24" s="6891">
        <f>+((Z33*Z24)+(AB33*AB24))/AD33</f>
        <v>6.4236109472864289</v>
      </c>
      <c r="AE24" s="2337">
        <f>+((AA33*AA24)+(AC33*AC24))/AE33</f>
        <v>6.7951083299119652</v>
      </c>
      <c r="AF24" s="3238">
        <v>5.95</v>
      </c>
      <c r="AG24" s="5818">
        <v>6.6548428182496417</v>
      </c>
      <c r="AH24" s="6891">
        <f>+((AD33*AD24)+(AF33*AF24))/AH33</f>
        <v>6.351274003102005</v>
      </c>
      <c r="AI24" s="2337">
        <f>+((AE33*AE24)+(AG33*AG24))/AI33</f>
        <v>6.7767352971516734</v>
      </c>
      <c r="AJ24" s="3238">
        <v>5.95</v>
      </c>
      <c r="AK24" s="5818">
        <v>6.5098714744301365</v>
      </c>
      <c r="AL24" s="7865">
        <f>+((AB24*AB33)+(AF24*AF33)+(AJ24*AJ33))/AL33</f>
        <v>6.4728942877671996</v>
      </c>
      <c r="AM24" s="7866">
        <f>+((AC24*AC33)+(AG24*AG33)+(AK24*AK33))/AM33</f>
        <v>6.90657157842206</v>
      </c>
      <c r="AN24" s="6891">
        <f>+((AH33*AH24)+(AJ33*AJ24))/AN33</f>
        <v>6.295849362982235</v>
      </c>
      <c r="AO24" s="2337">
        <f>+((AI33*AI24)+(AK33*AK24))/AO33</f>
        <v>6.7404018336902647</v>
      </c>
      <c r="AP24" s="3238">
        <v>5.95</v>
      </c>
      <c r="AQ24" s="5818">
        <v>6.0224854515010167</v>
      </c>
      <c r="AR24" s="6891">
        <f>+((AN33*AN24)+(AP33*AP24))/AR33</f>
        <v>6.2544696719776365</v>
      </c>
      <c r="AS24" s="2337">
        <f>+((AO33*AO24)+(AQ33*AQ24))/AS33</f>
        <v>6.6396785051535119</v>
      </c>
      <c r="AT24" s="3238">
        <v>5.95</v>
      </c>
      <c r="AU24" s="5818">
        <v>5.8971714034104137</v>
      </c>
      <c r="AV24" s="6891">
        <f>+((AR33*AR24)+(AT33*AT24))/AV33</f>
        <v>6.2241516620272357</v>
      </c>
      <c r="AW24" s="2337">
        <f>+((AS33*AS24)+(AU33*AU24))/AW33</f>
        <v>6.5532203610235991</v>
      </c>
      <c r="AX24" s="3238">
        <v>5.95</v>
      </c>
      <c r="AY24" s="5818">
        <v>5.8653441515576006</v>
      </c>
      <c r="AZ24" s="6893">
        <f>+((AP24*AP33)+(AT24*AT33)+(AX24*AX33))/AZ33</f>
        <v>5.95</v>
      </c>
      <c r="BA24" s="2252">
        <f>+((AQ24*AQ33)+(AU24*AU33)+(AY24*AY33))/BA33</f>
        <v>5.926731249570202</v>
      </c>
      <c r="BB24" s="6893">
        <f>+((AL24*AL33)+(AZ24*AZ33))/BB33</f>
        <v>6.189909680072625</v>
      </c>
      <c r="BC24" s="2252">
        <f>+((AM24*AM33)+(BA24*BA33))/BC33</f>
        <v>6.3171494776184476</v>
      </c>
      <c r="BD24" s="8381">
        <f>+((AV33*AV24)+(AX33*AX24))/BD33</f>
        <v>6.1969869203763626</v>
      </c>
      <c r="BE24" s="8381">
        <v>6.4827565550935358</v>
      </c>
      <c r="BF24" s="5392">
        <v>5.95</v>
      </c>
      <c r="BG24" s="6895">
        <v>6.1800190917369466</v>
      </c>
      <c r="BH24" s="5392">
        <v>6.3116941199196104</v>
      </c>
    </row>
    <row r="25" spans="2:60" x14ac:dyDescent="0.2">
      <c r="B25" s="8705" t="s">
        <v>875</v>
      </c>
      <c r="C25" s="1545" t="s">
        <v>882</v>
      </c>
      <c r="D25" s="2677">
        <v>672.88078384845869</v>
      </c>
      <c r="E25" s="1646">
        <v>672.30304944882016</v>
      </c>
      <c r="F25" s="2677">
        <v>659.15639113195164</v>
      </c>
      <c r="G25" s="3918">
        <v>658.84</v>
      </c>
      <c r="H25" s="4809">
        <f>+((D25*'Maj Prod Summ'!D35)+('Maj Prod Summ'!F35*F25))/'Maj Prod Summ'!H35</f>
        <v>665.73605016185172</v>
      </c>
      <c r="I25" s="1823">
        <f>+((E25*'Maj Prod Summ'!E35)+('Maj Prod Summ'!G35*G25))/'Maj Prod Summ'!I35</f>
        <v>665.29436754147821</v>
      </c>
      <c r="J25" s="2677">
        <v>550.11682534741033</v>
      </c>
      <c r="K25" s="3918">
        <v>634.41999999999996</v>
      </c>
      <c r="L25" s="4792">
        <f>+((D25*'Maj Prod Summ'!D35)+(F25*'Maj Prod Summ'!F35)+(J25*'Maj Prod Summ'!J35))/('Maj Prod Summ'!D35+'Maj Prod Summ'!F35+'Maj Prod Summ'!J35)</f>
        <v>620.75218756008542</v>
      </c>
      <c r="M25" s="2015">
        <f>+((E25*'Maj Prod Summ'!E35)+(G25*'Maj Prod Summ'!G35)+(K25*'Maj Prod Summ'!K35))/('Maj Prod Summ'!E35+'Maj Prod Summ'!G35+'Maj Prod Summ'!K35)</f>
        <v>654.31639014112761</v>
      </c>
      <c r="N25" s="2677">
        <v>438.86153634682194</v>
      </c>
      <c r="O25" s="3918">
        <v>500.29</v>
      </c>
      <c r="P25" s="4809">
        <f>+((L25*'Maj Prod Summ'!L35)+('Maj Prod Summ'!N35*N25))/'Maj Prod Summ'!P35</f>
        <v>556.03528701370851</v>
      </c>
      <c r="Q25" s="1823">
        <f>+((M25*'Maj Prod Summ'!M35)+('Maj Prod Summ'!O35*O25))/'Maj Prod Summ'!Q35</f>
        <v>604.76215708026893</v>
      </c>
      <c r="R25" s="2677">
        <v>438.70205821077474</v>
      </c>
      <c r="S25" s="3918">
        <v>540.22</v>
      </c>
      <c r="T25" s="4809">
        <f>+((P25*'Maj Prod Summ'!P35)+('Maj Prod Summ'!R35*R25))/'Maj Prod Summ'!T35</f>
        <v>525.35681747282626</v>
      </c>
      <c r="U25" s="1823">
        <f>+((Q25*'Maj Prod Summ'!Q35)+('Maj Prod Summ'!S35*S25))/'Maj Prod Summ'!U35</f>
        <v>589.52729417614285</v>
      </c>
      <c r="V25" s="2677">
        <v>427.93062335242774</v>
      </c>
      <c r="W25" s="3918">
        <v>823.15</v>
      </c>
      <c r="X25" s="6619">
        <f>+((N25*'Maj Prod Summ'!N35)+('Maj Prod Summ'!R35*R25)+(V25*'Maj Prod Summ'!V35))/'Maj Prod Summ'!X35</f>
        <v>435.15995507255599</v>
      </c>
      <c r="Y25" s="2016">
        <f>+((O25*'Maj Prod Summ'!O35)+('Maj Prod Summ'!S35*S25)+(W25*'Maj Prod Summ'!W35))/'Maj Prod Summ'!Y35</f>
        <v>584.51428498138739</v>
      </c>
      <c r="Z25" s="6519">
        <f>+((T25*'Maj Prod Summ'!T35)+('Maj Prod Summ'!V35*V25))/'Maj Prod Summ'!Z35</f>
        <v>505.09053901940069</v>
      </c>
      <c r="AA25" s="6531">
        <f>+((U25*'Maj Prod Summ'!U35)+('Maj Prod Summ'!W35*W25))/'Maj Prod Summ'!AA35</f>
        <v>616.50675702889464</v>
      </c>
      <c r="AB25" s="2677">
        <v>698.53593265754319</v>
      </c>
      <c r="AC25" s="3918">
        <v>960.92</v>
      </c>
      <c r="AD25" s="4809">
        <f>+((Z25*'Maj Prod Summ'!Z35)+('Maj Prod Summ'!AB35*AB25))/'Maj Prod Summ'!AD35</f>
        <v>523.11687529251674</v>
      </c>
      <c r="AE25" s="1823">
        <f>+((AA25*'Maj Prod Summ'!AA35)+('Maj Prod Summ'!AC35*AC25))/'Maj Prod Summ'!AE35</f>
        <v>649.34676031572303</v>
      </c>
      <c r="AF25" s="2677">
        <v>477.80723121159878</v>
      </c>
      <c r="AG25" s="3918">
        <v>671.71</v>
      </c>
      <c r="AH25" s="4809">
        <f>+((AD25*'Maj Prod Summ'!AD35)+('Maj Prod Summ'!AF35*AF25))/'Maj Prod Summ'!AH35</f>
        <v>516.23264781952014</v>
      </c>
      <c r="AI25" s="1823">
        <f>+((AE25*'Maj Prod Summ'!AE35)+('Maj Prod Summ'!AG35*AG25))/'Maj Prod Summ'!AI35</f>
        <v>652.16220061877209</v>
      </c>
      <c r="AJ25" s="2677">
        <v>469.77836427580888</v>
      </c>
      <c r="AK25" s="3184">
        <v>540.23</v>
      </c>
      <c r="AL25" s="5783">
        <f>+((AB25*'Maj Prod Summ'!AB35)+('Maj Prod Summ'!AF35*AF25)+(AJ25*'Maj Prod Summ'!AJ35))/'Maj Prod Summ'!AL35</f>
        <v>519.33286314714769</v>
      </c>
      <c r="AM25" s="5029">
        <f>+((AC25*'Maj Prod Summ'!AC35)+('Maj Prod Summ'!AG35*AG25)+(AK25*'Maj Prod Summ'!AK35))/'Maj Prod Summ'!AM35</f>
        <v>679.07192561129466</v>
      </c>
      <c r="AN25" s="7829">
        <f>+((AH25*'Maj Prod Summ'!AH35)+('Maj Prod Summ'!AJ35*AJ25))/'Maj Prod Summ'!AN35</f>
        <v>509.87823617782072</v>
      </c>
      <c r="AO25" s="1823">
        <f>+((AI25*'Maj Prod Summ'!AI35)+('Maj Prod Summ'!AK35*AK25))/'Maj Prod Summ'!AO35</f>
        <v>636.51435930471632</v>
      </c>
      <c r="AP25" s="2677">
        <v>475.54667156789486</v>
      </c>
      <c r="AQ25" s="3184">
        <v>497.94</v>
      </c>
      <c r="AR25" s="4809">
        <f>+((AN25*'Maj Prod Summ'!AN35)+('Maj Prod Summ'!AP35*AP25))/'Maj Prod Summ'!AR35</f>
        <v>505.79498289167253</v>
      </c>
      <c r="AS25" s="1823">
        <f>+((AO25*'Maj Prod Summ'!AO35)+('Maj Prod Summ'!AQ35*AQ25))/'Maj Prod Summ'!AS35</f>
        <v>617.70377062044486</v>
      </c>
      <c r="AT25" s="2677">
        <v>473</v>
      </c>
      <c r="AU25" s="3184">
        <f>+'POWER DISTRIBUTION'!AZ17/('Maj Prod Summ'!AU35+0.25*'Maj Prod Summ'!AU24)</f>
        <v>465.19780792933511</v>
      </c>
      <c r="AV25" s="4809">
        <f>+((AR25*'Maj Prod Summ'!AR35)+('Maj Prod Summ'!AT35*AT25))/'Maj Prod Summ'!AV35</f>
        <v>502.55591032850242</v>
      </c>
      <c r="AW25" s="1823">
        <f>+((AS25*'Maj Prod Summ'!AS35)+('Maj Prod Summ'!AU35*AU25))/'Maj Prod Summ'!AW35</f>
        <v>599.52148486819453</v>
      </c>
      <c r="AX25" s="2677">
        <v>477</v>
      </c>
      <c r="AY25" s="3184">
        <f>+'POWER DISTRIBUTION'!BD17/('Maj Prod Summ'!AY35+0.25*'Maj Prod Summ'!AY24)</f>
        <v>439.52012264555776</v>
      </c>
      <c r="AZ25" s="4792">
        <f>+((AP25*'Maj Prod Summ'!AP35)+('Maj Prod Summ'!AT35*AT25)+(AX25*'Maj Prod Summ'!AX35))/'Maj Prod Summ'!AZ35</f>
        <v>475.25121683070483</v>
      </c>
      <c r="BA25" s="2015">
        <f>+((AQ25*'Maj Prod Summ'!AQ35)+('Maj Prod Summ'!AU35*AU25)+(AY25*'Maj Prod Summ'!AY35))/'Maj Prod Summ'!BA35</f>
        <v>466.00403235814184</v>
      </c>
      <c r="BB25" s="4792">
        <f>+((AL25*'Maj Prod Summ'!AL35)+(AZ25*'Maj Prod Summ'!AZ35))/'Maj Prod Summ'!BB35</f>
        <v>495.47152480916367</v>
      </c>
      <c r="BC25" s="2015">
        <f>+((AM25*'Maj Prod Summ'!AM35)+(BA25*'Maj Prod Summ'!BA35))/'Maj Prod Summ'!BC35</f>
        <v>549.28997740383375</v>
      </c>
      <c r="BD25" s="8382">
        <f>+((AV25*'Maj Prod Summ'!AV35)+('Maj Prod Summ'!AX35*AX25))/'Maj Prod Summ'!BD35</f>
        <v>500.04339220311806</v>
      </c>
      <c r="BE25" s="8383">
        <f>+((AW25*'Maj Prod Summ'!AW35)+('Maj Prod Summ'!AY35*AY25))/'Maj Prod Summ'!BE35</f>
        <v>579.80533013641912</v>
      </c>
      <c r="BF25" s="5389">
        <v>483.42299975438647</v>
      </c>
      <c r="BG25" s="5390">
        <v>525.26172798809614</v>
      </c>
      <c r="BH25" s="5875">
        <v>552.0369062994705</v>
      </c>
    </row>
    <row r="26" spans="2:60" x14ac:dyDescent="0.2">
      <c r="B26" s="8706"/>
      <c r="C26" s="1545" t="s">
        <v>769</v>
      </c>
      <c r="D26" s="2677">
        <v>614.16161523218818</v>
      </c>
      <c r="E26" s="1646">
        <v>613.97358927286064</v>
      </c>
      <c r="F26" s="2677">
        <v>628.42605814017566</v>
      </c>
      <c r="G26" s="3918">
        <v>628.42999999999995</v>
      </c>
      <c r="H26" s="4809">
        <f>+((D26*D33)+(F33*F26))/H33</f>
        <v>621.42942181376759</v>
      </c>
      <c r="I26" s="1823">
        <f>+((E26*E33)+(G33*G26))/(I33)</f>
        <v>621.33920443963916</v>
      </c>
      <c r="J26" s="2677">
        <v>531.60460116951845</v>
      </c>
      <c r="K26" s="3918">
        <v>584.14</v>
      </c>
      <c r="L26" s="4792">
        <f>+((H26*H33)+(J33*J26))/L33</f>
        <v>587.24511044409269</v>
      </c>
      <c r="M26" s="2011">
        <f>+((I26*I33)+(K33*K26))/(M33)</f>
        <v>607.99905852217194</v>
      </c>
      <c r="N26" s="2677">
        <v>438.5701350763951</v>
      </c>
      <c r="O26" s="3918">
        <v>566.85</v>
      </c>
      <c r="P26" s="4809">
        <f>+((L26*L33)+(N33*N26))/P33</f>
        <v>536.38788764782225</v>
      </c>
      <c r="Q26" s="1823">
        <f>+((M26*M33)+(O33*O26))/(Q33)</f>
        <v>596.42009827535753</v>
      </c>
      <c r="R26" s="2677">
        <v>438.7862383581637</v>
      </c>
      <c r="S26" s="3918">
        <v>546.49</v>
      </c>
      <c r="T26" s="4809">
        <f>+((P26*P33)+(R33*R26))/T33</f>
        <v>511.61911016782551</v>
      </c>
      <c r="U26" s="1823">
        <f>+((Q26*Q33)+(S33*S26))/(U33)</f>
        <v>584.87504080324265</v>
      </c>
      <c r="V26" s="2677">
        <v>435.69233305810235</v>
      </c>
      <c r="W26" s="3918">
        <v>982.33</v>
      </c>
      <c r="X26" s="4792">
        <f>+((N26*N33)+(R26*R33)+(V26*V33))/X33</f>
        <v>437.69339384965247</v>
      </c>
      <c r="Y26" s="2015">
        <f>+((O26*O33)+(S26*S33)+(W26*W33))/Y33</f>
        <v>641.82115191906485</v>
      </c>
      <c r="Z26" s="6519">
        <f>+((T26*T33)+(V33*V26))/Z33</f>
        <v>496.4126680610284</v>
      </c>
      <c r="AA26" s="6531">
        <f>+((U26*U33)+(W33*W26))/(AA33)</f>
        <v>625.0236073902206</v>
      </c>
      <c r="AB26" s="2677">
        <v>671.32339686733621</v>
      </c>
      <c r="AC26" s="3918">
        <v>889.91</v>
      </c>
      <c r="AD26" s="4809">
        <f>+((Z26*Z33)+(AB33*AB26))/AD33</f>
        <v>513.0800450268697</v>
      </c>
      <c r="AE26" s="1823">
        <f>+((AA26*AA33)+(AC33*AC26))/(AE33)</f>
        <v>653.27000015574799</v>
      </c>
      <c r="AF26" s="2677">
        <v>465.44627927072878</v>
      </c>
      <c r="AG26" s="3918">
        <v>640.62</v>
      </c>
      <c r="AH26" s="4809">
        <f>+((AD26*AD33)+(AF33*AF26))/AH33</f>
        <v>505.80470421277312</v>
      </c>
      <c r="AI26" s="1823">
        <f>+((AE26*AE33)+(AG33*AG26))/(AI33)</f>
        <v>651.61300789496477</v>
      </c>
      <c r="AJ26" s="2677">
        <v>455.16755377202378</v>
      </c>
      <c r="AK26" s="3918">
        <v>557.12</v>
      </c>
      <c r="AL26" s="4792">
        <f>+((AB26*AB33)+(AF26*AF33)+(AJ26*AJ33))/AL33</f>
        <v>503.47905446111707</v>
      </c>
      <c r="AM26" s="2015">
        <f>+((AC26*AC33)+(AG26*AG33)+(AK26*AK33))/AM33</f>
        <v>666.69356787814661</v>
      </c>
      <c r="AN26" s="4809">
        <f>+((AH26*AH33)+(AJ33*AJ26))/AN33</f>
        <v>498.81061583881046</v>
      </c>
      <c r="AO26" s="1823">
        <f>+((AI26*AI33)+(AK33*AK26))/(AO33)</f>
        <v>638.74780115882083</v>
      </c>
      <c r="AP26" s="2677">
        <v>462.06251587942023</v>
      </c>
      <c r="AQ26" s="3918">
        <v>476.02</v>
      </c>
      <c r="AR26" s="4809">
        <f>+((AN26*AN33)+(AP33*AP26))/AR33</f>
        <v>494.4138316197695</v>
      </c>
      <c r="AS26" s="1823">
        <f>+((AO26*AO33)+(AQ33*AQ26))/(AS33)</f>
        <v>615.91716769674372</v>
      </c>
      <c r="AT26" s="2677">
        <v>457</v>
      </c>
      <c r="AU26" s="3918">
        <f>+'POWER DISTRIBUTION'!AZ17/'Maj Prod Summ'!AU18</f>
        <v>469.32465907120354</v>
      </c>
      <c r="AV26" s="4809">
        <f>+((AR26*AR33)+(AT33*AT26))/AV33</f>
        <v>490.68829497776818</v>
      </c>
      <c r="AW26" s="1823">
        <f>+((AS26*AS33)+(AU33*AU26))/(AW33)</f>
        <v>598.84781413856388</v>
      </c>
      <c r="AX26" s="2677">
        <v>461</v>
      </c>
      <c r="AY26" s="3918">
        <f>+'POWER DISTRIBUTION'!BD17/'Maj Prod Summ'!AY18</f>
        <v>444.39840776611925</v>
      </c>
      <c r="AZ26" s="4792">
        <f>+((AP26*AP33)+(AT26*AT33)+(AX26*AX33))/AZ33</f>
        <v>460.10543975503953</v>
      </c>
      <c r="BA26" s="2011">
        <f>+((AQ26*AQ33)+(AU26*AU33)+(AY26*AY33))/BA33</f>
        <v>462.46142902034916</v>
      </c>
      <c r="BB26" s="4792">
        <f>+((AL26*AL33)+(AZ26*AZ33))/BB33</f>
        <v>480.00573369812651</v>
      </c>
      <c r="BC26" s="2011">
        <f>+((AM26*AM33)+(BA26*BA33))/BC33</f>
        <v>543.8379017123807</v>
      </c>
      <c r="BD26" s="8382">
        <f>+((AV26*AV33)+(AX33*AX26))/BD33</f>
        <v>487.7465843305942</v>
      </c>
      <c r="BE26" s="8383">
        <f>+((AW26*AW33)+(AY33*AY26))/(BE33)</f>
        <v>580.20285834899937</v>
      </c>
      <c r="BF26" s="5389">
        <v>448.29125296551734</v>
      </c>
      <c r="BG26" s="5390">
        <v>538.52023832812074</v>
      </c>
      <c r="BH26" s="5875">
        <v>565.51993685574621</v>
      </c>
    </row>
    <row r="27" spans="2:60" x14ac:dyDescent="0.2">
      <c r="B27" s="1543" t="s">
        <v>876</v>
      </c>
      <c r="C27" s="1545" t="s">
        <v>111</v>
      </c>
      <c r="D27" s="2687">
        <v>4.3</v>
      </c>
      <c r="E27" s="2067">
        <v>5.83</v>
      </c>
      <c r="F27" s="2687">
        <v>4.3</v>
      </c>
      <c r="G27" s="3861">
        <v>5.81</v>
      </c>
      <c r="H27" s="5900">
        <f>+((D27*D33)+(F27*F33))/H33</f>
        <v>4.3</v>
      </c>
      <c r="I27" s="2486">
        <f>+((E27*E33)+(G27*G33))/I33</f>
        <v>5.8198098977598214</v>
      </c>
      <c r="J27" s="2687">
        <v>4.3</v>
      </c>
      <c r="K27" s="3861">
        <v>5.23</v>
      </c>
      <c r="L27" s="5716">
        <f>+((H27*H33)+(J27*J33))/L33</f>
        <v>4.3</v>
      </c>
      <c r="M27" s="2268">
        <f>+((I27*I33)+(K27*K33))/M33</f>
        <v>5.6082959630344282</v>
      </c>
      <c r="N27" s="2687">
        <v>4.3</v>
      </c>
      <c r="O27" s="3861">
        <v>5.32</v>
      </c>
      <c r="P27" s="5900">
        <f>+((L27*L33)+(N27*N33))/P33</f>
        <v>4.3</v>
      </c>
      <c r="Q27" s="2486">
        <f>+((M27*M33)+(O27*O33))/Q33</f>
        <v>5.5271721751476655</v>
      </c>
      <c r="R27" s="2687">
        <v>4.3</v>
      </c>
      <c r="S27" s="3861">
        <v>4.8</v>
      </c>
      <c r="T27" s="5900">
        <f>+((P27*P33)+(R27*R33))/T33</f>
        <v>4.3</v>
      </c>
      <c r="U27" s="2486">
        <f>+((Q27*Q33)+(S27*S33))/U33</f>
        <v>5.3590322186047397</v>
      </c>
      <c r="V27" s="2687">
        <v>4.3</v>
      </c>
      <c r="W27" s="3861">
        <v>7.49</v>
      </c>
      <c r="X27" s="5716">
        <f>+((N27*N33)+(R27*R33)+(V27*V33))/X33</f>
        <v>4.3</v>
      </c>
      <c r="Y27" s="2268">
        <f>+((O27*O33)+(S27*S33)+(W27*W33))/Y33</f>
        <v>5.5407376161678243</v>
      </c>
      <c r="Z27" s="6610">
        <f>+((T27*T33)+(V27*V33))/Z33</f>
        <v>4.3</v>
      </c>
      <c r="AA27" s="6611">
        <f>+((U27*U33)+(W27*W33))/AA33</f>
        <v>5.5742900733285969</v>
      </c>
      <c r="AB27" s="2687">
        <v>4.3</v>
      </c>
      <c r="AC27" s="3861">
        <v>7.72</v>
      </c>
      <c r="AD27" s="5900">
        <f>+((Z27*Z33)+(AB27*AB33))/AD33</f>
        <v>4.3</v>
      </c>
      <c r="AE27" s="2486">
        <f>+((AA27*AA33)+(AC27*AC33))/AE33</f>
        <v>5.8030997330189598</v>
      </c>
      <c r="AF27" s="2687">
        <v>4.3</v>
      </c>
      <c r="AG27" s="3861">
        <v>5.43</v>
      </c>
      <c r="AH27" s="5900">
        <f>+((AD27*AD33)+(AF27*AF33))/AH33</f>
        <v>4.3</v>
      </c>
      <c r="AI27" s="2486">
        <f>+((AE27*AE33)+(AG27*AG33))/AI33</f>
        <v>5.7542283209635405</v>
      </c>
      <c r="AJ27" s="2687">
        <v>4.3</v>
      </c>
      <c r="AK27" s="3861">
        <v>4.84</v>
      </c>
      <c r="AL27" s="5716">
        <f>+((AB27*AB33)+(AF27*AF33)+(AJ27*AJ33))/AL33</f>
        <v>4.3</v>
      </c>
      <c r="AM27" s="2268">
        <f>+((AC27*AC33)+(AG27*AG33)+(AK27*AK33))/AM33</f>
        <v>5.7426988853072167</v>
      </c>
      <c r="AN27" s="5900">
        <f>+((AH27*AH33)+(AJ27*AJ33))/AN33</f>
        <v>4.3</v>
      </c>
      <c r="AO27" s="2486">
        <f>+((AI27*AI33)+(AK27*AK33))/AO33</f>
        <v>5.6297562926595228</v>
      </c>
      <c r="AP27" s="2687">
        <v>4.3</v>
      </c>
      <c r="AQ27" s="3861">
        <v>3.9</v>
      </c>
      <c r="AR27" s="5900">
        <f>+((AN27*AN33)+(AP27*AP33))/AR33</f>
        <v>4.3</v>
      </c>
      <c r="AS27" s="2486">
        <f>+((AO27*AO33)+(AQ27*AQ33))/AS33</f>
        <v>5.3870723037209158</v>
      </c>
      <c r="AT27" s="2687">
        <v>4.3</v>
      </c>
      <c r="AU27" s="3861">
        <v>3.97</v>
      </c>
      <c r="AV27" s="5900">
        <f>+((AR27*AR33)+(AT27*AT33))/AV33</f>
        <v>4.3</v>
      </c>
      <c r="AW27" s="2486">
        <f>+((AS27*AS33)+(AU27*AU33))/AW33</f>
        <v>5.2220672267459083</v>
      </c>
      <c r="AX27" s="2687">
        <v>4.3</v>
      </c>
      <c r="AY27" s="3861">
        <v>3.72</v>
      </c>
      <c r="AZ27" s="5716">
        <f>+((AP27*AP33)+(AT27*AT33)+(AX27*AX33))/AZ33</f>
        <v>4.3</v>
      </c>
      <c r="BA27" s="2268">
        <f>+((AQ27*AQ33)+(AU27*AU33)+(AY27*AY33))/BA33</f>
        <v>3.8561504396652184</v>
      </c>
      <c r="BB27" s="5716">
        <f>+((AL27*AL33)+(AZ27*AZ33))/BB33</f>
        <v>4.3</v>
      </c>
      <c r="BC27" s="2268">
        <f>+((AM27*AM33)+(BA27*BA33))/BC33</f>
        <v>4.6078473024977331</v>
      </c>
      <c r="BD27" s="8384">
        <f>+((AV27*AV33)+(AX27*AX33))/BD33</f>
        <v>4.3000000000000007</v>
      </c>
      <c r="BE27" s="8384">
        <f>+((AW27*AW33)+(AY27*AY33))/BE33</f>
        <v>5.0407393881131286</v>
      </c>
      <c r="BF27" s="5389">
        <v>4.5999999999999988</v>
      </c>
      <c r="BG27" s="5391">
        <v>5.0056729201905341</v>
      </c>
      <c r="BH27" s="5389">
        <v>5.0192042238753487</v>
      </c>
    </row>
    <row r="28" spans="2:60" x14ac:dyDescent="0.2">
      <c r="B28" s="1640" t="s">
        <v>884</v>
      </c>
      <c r="C28" s="1545" t="s">
        <v>957</v>
      </c>
      <c r="D28" s="2687">
        <v>2.4500000000000002</v>
      </c>
      <c r="E28" s="2067">
        <v>2.82</v>
      </c>
      <c r="F28" s="2687">
        <v>2.4500000000000002</v>
      </c>
      <c r="G28" s="3861">
        <v>2.56</v>
      </c>
      <c r="H28" s="5900">
        <f>+((D28*D33)+(F28*F33))/H33</f>
        <v>2.4500000000000002</v>
      </c>
      <c r="I28" s="2486">
        <f>+((E28*E33)+(G28*G33))/I33</f>
        <v>2.687528670877672</v>
      </c>
      <c r="J28" s="2687">
        <v>2.4500000000000002</v>
      </c>
      <c r="K28" s="3861">
        <v>2.5</v>
      </c>
      <c r="L28" s="5716">
        <f>+((H28*H33)+(J28*J33))/L33</f>
        <v>2.4500000000000002</v>
      </c>
      <c r="M28" s="2268">
        <f>+((I28*I33)+(K28*K33))/M33</f>
        <v>2.6202783124116436</v>
      </c>
      <c r="N28" s="2687">
        <v>2.4500000000000002</v>
      </c>
      <c r="O28" s="3861">
        <v>2.66</v>
      </c>
      <c r="P28" s="5900">
        <f>+((L28*L33)+(N28*N33))/P33</f>
        <v>2.4500000000000002</v>
      </c>
      <c r="Q28" s="2486">
        <f>+((M28*M33)+(O28*O33))/Q33</f>
        <v>2.6314556238262936</v>
      </c>
      <c r="R28" s="2687">
        <v>2.4500000000000002</v>
      </c>
      <c r="S28" s="3861">
        <v>2.7</v>
      </c>
      <c r="T28" s="5900">
        <f>+((P28*P33)+(R28*R33))/T33</f>
        <v>2.4500000000000006</v>
      </c>
      <c r="U28" s="2486">
        <f>+((Q28*Q33)+(S28*S33))/U33</f>
        <v>2.6473047567070567</v>
      </c>
      <c r="V28" s="2687">
        <v>2.4500000000000002</v>
      </c>
      <c r="W28" s="3861">
        <v>3.47</v>
      </c>
      <c r="X28" s="5716">
        <f>+((N28*N33)+(R28*R33)+(V28*V33))/X33</f>
        <v>2.4500000000000002</v>
      </c>
      <c r="Y28" s="2268">
        <f>+((O28*O33)+(S28*S33)+(W28*W33))/Y33</f>
        <v>2.839070417327882</v>
      </c>
      <c r="Z28" s="6610">
        <f>+((T28*T33)+(V28*V33))/Z33</f>
        <v>2.4500000000000006</v>
      </c>
      <c r="AA28" s="6611">
        <f>+((U28*U33)+(W28*W33))/AA33</f>
        <v>2.730408600279393</v>
      </c>
      <c r="AB28" s="2687">
        <v>2.4500000000000002</v>
      </c>
      <c r="AC28" s="3861">
        <v>3.62</v>
      </c>
      <c r="AD28" s="5900">
        <f>+((Z28*Z33)+(AB28*AB33))/AD33</f>
        <v>2.4500000000000002</v>
      </c>
      <c r="AE28" s="2486">
        <f>+((AA28*AA33)+(AC28*AC33))/AE33</f>
        <v>2.8252709593072529</v>
      </c>
      <c r="AF28" s="2687">
        <v>2.4500000000000002</v>
      </c>
      <c r="AG28" s="3861">
        <v>2.58</v>
      </c>
      <c r="AH28" s="5900">
        <f>+((AD28*AD33)+(AF28*AF33))/AH33</f>
        <v>2.4500000000000002</v>
      </c>
      <c r="AI28" s="2486">
        <f>+((AE28*AE33)+(AG28*AG33))/AI33</f>
        <v>2.7931435224405972</v>
      </c>
      <c r="AJ28" s="2687">
        <v>2.4500000000000002</v>
      </c>
      <c r="AK28" s="3861">
        <v>2.39</v>
      </c>
      <c r="AL28" s="5716">
        <f>+((AB28*AB33)+(AF28*AF33)+(AJ28*AJ33))/AL33</f>
        <v>2.4500000000000002</v>
      </c>
      <c r="AM28" s="2268">
        <f>+((AC28*AC33)+(AG28*AG33)+(AK28*AK33))/AM33</f>
        <v>2.7542339870567685</v>
      </c>
      <c r="AN28" s="5900">
        <f>+((AH28*AH33)+(AJ28*AJ33))/AN33</f>
        <v>2.4500000000000002</v>
      </c>
      <c r="AO28" s="2486">
        <f>+((AI28*AI33)+(AK28*AK33))/AO33</f>
        <v>2.7382556013544073</v>
      </c>
      <c r="AP28" s="2687">
        <v>2.4500000000000002</v>
      </c>
      <c r="AQ28" s="3861">
        <v>2.4300000000000002</v>
      </c>
      <c r="AR28" s="5900">
        <f>+((AN28*AN33)+(AP28*AP33))/AR33</f>
        <v>2.4500000000000002</v>
      </c>
      <c r="AS28" s="2486">
        <f>+((AO28*AO33)+(AQ28*AQ33))/AS33</f>
        <v>2.6950074864223681</v>
      </c>
      <c r="AT28" s="2687">
        <v>2.4500000000000002</v>
      </c>
      <c r="AU28" s="3861">
        <v>2.38</v>
      </c>
      <c r="AV28" s="5900">
        <f>+((AR28*AR33)+(AT28*AT33))/AV33</f>
        <v>2.4499999999999997</v>
      </c>
      <c r="AW28" s="2486">
        <f>+((AS28*AS33)+(AU28*AU33))/AW33</f>
        <v>2.6583277528559548</v>
      </c>
      <c r="AX28" s="2687">
        <v>2.4500000000000002</v>
      </c>
      <c r="AY28" s="3861">
        <v>2.35</v>
      </c>
      <c r="AZ28" s="5716">
        <f>+((AP28*AP33)+(AT28*AT33)+(AX28*AX33))/AZ33</f>
        <v>2.4500000000000002</v>
      </c>
      <c r="BA28" s="2268">
        <f>+((AQ28*AQ33)+(AU28*AU33)+(AY28*AY33))/BA33</f>
        <v>2.3855053908904953</v>
      </c>
      <c r="BB28" s="5716">
        <f>+((AL28*AL33)+(AZ28*AZ33))/BB33</f>
        <v>2.4500000000000002</v>
      </c>
      <c r="BC28" s="2268">
        <f>+((AM28*AM33)+(BA28*BA33))/BC33</f>
        <v>2.5324256195308479</v>
      </c>
      <c r="BD28" s="8384">
        <f>+((AV28*AV33)+(AX28*AX33))/BD33</f>
        <v>2.4499999999999997</v>
      </c>
      <c r="BE28" s="8384">
        <f>+((AW28*AW33)+(AY28*AY33))/BE33</f>
        <v>2.6211067789738518</v>
      </c>
      <c r="BF28" s="5392">
        <v>2.456658</v>
      </c>
      <c r="BG28" s="5391">
        <v>2.4355941599645199</v>
      </c>
      <c r="BH28" s="5392">
        <v>2.6099530027409332</v>
      </c>
    </row>
    <row r="29" spans="2:60" x14ac:dyDescent="0.2">
      <c r="B29" s="1640" t="s">
        <v>885</v>
      </c>
      <c r="C29" s="1545" t="s">
        <v>958</v>
      </c>
      <c r="D29" s="2687">
        <v>0.55000000000000016</v>
      </c>
      <c r="E29" s="2067">
        <v>0.76</v>
      </c>
      <c r="F29" s="2687">
        <v>0.55000000000000016</v>
      </c>
      <c r="G29" s="3861">
        <v>0.66</v>
      </c>
      <c r="H29" s="5900">
        <f>+((D29*D33)+(F29*F33))/H33</f>
        <v>0.55000000000000027</v>
      </c>
      <c r="I29" s="2486">
        <f>+((E29*E33)+(G29*G33))/I33</f>
        <v>0.70904948879910479</v>
      </c>
      <c r="J29" s="2687">
        <v>0.55000000000000016</v>
      </c>
      <c r="K29" s="3861">
        <v>0.63</v>
      </c>
      <c r="L29" s="5716">
        <f>+((H29*H33)+(J29*J33))/L33</f>
        <v>0.55000000000000027</v>
      </c>
      <c r="M29" s="2268">
        <f>+((I29*I33)+(K29*K33))/M33</f>
        <v>0.68070125578803697</v>
      </c>
      <c r="N29" s="2687">
        <v>0.55000000000000016</v>
      </c>
      <c r="O29" s="3861">
        <v>0.6</v>
      </c>
      <c r="P29" s="5900">
        <f>+((L29*L33)+(N29*N33))/P33</f>
        <v>0.55000000000000027</v>
      </c>
      <c r="Q29" s="2486">
        <f>+((M29*M33)+(O29*O33))/Q33</f>
        <v>0.65799267711826781</v>
      </c>
      <c r="R29" s="2687">
        <v>0.55000000000000016</v>
      </c>
      <c r="S29" s="3861">
        <v>0.57999999999999996</v>
      </c>
      <c r="T29" s="5900">
        <f>+((P29*P33)+(R29*R33))/T33</f>
        <v>0.55000000000000027</v>
      </c>
      <c r="U29" s="2486">
        <f>+((Q29*Q33)+(S29*S33))/U33</f>
        <v>0.63995886643420385</v>
      </c>
      <c r="V29" s="2687">
        <v>0.55000000000000016</v>
      </c>
      <c r="W29" s="3861">
        <v>0.94</v>
      </c>
      <c r="X29" s="5716">
        <f>+((N29*N33)+(R29*R33)+(V29*V33))/X33</f>
        <v>0.55000000000000016</v>
      </c>
      <c r="Y29" s="2268">
        <f>+((O29*O33)+(S29*S33)+(W29*W33))/Y33</f>
        <v>0.65997239101051297</v>
      </c>
      <c r="Z29" s="6610">
        <f>+((T29*T33)+(V29*V33))/Z33</f>
        <v>0.55000000000000027</v>
      </c>
      <c r="AA29" s="6611">
        <f>+((U29*U33)+(W29*W33))/AA33</f>
        <v>0.67026726025609418</v>
      </c>
      <c r="AB29" s="2687">
        <v>0.55000000000000016</v>
      </c>
      <c r="AC29" s="3861">
        <v>0.9</v>
      </c>
      <c r="AD29" s="5900">
        <f>+((Z29*Z33)+(AB29*AB33))/AD33</f>
        <v>0.55000000000000016</v>
      </c>
      <c r="AE29" s="2486">
        <f>+((AA29*AA33)+(AC29*AC33))/AE33</f>
        <v>0.69476501242061017</v>
      </c>
      <c r="AF29" s="2687">
        <v>0.55000000000000016</v>
      </c>
      <c r="AG29" s="3861">
        <v>0.63</v>
      </c>
      <c r="AH29" s="5900">
        <f>+((AD29*AD33)+(AF29*AF33))/AH33</f>
        <v>0.55000000000000016</v>
      </c>
      <c r="AI29" s="2486">
        <f>+((AE29*AE33)+(AG29*AG33))/AI33</f>
        <v>0.68628160348549538</v>
      </c>
      <c r="AJ29" s="2687">
        <v>0.55000000000000016</v>
      </c>
      <c r="AK29" s="3861">
        <v>0.61</v>
      </c>
      <c r="AL29" s="5716">
        <f>+((AB29*AB33)+(AF29*AF33)+(AJ29*AJ33))/AL33</f>
        <v>0.55000000000000016</v>
      </c>
      <c r="AM29" s="2268">
        <f>+((AC29*AC33)+(AG29*AG33)+(AK29*AK33))/AM33</f>
        <v>0.68735709540096945</v>
      </c>
      <c r="AN29" s="5900">
        <f>+((AH29*AH33)+(AJ29*AJ33))/AN33</f>
        <v>0.55000000000000016</v>
      </c>
      <c r="AO29" s="2486">
        <f>+((AI29*AI33)+(AK29*AK33))/AO33</f>
        <v>0.67589587632040893</v>
      </c>
      <c r="AP29" s="2687">
        <v>0.55000000000000016</v>
      </c>
      <c r="AQ29" s="3861">
        <v>0.52</v>
      </c>
      <c r="AR29" s="5900">
        <f>+((AN29*AN33)+(AP29*AP33))/AR33</f>
        <v>0.55000000000000016</v>
      </c>
      <c r="AS29" s="2486">
        <f>+((AO29*AO33)+(AQ29*AQ33))/AS33</f>
        <v>0.65402375867871088</v>
      </c>
      <c r="AT29" s="2687">
        <v>0.55000000000000004</v>
      </c>
      <c r="AU29" s="3861">
        <v>0.5</v>
      </c>
      <c r="AV29" s="5900">
        <f>+((AR29*AR33)+(AT29*AT33))/AV33</f>
        <v>0.55000000000000004</v>
      </c>
      <c r="AW29" s="2486">
        <f>+((AS29*AS33)+(AU29*AU33))/AW33</f>
        <v>0.63608910418717401</v>
      </c>
      <c r="AX29" s="2687">
        <v>0.55000000000000004</v>
      </c>
      <c r="AY29" s="3861">
        <v>0.53</v>
      </c>
      <c r="AZ29" s="5716">
        <f>+((AP29*AP33)+(AT29*AT33)+(AX29*AX33))/AZ33</f>
        <v>0.55000000000000004</v>
      </c>
      <c r="BA29" s="2268">
        <f>+((AQ29*AQ33)+(AU29*AU33)+(AY29*AY33))/BA33</f>
        <v>0.5174691582387313</v>
      </c>
      <c r="BB29" s="5716">
        <f>+((AL29*AL33)+(AZ29*AZ33))/BB33</f>
        <v>0.55000000000000004</v>
      </c>
      <c r="BC29" s="2268">
        <f>+((AS29*AS33)+(AW29*AW33)+(BA29*BA33))/BC33</f>
        <v>2.2447280535333478</v>
      </c>
      <c r="BD29" s="8384">
        <f>+((AV29*AV33)+(AX29*AX33))/BD33</f>
        <v>0.55000000000000004</v>
      </c>
      <c r="BE29" s="8384">
        <f>+((AW29*AW33)+(AY29*AY33))/BE33</f>
        <v>0.6232821487978184</v>
      </c>
      <c r="BF29" s="5393">
        <v>0.55112399999999995</v>
      </c>
      <c r="BG29" s="5391">
        <v>0.57147495070586141</v>
      </c>
      <c r="BH29" s="5393">
        <v>0.55061804440565798</v>
      </c>
    </row>
    <row r="30" spans="2:60" x14ac:dyDescent="0.2">
      <c r="B30" s="5185" t="s">
        <v>1208</v>
      </c>
      <c r="C30" s="1545" t="s">
        <v>1209</v>
      </c>
      <c r="D30" s="2677">
        <f t="shared" ref="D30:J30" si="37">+D39</f>
        <v>368.28007707129092</v>
      </c>
      <c r="E30" s="3918">
        <f t="shared" si="37"/>
        <v>368.28007707129092</v>
      </c>
      <c r="F30" s="2677">
        <f t="shared" si="37"/>
        <v>371.45857992598474</v>
      </c>
      <c r="G30" s="3918">
        <f t="shared" si="37"/>
        <v>373.10488573857953</v>
      </c>
      <c r="H30" s="2794">
        <f t="shared" si="37"/>
        <v>369.87853543555354</v>
      </c>
      <c r="I30" s="2807">
        <f t="shared" si="37"/>
        <v>370.69457029078757</v>
      </c>
      <c r="J30" s="2677">
        <f t="shared" si="37"/>
        <v>465.43596098117803</v>
      </c>
      <c r="K30" s="3918">
        <f t="shared" ref="K30:N30" si="38">+K39</f>
        <v>426.59697362223267</v>
      </c>
      <c r="L30" s="2260">
        <f t="shared" si="38"/>
        <v>401.24180108187767</v>
      </c>
      <c r="M30" s="2011">
        <f t="shared" si="38"/>
        <v>388.97094680867428</v>
      </c>
      <c r="N30" s="2677">
        <f t="shared" si="38"/>
        <v>610.50086697484244</v>
      </c>
      <c r="O30" s="3918">
        <f t="shared" ref="O30:R30" si="39">+O39</f>
        <v>463.96042836620086</v>
      </c>
      <c r="P30" s="2794">
        <f t="shared" si="39"/>
        <v>455.05883261176672</v>
      </c>
      <c r="Q30" s="1823">
        <f t="shared" si="39"/>
        <v>409.79172020054676</v>
      </c>
      <c r="R30" s="2677">
        <f t="shared" si="39"/>
        <v>608.65524430461312</v>
      </c>
      <c r="S30" s="3918">
        <f t="shared" ref="S30:V30" si="40">+S39</f>
        <v>490.66790241568998</v>
      </c>
      <c r="T30" s="2794">
        <f t="shared" si="40"/>
        <v>487.05373623395144</v>
      </c>
      <c r="U30" s="1823">
        <f t="shared" si="40"/>
        <v>427.83824896967752</v>
      </c>
      <c r="V30" s="2677">
        <f t="shared" si="40"/>
        <v>621.98143350604482</v>
      </c>
      <c r="W30" s="3918">
        <f t="shared" ref="W30:AJ30" si="41">+W39</f>
        <v>255.38888888888889</v>
      </c>
      <c r="X30" s="4792">
        <f t="shared" si="41"/>
        <v>613.62957712087086</v>
      </c>
      <c r="Y30" s="2011">
        <f t="shared" si="41"/>
        <v>405.28653191445102</v>
      </c>
      <c r="Z30" s="6519">
        <f t="shared" si="41"/>
        <v>510.05412739749528</v>
      </c>
      <c r="AA30" s="6531">
        <f t="shared" si="41"/>
        <v>401.48223493041849</v>
      </c>
      <c r="AB30" s="2677">
        <f t="shared" si="41"/>
        <v>319.95837871343389</v>
      </c>
      <c r="AC30" s="3918">
        <f t="shared" si="41"/>
        <v>294.6372036790832</v>
      </c>
      <c r="AD30" s="2794">
        <f t="shared" si="41"/>
        <v>483.35593589903425</v>
      </c>
      <c r="AE30" s="1823">
        <f t="shared" si="41"/>
        <v>387.35273502851612</v>
      </c>
      <c r="AF30" s="2677">
        <f t="shared" si="41"/>
        <v>623.84107773783501</v>
      </c>
      <c r="AG30" s="3918">
        <f t="shared" si="41"/>
        <v>418.19755920734656</v>
      </c>
      <c r="AH30" s="2794">
        <f t="shared" si="41"/>
        <v>501.41273044863408</v>
      </c>
      <c r="AI30" s="1823">
        <f t="shared" si="41"/>
        <v>392.17565338584524</v>
      </c>
      <c r="AJ30" s="2677">
        <f t="shared" si="41"/>
        <v>636.904637361092</v>
      </c>
      <c r="AK30" s="3918">
        <f t="shared" ref="AK30:AP30" si="42">+AK39</f>
        <v>493.39382048096127</v>
      </c>
      <c r="AL30" s="4792">
        <f t="shared" si="42"/>
        <v>525.52061387726224</v>
      </c>
      <c r="AM30" s="2011">
        <f t="shared" si="42"/>
        <v>401.52712390374347</v>
      </c>
      <c r="AN30" s="2794">
        <f t="shared" si="42"/>
        <v>517.90356553362494</v>
      </c>
      <c r="AO30" s="1823">
        <f t="shared" si="42"/>
        <v>405.38634830445625</v>
      </c>
      <c r="AP30" s="2677">
        <f t="shared" si="42"/>
        <v>627.92076726486175</v>
      </c>
      <c r="AQ30" s="3918">
        <f t="shared" ref="AQ30:AT30" si="43">+AQ39</f>
        <v>585.21703990372134</v>
      </c>
      <c r="AR30" s="2794">
        <f t="shared" si="43"/>
        <v>530.13539188469053</v>
      </c>
      <c r="AS30" s="1823">
        <f t="shared" si="43"/>
        <v>424.5839604222308</v>
      </c>
      <c r="AT30" s="2677">
        <f t="shared" si="43"/>
        <v>640.98682418629994</v>
      </c>
      <c r="AU30" s="3918">
        <f t="shared" ref="AU30" si="44">+AU39</f>
        <v>603.80067962775422</v>
      </c>
      <c r="AV30" s="2794">
        <f t="shared" ref="AV30:AY30" si="45">+AV39</f>
        <v>540.37300189091093</v>
      </c>
      <c r="AW30" s="1823">
        <f t="shared" si="45"/>
        <v>440.56530496502376</v>
      </c>
      <c r="AX30" s="2677">
        <f t="shared" si="45"/>
        <v>642.00983223957849</v>
      </c>
      <c r="AY30" s="3918">
        <f t="shared" si="45"/>
        <v>648.22926521539648</v>
      </c>
      <c r="AZ30" s="2260">
        <f t="shared" ref="AZ30:BE30" si="46">+AZ39</f>
        <v>636.82845536198886</v>
      </c>
      <c r="BA30" s="2011">
        <f t="shared" si="46"/>
        <v>612.63579190437383</v>
      </c>
      <c r="BB30" s="2260">
        <f t="shared" ref="BB30:BC30" si="47">+BB39</f>
        <v>580.37773000115874</v>
      </c>
      <c r="BC30" s="2011">
        <f t="shared" si="47"/>
        <v>505.43902455871705</v>
      </c>
      <c r="BD30" s="8382">
        <f t="shared" si="46"/>
        <v>549.90657676580804</v>
      </c>
      <c r="BE30" s="8383">
        <f t="shared" si="46"/>
        <v>459.24950351799106</v>
      </c>
      <c r="BF30" s="5314">
        <v>562.64319308862753</v>
      </c>
      <c r="BG30" s="5394">
        <v>490.34382042747291</v>
      </c>
      <c r="BH30" s="5314">
        <v>421.02863329539394</v>
      </c>
    </row>
    <row r="31" spans="2:60" ht="16" thickBot="1" x14ac:dyDescent="0.25">
      <c r="B31" s="2558" t="s">
        <v>1228</v>
      </c>
      <c r="C31" s="1577" t="s">
        <v>661</v>
      </c>
      <c r="D31" s="3276">
        <v>4325</v>
      </c>
      <c r="E31" s="3793">
        <v>4325</v>
      </c>
      <c r="F31" s="3276">
        <v>4306</v>
      </c>
      <c r="G31" s="3793">
        <v>4287</v>
      </c>
      <c r="H31" s="5894">
        <f>+AVERAGE(D31,F31)</f>
        <v>4315.5</v>
      </c>
      <c r="I31" s="5354">
        <f>+AVERAGE(E31,G31)</f>
        <v>4306</v>
      </c>
      <c r="J31" s="3276">
        <v>4285</v>
      </c>
      <c r="K31" s="3793">
        <v>4246</v>
      </c>
      <c r="L31" s="5690">
        <f>+AVERAGE(D31,F31,J31)</f>
        <v>4305.333333333333</v>
      </c>
      <c r="M31" s="5715">
        <f>+AVERAGE(E31,G31,K31)</f>
        <v>4286</v>
      </c>
      <c r="N31" s="3276">
        <v>4267</v>
      </c>
      <c r="O31" s="3793">
        <v>4199</v>
      </c>
      <c r="P31" s="5894">
        <f>+AVERAGE(L31,N31)</f>
        <v>4286.1666666666661</v>
      </c>
      <c r="Q31" s="5354">
        <f>+AVERAGE(M31,O31)</f>
        <v>4242.5</v>
      </c>
      <c r="R31" s="3276">
        <v>4255</v>
      </c>
      <c r="S31" s="3793">
        <v>4181</v>
      </c>
      <c r="T31" s="5894">
        <f>+AVERAGE(P31,R31)</f>
        <v>4270.583333333333</v>
      </c>
      <c r="U31" s="5354">
        <f>+AVERAGE(Q31,S31)</f>
        <v>4211.75</v>
      </c>
      <c r="V31" s="3276">
        <v>4246</v>
      </c>
      <c r="W31" s="3793">
        <v>4161</v>
      </c>
      <c r="X31" s="5690">
        <f>+AVERAGE(N31,R31,V31)</f>
        <v>4256</v>
      </c>
      <c r="Y31" s="5715">
        <f>+AVERAGE(O31,S31,W31)</f>
        <v>4180.333333333333</v>
      </c>
      <c r="Z31" s="6520">
        <f>+AVERAGE(T31,V31)</f>
        <v>4258.2916666666661</v>
      </c>
      <c r="AA31" s="6613">
        <f>+AVERAGE(U31,W31)</f>
        <v>4186.375</v>
      </c>
      <c r="AB31" s="3276">
        <v>4240</v>
      </c>
      <c r="AC31" s="3793">
        <v>4149</v>
      </c>
      <c r="AD31" s="5894">
        <f>+AVERAGE(Z31,AB31)</f>
        <v>4249.145833333333</v>
      </c>
      <c r="AE31" s="5354">
        <f>+AVERAGE(AA31,AC31)</f>
        <v>4167.6875</v>
      </c>
      <c r="AF31" s="3276">
        <v>4230</v>
      </c>
      <c r="AG31" s="3793">
        <v>4138</v>
      </c>
      <c r="AH31" s="5894">
        <f>+AVERAGE(AD31,AF31)</f>
        <v>4239.5729166666661</v>
      </c>
      <c r="AI31" s="5354">
        <f>+AVERAGE(AE31,AG31)</f>
        <v>4152.84375</v>
      </c>
      <c r="AJ31" s="3276">
        <v>4212</v>
      </c>
      <c r="AK31" s="3793">
        <v>4102</v>
      </c>
      <c r="AL31" s="5690">
        <f>+AVERAGE(AB31,AF31,AJ31)</f>
        <v>4227.333333333333</v>
      </c>
      <c r="AM31" s="5715">
        <f>+AVERAGE(AC31,AG31,AK31)</f>
        <v>4129.666666666667</v>
      </c>
      <c r="AN31" s="5894">
        <f>+AVERAGE(AH31,AJ31)</f>
        <v>4225.786458333333</v>
      </c>
      <c r="AO31" s="5354">
        <f>+AVERAGE(AI31,AK31)</f>
        <v>4127.421875</v>
      </c>
      <c r="AP31" s="3276">
        <v>4203</v>
      </c>
      <c r="AQ31" s="3793">
        <v>4101</v>
      </c>
      <c r="AR31" s="5894">
        <f>+AVERAGE(AN31,AP31)</f>
        <v>4214.3932291666661</v>
      </c>
      <c r="AS31" s="5354">
        <f>+AVERAGE(AO31,AQ31)</f>
        <v>4114.2109375</v>
      </c>
      <c r="AT31" s="3276">
        <v>4196</v>
      </c>
      <c r="AU31" s="3793">
        <v>4091</v>
      </c>
      <c r="AV31" s="5894">
        <f>+AVERAGE(AR31,AT31)</f>
        <v>4205.196614583333</v>
      </c>
      <c r="AW31" s="5354">
        <f>+AVERAGE(AS31,AU31)</f>
        <v>4102.60546875</v>
      </c>
      <c r="AX31" s="3276">
        <v>4188</v>
      </c>
      <c r="AY31" s="3793">
        <v>4078</v>
      </c>
      <c r="AZ31" s="5690">
        <f>+AVERAGE(AP31,AT31,AX31)</f>
        <v>4195.666666666667</v>
      </c>
      <c r="BA31" s="5715">
        <f>+AVERAGE(AQ31,AU31,AY31)</f>
        <v>4090</v>
      </c>
      <c r="BB31" s="5690">
        <f>+AVERAGE(AL31,AZ31)</f>
        <v>4211.5</v>
      </c>
      <c r="BC31" s="5715">
        <f>+AVERAGE(AM31,BA31)</f>
        <v>4109.8333333333339</v>
      </c>
      <c r="BD31" s="8385">
        <f>+AVERAGE(AV31,AX31)</f>
        <v>4196.5983072916661</v>
      </c>
      <c r="BE31" s="8385">
        <f>+AVERAGE(AW31,AY31)</f>
        <v>4090.302734375</v>
      </c>
      <c r="BF31" s="5342">
        <v>4470.8032786885242</v>
      </c>
      <c r="BG31" s="5395">
        <v>4421.333333333333</v>
      </c>
      <c r="BH31" s="5342">
        <v>4614.4191780821911</v>
      </c>
    </row>
    <row r="32" spans="2:60" ht="15" customHeight="1" x14ac:dyDescent="0.2">
      <c r="B32" s="1660"/>
      <c r="C32" s="1660"/>
      <c r="D32" s="4404"/>
      <c r="E32" s="4407"/>
      <c r="F32" s="4404"/>
      <c r="G32" s="4407"/>
      <c r="H32" s="4404"/>
      <c r="I32" s="4407"/>
      <c r="J32" s="4404"/>
      <c r="K32" s="4407"/>
      <c r="L32" s="4404"/>
      <c r="M32" s="4407"/>
      <c r="N32" s="4404"/>
      <c r="O32" s="4407"/>
      <c r="P32" s="4404"/>
      <c r="Q32" s="4407"/>
      <c r="R32" s="4404"/>
      <c r="S32" s="4407"/>
      <c r="T32" s="4404"/>
      <c r="U32" s="4407"/>
      <c r="V32" s="4404"/>
      <c r="W32" s="4407"/>
      <c r="X32" s="4404"/>
      <c r="Y32" s="4407"/>
      <c r="Z32" s="4404"/>
      <c r="AA32" s="4407"/>
      <c r="AB32" s="4404"/>
      <c r="AC32" s="4407"/>
      <c r="AD32" s="4404"/>
      <c r="AE32" s="4407"/>
      <c r="AF32" s="4404"/>
      <c r="AG32" s="4407"/>
      <c r="AH32" s="4404"/>
      <c r="AI32" s="4407"/>
      <c r="AJ32" s="4404"/>
      <c r="AK32" s="4407"/>
      <c r="AL32" s="4404"/>
      <c r="AM32" s="4407"/>
      <c r="AN32" s="4404"/>
      <c r="AO32" s="4407"/>
      <c r="AP32" s="4404"/>
      <c r="AQ32" s="4407"/>
      <c r="AR32" s="4404"/>
      <c r="AS32" s="4407"/>
      <c r="AT32" s="4407"/>
      <c r="AU32" s="4407"/>
      <c r="AV32" s="4407"/>
      <c r="AW32" s="4407"/>
      <c r="AX32" s="4407"/>
      <c r="AY32" s="4407"/>
      <c r="AZ32" s="4404"/>
      <c r="BA32" s="4407"/>
      <c r="BB32" s="4407"/>
      <c r="BC32" s="4407"/>
      <c r="BD32" s="4404"/>
      <c r="BE32" s="4407"/>
      <c r="BF32" s="1660"/>
      <c r="BG32" s="1660"/>
    </row>
    <row r="33" spans="2:61" ht="15" customHeight="1" x14ac:dyDescent="0.2">
      <c r="C33" s="1660" t="s">
        <v>1317</v>
      </c>
      <c r="D33" s="3375">
        <f>'Maj Prod Summ'!D18</f>
        <v>129292</v>
      </c>
      <c r="E33" s="3206">
        <f>'Maj Prod Summ'!E18</f>
        <v>129292</v>
      </c>
      <c r="F33" s="3375">
        <f>'Maj Prod Summ'!F18</f>
        <v>134303</v>
      </c>
      <c r="G33" s="3206">
        <f>'Maj Prod Summ'!G18</f>
        <v>134303</v>
      </c>
      <c r="H33" s="3375">
        <f>+D33+F33</f>
        <v>263595</v>
      </c>
      <c r="I33" s="2265">
        <f>+E33+G33</f>
        <v>263595</v>
      </c>
      <c r="J33" s="3375">
        <f>'Maj Prod Summ'!J18</f>
        <v>161947</v>
      </c>
      <c r="K33" s="3206">
        <f>'Maj Prod Summ'!K18</f>
        <v>147382</v>
      </c>
      <c r="L33" s="2829">
        <f>+H33+J33</f>
        <v>425542</v>
      </c>
      <c r="M33" s="2956">
        <f>+I33+K33</f>
        <v>410977</v>
      </c>
      <c r="N33" s="3375">
        <f>'Maj Prod Summ'!N18</f>
        <v>221247</v>
      </c>
      <c r="O33" s="3206">
        <f>'Maj Prod Summ'!O18</f>
        <v>160929</v>
      </c>
      <c r="P33" s="3375">
        <f>'Maj Prod Summ'!P18</f>
        <v>646789</v>
      </c>
      <c r="Q33" s="3206">
        <f>'Maj Prod Summ'!Q18</f>
        <v>571906</v>
      </c>
      <c r="R33" s="3375">
        <f>'Maj Prod Summ'!R18</f>
        <v>219958</v>
      </c>
      <c r="S33" s="3206">
        <f>'Maj Prod Summ'!S18</f>
        <v>172012</v>
      </c>
      <c r="T33" s="3375">
        <f>'Maj Prod Summ'!T18</f>
        <v>866747</v>
      </c>
      <c r="U33" s="3206">
        <f>'Maj Prod Summ'!U18</f>
        <v>743918</v>
      </c>
      <c r="V33" s="3375">
        <f>'Maj Prod Summ'!V18</f>
        <v>217063</v>
      </c>
      <c r="W33" s="3206">
        <f>'Maj Prod Summ'!W18</f>
        <v>83590</v>
      </c>
      <c r="X33" s="3375">
        <f>'Maj Prod Summ'!X18</f>
        <v>658268</v>
      </c>
      <c r="Y33" s="3206">
        <f>'Maj Prod Summ'!Y18</f>
        <v>416531</v>
      </c>
      <c r="Z33" s="3375">
        <f>'Maj Prod Summ'!Z18</f>
        <v>1083810</v>
      </c>
      <c r="AA33" s="3206">
        <f>'Maj Prod Summ'!AA18</f>
        <v>827508</v>
      </c>
      <c r="AB33" s="3375">
        <f>'Maj Prod Summ'!AB18</f>
        <v>114155</v>
      </c>
      <c r="AC33" s="3206">
        <f>'Maj Prod Summ'!AC18</f>
        <v>98775</v>
      </c>
      <c r="AD33" s="3375">
        <f>'Maj Prod Summ'!AD18</f>
        <v>1197965</v>
      </c>
      <c r="AE33" s="3206">
        <f>'Maj Prod Summ'!AE18</f>
        <v>926283</v>
      </c>
      <c r="AF33" s="3375">
        <f>'Maj Prod Summ'!AF18</f>
        <v>215955</v>
      </c>
      <c r="AG33" s="3206">
        <f>'Maj Prod Summ'!AG18</f>
        <v>139620</v>
      </c>
      <c r="AH33" s="3375">
        <f>'Maj Prod Summ'!AH18</f>
        <v>1413920</v>
      </c>
      <c r="AI33" s="3206">
        <f>'Maj Prod Summ'!AI18</f>
        <v>1065903</v>
      </c>
      <c r="AJ33" s="3375">
        <f>'Maj Prod Summ'!AJ18</f>
        <v>226590</v>
      </c>
      <c r="AK33" s="3206">
        <f>'Maj Prod Summ'!AK18</f>
        <v>167995</v>
      </c>
      <c r="AL33" s="3375">
        <f>'Maj Prod Summ'!AL18</f>
        <v>556700</v>
      </c>
      <c r="AM33" s="3206">
        <f>'Maj Prod Summ'!AM18</f>
        <v>406390</v>
      </c>
      <c r="AN33" s="3375">
        <f>'Maj Prod Summ'!AN18</f>
        <v>1640510</v>
      </c>
      <c r="AO33" s="3206">
        <f>'Maj Prod Summ'!AO18</f>
        <v>1233898</v>
      </c>
      <c r="AP33" s="3375">
        <f>'Maj Prod Summ'!AP18</f>
        <v>222957.5</v>
      </c>
      <c r="AQ33" s="3206">
        <f>'Maj Prod Summ'!AQ18</f>
        <v>201367</v>
      </c>
      <c r="AR33" s="3375">
        <f>'Maj Prod Summ'!AR18</f>
        <v>1863467.5</v>
      </c>
      <c r="AS33" s="3206">
        <f>'Maj Prod Summ'!AS18</f>
        <v>1435265</v>
      </c>
      <c r="AT33" s="3206">
        <f>'Maj Prod Summ'!AT18</f>
        <v>206078</v>
      </c>
      <c r="AU33" s="3206">
        <f>'Maj Prod Summ'!AU18</f>
        <v>189148</v>
      </c>
      <c r="AV33" s="3375">
        <f>'Maj Prod Summ'!AV18</f>
        <v>2069545.5</v>
      </c>
      <c r="AW33" s="3206">
        <f>'Maj Prod Summ'!AW18</f>
        <v>1624413</v>
      </c>
      <c r="AX33" s="3206">
        <f>'Maj Prod Summ'!AX18</f>
        <v>227618</v>
      </c>
      <c r="AY33" s="3206">
        <f>'Maj Prod Summ'!AY18</f>
        <v>223020</v>
      </c>
      <c r="AZ33" s="3375">
        <f>'Maj Prod Summ'!AZ18</f>
        <v>656653.5</v>
      </c>
      <c r="BA33" s="3206">
        <f>'Maj Prod Summ'!BA18</f>
        <v>613535</v>
      </c>
      <c r="BB33" s="3206">
        <f>'Maj Prod Summ'!BB18</f>
        <v>1213353.5</v>
      </c>
      <c r="BC33" s="3206">
        <f>'Maj Prod Summ'!BC18</f>
        <v>1019925</v>
      </c>
      <c r="BD33" s="3375">
        <f>'Maj Prod Summ'!BD18</f>
        <v>2297163.5</v>
      </c>
      <c r="BE33" s="3206">
        <f>'Maj Prod Summ'!BE18</f>
        <v>1847433</v>
      </c>
      <c r="BF33" s="2829"/>
      <c r="BG33" s="1673"/>
    </row>
    <row r="34" spans="2:61" ht="15" customHeight="1" x14ac:dyDescent="0.2">
      <c r="C34" s="1660" t="s">
        <v>1320</v>
      </c>
      <c r="D34" s="3375">
        <f>'Maj Prod Summ'!D24</f>
        <v>3248</v>
      </c>
      <c r="E34" s="3206">
        <f>'Maj Prod Summ'!E24</f>
        <v>3248</v>
      </c>
      <c r="F34" s="3375">
        <f>'Maj Prod Summ'!F24</f>
        <v>3090</v>
      </c>
      <c r="G34" s="3206">
        <f>'Maj Prod Summ'!G24</f>
        <v>3090</v>
      </c>
      <c r="H34" s="3375">
        <f>+D34+F34</f>
        <v>6338</v>
      </c>
      <c r="I34" s="2265">
        <f t="shared" ref="I34:I36" si="48">+E34+G34</f>
        <v>6338</v>
      </c>
      <c r="J34" s="3375">
        <f>'Maj Prod Summ'!J24</f>
        <v>3951.439913043489</v>
      </c>
      <c r="K34" s="3206">
        <f>'Maj Prod Summ'!K24</f>
        <v>2989</v>
      </c>
      <c r="L34" s="2829">
        <f t="shared" ref="L34:M36" si="49">+H34+J34</f>
        <v>10289.439913043489</v>
      </c>
      <c r="M34" s="2956">
        <f t="shared" si="49"/>
        <v>9327</v>
      </c>
      <c r="N34" s="3375">
        <f>'Maj Prod Summ'!N24</f>
        <v>0.37359359577621509</v>
      </c>
      <c r="O34" s="3206">
        <f>'Maj Prod Summ'!O24</f>
        <v>9064</v>
      </c>
      <c r="P34" s="3375">
        <f>'Maj Prod Summ'!P24</f>
        <v>10289.813506639264</v>
      </c>
      <c r="Q34" s="3206">
        <f>'Maj Prod Summ'!Q24</f>
        <v>18391</v>
      </c>
      <c r="R34" s="3375">
        <f>'Maj Prod Summ'!R24</f>
        <v>0</v>
      </c>
      <c r="S34" s="3206">
        <f>'Maj Prod Summ'!S24</f>
        <v>4447</v>
      </c>
      <c r="T34" s="3375">
        <f>'Maj Prod Summ'!T24</f>
        <v>10289.813506639264</v>
      </c>
      <c r="U34" s="3206">
        <f>'Maj Prod Summ'!U24</f>
        <v>22838</v>
      </c>
      <c r="V34" s="3375">
        <f>'Maj Prod Summ'!V24</f>
        <v>0</v>
      </c>
      <c r="W34" s="3206">
        <f>'Maj Prod Summ'!W24</f>
        <v>7506</v>
      </c>
      <c r="X34" s="3375">
        <f>'Maj Prod Summ'!X24</f>
        <v>0.37359359577621509</v>
      </c>
      <c r="Y34" s="3206">
        <f>'Maj Prod Summ'!Y24</f>
        <v>21017</v>
      </c>
      <c r="Z34" s="3375">
        <f>'Maj Prod Summ'!Z24</f>
        <v>10289.813506639264</v>
      </c>
      <c r="AA34" s="3206">
        <f>'Maj Prod Summ'!AA24</f>
        <v>30344</v>
      </c>
      <c r="AB34" s="3375">
        <f>'Maj Prod Summ'!AB24</f>
        <v>2130.1605375000004</v>
      </c>
      <c r="AC34" s="3206">
        <f>'Maj Prod Summ'!AC24</f>
        <v>10099</v>
      </c>
      <c r="AD34" s="3375">
        <f>'Maj Prod Summ'!AD24</f>
        <v>12419.974044139264</v>
      </c>
      <c r="AE34" s="3206">
        <f>'Maj Prod Summ'!AE24</f>
        <v>40443</v>
      </c>
      <c r="AF34" s="3375">
        <f>'Maj Prod Summ'!AF24</f>
        <v>1873.1932324999893</v>
      </c>
      <c r="AG34" s="3206">
        <f>'Maj Prod Summ'!AG24</f>
        <v>5226</v>
      </c>
      <c r="AH34" s="3375">
        <f>'Maj Prod Summ'!AH24</f>
        <v>14293.167276639253</v>
      </c>
      <c r="AI34" s="3206">
        <f>'Maj Prod Summ'!AI24</f>
        <v>45669</v>
      </c>
      <c r="AJ34" s="3375">
        <f>'Maj Prod Summ'!AJ24</f>
        <v>2501.7112849999949</v>
      </c>
      <c r="AK34" s="3206">
        <f>'Maj Prod Summ'!AK24</f>
        <v>7796</v>
      </c>
      <c r="AL34" s="3375">
        <f>'Maj Prod Summ'!AL24</f>
        <v>6505.0650549999846</v>
      </c>
      <c r="AM34" s="3206">
        <f>'Maj Prod Summ'!AM24</f>
        <v>23121</v>
      </c>
      <c r="AN34" s="3375">
        <f>'Maj Prod Summ'!AN24</f>
        <v>16794.878561639249</v>
      </c>
      <c r="AO34" s="3206">
        <f>'Maj Prod Summ'!AO24</f>
        <v>53465</v>
      </c>
      <c r="AP34" s="3375">
        <f>'Maj Prod Summ'!AP24</f>
        <v>2379.1398862500109</v>
      </c>
      <c r="AQ34" s="3206">
        <f>'Maj Prod Summ'!AQ24</f>
        <v>4933</v>
      </c>
      <c r="AR34" s="3375">
        <f>'Maj Prod Summ'!AR24</f>
        <v>19174.018447889259</v>
      </c>
      <c r="AS34" s="3206">
        <f>'Maj Prod Summ'!AS24</f>
        <v>58398</v>
      </c>
      <c r="AT34" s="3206">
        <f>'Maj Prod Summ'!AT24</f>
        <v>492</v>
      </c>
      <c r="AU34" s="3206">
        <f>'Maj Prod Summ'!AU24</f>
        <v>685.69999999999993</v>
      </c>
      <c r="AV34" s="3375">
        <f>'Maj Prod Summ'!AV24</f>
        <v>19666.018447889259</v>
      </c>
      <c r="AW34" s="3206">
        <f>'Maj Prod Summ'!AW24</f>
        <v>59083.700000000004</v>
      </c>
      <c r="AX34" s="3206">
        <f>'Maj Prod Summ'!AX24</f>
        <v>1481</v>
      </c>
      <c r="AY34" s="3206">
        <f>'Maj Prod Summ'!AY24</f>
        <v>2989.3</v>
      </c>
      <c r="AZ34" s="3375">
        <f>'Maj Prod Summ'!AZ24</f>
        <v>4352.1398862500109</v>
      </c>
      <c r="BA34" s="3206">
        <f>'Maj Prod Summ'!BA24</f>
        <v>8608</v>
      </c>
      <c r="BB34" s="3206">
        <f>'Maj Prod Summ'!BB24</f>
        <v>10857.204941249995</v>
      </c>
      <c r="BC34" s="3206">
        <f>'Maj Prod Summ'!BC24</f>
        <v>31729</v>
      </c>
      <c r="BD34" s="3375">
        <f>'Maj Prod Summ'!BD24</f>
        <v>21147.018447889259</v>
      </c>
      <c r="BE34" s="3206">
        <f>'Maj Prod Summ'!BE24</f>
        <v>62073.000000000007</v>
      </c>
      <c r="BF34" s="2829"/>
      <c r="BG34" s="1673"/>
    </row>
    <row r="35" spans="2:61" ht="15" customHeight="1" x14ac:dyDescent="0.2">
      <c r="C35" s="1660" t="s">
        <v>1318</v>
      </c>
      <c r="D35" s="3375">
        <f>+D34/2</f>
        <v>1624</v>
      </c>
      <c r="E35" s="5246">
        <f>+E34/2</f>
        <v>1624</v>
      </c>
      <c r="F35" s="3375">
        <f>+F34/2</f>
        <v>1545</v>
      </c>
      <c r="G35" s="5246">
        <f>+G34/2</f>
        <v>1545</v>
      </c>
      <c r="H35" s="3375">
        <f>+D35+F35</f>
        <v>3169</v>
      </c>
      <c r="I35" s="2265">
        <f t="shared" si="48"/>
        <v>3169</v>
      </c>
      <c r="J35" s="3375">
        <f>+J34/2</f>
        <v>1975.7199565217445</v>
      </c>
      <c r="K35" s="5246">
        <f>+K34/2</f>
        <v>1494.5</v>
      </c>
      <c r="L35" s="2829">
        <f t="shared" si="49"/>
        <v>5144.7199565217443</v>
      </c>
      <c r="M35" s="2956">
        <f t="shared" si="49"/>
        <v>4663.5</v>
      </c>
      <c r="N35" s="3375">
        <f t="shared" ref="N35:Q35" si="50">+N34/2</f>
        <v>0.18679679788810755</v>
      </c>
      <c r="O35" s="5246">
        <f t="shared" si="50"/>
        <v>4532</v>
      </c>
      <c r="P35" s="3375">
        <f t="shared" si="50"/>
        <v>5144.9067533196321</v>
      </c>
      <c r="Q35" s="5898">
        <f t="shared" si="50"/>
        <v>9195.5</v>
      </c>
      <c r="R35" s="3375">
        <f t="shared" ref="R35:U35" si="51">+R34/2</f>
        <v>0</v>
      </c>
      <c r="S35" s="5898">
        <f t="shared" si="51"/>
        <v>2223.5</v>
      </c>
      <c r="T35" s="3375">
        <f t="shared" si="51"/>
        <v>5144.9067533196321</v>
      </c>
      <c r="U35" s="5898">
        <f t="shared" si="51"/>
        <v>11419</v>
      </c>
      <c r="V35" s="3375">
        <f t="shared" ref="V35:AI35" si="52">+V34/2</f>
        <v>0</v>
      </c>
      <c r="W35" s="5898">
        <f t="shared" si="52"/>
        <v>3753</v>
      </c>
      <c r="X35" s="3375">
        <f t="shared" si="52"/>
        <v>0.18679679788810755</v>
      </c>
      <c r="Y35" s="5898">
        <f t="shared" si="52"/>
        <v>10508.5</v>
      </c>
      <c r="Z35" s="3375">
        <f t="shared" si="52"/>
        <v>5144.9067533196321</v>
      </c>
      <c r="AA35" s="5898">
        <f t="shared" si="52"/>
        <v>15172</v>
      </c>
      <c r="AB35" s="3375">
        <f t="shared" si="52"/>
        <v>1065.0802687500002</v>
      </c>
      <c r="AC35" s="5898">
        <f t="shared" si="52"/>
        <v>5049.5</v>
      </c>
      <c r="AD35" s="3375">
        <f t="shared" si="52"/>
        <v>6209.9870220696321</v>
      </c>
      <c r="AE35" s="5898">
        <f t="shared" si="52"/>
        <v>20221.5</v>
      </c>
      <c r="AF35" s="3375">
        <f t="shared" si="52"/>
        <v>936.59661624999467</v>
      </c>
      <c r="AG35" s="5898">
        <f t="shared" si="52"/>
        <v>2613</v>
      </c>
      <c r="AH35" s="3375">
        <f t="shared" si="52"/>
        <v>7146.5836383196265</v>
      </c>
      <c r="AI35" s="5898">
        <f t="shared" si="52"/>
        <v>22834.5</v>
      </c>
      <c r="AJ35" s="3375">
        <f t="shared" ref="AJ35:AO35" si="53">+AJ34/2</f>
        <v>1250.8556424999974</v>
      </c>
      <c r="AK35" s="5898">
        <f t="shared" si="53"/>
        <v>3898</v>
      </c>
      <c r="AL35" s="3375">
        <f t="shared" si="53"/>
        <v>3252.5325274999923</v>
      </c>
      <c r="AM35" s="5898">
        <f t="shared" si="53"/>
        <v>11560.5</v>
      </c>
      <c r="AN35" s="3375">
        <f t="shared" si="53"/>
        <v>8397.4392808196244</v>
      </c>
      <c r="AO35" s="5898">
        <f t="shared" si="53"/>
        <v>26732.5</v>
      </c>
      <c r="AP35" s="3375">
        <f t="shared" ref="AP35:AS35" si="54">+AP34/2</f>
        <v>1189.5699431250055</v>
      </c>
      <c r="AQ35" s="5898">
        <f t="shared" si="54"/>
        <v>2466.5</v>
      </c>
      <c r="AR35" s="3375">
        <f t="shared" si="54"/>
        <v>9587.0092239446294</v>
      </c>
      <c r="AS35" s="5898">
        <f t="shared" si="54"/>
        <v>29199</v>
      </c>
      <c r="AT35" s="5898">
        <f t="shared" ref="AT35:AW35" si="55">+AT34/2</f>
        <v>246</v>
      </c>
      <c r="AU35" s="5898">
        <f t="shared" si="55"/>
        <v>342.84999999999997</v>
      </c>
      <c r="AV35" s="3375">
        <f t="shared" si="55"/>
        <v>9833.0092239446294</v>
      </c>
      <c r="AW35" s="5898">
        <f t="shared" si="55"/>
        <v>29541.850000000002</v>
      </c>
      <c r="AX35" s="5898">
        <f t="shared" ref="AX35:AY35" si="56">+AX34/2</f>
        <v>740.5</v>
      </c>
      <c r="AY35" s="5898">
        <f t="shared" si="56"/>
        <v>1494.65</v>
      </c>
      <c r="AZ35" s="3375">
        <f t="shared" ref="AZ35:BA35" si="57">+AZ34/2</f>
        <v>2176.0699431250055</v>
      </c>
      <c r="BA35" s="5898">
        <f t="shared" si="57"/>
        <v>4304</v>
      </c>
      <c r="BB35" s="5898">
        <f t="shared" ref="BB35:BE35" si="58">+BB34/2</f>
        <v>5428.6024706249973</v>
      </c>
      <c r="BC35" s="5898">
        <f t="shared" si="58"/>
        <v>15864.5</v>
      </c>
      <c r="BD35" s="3375">
        <f t="shared" si="58"/>
        <v>10573.509223944629</v>
      </c>
      <c r="BE35" s="5898">
        <f t="shared" si="58"/>
        <v>31036.500000000004</v>
      </c>
      <c r="BF35" s="2829"/>
      <c r="BG35" s="1673"/>
    </row>
    <row r="36" spans="2:61" ht="15" customHeight="1" x14ac:dyDescent="0.2">
      <c r="C36" s="1660" t="s">
        <v>1319</v>
      </c>
      <c r="D36" s="3375">
        <f>+D33+D35</f>
        <v>130916</v>
      </c>
      <c r="E36" s="5246">
        <f>+E33+E35</f>
        <v>130916</v>
      </c>
      <c r="F36" s="3375">
        <f>+F33+F35</f>
        <v>135848</v>
      </c>
      <c r="G36" s="5246">
        <f>+G33+G35</f>
        <v>135848</v>
      </c>
      <c r="H36" s="3375">
        <f>+D36+F36</f>
        <v>266764</v>
      </c>
      <c r="I36" s="2265">
        <f t="shared" si="48"/>
        <v>266764</v>
      </c>
      <c r="J36" s="3375">
        <f>+J33+J35</f>
        <v>163922.71995652173</v>
      </c>
      <c r="K36" s="5246">
        <f>+K33+K35</f>
        <v>148876.5</v>
      </c>
      <c r="L36" s="2829">
        <f t="shared" si="49"/>
        <v>430686.71995652176</v>
      </c>
      <c r="M36" s="2956">
        <f t="shared" si="49"/>
        <v>415640.5</v>
      </c>
      <c r="N36" s="3375">
        <f t="shared" ref="N36:Q36" si="59">+N33+N35</f>
        <v>221247.18679679788</v>
      </c>
      <c r="O36" s="5246">
        <f t="shared" si="59"/>
        <v>165461</v>
      </c>
      <c r="P36" s="3375">
        <f t="shared" si="59"/>
        <v>651933.90675331966</v>
      </c>
      <c r="Q36" s="5898">
        <f t="shared" si="59"/>
        <v>581101.5</v>
      </c>
      <c r="R36" s="3375">
        <f t="shared" ref="R36:U36" si="60">+R33+R35</f>
        <v>219958</v>
      </c>
      <c r="S36" s="5898">
        <f t="shared" si="60"/>
        <v>174235.5</v>
      </c>
      <c r="T36" s="3375">
        <f t="shared" si="60"/>
        <v>871891.90675331966</v>
      </c>
      <c r="U36" s="5898">
        <f t="shared" si="60"/>
        <v>755337</v>
      </c>
      <c r="V36" s="3375">
        <f t="shared" ref="V36:AI36" si="61">+V33+V35</f>
        <v>217063</v>
      </c>
      <c r="W36" s="5898">
        <f t="shared" si="61"/>
        <v>87343</v>
      </c>
      <c r="X36" s="3375">
        <f t="shared" si="61"/>
        <v>658268.18679679791</v>
      </c>
      <c r="Y36" s="5898">
        <f t="shared" si="61"/>
        <v>427039.5</v>
      </c>
      <c r="Z36" s="3375">
        <f t="shared" si="61"/>
        <v>1088954.9067533195</v>
      </c>
      <c r="AA36" s="5898">
        <f t="shared" si="61"/>
        <v>842680</v>
      </c>
      <c r="AB36" s="3375">
        <f t="shared" si="61"/>
        <v>115220.08026875</v>
      </c>
      <c r="AC36" s="5898">
        <f t="shared" si="61"/>
        <v>103824.5</v>
      </c>
      <c r="AD36" s="3375">
        <f t="shared" si="61"/>
        <v>1204174.9870220697</v>
      </c>
      <c r="AE36" s="5898">
        <f t="shared" si="61"/>
        <v>946504.5</v>
      </c>
      <c r="AF36" s="3375">
        <f t="shared" si="61"/>
        <v>216891.59661625</v>
      </c>
      <c r="AG36" s="5898">
        <f t="shared" si="61"/>
        <v>142233</v>
      </c>
      <c r="AH36" s="3375">
        <f t="shared" si="61"/>
        <v>1421066.5836383195</v>
      </c>
      <c r="AI36" s="5898">
        <f t="shared" si="61"/>
        <v>1088737.5</v>
      </c>
      <c r="AJ36" s="3375">
        <f t="shared" ref="AJ36:AO36" si="62">+AJ33+AJ35</f>
        <v>227840.85564249998</v>
      </c>
      <c r="AK36" s="5898">
        <f t="shared" si="62"/>
        <v>171893</v>
      </c>
      <c r="AL36" s="3375">
        <f t="shared" si="62"/>
        <v>559952.53252749995</v>
      </c>
      <c r="AM36" s="5898">
        <f t="shared" si="62"/>
        <v>417950.5</v>
      </c>
      <c r="AN36" s="3375">
        <f t="shared" si="62"/>
        <v>1648907.4392808196</v>
      </c>
      <c r="AO36" s="5898">
        <f t="shared" si="62"/>
        <v>1260630.5</v>
      </c>
      <c r="AP36" s="3375">
        <f t="shared" ref="AP36:AS36" si="63">+AP33+AP35</f>
        <v>224147.06994312501</v>
      </c>
      <c r="AQ36" s="5898">
        <f t="shared" si="63"/>
        <v>203833.5</v>
      </c>
      <c r="AR36" s="3375">
        <f t="shared" si="63"/>
        <v>1873054.5092239447</v>
      </c>
      <c r="AS36" s="5898">
        <f t="shared" si="63"/>
        <v>1464464</v>
      </c>
      <c r="AT36" s="5898">
        <f t="shared" ref="AT36:AW36" si="64">+AT33+AT35</f>
        <v>206324</v>
      </c>
      <c r="AU36" s="5898">
        <f t="shared" si="64"/>
        <v>189490.85</v>
      </c>
      <c r="AV36" s="3375">
        <f t="shared" si="64"/>
        <v>2079378.5092239447</v>
      </c>
      <c r="AW36" s="5898">
        <f t="shared" si="64"/>
        <v>1653954.85</v>
      </c>
      <c r="AX36" s="5898">
        <f t="shared" ref="AX36:AY36" si="65">+AX33+AX35</f>
        <v>228358.5</v>
      </c>
      <c r="AY36" s="5898">
        <f t="shared" si="65"/>
        <v>224514.65</v>
      </c>
      <c r="AZ36" s="3375">
        <f t="shared" ref="AZ36:BA36" si="66">+AZ33+AZ35</f>
        <v>658829.56994312501</v>
      </c>
      <c r="BA36" s="5898">
        <f t="shared" si="66"/>
        <v>617839</v>
      </c>
      <c r="BB36" s="5898">
        <f t="shared" ref="BB36:BE36" si="67">+BB33+BB35</f>
        <v>1218782.102470625</v>
      </c>
      <c r="BC36" s="5898">
        <f t="shared" si="67"/>
        <v>1035789.5</v>
      </c>
      <c r="BD36" s="3375">
        <f t="shared" si="67"/>
        <v>2307737.0092239445</v>
      </c>
      <c r="BE36" s="5898">
        <f t="shared" si="67"/>
        <v>1878469.5</v>
      </c>
      <c r="BF36" s="2829"/>
      <c r="BG36" s="1673"/>
    </row>
    <row r="37" spans="2:61" ht="15" customHeight="1" x14ac:dyDescent="0.2">
      <c r="AB37" s="2100"/>
      <c r="AD37" s="2100"/>
      <c r="AF37" s="2100"/>
      <c r="AH37" s="2100"/>
      <c r="AJ37" s="2100"/>
      <c r="AL37" s="2100"/>
      <c r="AN37" s="2100"/>
      <c r="AP37" s="2100"/>
      <c r="AR37" s="2100"/>
      <c r="AZ37" s="2100"/>
      <c r="BD37" s="2100"/>
      <c r="BF37" s="5299"/>
      <c r="BG37" s="5299"/>
    </row>
    <row r="38" spans="2:61" ht="15" customHeight="1" x14ac:dyDescent="0.2">
      <c r="B38" s="5164">
        <f>49377-1698</f>
        <v>47679</v>
      </c>
      <c r="AB38" s="2100"/>
      <c r="AD38" s="2100"/>
      <c r="AF38" s="2100"/>
      <c r="AH38" s="2100"/>
      <c r="AJ38" s="2100"/>
      <c r="AL38" s="2100"/>
      <c r="AN38" s="2100"/>
      <c r="AP38" s="2100"/>
      <c r="AR38" s="2100"/>
      <c r="AZ38" s="2100"/>
      <c r="BD38" s="2100"/>
      <c r="BF38" s="5299"/>
      <c r="BG38" s="5299"/>
    </row>
    <row r="39" spans="2:61" ht="15" customHeight="1" x14ac:dyDescent="0.2">
      <c r="D39" s="3206">
        <f t="shared" ref="D39:AD39" si="68">+D36/(D31/365*D2)</f>
        <v>368.28007707129092</v>
      </c>
      <c r="E39" s="3206">
        <f t="shared" si="68"/>
        <v>368.28007707129092</v>
      </c>
      <c r="F39" s="3206">
        <f t="shared" si="68"/>
        <v>371.45857992598474</v>
      </c>
      <c r="G39" s="3206">
        <f t="shared" si="68"/>
        <v>373.10488573857953</v>
      </c>
      <c r="H39" s="3206">
        <f t="shared" si="68"/>
        <v>369.87853543555354</v>
      </c>
      <c r="I39" s="3206">
        <f t="shared" si="68"/>
        <v>370.69457029078757</v>
      </c>
      <c r="J39" s="3206">
        <f t="shared" si="68"/>
        <v>465.43596098117803</v>
      </c>
      <c r="K39" s="3206">
        <f t="shared" si="68"/>
        <v>426.59697362223267</v>
      </c>
      <c r="L39" s="3206">
        <f t="shared" si="68"/>
        <v>401.24180108187767</v>
      </c>
      <c r="M39" s="3206">
        <f t="shared" si="68"/>
        <v>388.97094680867428</v>
      </c>
      <c r="N39" s="3206">
        <f t="shared" si="68"/>
        <v>610.50086697484244</v>
      </c>
      <c r="O39" s="3206">
        <f t="shared" si="68"/>
        <v>463.96042836620086</v>
      </c>
      <c r="P39" s="3206">
        <f t="shared" si="68"/>
        <v>455.05883261176672</v>
      </c>
      <c r="Q39" s="3206">
        <f t="shared" si="68"/>
        <v>409.79172020054676</v>
      </c>
      <c r="R39" s="3206">
        <f t="shared" si="68"/>
        <v>608.65524430461312</v>
      </c>
      <c r="S39" s="3206">
        <f t="shared" si="68"/>
        <v>490.66790241568998</v>
      </c>
      <c r="T39" s="3206">
        <f t="shared" si="68"/>
        <v>487.05373623395144</v>
      </c>
      <c r="U39" s="3206">
        <f t="shared" si="68"/>
        <v>427.83824896967752</v>
      </c>
      <c r="V39" s="3206">
        <f t="shared" si="68"/>
        <v>621.98143350604482</v>
      </c>
      <c r="W39" s="3206">
        <f t="shared" si="68"/>
        <v>255.38888888888889</v>
      </c>
      <c r="X39" s="3206">
        <f t="shared" si="68"/>
        <v>613.62957712087086</v>
      </c>
      <c r="Y39" s="3206">
        <f t="shared" si="68"/>
        <v>405.28653191445102</v>
      </c>
      <c r="Z39" s="3206">
        <f t="shared" si="68"/>
        <v>510.05412739749528</v>
      </c>
      <c r="AA39" s="3206">
        <f t="shared" si="68"/>
        <v>401.48223493041849</v>
      </c>
      <c r="AB39" s="3206">
        <f t="shared" si="68"/>
        <v>319.95837871343389</v>
      </c>
      <c r="AC39" s="3206">
        <f>+AC36/(AC31/365*AC2)</f>
        <v>294.6372036790832</v>
      </c>
      <c r="AD39" s="3206">
        <f t="shared" si="68"/>
        <v>483.35593589903425</v>
      </c>
      <c r="AE39" s="3206">
        <f>+AE36/(AE31/365*AE2)</f>
        <v>387.35273502851612</v>
      </c>
      <c r="AF39" s="3206">
        <f t="shared" ref="AF39:AO39" si="69">+AF36/(AF31/365*AF2)</f>
        <v>623.84107773783501</v>
      </c>
      <c r="AG39" s="3206">
        <f t="shared" si="69"/>
        <v>418.19755920734656</v>
      </c>
      <c r="AH39" s="3206">
        <f t="shared" si="69"/>
        <v>501.41273044863408</v>
      </c>
      <c r="AI39" s="3206">
        <f t="shared" si="69"/>
        <v>392.17565338584524</v>
      </c>
      <c r="AJ39" s="3206">
        <f t="shared" si="69"/>
        <v>636.904637361092</v>
      </c>
      <c r="AK39" s="3206">
        <f t="shared" si="69"/>
        <v>493.39382048096127</v>
      </c>
      <c r="AL39" s="3206">
        <f t="shared" si="69"/>
        <v>525.52061387726224</v>
      </c>
      <c r="AM39" s="3206">
        <f t="shared" si="69"/>
        <v>401.52712390374347</v>
      </c>
      <c r="AN39" s="3206">
        <f t="shared" si="69"/>
        <v>517.90356553362494</v>
      </c>
      <c r="AO39" s="3206">
        <f t="shared" si="69"/>
        <v>405.38634830445625</v>
      </c>
      <c r="AP39" s="3206">
        <f t="shared" ref="AP39:AW39" si="70">+AP36/(AP31/365*AP2)</f>
        <v>627.92076726486175</v>
      </c>
      <c r="AQ39" s="3206">
        <f t="shared" si="70"/>
        <v>585.21703990372134</v>
      </c>
      <c r="AR39" s="3206">
        <f t="shared" si="70"/>
        <v>530.13539188469053</v>
      </c>
      <c r="AS39" s="3206">
        <f t="shared" si="70"/>
        <v>424.5839604222308</v>
      </c>
      <c r="AT39" s="3206">
        <f t="shared" si="70"/>
        <v>640.98682418629994</v>
      </c>
      <c r="AU39" s="3206">
        <f t="shared" si="70"/>
        <v>603.80067962775422</v>
      </c>
      <c r="AV39" s="3206">
        <f t="shared" si="70"/>
        <v>540.37300189091093</v>
      </c>
      <c r="AW39" s="3206">
        <f t="shared" si="70"/>
        <v>440.56530496502376</v>
      </c>
      <c r="AX39" s="3206">
        <f t="shared" ref="AX39:AY39" si="71">+AX36/(AX31/365*AX2)</f>
        <v>642.00983223957849</v>
      </c>
      <c r="AY39" s="3206">
        <f t="shared" si="71"/>
        <v>648.22926521539648</v>
      </c>
      <c r="AZ39" s="3206">
        <f t="shared" ref="AZ39:BA39" si="72">+AZ36/(AZ31/365*AZ2)</f>
        <v>636.82845536198886</v>
      </c>
      <c r="BA39" s="3206">
        <f t="shared" si="72"/>
        <v>612.63579190437383</v>
      </c>
      <c r="BB39" s="3206">
        <f t="shared" ref="BB39:BE39" si="73">+BB36/(BB31/365*BB2)</f>
        <v>580.37773000115874</v>
      </c>
      <c r="BC39" s="3206">
        <f t="shared" si="73"/>
        <v>505.43902455871705</v>
      </c>
      <c r="BD39" s="3206">
        <f t="shared" si="73"/>
        <v>549.90657676580804</v>
      </c>
      <c r="BE39" s="3206">
        <f t="shared" si="73"/>
        <v>459.24950351799106</v>
      </c>
      <c r="BF39" s="5899"/>
      <c r="BG39" s="5899"/>
      <c r="BH39" s="5895"/>
      <c r="BI39" s="5895"/>
    </row>
    <row r="40" spans="2:61" ht="15" customHeight="1" x14ac:dyDescent="0.2">
      <c r="AB40" s="2100"/>
      <c r="AD40" s="2100"/>
      <c r="AF40" s="2100"/>
      <c r="AH40" s="2100"/>
      <c r="AJ40" s="2100"/>
      <c r="AL40" s="2100"/>
      <c r="AN40" s="2100"/>
      <c r="AP40" s="2100"/>
      <c r="AR40" s="2100"/>
      <c r="AZ40" s="2100"/>
      <c r="BD40" s="2100"/>
    </row>
    <row r="41" spans="2:61" ht="15" customHeight="1" x14ac:dyDescent="0.2">
      <c r="AB41" s="2100"/>
      <c r="AD41" s="2100"/>
      <c r="AF41" s="2100"/>
      <c r="AH41" s="2100"/>
      <c r="AJ41" s="2100"/>
      <c r="AL41" s="2100"/>
      <c r="AN41" s="2100"/>
      <c r="AP41" s="2100"/>
      <c r="AR41" s="2100"/>
      <c r="AZ41" s="2100"/>
      <c r="BD41" s="2100"/>
    </row>
    <row r="42" spans="2:61" ht="15" customHeight="1" x14ac:dyDescent="0.2">
      <c r="AB42" s="2100"/>
      <c r="AD42" s="2100"/>
      <c r="AF42" s="2100"/>
      <c r="AH42" s="2100"/>
      <c r="AJ42" s="2100"/>
      <c r="AL42" s="2100"/>
      <c r="AN42" s="2100"/>
      <c r="AP42" s="2100"/>
      <c r="AR42" s="2100"/>
      <c r="AZ42" s="2100"/>
      <c r="BD42" s="2100"/>
    </row>
    <row r="43" spans="2:61" ht="15" customHeight="1" x14ac:dyDescent="0.2">
      <c r="B43" s="5164" t="s">
        <v>1925</v>
      </c>
      <c r="C43" s="5164" t="s">
        <v>863</v>
      </c>
      <c r="D43" s="5986">
        <v>140356</v>
      </c>
      <c r="E43" s="2750">
        <v>137124</v>
      </c>
      <c r="F43" s="5986">
        <v>148888</v>
      </c>
      <c r="G43" s="4406">
        <v>146436</v>
      </c>
      <c r="H43" s="6506">
        <f>+D43+F43</f>
        <v>289244</v>
      </c>
      <c r="I43" s="3193">
        <f>+E43+G43</f>
        <v>283560</v>
      </c>
      <c r="J43" s="5986">
        <v>176029.34782608695</v>
      </c>
      <c r="K43" s="4406">
        <v>162254</v>
      </c>
      <c r="L43" s="5783">
        <f>+D43+F43+J43</f>
        <v>465273.34782608692</v>
      </c>
      <c r="M43" s="5029">
        <f>+E43+G43+K43</f>
        <v>445814</v>
      </c>
      <c r="N43" s="6505">
        <v>240485.86956521732</v>
      </c>
      <c r="O43" s="4406">
        <v>179882</v>
      </c>
      <c r="P43" s="6506">
        <f>+L43+N43</f>
        <v>705759.21739130421</v>
      </c>
      <c r="Q43" s="3193">
        <f>+M43+O43</f>
        <v>625696</v>
      </c>
      <c r="R43" s="6505">
        <v>239084.78260869556</v>
      </c>
      <c r="S43" s="4406">
        <v>187784</v>
      </c>
      <c r="T43" s="6506">
        <f>+P43+R43</f>
        <v>944843.99999999977</v>
      </c>
      <c r="U43" s="3193">
        <f>+Q43+S43</f>
        <v>813480</v>
      </c>
      <c r="V43" s="6505">
        <v>235938.04347826078</v>
      </c>
      <c r="W43" s="4406">
        <v>89547</v>
      </c>
      <c r="X43" s="5783">
        <f>+N43+R43+V43</f>
        <v>715508.6956521736</v>
      </c>
      <c r="Y43" s="5029">
        <f>+O43+S43+W43</f>
        <v>457213</v>
      </c>
      <c r="Z43" s="6614">
        <f>+T43+V43</f>
        <v>1180782.0434782605</v>
      </c>
      <c r="AA43" s="6615">
        <f>+U43+W43</f>
        <v>903027</v>
      </c>
      <c r="AB43" s="7318">
        <v>122716.625</v>
      </c>
      <c r="AC43" s="4406">
        <v>103503</v>
      </c>
      <c r="AD43" s="7319">
        <f>+Z43+AB43</f>
        <v>1303498.6684782605</v>
      </c>
      <c r="AE43" s="3193">
        <f>+AA43+AC43</f>
        <v>1006530</v>
      </c>
      <c r="AF43" s="7393">
        <v>229992.07500000001</v>
      </c>
      <c r="AG43" s="4406">
        <v>148766</v>
      </c>
      <c r="AH43" s="7394">
        <f>+AD43+AF43</f>
        <v>1533490.7434782605</v>
      </c>
      <c r="AI43" s="3193">
        <f>+AE43+AG43</f>
        <v>1155296</v>
      </c>
      <c r="AJ43" s="7393">
        <v>241318.35</v>
      </c>
      <c r="AK43" s="4406">
        <v>181877</v>
      </c>
      <c r="AL43" s="5783">
        <f>+AB43+AF43+AJ43</f>
        <v>594027.05000000005</v>
      </c>
      <c r="AM43" s="5029">
        <f>+AC43+AG43+AK43</f>
        <v>434146</v>
      </c>
      <c r="AN43" s="7394">
        <f>+AH43+AJ43</f>
        <v>1774809.0934782606</v>
      </c>
      <c r="AO43" s="3193">
        <f>+AI43+AK43</f>
        <v>1337173</v>
      </c>
      <c r="AP43" s="7393">
        <v>237449.73749999999</v>
      </c>
      <c r="AQ43" s="4406">
        <v>213381</v>
      </c>
      <c r="AR43" s="7394">
        <f>+AN43+AP43</f>
        <v>2012258.8309782606</v>
      </c>
      <c r="AS43" s="3193">
        <f>+AO43+AQ43</f>
        <v>1550554</v>
      </c>
      <c r="AT43" s="7393">
        <v>219473</v>
      </c>
      <c r="AU43" s="4406">
        <f>+SMS!AU18</f>
        <v>196256</v>
      </c>
      <c r="AV43" s="3193">
        <f>+AR43+AT43</f>
        <v>2231731.8309782604</v>
      </c>
      <c r="AW43" s="3193">
        <f>+AS43+AU43</f>
        <v>1746810</v>
      </c>
      <c r="AX43" s="7393">
        <v>242413</v>
      </c>
      <c r="AY43" s="4406">
        <f>+SMS!AY18</f>
        <v>232116</v>
      </c>
      <c r="AZ43" s="5783">
        <f>+AP43+AT43+AX43</f>
        <v>699335.73750000005</v>
      </c>
      <c r="BA43" s="5029">
        <f>+AQ43+AU43+AY43</f>
        <v>641753</v>
      </c>
      <c r="BB43" s="5029">
        <f>+AL43+AZ43</f>
        <v>1293362.7875000001</v>
      </c>
      <c r="BC43" s="5029">
        <f>+AM43+BA43</f>
        <v>1075899</v>
      </c>
      <c r="BD43" s="6614">
        <f>+AV43+AX43</f>
        <v>2474144.8309782604</v>
      </c>
      <c r="BE43" s="6615">
        <f t="shared" ref="BE43:BE46" si="74">+AW43+AY43</f>
        <v>1978926</v>
      </c>
      <c r="BF43" s="5353"/>
      <c r="BG43" s="5353"/>
    </row>
    <row r="44" spans="2:61" ht="15" customHeight="1" x14ac:dyDescent="0.2">
      <c r="B44" s="5164" t="s">
        <v>776</v>
      </c>
      <c r="C44" s="5299" t="s">
        <v>863</v>
      </c>
      <c r="D44" s="5986">
        <f>+(54.5017479813136*D33)/1000</f>
        <v>7046.6399999999985</v>
      </c>
      <c r="E44" s="2750">
        <v>7046.64</v>
      </c>
      <c r="F44" s="5986">
        <f>+(25.4350237894909*F33)/1000</f>
        <v>3415.9999999999964</v>
      </c>
      <c r="G44" s="4406">
        <v>3416</v>
      </c>
      <c r="H44" s="6506">
        <f t="shared" ref="H44:H49" si="75">+D44+F44</f>
        <v>10462.639999999996</v>
      </c>
      <c r="I44" s="3193">
        <f t="shared" ref="I44:I49" si="76">+E44+G44</f>
        <v>10462.64</v>
      </c>
      <c r="J44" s="5986">
        <f>+(28*J33)/1000</f>
        <v>4534.5159999999996</v>
      </c>
      <c r="K44" s="4406">
        <v>3116.6</v>
      </c>
      <c r="L44" s="5783">
        <f t="shared" ref="L44:L49" si="77">+D44+F44+J44</f>
        <v>14997.155999999995</v>
      </c>
      <c r="M44" s="5029">
        <f t="shared" ref="M44:M49" si="78">+E44+G44+K44</f>
        <v>13579.24</v>
      </c>
      <c r="N44" s="5986">
        <f>+(28*N33)/1000</f>
        <v>6194.9160000000002</v>
      </c>
      <c r="O44" s="4406">
        <v>1307</v>
      </c>
      <c r="P44" s="6506">
        <f t="shared" ref="P44:P49" si="79">+L44+N44</f>
        <v>21192.071999999996</v>
      </c>
      <c r="Q44" s="3193">
        <f t="shared" ref="Q44:Q49" si="80">+M44+O44</f>
        <v>14886.24</v>
      </c>
      <c r="R44" s="5986">
        <f>+(28*R33)/1000</f>
        <v>6158.8239999999996</v>
      </c>
      <c r="S44" s="4406">
        <v>4685</v>
      </c>
      <c r="T44" s="6506">
        <f t="shared" ref="T44:T49" si="81">+P44+R44</f>
        <v>27350.895999999997</v>
      </c>
      <c r="U44" s="3193">
        <f t="shared" ref="U44:U49" si="82">+Q44+S44</f>
        <v>19571.239999999998</v>
      </c>
      <c r="V44" s="6505">
        <f>+(28*V33)/1000</f>
        <v>6077.7640000000001</v>
      </c>
      <c r="W44" s="4406">
        <v>3670</v>
      </c>
      <c r="X44" s="5783">
        <f t="shared" ref="X44:X49" si="83">+N44+R44+V44</f>
        <v>18431.504000000001</v>
      </c>
      <c r="Y44" s="5029">
        <f t="shared" ref="Y44:Y49" si="84">+O44+S44+W44</f>
        <v>9662</v>
      </c>
      <c r="Z44" s="6614">
        <f t="shared" ref="Z44:Z49" si="85">+T44+V44</f>
        <v>33428.659999999996</v>
      </c>
      <c r="AA44" s="6615">
        <f t="shared" ref="AA44:AA49" si="86">+U44+W44</f>
        <v>23241.239999999998</v>
      </c>
      <c r="AB44" s="7385">
        <f>+(40*AB33)/1000</f>
        <v>4566.2</v>
      </c>
      <c r="AC44" s="4406">
        <v>6505</v>
      </c>
      <c r="AD44" s="7319">
        <f t="shared" ref="AD44:AD49" si="87">+Z44+AB44</f>
        <v>37994.859999999993</v>
      </c>
      <c r="AE44" s="3193">
        <f t="shared" ref="AE44:AE49" si="88">+AA44+AC44</f>
        <v>29746.239999999998</v>
      </c>
      <c r="AF44" s="5986">
        <f>+(50*AF33)/1000</f>
        <v>10797.75</v>
      </c>
      <c r="AG44" s="4406">
        <v>6975</v>
      </c>
      <c r="AH44" s="7394">
        <f t="shared" ref="AH44:AH46" si="89">+AD44+AF44</f>
        <v>48792.609999999993</v>
      </c>
      <c r="AI44" s="3193">
        <f t="shared" ref="AI44:AI46" si="90">+AE44+AG44</f>
        <v>36721.24</v>
      </c>
      <c r="AJ44" s="7393">
        <f>+(50*AJ33)/1000</f>
        <v>11329.5</v>
      </c>
      <c r="AK44" s="4406">
        <v>5027</v>
      </c>
      <c r="AL44" s="5783">
        <f t="shared" ref="AL44:AL46" si="91">+AB44+AF44+AJ44</f>
        <v>26693.45</v>
      </c>
      <c r="AM44" s="5029">
        <f t="shared" ref="AM44:AM46" si="92">+AC44+AG44+AK44</f>
        <v>18507</v>
      </c>
      <c r="AN44" s="7394">
        <f t="shared" ref="AN44:AN46" si="93">+AH44+AJ44</f>
        <v>60122.109999999993</v>
      </c>
      <c r="AO44" s="3193">
        <f t="shared" ref="AO44" si="94">+AI44+AK44</f>
        <v>41748.239999999998</v>
      </c>
      <c r="AP44" s="7393">
        <f>+(50*AP33)/1000</f>
        <v>11147.875</v>
      </c>
      <c r="AQ44" s="4406">
        <v>9593</v>
      </c>
      <c r="AR44" s="7394">
        <f t="shared" ref="AR44:AR46" si="95">+AN44+AP44</f>
        <v>71269.984999999986</v>
      </c>
      <c r="AS44" s="3193">
        <f t="shared" ref="AS44:AS46" si="96">+AO44+AQ44</f>
        <v>51341.24</v>
      </c>
      <c r="AT44" s="7393">
        <f>+(50*AT33)/1000</f>
        <v>10303.9</v>
      </c>
      <c r="AU44" s="4406">
        <f>+SMS!AU21</f>
        <v>11831.7</v>
      </c>
      <c r="AV44" s="3193">
        <f t="shared" ref="AV44:AV46" si="97">+AR44+AT44</f>
        <v>81573.88499999998</v>
      </c>
      <c r="AW44" s="3193">
        <f t="shared" ref="AW44:AW46" si="98">+AS44+AU44</f>
        <v>63172.94</v>
      </c>
      <c r="AX44" s="7393">
        <f>+(50*AX33)/1000</f>
        <v>11380.9</v>
      </c>
      <c r="AY44" s="4406">
        <f>+SMS!AY21</f>
        <v>12798</v>
      </c>
      <c r="AZ44" s="5783">
        <f t="shared" ref="AZ44:AZ46" si="99">+AP44+AT44+AX44</f>
        <v>32832.675000000003</v>
      </c>
      <c r="BA44" s="5029">
        <f t="shared" ref="BA44:BA46" si="100">+AQ44+AU44+AY44</f>
        <v>34222.699999999997</v>
      </c>
      <c r="BB44" s="5029">
        <f t="shared" ref="BB44:BB46" si="101">+AL44+AZ44</f>
        <v>59526.125</v>
      </c>
      <c r="BC44" s="5029">
        <f t="shared" ref="BC44:BC46" si="102">+AM44+BA44</f>
        <v>52729.7</v>
      </c>
      <c r="BD44" s="6614">
        <f t="shared" ref="BD44:BD46" si="103">+AV44+AX44</f>
        <v>92954.784999999974</v>
      </c>
      <c r="BE44" s="6615">
        <f t="shared" si="74"/>
        <v>75970.94</v>
      </c>
      <c r="BF44" s="5353"/>
      <c r="BG44" s="5353"/>
    </row>
    <row r="45" spans="2:61" ht="15" customHeight="1" x14ac:dyDescent="0.2">
      <c r="B45" s="5164" t="s">
        <v>288</v>
      </c>
      <c r="C45" s="5352" t="s">
        <v>863</v>
      </c>
      <c r="D45" s="5986">
        <f>+(D51*'Maj Prod Summ'!D$18)/1000</f>
        <v>129.292</v>
      </c>
      <c r="E45" s="2750">
        <v>131</v>
      </c>
      <c r="F45" s="5986">
        <f>+(F51*'Maj Prod Summ'!F$18)/1000</f>
        <v>103</v>
      </c>
      <c r="G45" s="4406">
        <v>103</v>
      </c>
      <c r="H45" s="6506">
        <f t="shared" si="75"/>
        <v>232.292</v>
      </c>
      <c r="I45" s="3193">
        <f t="shared" si="76"/>
        <v>234</v>
      </c>
      <c r="J45" s="5986">
        <f>+(J51*'Maj Prod Summ'!J$18)/1000</f>
        <v>291.50460000000004</v>
      </c>
      <c r="K45" s="4406">
        <v>157.96</v>
      </c>
      <c r="L45" s="5783">
        <f t="shared" si="77"/>
        <v>523.79660000000001</v>
      </c>
      <c r="M45" s="5029">
        <f t="shared" si="78"/>
        <v>391.96000000000004</v>
      </c>
      <c r="N45" s="5986">
        <f>+(N51*'Maj Prod Summ'!N$18)/1000</f>
        <v>398.24460000000005</v>
      </c>
      <c r="O45" s="4406">
        <v>260</v>
      </c>
      <c r="P45" s="6506">
        <f t="shared" si="79"/>
        <v>922.04120000000012</v>
      </c>
      <c r="Q45" s="3193">
        <f t="shared" si="80"/>
        <v>651.96</v>
      </c>
      <c r="R45" s="5986">
        <f>+(R51*'Maj Prod Summ'!R$18)/1000</f>
        <v>395.92440000000005</v>
      </c>
      <c r="S45" s="4406">
        <v>232</v>
      </c>
      <c r="T45" s="6506">
        <f t="shared" si="81"/>
        <v>1317.9656000000002</v>
      </c>
      <c r="U45" s="3193">
        <f t="shared" si="82"/>
        <v>883.96</v>
      </c>
      <c r="V45" s="5986">
        <f>+(V51*'Maj Prod Summ'!V$18)/1000</f>
        <v>390.71340000000004</v>
      </c>
      <c r="W45" s="4406">
        <v>144</v>
      </c>
      <c r="X45" s="5783">
        <f t="shared" si="83"/>
        <v>1184.8824000000002</v>
      </c>
      <c r="Y45" s="5029">
        <f t="shared" si="84"/>
        <v>636</v>
      </c>
      <c r="Z45" s="6614">
        <f t="shared" si="85"/>
        <v>1708.6790000000003</v>
      </c>
      <c r="AA45" s="6615">
        <f>+U45+W45</f>
        <v>1027.96</v>
      </c>
      <c r="AB45" s="5986">
        <f>+(AB51*'Maj Prod Summ'!AB$18)/1000</f>
        <v>205.47900000000001</v>
      </c>
      <c r="AC45" s="4406">
        <v>131</v>
      </c>
      <c r="AD45" s="7319">
        <f t="shared" si="87"/>
        <v>1914.1580000000004</v>
      </c>
      <c r="AE45" s="3193">
        <f t="shared" si="88"/>
        <v>1158.96</v>
      </c>
      <c r="AF45" s="5986">
        <f>+(AF51*'Maj Prod Summ'!AF$18)/1000</f>
        <v>388.71899999999999</v>
      </c>
      <c r="AG45" s="4406">
        <v>261</v>
      </c>
      <c r="AH45" s="7394">
        <f t="shared" si="89"/>
        <v>2302.8770000000004</v>
      </c>
      <c r="AI45" s="3193">
        <f t="shared" si="90"/>
        <v>1419.96</v>
      </c>
      <c r="AJ45" s="5986">
        <f>+(AJ51*'Maj Prod Summ'!AJ$18)/1000</f>
        <v>407.86200000000002</v>
      </c>
      <c r="AK45" s="4406">
        <v>307</v>
      </c>
      <c r="AL45" s="5783">
        <f t="shared" si="91"/>
        <v>1002.06</v>
      </c>
      <c r="AM45" s="5029">
        <f t="shared" si="92"/>
        <v>699</v>
      </c>
      <c r="AN45" s="7394">
        <f t="shared" si="93"/>
        <v>2710.7390000000005</v>
      </c>
      <c r="AO45" s="3193">
        <f>+AI45+AK45</f>
        <v>1726.96</v>
      </c>
      <c r="AP45" s="5986">
        <f>+(AP51*'Maj Prod Summ'!AP$18)/1000</f>
        <v>401.32350000000002</v>
      </c>
      <c r="AQ45" s="4406">
        <v>255</v>
      </c>
      <c r="AR45" s="7394">
        <f t="shared" si="95"/>
        <v>3112.0625000000005</v>
      </c>
      <c r="AS45" s="3193">
        <f t="shared" si="96"/>
        <v>1981.96</v>
      </c>
      <c r="AT45" s="5986">
        <f>+AT51*AT33/1000</f>
        <v>370.94040000000001</v>
      </c>
      <c r="AU45" s="4406">
        <f>+SMS!AU53</f>
        <v>358</v>
      </c>
      <c r="AV45" s="3193">
        <f t="shared" si="97"/>
        <v>3483.0029000000004</v>
      </c>
      <c r="AW45" s="3193">
        <f t="shared" si="98"/>
        <v>2339.96</v>
      </c>
      <c r="AX45" s="5986">
        <f>+AX51*AX33/1000</f>
        <v>409.7124</v>
      </c>
      <c r="AY45" s="4406">
        <f>+SMS!AY53</f>
        <v>364</v>
      </c>
      <c r="AZ45" s="5783">
        <f t="shared" si="99"/>
        <v>1181.9763</v>
      </c>
      <c r="BA45" s="5029">
        <f t="shared" si="100"/>
        <v>977</v>
      </c>
      <c r="BB45" s="5029">
        <f t="shared" si="101"/>
        <v>2184.0362999999998</v>
      </c>
      <c r="BC45" s="5029">
        <f t="shared" si="102"/>
        <v>1676</v>
      </c>
      <c r="BD45" s="6614">
        <f t="shared" si="103"/>
        <v>3892.7153000000003</v>
      </c>
      <c r="BE45" s="6615">
        <f t="shared" si="74"/>
        <v>2703.96</v>
      </c>
      <c r="BF45" s="5353"/>
      <c r="BG45" s="5353"/>
    </row>
    <row r="46" spans="2:61" s="7468" customFormat="1" ht="15" customHeight="1" x14ac:dyDescent="0.2">
      <c r="B46" s="7468" t="s">
        <v>2223</v>
      </c>
      <c r="C46" s="7468" t="s">
        <v>863</v>
      </c>
      <c r="D46" s="5986"/>
      <c r="E46" s="2750">
        <v>0</v>
      </c>
      <c r="F46" s="5986"/>
      <c r="G46" s="2750">
        <v>0</v>
      </c>
      <c r="H46" s="7394">
        <f t="shared" ref="H46" si="104">+D46+F46</f>
        <v>0</v>
      </c>
      <c r="I46" s="3193">
        <f t="shared" ref="I46" si="105">+E46+G46</f>
        <v>0</v>
      </c>
      <c r="J46" s="5986"/>
      <c r="K46" s="2750">
        <v>0</v>
      </c>
      <c r="L46" s="5783">
        <f t="shared" ref="L46" si="106">+D46+F46+J46</f>
        <v>0</v>
      </c>
      <c r="M46" s="5029">
        <f t="shared" ref="M46" si="107">+E46+G46+K46</f>
        <v>0</v>
      </c>
      <c r="N46" s="5986"/>
      <c r="O46" s="2750">
        <v>0</v>
      </c>
      <c r="P46" s="7394">
        <f t="shared" ref="P46" si="108">+L46+N46</f>
        <v>0</v>
      </c>
      <c r="Q46" s="3193">
        <f t="shared" ref="Q46" si="109">+M46+O46</f>
        <v>0</v>
      </c>
      <c r="R46" s="5986"/>
      <c r="S46" s="2750">
        <v>65</v>
      </c>
      <c r="T46" s="7394">
        <f t="shared" ref="T46" si="110">+P46+R46</f>
        <v>0</v>
      </c>
      <c r="U46" s="3193">
        <f t="shared" ref="U46" si="111">+Q46+S46</f>
        <v>65</v>
      </c>
      <c r="V46" s="5986"/>
      <c r="W46" s="2750">
        <v>31</v>
      </c>
      <c r="X46" s="5783">
        <f t="shared" ref="X46" si="112">+N46+R46+V46</f>
        <v>0</v>
      </c>
      <c r="Y46" s="5029">
        <f t="shared" ref="Y46" si="113">+O46+S46+W46</f>
        <v>96</v>
      </c>
      <c r="Z46" s="6614">
        <f t="shared" ref="Z46" si="114">+T46+V46</f>
        <v>0</v>
      </c>
      <c r="AA46" s="6615">
        <f>+U46+W46</f>
        <v>96</v>
      </c>
      <c r="AB46" s="5986"/>
      <c r="AC46" s="2750">
        <v>39</v>
      </c>
      <c r="AD46" s="7394">
        <f t="shared" ref="AD46" si="115">+Z46+AB46</f>
        <v>0</v>
      </c>
      <c r="AE46" s="3193">
        <f t="shared" ref="AE46" si="116">+AA46+AC46</f>
        <v>135</v>
      </c>
      <c r="AF46" s="5986"/>
      <c r="AG46" s="2750">
        <v>116.6</v>
      </c>
      <c r="AH46" s="7394">
        <f t="shared" si="89"/>
        <v>0</v>
      </c>
      <c r="AI46" s="3193">
        <f t="shared" si="90"/>
        <v>251.6</v>
      </c>
      <c r="AJ46" s="5986"/>
      <c r="AK46" s="2750">
        <v>73</v>
      </c>
      <c r="AL46" s="5783">
        <f t="shared" si="91"/>
        <v>0</v>
      </c>
      <c r="AM46" s="5029">
        <f t="shared" si="92"/>
        <v>228.6</v>
      </c>
      <c r="AN46" s="7394">
        <f t="shared" si="93"/>
        <v>0</v>
      </c>
      <c r="AO46" s="3193">
        <f>+AI46+AK46</f>
        <v>324.60000000000002</v>
      </c>
      <c r="AP46" s="5986"/>
      <c r="AQ46" s="2750">
        <v>85</v>
      </c>
      <c r="AR46" s="7394">
        <f t="shared" si="95"/>
        <v>0</v>
      </c>
      <c r="AS46" s="3193">
        <f t="shared" si="96"/>
        <v>409.6</v>
      </c>
      <c r="AT46" s="5986"/>
      <c r="AU46" s="2750">
        <f>+SMS!AU54</f>
        <v>85</v>
      </c>
      <c r="AV46" s="3193">
        <f t="shared" si="97"/>
        <v>0</v>
      </c>
      <c r="AW46" s="3193">
        <f t="shared" si="98"/>
        <v>494.6</v>
      </c>
      <c r="AX46" s="5986"/>
      <c r="AY46" s="2750">
        <f>+SMS!AY54</f>
        <v>69</v>
      </c>
      <c r="AZ46" s="5783">
        <f t="shared" si="99"/>
        <v>0</v>
      </c>
      <c r="BA46" s="5029">
        <f t="shared" si="100"/>
        <v>239</v>
      </c>
      <c r="BB46" s="5029">
        <f t="shared" si="101"/>
        <v>0</v>
      </c>
      <c r="BC46" s="5029">
        <f t="shared" si="102"/>
        <v>467.6</v>
      </c>
      <c r="BD46" s="6614">
        <f t="shared" si="103"/>
        <v>0</v>
      </c>
      <c r="BE46" s="6615">
        <f t="shared" si="74"/>
        <v>563.6</v>
      </c>
      <c r="BF46" s="6481"/>
      <c r="BG46" s="6481"/>
    </row>
    <row r="47" spans="2:61" s="7468" customFormat="1" ht="15.75" customHeight="1" x14ac:dyDescent="0.2">
      <c r="B47" s="7481" t="s">
        <v>2336</v>
      </c>
      <c r="C47" s="7481" t="s">
        <v>863</v>
      </c>
      <c r="D47" s="5964">
        <f>SUM(D45:D46)</f>
        <v>129.292</v>
      </c>
      <c r="E47" s="5964">
        <f t="shared" ref="E47:AE47" si="117">SUM(E45:E46)</f>
        <v>131</v>
      </c>
      <c r="F47" s="5964">
        <f t="shared" si="117"/>
        <v>103</v>
      </c>
      <c r="G47" s="5964">
        <f t="shared" si="117"/>
        <v>103</v>
      </c>
      <c r="H47" s="5964">
        <f t="shared" si="117"/>
        <v>232.292</v>
      </c>
      <c r="I47" s="5964">
        <f t="shared" si="117"/>
        <v>234</v>
      </c>
      <c r="J47" s="5964">
        <f t="shared" si="117"/>
        <v>291.50460000000004</v>
      </c>
      <c r="K47" s="5964">
        <f t="shared" si="117"/>
        <v>157.96</v>
      </c>
      <c r="L47" s="5964">
        <f t="shared" si="117"/>
        <v>523.79660000000001</v>
      </c>
      <c r="M47" s="5964">
        <f t="shared" si="117"/>
        <v>391.96000000000004</v>
      </c>
      <c r="N47" s="5964">
        <f t="shared" si="117"/>
        <v>398.24460000000005</v>
      </c>
      <c r="O47" s="5964">
        <f t="shared" si="117"/>
        <v>260</v>
      </c>
      <c r="P47" s="5964">
        <f t="shared" si="117"/>
        <v>922.04120000000012</v>
      </c>
      <c r="Q47" s="5964">
        <f t="shared" si="117"/>
        <v>651.96</v>
      </c>
      <c r="R47" s="5964">
        <f t="shared" si="117"/>
        <v>395.92440000000005</v>
      </c>
      <c r="S47" s="5964">
        <f t="shared" si="117"/>
        <v>297</v>
      </c>
      <c r="T47" s="5964">
        <f t="shared" si="117"/>
        <v>1317.9656000000002</v>
      </c>
      <c r="U47" s="5964">
        <f t="shared" si="117"/>
        <v>948.96</v>
      </c>
      <c r="V47" s="5964">
        <f t="shared" si="117"/>
        <v>390.71340000000004</v>
      </c>
      <c r="W47" s="5964">
        <f t="shared" si="117"/>
        <v>175</v>
      </c>
      <c r="X47" s="5964">
        <f t="shared" si="117"/>
        <v>1184.8824000000002</v>
      </c>
      <c r="Y47" s="5964">
        <f t="shared" si="117"/>
        <v>732</v>
      </c>
      <c r="Z47" s="5964">
        <f t="shared" si="117"/>
        <v>1708.6790000000003</v>
      </c>
      <c r="AA47" s="5964">
        <f t="shared" si="117"/>
        <v>1123.96</v>
      </c>
      <c r="AB47" s="5964">
        <f t="shared" si="117"/>
        <v>205.47900000000001</v>
      </c>
      <c r="AC47" s="5964">
        <f t="shared" si="117"/>
        <v>170</v>
      </c>
      <c r="AD47" s="5964">
        <f t="shared" si="117"/>
        <v>1914.1580000000004</v>
      </c>
      <c r="AE47" s="5964">
        <f t="shared" si="117"/>
        <v>1293.96</v>
      </c>
      <c r="AF47" s="5964">
        <f t="shared" ref="AF47:AO47" si="118">SUM(AF45:AF46)</f>
        <v>388.71899999999999</v>
      </c>
      <c r="AG47" s="5964">
        <f t="shared" si="118"/>
        <v>377.6</v>
      </c>
      <c r="AH47" s="5964">
        <f t="shared" si="118"/>
        <v>2302.8770000000004</v>
      </c>
      <c r="AI47" s="5964">
        <f t="shared" si="118"/>
        <v>1671.56</v>
      </c>
      <c r="AJ47" s="5964">
        <f t="shared" si="118"/>
        <v>407.86200000000002</v>
      </c>
      <c r="AK47" s="5964">
        <f t="shared" si="118"/>
        <v>380</v>
      </c>
      <c r="AL47" s="5964">
        <f t="shared" si="118"/>
        <v>1002.06</v>
      </c>
      <c r="AM47" s="5964">
        <f t="shared" si="118"/>
        <v>927.6</v>
      </c>
      <c r="AN47" s="5964">
        <f t="shared" si="118"/>
        <v>2710.7390000000005</v>
      </c>
      <c r="AO47" s="5964">
        <f t="shared" si="118"/>
        <v>2051.56</v>
      </c>
      <c r="AP47" s="5964">
        <f t="shared" ref="AP47:AS47" si="119">SUM(AP45:AP46)</f>
        <v>401.32350000000002</v>
      </c>
      <c r="AQ47" s="5964">
        <f t="shared" si="119"/>
        <v>340</v>
      </c>
      <c r="AR47" s="5964">
        <f t="shared" si="119"/>
        <v>3112.0625000000005</v>
      </c>
      <c r="AS47" s="5964">
        <f t="shared" si="119"/>
        <v>2391.56</v>
      </c>
      <c r="AT47" s="5964">
        <f t="shared" ref="AT47:AW47" si="120">SUM(AT45:AT46)</f>
        <v>370.94040000000001</v>
      </c>
      <c r="AU47" s="5964">
        <f t="shared" si="120"/>
        <v>443</v>
      </c>
      <c r="AV47" s="5964">
        <f t="shared" si="120"/>
        <v>3483.0029000000004</v>
      </c>
      <c r="AW47" s="5964">
        <f t="shared" si="120"/>
        <v>2834.56</v>
      </c>
      <c r="AX47" s="5964">
        <f t="shared" ref="AX47:AY47" si="121">SUM(AX45:AX46)</f>
        <v>409.7124</v>
      </c>
      <c r="AY47" s="5964">
        <f t="shared" si="121"/>
        <v>433</v>
      </c>
      <c r="AZ47" s="5964">
        <f t="shared" ref="AZ47:BA47" si="122">SUM(AZ45:AZ46)</f>
        <v>1181.9763</v>
      </c>
      <c r="BA47" s="5964">
        <f t="shared" si="122"/>
        <v>1216</v>
      </c>
      <c r="BB47" s="5964">
        <f t="shared" ref="BB47:BE47" si="123">SUM(BB45:BB46)</f>
        <v>2184.0362999999998</v>
      </c>
      <c r="BC47" s="5964">
        <f t="shared" si="123"/>
        <v>2143.6</v>
      </c>
      <c r="BD47" s="5964">
        <f t="shared" si="123"/>
        <v>3892.7153000000003</v>
      </c>
      <c r="BE47" s="5964">
        <f t="shared" si="123"/>
        <v>3267.56</v>
      </c>
      <c r="BF47" s="6481"/>
      <c r="BG47" s="6481"/>
    </row>
    <row r="48" spans="2:61" ht="15" customHeight="1" x14ac:dyDescent="0.2">
      <c r="B48" s="5164" t="s">
        <v>289</v>
      </c>
      <c r="C48" s="5352" t="s">
        <v>863</v>
      </c>
      <c r="D48" s="5986">
        <f>+(D54*'Maj Prod Summ'!D$18)/1000</f>
        <v>2172.1055999999999</v>
      </c>
      <c r="E48" s="2750">
        <v>2173</v>
      </c>
      <c r="F48" s="5986">
        <f>+(F54*'Maj Prod Summ'!F$18)/1000</f>
        <v>2322</v>
      </c>
      <c r="G48" s="4406">
        <v>2322</v>
      </c>
      <c r="H48" s="6506">
        <f t="shared" si="75"/>
        <v>4494.1055999999999</v>
      </c>
      <c r="I48" s="3193">
        <f t="shared" si="76"/>
        <v>4495</v>
      </c>
      <c r="J48" s="5986">
        <f>+(J54*'Maj Prod Summ'!J$18)/1000</f>
        <v>2591.152</v>
      </c>
      <c r="K48" s="4406">
        <v>2499</v>
      </c>
      <c r="L48" s="5783">
        <f t="shared" si="77"/>
        <v>7085.2575999999999</v>
      </c>
      <c r="M48" s="5029">
        <f t="shared" si="78"/>
        <v>6994</v>
      </c>
      <c r="N48" s="5986">
        <f>+(N54*'Maj Prod Summ'!N$18)/1000</f>
        <v>3539.9520000000002</v>
      </c>
      <c r="O48" s="4406">
        <v>2600</v>
      </c>
      <c r="P48" s="6506">
        <f t="shared" si="79"/>
        <v>10625.2096</v>
      </c>
      <c r="Q48" s="3193">
        <f t="shared" si="80"/>
        <v>9594</v>
      </c>
      <c r="R48" s="5986">
        <f>+(R54*'Maj Prod Summ'!R$18)/1000</f>
        <v>3519.328</v>
      </c>
      <c r="S48" s="4406">
        <v>2786</v>
      </c>
      <c r="T48" s="6506">
        <f t="shared" si="81"/>
        <v>14144.5376</v>
      </c>
      <c r="U48" s="3193">
        <f t="shared" si="82"/>
        <v>12380</v>
      </c>
      <c r="V48" s="5986">
        <f>+(V54*'Maj Prod Summ'!V$18)/1000</f>
        <v>3473.0079999999998</v>
      </c>
      <c r="W48" s="4406">
        <v>1322</v>
      </c>
      <c r="X48" s="5783">
        <f t="shared" si="83"/>
        <v>10532.288</v>
      </c>
      <c r="Y48" s="5029">
        <f t="shared" si="84"/>
        <v>6708</v>
      </c>
      <c r="Z48" s="6614">
        <f t="shared" si="85"/>
        <v>17617.545599999998</v>
      </c>
      <c r="AA48" s="6615">
        <f t="shared" si="86"/>
        <v>13702</v>
      </c>
      <c r="AB48" s="5986">
        <f>+(AB54*'Maj Prod Summ'!AB$18)/1000</f>
        <v>1826.48</v>
      </c>
      <c r="AC48" s="4406">
        <v>1605</v>
      </c>
      <c r="AD48" s="7319">
        <f t="shared" si="87"/>
        <v>19444.025599999997</v>
      </c>
      <c r="AE48" s="3193">
        <f t="shared" si="88"/>
        <v>15307</v>
      </c>
      <c r="AF48" s="5986">
        <f>+(AF54*'Maj Prod Summ'!AF$18)/1000</f>
        <v>3455.28</v>
      </c>
      <c r="AG48" s="4406">
        <v>2221</v>
      </c>
      <c r="AH48" s="7394">
        <f t="shared" ref="AH48:AH49" si="124">+AD48+AF48</f>
        <v>22899.305599999996</v>
      </c>
      <c r="AI48" s="3193">
        <f t="shared" ref="AI48:AI49" si="125">+AE48+AG48</f>
        <v>17528</v>
      </c>
      <c r="AJ48" s="5986">
        <f>+(AJ54*'Maj Prod Summ'!AJ$18)/1000</f>
        <v>3625.44</v>
      </c>
      <c r="AK48" s="4406">
        <v>2769</v>
      </c>
      <c r="AL48" s="5783">
        <f t="shared" ref="AL48:AL49" si="126">+AB48+AF48+AJ48</f>
        <v>8907.2000000000007</v>
      </c>
      <c r="AM48" s="5029">
        <f t="shared" ref="AM48:AM49" si="127">+AC48+AG48+AK48</f>
        <v>6595</v>
      </c>
      <c r="AN48" s="7394">
        <f t="shared" ref="AN48:AN49" si="128">+AH48+AJ48</f>
        <v>26524.745599999995</v>
      </c>
      <c r="AO48" s="3193">
        <f t="shared" ref="AO48:AO49" si="129">+AI48+AK48</f>
        <v>20297</v>
      </c>
      <c r="AP48" s="5986">
        <f>+(AP54*'Maj Prod Summ'!AP$18)/1000</f>
        <v>3567.32</v>
      </c>
      <c r="AQ48" s="4406">
        <v>3382</v>
      </c>
      <c r="AR48" s="7394">
        <f t="shared" ref="AR48:AR49" si="130">+AN48+AP48</f>
        <v>30092.065599999994</v>
      </c>
      <c r="AS48" s="3193">
        <f t="shared" ref="AS48:AS49" si="131">+AO48+AQ48</f>
        <v>23679</v>
      </c>
      <c r="AT48" s="5986">
        <f>+AT54*AT33/1000</f>
        <v>3297.248</v>
      </c>
      <c r="AU48" s="4406">
        <f>+SMS!AU56</f>
        <v>3112</v>
      </c>
      <c r="AV48" s="3193">
        <f t="shared" ref="AV48:AV49" si="132">+AR48+AT48</f>
        <v>33389.313599999994</v>
      </c>
      <c r="AW48" s="3193">
        <f t="shared" ref="AW48:AW49" si="133">+AS48+AU48</f>
        <v>26791</v>
      </c>
      <c r="AX48" s="5986">
        <f>+AX54*AX33/1000</f>
        <v>3641.8879999999999</v>
      </c>
      <c r="AY48" s="4406">
        <f>+SMS!AY56</f>
        <v>3115</v>
      </c>
      <c r="AZ48" s="5783">
        <f t="shared" ref="AZ48:AZ49" si="134">+AP48+AT48+AX48</f>
        <v>10506.456</v>
      </c>
      <c r="BA48" s="5029">
        <f t="shared" ref="BA48:BA49" si="135">+AQ48+AU48+AY48</f>
        <v>9609</v>
      </c>
      <c r="BB48" s="5029">
        <f t="shared" ref="BB48:BB49" si="136">+AL48+AZ48</f>
        <v>19413.656000000003</v>
      </c>
      <c r="BC48" s="5029">
        <f t="shared" ref="BC48:BC49" si="137">+AM48+BA48</f>
        <v>16204</v>
      </c>
      <c r="BD48" s="6614">
        <f t="shared" ref="BD48:BD49" si="138">+AV48+AX48</f>
        <v>37031.201599999993</v>
      </c>
      <c r="BE48" s="6615">
        <f t="shared" ref="BE48:BE49" si="139">+AW48+AY48</f>
        <v>29906</v>
      </c>
      <c r="BF48" s="5353"/>
      <c r="BG48" s="5353"/>
    </row>
    <row r="49" spans="2:59" ht="15" customHeight="1" x14ac:dyDescent="0.2">
      <c r="B49" s="5164" t="s">
        <v>290</v>
      </c>
      <c r="C49" s="5352" t="s">
        <v>863</v>
      </c>
      <c r="D49" s="5986">
        <f>+(D55*'Maj Prod Summ'!D$18)/1000</f>
        <v>361</v>
      </c>
      <c r="E49" s="2750">
        <v>361</v>
      </c>
      <c r="F49" s="5986">
        <f>+(F55*'Maj Prod Summ'!F$18)/1000</f>
        <v>306.99999999999994</v>
      </c>
      <c r="G49" s="4406">
        <v>307</v>
      </c>
      <c r="H49" s="6506">
        <f t="shared" si="75"/>
        <v>668</v>
      </c>
      <c r="I49" s="3193">
        <f t="shared" si="76"/>
        <v>668</v>
      </c>
      <c r="J49" s="5986">
        <f>+(J55*'Maj Prod Summ'!J$18)/1000</f>
        <v>518.23040000000003</v>
      </c>
      <c r="K49" s="4406">
        <v>343</v>
      </c>
      <c r="L49" s="5783">
        <f t="shared" si="77"/>
        <v>1186.2303999999999</v>
      </c>
      <c r="M49" s="5029">
        <f t="shared" si="78"/>
        <v>1011</v>
      </c>
      <c r="N49" s="5986">
        <f>+(N55*'Maj Prod Summ'!N$18)/1000</f>
        <v>707.99040000000002</v>
      </c>
      <c r="O49" s="4406">
        <v>395</v>
      </c>
      <c r="P49" s="6506">
        <f t="shared" si="79"/>
        <v>1894.2208000000001</v>
      </c>
      <c r="Q49" s="3193">
        <f t="shared" si="80"/>
        <v>1406</v>
      </c>
      <c r="R49" s="5986">
        <f>+(R55*'Maj Prod Summ'!R$18)/1000</f>
        <v>703.86560000000009</v>
      </c>
      <c r="S49" s="4406">
        <v>439</v>
      </c>
      <c r="T49" s="6506">
        <f t="shared" si="81"/>
        <v>2598.0864000000001</v>
      </c>
      <c r="U49" s="3193">
        <f t="shared" si="82"/>
        <v>1845</v>
      </c>
      <c r="V49" s="5986">
        <f>+(V55*'Maj Prod Summ'!V$18)/1000</f>
        <v>694.60160000000008</v>
      </c>
      <c r="W49" s="4406">
        <v>207</v>
      </c>
      <c r="X49" s="5783">
        <f t="shared" si="83"/>
        <v>2106.4576000000002</v>
      </c>
      <c r="Y49" s="5029">
        <f t="shared" si="84"/>
        <v>1041</v>
      </c>
      <c r="Z49" s="6614">
        <f t="shared" si="85"/>
        <v>3292.6880000000001</v>
      </c>
      <c r="AA49" s="6615">
        <f t="shared" si="86"/>
        <v>2052</v>
      </c>
      <c r="AB49" s="5986">
        <f>+(AB55*'Maj Prod Summ'!AB$18)/1000</f>
        <v>365.29599999999999</v>
      </c>
      <c r="AC49" s="4406">
        <v>233</v>
      </c>
      <c r="AD49" s="7319">
        <f t="shared" si="87"/>
        <v>3657.9839999999999</v>
      </c>
      <c r="AE49" s="3193">
        <f t="shared" si="88"/>
        <v>2285</v>
      </c>
      <c r="AF49" s="5986">
        <f>+(AF55*'Maj Prod Summ'!AF$18)/1000</f>
        <v>691.05600000000004</v>
      </c>
      <c r="AG49" s="4406">
        <v>263</v>
      </c>
      <c r="AH49" s="7394">
        <f t="shared" si="124"/>
        <v>4349.04</v>
      </c>
      <c r="AI49" s="3193">
        <f t="shared" si="125"/>
        <v>2548</v>
      </c>
      <c r="AJ49" s="5986">
        <f>+(AJ55*'Maj Prod Summ'!AJ$18)/1000</f>
        <v>725.08799999999997</v>
      </c>
      <c r="AK49" s="4406">
        <v>267</v>
      </c>
      <c r="AL49" s="5783">
        <f t="shared" si="126"/>
        <v>1781.44</v>
      </c>
      <c r="AM49" s="5029">
        <f t="shared" si="127"/>
        <v>763</v>
      </c>
      <c r="AN49" s="7394">
        <f t="shared" si="128"/>
        <v>5074.1279999999997</v>
      </c>
      <c r="AO49" s="3193">
        <f t="shared" si="129"/>
        <v>2815</v>
      </c>
      <c r="AP49" s="5986">
        <f>+(AP55*'Maj Prod Summ'!AP$18)/1000</f>
        <v>713.46400000000006</v>
      </c>
      <c r="AQ49" s="4406">
        <v>408</v>
      </c>
      <c r="AR49" s="7394">
        <f t="shared" si="130"/>
        <v>5787.5919999999996</v>
      </c>
      <c r="AS49" s="3193">
        <f t="shared" si="131"/>
        <v>3223</v>
      </c>
      <c r="AT49" s="5986">
        <f>+AT55*AT33/1000</f>
        <v>659.44960000000015</v>
      </c>
      <c r="AU49" s="4406">
        <f>+SMS!AU57</f>
        <v>377</v>
      </c>
      <c r="AV49" s="3193">
        <f t="shared" si="132"/>
        <v>6447.0415999999996</v>
      </c>
      <c r="AW49" s="3193">
        <f t="shared" si="133"/>
        <v>3600</v>
      </c>
      <c r="AX49" s="5986">
        <f>+AX55*AX33/1000</f>
        <v>728.37760000000014</v>
      </c>
      <c r="AY49" s="4406">
        <f>+SMS!AY57</f>
        <v>568</v>
      </c>
      <c r="AZ49" s="5783">
        <f t="shared" si="134"/>
        <v>2101.2912000000006</v>
      </c>
      <c r="BA49" s="5029">
        <f t="shared" si="135"/>
        <v>1353</v>
      </c>
      <c r="BB49" s="5029">
        <f t="shared" si="136"/>
        <v>3882.7312000000006</v>
      </c>
      <c r="BC49" s="5029">
        <f t="shared" si="137"/>
        <v>2116</v>
      </c>
      <c r="BD49" s="6614">
        <f t="shared" si="138"/>
        <v>7175.4191999999994</v>
      </c>
      <c r="BE49" s="6615">
        <f t="shared" si="139"/>
        <v>4168</v>
      </c>
      <c r="BF49" s="5353"/>
      <c r="BG49" s="5353"/>
    </row>
    <row r="50" spans="2:59" s="5352" customFormat="1" ht="15" customHeight="1" x14ac:dyDescent="0.2">
      <c r="D50" s="2100"/>
      <c r="E50" s="2265"/>
      <c r="F50" s="2100"/>
      <c r="G50" s="2265"/>
      <c r="H50" s="2100"/>
      <c r="I50" s="2265"/>
      <c r="J50" s="2100"/>
      <c r="K50" s="2265"/>
      <c r="L50" s="2100"/>
      <c r="M50" s="2265"/>
      <c r="N50" s="2100"/>
      <c r="O50" s="2265"/>
      <c r="P50" s="2100"/>
      <c r="Q50" s="2265"/>
      <c r="R50" s="2100"/>
      <c r="S50" s="2265"/>
      <c r="T50" s="2100"/>
      <c r="U50" s="2265"/>
      <c r="V50" s="2100"/>
      <c r="W50" s="2265"/>
      <c r="X50" s="2100"/>
      <c r="Y50" s="2265"/>
      <c r="Z50" s="2100"/>
      <c r="AA50" s="2265"/>
      <c r="AB50" s="2100"/>
      <c r="AC50" s="2265"/>
      <c r="AD50" s="2100"/>
      <c r="AE50" s="2265"/>
      <c r="AF50" s="2100"/>
      <c r="AG50" s="2265"/>
      <c r="AH50" s="2100"/>
      <c r="AI50" s="2265"/>
      <c r="AJ50" s="2100"/>
      <c r="AK50" s="2265"/>
      <c r="AL50" s="2100"/>
      <c r="AM50" s="2265"/>
      <c r="AN50" s="2100"/>
      <c r="AO50" s="2265"/>
      <c r="AP50" s="2100"/>
      <c r="AQ50" s="2265"/>
      <c r="AR50" s="2100"/>
      <c r="AS50" s="2265"/>
      <c r="AT50" s="2100"/>
      <c r="AU50" s="2265"/>
      <c r="AV50" s="2265"/>
      <c r="AW50" s="2265"/>
      <c r="AX50" s="2100"/>
      <c r="AY50" s="2265"/>
      <c r="AZ50" s="2100"/>
      <c r="BA50" s="2265"/>
      <c r="BB50" s="2265"/>
      <c r="BC50" s="2265"/>
      <c r="BD50" s="2100"/>
      <c r="BE50" s="2265"/>
    </row>
    <row r="51" spans="2:59" ht="15" customHeight="1" x14ac:dyDescent="0.2">
      <c r="B51" s="5352" t="s">
        <v>288</v>
      </c>
      <c r="C51" s="5415" t="s">
        <v>1172</v>
      </c>
      <c r="D51" s="3829">
        <v>1</v>
      </c>
      <c r="E51" s="2723">
        <f>+(E45/'Maj Prod Summ'!E$18)*1000</f>
        <v>1.0132104074498036</v>
      </c>
      <c r="F51" s="3829">
        <v>0.76692255571357304</v>
      </c>
      <c r="G51" s="2723">
        <f>+(G45/'Maj Prod Summ'!G$18)*1000</f>
        <v>0.76692255571357304</v>
      </c>
      <c r="H51" s="3194">
        <f>+(H45/'Maj Prod Summ'!H$18)*1000</f>
        <v>0.88124585064208349</v>
      </c>
      <c r="I51" s="5307">
        <f>+(I45/'Maj Prod Summ'!$I$18)*1000</f>
        <v>0.88772548796449102</v>
      </c>
      <c r="J51" s="3829">
        <v>1.8</v>
      </c>
      <c r="K51" s="2723">
        <f>+(K45/'Maj Prod Summ'!K$18)*1000</f>
        <v>1.0717726723751884</v>
      </c>
      <c r="L51" s="5714">
        <f>+(L45/'Maj Prod Summ'!L$18)*1000</f>
        <v>1.2308928378397432</v>
      </c>
      <c r="M51" s="5709">
        <f>+(M45/'Maj Prod Summ'!M$18)*1000</f>
        <v>0.9537273375395704</v>
      </c>
      <c r="N51" s="5239">
        <v>1.8</v>
      </c>
      <c r="O51" s="2723">
        <f>+(O45/'Maj Prod Summ'!O$18)*1000</f>
        <v>1.6156193103791112</v>
      </c>
      <c r="P51" s="3194">
        <f>+(P45/'Maj Prod Summ'!P$18)*1000</f>
        <v>1.4255672251692593</v>
      </c>
      <c r="Q51" s="5307">
        <f>+(Q45/'Maj Prod Summ'!Q$18)*1000</f>
        <v>1.1399775487580126</v>
      </c>
      <c r="R51" s="5239">
        <v>1.8</v>
      </c>
      <c r="S51" s="2723">
        <f>+(S45/'Maj Prod Summ'!S$18)*1000</f>
        <v>1.3487431109457479</v>
      </c>
      <c r="T51" s="3194">
        <f>+(T45/'Maj Prod Summ'!T$18)*1000</f>
        <v>1.520588591595933</v>
      </c>
      <c r="U51" s="5307">
        <f>+(U45/'Maj Prod Summ'!U$18)*1000</f>
        <v>1.1882492425240416</v>
      </c>
      <c r="V51" s="5239">
        <v>1.8</v>
      </c>
      <c r="W51" s="2723">
        <f>+(W45/'Maj Prod Summ'!W$18)*1000</f>
        <v>1.7226941021653308</v>
      </c>
      <c r="X51" s="5714">
        <f>+(X45/'Maj Prod Summ'!X$18)*1000</f>
        <v>1.8000000000000005</v>
      </c>
      <c r="Y51" s="5709">
        <f>+(Y45/'Maj Prod Summ'!Y$18)*1000</f>
        <v>1.5268971577145518</v>
      </c>
      <c r="Z51" s="6616">
        <f>+(Z45/'Maj Prod Summ'!Z$18)*1000</f>
        <v>1.5765484725182461</v>
      </c>
      <c r="AA51" s="6617">
        <f>+(AA45/'Maj Prod Summ'!AA$18)*1000</f>
        <v>1.242235724609309</v>
      </c>
      <c r="AB51" s="5239">
        <v>1.8</v>
      </c>
      <c r="AC51" s="2723">
        <f>+(AC45/'Maj Prod Summ'!AC$18)*1000</f>
        <v>1.3262465198683877</v>
      </c>
      <c r="AD51" s="3194">
        <f>+(AD45/'Maj Prod Summ'!AD$18)*1000</f>
        <v>1.597841339271181</v>
      </c>
      <c r="AE51" s="5307">
        <f>+(AE45/'Maj Prod Summ'!AE$18)*1000</f>
        <v>1.2511942894342227</v>
      </c>
      <c r="AF51" s="5239">
        <v>1.8</v>
      </c>
      <c r="AG51" s="2723">
        <f>+(AG45/'Maj Prod Summ'!AG$18)*1000</f>
        <v>1.8693596905887409</v>
      </c>
      <c r="AH51" s="3194">
        <f>+(AH45/'Maj Prod Summ'!AH$18)*1000</f>
        <v>1.6287180321376036</v>
      </c>
      <c r="AI51" s="5307">
        <f>+(AI45/'Maj Prod Summ'!AI$18)*1000</f>
        <v>1.3321662477730152</v>
      </c>
      <c r="AJ51" s="5239">
        <v>1.8</v>
      </c>
      <c r="AK51" s="2723">
        <f>+(AK45/'Maj Prod Summ'!AK$18)*1000</f>
        <v>1.8274353403375101</v>
      </c>
      <c r="AL51" s="5714">
        <f>+(AL45/'Maj Prod Summ'!AL$18)*1000</f>
        <v>1.8</v>
      </c>
      <c r="AM51" s="5709">
        <f>+(AM45/'Maj Prod Summ'!AM$18)*1000</f>
        <v>1.7200226383523216</v>
      </c>
      <c r="AN51" s="3194">
        <f>+(AN45/'Maj Prod Summ'!AN$18)*1000</f>
        <v>1.6523757855788752</v>
      </c>
      <c r="AO51" s="5307">
        <f>+(AO45/'Maj Prod Summ'!AO$18)*1000</f>
        <v>1.3995970493509189</v>
      </c>
      <c r="AP51" s="5239">
        <v>1.8</v>
      </c>
      <c r="AQ51" s="2723">
        <f>+(AQ45/'Maj Prod Summ'!AQ$18)*1000</f>
        <v>1.2663445351025739</v>
      </c>
      <c r="AR51" s="3194">
        <f>+(AR45/'Maj Prod Summ'!AR$18)*1000</f>
        <v>1.6700385169046417</v>
      </c>
      <c r="AS51" s="5307">
        <f>+(AS45/'Maj Prod Summ'!AS$18)*1000</f>
        <v>1.3809017846878453</v>
      </c>
      <c r="AT51" s="5239">
        <v>1.8</v>
      </c>
      <c r="AU51" s="2723">
        <f>+(AU45/'Maj Prod Summ'!AU$18)*1000</f>
        <v>1.8926977816313151</v>
      </c>
      <c r="AV51" s="5307">
        <f>+(AV45/'Maj Prod Summ'!AV$18)*1000</f>
        <v>1.6829796204045768</v>
      </c>
      <c r="AW51" s="5307">
        <f>+(AW45/'Maj Prod Summ'!AW$18)*1000</f>
        <v>1.4404957359981729</v>
      </c>
      <c r="AX51" s="5239">
        <v>1.8</v>
      </c>
      <c r="AY51" s="2723">
        <f>+(AY45/'Maj Prod Summ'!AY$18)*1000</f>
        <v>1.6321406151914626</v>
      </c>
      <c r="AZ51" s="5714">
        <f>+(AZ45/'Maj Prod Summ'!AZ$18)*1000</f>
        <v>1.8</v>
      </c>
      <c r="BA51" s="5709">
        <f>+(BA45/'Maj Prod Summ'!BA$18)*1000</f>
        <v>1.5924111908856056</v>
      </c>
      <c r="BB51" s="5709">
        <f>+(BB45/'Maj Prod Summ'!BB$18)*1000</f>
        <v>1.7999999999999998</v>
      </c>
      <c r="BC51" s="5709">
        <f>+(BC45/'Maj Prod Summ'!BC$18)*1000</f>
        <v>1.6432580827021595</v>
      </c>
      <c r="BD51" s="6616">
        <f>+(BD45/'Maj Prod Summ'!BD$18)*1000</f>
        <v>1.6945747657926831</v>
      </c>
      <c r="BE51" s="6617">
        <f>+(BE45/'Maj Prod Summ'!BE$18)*1000</f>
        <v>1.4636308867493435</v>
      </c>
      <c r="BF51" s="5353"/>
      <c r="BG51" s="5353"/>
    </row>
    <row r="52" spans="2:59" s="7468" customFormat="1" ht="15" customHeight="1" x14ac:dyDescent="0.2">
      <c r="B52" s="7468" t="s">
        <v>2223</v>
      </c>
      <c r="C52" s="5415" t="s">
        <v>1172</v>
      </c>
      <c r="D52" s="3829"/>
      <c r="E52" s="2723">
        <f>+(E46/'Maj Prod Summ'!E$18)*1000</f>
        <v>0</v>
      </c>
      <c r="F52" s="3829"/>
      <c r="G52" s="2723">
        <f>+(G46/'Maj Prod Summ'!G$18)*1000</f>
        <v>0</v>
      </c>
      <c r="H52" s="3194">
        <f>+(H46/'Maj Prod Summ'!H$18)*1000</f>
        <v>0</v>
      </c>
      <c r="I52" s="5307">
        <f>+(I46/'Maj Prod Summ'!$I$18)*1000</f>
        <v>0</v>
      </c>
      <c r="J52" s="3829"/>
      <c r="K52" s="2723">
        <f>+(K46/'Maj Prod Summ'!K$18)*1000</f>
        <v>0</v>
      </c>
      <c r="L52" s="5714">
        <f>+(L46/'Maj Prod Summ'!L$18)*1000</f>
        <v>0</v>
      </c>
      <c r="M52" s="5709">
        <f>+(M46/'Maj Prod Summ'!M$18)*1000</f>
        <v>0</v>
      </c>
      <c r="N52" s="5239"/>
      <c r="O52" s="2723">
        <f>+(O46/'Maj Prod Summ'!O$18)*1000</f>
        <v>0</v>
      </c>
      <c r="P52" s="3194">
        <f>+(P46/'Maj Prod Summ'!P$18)*1000</f>
        <v>0</v>
      </c>
      <c r="Q52" s="5307">
        <f>+(Q46/'Maj Prod Summ'!Q$18)*1000</f>
        <v>0</v>
      </c>
      <c r="R52" s="5239"/>
      <c r="S52" s="2723">
        <f>+(S46/'Maj Prod Summ'!S$18)*1000</f>
        <v>0.37788061298048975</v>
      </c>
      <c r="T52" s="3194">
        <f>+(T46/'Maj Prod Summ'!T$18)*1000</f>
        <v>0</v>
      </c>
      <c r="U52" s="5307">
        <f>+(U46/'Maj Prod Summ'!U$18)*1000</f>
        <v>8.737522146258056E-2</v>
      </c>
      <c r="V52" s="5239"/>
      <c r="W52" s="2723">
        <f>+(W46/'Maj Prod Summ'!W$18)*1000</f>
        <v>0.37085775810503646</v>
      </c>
      <c r="X52" s="5714">
        <f>+(X46/'Maj Prod Summ'!X$18)*1000</f>
        <v>0</v>
      </c>
      <c r="Y52" s="5709">
        <f>+(Y46/'Maj Prod Summ'!Y$18)*1000</f>
        <v>0.23047504267389463</v>
      </c>
      <c r="Z52" s="6616">
        <f>+(Z46/'Maj Prod Summ'!Z$18)*1000</f>
        <v>0</v>
      </c>
      <c r="AA52" s="6617">
        <f>+(AA46/'Maj Prod Summ'!AA$18)*1000</f>
        <v>0.1160109630360069</v>
      </c>
      <c r="AB52" s="5239"/>
      <c r="AC52" s="2723">
        <f>+(AC46/'Maj Prod Summ'!AC$18)*1000</f>
        <v>0.39483675018982539</v>
      </c>
      <c r="AD52" s="3194">
        <f>+(AD46/'Maj Prod Summ'!AD$18)*1000</f>
        <v>0</v>
      </c>
      <c r="AE52" s="5307">
        <f>+(AE46/'Maj Prod Summ'!AE$18)*1000</f>
        <v>0.14574379536275631</v>
      </c>
      <c r="AF52" s="5239"/>
      <c r="AG52" s="2723">
        <f>+(AG46/'Maj Prod Summ'!AG$18)*1000</f>
        <v>0.8351239077496061</v>
      </c>
      <c r="AH52" s="3194">
        <f>+(AH46/'Maj Prod Summ'!AH$18)*1000</f>
        <v>0</v>
      </c>
      <c r="AI52" s="5307">
        <f>+(AI46/'Maj Prod Summ'!AI$18)*1000</f>
        <v>0.23604399274605664</v>
      </c>
      <c r="AJ52" s="5239"/>
      <c r="AK52" s="2723">
        <f>+(AK46/'Maj Prod Summ'!AK$18)*1000</f>
        <v>0.43453674216494542</v>
      </c>
      <c r="AL52" s="5714">
        <f>+(AL46/'Maj Prod Summ'!AL$18)*1000</f>
        <v>0</v>
      </c>
      <c r="AM52" s="5709">
        <f>+(AM46/'Maj Prod Summ'!AM$18)*1000</f>
        <v>0.56251384138389227</v>
      </c>
      <c r="AN52" s="3194">
        <f>+(AN46/'Maj Prod Summ'!AN$18)*1000</f>
        <v>0</v>
      </c>
      <c r="AO52" s="5307">
        <f>+(AO46/'Maj Prod Summ'!AO$18)*1000</f>
        <v>0.26306874636315158</v>
      </c>
      <c r="AP52" s="5239">
        <v>0</v>
      </c>
      <c r="AQ52" s="2723">
        <f>+(AQ46/'Maj Prod Summ'!AQ$18)*1000</f>
        <v>0.42211484503419128</v>
      </c>
      <c r="AR52" s="3194">
        <f>+(AR46/'Maj Prod Summ'!AR$18)*1000</f>
        <v>0</v>
      </c>
      <c r="AS52" s="5307">
        <f>+(AS46/'Maj Prod Summ'!AS$18)*1000</f>
        <v>0.28538283870922793</v>
      </c>
      <c r="AT52" s="5239">
        <v>0</v>
      </c>
      <c r="AU52" s="2723">
        <f>+(AU46/'Maj Prod Summ'!AU$18)*1000</f>
        <v>0.44938355150464182</v>
      </c>
      <c r="AV52" s="5307">
        <f>+(AV46/'Maj Prod Summ'!AV$18)*1000</f>
        <v>0</v>
      </c>
      <c r="AW52" s="5307">
        <f>+(AW46/'Maj Prod Summ'!AW$18)*1000</f>
        <v>0.30447921803137507</v>
      </c>
      <c r="AX52" s="5239">
        <v>0</v>
      </c>
      <c r="AY52" s="2723">
        <f>+(AY46/'Maj Prod Summ'!AY$18)*1000</f>
        <v>0.30938929244013991</v>
      </c>
      <c r="AZ52" s="5714">
        <f>+(AZ46/'Maj Prod Summ'!AZ$18)*1000</f>
        <v>0</v>
      </c>
      <c r="BA52" s="5709">
        <f>+(BA46/'Maj Prod Summ'!BA$18)*1000</f>
        <v>0.38954582868133031</v>
      </c>
      <c r="BB52" s="5709">
        <f>+(BB46/'Maj Prod Summ'!BB$18)*1000</f>
        <v>0</v>
      </c>
      <c r="BC52" s="5709">
        <f>+(BC46/'Maj Prod Summ'!BC$18)*1000</f>
        <v>0.45846508321690321</v>
      </c>
      <c r="BD52" s="6616">
        <f>+(BD46/'Maj Prod Summ'!BD$18)*1000</f>
        <v>0</v>
      </c>
      <c r="BE52" s="6617">
        <f>+(BE46/'Maj Prod Summ'!BE$18)*1000</f>
        <v>0.30507195660140313</v>
      </c>
      <c r="BF52" s="6481"/>
      <c r="BG52" s="6481"/>
    </row>
    <row r="53" spans="2:59" s="7468" customFormat="1" ht="15.75" customHeight="1" x14ac:dyDescent="0.2">
      <c r="B53" s="7481" t="s">
        <v>2336</v>
      </c>
      <c r="C53" s="7482" t="s">
        <v>1172</v>
      </c>
      <c r="D53" s="7483">
        <f>SUM(D51:D52)</f>
        <v>1</v>
      </c>
      <c r="E53" s="7483">
        <f t="shared" ref="E53:AE53" si="140">SUM(E51:E52)</f>
        <v>1.0132104074498036</v>
      </c>
      <c r="F53" s="7483">
        <f t="shared" si="140"/>
        <v>0.76692255571357304</v>
      </c>
      <c r="G53" s="7483">
        <f t="shared" si="140"/>
        <v>0.76692255571357304</v>
      </c>
      <c r="H53" s="7483">
        <f t="shared" si="140"/>
        <v>0.88124585064208349</v>
      </c>
      <c r="I53" s="7483">
        <f t="shared" si="140"/>
        <v>0.88772548796449102</v>
      </c>
      <c r="J53" s="7483">
        <f t="shared" si="140"/>
        <v>1.8</v>
      </c>
      <c r="K53" s="7483">
        <f t="shared" si="140"/>
        <v>1.0717726723751884</v>
      </c>
      <c r="L53" s="7483">
        <f t="shared" si="140"/>
        <v>1.2308928378397432</v>
      </c>
      <c r="M53" s="7483">
        <f t="shared" si="140"/>
        <v>0.9537273375395704</v>
      </c>
      <c r="N53" s="7483">
        <f t="shared" si="140"/>
        <v>1.8</v>
      </c>
      <c r="O53" s="7483">
        <f t="shared" si="140"/>
        <v>1.6156193103791112</v>
      </c>
      <c r="P53" s="7483">
        <f t="shared" si="140"/>
        <v>1.4255672251692593</v>
      </c>
      <c r="Q53" s="7483">
        <f t="shared" si="140"/>
        <v>1.1399775487580126</v>
      </c>
      <c r="R53" s="7483">
        <f t="shared" si="140"/>
        <v>1.8</v>
      </c>
      <c r="S53" s="7483">
        <f t="shared" si="140"/>
        <v>1.7266237239262376</v>
      </c>
      <c r="T53" s="7483">
        <f t="shared" si="140"/>
        <v>1.520588591595933</v>
      </c>
      <c r="U53" s="7483">
        <f t="shared" si="140"/>
        <v>1.2756244639866221</v>
      </c>
      <c r="V53" s="7483">
        <f t="shared" si="140"/>
        <v>1.8</v>
      </c>
      <c r="W53" s="7483">
        <f t="shared" si="140"/>
        <v>2.0935518602703671</v>
      </c>
      <c r="X53" s="7483">
        <f t="shared" si="140"/>
        <v>1.8000000000000005</v>
      </c>
      <c r="Y53" s="7483">
        <f t="shared" si="140"/>
        <v>1.7573722003884464</v>
      </c>
      <c r="Z53" s="7483">
        <f t="shared" si="140"/>
        <v>1.5765484725182461</v>
      </c>
      <c r="AA53" s="7483">
        <f t="shared" si="140"/>
        <v>1.3582466876453159</v>
      </c>
      <c r="AB53" s="7483">
        <f t="shared" si="140"/>
        <v>1.8</v>
      </c>
      <c r="AC53" s="7483">
        <f t="shared" si="140"/>
        <v>1.721083270058213</v>
      </c>
      <c r="AD53" s="7483">
        <f t="shared" si="140"/>
        <v>1.597841339271181</v>
      </c>
      <c r="AE53" s="7483">
        <f t="shared" si="140"/>
        <v>1.396938084796979</v>
      </c>
      <c r="AF53" s="7483">
        <f t="shared" ref="AF53:AO53" si="141">SUM(AF51:AF52)</f>
        <v>1.8</v>
      </c>
      <c r="AG53" s="7483">
        <f t="shared" si="141"/>
        <v>2.7044835983383471</v>
      </c>
      <c r="AH53" s="7483">
        <f t="shared" si="141"/>
        <v>1.6287180321376036</v>
      </c>
      <c r="AI53" s="7483">
        <f t="shared" si="141"/>
        <v>1.5682102405190719</v>
      </c>
      <c r="AJ53" s="7483">
        <f t="shared" si="141"/>
        <v>1.8</v>
      </c>
      <c r="AK53" s="7483">
        <f t="shared" si="141"/>
        <v>2.2619720825024556</v>
      </c>
      <c r="AL53" s="7483">
        <f t="shared" si="141"/>
        <v>1.8</v>
      </c>
      <c r="AM53" s="7483">
        <f t="shared" si="141"/>
        <v>2.2825364797362138</v>
      </c>
      <c r="AN53" s="7483">
        <f t="shared" si="141"/>
        <v>1.6523757855788752</v>
      </c>
      <c r="AO53" s="7483">
        <f t="shared" si="141"/>
        <v>1.6626657957140705</v>
      </c>
      <c r="AP53" s="7483">
        <f t="shared" ref="AP53:AS53" si="142">SUM(AP51:AP52)</f>
        <v>1.8</v>
      </c>
      <c r="AQ53" s="7483">
        <f t="shared" si="142"/>
        <v>1.6884593801367651</v>
      </c>
      <c r="AR53" s="7483">
        <f t="shared" si="142"/>
        <v>1.6700385169046417</v>
      </c>
      <c r="AS53" s="7483">
        <f t="shared" si="142"/>
        <v>1.6662846233970732</v>
      </c>
      <c r="AT53" s="7483">
        <f t="shared" ref="AT53:AW53" si="143">SUM(AT51:AT52)</f>
        <v>1.8</v>
      </c>
      <c r="AU53" s="7483">
        <f t="shared" si="143"/>
        <v>2.3420813331359569</v>
      </c>
      <c r="AV53" s="7483">
        <f t="shared" si="143"/>
        <v>1.6829796204045768</v>
      </c>
      <c r="AW53" s="7483">
        <f t="shared" si="143"/>
        <v>1.7449749540295481</v>
      </c>
      <c r="AX53" s="7483">
        <f t="shared" ref="AX53:AY53" si="144">SUM(AX51:AX52)</f>
        <v>1.8</v>
      </c>
      <c r="AY53" s="7483">
        <f t="shared" si="144"/>
        <v>1.9415299076316024</v>
      </c>
      <c r="AZ53" s="7483">
        <f t="shared" ref="AZ53:BA53" si="145">SUM(AZ51:AZ52)</f>
        <v>1.8</v>
      </c>
      <c r="BA53" s="7483">
        <f t="shared" si="145"/>
        <v>1.9819570195669358</v>
      </c>
      <c r="BB53" s="7483">
        <f t="shared" ref="BB53:BE53" si="146">SUM(BB51:BB52)</f>
        <v>1.7999999999999998</v>
      </c>
      <c r="BC53" s="7483">
        <f t="shared" si="146"/>
        <v>2.1017231659190627</v>
      </c>
      <c r="BD53" s="7483">
        <f t="shared" si="146"/>
        <v>1.6945747657926831</v>
      </c>
      <c r="BE53" s="7483">
        <f t="shared" si="146"/>
        <v>1.7687028433507466</v>
      </c>
      <c r="BF53" s="6481"/>
      <c r="BG53" s="6481"/>
    </row>
    <row r="54" spans="2:59" ht="15" customHeight="1" x14ac:dyDescent="0.2">
      <c r="B54" s="5352" t="s">
        <v>289</v>
      </c>
      <c r="C54" s="5415" t="s">
        <v>1172</v>
      </c>
      <c r="D54" s="3829">
        <v>16.8</v>
      </c>
      <c r="E54" s="2723">
        <f>+(E48/'Maj Prod Summ'!E$18)*1000</f>
        <v>16.806917674720786</v>
      </c>
      <c r="F54" s="3829">
        <v>17.289263828805016</v>
      </c>
      <c r="G54" s="2723">
        <f>+(G48/'Maj Prod Summ'!G$18)*1000</f>
        <v>17.289263828805016</v>
      </c>
      <c r="H54" s="3194">
        <f>+(H48/'Maj Prod Summ'!H$18)*1000</f>
        <v>17.049282421897228</v>
      </c>
      <c r="I54" s="5307">
        <f>+(I48/'Maj Prod Summ'!$I$18)*1000</f>
        <v>17.05267550598456</v>
      </c>
      <c r="J54" s="3829">
        <v>16</v>
      </c>
      <c r="K54" s="2723">
        <f>+(K48/'Maj Prod Summ'!K$18)*1000</f>
        <v>16.955937631461101</v>
      </c>
      <c r="L54" s="5714">
        <f>+(L48/'Maj Prod Summ'!L$18)*1000</f>
        <v>16.649960755930085</v>
      </c>
      <c r="M54" s="5709">
        <f>+(M48/'Maj Prod Summ'!M$18)*1000</f>
        <v>17.017983974772314</v>
      </c>
      <c r="N54" s="5239">
        <v>16</v>
      </c>
      <c r="O54" s="2723">
        <f>+(O48/'Maj Prod Summ'!O$18)*1000</f>
        <v>16.156193103791114</v>
      </c>
      <c r="P54" s="3194">
        <f>+(P48/'Maj Prod Summ'!P$18)*1000</f>
        <v>16.427628793934346</v>
      </c>
      <c r="Q54" s="5307">
        <f>+(Q48/'Maj Prod Summ'!Q$18)*1000</f>
        <v>16.775484083048614</v>
      </c>
      <c r="R54" s="5239">
        <v>16</v>
      </c>
      <c r="S54" s="2723">
        <f>+(S48/'Maj Prod Summ'!S$18)*1000</f>
        <v>16.196544427132991</v>
      </c>
      <c r="T54" s="3194">
        <f>+(T48/'Maj Prod Summ'!T$18)*1000</f>
        <v>16.31910765194457</v>
      </c>
      <c r="U54" s="5307">
        <f>+(U48/'Maj Prod Summ'!U$18)*1000</f>
        <v>16.641619103180727</v>
      </c>
      <c r="V54" s="5239">
        <v>16</v>
      </c>
      <c r="W54" s="2723">
        <f>+(W48/'Maj Prod Summ'!W$18)*1000</f>
        <v>15.815288910156717</v>
      </c>
      <c r="X54" s="5714">
        <f>+(X48/'Maj Prod Summ'!X$18)*1000</f>
        <v>16</v>
      </c>
      <c r="Y54" s="5709">
        <f>+(Y48/'Maj Prod Summ'!Y$18)*1000</f>
        <v>16.104443606838387</v>
      </c>
      <c r="Z54" s="6616">
        <f>+(Z48/'Maj Prod Summ'!Z$18)*1000</f>
        <v>16.255197497716388</v>
      </c>
      <c r="AA54" s="6617">
        <f>+(AA48/'Maj Prod Summ'!AA$18)*1000</f>
        <v>16.558148078326735</v>
      </c>
      <c r="AB54" s="5239">
        <v>16</v>
      </c>
      <c r="AC54" s="2723">
        <f>+(AC48/'Maj Prod Summ'!AC$18)*1000</f>
        <v>16.249050873196659</v>
      </c>
      <c r="AD54" s="3194">
        <f>+(AD48/'Maj Prod Summ'!AD$18)*1000</f>
        <v>16.230879533208398</v>
      </c>
      <c r="AE54" s="5307">
        <f>+(AE48/'Maj Prod Summ'!AE$18)*1000</f>
        <v>16.525187226797858</v>
      </c>
      <c r="AF54" s="5239">
        <v>16</v>
      </c>
      <c r="AG54" s="2723">
        <f>+(AG48/'Maj Prod Summ'!AG$18)*1000</f>
        <v>15.907463114167022</v>
      </c>
      <c r="AH54" s="3194">
        <f>+(AH48/'Maj Prod Summ'!AH$18)*1000</f>
        <v>16.195616159330086</v>
      </c>
      <c r="AI54" s="5307">
        <f>+(AI48/'Maj Prod Summ'!AI$18)*1000</f>
        <v>16.444273071752306</v>
      </c>
      <c r="AJ54" s="5239">
        <v>16</v>
      </c>
      <c r="AK54" s="2723">
        <f>+(AK48/'Maj Prod Summ'!AK$18)*1000</f>
        <v>16.482633411708679</v>
      </c>
      <c r="AL54" s="5714">
        <f>+(AL48/'Maj Prod Summ'!AL$18)*1000</f>
        <v>16</v>
      </c>
      <c r="AM54" s="5709">
        <f>+(AM48/'Maj Prod Summ'!AM$18)*1000</f>
        <v>16.22825364797362</v>
      </c>
      <c r="AN54" s="3194">
        <f>+(AN48/'Maj Prod Summ'!AN$18)*1000</f>
        <v>16.168597326441166</v>
      </c>
      <c r="AO54" s="5307">
        <f>+(AO48/'Maj Prod Summ'!AO$18)*1000</f>
        <v>16.449495825424794</v>
      </c>
      <c r="AP54" s="5239">
        <v>16</v>
      </c>
      <c r="AQ54" s="2723">
        <f>+(AQ48/'Maj Prod Summ'!AQ$18)*1000</f>
        <v>16.795204775360414</v>
      </c>
      <c r="AR54" s="3194">
        <f>+(AR48/'Maj Prod Summ'!AR$18)*1000</f>
        <v>16.148425234140113</v>
      </c>
      <c r="AS54" s="5307">
        <f>+(AS48/'Maj Prod Summ'!AS$18)*1000</f>
        <v>16.497998627431173</v>
      </c>
      <c r="AT54" s="5239">
        <v>16</v>
      </c>
      <c r="AU54" s="2723">
        <f>+(AU48/'Maj Prod Summ'!AU$18)*1000</f>
        <v>16.45272485038171</v>
      </c>
      <c r="AV54" s="5307">
        <f>+(AV48/'Maj Prod Summ'!AV$18)*1000</f>
        <v>16.133645575803957</v>
      </c>
      <c r="AW54" s="5307">
        <f>+(AW48/'Maj Prod Summ'!AW$18)*1000</f>
        <v>16.492726911198076</v>
      </c>
      <c r="AX54" s="5239">
        <v>16</v>
      </c>
      <c r="AY54" s="2723">
        <f>+(AY48/'Maj Prod Summ'!AY$18)*1000</f>
        <v>13.967357187696171</v>
      </c>
      <c r="AZ54" s="5714">
        <f>+(AZ48/'Maj Prod Summ'!AZ$18)*1000</f>
        <v>16</v>
      </c>
      <c r="BA54" s="5709">
        <f>+(BA48/'Maj Prod Summ'!BA$18)*1000</f>
        <v>15.66169819162721</v>
      </c>
      <c r="BB54" s="5709">
        <f>+(BB48/'Maj Prod Summ'!BB$18)*1000</f>
        <v>16.000000000000004</v>
      </c>
      <c r="BC54" s="5709">
        <f>+(BC48/'Maj Prod Summ'!BC$18)*1000</f>
        <v>15.887442704120403</v>
      </c>
      <c r="BD54" s="6616">
        <f>+(BD48/'Maj Prod Summ'!BD$18)*1000</f>
        <v>16.120403097123909</v>
      </c>
      <c r="BE54" s="6617">
        <f>+(BE48/'Maj Prod Summ'!BE$18)*1000</f>
        <v>16.187867164871474</v>
      </c>
      <c r="BF54" s="5353"/>
      <c r="BG54" s="5353"/>
    </row>
    <row r="55" spans="2:59" ht="15" customHeight="1" x14ac:dyDescent="0.2">
      <c r="B55" s="5352" t="s">
        <v>290</v>
      </c>
      <c r="C55" s="5415" t="s">
        <v>1172</v>
      </c>
      <c r="D55" s="3829">
        <v>2.7921294434303747</v>
      </c>
      <c r="E55" s="2723">
        <f>+(E49/'Maj Prod Summ'!E$18)*1000</f>
        <v>2.7921294434303747</v>
      </c>
      <c r="F55" s="3829">
        <v>2.2858759670297757</v>
      </c>
      <c r="G55" s="2723">
        <f>+(G49/'Maj Prod Summ'!G$18)*1000</f>
        <v>2.2858759670297757</v>
      </c>
      <c r="H55" s="3194">
        <f>+(H49/'Maj Prod Summ'!H$18)*1000</f>
        <v>2.5341907092319658</v>
      </c>
      <c r="I55" s="5307">
        <f>+(I49/'Maj Prod Summ'!$I$18)*1000</f>
        <v>2.5341907092319658</v>
      </c>
      <c r="J55" s="3829">
        <v>3.2</v>
      </c>
      <c r="K55" s="2723">
        <f>+(K49/'Maj Prod Summ'!K$18)*1000</f>
        <v>2.3272855572593669</v>
      </c>
      <c r="L55" s="5714">
        <f>+(L49/'Maj Prod Summ'!L$18)*1000</f>
        <v>2.7875753744636249</v>
      </c>
      <c r="M55" s="5709">
        <f>+(M49/'Maj Prod Summ'!M$18)*1000</f>
        <v>2.4599916783664293</v>
      </c>
      <c r="N55" s="5239">
        <v>3.2</v>
      </c>
      <c r="O55" s="2723">
        <f>+(O49/'Maj Prod Summ'!O$18)*1000</f>
        <v>2.454498567691342</v>
      </c>
      <c r="P55" s="3194">
        <f>+(P49/'Maj Prod Summ'!P$18)*1000</f>
        <v>2.9286533939198103</v>
      </c>
      <c r="Q55" s="5307">
        <f>+(Q49/'Maj Prod Summ'!Q$18)*1000</f>
        <v>2.458445968393407</v>
      </c>
      <c r="R55" s="5239">
        <v>3.2</v>
      </c>
      <c r="S55" s="2723">
        <f>+(S49/'Maj Prod Summ'!S$18)*1000</f>
        <v>2.5521475245913079</v>
      </c>
      <c r="T55" s="3194">
        <f>+(T49/'Maj Prod Summ'!T$18)*1000</f>
        <v>2.9975141534957723</v>
      </c>
      <c r="U55" s="5307">
        <f>+(U49/'Maj Prod Summ'!U$18)*1000</f>
        <v>2.4801120553609404</v>
      </c>
      <c r="V55" s="5239">
        <v>3.2</v>
      </c>
      <c r="W55" s="2723">
        <f>+(W49/'Maj Prod Summ'!W$18)*1000</f>
        <v>2.4763727718626627</v>
      </c>
      <c r="X55" s="5714">
        <f>+(X49/'Maj Prod Summ'!X$18)*1000</f>
        <v>3.2</v>
      </c>
      <c r="Y55" s="5709">
        <f>+(Y49/'Maj Prod Summ'!Y$18)*1000</f>
        <v>2.4992137439950448</v>
      </c>
      <c r="Z55" s="6616">
        <f>+(Z49/'Maj Prod Summ'!Z$18)*1000</f>
        <v>3.0380675579668024</v>
      </c>
      <c r="AA55" s="6617">
        <f>+(AA49/'Maj Prod Summ'!AA$18)*1000</f>
        <v>2.4797343348946477</v>
      </c>
      <c r="AB55" s="5239">
        <v>3.2</v>
      </c>
      <c r="AC55" s="2723">
        <f>+(AC49/'Maj Prod Summ'!AC$18)*1000</f>
        <v>2.3588964819033156</v>
      </c>
      <c r="AD55" s="3194">
        <f>+(AD49/'Maj Prod Summ'!AD$18)*1000</f>
        <v>3.0534982240716548</v>
      </c>
      <c r="AE55" s="5307">
        <f>+(AE49/'Maj Prod Summ'!AE$18)*1000</f>
        <v>2.46684868447332</v>
      </c>
      <c r="AF55" s="5239">
        <v>3.2</v>
      </c>
      <c r="AG55" s="2723">
        <f>+(AG49/'Maj Prod Summ'!AG$18)*1000</f>
        <v>1.8836842859189227</v>
      </c>
      <c r="AH55" s="3194">
        <f>+(AH49/'Maj Prod Summ'!AH$18)*1000</f>
        <v>3.0758741654407604</v>
      </c>
      <c r="AI55" s="5307">
        <f>+(AI49/'Maj Prod Summ'!AI$18)*1000</f>
        <v>2.3904614209735784</v>
      </c>
      <c r="AJ55" s="5239">
        <v>3.2</v>
      </c>
      <c r="AK55" s="2723">
        <f>+(AK49/'Maj Prod Summ'!AK$18)*1000</f>
        <v>1.5893330158635675</v>
      </c>
      <c r="AL55" s="5714">
        <f>+(AL49/'Maj Prod Summ'!AL$18)*1000</f>
        <v>3.2</v>
      </c>
      <c r="AM55" s="5709">
        <f>+(AM49/'Maj Prod Summ'!AM$18)*1000</f>
        <v>1.8775068284160537</v>
      </c>
      <c r="AN55" s="3194">
        <f>+(AN49/'Maj Prod Summ'!AN$18)*1000</f>
        <v>3.0930186344490429</v>
      </c>
      <c r="AO55" s="5307">
        <f>+(AO49/'Maj Prod Summ'!AO$18)*1000</f>
        <v>2.2813879267167949</v>
      </c>
      <c r="AP55" s="5239">
        <v>3.2</v>
      </c>
      <c r="AQ55" s="2723">
        <f>+(AQ49/'Maj Prod Summ'!AQ$18)*1000</f>
        <v>2.026151256164118</v>
      </c>
      <c r="AR55" s="3194">
        <f>+(AR49/'Maj Prod Summ'!AR$18)*1000</f>
        <v>3.1058185881964668</v>
      </c>
      <c r="AS55" s="5307">
        <f>+(AS49/'Maj Prod Summ'!AS$18)*1000</f>
        <v>2.2455783426753944</v>
      </c>
      <c r="AT55" s="5239">
        <v>3.2</v>
      </c>
      <c r="AU55" s="2723">
        <f>+(AU49/'Maj Prod Summ'!AU$18)*1000</f>
        <v>1.9931482225558823</v>
      </c>
      <c r="AV55" s="5307">
        <f>+(AV49/'Maj Prod Summ'!AV$18)*1000</f>
        <v>3.115196839112742</v>
      </c>
      <c r="AW55" s="5307">
        <f>+(AW49/'Maj Prod Summ'!AW$18)*1000</f>
        <v>2.2161851696582087</v>
      </c>
      <c r="AX55" s="5239">
        <v>3.2</v>
      </c>
      <c r="AY55" s="2723">
        <f>+(AY49/'Maj Prod Summ'!AY$18)*1000</f>
        <v>2.5468567841449197</v>
      </c>
      <c r="AZ55" s="5714">
        <f>+(AZ49/'Maj Prod Summ'!AZ$18)*1000</f>
        <v>3.2000000000000011</v>
      </c>
      <c r="BA55" s="5709">
        <f>+(BA49/'Maj Prod Summ'!BA$18)*1000</f>
        <v>2.2052531640411712</v>
      </c>
      <c r="BB55" s="5709">
        <f>+(BB49/'Maj Prod Summ'!BB$18)*1000</f>
        <v>3.2000000000000006</v>
      </c>
      <c r="BC55" s="5709">
        <f>+(BC49/'Maj Prod Summ'!BC$18)*1000</f>
        <v>2.0746623526239674</v>
      </c>
      <c r="BD55" s="6616">
        <f>+(BD49/'Maj Prod Summ'!BD$18)*1000</f>
        <v>3.1235996915326223</v>
      </c>
      <c r="BE55" s="6617">
        <f>+(BE49/'Maj Prod Summ'!BE$18)*1000</f>
        <v>2.2561034689756001</v>
      </c>
      <c r="BF55" s="5353"/>
      <c r="BG55" s="5353"/>
    </row>
    <row r="56" spans="2:59" ht="15" customHeight="1" x14ac:dyDescent="0.2">
      <c r="AB56" s="2100"/>
      <c r="AD56" s="2100"/>
      <c r="AF56" s="2100"/>
      <c r="AH56" s="2100"/>
      <c r="AJ56" s="2100"/>
      <c r="AL56" s="2100"/>
      <c r="AN56" s="2100"/>
      <c r="AP56" s="2100"/>
      <c r="AR56" s="2100"/>
    </row>
    <row r="57" spans="2:59" ht="15" customHeight="1" x14ac:dyDescent="0.2">
      <c r="B57" s="5164" t="s">
        <v>1928</v>
      </c>
      <c r="AB57" s="2100"/>
      <c r="AD57" s="2100"/>
      <c r="AF57" s="2100"/>
      <c r="AH57" s="2100"/>
      <c r="AJ57" s="2100"/>
      <c r="AL57" s="2100"/>
      <c r="AN57" s="2100"/>
      <c r="AP57" s="2100"/>
      <c r="AR57" s="2100"/>
    </row>
    <row r="58" spans="2:59" ht="15" customHeight="1" x14ac:dyDescent="0.2">
      <c r="B58" s="5164" t="s">
        <v>1927</v>
      </c>
      <c r="C58" s="5164" t="s">
        <v>1926</v>
      </c>
      <c r="AB58" s="2100"/>
      <c r="AD58" s="2100"/>
      <c r="AF58" s="2100"/>
      <c r="AH58" s="2100"/>
      <c r="AJ58" s="2100"/>
      <c r="AL58" s="2100"/>
      <c r="AN58" s="2100"/>
      <c r="AP58" s="2100"/>
      <c r="AR58" s="2100"/>
    </row>
    <row r="59" spans="2:59" ht="15" customHeight="1" x14ac:dyDescent="0.2">
      <c r="B59" s="5416" t="s">
        <v>426</v>
      </c>
      <c r="C59" s="5416">
        <v>133</v>
      </c>
      <c r="AB59" s="2100"/>
      <c r="AD59" s="2100"/>
      <c r="AF59" s="2100"/>
      <c r="AH59" s="2100"/>
      <c r="AJ59" s="2100"/>
      <c r="AL59" s="2100"/>
      <c r="AN59" s="2100"/>
      <c r="AP59" s="2100"/>
      <c r="AR59" s="2100"/>
    </row>
    <row r="60" spans="2:59" ht="15" customHeight="1" x14ac:dyDescent="0.2">
      <c r="B60" s="5416" t="s">
        <v>426</v>
      </c>
      <c r="C60" s="5416">
        <v>158</v>
      </c>
      <c r="AB60" s="2100"/>
      <c r="AD60" s="2100"/>
      <c r="AF60" s="2100"/>
      <c r="AH60" s="2100"/>
      <c r="AJ60" s="2100"/>
      <c r="AL60" s="2100"/>
      <c r="AN60" s="2100"/>
      <c r="AP60" s="2100"/>
      <c r="AR60" s="2100"/>
    </row>
    <row r="61" spans="2:59" ht="15" customHeight="1" x14ac:dyDescent="0.2">
      <c r="B61" s="5416" t="s">
        <v>426</v>
      </c>
      <c r="C61" s="5416">
        <v>257</v>
      </c>
      <c r="AB61" s="2100"/>
      <c r="AD61" s="2100"/>
      <c r="AF61" s="2100"/>
      <c r="AH61" s="2100"/>
      <c r="AJ61" s="2100"/>
      <c r="AL61" s="2100"/>
      <c r="AN61" s="2100"/>
      <c r="AP61" s="2100"/>
      <c r="AR61" s="2100"/>
    </row>
    <row r="62" spans="2:59" s="5426" customFormat="1" ht="15" customHeight="1" x14ac:dyDescent="0.2">
      <c r="B62" s="5416" t="s">
        <v>53</v>
      </c>
      <c r="C62" s="5416">
        <v>5</v>
      </c>
      <c r="D62" s="2100"/>
      <c r="E62" s="2265"/>
      <c r="F62" s="2100"/>
      <c r="G62" s="2265"/>
      <c r="H62" s="2100"/>
      <c r="I62" s="2265"/>
      <c r="J62" s="2100"/>
      <c r="K62" s="2265"/>
      <c r="L62" s="2100"/>
      <c r="M62" s="2265"/>
      <c r="N62" s="2100"/>
      <c r="O62" s="2265"/>
      <c r="P62" s="2100"/>
      <c r="Q62" s="2265"/>
      <c r="R62" s="2100"/>
      <c r="S62" s="2265"/>
      <c r="T62" s="2100"/>
      <c r="U62" s="2265"/>
      <c r="V62" s="2100"/>
      <c r="W62" s="2265"/>
      <c r="X62" s="2100"/>
      <c r="Y62" s="2265"/>
      <c r="Z62" s="2100"/>
      <c r="AA62" s="2265"/>
      <c r="AB62" s="2100"/>
      <c r="AC62" s="2265"/>
      <c r="AD62" s="2100"/>
      <c r="AE62" s="2265"/>
      <c r="AF62" s="2100"/>
      <c r="AG62" s="2265"/>
      <c r="AH62" s="2100"/>
      <c r="AI62" s="2265"/>
      <c r="AJ62" s="2100"/>
      <c r="AK62" s="2265"/>
      <c r="AL62" s="2100"/>
      <c r="AM62" s="2265"/>
      <c r="AN62" s="2100"/>
      <c r="AO62" s="2265"/>
      <c r="AP62" s="2100"/>
      <c r="AQ62" s="2265"/>
      <c r="AR62" s="2100"/>
      <c r="AS62" s="2265"/>
      <c r="AT62" s="2265"/>
      <c r="AU62" s="2265"/>
      <c r="AV62" s="2265"/>
      <c r="AW62" s="2265"/>
      <c r="AX62" s="2265"/>
      <c r="AY62" s="2265"/>
      <c r="AZ62" s="2265"/>
      <c r="BA62" s="2265"/>
      <c r="BB62" s="2265"/>
      <c r="BC62" s="2265"/>
      <c r="BD62" s="2265"/>
      <c r="BE62" s="2265"/>
    </row>
    <row r="63" spans="2:59" ht="15" customHeight="1" x14ac:dyDescent="0.2">
      <c r="B63" s="5416" t="s">
        <v>53</v>
      </c>
      <c r="C63" s="5416">
        <v>23</v>
      </c>
      <c r="AB63" s="2100"/>
      <c r="AD63" s="2100"/>
      <c r="AF63" s="2100"/>
      <c r="AH63" s="2100"/>
      <c r="AJ63" s="2100"/>
      <c r="AL63" s="2100"/>
      <c r="AN63" s="2100"/>
      <c r="AP63" s="2100"/>
      <c r="AR63" s="2100"/>
    </row>
    <row r="64" spans="2:59" ht="15" customHeight="1" x14ac:dyDescent="0.2">
      <c r="B64" s="5416" t="s">
        <v>53</v>
      </c>
      <c r="C64" s="5416">
        <v>24</v>
      </c>
      <c r="AB64" s="2100"/>
      <c r="AD64" s="2100"/>
      <c r="AF64" s="2100"/>
      <c r="AH64" s="2100"/>
      <c r="AJ64" s="2100"/>
      <c r="AL64" s="2100"/>
      <c r="AN64" s="2100"/>
      <c r="AP64" s="2100"/>
      <c r="AR64" s="2100"/>
    </row>
    <row r="65" spans="2:57" ht="15" customHeight="1" x14ac:dyDescent="0.2">
      <c r="B65" s="5416" t="s">
        <v>53</v>
      </c>
      <c r="C65" s="5416">
        <v>25</v>
      </c>
      <c r="AB65" s="2100"/>
      <c r="AD65" s="2100"/>
      <c r="AF65" s="2100"/>
      <c r="AH65" s="2100"/>
      <c r="AJ65" s="2100"/>
      <c r="AL65" s="2100"/>
      <c r="AN65" s="2100"/>
      <c r="AP65" s="2100"/>
      <c r="AR65" s="2100"/>
    </row>
    <row r="66" spans="2:57" s="5352" customFormat="1" ht="15" customHeight="1" x14ac:dyDescent="0.2">
      <c r="B66" s="5416" t="s">
        <v>53</v>
      </c>
      <c r="C66" s="5416">
        <v>46</v>
      </c>
      <c r="D66" s="2100"/>
      <c r="E66" s="2265"/>
      <c r="F66" s="2100"/>
      <c r="G66" s="2265"/>
      <c r="H66" s="2100"/>
      <c r="I66" s="2265"/>
      <c r="J66" s="2100"/>
      <c r="K66" s="2265"/>
      <c r="L66" s="2100"/>
      <c r="M66" s="2265"/>
      <c r="N66" s="2100"/>
      <c r="O66" s="2265"/>
      <c r="P66" s="2100"/>
      <c r="Q66" s="2265"/>
      <c r="R66" s="2100"/>
      <c r="S66" s="2265"/>
      <c r="T66" s="2100"/>
      <c r="U66" s="2265"/>
      <c r="V66" s="2100"/>
      <c r="W66" s="2265"/>
      <c r="X66" s="2100"/>
      <c r="Y66" s="2265"/>
      <c r="Z66" s="2100"/>
      <c r="AA66" s="2265"/>
      <c r="AB66" s="2100"/>
      <c r="AC66" s="2265"/>
      <c r="AD66" s="2100"/>
      <c r="AE66" s="2265"/>
      <c r="AF66" s="2100"/>
      <c r="AG66" s="2265"/>
      <c r="AH66" s="2100"/>
      <c r="AI66" s="2265"/>
      <c r="AJ66" s="2100"/>
      <c r="AK66" s="2265"/>
      <c r="AL66" s="2100"/>
      <c r="AM66" s="2265"/>
      <c r="AN66" s="2100"/>
      <c r="AO66" s="2265"/>
      <c r="AP66" s="2100"/>
      <c r="AQ66" s="2265"/>
      <c r="AR66" s="2100"/>
      <c r="AS66" s="2265"/>
      <c r="AT66" s="2265"/>
      <c r="AU66" s="2265"/>
      <c r="AV66" s="2265"/>
      <c r="AW66" s="2265"/>
      <c r="AX66" s="2265"/>
      <c r="AY66" s="2265"/>
      <c r="AZ66" s="2265"/>
      <c r="BA66" s="2265"/>
      <c r="BB66" s="2265"/>
      <c r="BC66" s="2265"/>
      <c r="BD66" s="2265"/>
      <c r="BE66" s="2265"/>
    </row>
    <row r="67" spans="2:57" ht="15" customHeight="1" x14ac:dyDescent="0.2">
      <c r="B67" s="3835" t="s">
        <v>129</v>
      </c>
      <c r="C67" s="5416">
        <v>5</v>
      </c>
      <c r="AB67" s="2100"/>
      <c r="AD67" s="2100"/>
      <c r="AF67" s="2100"/>
      <c r="AH67" s="2100"/>
      <c r="AJ67" s="2100"/>
      <c r="AL67" s="2100"/>
      <c r="AN67" s="2100"/>
      <c r="AP67" s="2100"/>
      <c r="AR67" s="2100"/>
    </row>
    <row r="68" spans="2:57" ht="15" customHeight="1" x14ac:dyDescent="0.2">
      <c r="B68" s="3835" t="s">
        <v>318</v>
      </c>
      <c r="C68" s="5417">
        <v>5</v>
      </c>
      <c r="AB68" s="2100"/>
      <c r="AD68" s="2100"/>
      <c r="AF68" s="2100"/>
      <c r="AH68" s="2100"/>
      <c r="AJ68" s="2100"/>
      <c r="AL68" s="2100"/>
      <c r="AN68" s="2100"/>
      <c r="AP68" s="2100"/>
      <c r="AR68" s="2100"/>
    </row>
    <row r="69" spans="2:57" ht="15" customHeight="1" x14ac:dyDescent="0.2">
      <c r="B69" s="3835" t="s">
        <v>401</v>
      </c>
      <c r="C69" s="5417">
        <v>5</v>
      </c>
      <c r="AB69" s="2100"/>
      <c r="AD69" s="2100"/>
      <c r="AF69" s="2100"/>
      <c r="AH69" s="2100"/>
      <c r="AJ69" s="2100"/>
      <c r="AL69" s="2100"/>
      <c r="AN69" s="2100"/>
      <c r="AP69" s="2100"/>
      <c r="AR69" s="2100"/>
    </row>
    <row r="70" spans="2:57" ht="15" customHeight="1" x14ac:dyDescent="0.2">
      <c r="AB70" s="2100"/>
      <c r="AD70" s="2100"/>
      <c r="AF70" s="2100"/>
      <c r="AH70" s="2100"/>
      <c r="AJ70" s="2100"/>
      <c r="AL70" s="2100"/>
      <c r="AN70" s="2100"/>
      <c r="AP70" s="2100"/>
      <c r="AR70" s="2100"/>
    </row>
    <row r="71" spans="2:57" ht="15" customHeight="1" x14ac:dyDescent="0.2">
      <c r="AB71" s="2100"/>
      <c r="AD71" s="2100"/>
      <c r="AF71" s="2100"/>
      <c r="AH71" s="2100"/>
      <c r="AJ71" s="2100"/>
      <c r="AL71" s="2100"/>
      <c r="AN71" s="2100"/>
      <c r="AP71" s="2100"/>
      <c r="AR71" s="2100"/>
    </row>
    <row r="72" spans="2:57" ht="15" customHeight="1" x14ac:dyDescent="0.2">
      <c r="AB72" s="2100"/>
      <c r="AD72" s="2100"/>
      <c r="AF72" s="2100"/>
      <c r="AH72" s="2100"/>
      <c r="AJ72" s="2100"/>
      <c r="AL72" s="2100"/>
      <c r="AN72" s="2100"/>
      <c r="AP72" s="2100"/>
      <c r="AR72" s="2100"/>
    </row>
    <row r="73" spans="2:57" ht="15" customHeight="1" x14ac:dyDescent="0.2">
      <c r="AB73" s="2100"/>
      <c r="AD73" s="2100"/>
      <c r="AF73" s="2100"/>
      <c r="AH73" s="2100"/>
      <c r="AJ73" s="2100"/>
      <c r="AL73" s="2100"/>
      <c r="AN73" s="2100"/>
      <c r="AP73" s="2100"/>
      <c r="AR73" s="2100"/>
    </row>
    <row r="74" spans="2:57" ht="15" customHeight="1" x14ac:dyDescent="0.2">
      <c r="AB74" s="2100"/>
      <c r="AD74" s="2100"/>
      <c r="AF74" s="2100"/>
      <c r="AH74" s="2100"/>
      <c r="AJ74" s="2100"/>
      <c r="AL74" s="2100"/>
      <c r="AN74" s="2100"/>
      <c r="AP74" s="2100"/>
      <c r="AR74" s="2100"/>
    </row>
    <row r="75" spans="2:57" ht="15" customHeight="1" x14ac:dyDescent="0.2">
      <c r="AB75" s="2100"/>
      <c r="AD75" s="2100"/>
      <c r="AF75" s="2100"/>
      <c r="AH75" s="2100"/>
      <c r="AJ75" s="2100"/>
      <c r="AL75" s="2100"/>
      <c r="AN75" s="2100"/>
      <c r="AP75" s="2100"/>
      <c r="AR75" s="2100"/>
    </row>
    <row r="76" spans="2:57" ht="15" customHeight="1" x14ac:dyDescent="0.2">
      <c r="AB76" s="2100"/>
      <c r="AD76" s="2100"/>
      <c r="AF76" s="2100"/>
      <c r="AH76" s="2100"/>
      <c r="AJ76" s="2100"/>
      <c r="AL76" s="2100"/>
      <c r="AN76" s="2100"/>
      <c r="AP76" s="2100"/>
      <c r="AR76" s="2100"/>
    </row>
    <row r="77" spans="2:57" ht="15" customHeight="1" x14ac:dyDescent="0.2">
      <c r="AB77" s="2100"/>
      <c r="AD77" s="2100"/>
      <c r="AF77" s="2100"/>
      <c r="AH77" s="2100"/>
      <c r="AJ77" s="2100"/>
      <c r="AL77" s="2100"/>
      <c r="AN77" s="2100"/>
      <c r="AP77" s="2100"/>
      <c r="AR77" s="2100"/>
    </row>
    <row r="78" spans="2:57" ht="15" customHeight="1" x14ac:dyDescent="0.2">
      <c r="AB78" s="2100"/>
      <c r="AD78" s="2100"/>
      <c r="AF78" s="2100"/>
      <c r="AH78" s="2100"/>
      <c r="AJ78" s="2100"/>
      <c r="AL78" s="2100"/>
      <c r="AN78" s="2100"/>
      <c r="AP78" s="2100"/>
      <c r="AR78" s="2100"/>
    </row>
    <row r="79" spans="2:57" ht="15" customHeight="1" x14ac:dyDescent="0.2">
      <c r="AB79" s="2100"/>
      <c r="AD79" s="2100"/>
      <c r="AF79" s="2100"/>
      <c r="AH79" s="2100"/>
      <c r="AJ79" s="2100"/>
      <c r="AL79" s="2100"/>
      <c r="AN79" s="2100"/>
      <c r="AP79" s="2100"/>
      <c r="AR79" s="2100"/>
    </row>
    <row r="80" spans="2:57" ht="15" customHeight="1" x14ac:dyDescent="0.2">
      <c r="AB80" s="2100"/>
      <c r="AD80" s="2100"/>
      <c r="AF80" s="2100"/>
      <c r="AH80" s="2100"/>
      <c r="AJ80" s="2100"/>
      <c r="AL80" s="2100"/>
      <c r="AN80" s="2100"/>
      <c r="AP80" s="2100"/>
      <c r="AR80" s="2100"/>
    </row>
    <row r="81" spans="28:44" ht="15" customHeight="1" x14ac:dyDescent="0.2">
      <c r="AB81" s="2100"/>
      <c r="AD81" s="2100"/>
      <c r="AF81" s="2100"/>
      <c r="AH81" s="2100"/>
      <c r="AJ81" s="2100"/>
      <c r="AL81" s="2100"/>
      <c r="AN81" s="2100"/>
      <c r="AP81" s="2100"/>
      <c r="AR81" s="2100"/>
    </row>
    <row r="82" spans="28:44" ht="15" customHeight="1" x14ac:dyDescent="0.2">
      <c r="AB82" s="2100"/>
      <c r="AD82" s="2100"/>
      <c r="AF82" s="2100"/>
      <c r="AH82" s="2100"/>
      <c r="AJ82" s="2100"/>
      <c r="AL82" s="2100"/>
      <c r="AN82" s="2100"/>
      <c r="AP82" s="2100"/>
      <c r="AR82" s="2100"/>
    </row>
    <row r="83" spans="28:44" ht="15" customHeight="1" x14ac:dyDescent="0.2">
      <c r="AB83" s="2100"/>
      <c r="AD83" s="2100"/>
      <c r="AF83" s="2100"/>
      <c r="AH83" s="2100"/>
      <c r="AJ83" s="2100"/>
      <c r="AL83" s="2100"/>
      <c r="AN83" s="2100"/>
      <c r="AP83" s="2100"/>
      <c r="AR83" s="2100"/>
    </row>
    <row r="84" spans="28:44" ht="15" customHeight="1" x14ac:dyDescent="0.2">
      <c r="AB84" s="2100"/>
      <c r="AD84" s="2100"/>
      <c r="AF84" s="2100"/>
      <c r="AH84" s="2100"/>
      <c r="AJ84" s="2100"/>
      <c r="AL84" s="2100"/>
      <c r="AN84" s="2100"/>
      <c r="AP84" s="2100"/>
      <c r="AR84" s="2100"/>
    </row>
    <row r="85" spans="28:44" ht="15" customHeight="1" x14ac:dyDescent="0.2">
      <c r="AB85" s="2100"/>
      <c r="AD85" s="2100"/>
      <c r="AF85" s="2100"/>
      <c r="AH85" s="2100"/>
      <c r="AJ85" s="2100"/>
      <c r="AL85" s="2100"/>
      <c r="AN85" s="2100"/>
      <c r="AP85" s="2100"/>
      <c r="AR85" s="2100"/>
    </row>
    <row r="86" spans="28:44" ht="15" customHeight="1" x14ac:dyDescent="0.2">
      <c r="AB86" s="2100"/>
      <c r="AD86" s="2100"/>
      <c r="AF86" s="2100"/>
      <c r="AH86" s="2100"/>
      <c r="AJ86" s="2100"/>
      <c r="AL86" s="2100"/>
      <c r="AN86" s="2100"/>
      <c r="AP86" s="2100"/>
      <c r="AR86" s="2100"/>
    </row>
    <row r="87" spans="28:44" ht="15" customHeight="1" x14ac:dyDescent="0.2">
      <c r="AB87" s="2100"/>
      <c r="AD87" s="2100"/>
      <c r="AF87" s="2100"/>
      <c r="AH87" s="2100"/>
      <c r="AJ87" s="2100"/>
      <c r="AL87" s="2100"/>
      <c r="AN87" s="2100"/>
      <c r="AP87" s="2100"/>
      <c r="AR87" s="2100"/>
    </row>
    <row r="88" spans="28:44" ht="15" customHeight="1" x14ac:dyDescent="0.2">
      <c r="AB88" s="2100"/>
      <c r="AD88" s="2100"/>
      <c r="AF88" s="2100"/>
      <c r="AH88" s="2100"/>
      <c r="AJ88" s="2100"/>
      <c r="AL88" s="2100"/>
      <c r="AN88" s="2100"/>
      <c r="AP88" s="2100"/>
      <c r="AR88" s="2100"/>
    </row>
    <row r="89" spans="28:44" ht="15" customHeight="1" x14ac:dyDescent="0.2">
      <c r="AB89" s="2100"/>
      <c r="AD89" s="2100"/>
      <c r="AF89" s="2100"/>
      <c r="AH89" s="2100"/>
      <c r="AJ89" s="2100"/>
      <c r="AL89" s="2100"/>
      <c r="AN89" s="2100"/>
      <c r="AP89" s="2100"/>
      <c r="AR89" s="2100"/>
    </row>
    <row r="90" spans="28:44" ht="15" customHeight="1" x14ac:dyDescent="0.2">
      <c r="AB90" s="2100"/>
      <c r="AD90" s="2100"/>
      <c r="AF90" s="2100"/>
      <c r="AH90" s="2100"/>
      <c r="AJ90" s="2100"/>
      <c r="AL90" s="2100"/>
      <c r="AN90" s="2100"/>
      <c r="AP90" s="2100"/>
      <c r="AR90" s="2100"/>
    </row>
    <row r="91" spans="28:44" ht="15" customHeight="1" x14ac:dyDescent="0.2">
      <c r="AB91" s="2100"/>
      <c r="AD91" s="2100"/>
      <c r="AF91" s="2100"/>
      <c r="AH91" s="2100"/>
      <c r="AJ91" s="2100"/>
      <c r="AL91" s="2100"/>
      <c r="AN91" s="2100"/>
      <c r="AP91" s="2100"/>
      <c r="AR91" s="2100"/>
    </row>
    <row r="92" spans="28:44" ht="15" customHeight="1" x14ac:dyDescent="0.2">
      <c r="AB92" s="2100"/>
      <c r="AD92" s="2100"/>
      <c r="AF92" s="2100"/>
      <c r="AH92" s="2100"/>
      <c r="AJ92" s="2100"/>
      <c r="AL92" s="2100"/>
      <c r="AN92" s="2100"/>
      <c r="AP92" s="2100"/>
      <c r="AR92" s="2100"/>
    </row>
    <row r="93" spans="28:44" ht="15" customHeight="1" x14ac:dyDescent="0.2">
      <c r="AB93" s="2100"/>
      <c r="AD93" s="2100"/>
      <c r="AF93" s="2100"/>
      <c r="AH93" s="2100"/>
      <c r="AJ93" s="2100"/>
      <c r="AL93" s="2100"/>
      <c r="AN93" s="2100"/>
      <c r="AP93" s="2100"/>
      <c r="AR93" s="2100"/>
    </row>
    <row r="94" spans="28:44" ht="15" customHeight="1" x14ac:dyDescent="0.2">
      <c r="AB94" s="2100"/>
      <c r="AD94" s="2100"/>
      <c r="AF94" s="2100"/>
      <c r="AH94" s="2100"/>
      <c r="AJ94" s="2100"/>
      <c r="AL94" s="2100"/>
      <c r="AN94" s="2100"/>
      <c r="AP94" s="2100"/>
      <c r="AR94" s="2100"/>
    </row>
    <row r="95" spans="28:44" ht="15" customHeight="1" x14ac:dyDescent="0.2">
      <c r="AB95" s="2100"/>
      <c r="AD95" s="2100"/>
      <c r="AF95" s="2100"/>
      <c r="AH95" s="2100"/>
      <c r="AJ95" s="2100"/>
      <c r="AL95" s="2100"/>
      <c r="AN95" s="2100"/>
      <c r="AP95" s="2100"/>
      <c r="AR95" s="2100"/>
    </row>
    <row r="96" spans="28:44" ht="15" customHeight="1" x14ac:dyDescent="0.2">
      <c r="AB96" s="2100"/>
      <c r="AD96" s="2100"/>
      <c r="AF96" s="2100"/>
      <c r="AH96" s="2100"/>
      <c r="AJ96" s="2100"/>
      <c r="AL96" s="2100"/>
      <c r="AN96" s="2100"/>
      <c r="AP96" s="2100"/>
      <c r="AR96" s="2100"/>
    </row>
    <row r="97" spans="28:44" ht="15" customHeight="1" x14ac:dyDescent="0.2">
      <c r="AB97" s="2100"/>
      <c r="AD97" s="2100"/>
      <c r="AF97" s="2100"/>
      <c r="AH97" s="2100"/>
      <c r="AJ97" s="2100"/>
      <c r="AL97" s="2100"/>
      <c r="AN97" s="2100"/>
      <c r="AP97" s="2100"/>
      <c r="AR97" s="2100"/>
    </row>
    <row r="98" spans="28:44" ht="15" customHeight="1" x14ac:dyDescent="0.2">
      <c r="AB98" s="2100"/>
      <c r="AD98" s="2100"/>
      <c r="AF98" s="2100"/>
      <c r="AH98" s="2100"/>
      <c r="AJ98" s="2100"/>
      <c r="AL98" s="2100"/>
      <c r="AN98" s="2100"/>
      <c r="AP98" s="2100"/>
      <c r="AR98" s="2100"/>
    </row>
    <row r="99" spans="28:44" ht="15" customHeight="1" x14ac:dyDescent="0.2">
      <c r="AB99" s="2100"/>
      <c r="AD99" s="2100"/>
      <c r="AF99" s="2100"/>
      <c r="AH99" s="2100"/>
      <c r="AJ99" s="2100"/>
      <c r="AL99" s="2100"/>
      <c r="AN99" s="2100"/>
      <c r="AP99" s="2100"/>
      <c r="AR99" s="2100"/>
    </row>
    <row r="100" spans="28:44" ht="15" customHeight="1" x14ac:dyDescent="0.2">
      <c r="AB100" s="2100"/>
      <c r="AD100" s="2100"/>
      <c r="AF100" s="2100"/>
      <c r="AH100" s="2100"/>
      <c r="AJ100" s="2100"/>
      <c r="AL100" s="2100"/>
      <c r="AN100" s="2100"/>
      <c r="AP100" s="2100"/>
      <c r="AR100" s="2100"/>
    </row>
    <row r="101" spans="28:44" x14ac:dyDescent="0.2">
      <c r="AB101" s="2100"/>
      <c r="AD101" s="2100"/>
      <c r="AF101" s="2100"/>
      <c r="AH101" s="2100"/>
      <c r="AJ101" s="2100"/>
      <c r="AL101" s="2100"/>
      <c r="AN101" s="2100"/>
      <c r="AP101" s="2100"/>
      <c r="AR101" s="2100"/>
    </row>
    <row r="102" spans="28:44" x14ac:dyDescent="0.2">
      <c r="AB102" s="2100"/>
      <c r="AD102" s="2100"/>
      <c r="AF102" s="2100"/>
      <c r="AH102" s="2100"/>
      <c r="AJ102" s="2100"/>
      <c r="AL102" s="2100"/>
      <c r="AN102" s="2100"/>
      <c r="AR102" s="2100"/>
    </row>
    <row r="103" spans="28:44" x14ac:dyDescent="0.2">
      <c r="AB103" s="2100"/>
      <c r="AD103" s="2100"/>
      <c r="AF103" s="2100"/>
      <c r="AH103" s="2100"/>
      <c r="AJ103" s="2100"/>
      <c r="AL103" s="2100"/>
      <c r="AN103" s="2100"/>
      <c r="AR103" s="2100"/>
    </row>
    <row r="104" spans="28:44" x14ac:dyDescent="0.2">
      <c r="AB104" s="2100"/>
      <c r="AD104" s="2100"/>
      <c r="AF104" s="2100"/>
      <c r="AH104" s="2100"/>
      <c r="AJ104" s="2100"/>
      <c r="AL104" s="2100"/>
      <c r="AN104" s="2100"/>
      <c r="AR104" s="2100"/>
    </row>
    <row r="105" spans="28:44" x14ac:dyDescent="0.2">
      <c r="AB105" s="2100"/>
      <c r="AD105" s="2100"/>
      <c r="AF105" s="2100"/>
      <c r="AH105" s="2100"/>
      <c r="AJ105" s="2100"/>
      <c r="AL105" s="2100"/>
      <c r="AN105" s="2100"/>
      <c r="AR105" s="2100"/>
    </row>
    <row r="106" spans="28:44" x14ac:dyDescent="0.2">
      <c r="AB106" s="2100"/>
      <c r="AD106" s="2100"/>
      <c r="AF106" s="2100"/>
      <c r="AH106" s="2100"/>
      <c r="AJ106" s="2100"/>
      <c r="AL106" s="2100"/>
      <c r="AN106" s="2100"/>
    </row>
    <row r="107" spans="28:44" x14ac:dyDescent="0.2">
      <c r="AB107" s="2100"/>
      <c r="AD107" s="2100"/>
      <c r="AF107" s="2100"/>
      <c r="AH107" s="2100"/>
      <c r="AJ107" s="2100"/>
      <c r="AL107" s="2100"/>
      <c r="AN107" s="2100"/>
    </row>
    <row r="108" spans="28:44" x14ac:dyDescent="0.2">
      <c r="AB108" s="2100"/>
      <c r="AD108" s="2100"/>
      <c r="AF108" s="2100"/>
      <c r="AH108" s="2100"/>
      <c r="AJ108" s="2100"/>
      <c r="AL108" s="2100"/>
      <c r="AN108" s="2100"/>
    </row>
    <row r="109" spans="28:44" x14ac:dyDescent="0.2">
      <c r="AB109" s="2100"/>
      <c r="AD109" s="2100"/>
      <c r="AF109" s="2100"/>
      <c r="AH109" s="2100"/>
      <c r="AJ109" s="2100"/>
      <c r="AL109" s="2100"/>
      <c r="AN109" s="2100"/>
    </row>
    <row r="110" spans="28:44" x14ac:dyDescent="0.2">
      <c r="AB110" s="2100"/>
      <c r="AD110" s="2100"/>
      <c r="AF110" s="2100"/>
      <c r="AJ110" s="2100"/>
      <c r="AL110" s="2100"/>
      <c r="AN110" s="2100"/>
    </row>
    <row r="111" spans="28:44" x14ac:dyDescent="0.2">
      <c r="AB111" s="2100"/>
      <c r="AD111" s="2100"/>
      <c r="AF111" s="2100"/>
      <c r="AJ111" s="2100"/>
      <c r="AL111" s="2100"/>
      <c r="AN111" s="2100"/>
    </row>
    <row r="112" spans="28:44" x14ac:dyDescent="0.2">
      <c r="AB112" s="2100"/>
      <c r="AD112" s="2100"/>
    </row>
    <row r="113" spans="28:30" x14ac:dyDescent="0.2">
      <c r="AB113" s="2100"/>
      <c r="AD113" s="2100"/>
    </row>
    <row r="114" spans="28:30" x14ac:dyDescent="0.2">
      <c r="AB114" s="2100"/>
      <c r="AD114" s="2100"/>
    </row>
    <row r="115" spans="28:30" x14ac:dyDescent="0.2">
      <c r="AB115" s="2100"/>
      <c r="AD115" s="2100"/>
    </row>
  </sheetData>
  <mergeCells count="31">
    <mergeCell ref="R3:S3"/>
    <mergeCell ref="T3:U3"/>
    <mergeCell ref="V3:W3"/>
    <mergeCell ref="Z3:AA3"/>
    <mergeCell ref="X3:Y3"/>
    <mergeCell ref="J3:K3"/>
    <mergeCell ref="B25:B26"/>
    <mergeCell ref="L3:M3"/>
    <mergeCell ref="N3:O3"/>
    <mergeCell ref="P3:Q3"/>
    <mergeCell ref="B3:B4"/>
    <mergeCell ref="C3:C4"/>
    <mergeCell ref="D3:E3"/>
    <mergeCell ref="F3:G3"/>
    <mergeCell ref="H3:I3"/>
    <mergeCell ref="AB3:AC3"/>
    <mergeCell ref="BF3:BG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D3:BE3"/>
    <mergeCell ref="BB3:BC3"/>
    <mergeCell ref="AD3:AE3"/>
  </mergeCells>
  <pageMargins left="0.7" right="0.7" top="0.75" bottom="0.75" header="0.3" footer="0.3"/>
  <pageSetup scale="22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  <pageSetUpPr fitToPage="1"/>
  </sheetPr>
  <dimension ref="A1:BZ626"/>
  <sheetViews>
    <sheetView topLeftCell="AB1" zoomScale="70" zoomScaleNormal="70" workbookViewId="0">
      <selection activeCell="AY193" sqref="AY193"/>
    </sheetView>
  </sheetViews>
  <sheetFormatPr baseColWidth="10" defaultColWidth="8.83203125" defaultRowHeight="15" x14ac:dyDescent="0.2"/>
  <cols>
    <col min="1" max="1" width="37.6640625" customWidth="1"/>
    <col min="2" max="2" width="69.83203125" bestFit="1" customWidth="1"/>
    <col min="3" max="3" width="50" bestFit="1" customWidth="1"/>
    <col min="4" max="4" width="9.83203125" style="2100" hidden="1" customWidth="1"/>
    <col min="5" max="5" width="8.5" style="2265" hidden="1" customWidth="1"/>
    <col min="6" max="6" width="9.83203125" style="2100" hidden="1" customWidth="1"/>
    <col min="7" max="7" width="9.83203125" style="2265" hidden="1" customWidth="1"/>
    <col min="8" max="8" width="9.83203125" style="2100" hidden="1" customWidth="1"/>
    <col min="9" max="9" width="9.83203125" style="2265" hidden="1" customWidth="1"/>
    <col min="10" max="10" width="9.83203125" style="2100" hidden="1" customWidth="1"/>
    <col min="11" max="11" width="9.83203125" hidden="1" customWidth="1"/>
    <col min="12" max="12" width="9.83203125" style="2100" hidden="1" customWidth="1"/>
    <col min="13" max="13" width="9.83203125" hidden="1" customWidth="1"/>
    <col min="14" max="14" width="9.83203125" style="2100" hidden="1" customWidth="1"/>
    <col min="15" max="15" width="9.83203125" hidden="1" customWidth="1"/>
    <col min="16" max="16" width="9.83203125" style="2100" hidden="1" customWidth="1"/>
    <col min="17" max="17" width="9.83203125" hidden="1" customWidth="1"/>
    <col min="18" max="18" width="9.83203125" style="2100" hidden="1" customWidth="1"/>
    <col min="19" max="19" width="9.83203125" style="5985" hidden="1" customWidth="1"/>
    <col min="20" max="20" width="9.83203125" style="2100" hidden="1" customWidth="1"/>
    <col min="21" max="21" width="9.83203125" style="5985" hidden="1" customWidth="1"/>
    <col min="22" max="22" width="9.83203125" style="2100" hidden="1" customWidth="1"/>
    <col min="23" max="23" width="9.83203125" style="5985" hidden="1" customWidth="1"/>
    <col min="24" max="24" width="9.83203125" style="2100" hidden="1" customWidth="1"/>
    <col min="25" max="25" width="9.83203125" style="7129" hidden="1" customWidth="1"/>
    <col min="26" max="26" width="11.33203125" style="6529" hidden="1" customWidth="1"/>
    <col min="27" max="27" width="9.83203125" style="6530" hidden="1" customWidth="1"/>
    <col min="28" max="28" width="9.83203125" style="5985" customWidth="1"/>
    <col min="29" max="29" width="8.5" style="7283" customWidth="1"/>
    <col min="30" max="30" width="11.33203125" style="7283" customWidth="1"/>
    <col min="31" max="31" width="9.83203125" style="7283" customWidth="1"/>
    <col min="32" max="32" width="9.83203125" style="5985" customWidth="1"/>
    <col min="33" max="33" width="10.5" style="5985" customWidth="1"/>
    <col min="34" max="35" width="11.33203125" style="5985" hidden="1" customWidth="1"/>
    <col min="36" max="36" width="13.83203125" style="5985" hidden="1" customWidth="1"/>
    <col min="37" max="37" width="13.6640625" style="5985" hidden="1" customWidth="1"/>
    <col min="38" max="38" width="11.5" style="5985" hidden="1" customWidth="1"/>
    <col min="39" max="39" width="14.33203125" style="5985" hidden="1" customWidth="1"/>
    <col min="40" max="40" width="12.5" style="5985" hidden="1" customWidth="1"/>
    <col min="41" max="41" width="13.5" style="5985" hidden="1" customWidth="1"/>
    <col min="42" max="42" width="9.1640625" style="5985" hidden="1" customWidth="1"/>
    <col min="43" max="43" width="10.5" style="5985" hidden="1" customWidth="1"/>
    <col min="44" max="45" width="11.33203125" style="5985" hidden="1" customWidth="1"/>
    <col min="46" max="46" width="11.5" style="5985" customWidth="1"/>
    <col min="47" max="47" width="12.33203125" customWidth="1"/>
    <col min="48" max="48" width="13.33203125" customWidth="1"/>
    <col min="49" max="49" width="13" customWidth="1"/>
    <col min="50" max="50" width="15" customWidth="1"/>
    <col min="51" max="51" width="13.5" customWidth="1"/>
    <col min="52" max="52" width="15" customWidth="1"/>
    <col min="53" max="53" width="15.5" customWidth="1"/>
    <col min="54" max="55" width="15.5" style="8260" customWidth="1"/>
    <col min="56" max="56" width="18.6640625" customWidth="1"/>
    <col min="57" max="57" width="16.5" customWidth="1"/>
  </cols>
  <sheetData>
    <row r="1" spans="2:57" s="3380" customFormat="1" ht="19" x14ac:dyDescent="0.25">
      <c r="B1" s="7258" t="s">
        <v>888</v>
      </c>
      <c r="C1" s="7259"/>
      <c r="D1" s="7260"/>
      <c r="E1" s="7261"/>
      <c r="F1" s="7260"/>
      <c r="G1" s="7261"/>
      <c r="H1" s="7260"/>
      <c r="I1" s="7261"/>
      <c r="J1" s="7260"/>
      <c r="K1" s="7259"/>
      <c r="L1" s="7260"/>
      <c r="M1" s="7259"/>
      <c r="N1" s="7260"/>
      <c r="O1" s="7259"/>
      <c r="P1" s="7260"/>
      <c r="Q1" s="4852"/>
      <c r="R1" s="4408"/>
      <c r="T1" s="4408"/>
      <c r="V1" s="4408"/>
      <c r="X1" s="4408"/>
      <c r="Z1" s="4408"/>
    </row>
    <row r="2" spans="2:57" s="3380" customFormat="1" ht="20" thickBot="1" x14ac:dyDescent="0.3">
      <c r="B2" s="7259"/>
      <c r="C2" s="7259"/>
      <c r="D2" s="7260"/>
      <c r="E2" s="7261"/>
      <c r="F2" s="7260"/>
      <c r="G2" s="7261"/>
      <c r="H2" s="7260"/>
      <c r="I2" s="7261"/>
      <c r="J2" s="7260"/>
      <c r="K2" s="7259"/>
      <c r="L2" s="7260"/>
      <c r="M2" s="7259"/>
      <c r="N2" s="7260"/>
      <c r="O2" s="7259"/>
      <c r="P2" s="7260"/>
      <c r="Q2" s="4852"/>
      <c r="R2" s="4408"/>
      <c r="T2" s="4408"/>
      <c r="V2" s="4408"/>
      <c r="X2" s="4408"/>
      <c r="Z2" s="4408"/>
    </row>
    <row r="3" spans="2:57" ht="19" thickBot="1" x14ac:dyDescent="0.25">
      <c r="B3" s="8821" t="s">
        <v>657</v>
      </c>
      <c r="C3" s="8823" t="s">
        <v>658</v>
      </c>
      <c r="D3" s="8779" t="s">
        <v>1859</v>
      </c>
      <c r="E3" s="8825"/>
      <c r="F3" s="8779" t="s">
        <v>1862</v>
      </c>
      <c r="G3" s="8779"/>
      <c r="H3" s="8806" t="s">
        <v>52</v>
      </c>
      <c r="I3" s="8807"/>
      <c r="J3" s="8826" t="s">
        <v>1863</v>
      </c>
      <c r="K3" s="8827"/>
      <c r="L3" s="8828" t="s">
        <v>1568</v>
      </c>
      <c r="M3" s="8734"/>
      <c r="N3" s="8779" t="s">
        <v>1864</v>
      </c>
      <c r="O3" s="8779"/>
      <c r="P3" s="8806" t="s">
        <v>62</v>
      </c>
      <c r="Q3" s="8807"/>
      <c r="R3" s="8779" t="s">
        <v>2160</v>
      </c>
      <c r="S3" s="8779"/>
      <c r="T3" s="8806" t="s">
        <v>64</v>
      </c>
      <c r="U3" s="8807"/>
      <c r="V3" s="8779" t="s">
        <v>2227</v>
      </c>
      <c r="W3" s="8779"/>
      <c r="X3" s="8733" t="s">
        <v>1717</v>
      </c>
      <c r="Y3" s="8734"/>
      <c r="Z3" s="8766" t="s">
        <v>1697</v>
      </c>
      <c r="AA3" s="8767"/>
      <c r="AB3" s="8779" t="s">
        <v>2265</v>
      </c>
      <c r="AC3" s="8779"/>
      <c r="AD3" s="8806" t="s">
        <v>101</v>
      </c>
      <c r="AE3" s="8807"/>
      <c r="AF3" s="8779" t="s">
        <v>2423</v>
      </c>
      <c r="AG3" s="8779"/>
      <c r="AH3" s="8806" t="s">
        <v>105</v>
      </c>
      <c r="AI3" s="8807"/>
      <c r="AJ3" s="8779" t="s">
        <v>2449</v>
      </c>
      <c r="AK3" s="8779"/>
      <c r="AL3" s="8733" t="s">
        <v>1756</v>
      </c>
      <c r="AM3" s="8734"/>
      <c r="AN3" s="8806" t="s">
        <v>2448</v>
      </c>
      <c r="AO3" s="8807"/>
      <c r="AP3" s="8779" t="s">
        <v>2533</v>
      </c>
      <c r="AQ3" s="8779"/>
      <c r="AR3" s="8806" t="s">
        <v>110</v>
      </c>
      <c r="AS3" s="8807"/>
      <c r="AT3" s="8779" t="s">
        <v>2531</v>
      </c>
      <c r="AU3" s="8779"/>
      <c r="AV3" s="8806" t="s">
        <v>113</v>
      </c>
      <c r="AW3" s="8807"/>
      <c r="AX3" s="8779" t="s">
        <v>2600</v>
      </c>
      <c r="AY3" s="8779"/>
      <c r="AZ3" s="8733" t="s">
        <v>1717</v>
      </c>
      <c r="BA3" s="8734"/>
      <c r="BB3" s="8733" t="s">
        <v>1842</v>
      </c>
      <c r="BC3" s="8734"/>
      <c r="BD3" s="8766" t="s">
        <v>1865</v>
      </c>
      <c r="BE3" s="8767"/>
    </row>
    <row r="4" spans="2:57" ht="19" thickBot="1" x14ac:dyDescent="0.25">
      <c r="B4" s="8822"/>
      <c r="C4" s="8824"/>
      <c r="D4" s="4813" t="s">
        <v>659</v>
      </c>
      <c r="E4" s="4450" t="s">
        <v>660</v>
      </c>
      <c r="F4" s="7152" t="s">
        <v>659</v>
      </c>
      <c r="G4" s="4814" t="s">
        <v>660</v>
      </c>
      <c r="H4" s="7153" t="s">
        <v>659</v>
      </c>
      <c r="I4" s="4462" t="s">
        <v>660</v>
      </c>
      <c r="J4" s="7152" t="s">
        <v>659</v>
      </c>
      <c r="K4" s="4814" t="s">
        <v>660</v>
      </c>
      <c r="L4" s="7262" t="s">
        <v>659</v>
      </c>
      <c r="M4" s="7263" t="s">
        <v>660</v>
      </c>
      <c r="N4" s="7152" t="s">
        <v>659</v>
      </c>
      <c r="O4" s="4450" t="s">
        <v>660</v>
      </c>
      <c r="P4" s="4472" t="s">
        <v>659</v>
      </c>
      <c r="Q4" s="4462" t="s">
        <v>660</v>
      </c>
      <c r="R4" s="7152" t="s">
        <v>659</v>
      </c>
      <c r="S4" s="4450" t="s">
        <v>660</v>
      </c>
      <c r="T4" s="4472" t="s">
        <v>659</v>
      </c>
      <c r="U4" s="4462" t="s">
        <v>660</v>
      </c>
      <c r="V4" s="7152" t="s">
        <v>659</v>
      </c>
      <c r="W4" s="4814" t="s">
        <v>660</v>
      </c>
      <c r="X4" s="7262" t="s">
        <v>659</v>
      </c>
      <c r="Y4" s="7263" t="s">
        <v>660</v>
      </c>
      <c r="Z4" s="7155" t="s">
        <v>659</v>
      </c>
      <c r="AA4" s="6942" t="s">
        <v>660</v>
      </c>
      <c r="AB4" s="7301" t="s">
        <v>659</v>
      </c>
      <c r="AC4" s="4450" t="s">
        <v>660</v>
      </c>
      <c r="AD4" s="4472" t="s">
        <v>659</v>
      </c>
      <c r="AE4" s="4462" t="s">
        <v>660</v>
      </c>
      <c r="AF4" s="7574" t="s">
        <v>659</v>
      </c>
      <c r="AG4" s="4450" t="s">
        <v>660</v>
      </c>
      <c r="AH4" s="4472" t="s">
        <v>659</v>
      </c>
      <c r="AI4" s="4462" t="s">
        <v>660</v>
      </c>
      <c r="AJ4" s="7727" t="s">
        <v>659</v>
      </c>
      <c r="AK4" s="4814" t="s">
        <v>660</v>
      </c>
      <c r="AL4" s="7719" t="s">
        <v>659</v>
      </c>
      <c r="AM4" s="7263" t="s">
        <v>660</v>
      </c>
      <c r="AN4" s="4472" t="s">
        <v>659</v>
      </c>
      <c r="AO4" s="4462" t="s">
        <v>660</v>
      </c>
      <c r="AP4" s="8039" t="s">
        <v>659</v>
      </c>
      <c r="AQ4" s="4814" t="s">
        <v>660</v>
      </c>
      <c r="AR4" s="8040" t="s">
        <v>659</v>
      </c>
      <c r="AS4" s="4462" t="s">
        <v>660</v>
      </c>
      <c r="AT4" s="8231" t="s">
        <v>659</v>
      </c>
      <c r="AU4" s="4814" t="s">
        <v>660</v>
      </c>
      <c r="AV4" s="8235" t="s">
        <v>659</v>
      </c>
      <c r="AW4" s="4462" t="s">
        <v>660</v>
      </c>
      <c r="AX4" s="8314" t="s">
        <v>659</v>
      </c>
      <c r="AY4" s="4814" t="s">
        <v>660</v>
      </c>
      <c r="AZ4" s="8302" t="s">
        <v>659</v>
      </c>
      <c r="BA4" s="7263" t="s">
        <v>660</v>
      </c>
      <c r="BB4" s="8302" t="s">
        <v>659</v>
      </c>
      <c r="BC4" s="7263" t="s">
        <v>660</v>
      </c>
      <c r="BD4" s="8318" t="s">
        <v>659</v>
      </c>
      <c r="BE4" s="6942" t="s">
        <v>660</v>
      </c>
    </row>
    <row r="5" spans="2:57" s="3380" customFormat="1" ht="18" x14ac:dyDescent="0.2">
      <c r="B5" s="5320" t="s">
        <v>813</v>
      </c>
      <c r="C5" s="4902"/>
      <c r="D5" s="5653"/>
      <c r="E5" s="4902"/>
      <c r="F5" s="5302"/>
      <c r="G5" s="4902"/>
      <c r="H5" s="5302"/>
      <c r="I5" s="4902"/>
      <c r="J5" s="5302"/>
      <c r="K5" s="4902"/>
      <c r="L5" s="5302"/>
      <c r="M5" s="4902"/>
      <c r="N5" s="5302"/>
      <c r="O5" s="4902"/>
      <c r="P5" s="5302"/>
      <c r="Q5" s="4902"/>
      <c r="R5" s="5302"/>
      <c r="S5" s="4902"/>
      <c r="T5" s="5302"/>
      <c r="U5" s="4902"/>
      <c r="V5" s="5302"/>
      <c r="W5" s="4902"/>
      <c r="X5" s="5302"/>
      <c r="Y5" s="4902"/>
      <c r="Z5" s="5302"/>
      <c r="AA5" s="4902"/>
      <c r="AB5" s="5302"/>
      <c r="AC5" s="4902"/>
      <c r="AD5" s="5302"/>
      <c r="AE5" s="4902"/>
      <c r="AF5" s="5302"/>
      <c r="AG5" s="4902"/>
      <c r="AH5" s="5302"/>
      <c r="AI5" s="4902"/>
      <c r="AJ5" s="5302"/>
      <c r="AK5" s="4902"/>
      <c r="AL5" s="5302"/>
      <c r="AM5" s="4902"/>
      <c r="AN5" s="5302"/>
      <c r="AO5" s="4902"/>
      <c r="AP5" s="5302"/>
      <c r="AQ5" s="4902"/>
      <c r="AR5" s="5302"/>
      <c r="AS5" s="4902"/>
      <c r="AT5" s="5302"/>
      <c r="AU5" s="4902"/>
      <c r="AV5" s="5302"/>
      <c r="AW5" s="4902"/>
      <c r="AX5" s="5302"/>
      <c r="AY5" s="4902"/>
      <c r="AZ5" s="5302"/>
      <c r="BA5" s="4902"/>
      <c r="BB5" s="5302"/>
      <c r="BC5" s="4902"/>
      <c r="BD5" s="5302"/>
      <c r="BE5" s="4902"/>
    </row>
    <row r="6" spans="2:57" s="3380" customFormat="1" ht="18" x14ac:dyDescent="0.2">
      <c r="B6" s="5771" t="s">
        <v>446</v>
      </c>
      <c r="C6" s="5648"/>
      <c r="D6" s="5647"/>
      <c r="E6" s="5648"/>
      <c r="F6" s="5645"/>
      <c r="G6" s="5648"/>
      <c r="H6" s="5645"/>
      <c r="I6" s="5648"/>
      <c r="J6" s="5645"/>
      <c r="K6" s="5648"/>
      <c r="L6" s="5645"/>
      <c r="M6" s="5648"/>
      <c r="N6" s="5645"/>
      <c r="O6" s="5648"/>
      <c r="P6" s="5645"/>
      <c r="Q6" s="5648"/>
      <c r="R6" s="5645"/>
      <c r="S6" s="5648"/>
      <c r="T6" s="5645"/>
      <c r="U6" s="5648"/>
      <c r="V6" s="5645"/>
      <c r="W6" s="5648"/>
      <c r="X6" s="5645"/>
      <c r="Y6" s="5648"/>
      <c r="Z6" s="5645"/>
      <c r="AA6" s="5648"/>
      <c r="AB6" s="5645"/>
      <c r="AC6" s="5648"/>
      <c r="AD6" s="5645"/>
      <c r="AE6" s="5648"/>
      <c r="AF6" s="5645"/>
      <c r="AG6" s="5648"/>
      <c r="AH6" s="5645"/>
      <c r="AI6" s="5648"/>
      <c r="AJ6" s="5645"/>
      <c r="AK6" s="5648"/>
      <c r="AL6" s="5645"/>
      <c r="AM6" s="5648"/>
      <c r="AN6" s="5645"/>
      <c r="AO6" s="5648"/>
      <c r="AP6" s="5645"/>
      <c r="AQ6" s="5648"/>
      <c r="AR6" s="5645"/>
      <c r="AS6" s="5648"/>
      <c r="AT6" s="5645"/>
      <c r="AU6" s="5648"/>
      <c r="AV6" s="5645"/>
      <c r="AW6" s="5648"/>
      <c r="AX6" s="5645"/>
      <c r="AY6" s="5648"/>
      <c r="AZ6" s="5645"/>
      <c r="BA6" s="5648"/>
      <c r="BB6" s="5645"/>
      <c r="BC6" s="5648"/>
      <c r="BD6" s="5645"/>
      <c r="BE6" s="5648"/>
    </row>
    <row r="7" spans="2:57" ht="18" x14ac:dyDescent="0.2">
      <c r="B7" s="4815" t="s">
        <v>1265</v>
      </c>
      <c r="C7" s="4010" t="s">
        <v>170</v>
      </c>
      <c r="D7" s="7142">
        <v>0</v>
      </c>
      <c r="E7" s="4453">
        <v>0</v>
      </c>
      <c r="F7" s="7156">
        <v>0</v>
      </c>
      <c r="G7" s="4453">
        <v>0</v>
      </c>
      <c r="H7" s="4817">
        <f>+D7+F7</f>
        <v>0</v>
      </c>
      <c r="I7" s="4466">
        <f>+E7+G7</f>
        <v>0</v>
      </c>
      <c r="J7" s="7156">
        <v>0</v>
      </c>
      <c r="K7" s="4453">
        <v>0</v>
      </c>
      <c r="L7" s="4818">
        <f>+H7+J7</f>
        <v>0</v>
      </c>
      <c r="M7" s="4854">
        <f>+I7+K7</f>
        <v>0</v>
      </c>
      <c r="N7" s="7156">
        <v>200</v>
      </c>
      <c r="O7" s="4453">
        <v>0</v>
      </c>
      <c r="P7" s="4817">
        <f>+L7+N7</f>
        <v>200</v>
      </c>
      <c r="Q7" s="4466">
        <f>+M7+O7</f>
        <v>0</v>
      </c>
      <c r="R7" s="7156">
        <v>200</v>
      </c>
      <c r="S7" s="4453">
        <v>0</v>
      </c>
      <c r="T7" s="4817">
        <f>+P7+R7</f>
        <v>400</v>
      </c>
      <c r="U7" s="4466">
        <f>+Q7+S7</f>
        <v>0</v>
      </c>
      <c r="V7" s="7156">
        <v>0</v>
      </c>
      <c r="W7" s="4453">
        <v>0</v>
      </c>
      <c r="X7" s="4818">
        <f>+N7+R7+V7</f>
        <v>400</v>
      </c>
      <c r="Y7" s="4854">
        <f>+O7+S7+W7</f>
        <v>0</v>
      </c>
      <c r="Z7" s="7230">
        <f>+T7+V7</f>
        <v>400</v>
      </c>
      <c r="AA7" s="7231">
        <f>+U7+W7</f>
        <v>0</v>
      </c>
      <c r="AB7" s="7309">
        <v>0</v>
      </c>
      <c r="AC7" s="4453">
        <v>0</v>
      </c>
      <c r="AD7" s="4817">
        <f>+Z7+AB7</f>
        <v>400</v>
      </c>
      <c r="AE7" s="4466">
        <f>+AA7+AC7</f>
        <v>0</v>
      </c>
      <c r="AF7" s="7575"/>
      <c r="AG7" s="4453">
        <v>0</v>
      </c>
      <c r="AH7" s="4817">
        <f>+AD7+AF7</f>
        <v>400</v>
      </c>
      <c r="AI7" s="4466">
        <f>+AE7+AG7</f>
        <v>0</v>
      </c>
      <c r="AJ7" s="7728">
        <v>0</v>
      </c>
      <c r="AK7" s="4453">
        <v>0</v>
      </c>
      <c r="AL7" s="4818">
        <f>+AB7+AF7+AJ7</f>
        <v>0</v>
      </c>
      <c r="AM7" s="4854">
        <f>+AC7+AG7+AK7</f>
        <v>0</v>
      </c>
      <c r="AN7" s="4817">
        <f>+AH7+AJ7</f>
        <v>400</v>
      </c>
      <c r="AO7" s="4466">
        <f>+AI7+AK7</f>
        <v>0</v>
      </c>
      <c r="AP7" s="8041">
        <v>0</v>
      </c>
      <c r="AQ7" s="4453">
        <v>0</v>
      </c>
      <c r="AR7" s="4817">
        <f>+AN7+AP7</f>
        <v>400</v>
      </c>
      <c r="AS7" s="4466">
        <f>+AO7+AQ7</f>
        <v>0</v>
      </c>
      <c r="AT7" s="8232">
        <v>0</v>
      </c>
      <c r="AU7" s="4453">
        <v>0</v>
      </c>
      <c r="AV7" s="4817">
        <f>+AR7+AT7</f>
        <v>400</v>
      </c>
      <c r="AW7" s="4466">
        <f>+AS7+AU7</f>
        <v>0</v>
      </c>
      <c r="AX7" s="8315">
        <v>0</v>
      </c>
      <c r="AY7" s="4453">
        <v>0</v>
      </c>
      <c r="AZ7" s="4818">
        <f>+AP7+AT7+AX7</f>
        <v>0</v>
      </c>
      <c r="BA7" s="4854">
        <f>+AQ7+AU7+AY7</f>
        <v>0</v>
      </c>
      <c r="BB7" s="4818">
        <f>+AZ7+AL7</f>
        <v>0</v>
      </c>
      <c r="BC7" s="4854">
        <f t="shared" ref="BC7:BC11" si="0">+BA7+AM7</f>
        <v>0</v>
      </c>
      <c r="BD7" s="7230">
        <f>+AV7+AX7</f>
        <v>400</v>
      </c>
      <c r="BE7" s="7231">
        <f>+AW7+AY7</f>
        <v>0</v>
      </c>
    </row>
    <row r="8" spans="2:57" ht="18" x14ac:dyDescent="0.2">
      <c r="B8" s="4815" t="s">
        <v>244</v>
      </c>
      <c r="C8" s="4010" t="s">
        <v>170</v>
      </c>
      <c r="D8" s="8780">
        <f>+'Maj Desp Summ'!D8</f>
        <v>14366.4</v>
      </c>
      <c r="E8" s="4453">
        <v>0</v>
      </c>
      <c r="F8" s="8780">
        <f>+'Maj Desp Summ'!F8</f>
        <v>17668</v>
      </c>
      <c r="G8" s="4453">
        <v>10119.888999999999</v>
      </c>
      <c r="H8" s="8802">
        <f>+D8+F8</f>
        <v>32034.400000000001</v>
      </c>
      <c r="I8" s="4466">
        <f>+E8+G8</f>
        <v>10119.888999999999</v>
      </c>
      <c r="J8" s="8780">
        <f>+'Maj Desp Summ'!J8</f>
        <v>35910</v>
      </c>
      <c r="K8" s="4453">
        <v>16298.199999999999</v>
      </c>
      <c r="L8" s="8735">
        <f>+H8+J8</f>
        <v>67944.399999999994</v>
      </c>
      <c r="M8" s="4854">
        <f>+I8+K8</f>
        <v>26418.089</v>
      </c>
      <c r="N8" s="8780">
        <f>+'Maj Desp Summ'!N8</f>
        <v>34800</v>
      </c>
      <c r="O8" s="4453">
        <v>20922.537</v>
      </c>
      <c r="P8" s="8802">
        <f>+L8+N8</f>
        <v>102744.4</v>
      </c>
      <c r="Q8" s="4466">
        <f>+M8+O8</f>
        <v>47340.626000000004</v>
      </c>
      <c r="R8" s="8780">
        <f>+'Maj Desp Summ'!R8</f>
        <v>34800</v>
      </c>
      <c r="S8" s="4453">
        <v>25216.889999999996</v>
      </c>
      <c r="T8" s="8802">
        <f>+P8+R8</f>
        <v>137544.4</v>
      </c>
      <c r="U8" s="4466">
        <f>+Q8+S8</f>
        <v>72557.516000000003</v>
      </c>
      <c r="V8" s="8780">
        <f>+'Maj Desp Summ'!V8</f>
        <v>32000</v>
      </c>
      <c r="W8" s="4453">
        <v>22254.731000000003</v>
      </c>
      <c r="X8" s="8735">
        <f>+N8+R8+V8</f>
        <v>101600</v>
      </c>
      <c r="Y8" s="4854">
        <f>+O8+S8+W8</f>
        <v>68394.157999999996</v>
      </c>
      <c r="Z8" s="8768">
        <f>+T8+V8</f>
        <v>169544.4</v>
      </c>
      <c r="AA8" s="7231">
        <f>+U8+W8</f>
        <v>94812.247000000003</v>
      </c>
      <c r="AB8" s="8780">
        <f>+'Maj Desp Summ'!AB8</f>
        <v>39800</v>
      </c>
      <c r="AC8" s="4453">
        <v>22813.08</v>
      </c>
      <c r="AD8" s="8802">
        <f>+Z8+AB8</f>
        <v>209344.4</v>
      </c>
      <c r="AE8" s="4466">
        <f>+AA8+AC8</f>
        <v>117625.327</v>
      </c>
      <c r="AF8" s="8780">
        <f>+'Maj Desp Summ'!AF8</f>
        <v>45249.811321000008</v>
      </c>
      <c r="AG8" s="4453">
        <v>30989.200000000001</v>
      </c>
      <c r="AH8" s="8802">
        <f>+AD8+AF8</f>
        <v>254594.21132100001</v>
      </c>
      <c r="AI8" s="4466">
        <f>+AE8+AG8</f>
        <v>148614.527</v>
      </c>
      <c r="AJ8" s="8780">
        <f>+'Maj Desp Summ'!AJ8</f>
        <v>46094.037736100006</v>
      </c>
      <c r="AK8" s="4453">
        <v>31836.800000000003</v>
      </c>
      <c r="AL8" s="8735">
        <f>+AB8+AF8+AJ8</f>
        <v>131143.84905710001</v>
      </c>
      <c r="AM8" s="4854">
        <f>+AC8+AG8+AK8</f>
        <v>85639.08</v>
      </c>
      <c r="AN8" s="8802">
        <f>+AH8+AJ8</f>
        <v>300688.24905710004</v>
      </c>
      <c r="AO8" s="4466">
        <f>+AI8+AK8</f>
        <v>180451.32699999999</v>
      </c>
      <c r="AP8" s="8780">
        <f>+'Maj Desp Summ'!AP8</f>
        <v>46294.037736100006</v>
      </c>
      <c r="AQ8" s="4453">
        <v>26806.019999999997</v>
      </c>
      <c r="AR8" s="8802">
        <f>+AN8+AP8</f>
        <v>346982.28679320007</v>
      </c>
      <c r="AS8" s="4466">
        <f>+AO8+AQ8</f>
        <v>207257.34699999998</v>
      </c>
      <c r="AT8" s="8780">
        <f>+'Maj Desp Summ'!AT8</f>
        <v>41769</v>
      </c>
      <c r="AU8" s="4453">
        <f>19309.77-62.62</f>
        <v>19247.150000000001</v>
      </c>
      <c r="AV8" s="8802">
        <f>+AR8+AT8</f>
        <v>388751.28679320007</v>
      </c>
      <c r="AW8" s="4466">
        <f>+AS8+AU8</f>
        <v>226504.49699999997</v>
      </c>
      <c r="AX8" s="8780">
        <f>+'Maj Desp Summ'!AX8</f>
        <v>46415</v>
      </c>
      <c r="AY8" s="4453">
        <v>24969.119999999999</v>
      </c>
      <c r="AZ8" s="8735">
        <f>+AP8+AT8+AX8</f>
        <v>134478.0377361</v>
      </c>
      <c r="BA8" s="4854">
        <f>+AQ8+AU8+AY8</f>
        <v>71022.289999999994</v>
      </c>
      <c r="BB8" s="8735">
        <f t="shared" ref="BB8:BB11" si="1">+AZ8+AL8</f>
        <v>265621.88679320004</v>
      </c>
      <c r="BC8" s="4854">
        <f t="shared" si="0"/>
        <v>156661.37</v>
      </c>
      <c r="BD8" s="8768">
        <f>+AV8+AX8</f>
        <v>435166.28679320007</v>
      </c>
      <c r="BE8" s="7231">
        <f>+AW8+AY8</f>
        <v>251473.61699999997</v>
      </c>
    </row>
    <row r="9" spans="2:57" ht="18" x14ac:dyDescent="0.2">
      <c r="B9" s="4815" t="s">
        <v>599</v>
      </c>
      <c r="C9" s="4010" t="s">
        <v>170</v>
      </c>
      <c r="D9" s="8781"/>
      <c r="E9" s="4453">
        <v>7908.0410000000002</v>
      </c>
      <c r="F9" s="8781"/>
      <c r="G9" s="4453">
        <v>2777.7200000000003</v>
      </c>
      <c r="H9" s="8803"/>
      <c r="I9" s="4466">
        <f>+E9+G9</f>
        <v>10685.761</v>
      </c>
      <c r="J9" s="8781"/>
      <c r="K9" s="4453">
        <v>5575.7900000000009</v>
      </c>
      <c r="L9" s="8736"/>
      <c r="M9" s="4854">
        <f>+I9+K9</f>
        <v>16261.551000000001</v>
      </c>
      <c r="N9" s="8781"/>
      <c r="O9" s="4453">
        <v>5472.3899999999994</v>
      </c>
      <c r="P9" s="8803"/>
      <c r="Q9" s="4466">
        <f>+M9+O9</f>
        <v>21733.940999999999</v>
      </c>
      <c r="R9" s="8781"/>
      <c r="S9" s="4453">
        <v>5641.3399999999983</v>
      </c>
      <c r="T9" s="8803"/>
      <c r="U9" s="4466">
        <f>+Q9+S9</f>
        <v>27375.280999999995</v>
      </c>
      <c r="V9" s="8781"/>
      <c r="W9" s="4453">
        <v>3156.1400000000003</v>
      </c>
      <c r="X9" s="8736"/>
      <c r="Y9" s="4854">
        <f t="shared" ref="Y9" si="2">+O9+S9+W9</f>
        <v>14269.869999999999</v>
      </c>
      <c r="Z9" s="8769"/>
      <c r="AA9" s="7231">
        <f>+U9+W9</f>
        <v>30531.420999999995</v>
      </c>
      <c r="AB9" s="8781"/>
      <c r="AC9" s="4453">
        <v>0</v>
      </c>
      <c r="AD9" s="8803"/>
      <c r="AE9" s="4466">
        <f>+AA9+AC9</f>
        <v>30531.420999999995</v>
      </c>
      <c r="AF9" s="8781"/>
      <c r="AG9" s="4453">
        <v>0</v>
      </c>
      <c r="AH9" s="8803"/>
      <c r="AI9" s="4466">
        <f>+AE9+AG9</f>
        <v>30531.420999999995</v>
      </c>
      <c r="AJ9" s="8781"/>
      <c r="AK9" s="4453">
        <v>2629.9100000000008</v>
      </c>
      <c r="AL9" s="8736"/>
      <c r="AM9" s="4854">
        <f t="shared" ref="AM9" si="3">+AC9+AG9+AK9</f>
        <v>2629.9100000000008</v>
      </c>
      <c r="AN9" s="8803"/>
      <c r="AO9" s="4466">
        <f>+AI9+AK9</f>
        <v>33161.330999999998</v>
      </c>
      <c r="AP9" s="8781"/>
      <c r="AQ9" s="4453">
        <v>65.75</v>
      </c>
      <c r="AR9" s="8803"/>
      <c r="AS9" s="4466">
        <f>+AO9+AQ9</f>
        <v>33227.080999999998</v>
      </c>
      <c r="AT9" s="8781"/>
      <c r="AU9" s="4453">
        <v>2926.72</v>
      </c>
      <c r="AV9" s="8803"/>
      <c r="AW9" s="4466">
        <f>+AS9+AU9</f>
        <v>36153.800999999999</v>
      </c>
      <c r="AX9" s="8781"/>
      <c r="AY9" s="4453">
        <v>8388.44</v>
      </c>
      <c r="AZ9" s="8736"/>
      <c r="BA9" s="4854">
        <f t="shared" ref="BA9" si="4">+AQ9+AU9+AY9</f>
        <v>11380.91</v>
      </c>
      <c r="BB9" s="8736">
        <f t="shared" si="1"/>
        <v>0</v>
      </c>
      <c r="BC9" s="4854">
        <f t="shared" si="0"/>
        <v>14010.82</v>
      </c>
      <c r="BD9" s="8769"/>
      <c r="BE9" s="7231">
        <f>+AW9+AY9</f>
        <v>44542.241000000002</v>
      </c>
    </row>
    <row r="10" spans="2:57" ht="19" thickBot="1" x14ac:dyDescent="0.25">
      <c r="B10" s="4819" t="s">
        <v>245</v>
      </c>
      <c r="C10" s="4820" t="s">
        <v>170</v>
      </c>
      <c r="D10" s="8782"/>
      <c r="E10" s="4454">
        <v>8467.6700000000037</v>
      </c>
      <c r="F10" s="8782"/>
      <c r="G10" s="4454">
        <v>3638.9980000000005</v>
      </c>
      <c r="H10" s="8804"/>
      <c r="I10" s="4465">
        <f>+E10+G10</f>
        <v>12106.668000000005</v>
      </c>
      <c r="J10" s="8782"/>
      <c r="K10" s="4454">
        <v>9046.3780000000006</v>
      </c>
      <c r="L10" s="8737"/>
      <c r="M10" s="5739">
        <f>+I10+K10</f>
        <v>21153.046000000006</v>
      </c>
      <c r="N10" s="8782"/>
      <c r="O10" s="4454">
        <v>6791.0509999999995</v>
      </c>
      <c r="P10" s="8804"/>
      <c r="Q10" s="4465">
        <f>+M10+O10</f>
        <v>27944.097000000005</v>
      </c>
      <c r="R10" s="8782"/>
      <c r="S10" s="4454">
        <v>4900.5310000000009</v>
      </c>
      <c r="T10" s="8804"/>
      <c r="U10" s="4465">
        <f>+Q10+S10</f>
        <v>32844.628000000004</v>
      </c>
      <c r="V10" s="8782"/>
      <c r="W10" s="4454">
        <v>1081.5400000000002</v>
      </c>
      <c r="X10" s="8737"/>
      <c r="Y10" s="4854">
        <f>+O10+S10+W10</f>
        <v>12773.122000000001</v>
      </c>
      <c r="Z10" s="8770"/>
      <c r="AA10" s="7232">
        <f>+U10+W10</f>
        <v>33926.168000000005</v>
      </c>
      <c r="AB10" s="8782"/>
      <c r="AC10" s="4454">
        <v>1476.34</v>
      </c>
      <c r="AD10" s="8804"/>
      <c r="AE10" s="4465">
        <f>+AA10+AC10</f>
        <v>35402.508000000002</v>
      </c>
      <c r="AF10" s="8782"/>
      <c r="AG10" s="4454">
        <v>1293.42</v>
      </c>
      <c r="AH10" s="8804"/>
      <c r="AI10" s="4465">
        <f>+AE10+AG10</f>
        <v>36695.928</v>
      </c>
      <c r="AJ10" s="8782"/>
      <c r="AK10" s="4454">
        <v>2174.9</v>
      </c>
      <c r="AL10" s="8737"/>
      <c r="AM10" s="4854">
        <f>+AC10+AG10+AK10</f>
        <v>4944.66</v>
      </c>
      <c r="AN10" s="8804"/>
      <c r="AO10" s="4465">
        <f>+AI10+AK10</f>
        <v>38870.828000000001</v>
      </c>
      <c r="AP10" s="8782"/>
      <c r="AQ10" s="4454">
        <v>3203.02</v>
      </c>
      <c r="AR10" s="8804"/>
      <c r="AS10" s="4465">
        <f>+AO10+AQ10</f>
        <v>42073.847999999998</v>
      </c>
      <c r="AT10" s="8782"/>
      <c r="AU10" s="4454">
        <f>9562.47-62.62</f>
        <v>9499.8499999999985</v>
      </c>
      <c r="AV10" s="8804"/>
      <c r="AW10" s="4465">
        <f>+AS10+AU10</f>
        <v>51573.697999999997</v>
      </c>
      <c r="AX10" s="8782"/>
      <c r="AY10" s="4454">
        <v>3677.46</v>
      </c>
      <c r="AZ10" s="8737"/>
      <c r="BA10" s="4854">
        <f>+AQ10+AU10+AY10</f>
        <v>16380.329999999998</v>
      </c>
      <c r="BB10" s="8737">
        <f t="shared" si="1"/>
        <v>0</v>
      </c>
      <c r="BC10" s="4854">
        <f t="shared" si="0"/>
        <v>21324.989999999998</v>
      </c>
      <c r="BD10" s="8770"/>
      <c r="BE10" s="7232">
        <f>+AW10+AY10</f>
        <v>55251.157999999996</v>
      </c>
    </row>
    <row r="11" spans="2:57" ht="19" thickBot="1" x14ac:dyDescent="0.25">
      <c r="B11" s="4821" t="s">
        <v>15</v>
      </c>
      <c r="C11" s="2963" t="s">
        <v>170</v>
      </c>
      <c r="D11" s="4822">
        <f>+D7+D8</f>
        <v>14366.4</v>
      </c>
      <c r="E11" s="3205">
        <f t="shared" ref="E11:J11" si="5">SUM(E7:E10)</f>
        <v>16375.711000000003</v>
      </c>
      <c r="F11" s="4822">
        <f>+F7+F8</f>
        <v>17668</v>
      </c>
      <c r="G11" s="3205">
        <f t="shared" ref="G11" si="6">SUM(G7:G10)</f>
        <v>16536.607</v>
      </c>
      <c r="H11" s="7144">
        <f t="shared" si="5"/>
        <v>32034.400000000001</v>
      </c>
      <c r="I11" s="4400">
        <f t="shared" si="5"/>
        <v>32912.318000000007</v>
      </c>
      <c r="J11" s="7143">
        <f t="shared" si="5"/>
        <v>35910</v>
      </c>
      <c r="K11" s="3205">
        <f t="shared" ref="K11" si="7">SUM(K7:K10)</f>
        <v>30920.367999999999</v>
      </c>
      <c r="L11" s="7151">
        <f t="shared" ref="L11:M11" si="8">SUM(L7:L10)</f>
        <v>67944.399999999994</v>
      </c>
      <c r="M11" s="5740">
        <f t="shared" si="8"/>
        <v>63832.686000000002</v>
      </c>
      <c r="N11" s="7143">
        <f t="shared" ref="N11" si="9">SUM(N7:N10)</f>
        <v>35000</v>
      </c>
      <c r="O11" s="3205">
        <f t="shared" ref="O11" si="10">SUM(O7:O10)</f>
        <v>33185.978000000003</v>
      </c>
      <c r="P11" s="7144">
        <f t="shared" ref="P11:S11" si="11">SUM(P7:P10)</f>
        <v>102944.4</v>
      </c>
      <c r="Q11" s="4400">
        <f t="shared" si="11"/>
        <v>97018.664000000019</v>
      </c>
      <c r="R11" s="7143">
        <f t="shared" si="11"/>
        <v>35000</v>
      </c>
      <c r="S11" s="3205">
        <f t="shared" si="11"/>
        <v>35758.760999999999</v>
      </c>
      <c r="T11" s="7144">
        <f t="shared" ref="T11:Y11" si="12">SUM(T7:T10)</f>
        <v>137944.4</v>
      </c>
      <c r="U11" s="4400">
        <f t="shared" si="12"/>
        <v>132777.42499999999</v>
      </c>
      <c r="V11" s="7143">
        <f t="shared" si="12"/>
        <v>32000</v>
      </c>
      <c r="W11" s="3205">
        <f t="shared" si="12"/>
        <v>26492.411000000004</v>
      </c>
      <c r="X11" s="7151">
        <f t="shared" si="12"/>
        <v>102000</v>
      </c>
      <c r="Y11" s="5740">
        <f t="shared" si="12"/>
        <v>95437.15</v>
      </c>
      <c r="Z11" s="7158">
        <f t="shared" ref="Z11:AM11" si="13">SUM(Z7:Z10)</f>
        <v>169944.4</v>
      </c>
      <c r="AA11" s="7233">
        <f t="shared" si="13"/>
        <v>159269.83600000001</v>
      </c>
      <c r="AB11" s="7303">
        <f t="shared" si="13"/>
        <v>39800</v>
      </c>
      <c r="AC11" s="3205">
        <f t="shared" si="13"/>
        <v>24289.420000000002</v>
      </c>
      <c r="AD11" s="7302">
        <f t="shared" si="13"/>
        <v>209744.4</v>
      </c>
      <c r="AE11" s="4400">
        <f t="shared" si="13"/>
        <v>183559.25599999999</v>
      </c>
      <c r="AF11" s="7572">
        <f t="shared" si="13"/>
        <v>45249.811321000008</v>
      </c>
      <c r="AG11" s="3205">
        <f t="shared" si="13"/>
        <v>32282.620000000003</v>
      </c>
      <c r="AH11" s="7573">
        <f t="shared" si="13"/>
        <v>254994.21132100001</v>
      </c>
      <c r="AI11" s="4400">
        <f t="shared" si="13"/>
        <v>215841.87599999999</v>
      </c>
      <c r="AJ11" s="7716">
        <f t="shared" si="13"/>
        <v>46094.037736100006</v>
      </c>
      <c r="AK11" s="3205">
        <f t="shared" si="13"/>
        <v>36641.610000000008</v>
      </c>
      <c r="AL11" s="7718">
        <f t="shared" si="13"/>
        <v>131143.84905710001</v>
      </c>
      <c r="AM11" s="5740">
        <f t="shared" si="13"/>
        <v>93213.650000000009</v>
      </c>
      <c r="AN11" s="7726">
        <f t="shared" ref="AN11:AS11" si="14">SUM(AN7:AN10)</f>
        <v>301088.24905710004</v>
      </c>
      <c r="AO11" s="4400">
        <f t="shared" si="14"/>
        <v>252483.486</v>
      </c>
      <c r="AP11" s="8037">
        <f t="shared" si="14"/>
        <v>46294.037736100006</v>
      </c>
      <c r="AQ11" s="3205">
        <f t="shared" si="14"/>
        <v>30074.789999999997</v>
      </c>
      <c r="AR11" s="8038">
        <f t="shared" si="14"/>
        <v>347382.28679320007</v>
      </c>
      <c r="AS11" s="4400">
        <f t="shared" si="14"/>
        <v>282558.27599999995</v>
      </c>
      <c r="AT11" s="8229">
        <f t="shared" ref="AT11:AW11" si="15">SUM(AT7:AT10)</f>
        <v>41769</v>
      </c>
      <c r="AU11" s="3205">
        <f t="shared" si="15"/>
        <v>31673.72</v>
      </c>
      <c r="AV11" s="8230">
        <f t="shared" si="15"/>
        <v>389151.28679320007</v>
      </c>
      <c r="AW11" s="4400">
        <f t="shared" si="15"/>
        <v>314231.99599999993</v>
      </c>
      <c r="AX11" s="8291">
        <f t="shared" ref="AX11:BE11" si="16">SUM(AX7:AX10)</f>
        <v>46415</v>
      </c>
      <c r="AY11" s="3205">
        <f t="shared" si="16"/>
        <v>37035.019999999997</v>
      </c>
      <c r="AZ11" s="8300">
        <f t="shared" si="16"/>
        <v>134478.0377361</v>
      </c>
      <c r="BA11" s="5740">
        <f t="shared" si="16"/>
        <v>98783.53</v>
      </c>
      <c r="BB11" s="8300">
        <f t="shared" si="1"/>
        <v>265621.88679320004</v>
      </c>
      <c r="BC11" s="5740">
        <f t="shared" si="0"/>
        <v>191997.18</v>
      </c>
      <c r="BD11" s="8311">
        <f t="shared" si="16"/>
        <v>435566.28679320007</v>
      </c>
      <c r="BE11" s="7233">
        <f t="shared" si="16"/>
        <v>351267.01599999995</v>
      </c>
    </row>
    <row r="12" spans="2:57" s="3380" customFormat="1" ht="18" x14ac:dyDescent="0.2">
      <c r="B12" s="5767" t="s">
        <v>341</v>
      </c>
      <c r="C12" s="5756"/>
      <c r="D12" s="5768"/>
      <c r="E12" s="5769"/>
      <c r="F12" s="5768"/>
      <c r="G12" s="5769"/>
      <c r="H12" s="5770"/>
      <c r="I12" s="5769"/>
      <c r="J12" s="5770"/>
      <c r="K12" s="5769"/>
      <c r="L12" s="5770"/>
      <c r="M12" s="5769"/>
      <c r="N12" s="5770"/>
      <c r="O12" s="5769"/>
      <c r="P12" s="5770"/>
      <c r="Q12" s="5769"/>
      <c r="R12" s="5770"/>
      <c r="S12" s="5769"/>
      <c r="T12" s="5770"/>
      <c r="U12" s="5769"/>
      <c r="V12" s="5770"/>
      <c r="W12" s="5769"/>
      <c r="X12" s="5770"/>
      <c r="Y12" s="5769"/>
      <c r="Z12" s="5770"/>
      <c r="AA12" s="5769"/>
      <c r="AB12" s="5770"/>
      <c r="AC12" s="5769"/>
      <c r="AD12" s="5770"/>
      <c r="AE12" s="5769"/>
      <c r="AF12" s="5770"/>
      <c r="AG12" s="5769"/>
      <c r="AH12" s="5770"/>
      <c r="AI12" s="5769"/>
      <c r="AJ12" s="5770"/>
      <c r="AK12" s="5769"/>
      <c r="AL12" s="5770"/>
      <c r="AM12" s="5769"/>
      <c r="AN12" s="5770"/>
      <c r="AO12" s="5769"/>
      <c r="AP12" s="5770"/>
      <c r="AQ12" s="5769"/>
      <c r="AR12" s="5770"/>
      <c r="AS12" s="5769"/>
      <c r="AT12" s="5770"/>
      <c r="AU12" s="5769"/>
      <c r="AV12" s="5770"/>
      <c r="AW12" s="5769"/>
      <c r="AX12" s="5770"/>
      <c r="AY12" s="5769"/>
      <c r="AZ12" s="5770"/>
      <c r="BA12" s="5769"/>
      <c r="BB12" s="5770"/>
      <c r="BC12" s="5769"/>
      <c r="BD12" s="5770"/>
      <c r="BE12" s="5769"/>
    </row>
    <row r="13" spans="2:57" ht="18" x14ac:dyDescent="0.2">
      <c r="B13" s="4815" t="s">
        <v>1265</v>
      </c>
      <c r="C13" s="4010" t="s">
        <v>170</v>
      </c>
      <c r="D13" s="7142">
        <v>0</v>
      </c>
      <c r="E13" s="4453">
        <v>0</v>
      </c>
      <c r="F13" s="7156">
        <v>0</v>
      </c>
      <c r="G13" s="4453">
        <v>0</v>
      </c>
      <c r="H13" s="4817">
        <f>+D13+F13</f>
        <v>0</v>
      </c>
      <c r="I13" s="4466">
        <f t="shared" ref="I13:I16" si="17">+E13+G13</f>
        <v>0</v>
      </c>
      <c r="J13" s="7156">
        <v>0</v>
      </c>
      <c r="K13" s="4453">
        <v>0</v>
      </c>
      <c r="L13" s="4818">
        <f>+H13+J13</f>
        <v>0</v>
      </c>
      <c r="M13" s="4854">
        <f t="shared" ref="M13:M16" si="18">+I13+K13</f>
        <v>0</v>
      </c>
      <c r="N13" s="7156">
        <v>0</v>
      </c>
      <c r="O13" s="4453">
        <v>0</v>
      </c>
      <c r="P13" s="4817">
        <f>+L13+N13</f>
        <v>0</v>
      </c>
      <c r="Q13" s="4466">
        <f t="shared" ref="Q13:Q16" si="19">+M13+O13</f>
        <v>0</v>
      </c>
      <c r="R13" s="7156"/>
      <c r="S13" s="4453">
        <v>0</v>
      </c>
      <c r="T13" s="4817">
        <f>+P13+R13</f>
        <v>0</v>
      </c>
      <c r="U13" s="4466">
        <f t="shared" ref="U13:U16" si="20">+Q13+S13</f>
        <v>0</v>
      </c>
      <c r="V13" s="7156">
        <v>0</v>
      </c>
      <c r="W13" s="4453">
        <v>0</v>
      </c>
      <c r="X13" s="4818">
        <f>N13+R13+V13</f>
        <v>0</v>
      </c>
      <c r="Y13" s="4854">
        <f>O13+S13+W13</f>
        <v>0</v>
      </c>
      <c r="Z13" s="7230">
        <f>+T13+V13</f>
        <v>0</v>
      </c>
      <c r="AA13" s="7231">
        <f t="shared" ref="AA13:AA16" si="21">+U13+W13</f>
        <v>0</v>
      </c>
      <c r="AB13" s="7309">
        <v>0</v>
      </c>
      <c r="AC13" s="4453">
        <v>0</v>
      </c>
      <c r="AD13" s="4817">
        <f>+Z13+AB13</f>
        <v>0</v>
      </c>
      <c r="AE13" s="4466">
        <f t="shared" ref="AE13:AE16" si="22">+AA13+AC13</f>
        <v>0</v>
      </c>
      <c r="AF13" s="7575"/>
      <c r="AG13" s="4453">
        <v>0</v>
      </c>
      <c r="AH13" s="4817">
        <f>+AD13+AF13</f>
        <v>0</v>
      </c>
      <c r="AI13" s="4466">
        <f t="shared" ref="AI13:AI16" si="23">+AE13+AG13</f>
        <v>0</v>
      </c>
      <c r="AJ13" s="7728">
        <v>0</v>
      </c>
      <c r="AK13" s="4453">
        <v>0</v>
      </c>
      <c r="AL13" s="4818">
        <f>AB13+AF13+AJ13</f>
        <v>0</v>
      </c>
      <c r="AM13" s="4854">
        <f>AC13+AG13+AK13</f>
        <v>0</v>
      </c>
      <c r="AN13" s="4817">
        <f>+AH13+AJ13</f>
        <v>0</v>
      </c>
      <c r="AO13" s="4466">
        <f t="shared" ref="AO13:AO16" si="24">+AI13+AK13</f>
        <v>0</v>
      </c>
      <c r="AP13" s="8041">
        <v>0</v>
      </c>
      <c r="AQ13" s="4453">
        <v>0</v>
      </c>
      <c r="AR13" s="4817">
        <f>+AN13+AP13</f>
        <v>0</v>
      </c>
      <c r="AS13" s="4466">
        <f t="shared" ref="AS13:AS16" si="25">+AO13+AQ13</f>
        <v>0</v>
      </c>
      <c r="AT13" s="8232">
        <v>0</v>
      </c>
      <c r="AU13" s="4453">
        <v>0</v>
      </c>
      <c r="AV13" s="4817">
        <f>+AR13+AT13</f>
        <v>0</v>
      </c>
      <c r="AW13" s="4466">
        <f t="shared" ref="AW13:AW16" si="26">+AS13+AU13</f>
        <v>0</v>
      </c>
      <c r="AX13" s="8315">
        <v>0</v>
      </c>
      <c r="AY13" s="4453"/>
      <c r="AZ13" s="4818">
        <f>AP13+AT13+AX13</f>
        <v>0</v>
      </c>
      <c r="BA13" s="4854">
        <f>AQ13+AU13+AY13</f>
        <v>0</v>
      </c>
      <c r="BB13" s="4818">
        <f t="shared" ref="BB13:BB17" si="27">+AZ13+AL13</f>
        <v>0</v>
      </c>
      <c r="BC13" s="4854">
        <f t="shared" ref="BC13:BC17" si="28">+BA13+AM13</f>
        <v>0</v>
      </c>
      <c r="BD13" s="7230">
        <f>+AV13+AX13</f>
        <v>0</v>
      </c>
      <c r="BE13" s="7231">
        <f t="shared" ref="BE13:BE16" si="29">+AW13+AY13</f>
        <v>0</v>
      </c>
    </row>
    <row r="14" spans="2:57" ht="18" x14ac:dyDescent="0.2">
      <c r="B14" s="4819" t="s">
        <v>244</v>
      </c>
      <c r="C14" s="4010" t="s">
        <v>170</v>
      </c>
      <c r="D14" s="8780">
        <f>+'Maj Desp Summ'!D9</f>
        <v>8073.14</v>
      </c>
      <c r="E14" s="4453">
        <v>0</v>
      </c>
      <c r="F14" s="8780">
        <f>+'Maj Desp Summ'!F9</f>
        <v>43712</v>
      </c>
      <c r="G14" s="4453">
        <v>2422.17</v>
      </c>
      <c r="H14" s="8802">
        <f>+D14+F14</f>
        <v>51785.14</v>
      </c>
      <c r="I14" s="4466">
        <f t="shared" si="17"/>
        <v>2422.17</v>
      </c>
      <c r="J14" s="8780">
        <f>+'Maj Desp Summ'!J9</f>
        <v>41998</v>
      </c>
      <c r="K14" s="4453">
        <v>3048.0699999999997</v>
      </c>
      <c r="L14" s="8735">
        <f>+H14+J14</f>
        <v>93783.14</v>
      </c>
      <c r="M14" s="4854">
        <f t="shared" si="18"/>
        <v>5470.24</v>
      </c>
      <c r="N14" s="8780">
        <f>+'Maj Desp Summ'!N9</f>
        <v>59600</v>
      </c>
      <c r="O14" s="4453">
        <v>6494.2499999999991</v>
      </c>
      <c r="P14" s="8802">
        <f>+L14+N14</f>
        <v>153383.14000000001</v>
      </c>
      <c r="Q14" s="4466">
        <f t="shared" si="19"/>
        <v>11964.489999999998</v>
      </c>
      <c r="R14" s="8780">
        <f>+'Maj Desp Summ'!R9</f>
        <v>55000</v>
      </c>
      <c r="S14" s="4453">
        <v>12660.099999999999</v>
      </c>
      <c r="T14" s="8802">
        <f>+P14+R14</f>
        <v>208383.14</v>
      </c>
      <c r="U14" s="4466">
        <f t="shared" si="20"/>
        <v>24624.589999999997</v>
      </c>
      <c r="V14" s="8780">
        <f>+'Maj Desp Summ'!V9</f>
        <v>58000</v>
      </c>
      <c r="W14" s="4453">
        <v>6345.5899999999992</v>
      </c>
      <c r="X14" s="8735">
        <f>N14+R14+V14</f>
        <v>172600</v>
      </c>
      <c r="Y14" s="4854">
        <f t="shared" ref="Y14:Y16" si="30">O14+S14+W14</f>
        <v>25499.94</v>
      </c>
      <c r="Z14" s="8768">
        <f>+T14+V14</f>
        <v>266383.14</v>
      </c>
      <c r="AA14" s="7231">
        <f t="shared" si="21"/>
        <v>30970.179999999997</v>
      </c>
      <c r="AB14" s="8780">
        <f>+'Maj Desp Summ'!AB9</f>
        <v>50000</v>
      </c>
      <c r="AC14" s="4453">
        <v>12869.14</v>
      </c>
      <c r="AD14" s="8802">
        <f>+Z14+AB14</f>
        <v>316383.14</v>
      </c>
      <c r="AE14" s="4466">
        <f t="shared" si="22"/>
        <v>43839.319999999992</v>
      </c>
      <c r="AF14" s="8780">
        <f>+'Maj Desp Summ'!AF9</f>
        <v>72144</v>
      </c>
      <c r="AG14" s="4453">
        <v>18210.29</v>
      </c>
      <c r="AH14" s="8802">
        <f>+AD14+AF14</f>
        <v>388527.14</v>
      </c>
      <c r="AI14" s="4466">
        <f t="shared" si="23"/>
        <v>62049.609999999993</v>
      </c>
      <c r="AJ14" s="8780">
        <f>+'Maj Desp Summ'!AJ9</f>
        <v>72945.600000000006</v>
      </c>
      <c r="AK14" s="4453">
        <v>23522.9</v>
      </c>
      <c r="AL14" s="8735">
        <f>AB14+AF14+AJ14</f>
        <v>195089.6</v>
      </c>
      <c r="AM14" s="4854">
        <f t="shared" ref="AM14:AM16" si="31">AC14+AG14+AK14</f>
        <v>54602.33</v>
      </c>
      <c r="AN14" s="8802">
        <f>+AH14+AJ14</f>
        <v>461472.74</v>
      </c>
      <c r="AO14" s="4466">
        <f t="shared" si="24"/>
        <v>85572.51</v>
      </c>
      <c r="AP14" s="8780">
        <f>+'Maj Desp Summ'!AP9</f>
        <v>73480</v>
      </c>
      <c r="AQ14" s="4453">
        <v>10398.23</v>
      </c>
      <c r="AR14" s="8802">
        <f>+AN14+AP14</f>
        <v>534952.74</v>
      </c>
      <c r="AS14" s="4466">
        <f t="shared" si="25"/>
        <v>95970.739999999991</v>
      </c>
      <c r="AT14" s="8780">
        <f>+'Maj Desp Summ'!AT9</f>
        <v>66800</v>
      </c>
      <c r="AU14" s="4453">
        <v>5769.21</v>
      </c>
      <c r="AV14" s="8802">
        <f>+AR14+AT14</f>
        <v>601752.74</v>
      </c>
      <c r="AW14" s="4466">
        <f t="shared" si="26"/>
        <v>101739.95</v>
      </c>
      <c r="AX14" s="8780">
        <f>+'Maj Desp Summ'!AX9</f>
        <v>73122</v>
      </c>
      <c r="AY14" s="4453">
        <v>26515.52</v>
      </c>
      <c r="AZ14" s="8735">
        <f>AP14+AT14+AX14</f>
        <v>213402</v>
      </c>
      <c r="BA14" s="4854">
        <f t="shared" ref="BA14:BA16" si="32">AQ14+AU14+AY14</f>
        <v>42682.96</v>
      </c>
      <c r="BB14" s="8735">
        <f t="shared" si="27"/>
        <v>408491.6</v>
      </c>
      <c r="BC14" s="4854">
        <f t="shared" si="28"/>
        <v>97285.290000000008</v>
      </c>
      <c r="BD14" s="8768">
        <f>+AV14+AX14</f>
        <v>674874.74</v>
      </c>
      <c r="BE14" s="7231">
        <f t="shared" si="29"/>
        <v>128255.47</v>
      </c>
    </row>
    <row r="15" spans="2:57" ht="18" x14ac:dyDescent="0.2">
      <c r="B15" s="4815" t="s">
        <v>599</v>
      </c>
      <c r="C15" s="4010" t="s">
        <v>170</v>
      </c>
      <c r="D15" s="8781"/>
      <c r="E15" s="4454">
        <v>0</v>
      </c>
      <c r="F15" s="8781"/>
      <c r="G15" s="4454">
        <v>0</v>
      </c>
      <c r="H15" s="8803"/>
      <c r="I15" s="4466">
        <f t="shared" si="17"/>
        <v>0</v>
      </c>
      <c r="J15" s="8781"/>
      <c r="K15" s="4454">
        <v>0</v>
      </c>
      <c r="L15" s="8736"/>
      <c r="M15" s="4854">
        <f t="shared" si="18"/>
        <v>0</v>
      </c>
      <c r="N15" s="8781"/>
      <c r="O15" s="4454">
        <v>0</v>
      </c>
      <c r="P15" s="8803"/>
      <c r="Q15" s="4466">
        <f t="shared" si="19"/>
        <v>0</v>
      </c>
      <c r="R15" s="8781"/>
      <c r="S15" s="4454">
        <v>0</v>
      </c>
      <c r="T15" s="8803"/>
      <c r="U15" s="4466">
        <f t="shared" si="20"/>
        <v>0</v>
      </c>
      <c r="V15" s="8781"/>
      <c r="W15" s="4454">
        <v>0</v>
      </c>
      <c r="X15" s="8736"/>
      <c r="Y15" s="4854">
        <f t="shared" si="30"/>
        <v>0</v>
      </c>
      <c r="Z15" s="8769"/>
      <c r="AA15" s="7231">
        <f t="shared" si="21"/>
        <v>0</v>
      </c>
      <c r="AB15" s="8781"/>
      <c r="AC15" s="4454">
        <v>0</v>
      </c>
      <c r="AD15" s="8803"/>
      <c r="AE15" s="4466">
        <f t="shared" si="22"/>
        <v>0</v>
      </c>
      <c r="AF15" s="8781"/>
      <c r="AG15" s="4454">
        <v>0</v>
      </c>
      <c r="AH15" s="8803"/>
      <c r="AI15" s="4466">
        <f t="shared" si="23"/>
        <v>0</v>
      </c>
      <c r="AJ15" s="8781"/>
      <c r="AK15" s="4454">
        <v>0</v>
      </c>
      <c r="AL15" s="8736"/>
      <c r="AM15" s="4854">
        <f t="shared" si="31"/>
        <v>0</v>
      </c>
      <c r="AN15" s="8803"/>
      <c r="AO15" s="4466">
        <f t="shared" si="24"/>
        <v>0</v>
      </c>
      <c r="AP15" s="8781"/>
      <c r="AQ15" s="4454">
        <v>0</v>
      </c>
      <c r="AR15" s="8803"/>
      <c r="AS15" s="4466">
        <f t="shared" si="25"/>
        <v>0</v>
      </c>
      <c r="AT15" s="8781"/>
      <c r="AU15" s="4454">
        <v>0</v>
      </c>
      <c r="AV15" s="8803"/>
      <c r="AW15" s="4466">
        <f t="shared" si="26"/>
        <v>0</v>
      </c>
      <c r="AX15" s="8781"/>
      <c r="AY15" s="4454">
        <v>0</v>
      </c>
      <c r="AZ15" s="8736"/>
      <c r="BA15" s="4854">
        <f t="shared" si="32"/>
        <v>0</v>
      </c>
      <c r="BB15" s="8736">
        <f t="shared" si="27"/>
        <v>0</v>
      </c>
      <c r="BC15" s="4854">
        <f t="shared" si="28"/>
        <v>0</v>
      </c>
      <c r="BD15" s="8769"/>
      <c r="BE15" s="7231">
        <f t="shared" si="29"/>
        <v>0</v>
      </c>
    </row>
    <row r="16" spans="2:57" ht="19" thickBot="1" x14ac:dyDescent="0.25">
      <c r="B16" s="4819" t="s">
        <v>245</v>
      </c>
      <c r="C16" s="4820" t="s">
        <v>170</v>
      </c>
      <c r="D16" s="8782"/>
      <c r="E16" s="4454">
        <v>11672.028999999999</v>
      </c>
      <c r="F16" s="8782"/>
      <c r="G16" s="4454">
        <v>29574.419000000002</v>
      </c>
      <c r="H16" s="8804"/>
      <c r="I16" s="4823">
        <f t="shared" si="17"/>
        <v>41246.448000000004</v>
      </c>
      <c r="J16" s="8782"/>
      <c r="K16" s="4454">
        <v>31723.975000000006</v>
      </c>
      <c r="L16" s="8737"/>
      <c r="M16" s="4930">
        <f t="shared" si="18"/>
        <v>72970.42300000001</v>
      </c>
      <c r="N16" s="8782"/>
      <c r="O16" s="4454">
        <v>22018.728999999999</v>
      </c>
      <c r="P16" s="8804"/>
      <c r="Q16" s="4823">
        <f t="shared" si="19"/>
        <v>94989.152000000002</v>
      </c>
      <c r="R16" s="8782"/>
      <c r="S16" s="4454">
        <v>17090.525000000001</v>
      </c>
      <c r="T16" s="8804"/>
      <c r="U16" s="4823">
        <f t="shared" si="20"/>
        <v>112079.677</v>
      </c>
      <c r="V16" s="8782"/>
      <c r="W16" s="4454">
        <v>28778.405999999999</v>
      </c>
      <c r="X16" s="8737"/>
      <c r="Y16" s="4854">
        <f t="shared" si="30"/>
        <v>67887.66</v>
      </c>
      <c r="Z16" s="8770"/>
      <c r="AA16" s="7234">
        <f t="shared" si="21"/>
        <v>140858.08299999998</v>
      </c>
      <c r="AB16" s="8782"/>
      <c r="AC16" s="4454">
        <v>13227.860000000002</v>
      </c>
      <c r="AD16" s="8804"/>
      <c r="AE16" s="4823">
        <f t="shared" si="22"/>
        <v>154085.943</v>
      </c>
      <c r="AF16" s="8782"/>
      <c r="AG16" s="4454">
        <v>25426.5</v>
      </c>
      <c r="AH16" s="8804"/>
      <c r="AI16" s="4823">
        <f t="shared" si="23"/>
        <v>179512.443</v>
      </c>
      <c r="AJ16" s="8782"/>
      <c r="AK16" s="4454">
        <v>26598.19</v>
      </c>
      <c r="AL16" s="8737"/>
      <c r="AM16" s="4854">
        <f t="shared" si="31"/>
        <v>65252.55</v>
      </c>
      <c r="AN16" s="8804"/>
      <c r="AO16" s="4823">
        <f t="shared" si="24"/>
        <v>206110.633</v>
      </c>
      <c r="AP16" s="8782"/>
      <c r="AQ16" s="4454">
        <v>38407.529999999992</v>
      </c>
      <c r="AR16" s="8804"/>
      <c r="AS16" s="4823">
        <f t="shared" si="25"/>
        <v>244518.163</v>
      </c>
      <c r="AT16" s="8782"/>
      <c r="AU16" s="4454">
        <v>43320.7</v>
      </c>
      <c r="AV16" s="8804"/>
      <c r="AW16" s="4823">
        <f t="shared" si="26"/>
        <v>287838.86300000001</v>
      </c>
      <c r="AX16" s="8782"/>
      <c r="AY16" s="4454">
        <v>20864.650000000001</v>
      </c>
      <c r="AZ16" s="8737"/>
      <c r="BA16" s="4854">
        <f t="shared" si="32"/>
        <v>102592.87999999998</v>
      </c>
      <c r="BB16" s="8737">
        <f t="shared" si="27"/>
        <v>0</v>
      </c>
      <c r="BC16" s="4854">
        <f t="shared" si="28"/>
        <v>167845.43</v>
      </c>
      <c r="BD16" s="8770"/>
      <c r="BE16" s="7234">
        <f t="shared" si="29"/>
        <v>308703.51300000004</v>
      </c>
    </row>
    <row r="17" spans="2:57" ht="19" thickBot="1" x14ac:dyDescent="0.25">
      <c r="B17" s="4821" t="s">
        <v>15</v>
      </c>
      <c r="C17" s="2963" t="s">
        <v>170</v>
      </c>
      <c r="D17" s="1735">
        <f>+D13+D14</f>
        <v>8073.14</v>
      </c>
      <c r="E17" s="3205">
        <f t="shared" ref="E17:J17" si="33">SUM(E13:E16)</f>
        <v>11672.028999999999</v>
      </c>
      <c r="F17" s="1735">
        <f>+F13+F14</f>
        <v>43712</v>
      </c>
      <c r="G17" s="3205">
        <f t="shared" ref="G17" si="34">SUM(G13:G16)</f>
        <v>31996.589</v>
      </c>
      <c r="H17" s="7162">
        <f t="shared" si="33"/>
        <v>51785.14</v>
      </c>
      <c r="I17" s="4464">
        <f t="shared" si="33"/>
        <v>43668.618000000002</v>
      </c>
      <c r="J17" s="7143">
        <f t="shared" si="33"/>
        <v>41998</v>
      </c>
      <c r="K17" s="3205">
        <f t="shared" ref="K17" si="35">SUM(K13:K16)</f>
        <v>34772.045000000006</v>
      </c>
      <c r="L17" s="7154">
        <f t="shared" ref="L17:M17" si="36">SUM(L13:L16)</f>
        <v>93783.14</v>
      </c>
      <c r="M17" s="5741">
        <f t="shared" si="36"/>
        <v>78440.663000000015</v>
      </c>
      <c r="N17" s="7143">
        <f t="shared" ref="N17" si="37">SUM(N13:N16)</f>
        <v>59600</v>
      </c>
      <c r="O17" s="3205">
        <f t="shared" ref="O17" si="38">SUM(O13:O16)</f>
        <v>28512.978999999999</v>
      </c>
      <c r="P17" s="7162">
        <f t="shared" ref="P17:S17" si="39">SUM(P13:P16)</f>
        <v>153383.14000000001</v>
      </c>
      <c r="Q17" s="4464">
        <f t="shared" si="39"/>
        <v>106953.64199999999</v>
      </c>
      <c r="R17" s="7143">
        <f t="shared" si="39"/>
        <v>55000</v>
      </c>
      <c r="S17" s="3205">
        <f t="shared" si="39"/>
        <v>29750.625</v>
      </c>
      <c r="T17" s="7162">
        <f t="shared" ref="T17:Y17" si="40">SUM(T13:T16)</f>
        <v>208383.14</v>
      </c>
      <c r="U17" s="4464">
        <f t="shared" si="40"/>
        <v>136704.26699999999</v>
      </c>
      <c r="V17" s="7143">
        <f t="shared" si="40"/>
        <v>58000</v>
      </c>
      <c r="W17" s="3205">
        <f t="shared" si="40"/>
        <v>35123.995999999999</v>
      </c>
      <c r="X17" s="7154">
        <f t="shared" si="40"/>
        <v>172600</v>
      </c>
      <c r="Y17" s="5741">
        <f t="shared" si="40"/>
        <v>93387.6</v>
      </c>
      <c r="Z17" s="7161">
        <f t="shared" ref="Z17:AM17" si="41">SUM(Z13:Z16)</f>
        <v>266383.14</v>
      </c>
      <c r="AA17" s="7235">
        <f t="shared" si="41"/>
        <v>171828.26299999998</v>
      </c>
      <c r="AB17" s="7303">
        <f t="shared" si="41"/>
        <v>50000</v>
      </c>
      <c r="AC17" s="3205">
        <f t="shared" si="41"/>
        <v>26097</v>
      </c>
      <c r="AD17" s="7304">
        <f t="shared" si="41"/>
        <v>316383.14</v>
      </c>
      <c r="AE17" s="4464">
        <f t="shared" si="41"/>
        <v>197925.26299999998</v>
      </c>
      <c r="AF17" s="7572">
        <f t="shared" si="41"/>
        <v>72144</v>
      </c>
      <c r="AG17" s="3205">
        <f t="shared" si="41"/>
        <v>43636.79</v>
      </c>
      <c r="AH17" s="7566">
        <f t="shared" si="41"/>
        <v>388527.14</v>
      </c>
      <c r="AI17" s="4464">
        <f t="shared" si="41"/>
        <v>241562.05299999999</v>
      </c>
      <c r="AJ17" s="7716">
        <f t="shared" si="41"/>
        <v>72945.600000000006</v>
      </c>
      <c r="AK17" s="3205">
        <f t="shared" si="41"/>
        <v>50121.09</v>
      </c>
      <c r="AL17" s="7709">
        <f t="shared" si="41"/>
        <v>195089.6</v>
      </c>
      <c r="AM17" s="5741">
        <f t="shared" si="41"/>
        <v>119854.88</v>
      </c>
      <c r="AN17" s="7722">
        <f t="shared" ref="AN17:AS17" si="42">SUM(AN13:AN16)</f>
        <v>461472.74</v>
      </c>
      <c r="AO17" s="4464">
        <f t="shared" si="42"/>
        <v>291683.14299999998</v>
      </c>
      <c r="AP17" s="8037">
        <f t="shared" si="42"/>
        <v>73480</v>
      </c>
      <c r="AQ17" s="3205">
        <f t="shared" si="42"/>
        <v>48805.759999999995</v>
      </c>
      <c r="AR17" s="8028">
        <f t="shared" si="42"/>
        <v>534952.74</v>
      </c>
      <c r="AS17" s="4464">
        <f t="shared" si="42"/>
        <v>340488.90299999999</v>
      </c>
      <c r="AT17" s="8229">
        <f t="shared" ref="AT17:AW17" si="43">SUM(AT13:AT16)</f>
        <v>66800</v>
      </c>
      <c r="AU17" s="3205">
        <f t="shared" si="43"/>
        <v>49089.909999999996</v>
      </c>
      <c r="AV17" s="8219">
        <f t="shared" si="43"/>
        <v>601752.74</v>
      </c>
      <c r="AW17" s="4464">
        <f t="shared" si="43"/>
        <v>389578.81300000002</v>
      </c>
      <c r="AX17" s="8291">
        <f t="shared" ref="AX17:BE17" si="44">SUM(AX13:AX16)</f>
        <v>73122</v>
      </c>
      <c r="AY17" s="3205">
        <f t="shared" si="44"/>
        <v>47380.17</v>
      </c>
      <c r="AZ17" s="8292">
        <f t="shared" si="44"/>
        <v>213402</v>
      </c>
      <c r="BA17" s="5741">
        <f t="shared" si="44"/>
        <v>145275.83999999997</v>
      </c>
      <c r="BB17" s="8292">
        <f t="shared" si="27"/>
        <v>408491.6</v>
      </c>
      <c r="BC17" s="5741">
        <f t="shared" si="28"/>
        <v>265130.71999999997</v>
      </c>
      <c r="BD17" s="8305">
        <f t="shared" si="44"/>
        <v>674874.74</v>
      </c>
      <c r="BE17" s="7235">
        <f t="shared" si="44"/>
        <v>436958.98300000001</v>
      </c>
    </row>
    <row r="18" spans="2:57" s="3380" customFormat="1" ht="18" x14ac:dyDescent="0.2">
      <c r="B18" s="5767" t="s">
        <v>447</v>
      </c>
      <c r="C18" s="5756"/>
      <c r="D18" s="5768"/>
      <c r="E18" s="5769"/>
      <c r="F18" s="5768"/>
      <c r="G18" s="5769"/>
      <c r="H18" s="5770"/>
      <c r="I18" s="5769"/>
      <c r="J18" s="5770"/>
      <c r="K18" s="5769"/>
      <c r="L18" s="5770"/>
      <c r="M18" s="5769"/>
      <c r="N18" s="5770"/>
      <c r="O18" s="5769"/>
      <c r="P18" s="5770"/>
      <c r="Q18" s="5769"/>
      <c r="R18" s="5770"/>
      <c r="S18" s="5769"/>
      <c r="T18" s="5770"/>
      <c r="U18" s="5769"/>
      <c r="V18" s="5770"/>
      <c r="W18" s="5769"/>
      <c r="X18" s="5770"/>
      <c r="Y18" s="5769"/>
      <c r="Z18" s="5770"/>
      <c r="AA18" s="5769"/>
      <c r="AB18" s="5770"/>
      <c r="AC18" s="5769"/>
      <c r="AD18" s="5770"/>
      <c r="AE18" s="5769"/>
      <c r="AF18" s="5770"/>
      <c r="AG18" s="5769"/>
      <c r="AH18" s="5770"/>
      <c r="AI18" s="5769"/>
      <c r="AJ18" s="5770"/>
      <c r="AK18" s="5769"/>
      <c r="AL18" s="5770"/>
      <c r="AM18" s="5769"/>
      <c r="AN18" s="5770"/>
      <c r="AO18" s="5769"/>
      <c r="AP18" s="5770"/>
      <c r="AQ18" s="5769"/>
      <c r="AR18" s="5770"/>
      <c r="AS18" s="5769"/>
      <c r="AT18" s="5770"/>
      <c r="AU18" s="5769"/>
      <c r="AV18" s="5770"/>
      <c r="AW18" s="5769"/>
      <c r="AX18" s="5770"/>
      <c r="AY18" s="5769"/>
      <c r="AZ18" s="5770"/>
      <c r="BA18" s="5769"/>
      <c r="BB18" s="5770"/>
      <c r="BC18" s="5769"/>
      <c r="BD18" s="5770"/>
      <c r="BE18" s="5769"/>
    </row>
    <row r="19" spans="2:57" ht="18" x14ac:dyDescent="0.2">
      <c r="B19" s="4815" t="s">
        <v>1265</v>
      </c>
      <c r="C19" s="4010" t="s">
        <v>170</v>
      </c>
      <c r="D19" s="4816">
        <v>0</v>
      </c>
      <c r="E19" s="4453">
        <v>0</v>
      </c>
      <c r="F19" s="5061">
        <v>0</v>
      </c>
      <c r="G19" s="4453">
        <v>0</v>
      </c>
      <c r="H19" s="4817">
        <f>+D19+F19</f>
        <v>0</v>
      </c>
      <c r="I19" s="4466">
        <f t="shared" ref="I19:I22" si="45">+E19+G19</f>
        <v>0</v>
      </c>
      <c r="J19" s="7156">
        <v>0</v>
      </c>
      <c r="K19" s="4453">
        <v>0</v>
      </c>
      <c r="L19" s="4818">
        <f>+H19+J19</f>
        <v>0</v>
      </c>
      <c r="M19" s="4854">
        <f t="shared" ref="M19:M22" si="46">+I19+K19</f>
        <v>0</v>
      </c>
      <c r="N19" s="7156">
        <v>0</v>
      </c>
      <c r="O19" s="4453">
        <v>0</v>
      </c>
      <c r="P19" s="4817">
        <f>+L19+N19</f>
        <v>0</v>
      </c>
      <c r="Q19" s="4466">
        <f t="shared" ref="Q19:Q22" si="47">+M19+O19</f>
        <v>0</v>
      </c>
      <c r="R19" s="7156">
        <v>0</v>
      </c>
      <c r="S19" s="4453">
        <v>352.03</v>
      </c>
      <c r="T19" s="4817">
        <f>+P19+R19</f>
        <v>0</v>
      </c>
      <c r="U19" s="4466">
        <f t="shared" ref="U19:U22" si="48">+Q19+S19</f>
        <v>352.03</v>
      </c>
      <c r="V19" s="7156">
        <v>0</v>
      </c>
      <c r="W19" s="4453">
        <v>2977.86</v>
      </c>
      <c r="X19" s="4818">
        <f>N19+R19+V19</f>
        <v>0</v>
      </c>
      <c r="Y19" s="4854">
        <f>O19+S19+W19</f>
        <v>3329.8900000000003</v>
      </c>
      <c r="Z19" s="7230">
        <f>+T19+V19</f>
        <v>0</v>
      </c>
      <c r="AA19" s="7231">
        <f t="shared" ref="AA19:AA22" si="49">+U19+W19</f>
        <v>3329.8900000000003</v>
      </c>
      <c r="AB19" s="7309">
        <v>0</v>
      </c>
      <c r="AC19" s="4453">
        <v>0</v>
      </c>
      <c r="AD19" s="4817">
        <f>+Z19+AB19</f>
        <v>0</v>
      </c>
      <c r="AE19" s="4466">
        <f t="shared" ref="AE19:AE22" si="50">+AA19+AC19</f>
        <v>3329.8900000000003</v>
      </c>
      <c r="AF19" s="7575"/>
      <c r="AG19" s="4453">
        <v>46.120000000000005</v>
      </c>
      <c r="AH19" s="4817">
        <f>+AD19+AF19</f>
        <v>0</v>
      </c>
      <c r="AI19" s="4466">
        <f t="shared" ref="AI19:AI22" si="51">+AE19+AG19</f>
        <v>3376.01</v>
      </c>
      <c r="AJ19" s="7728">
        <v>0</v>
      </c>
      <c r="AK19" s="4453">
        <v>184.88</v>
      </c>
      <c r="AL19" s="4818">
        <f>AB19+AF19+AJ19</f>
        <v>0</v>
      </c>
      <c r="AM19" s="4854">
        <f>AC19+AG19+AK19</f>
        <v>231</v>
      </c>
      <c r="AN19" s="4817">
        <f>+AH19+AJ19</f>
        <v>0</v>
      </c>
      <c r="AO19" s="4466">
        <f t="shared" ref="AO19:AO22" si="52">+AI19+AK19</f>
        <v>3560.8900000000003</v>
      </c>
      <c r="AP19" s="8041">
        <v>0</v>
      </c>
      <c r="AQ19" s="4453">
        <v>0</v>
      </c>
      <c r="AR19" s="4817">
        <f>+AN19+AP19</f>
        <v>0</v>
      </c>
      <c r="AS19" s="4466">
        <f t="shared" ref="AS19:AS22" si="53">+AO19+AQ19</f>
        <v>3560.8900000000003</v>
      </c>
      <c r="AT19" s="8232">
        <v>0</v>
      </c>
      <c r="AU19" s="4453">
        <v>0</v>
      </c>
      <c r="AV19" s="4817">
        <f>+AR19+AT19</f>
        <v>0</v>
      </c>
      <c r="AW19" s="4466">
        <f t="shared" ref="AW19:AW22" si="54">+AS19+AU19</f>
        <v>3560.8900000000003</v>
      </c>
      <c r="AX19" s="8315">
        <v>0</v>
      </c>
      <c r="AY19" s="4453">
        <v>0</v>
      </c>
      <c r="AZ19" s="4818">
        <f>AP19+AT19+AX19</f>
        <v>0</v>
      </c>
      <c r="BA19" s="4854">
        <f>AQ19+AU19+AY19</f>
        <v>0</v>
      </c>
      <c r="BB19" s="4818">
        <f t="shared" ref="BB19:BB23" si="55">+AZ19+AL19</f>
        <v>0</v>
      </c>
      <c r="BC19" s="4854">
        <f t="shared" ref="BC19:BC23" si="56">+BA19+AM19</f>
        <v>231</v>
      </c>
      <c r="BD19" s="7230">
        <f>+AV19+AX19</f>
        <v>0</v>
      </c>
      <c r="BE19" s="7231">
        <f t="shared" ref="BE19:BE22" si="57">+AW19+AY19</f>
        <v>3560.8900000000003</v>
      </c>
    </row>
    <row r="20" spans="2:57" ht="18" x14ac:dyDescent="0.2">
      <c r="B20" s="4819" t="s">
        <v>244</v>
      </c>
      <c r="C20" s="4010" t="s">
        <v>170</v>
      </c>
      <c r="D20" s="8780">
        <f>+'Maj Desp Summ'!D10</f>
        <v>0</v>
      </c>
      <c r="E20" s="4453">
        <v>122.16</v>
      </c>
      <c r="F20" s="8780">
        <f>+'Maj Desp Summ'!F10</f>
        <v>0</v>
      </c>
      <c r="G20" s="4453">
        <v>696.23000000000013</v>
      </c>
      <c r="H20" s="8802">
        <f>+D20+F20</f>
        <v>0</v>
      </c>
      <c r="I20" s="4466">
        <f t="shared" si="45"/>
        <v>818.3900000000001</v>
      </c>
      <c r="J20" s="8780">
        <f>+'Maj Desp Summ'!J10</f>
        <v>0</v>
      </c>
      <c r="K20" s="4453">
        <v>744.86999999999989</v>
      </c>
      <c r="L20" s="8735">
        <f>+H20+J20</f>
        <v>0</v>
      </c>
      <c r="M20" s="4854">
        <f t="shared" si="46"/>
        <v>1563.26</v>
      </c>
      <c r="N20" s="8780">
        <f>+'Maj Desp Summ'!N10</f>
        <v>7000</v>
      </c>
      <c r="O20" s="4453">
        <v>1063.83</v>
      </c>
      <c r="P20" s="8802">
        <f>+L20+N20</f>
        <v>7000</v>
      </c>
      <c r="Q20" s="4466">
        <f t="shared" si="47"/>
        <v>2627.09</v>
      </c>
      <c r="R20" s="8780">
        <f>+'Maj Desp Summ'!R10</f>
        <v>8000</v>
      </c>
      <c r="S20" s="4453">
        <v>399.00900000000001</v>
      </c>
      <c r="T20" s="8802">
        <f>+P20+R20</f>
        <v>15000</v>
      </c>
      <c r="U20" s="4466">
        <f t="shared" si="48"/>
        <v>3026.0990000000002</v>
      </c>
      <c r="V20" s="8780">
        <f>+'Maj Desp Summ'!V10</f>
        <v>10000</v>
      </c>
      <c r="W20" s="4453">
        <v>359.27</v>
      </c>
      <c r="X20" s="8735">
        <f>N20+R20+V20</f>
        <v>25000</v>
      </c>
      <c r="Y20" s="4854">
        <f t="shared" ref="Y20:Y22" si="58">O20+S20+W20</f>
        <v>1822.1089999999999</v>
      </c>
      <c r="Z20" s="8768">
        <f>+T20+V20</f>
        <v>25000</v>
      </c>
      <c r="AA20" s="7231">
        <f t="shared" si="49"/>
        <v>3385.3690000000001</v>
      </c>
      <c r="AB20" s="8780">
        <f>+'Maj Desp Summ'!AB10</f>
        <v>10000</v>
      </c>
      <c r="AC20" s="4453">
        <v>9608.1500000000015</v>
      </c>
      <c r="AD20" s="8802">
        <f>+Z20+AB20</f>
        <v>35000</v>
      </c>
      <c r="AE20" s="4466">
        <f t="shared" si="50"/>
        <v>12993.519000000002</v>
      </c>
      <c r="AF20" s="8780">
        <f>+'Maj Desp Summ'!AF10</f>
        <v>40000</v>
      </c>
      <c r="AG20" s="4453">
        <v>12397.519999999997</v>
      </c>
      <c r="AH20" s="8802">
        <f>+AD20+AF20</f>
        <v>75000</v>
      </c>
      <c r="AI20" s="4466">
        <f t="shared" si="51"/>
        <v>25391.038999999997</v>
      </c>
      <c r="AJ20" s="8780">
        <f>+'Maj Desp Summ'!AJ10</f>
        <v>30000</v>
      </c>
      <c r="AK20" s="4453">
        <v>9978.2899999999991</v>
      </c>
      <c r="AL20" s="8735">
        <f>AB20+AF20+AJ20</f>
        <v>80000</v>
      </c>
      <c r="AM20" s="4854">
        <f t="shared" ref="AM20:AM22" si="59">AC20+AG20+AK20</f>
        <v>31983.96</v>
      </c>
      <c r="AN20" s="8802">
        <f>+AH20+AJ20</f>
        <v>105000</v>
      </c>
      <c r="AO20" s="4466">
        <f t="shared" si="52"/>
        <v>35369.328999999998</v>
      </c>
      <c r="AP20" s="8780">
        <f>+'Maj Desp Summ'!AP10</f>
        <v>35000</v>
      </c>
      <c r="AQ20" s="4453">
        <v>3970.62</v>
      </c>
      <c r="AR20" s="8802">
        <f>+AN20+AP20</f>
        <v>140000</v>
      </c>
      <c r="AS20" s="4466">
        <f t="shared" si="53"/>
        <v>39339.949000000001</v>
      </c>
      <c r="AT20" s="8780">
        <f>+'Maj Desp Summ'!AT10</f>
        <v>35000</v>
      </c>
      <c r="AU20" s="4453">
        <v>9414.9500000000007</v>
      </c>
      <c r="AV20" s="8802">
        <f>+AR20+AT20</f>
        <v>175000</v>
      </c>
      <c r="AW20" s="4466">
        <f t="shared" si="54"/>
        <v>48754.899000000005</v>
      </c>
      <c r="AX20" s="8780">
        <f>+'Maj Desp Summ'!AX10</f>
        <v>45000</v>
      </c>
      <c r="AY20" s="4453">
        <v>10822.88</v>
      </c>
      <c r="AZ20" s="8735">
        <f>AP20+AT20+AX20</f>
        <v>115000</v>
      </c>
      <c r="BA20" s="4854">
        <f t="shared" ref="BA20:BA22" si="60">AQ20+AU20+AY20</f>
        <v>24208.449999999997</v>
      </c>
      <c r="BB20" s="8735">
        <f t="shared" si="55"/>
        <v>195000</v>
      </c>
      <c r="BC20" s="4854">
        <f t="shared" si="56"/>
        <v>56192.409999999996</v>
      </c>
      <c r="BD20" s="8768">
        <f>+AV20+AX20</f>
        <v>220000</v>
      </c>
      <c r="BE20" s="7231">
        <f t="shared" si="57"/>
        <v>59577.779000000002</v>
      </c>
    </row>
    <row r="21" spans="2:57" ht="18" x14ac:dyDescent="0.2">
      <c r="B21" s="4815" t="s">
        <v>599</v>
      </c>
      <c r="C21" s="4010" t="s">
        <v>170</v>
      </c>
      <c r="D21" s="8781"/>
      <c r="E21" s="4454">
        <v>0</v>
      </c>
      <c r="F21" s="8781"/>
      <c r="G21" s="4454">
        <v>91.789999999999992</v>
      </c>
      <c r="H21" s="8803"/>
      <c r="I21" s="4466">
        <f t="shared" si="45"/>
        <v>91.789999999999992</v>
      </c>
      <c r="J21" s="8781"/>
      <c r="K21" s="4454">
        <v>0</v>
      </c>
      <c r="L21" s="8736"/>
      <c r="M21" s="4854">
        <f t="shared" si="46"/>
        <v>91.789999999999992</v>
      </c>
      <c r="N21" s="8781"/>
      <c r="O21" s="4454">
        <v>0</v>
      </c>
      <c r="P21" s="8803"/>
      <c r="Q21" s="4466">
        <f t="shared" si="47"/>
        <v>91.789999999999992</v>
      </c>
      <c r="R21" s="8781"/>
      <c r="S21" s="4454">
        <v>0</v>
      </c>
      <c r="T21" s="8803"/>
      <c r="U21" s="4466">
        <f t="shared" si="48"/>
        <v>91.789999999999992</v>
      </c>
      <c r="V21" s="8781"/>
      <c r="W21" s="4454">
        <v>0</v>
      </c>
      <c r="X21" s="8736"/>
      <c r="Y21" s="4854">
        <f t="shared" si="58"/>
        <v>0</v>
      </c>
      <c r="Z21" s="8769"/>
      <c r="AA21" s="7231">
        <f t="shared" si="49"/>
        <v>91.789999999999992</v>
      </c>
      <c r="AB21" s="8781"/>
      <c r="AC21" s="4454">
        <v>62.07</v>
      </c>
      <c r="AD21" s="8803"/>
      <c r="AE21" s="4466">
        <f t="shared" si="50"/>
        <v>153.85999999999999</v>
      </c>
      <c r="AF21" s="8781"/>
      <c r="AG21" s="4454">
        <v>0</v>
      </c>
      <c r="AH21" s="8803"/>
      <c r="AI21" s="4466">
        <f t="shared" si="51"/>
        <v>153.85999999999999</v>
      </c>
      <c r="AJ21" s="8781"/>
      <c r="AK21" s="4454">
        <v>0</v>
      </c>
      <c r="AL21" s="8736"/>
      <c r="AM21" s="4854">
        <f t="shared" si="59"/>
        <v>62.07</v>
      </c>
      <c r="AN21" s="8803"/>
      <c r="AO21" s="4466">
        <f t="shared" si="52"/>
        <v>153.85999999999999</v>
      </c>
      <c r="AP21" s="8781"/>
      <c r="AQ21" s="4454">
        <v>0</v>
      </c>
      <c r="AR21" s="8803"/>
      <c r="AS21" s="4466">
        <f t="shared" si="53"/>
        <v>153.85999999999999</v>
      </c>
      <c r="AT21" s="8781"/>
      <c r="AU21" s="4454">
        <v>0</v>
      </c>
      <c r="AV21" s="8803"/>
      <c r="AW21" s="4466">
        <f t="shared" si="54"/>
        <v>153.85999999999999</v>
      </c>
      <c r="AX21" s="8781"/>
      <c r="AY21" s="4454"/>
      <c r="AZ21" s="8736"/>
      <c r="BA21" s="4854">
        <f t="shared" si="60"/>
        <v>0</v>
      </c>
      <c r="BB21" s="8736">
        <f t="shared" si="55"/>
        <v>0</v>
      </c>
      <c r="BC21" s="4854">
        <f t="shared" si="56"/>
        <v>62.07</v>
      </c>
      <c r="BD21" s="8769"/>
      <c r="BE21" s="7231">
        <f t="shared" si="57"/>
        <v>153.85999999999999</v>
      </c>
    </row>
    <row r="22" spans="2:57" ht="19" thickBot="1" x14ac:dyDescent="0.25">
      <c r="B22" s="4819" t="s">
        <v>245</v>
      </c>
      <c r="C22" s="4820" t="s">
        <v>170</v>
      </c>
      <c r="D22" s="8782"/>
      <c r="E22" s="4454">
        <v>863.63999999999987</v>
      </c>
      <c r="F22" s="8782"/>
      <c r="G22" s="4454">
        <v>2931.2710000000002</v>
      </c>
      <c r="H22" s="8804"/>
      <c r="I22" s="4823">
        <f t="shared" si="45"/>
        <v>3794.9110000000001</v>
      </c>
      <c r="J22" s="8782"/>
      <c r="K22" s="4454">
        <v>4105.6409999999996</v>
      </c>
      <c r="L22" s="8737"/>
      <c r="M22" s="4930">
        <f t="shared" si="46"/>
        <v>7900.5519999999997</v>
      </c>
      <c r="N22" s="8782"/>
      <c r="O22" s="4454">
        <v>1315.8700000000001</v>
      </c>
      <c r="P22" s="8804"/>
      <c r="Q22" s="4823">
        <f t="shared" si="47"/>
        <v>9216.4220000000005</v>
      </c>
      <c r="R22" s="8782"/>
      <c r="S22" s="4454">
        <v>62.720999999999997</v>
      </c>
      <c r="T22" s="8804"/>
      <c r="U22" s="4823">
        <f t="shared" si="48"/>
        <v>9279.143</v>
      </c>
      <c r="V22" s="8782"/>
      <c r="W22" s="4454">
        <v>0</v>
      </c>
      <c r="X22" s="8737"/>
      <c r="Y22" s="4854">
        <f t="shared" si="58"/>
        <v>1378.5910000000001</v>
      </c>
      <c r="Z22" s="8770"/>
      <c r="AA22" s="7234">
        <f t="shared" si="49"/>
        <v>9279.143</v>
      </c>
      <c r="AB22" s="8782"/>
      <c r="AC22" s="4454">
        <v>2636.26</v>
      </c>
      <c r="AD22" s="8804"/>
      <c r="AE22" s="4823">
        <f t="shared" si="50"/>
        <v>11915.403</v>
      </c>
      <c r="AF22" s="8782"/>
      <c r="AG22" s="4454">
        <v>6316.7900000000009</v>
      </c>
      <c r="AH22" s="8804"/>
      <c r="AI22" s="4823">
        <f t="shared" si="51"/>
        <v>18232.192999999999</v>
      </c>
      <c r="AJ22" s="8782"/>
      <c r="AK22" s="4454">
        <v>2709.25</v>
      </c>
      <c r="AL22" s="8737"/>
      <c r="AM22" s="4854">
        <f t="shared" si="59"/>
        <v>11662.300000000001</v>
      </c>
      <c r="AN22" s="8804"/>
      <c r="AO22" s="4823">
        <f t="shared" si="52"/>
        <v>20941.442999999999</v>
      </c>
      <c r="AP22" s="8782"/>
      <c r="AQ22" s="4454">
        <v>9730.2400000000016</v>
      </c>
      <c r="AR22" s="8804"/>
      <c r="AS22" s="4823">
        <f t="shared" si="53"/>
        <v>30671.683000000001</v>
      </c>
      <c r="AT22" s="8782"/>
      <c r="AU22" s="4454">
        <v>7806.06</v>
      </c>
      <c r="AV22" s="8804"/>
      <c r="AW22" s="4823">
        <f t="shared" si="54"/>
        <v>38477.743000000002</v>
      </c>
      <c r="AX22" s="8782"/>
      <c r="AY22" s="4454">
        <v>2191.02</v>
      </c>
      <c r="AZ22" s="8737"/>
      <c r="BA22" s="4854">
        <f t="shared" si="60"/>
        <v>19727.320000000003</v>
      </c>
      <c r="BB22" s="8737">
        <f t="shared" si="55"/>
        <v>0</v>
      </c>
      <c r="BC22" s="4854">
        <f t="shared" si="56"/>
        <v>31389.620000000003</v>
      </c>
      <c r="BD22" s="8770"/>
      <c r="BE22" s="7234">
        <f t="shared" si="57"/>
        <v>40668.762999999999</v>
      </c>
    </row>
    <row r="23" spans="2:57" ht="19" thickBot="1" x14ac:dyDescent="0.25">
      <c r="B23" s="4821" t="s">
        <v>15</v>
      </c>
      <c r="C23" s="2963" t="s">
        <v>170</v>
      </c>
      <c r="D23" s="1735">
        <f>+D19+D20</f>
        <v>0</v>
      </c>
      <c r="E23" s="3205">
        <f t="shared" ref="E23:J23" si="61">SUM(E19:E22)</f>
        <v>985.79999999999984</v>
      </c>
      <c r="F23" s="1735">
        <f>+F19+F20</f>
        <v>0</v>
      </c>
      <c r="G23" s="3205">
        <f t="shared" ref="G23" si="62">SUM(G19:G22)</f>
        <v>3719.2910000000002</v>
      </c>
      <c r="H23" s="7144">
        <f t="shared" si="61"/>
        <v>0</v>
      </c>
      <c r="I23" s="4464">
        <f t="shared" si="61"/>
        <v>4705.0910000000003</v>
      </c>
      <c r="J23" s="7143">
        <f t="shared" si="61"/>
        <v>0</v>
      </c>
      <c r="K23" s="3205">
        <f t="shared" ref="K23" si="63">SUM(K19:K22)</f>
        <v>4850.5109999999995</v>
      </c>
      <c r="L23" s="7151">
        <f t="shared" ref="L23:M23" si="64">SUM(L19:L22)</f>
        <v>0</v>
      </c>
      <c r="M23" s="5741">
        <f t="shared" si="64"/>
        <v>9555.601999999999</v>
      </c>
      <c r="N23" s="7143">
        <f t="shared" ref="N23" si="65">SUM(N19:N22)</f>
        <v>7000</v>
      </c>
      <c r="O23" s="3205">
        <f t="shared" ref="O23" si="66">SUM(O19:O22)</f>
        <v>2379.6999999999998</v>
      </c>
      <c r="P23" s="7144">
        <f t="shared" ref="P23:S23" si="67">SUM(P19:P22)</f>
        <v>7000</v>
      </c>
      <c r="Q23" s="4464">
        <f t="shared" si="67"/>
        <v>11935.302</v>
      </c>
      <c r="R23" s="7143">
        <f t="shared" si="67"/>
        <v>8000</v>
      </c>
      <c r="S23" s="3205">
        <f t="shared" si="67"/>
        <v>813.76</v>
      </c>
      <c r="T23" s="7144">
        <f t="shared" ref="T23:Y23" si="68">SUM(T19:T22)</f>
        <v>15000</v>
      </c>
      <c r="U23" s="4464">
        <f t="shared" si="68"/>
        <v>12749.062</v>
      </c>
      <c r="V23" s="7143">
        <f t="shared" si="68"/>
        <v>10000</v>
      </c>
      <c r="W23" s="3205">
        <f t="shared" si="68"/>
        <v>3337.13</v>
      </c>
      <c r="X23" s="7151">
        <f t="shared" si="68"/>
        <v>25000</v>
      </c>
      <c r="Y23" s="5741">
        <f t="shared" si="68"/>
        <v>6530.59</v>
      </c>
      <c r="Z23" s="7158">
        <f t="shared" ref="Z23:AM23" si="69">SUM(Z19:Z22)</f>
        <v>25000</v>
      </c>
      <c r="AA23" s="7235">
        <f t="shared" si="69"/>
        <v>16086.191999999999</v>
      </c>
      <c r="AB23" s="7303">
        <f t="shared" si="69"/>
        <v>10000</v>
      </c>
      <c r="AC23" s="3205">
        <f t="shared" si="69"/>
        <v>12306.480000000001</v>
      </c>
      <c r="AD23" s="7302">
        <f t="shared" si="69"/>
        <v>35000</v>
      </c>
      <c r="AE23" s="4464">
        <f t="shared" si="69"/>
        <v>28392.672000000006</v>
      </c>
      <c r="AF23" s="7572">
        <f t="shared" si="69"/>
        <v>40000</v>
      </c>
      <c r="AG23" s="3205">
        <f t="shared" si="69"/>
        <v>18760.43</v>
      </c>
      <c r="AH23" s="7573">
        <f t="shared" si="69"/>
        <v>75000</v>
      </c>
      <c r="AI23" s="4464">
        <f t="shared" si="69"/>
        <v>47153.101999999999</v>
      </c>
      <c r="AJ23" s="7716">
        <f t="shared" si="69"/>
        <v>30000</v>
      </c>
      <c r="AK23" s="3205">
        <f t="shared" si="69"/>
        <v>12872.419999999998</v>
      </c>
      <c r="AL23" s="7718">
        <f t="shared" si="69"/>
        <v>80000</v>
      </c>
      <c r="AM23" s="5741">
        <f t="shared" si="69"/>
        <v>43939.33</v>
      </c>
      <c r="AN23" s="7726">
        <f t="shared" ref="AN23:AS23" si="70">SUM(AN19:AN22)</f>
        <v>105000</v>
      </c>
      <c r="AO23" s="4464">
        <f t="shared" si="70"/>
        <v>60025.521999999997</v>
      </c>
      <c r="AP23" s="8037">
        <f t="shared" si="70"/>
        <v>35000</v>
      </c>
      <c r="AQ23" s="3205">
        <f t="shared" si="70"/>
        <v>13700.86</v>
      </c>
      <c r="AR23" s="8038">
        <f t="shared" si="70"/>
        <v>140000</v>
      </c>
      <c r="AS23" s="4464">
        <f t="shared" si="70"/>
        <v>73726.381999999998</v>
      </c>
      <c r="AT23" s="8229">
        <f t="shared" ref="AT23:AW23" si="71">SUM(AT19:AT22)</f>
        <v>35000</v>
      </c>
      <c r="AU23" s="3205">
        <f t="shared" si="71"/>
        <v>17221.010000000002</v>
      </c>
      <c r="AV23" s="8230">
        <f t="shared" si="71"/>
        <v>175000</v>
      </c>
      <c r="AW23" s="4464">
        <f t="shared" si="71"/>
        <v>90947.392000000007</v>
      </c>
      <c r="AX23" s="8291">
        <f t="shared" ref="AX23:BE23" si="72">SUM(AX19:AX22)</f>
        <v>45000</v>
      </c>
      <c r="AY23" s="3205">
        <f t="shared" si="72"/>
        <v>13013.9</v>
      </c>
      <c r="AZ23" s="8300">
        <f t="shared" si="72"/>
        <v>115000</v>
      </c>
      <c r="BA23" s="5741">
        <f t="shared" si="72"/>
        <v>43935.770000000004</v>
      </c>
      <c r="BB23" s="8300">
        <f t="shared" si="55"/>
        <v>195000</v>
      </c>
      <c r="BC23" s="5741">
        <f t="shared" si="56"/>
        <v>87875.1</v>
      </c>
      <c r="BD23" s="8311">
        <f t="shared" si="72"/>
        <v>220000</v>
      </c>
      <c r="BE23" s="7235">
        <f t="shared" si="72"/>
        <v>103961.292</v>
      </c>
    </row>
    <row r="24" spans="2:57" s="3380" customFormat="1" ht="18" x14ac:dyDescent="0.2">
      <c r="B24" s="5767" t="s">
        <v>1135</v>
      </c>
      <c r="C24" s="5756"/>
      <c r="D24" s="5768"/>
      <c r="E24" s="5769"/>
      <c r="F24" s="5768"/>
      <c r="G24" s="5769"/>
      <c r="H24" s="5770"/>
      <c r="I24" s="5769"/>
      <c r="J24" s="5770"/>
      <c r="K24" s="5769"/>
      <c r="L24" s="5770"/>
      <c r="M24" s="5769"/>
      <c r="N24" s="5770"/>
      <c r="O24" s="5769"/>
      <c r="P24" s="5770"/>
      <c r="Q24" s="5769"/>
      <c r="R24" s="5770"/>
      <c r="S24" s="5769"/>
      <c r="T24" s="5770"/>
      <c r="U24" s="5769"/>
      <c r="V24" s="5770"/>
      <c r="W24" s="5769"/>
      <c r="X24" s="5770"/>
      <c r="Y24" s="5769"/>
      <c r="Z24" s="5770"/>
      <c r="AA24" s="5769"/>
      <c r="AB24" s="5770"/>
      <c r="AC24" s="5769"/>
      <c r="AD24" s="5770"/>
      <c r="AE24" s="5769"/>
      <c r="AF24" s="5770"/>
      <c r="AG24" s="5769"/>
      <c r="AH24" s="5770"/>
      <c r="AI24" s="5769"/>
      <c r="AJ24" s="5770"/>
      <c r="AK24" s="5769"/>
      <c r="AL24" s="5770"/>
      <c r="AM24" s="5769"/>
      <c r="AN24" s="5770"/>
      <c r="AO24" s="5769"/>
      <c r="AP24" s="5770"/>
      <c r="AQ24" s="5769"/>
      <c r="AR24" s="5770"/>
      <c r="AS24" s="5769"/>
      <c r="AT24" s="5770"/>
      <c r="AU24" s="5769"/>
      <c r="AV24" s="5770"/>
      <c r="AW24" s="5769"/>
      <c r="AX24" s="5770"/>
      <c r="AY24" s="5769"/>
      <c r="AZ24" s="5770"/>
      <c r="BA24" s="5769"/>
      <c r="BB24" s="5770"/>
      <c r="BC24" s="5769"/>
      <c r="BD24" s="5770"/>
      <c r="BE24" s="5769"/>
    </row>
    <row r="25" spans="2:57" ht="18" x14ac:dyDescent="0.2">
      <c r="B25" s="4815" t="s">
        <v>1881</v>
      </c>
      <c r="C25" s="4010" t="s">
        <v>170</v>
      </c>
      <c r="D25" s="4816">
        <v>0</v>
      </c>
      <c r="E25" s="4453">
        <v>0</v>
      </c>
      <c r="F25" s="5061">
        <v>0</v>
      </c>
      <c r="G25" s="4453">
        <v>2126.39</v>
      </c>
      <c r="H25" s="4817">
        <f>+D25+F25</f>
        <v>0</v>
      </c>
      <c r="I25" s="4466">
        <f t="shared" ref="I25:I29" si="73">+E25+G25</f>
        <v>2126.39</v>
      </c>
      <c r="J25" s="4824">
        <v>0</v>
      </c>
      <c r="K25" s="4453">
        <v>4977.5600000000004</v>
      </c>
      <c r="L25" s="4818">
        <f>+H25+J25</f>
        <v>0</v>
      </c>
      <c r="M25" s="4854">
        <f t="shared" ref="M25:M29" si="74">+I25+K25</f>
        <v>7103.9500000000007</v>
      </c>
      <c r="N25" s="4824">
        <v>0</v>
      </c>
      <c r="O25" s="4453">
        <v>2063.21</v>
      </c>
      <c r="P25" s="4817">
        <f>+L25+N25</f>
        <v>0</v>
      </c>
      <c r="Q25" s="4466">
        <f t="shared" ref="Q25:Q29" si="75">+M25+O25</f>
        <v>9167.16</v>
      </c>
      <c r="R25" s="4824">
        <v>0</v>
      </c>
      <c r="S25" s="4453">
        <v>2756.6099999999997</v>
      </c>
      <c r="T25" s="4817">
        <f>+P25+R25</f>
        <v>0</v>
      </c>
      <c r="U25" s="4466">
        <f t="shared" ref="U25:U29" si="76">+Q25+S25</f>
        <v>11923.77</v>
      </c>
      <c r="V25" s="4824">
        <v>0</v>
      </c>
      <c r="W25" s="4453">
        <v>2569.6799999999998</v>
      </c>
      <c r="X25" s="4818">
        <f>N25+R25+V25</f>
        <v>0</v>
      </c>
      <c r="Y25" s="4854">
        <f>O25+S25+W25</f>
        <v>7389.5</v>
      </c>
      <c r="Z25" s="7230">
        <f>+T25+V25</f>
        <v>0</v>
      </c>
      <c r="AA25" s="7231">
        <f t="shared" ref="AA25:AA29" si="77">+U25+W25</f>
        <v>14493.45</v>
      </c>
      <c r="AB25" s="4824">
        <v>0</v>
      </c>
      <c r="AC25" s="4453">
        <v>2544.15</v>
      </c>
      <c r="AD25" s="4817">
        <f>+Z25+AB25</f>
        <v>0</v>
      </c>
      <c r="AE25" s="4466">
        <f t="shared" ref="AE25:AE29" si="78">+AA25+AC25</f>
        <v>17037.600000000002</v>
      </c>
      <c r="AF25" s="4824"/>
      <c r="AG25" s="4453">
        <v>2986.3300000000004</v>
      </c>
      <c r="AH25" s="4817">
        <f>+AD25+AF25</f>
        <v>0</v>
      </c>
      <c r="AI25" s="4466">
        <f t="shared" ref="AI25:AI29" si="79">+AE25+AG25</f>
        <v>20023.930000000004</v>
      </c>
      <c r="AJ25" s="4824">
        <v>0</v>
      </c>
      <c r="AK25" s="4453">
        <v>2438.1100000000006</v>
      </c>
      <c r="AL25" s="4818">
        <f>AB25+AF25+AJ25</f>
        <v>0</v>
      </c>
      <c r="AM25" s="4854">
        <f>AC25+AG25+AK25</f>
        <v>7968.5900000000011</v>
      </c>
      <c r="AN25" s="4817">
        <f>+AH25+AJ25</f>
        <v>0</v>
      </c>
      <c r="AO25" s="4466">
        <f t="shared" ref="AO25:AO29" si="80">+AI25+AK25</f>
        <v>22462.040000000005</v>
      </c>
      <c r="AP25" s="4824">
        <v>0</v>
      </c>
      <c r="AQ25" s="4453">
        <v>3556.32</v>
      </c>
      <c r="AR25" s="4817">
        <f>+AN25+AP25</f>
        <v>0</v>
      </c>
      <c r="AS25" s="4466">
        <f t="shared" ref="AS25:AS29" si="81">+AO25+AQ25</f>
        <v>26018.360000000004</v>
      </c>
      <c r="AT25" s="4824">
        <v>0</v>
      </c>
      <c r="AU25" s="4453">
        <v>613.39</v>
      </c>
      <c r="AV25" s="4817">
        <f>+AR25+AT25</f>
        <v>0</v>
      </c>
      <c r="AW25" s="4466">
        <f t="shared" ref="AW25:AW29" si="82">+AS25+AU25</f>
        <v>26631.750000000004</v>
      </c>
      <c r="AX25" s="4824">
        <v>0</v>
      </c>
      <c r="AY25" s="4453">
        <v>5075.6099999999997</v>
      </c>
      <c r="AZ25" s="4818">
        <f>AP25+AT25+AX25</f>
        <v>0</v>
      </c>
      <c r="BA25" s="4854">
        <f>AQ25+AU25+AY25</f>
        <v>9245.32</v>
      </c>
      <c r="BB25" s="4818">
        <f t="shared" ref="BB25:BB30" si="83">+AZ25+AL25</f>
        <v>0</v>
      </c>
      <c r="BC25" s="4854">
        <f t="shared" ref="BC25:BC30" si="84">+BA25+AM25</f>
        <v>17213.91</v>
      </c>
      <c r="BD25" s="7230">
        <f>+AV25+AX25</f>
        <v>0</v>
      </c>
      <c r="BE25" s="7231">
        <f t="shared" ref="BE25:BE29" si="85">+AW25+AY25</f>
        <v>31707.360000000004</v>
      </c>
    </row>
    <row r="26" spans="2:57" ht="18" x14ac:dyDescent="0.2">
      <c r="B26" s="4815" t="s">
        <v>244</v>
      </c>
      <c r="C26" s="4010" t="s">
        <v>170</v>
      </c>
      <c r="D26" s="8780">
        <f>+'Maj Desp Summ'!D11</f>
        <v>94808</v>
      </c>
      <c r="E26" s="4453">
        <v>0</v>
      </c>
      <c r="F26" s="8780">
        <f>+'Maj Desp Summ'!F11</f>
        <v>65936.95</v>
      </c>
      <c r="G26" s="4453">
        <v>21582.50499999999</v>
      </c>
      <c r="H26" s="8802">
        <f>+D26+F26</f>
        <v>160744.95000000001</v>
      </c>
      <c r="I26" s="4463">
        <f t="shared" si="73"/>
        <v>21582.50499999999</v>
      </c>
      <c r="J26" s="8780">
        <f>+'Maj Desp Summ'!J11</f>
        <v>77842</v>
      </c>
      <c r="K26" s="4453">
        <v>38420.910999999993</v>
      </c>
      <c r="L26" s="8735">
        <f>+H26+J26</f>
        <v>238586.95</v>
      </c>
      <c r="M26" s="5742">
        <f t="shared" si="74"/>
        <v>60003.415999999983</v>
      </c>
      <c r="N26" s="8780">
        <f>+'Maj Desp Summ'!N11</f>
        <v>119500</v>
      </c>
      <c r="O26" s="4453">
        <v>34992.004000000001</v>
      </c>
      <c r="P26" s="8802">
        <f>+L26+N26</f>
        <v>358086.95</v>
      </c>
      <c r="Q26" s="4463">
        <f t="shared" si="75"/>
        <v>94995.419999999984</v>
      </c>
      <c r="R26" s="8780">
        <f>+'Maj Desp Summ'!R11</f>
        <v>119300</v>
      </c>
      <c r="S26" s="4453">
        <v>24453.821999999996</v>
      </c>
      <c r="T26" s="8802">
        <f>+P26+R26</f>
        <v>477386.95</v>
      </c>
      <c r="U26" s="4463">
        <f t="shared" si="76"/>
        <v>119449.24199999998</v>
      </c>
      <c r="V26" s="8780">
        <f>+'Maj Desp Summ'!V11</f>
        <v>118300</v>
      </c>
      <c r="W26" s="4453">
        <v>6345.2799999999988</v>
      </c>
      <c r="X26" s="8735">
        <f>N26+R26+V26</f>
        <v>357100</v>
      </c>
      <c r="Y26" s="4854">
        <f t="shared" ref="Y26:Y29" si="86">O26+S26+W26</f>
        <v>65791.106</v>
      </c>
      <c r="Z26" s="8768">
        <f>+T26+V26</f>
        <v>595686.94999999995</v>
      </c>
      <c r="AA26" s="7236">
        <f t="shared" si="77"/>
        <v>125794.52199999998</v>
      </c>
      <c r="AB26" s="8780">
        <f>+'Maj Desp Summ'!AB11</f>
        <v>9175.3772204806719</v>
      </c>
      <c r="AC26" s="4453">
        <v>8360.7599999999984</v>
      </c>
      <c r="AD26" s="8802">
        <f>+Z26+AB26</f>
        <v>604862.32722048066</v>
      </c>
      <c r="AE26" s="4463">
        <f t="shared" si="78"/>
        <v>134155.28199999998</v>
      </c>
      <c r="AF26" s="8780">
        <f>+'Maj Desp Summ'!AF11</f>
        <v>49806.09887418367</v>
      </c>
      <c r="AG26" s="4453">
        <v>21561.93</v>
      </c>
      <c r="AH26" s="8802">
        <f>+AD26+AF26</f>
        <v>654668.42609466438</v>
      </c>
      <c r="AI26" s="4463">
        <f t="shared" si="79"/>
        <v>155717.21199999997</v>
      </c>
      <c r="AJ26" s="8780">
        <f>+'Maj Desp Summ'!AJ11</f>
        <v>66977.646181181786</v>
      </c>
      <c r="AK26" s="4453">
        <v>37634.69999999999</v>
      </c>
      <c r="AL26" s="8735">
        <f>AB26+AF26+AJ26</f>
        <v>125959.12227584614</v>
      </c>
      <c r="AM26" s="4854">
        <f t="shared" ref="AM26:AM29" si="87">AC26+AG26+AK26</f>
        <v>67557.389999999985</v>
      </c>
      <c r="AN26" s="8802">
        <f>+AH26+AJ26</f>
        <v>721646.07227584615</v>
      </c>
      <c r="AO26" s="4463">
        <f t="shared" si="80"/>
        <v>193351.91199999995</v>
      </c>
      <c r="AP26" s="8780">
        <f>+'Maj Desp Summ'!AP11</f>
        <v>61266.703400687926</v>
      </c>
      <c r="AQ26" s="4453">
        <v>13160.699999999997</v>
      </c>
      <c r="AR26" s="8802">
        <f>+AN26+AP26</f>
        <v>782912.77567653405</v>
      </c>
      <c r="AS26" s="4463">
        <f t="shared" si="81"/>
        <v>206512.61199999996</v>
      </c>
      <c r="AT26" s="8780">
        <f>+'Maj Desp Summ'!AT11</f>
        <v>55498</v>
      </c>
      <c r="AU26" s="4453">
        <v>24358.45</v>
      </c>
      <c r="AV26" s="8802">
        <f>+AR26+AT26</f>
        <v>838410.77567653405</v>
      </c>
      <c r="AW26" s="4463">
        <f t="shared" si="82"/>
        <v>230871.06199999998</v>
      </c>
      <c r="AX26" s="8780">
        <f>+'Maj Desp Summ'!AX11</f>
        <v>55223</v>
      </c>
      <c r="AY26" s="4453">
        <v>21148.59</v>
      </c>
      <c r="AZ26" s="8735">
        <f>AP26+AT26+AX26</f>
        <v>171987.70340068793</v>
      </c>
      <c r="BA26" s="4854">
        <f t="shared" ref="BA26:BA29" si="88">AQ26+AU26+AY26</f>
        <v>58667.739999999991</v>
      </c>
      <c r="BB26" s="8735">
        <f t="shared" si="83"/>
        <v>297946.82567653409</v>
      </c>
      <c r="BC26" s="4854">
        <f t="shared" si="84"/>
        <v>126225.12999999998</v>
      </c>
      <c r="BD26" s="8768">
        <f>+AV26+AX26</f>
        <v>893633.77567653405</v>
      </c>
      <c r="BE26" s="7236">
        <f t="shared" si="85"/>
        <v>252019.65199999997</v>
      </c>
    </row>
    <row r="27" spans="2:57" ht="18" x14ac:dyDescent="0.2">
      <c r="B27" s="4815" t="s">
        <v>245</v>
      </c>
      <c r="C27" s="4010" t="s">
        <v>170</v>
      </c>
      <c r="D27" s="8781"/>
      <c r="E27" s="4453">
        <v>0</v>
      </c>
      <c r="F27" s="8781"/>
      <c r="G27" s="4453">
        <v>7101.3</v>
      </c>
      <c r="H27" s="8803"/>
      <c r="I27" s="4463">
        <f t="shared" si="73"/>
        <v>7101.3</v>
      </c>
      <c r="J27" s="8781"/>
      <c r="K27" s="4453">
        <v>7308.3539999999994</v>
      </c>
      <c r="L27" s="8736"/>
      <c r="M27" s="5742">
        <f t="shared" si="74"/>
        <v>14409.653999999999</v>
      </c>
      <c r="N27" s="8781"/>
      <c r="O27" s="4453">
        <v>6177.3339999999998</v>
      </c>
      <c r="P27" s="8803"/>
      <c r="Q27" s="4463">
        <f t="shared" si="75"/>
        <v>20586.987999999998</v>
      </c>
      <c r="R27" s="8781"/>
      <c r="S27" s="4453">
        <v>7042.4510000000028</v>
      </c>
      <c r="T27" s="8803"/>
      <c r="U27" s="4463">
        <f t="shared" si="76"/>
        <v>27629.438999999998</v>
      </c>
      <c r="V27" s="8781"/>
      <c r="W27" s="4453">
        <v>522.47</v>
      </c>
      <c r="X27" s="8736"/>
      <c r="Y27" s="4854">
        <f t="shared" si="86"/>
        <v>13742.255000000003</v>
      </c>
      <c r="Z27" s="8769"/>
      <c r="AA27" s="7236">
        <f t="shared" si="77"/>
        <v>28151.909</v>
      </c>
      <c r="AB27" s="8781"/>
      <c r="AC27" s="4453">
        <v>483.12</v>
      </c>
      <c r="AD27" s="8803"/>
      <c r="AE27" s="4463">
        <f t="shared" si="78"/>
        <v>28635.028999999999</v>
      </c>
      <c r="AF27" s="8781"/>
      <c r="AG27" s="4453">
        <v>3248.74</v>
      </c>
      <c r="AH27" s="8803"/>
      <c r="AI27" s="4463">
        <f t="shared" si="79"/>
        <v>31883.769</v>
      </c>
      <c r="AJ27" s="8781"/>
      <c r="AK27" s="4453">
        <v>5746.2099999999991</v>
      </c>
      <c r="AL27" s="8736"/>
      <c r="AM27" s="4854">
        <f t="shared" si="87"/>
        <v>9478.07</v>
      </c>
      <c r="AN27" s="8803"/>
      <c r="AO27" s="4463">
        <f t="shared" si="80"/>
        <v>37629.978999999999</v>
      </c>
      <c r="AP27" s="8781"/>
      <c r="AQ27" s="4453">
        <v>23398.059999999994</v>
      </c>
      <c r="AR27" s="8803"/>
      <c r="AS27" s="4463">
        <f t="shared" si="81"/>
        <v>61028.03899999999</v>
      </c>
      <c r="AT27" s="8781"/>
      <c r="AU27" s="4453">
        <v>9094.2800000000007</v>
      </c>
      <c r="AV27" s="8803"/>
      <c r="AW27" s="4463">
        <f t="shared" si="82"/>
        <v>70122.318999999989</v>
      </c>
      <c r="AX27" s="8781"/>
      <c r="AY27" s="4453">
        <v>4459.3999999999996</v>
      </c>
      <c r="AZ27" s="8736"/>
      <c r="BA27" s="4854">
        <f t="shared" si="88"/>
        <v>36951.74</v>
      </c>
      <c r="BB27" s="8736">
        <f t="shared" si="83"/>
        <v>0</v>
      </c>
      <c r="BC27" s="4854">
        <f t="shared" si="84"/>
        <v>46429.81</v>
      </c>
      <c r="BD27" s="8769"/>
      <c r="BE27" s="7236">
        <f t="shared" si="85"/>
        <v>74581.718999999983</v>
      </c>
    </row>
    <row r="28" spans="2:57" ht="18" x14ac:dyDescent="0.2">
      <c r="B28" s="4815" t="s">
        <v>467</v>
      </c>
      <c r="C28" s="4010" t="s">
        <v>170</v>
      </c>
      <c r="D28" s="8783"/>
      <c r="E28" s="4453">
        <v>40972.332999999991</v>
      </c>
      <c r="F28" s="8783"/>
      <c r="G28" s="4453">
        <v>68996.782999999996</v>
      </c>
      <c r="H28" s="8808"/>
      <c r="I28" s="4466">
        <f t="shared" si="73"/>
        <v>109969.11599999998</v>
      </c>
      <c r="J28" s="8783"/>
      <c r="K28" s="4453">
        <v>99019.096999999892</v>
      </c>
      <c r="L28" s="8738"/>
      <c r="M28" s="4854">
        <f t="shared" si="74"/>
        <v>208988.21299999987</v>
      </c>
      <c r="N28" s="8783"/>
      <c r="O28" s="4453">
        <v>84363.176999999967</v>
      </c>
      <c r="P28" s="8808"/>
      <c r="Q28" s="4466">
        <f t="shared" si="75"/>
        <v>293351.38999999984</v>
      </c>
      <c r="R28" s="8783"/>
      <c r="S28" s="4453">
        <v>72442.050999999919</v>
      </c>
      <c r="T28" s="8808"/>
      <c r="U28" s="4466">
        <f t="shared" si="76"/>
        <v>365793.44099999976</v>
      </c>
      <c r="V28" s="8783"/>
      <c r="W28" s="4453">
        <v>28964.825999999994</v>
      </c>
      <c r="X28" s="8738"/>
      <c r="Y28" s="4854">
        <f t="shared" si="86"/>
        <v>185770.05399999989</v>
      </c>
      <c r="Z28" s="8771"/>
      <c r="AA28" s="7231">
        <f t="shared" si="77"/>
        <v>394758.26699999976</v>
      </c>
      <c r="AB28" s="8783"/>
      <c r="AC28" s="4453">
        <v>0</v>
      </c>
      <c r="AD28" s="8808"/>
      <c r="AE28" s="4466">
        <f t="shared" si="78"/>
        <v>394758.26699999976</v>
      </c>
      <c r="AF28" s="8783"/>
      <c r="AG28" s="4453">
        <v>16235.619999999992</v>
      </c>
      <c r="AH28" s="8808"/>
      <c r="AI28" s="4466">
        <f t="shared" si="79"/>
        <v>410993.88699999976</v>
      </c>
      <c r="AJ28" s="8783"/>
      <c r="AK28" s="4453">
        <v>26160.400000000001</v>
      </c>
      <c r="AL28" s="8738"/>
      <c r="AM28" s="4854">
        <f t="shared" si="87"/>
        <v>42396.01999999999</v>
      </c>
      <c r="AN28" s="8808"/>
      <c r="AO28" s="4466">
        <f t="shared" si="80"/>
        <v>437154.28699999978</v>
      </c>
      <c r="AP28" s="8783"/>
      <c r="AQ28" s="4453">
        <v>39793.25999999998</v>
      </c>
      <c r="AR28" s="8808"/>
      <c r="AS28" s="4466">
        <f t="shared" si="81"/>
        <v>476947.54699999979</v>
      </c>
      <c r="AT28" s="8783"/>
      <c r="AU28" s="4453">
        <v>48234.98</v>
      </c>
      <c r="AV28" s="8808"/>
      <c r="AW28" s="4466">
        <f t="shared" si="82"/>
        <v>525182.52699999977</v>
      </c>
      <c r="AX28" s="8783"/>
      <c r="AY28" s="4453">
        <v>92218.35</v>
      </c>
      <c r="AZ28" s="8738"/>
      <c r="BA28" s="4854">
        <f t="shared" si="88"/>
        <v>180246.59</v>
      </c>
      <c r="BB28" s="8738">
        <f t="shared" si="83"/>
        <v>0</v>
      </c>
      <c r="BC28" s="4854">
        <f t="shared" si="84"/>
        <v>222642.61</v>
      </c>
      <c r="BD28" s="8771"/>
      <c r="BE28" s="7231">
        <f t="shared" si="85"/>
        <v>617400.87699999975</v>
      </c>
    </row>
    <row r="29" spans="2:57" ht="19" thickBot="1" x14ac:dyDescent="0.25">
      <c r="B29" s="4819" t="s">
        <v>250</v>
      </c>
      <c r="C29" s="4820" t="s">
        <v>170</v>
      </c>
      <c r="D29" s="7142">
        <v>0</v>
      </c>
      <c r="E29" s="4454">
        <v>0</v>
      </c>
      <c r="F29" s="7156">
        <v>0</v>
      </c>
      <c r="G29" s="4454">
        <v>0</v>
      </c>
      <c r="H29" s="7144">
        <f>+D29+F29</f>
        <v>0</v>
      </c>
      <c r="I29" s="4466">
        <f t="shared" si="73"/>
        <v>0</v>
      </c>
      <c r="J29" s="7143">
        <v>0</v>
      </c>
      <c r="K29" s="4454">
        <v>0</v>
      </c>
      <c r="L29" s="7151">
        <f>+H29+J29</f>
        <v>0</v>
      </c>
      <c r="M29" s="4854">
        <f t="shared" si="74"/>
        <v>0</v>
      </c>
      <c r="N29" s="7143">
        <v>0</v>
      </c>
      <c r="O29" s="4454">
        <v>0</v>
      </c>
      <c r="P29" s="7144">
        <f>+L29+N29</f>
        <v>0</v>
      </c>
      <c r="Q29" s="4466">
        <f t="shared" si="75"/>
        <v>0</v>
      </c>
      <c r="R29" s="7143">
        <v>2700</v>
      </c>
      <c r="S29" s="4454">
        <v>1092.3899999999999</v>
      </c>
      <c r="T29" s="7144">
        <f>+P29+R29</f>
        <v>2700</v>
      </c>
      <c r="U29" s="4466">
        <f t="shared" si="76"/>
        <v>1092.3899999999999</v>
      </c>
      <c r="V29" s="7143">
        <v>2700</v>
      </c>
      <c r="W29" s="4454">
        <v>190.24000000000004</v>
      </c>
      <c r="X29" s="7151">
        <f>N29+R29+V29</f>
        <v>5400</v>
      </c>
      <c r="Y29" s="4854">
        <f t="shared" si="86"/>
        <v>1282.6299999999999</v>
      </c>
      <c r="Z29" s="7158">
        <f>+T29+V29</f>
        <v>5400</v>
      </c>
      <c r="AA29" s="7231">
        <f t="shared" si="77"/>
        <v>1282.6299999999999</v>
      </c>
      <c r="AB29" s="7303">
        <v>0</v>
      </c>
      <c r="AC29" s="4454">
        <v>0</v>
      </c>
      <c r="AD29" s="7302">
        <f>+Z29+AB29</f>
        <v>5400</v>
      </c>
      <c r="AE29" s="4466">
        <f t="shared" si="78"/>
        <v>1282.6299999999999</v>
      </c>
      <c r="AF29" s="7572">
        <v>2700</v>
      </c>
      <c r="AG29" s="4454">
        <v>0</v>
      </c>
      <c r="AH29" s="7573">
        <f>+AD29+AF29</f>
        <v>8100</v>
      </c>
      <c r="AI29" s="4466">
        <f t="shared" si="79"/>
        <v>1282.6299999999999</v>
      </c>
      <c r="AJ29" s="7716">
        <v>2700</v>
      </c>
      <c r="AK29" s="4454">
        <v>0</v>
      </c>
      <c r="AL29" s="7718">
        <f>AB29+AF29+AJ29</f>
        <v>5400</v>
      </c>
      <c r="AM29" s="4854">
        <f t="shared" si="87"/>
        <v>0</v>
      </c>
      <c r="AN29" s="7726">
        <f>+AH29+AJ29</f>
        <v>10800</v>
      </c>
      <c r="AO29" s="4466">
        <f t="shared" si="80"/>
        <v>1282.6299999999999</v>
      </c>
      <c r="AP29" s="8037"/>
      <c r="AQ29" s="4454">
        <v>8475.8799999999974</v>
      </c>
      <c r="AR29" s="8038">
        <f>+AN29+AP29</f>
        <v>10800</v>
      </c>
      <c r="AS29" s="4466">
        <f t="shared" si="81"/>
        <v>9758.5099999999966</v>
      </c>
      <c r="AT29" s="8229"/>
      <c r="AU29" s="4454">
        <v>0</v>
      </c>
      <c r="AV29" s="8230">
        <f>+AR29+AT29</f>
        <v>10800</v>
      </c>
      <c r="AW29" s="4466">
        <f t="shared" si="82"/>
        <v>9758.5099999999966</v>
      </c>
      <c r="AX29" s="8291"/>
      <c r="AY29" s="4454"/>
      <c r="AZ29" s="8300">
        <f>AP29+AT29+AX29</f>
        <v>0</v>
      </c>
      <c r="BA29" s="4854">
        <f t="shared" si="88"/>
        <v>8475.8799999999974</v>
      </c>
      <c r="BB29" s="8300">
        <f t="shared" si="83"/>
        <v>5400</v>
      </c>
      <c r="BC29" s="4854">
        <f t="shared" si="84"/>
        <v>8475.8799999999974</v>
      </c>
      <c r="BD29" s="8311">
        <f>+AV29+AX29</f>
        <v>10800</v>
      </c>
      <c r="BE29" s="7231">
        <f t="shared" si="85"/>
        <v>9758.5099999999966</v>
      </c>
    </row>
    <row r="30" spans="2:57" ht="19" thickBot="1" x14ac:dyDescent="0.25">
      <c r="B30" s="4821" t="s">
        <v>15</v>
      </c>
      <c r="C30" s="2963" t="s">
        <v>170</v>
      </c>
      <c r="D30" s="1735">
        <f>SUM(D25:D29)</f>
        <v>94808</v>
      </c>
      <c r="E30" s="3205">
        <f t="shared" ref="E30:I30" si="89">SUM(E25:E29)</f>
        <v>40972.332999999991</v>
      </c>
      <c r="F30" s="1735">
        <f>SUM(F25:F29)</f>
        <v>65936.95</v>
      </c>
      <c r="G30" s="3205">
        <f t="shared" ref="G30" si="90">SUM(G25:G29)</f>
        <v>99806.977999999988</v>
      </c>
      <c r="H30" s="7144">
        <f>SUM(H25:H29)</f>
        <v>160744.95000000001</v>
      </c>
      <c r="I30" s="4400">
        <f t="shared" si="89"/>
        <v>140779.31099999996</v>
      </c>
      <c r="J30" s="1735">
        <f>SUM(J25:J29)</f>
        <v>77842</v>
      </c>
      <c r="K30" s="3205">
        <f t="shared" ref="K30" si="91">SUM(K25:K29)</f>
        <v>149725.92199999987</v>
      </c>
      <c r="L30" s="7151">
        <f>SUM(L25:L29)</f>
        <v>238586.95</v>
      </c>
      <c r="M30" s="5740">
        <f t="shared" ref="M30" si="92">SUM(M25:M29)</f>
        <v>290505.23299999983</v>
      </c>
      <c r="N30" s="1735">
        <f>SUM(N25:N29)</f>
        <v>119500</v>
      </c>
      <c r="O30" s="3205">
        <f t="shared" ref="O30" si="93">SUM(O25:O29)</f>
        <v>127595.72499999998</v>
      </c>
      <c r="P30" s="7144">
        <f>SUM(P25:P29)</f>
        <v>358086.95</v>
      </c>
      <c r="Q30" s="4400">
        <f t="shared" ref="Q30" si="94">SUM(Q25:Q29)</f>
        <v>418100.95799999981</v>
      </c>
      <c r="R30" s="1735">
        <f>SUM(R25:R29)</f>
        <v>122000</v>
      </c>
      <c r="S30" s="3205">
        <f t="shared" ref="S30" si="95">SUM(S25:S29)</f>
        <v>107787.32399999992</v>
      </c>
      <c r="T30" s="7144">
        <f>SUM(T25:T29)</f>
        <v>480086.95</v>
      </c>
      <c r="U30" s="4400">
        <f t="shared" ref="U30" si="96">SUM(U25:U29)</f>
        <v>525888.28199999977</v>
      </c>
      <c r="V30" s="1735">
        <f>SUM(V25:V29)</f>
        <v>121000</v>
      </c>
      <c r="W30" s="3205">
        <f t="shared" ref="W30" si="97">SUM(W25:W29)</f>
        <v>38592.495999999992</v>
      </c>
      <c r="X30" s="7151">
        <f>SUM(X25:X29)</f>
        <v>362500</v>
      </c>
      <c r="Y30" s="5740">
        <f t="shared" ref="Y30" si="98">SUM(Y25:Y29)</f>
        <v>273975.54499999993</v>
      </c>
      <c r="Z30" s="7158">
        <f>SUM(Z25:Z29)</f>
        <v>601086.94999999995</v>
      </c>
      <c r="AA30" s="7233">
        <f t="shared" ref="AA30" si="99">SUM(AA25:AA29)</f>
        <v>564480.77799999982</v>
      </c>
      <c r="AB30" s="1735">
        <f>SUM(AB25:AB29)</f>
        <v>9175.3772204806719</v>
      </c>
      <c r="AC30" s="3205">
        <f t="shared" ref="AC30" si="100">SUM(AC25:AC29)</f>
        <v>11388.029999999999</v>
      </c>
      <c r="AD30" s="7302">
        <f>SUM(AD25:AD29)</f>
        <v>610262.32722048066</v>
      </c>
      <c r="AE30" s="4400">
        <f t="shared" ref="AE30" si="101">SUM(AE25:AE29)</f>
        <v>575868.80799999973</v>
      </c>
      <c r="AF30" s="1735">
        <f>SUM(AF25:AF29)</f>
        <v>52506.09887418367</v>
      </c>
      <c r="AG30" s="3205">
        <f t="shared" ref="AG30" si="102">SUM(AG25:AG29)</f>
        <v>44032.619999999995</v>
      </c>
      <c r="AH30" s="7573">
        <f>SUM(AH25:AH29)</f>
        <v>662768.42609466438</v>
      </c>
      <c r="AI30" s="4400">
        <f t="shared" ref="AI30" si="103">SUM(AI25:AI29)</f>
        <v>619901.42799999972</v>
      </c>
      <c r="AJ30" s="1735">
        <f>SUM(AJ25:AJ29)</f>
        <v>69677.646181181786</v>
      </c>
      <c r="AK30" s="3205">
        <f t="shared" ref="AK30" si="104">SUM(AK25:AK29)</f>
        <v>71979.419999999984</v>
      </c>
      <c r="AL30" s="7718">
        <f>SUM(AL25:AL29)</f>
        <v>131359.12227584614</v>
      </c>
      <c r="AM30" s="5740">
        <f t="shared" ref="AM30" si="105">SUM(AM25:AM29)</f>
        <v>127400.06999999998</v>
      </c>
      <c r="AN30" s="7726">
        <f>SUM(AN25:AN29)</f>
        <v>732446.07227584615</v>
      </c>
      <c r="AO30" s="4400">
        <f t="shared" ref="AO30" si="106">SUM(AO25:AO29)</f>
        <v>691880.84799999977</v>
      </c>
      <c r="AP30" s="1735">
        <f>SUM(AP25:AP29)</f>
        <v>61266.703400687926</v>
      </c>
      <c r="AQ30" s="3205">
        <f t="shared" ref="AQ30" si="107">SUM(AQ25:AQ29)</f>
        <v>88384.219999999972</v>
      </c>
      <c r="AR30" s="8038">
        <f>SUM(AR25:AR29)</f>
        <v>793712.77567653405</v>
      </c>
      <c r="AS30" s="4400">
        <f t="shared" ref="AS30" si="108">SUM(AS25:AS29)</f>
        <v>780265.06799999974</v>
      </c>
      <c r="AT30" s="1735">
        <f>SUM(AT25:AT29)</f>
        <v>55498</v>
      </c>
      <c r="AU30" s="3205">
        <f t="shared" ref="AU30" si="109">SUM(AU25:AU29)</f>
        <v>82301.100000000006</v>
      </c>
      <c r="AV30" s="8230">
        <f>SUM(AV25:AV29)</f>
        <v>849210.77567653405</v>
      </c>
      <c r="AW30" s="4400">
        <f t="shared" ref="AW30" si="110">SUM(AW25:AW29)</f>
        <v>862566.16799999971</v>
      </c>
      <c r="AX30" s="1735">
        <f>SUM(AX25:AX29)</f>
        <v>55223</v>
      </c>
      <c r="AY30" s="3205">
        <f t="shared" ref="AY30" si="111">SUM(AY25:AY29)</f>
        <v>122901.95000000001</v>
      </c>
      <c r="AZ30" s="8300">
        <f>SUM(AZ25:AZ29)</f>
        <v>171987.70340068793</v>
      </c>
      <c r="BA30" s="5740">
        <f t="shared" ref="BA30" si="112">SUM(BA25:BA29)</f>
        <v>293587.27</v>
      </c>
      <c r="BB30" s="8300">
        <f t="shared" si="83"/>
        <v>303346.82567653409</v>
      </c>
      <c r="BC30" s="5740">
        <f t="shared" si="84"/>
        <v>420987.33999999997</v>
      </c>
      <c r="BD30" s="8311">
        <f>SUM(BD25:BD29)</f>
        <v>904433.77567653405</v>
      </c>
      <c r="BE30" s="7233">
        <f t="shared" ref="BE30" si="113">SUM(BE25:BE29)</f>
        <v>985468.11799999978</v>
      </c>
    </row>
    <row r="31" spans="2:57" s="3380" customFormat="1" ht="18" x14ac:dyDescent="0.2">
      <c r="B31" s="5320" t="s">
        <v>451</v>
      </c>
      <c r="C31" s="4902"/>
      <c r="D31" s="5766"/>
      <c r="E31" s="5397"/>
      <c r="F31" s="5766"/>
      <c r="G31" s="5397"/>
      <c r="H31" s="5399"/>
      <c r="I31" s="5397"/>
      <c r="J31" s="5399"/>
      <c r="K31" s="5397"/>
      <c r="L31" s="5399"/>
      <c r="M31" s="5397"/>
      <c r="N31" s="5399"/>
      <c r="O31" s="5397"/>
      <c r="P31" s="5399"/>
      <c r="Q31" s="5397"/>
      <c r="R31" s="5399"/>
      <c r="S31" s="5397"/>
      <c r="T31" s="5399"/>
      <c r="U31" s="5397"/>
      <c r="V31" s="5399"/>
      <c r="W31" s="5397"/>
      <c r="X31" s="5399"/>
      <c r="Y31" s="5397"/>
      <c r="Z31" s="5399"/>
      <c r="AA31" s="5397"/>
      <c r="AB31" s="5399"/>
      <c r="AC31" s="5397"/>
      <c r="AD31" s="5399"/>
      <c r="AE31" s="5397"/>
      <c r="AF31" s="5399"/>
      <c r="AG31" s="5397"/>
      <c r="AH31" s="5399"/>
      <c r="AI31" s="5397"/>
      <c r="AJ31" s="5399"/>
      <c r="AK31" s="5397"/>
      <c r="AL31" s="5399"/>
      <c r="AM31" s="5397"/>
      <c r="AN31" s="5399"/>
      <c r="AO31" s="5397"/>
      <c r="AP31" s="5399"/>
      <c r="AQ31" s="5397"/>
      <c r="AR31" s="5399"/>
      <c r="AS31" s="5397"/>
      <c r="AT31" s="5399"/>
      <c r="AU31" s="5397"/>
      <c r="AV31" s="5399"/>
      <c r="AW31" s="5397"/>
      <c r="AX31" s="5399"/>
      <c r="AY31" s="5397"/>
      <c r="AZ31" s="5399"/>
      <c r="BA31" s="5397"/>
      <c r="BB31" s="5399"/>
      <c r="BC31" s="5397"/>
      <c r="BD31" s="5399"/>
      <c r="BE31" s="5397"/>
    </row>
    <row r="32" spans="2:57" ht="18" x14ac:dyDescent="0.2">
      <c r="B32" s="4825" t="s">
        <v>1265</v>
      </c>
      <c r="C32" s="4826" t="s">
        <v>170</v>
      </c>
      <c r="D32" s="4816">
        <f t="shared" ref="D32:E33" si="114">+D7+D13+D19+D25</f>
        <v>0</v>
      </c>
      <c r="E32" s="4827">
        <f t="shared" si="114"/>
        <v>0</v>
      </c>
      <c r="F32" s="4816">
        <f t="shared" ref="F32" si="115">+F7+F13+F19+F25</f>
        <v>0</v>
      </c>
      <c r="G32" s="4827">
        <f t="shared" ref="G32" si="116">+G7+G13+G19+G25</f>
        <v>2126.39</v>
      </c>
      <c r="H32" s="4817">
        <f>+D32+F32</f>
        <v>0</v>
      </c>
      <c r="I32" s="4828">
        <f t="shared" ref="I32:I36" si="117">+E32+G32</f>
        <v>2126.39</v>
      </c>
      <c r="J32" s="4816">
        <f t="shared" ref="J32:K33" si="118">+J7+J13+J19+J25</f>
        <v>0</v>
      </c>
      <c r="K32" s="4827">
        <f t="shared" si="118"/>
        <v>4977.5600000000004</v>
      </c>
      <c r="L32" s="4818">
        <f>+H32+J32</f>
        <v>0</v>
      </c>
      <c r="M32" s="5743">
        <f t="shared" ref="M32:M36" si="119">+I32+K32</f>
        <v>7103.9500000000007</v>
      </c>
      <c r="N32" s="4816">
        <f t="shared" ref="N32:O32" si="120">+N7+N13+N19+N25</f>
        <v>200</v>
      </c>
      <c r="O32" s="4827">
        <f t="shared" si="120"/>
        <v>2063.21</v>
      </c>
      <c r="P32" s="4817">
        <f>+L32+N32</f>
        <v>200</v>
      </c>
      <c r="Q32" s="4828">
        <f t="shared" ref="Q32:Q36" si="121">+M32+O32</f>
        <v>9167.16</v>
      </c>
      <c r="R32" s="4816">
        <f t="shared" ref="R32:S33" si="122">+R7+R13+R19+R25</f>
        <v>200</v>
      </c>
      <c r="S32" s="4827">
        <f t="shared" si="122"/>
        <v>3108.6399999999994</v>
      </c>
      <c r="T32" s="4817">
        <f>+P32+R32</f>
        <v>400</v>
      </c>
      <c r="U32" s="4828">
        <f t="shared" ref="U32:U36" si="123">+Q32+S32</f>
        <v>12275.8</v>
      </c>
      <c r="V32" s="4816">
        <f t="shared" ref="V32:W32" si="124">+V7+V13+V19+V25</f>
        <v>0</v>
      </c>
      <c r="W32" s="4827">
        <f t="shared" si="124"/>
        <v>5547.54</v>
      </c>
      <c r="X32" s="4818">
        <f>N32+R32+V32</f>
        <v>400</v>
      </c>
      <c r="Y32" s="5743">
        <f>O32+S32+W32</f>
        <v>10719.39</v>
      </c>
      <c r="Z32" s="7230">
        <f>+T32+V32</f>
        <v>400</v>
      </c>
      <c r="AA32" s="7237">
        <f t="shared" ref="AA32:AA36" si="125">+U32+W32</f>
        <v>17823.34</v>
      </c>
      <c r="AB32" s="4816">
        <f t="shared" ref="AB32:AC32" si="126">+AB7+AB13+AB19+AB25</f>
        <v>0</v>
      </c>
      <c r="AC32" s="4827">
        <f t="shared" si="126"/>
        <v>2544.15</v>
      </c>
      <c r="AD32" s="4817">
        <f>+Z32+AB32</f>
        <v>400</v>
      </c>
      <c r="AE32" s="4828">
        <f t="shared" ref="AE32:AE36" si="127">+AA32+AC32</f>
        <v>20367.490000000002</v>
      </c>
      <c r="AF32" s="4816">
        <f t="shared" ref="AF32:AG32" si="128">+AF7+AF13+AF19+AF25</f>
        <v>0</v>
      </c>
      <c r="AG32" s="4827">
        <f t="shared" si="128"/>
        <v>3032.4500000000003</v>
      </c>
      <c r="AH32" s="4817">
        <f>+AD32+AF32</f>
        <v>400</v>
      </c>
      <c r="AI32" s="4828">
        <f t="shared" ref="AI32:AI36" si="129">+AE32+AG32</f>
        <v>23399.940000000002</v>
      </c>
      <c r="AJ32" s="4816">
        <f t="shared" ref="AJ32:AK33" si="130">+AJ7+AJ13+AJ19+AJ25</f>
        <v>0</v>
      </c>
      <c r="AK32" s="4827">
        <f>+AK7+AK13+AK19+AK25</f>
        <v>2622.9900000000007</v>
      </c>
      <c r="AL32" s="4818">
        <f>AB32+AF32+AJ32</f>
        <v>0</v>
      </c>
      <c r="AM32" s="5743">
        <f>AC32+AG32+AK32</f>
        <v>8199.59</v>
      </c>
      <c r="AN32" s="4817">
        <f>+AH32+AJ32</f>
        <v>400</v>
      </c>
      <c r="AO32" s="4828">
        <f t="shared" ref="AO32:AO36" si="131">+AI32+AK32</f>
        <v>26022.930000000004</v>
      </c>
      <c r="AP32" s="4816">
        <f t="shared" ref="AP32" si="132">+AP7+AP13+AP19+AP25</f>
        <v>0</v>
      </c>
      <c r="AQ32" s="4827">
        <f>+AQ7+AQ13+AQ19+AQ25</f>
        <v>3556.32</v>
      </c>
      <c r="AR32" s="4817">
        <f>+AN32+AP32</f>
        <v>400</v>
      </c>
      <c r="AS32" s="4828">
        <f t="shared" ref="AS32:AS36" si="133">+AO32+AQ32</f>
        <v>29579.250000000004</v>
      </c>
      <c r="AT32" s="4816">
        <f t="shared" ref="AT32" si="134">+AT7+AT13+AT19+AT25</f>
        <v>0</v>
      </c>
      <c r="AU32" s="4827">
        <f>+AU7+AU13+AU19+AU25</f>
        <v>613.39</v>
      </c>
      <c r="AV32" s="4817">
        <f>+AR32+AT32</f>
        <v>400</v>
      </c>
      <c r="AW32" s="4828">
        <f t="shared" ref="AW32:AW36" si="135">+AS32+AU32</f>
        <v>30192.640000000003</v>
      </c>
      <c r="AX32" s="4816">
        <f t="shared" ref="AX32" si="136">+AX7+AX13+AX19+AX25</f>
        <v>0</v>
      </c>
      <c r="AY32" s="4827">
        <f>+AY7+AY13+AY19+AY25</f>
        <v>5075.6099999999997</v>
      </c>
      <c r="AZ32" s="4818">
        <f>AP32+AT32+AX32</f>
        <v>0</v>
      </c>
      <c r="BA32" s="5743">
        <f>AQ32+AU32+AY32</f>
        <v>9245.32</v>
      </c>
      <c r="BB32" s="4818">
        <f t="shared" ref="BB32:BB38" si="137">+AZ32+AL32</f>
        <v>0</v>
      </c>
      <c r="BC32" s="5743">
        <f t="shared" ref="BC32:BC37" si="138">+BA32+AM32</f>
        <v>17444.91</v>
      </c>
      <c r="BD32" s="7230">
        <f>+AV32+AX32</f>
        <v>400</v>
      </c>
      <c r="BE32" s="7237">
        <f t="shared" ref="BE32:BE36" si="139">+AW32+AY32</f>
        <v>35268.25</v>
      </c>
    </row>
    <row r="33" spans="2:57" ht="18" x14ac:dyDescent="0.2">
      <c r="B33" s="4825" t="s">
        <v>244</v>
      </c>
      <c r="C33" s="4826" t="s">
        <v>170</v>
      </c>
      <c r="D33" s="8780">
        <f>+D8+D14+D20+D30</f>
        <v>117247.54000000001</v>
      </c>
      <c r="E33" s="4827">
        <f t="shared" si="114"/>
        <v>122.16</v>
      </c>
      <c r="F33" s="8780">
        <f>+F8+F14+F20+F30</f>
        <v>127316.95</v>
      </c>
      <c r="G33" s="4827">
        <f t="shared" ref="G33" si="140">+G8+G14+G20+G26</f>
        <v>34820.793999999987</v>
      </c>
      <c r="H33" s="8802">
        <f>+H8+H14+H20+H30</f>
        <v>244564.49000000002</v>
      </c>
      <c r="I33" s="4828">
        <f t="shared" si="117"/>
        <v>34942.953999999991</v>
      </c>
      <c r="J33" s="8780">
        <f>+J8+J14+J20+J30</f>
        <v>155750</v>
      </c>
      <c r="K33" s="4827">
        <f t="shared" si="118"/>
        <v>58512.050999999992</v>
      </c>
      <c r="L33" s="8735">
        <f>+L8+L14+L20+L30</f>
        <v>400314.49</v>
      </c>
      <c r="M33" s="5743">
        <f t="shared" si="119"/>
        <v>93455.004999999976</v>
      </c>
      <c r="N33" s="8780">
        <f>+N8+N14+N20+N30</f>
        <v>220900</v>
      </c>
      <c r="O33" s="4827">
        <f t="shared" ref="O33" si="141">+O8+O14+O20+O26</f>
        <v>63472.620999999999</v>
      </c>
      <c r="P33" s="8802">
        <f>+P8+P14+P20+P30</f>
        <v>621214.49</v>
      </c>
      <c r="Q33" s="4828">
        <f t="shared" si="121"/>
        <v>156927.62599999999</v>
      </c>
      <c r="R33" s="8780">
        <f>+R8+R14+R20+R30</f>
        <v>219800</v>
      </c>
      <c r="S33" s="4827">
        <f t="shared" si="122"/>
        <v>62729.820999999982</v>
      </c>
      <c r="T33" s="8802">
        <f>+T8+T14+T20+T30</f>
        <v>841014.49</v>
      </c>
      <c r="U33" s="4828">
        <f t="shared" si="123"/>
        <v>219657.44699999999</v>
      </c>
      <c r="V33" s="8780">
        <f>+V8+V14+V20+V30</f>
        <v>221000</v>
      </c>
      <c r="W33" s="4827">
        <f t="shared" ref="W33" si="142">+W8+W14+W20+W26</f>
        <v>35304.870999999999</v>
      </c>
      <c r="X33" s="8735">
        <f>N33+R33+V33</f>
        <v>661700</v>
      </c>
      <c r="Y33" s="5743">
        <f t="shared" ref="Y33:Y36" si="143">O33+S33+W33</f>
        <v>161507.31299999997</v>
      </c>
      <c r="Z33" s="8768">
        <f>+Z8+Z14+Z20+Z30</f>
        <v>1062014.49</v>
      </c>
      <c r="AA33" s="7237">
        <f t="shared" si="125"/>
        <v>254962.31799999997</v>
      </c>
      <c r="AB33" s="8780">
        <f>+AB8+AB14+AB20+AB30</f>
        <v>108975.37722048067</v>
      </c>
      <c r="AC33" s="4827">
        <f t="shared" ref="AC33" si="144">+AC8+AC14+AC20+AC26</f>
        <v>53651.130000000005</v>
      </c>
      <c r="AD33" s="8802">
        <f>+AD8+AD14+AD20+AD30</f>
        <v>1170989.8672204807</v>
      </c>
      <c r="AE33" s="4828">
        <f t="shared" si="127"/>
        <v>308613.44799999997</v>
      </c>
      <c r="AF33" s="8780">
        <f>+AF8+AF14+AF20+AF30</f>
        <v>209899.91019518368</v>
      </c>
      <c r="AG33" s="4827">
        <f t="shared" ref="AG33" si="145">+AG8+AG14+AG20+AG26</f>
        <v>83158.94</v>
      </c>
      <c r="AH33" s="8802">
        <f>+AH8+AH14+AH20+AH30</f>
        <v>1380889.7774156644</v>
      </c>
      <c r="AI33" s="4828">
        <f t="shared" si="129"/>
        <v>391772.38799999998</v>
      </c>
      <c r="AJ33" s="8780">
        <f>+AJ8+AJ14+AJ20+AJ30</f>
        <v>218717.28391728178</v>
      </c>
      <c r="AK33" s="4827">
        <f t="shared" si="130"/>
        <v>102972.69</v>
      </c>
      <c r="AL33" s="8735">
        <f>AB33+AF33+AJ33</f>
        <v>537592.57133294619</v>
      </c>
      <c r="AM33" s="5743">
        <f t="shared" ref="AM33:AM36" si="146">AC33+AG33+AK33</f>
        <v>239782.76</v>
      </c>
      <c r="AN33" s="8802">
        <f>+AN8+AN14+AN20+AN30</f>
        <v>1599607.0613329462</v>
      </c>
      <c r="AO33" s="4828">
        <f t="shared" si="131"/>
        <v>494745.07799999998</v>
      </c>
      <c r="AP33" s="8780">
        <f>+AP8+AP14+AP20+AP30</f>
        <v>216040.74113678792</v>
      </c>
      <c r="AQ33" s="4827">
        <f t="shared" ref="AQ33" si="147">+AQ8+AQ14+AQ20+AQ26</f>
        <v>54335.57</v>
      </c>
      <c r="AR33" s="8802">
        <f>+AR8+AR14+AR20+AR30</f>
        <v>1815647.8024697341</v>
      </c>
      <c r="AS33" s="4828">
        <f t="shared" si="133"/>
        <v>549080.64799999993</v>
      </c>
      <c r="AT33" s="8780">
        <f>+AT8+AT14+AT20+AT30</f>
        <v>199067</v>
      </c>
      <c r="AU33" s="4827">
        <f t="shared" ref="AU33" si="148">+AU8+AU14+AU20+AU26</f>
        <v>58789.759999999995</v>
      </c>
      <c r="AV33" s="8802">
        <f>+AV8+AV14+AV20+AV30</f>
        <v>2014714.8024697341</v>
      </c>
      <c r="AW33" s="4828">
        <f t="shared" si="135"/>
        <v>607870.40799999994</v>
      </c>
      <c r="AX33" s="8780">
        <f>+AX8+AX14+AX20+AX30</f>
        <v>219760</v>
      </c>
      <c r="AY33" s="4827">
        <f t="shared" ref="AY33" si="149">+AY8+AY14+AY20+AY26</f>
        <v>83456.11</v>
      </c>
      <c r="AZ33" s="8735">
        <f>AP33+AT33+AX33</f>
        <v>634867.74113678792</v>
      </c>
      <c r="BA33" s="5743">
        <f t="shared" ref="BA33:BA36" si="150">AQ33+AU33+AY33</f>
        <v>196581.44</v>
      </c>
      <c r="BB33" s="8735">
        <f t="shared" si="137"/>
        <v>1172460.3124697341</v>
      </c>
      <c r="BC33" s="5743">
        <f t="shared" si="138"/>
        <v>436364.2</v>
      </c>
      <c r="BD33" s="8768">
        <f>+BD8+BD14+BD20+BD30</f>
        <v>2234474.8024697341</v>
      </c>
      <c r="BE33" s="7237">
        <f t="shared" si="139"/>
        <v>691326.51799999992</v>
      </c>
    </row>
    <row r="34" spans="2:57" ht="18" x14ac:dyDescent="0.2">
      <c r="B34" s="4825" t="s">
        <v>245</v>
      </c>
      <c r="C34" s="4826" t="s">
        <v>170</v>
      </c>
      <c r="D34" s="8781"/>
      <c r="E34" s="4827">
        <f>+E10+E16+E22+E27</f>
        <v>21003.339</v>
      </c>
      <c r="F34" s="8781"/>
      <c r="G34" s="4827">
        <f>+G10+G16+G22+G27</f>
        <v>43245.988000000005</v>
      </c>
      <c r="H34" s="8803"/>
      <c r="I34" s="4828">
        <f t="shared" si="117"/>
        <v>64249.327000000005</v>
      </c>
      <c r="J34" s="8781"/>
      <c r="K34" s="4827">
        <f>+K10+K16+K22+K27</f>
        <v>52184.348000000005</v>
      </c>
      <c r="L34" s="8736"/>
      <c r="M34" s="5743">
        <f t="shared" si="119"/>
        <v>116433.67500000002</v>
      </c>
      <c r="N34" s="8781"/>
      <c r="O34" s="4827">
        <f>+O10+O16+O22+O27</f>
        <v>36302.983999999997</v>
      </c>
      <c r="P34" s="8803"/>
      <c r="Q34" s="4828">
        <f t="shared" si="121"/>
        <v>152736.65900000001</v>
      </c>
      <c r="R34" s="8781"/>
      <c r="S34" s="4827">
        <f>+S10+S16+S22+S27</f>
        <v>29096.22800000001</v>
      </c>
      <c r="T34" s="8803"/>
      <c r="U34" s="4828">
        <f t="shared" si="123"/>
        <v>181832.88700000002</v>
      </c>
      <c r="V34" s="8781"/>
      <c r="W34" s="4827">
        <f>+W10+W16+W22+W27</f>
        <v>30382.416000000001</v>
      </c>
      <c r="X34" s="8736"/>
      <c r="Y34" s="5743">
        <f t="shared" si="143"/>
        <v>95781.628000000012</v>
      </c>
      <c r="Z34" s="8769"/>
      <c r="AA34" s="7237">
        <f t="shared" si="125"/>
        <v>212215.30300000001</v>
      </c>
      <c r="AB34" s="8781"/>
      <c r="AC34" s="4827">
        <f>+AC10+AC16+AC22+AC27</f>
        <v>17823.580000000002</v>
      </c>
      <c r="AD34" s="8803"/>
      <c r="AE34" s="4828">
        <f t="shared" si="127"/>
        <v>230038.88300000003</v>
      </c>
      <c r="AF34" s="8781"/>
      <c r="AG34" s="4827">
        <f>+AG10+AG16+AG22+AG27</f>
        <v>36285.449999999997</v>
      </c>
      <c r="AH34" s="8803"/>
      <c r="AI34" s="4828">
        <f t="shared" si="129"/>
        <v>266324.33300000004</v>
      </c>
      <c r="AJ34" s="8781"/>
      <c r="AK34" s="4827">
        <f>+AK10+AK16+AK22+AK27</f>
        <v>37228.550000000003</v>
      </c>
      <c r="AL34" s="8736"/>
      <c r="AM34" s="5743">
        <f t="shared" si="146"/>
        <v>91337.58</v>
      </c>
      <c r="AN34" s="8803"/>
      <c r="AO34" s="4828">
        <f t="shared" si="131"/>
        <v>303552.88300000003</v>
      </c>
      <c r="AP34" s="8781"/>
      <c r="AQ34" s="4827">
        <f>+AQ10+AQ16+AQ22+AQ27</f>
        <v>74738.849999999991</v>
      </c>
      <c r="AR34" s="8803"/>
      <c r="AS34" s="4828">
        <f t="shared" si="133"/>
        <v>378291.73300000001</v>
      </c>
      <c r="AT34" s="8781"/>
      <c r="AU34" s="4827">
        <f>+AU10+AU16+AU22+AU27</f>
        <v>69720.89</v>
      </c>
      <c r="AV34" s="8803"/>
      <c r="AW34" s="4828">
        <f t="shared" si="135"/>
        <v>448012.62300000002</v>
      </c>
      <c r="AX34" s="8781"/>
      <c r="AY34" s="4827">
        <f>+AY10+AY16+AY22+AY27</f>
        <v>31192.53</v>
      </c>
      <c r="AZ34" s="8736"/>
      <c r="BA34" s="5743">
        <f t="shared" si="150"/>
        <v>175652.27</v>
      </c>
      <c r="BB34" s="8736">
        <f t="shared" si="137"/>
        <v>0</v>
      </c>
      <c r="BC34" s="5743">
        <f t="shared" si="138"/>
        <v>266989.84999999998</v>
      </c>
      <c r="BD34" s="8769"/>
      <c r="BE34" s="7237">
        <f t="shared" si="139"/>
        <v>479205.15300000005</v>
      </c>
    </row>
    <row r="35" spans="2:57" ht="18" x14ac:dyDescent="0.2">
      <c r="B35" s="4825" t="s">
        <v>467</v>
      </c>
      <c r="C35" s="4826" t="s">
        <v>170</v>
      </c>
      <c r="D35" s="8781"/>
      <c r="E35" s="4827">
        <f>+E9+E15+E21+E28</f>
        <v>48880.373999999989</v>
      </c>
      <c r="F35" s="8781"/>
      <c r="G35" s="4827">
        <f>+G9+G15+G21+G28</f>
        <v>71866.292999999991</v>
      </c>
      <c r="H35" s="8803"/>
      <c r="I35" s="4828">
        <f t="shared" si="117"/>
        <v>120746.66699999999</v>
      </c>
      <c r="J35" s="8781"/>
      <c r="K35" s="4827">
        <f>+K9+K15+K21+K28</f>
        <v>104594.8869999999</v>
      </c>
      <c r="L35" s="8736"/>
      <c r="M35" s="5743">
        <f t="shared" si="119"/>
        <v>225341.55399999989</v>
      </c>
      <c r="N35" s="8781"/>
      <c r="O35" s="4827">
        <f>+O9+O15+O21+O28</f>
        <v>89835.566999999966</v>
      </c>
      <c r="P35" s="8803"/>
      <c r="Q35" s="4828">
        <f t="shared" si="121"/>
        <v>315177.12099999987</v>
      </c>
      <c r="R35" s="8781"/>
      <c r="S35" s="4827">
        <f>+S9+S15+S21+S28</f>
        <v>78083.390999999916</v>
      </c>
      <c r="T35" s="8803"/>
      <c r="U35" s="4828">
        <f t="shared" si="123"/>
        <v>393260.51199999976</v>
      </c>
      <c r="V35" s="8781"/>
      <c r="W35" s="4827">
        <f>+W9+W15+W21+W28</f>
        <v>32120.965999999993</v>
      </c>
      <c r="X35" s="8736"/>
      <c r="Y35" s="5743">
        <f t="shared" si="143"/>
        <v>200039.92399999985</v>
      </c>
      <c r="Z35" s="8769"/>
      <c r="AA35" s="7237">
        <f t="shared" si="125"/>
        <v>425381.47799999977</v>
      </c>
      <c r="AB35" s="8781"/>
      <c r="AC35" s="4827">
        <f>+AC9+AC15+AC21+AC28</f>
        <v>62.07</v>
      </c>
      <c r="AD35" s="8803"/>
      <c r="AE35" s="4828">
        <f t="shared" si="127"/>
        <v>425443.54799999978</v>
      </c>
      <c r="AF35" s="8781"/>
      <c r="AG35" s="4827">
        <f>+AG9+AG15+AG21+AG28</f>
        <v>16235.619999999992</v>
      </c>
      <c r="AH35" s="8803"/>
      <c r="AI35" s="4828">
        <f t="shared" si="129"/>
        <v>441679.16799999977</v>
      </c>
      <c r="AJ35" s="8781"/>
      <c r="AK35" s="4827">
        <f>+AK9+AK15+AK21+AK28</f>
        <v>28790.31</v>
      </c>
      <c r="AL35" s="8736"/>
      <c r="AM35" s="5743">
        <f t="shared" si="146"/>
        <v>45087.999999999993</v>
      </c>
      <c r="AN35" s="8803"/>
      <c r="AO35" s="4828">
        <f t="shared" si="131"/>
        <v>470469.47799999977</v>
      </c>
      <c r="AP35" s="8781"/>
      <c r="AQ35" s="4827">
        <f>+AQ9+AQ15+AQ21+AQ28</f>
        <v>39859.00999999998</v>
      </c>
      <c r="AR35" s="8803"/>
      <c r="AS35" s="4828">
        <f t="shared" si="133"/>
        <v>510328.48799999978</v>
      </c>
      <c r="AT35" s="8781"/>
      <c r="AU35" s="4827">
        <f>+AU9+AU15+AU21+AU28</f>
        <v>51161.700000000004</v>
      </c>
      <c r="AV35" s="8803"/>
      <c r="AW35" s="4828">
        <f t="shared" si="135"/>
        <v>561490.18799999973</v>
      </c>
      <c r="AX35" s="8781"/>
      <c r="AY35" s="4827">
        <f>+AY9+AY15+AY21+AY28</f>
        <v>100606.79000000001</v>
      </c>
      <c r="AZ35" s="8736"/>
      <c r="BA35" s="5743">
        <f t="shared" si="150"/>
        <v>191627.5</v>
      </c>
      <c r="BB35" s="8736">
        <f t="shared" si="137"/>
        <v>0</v>
      </c>
      <c r="BC35" s="5743">
        <f t="shared" si="138"/>
        <v>236715.5</v>
      </c>
      <c r="BD35" s="8769"/>
      <c r="BE35" s="7237">
        <f t="shared" si="139"/>
        <v>662096.97799999977</v>
      </c>
    </row>
    <row r="36" spans="2:57" ht="19" thickBot="1" x14ac:dyDescent="0.25">
      <c r="B36" s="4829" t="s">
        <v>250</v>
      </c>
      <c r="C36" s="4830" t="s">
        <v>170</v>
      </c>
      <c r="D36" s="8782"/>
      <c r="E36" s="4831">
        <f>+E29</f>
        <v>0</v>
      </c>
      <c r="F36" s="8782"/>
      <c r="G36" s="4831">
        <f>+G29</f>
        <v>0</v>
      </c>
      <c r="H36" s="8804"/>
      <c r="I36" s="4832">
        <f t="shared" si="117"/>
        <v>0</v>
      </c>
      <c r="J36" s="8782"/>
      <c r="K36" s="4831">
        <f>+K29</f>
        <v>0</v>
      </c>
      <c r="L36" s="8737"/>
      <c r="M36" s="5744">
        <f t="shared" si="119"/>
        <v>0</v>
      </c>
      <c r="N36" s="8782"/>
      <c r="O36" s="4831">
        <f>+O29</f>
        <v>0</v>
      </c>
      <c r="P36" s="8804"/>
      <c r="Q36" s="4832">
        <f t="shared" si="121"/>
        <v>0</v>
      </c>
      <c r="R36" s="8782"/>
      <c r="S36" s="4831">
        <f>+S29</f>
        <v>1092.3899999999999</v>
      </c>
      <c r="T36" s="8804"/>
      <c r="U36" s="4832">
        <f t="shared" si="123"/>
        <v>1092.3899999999999</v>
      </c>
      <c r="V36" s="8782"/>
      <c r="W36" s="4831">
        <f>+W29</f>
        <v>190.24000000000004</v>
      </c>
      <c r="X36" s="8737"/>
      <c r="Y36" s="5743">
        <f t="shared" si="143"/>
        <v>1282.6299999999999</v>
      </c>
      <c r="Z36" s="8770"/>
      <c r="AA36" s="7238">
        <f t="shared" si="125"/>
        <v>1282.6299999999999</v>
      </c>
      <c r="AB36" s="8782"/>
      <c r="AC36" s="4831">
        <f>+AC29</f>
        <v>0</v>
      </c>
      <c r="AD36" s="8804"/>
      <c r="AE36" s="4832">
        <f t="shared" si="127"/>
        <v>1282.6299999999999</v>
      </c>
      <c r="AF36" s="8782"/>
      <c r="AG36" s="4831">
        <f>+AG29</f>
        <v>0</v>
      </c>
      <c r="AH36" s="8804"/>
      <c r="AI36" s="4832">
        <f t="shared" si="129"/>
        <v>1282.6299999999999</v>
      </c>
      <c r="AJ36" s="8782"/>
      <c r="AK36" s="4831">
        <f>+AK29</f>
        <v>0</v>
      </c>
      <c r="AL36" s="8737"/>
      <c r="AM36" s="5743">
        <f t="shared" si="146"/>
        <v>0</v>
      </c>
      <c r="AN36" s="8804"/>
      <c r="AO36" s="4832">
        <f t="shared" si="131"/>
        <v>1282.6299999999999</v>
      </c>
      <c r="AP36" s="8782"/>
      <c r="AQ36" s="4831">
        <f>+AQ29</f>
        <v>8475.8799999999974</v>
      </c>
      <c r="AR36" s="8804"/>
      <c r="AS36" s="4832">
        <f t="shared" si="133"/>
        <v>9758.5099999999966</v>
      </c>
      <c r="AT36" s="8782"/>
      <c r="AU36" s="4831">
        <f>+AU29</f>
        <v>0</v>
      </c>
      <c r="AV36" s="8804"/>
      <c r="AW36" s="4832">
        <f t="shared" si="135"/>
        <v>9758.5099999999966</v>
      </c>
      <c r="AX36" s="8782"/>
      <c r="AY36" s="4831">
        <f>+AY29</f>
        <v>0</v>
      </c>
      <c r="AZ36" s="8737"/>
      <c r="BA36" s="5743">
        <f t="shared" si="150"/>
        <v>8475.8799999999974</v>
      </c>
      <c r="BB36" s="8737">
        <f t="shared" si="137"/>
        <v>0</v>
      </c>
      <c r="BC36" s="5743">
        <f t="shared" si="138"/>
        <v>8475.8799999999974</v>
      </c>
      <c r="BD36" s="8770"/>
      <c r="BE36" s="7238">
        <f t="shared" si="139"/>
        <v>9758.5099999999966</v>
      </c>
    </row>
    <row r="37" spans="2:57" ht="19" thickBot="1" x14ac:dyDescent="0.25">
      <c r="B37" s="4833" t="s">
        <v>15</v>
      </c>
      <c r="C37" s="4834" t="s">
        <v>170</v>
      </c>
      <c r="D37" s="4822">
        <f>+D32+D33</f>
        <v>117247.54000000001</v>
      </c>
      <c r="E37" s="4409">
        <f t="shared" ref="E37:J37" si="151">SUM(E32:E36)</f>
        <v>70005.872999999992</v>
      </c>
      <c r="F37" s="4822">
        <f>+F32+F33</f>
        <v>127316.95</v>
      </c>
      <c r="G37" s="4409">
        <f t="shared" ref="G37" si="152">SUM(G32:G36)</f>
        <v>152059.46499999997</v>
      </c>
      <c r="H37" s="2555">
        <f t="shared" si="151"/>
        <v>244564.49000000002</v>
      </c>
      <c r="I37" s="4410">
        <f t="shared" si="151"/>
        <v>222065.33799999999</v>
      </c>
      <c r="J37" s="1735">
        <f t="shared" si="151"/>
        <v>155750</v>
      </c>
      <c r="K37" s="4409">
        <f t="shared" ref="K37" si="153">SUM(K32:K36)</f>
        <v>220268.8459999999</v>
      </c>
      <c r="L37" s="2556">
        <f t="shared" ref="L37:M37" si="154">SUM(L32:L36)</f>
        <v>400314.49</v>
      </c>
      <c r="M37" s="5745">
        <f t="shared" si="154"/>
        <v>442334.18399999989</v>
      </c>
      <c r="N37" s="1735">
        <f t="shared" ref="N37" si="155">SUM(N32:N36)</f>
        <v>221100</v>
      </c>
      <c r="O37" s="4409">
        <f t="shared" ref="O37" si="156">SUM(O32:O36)</f>
        <v>191674.38199999998</v>
      </c>
      <c r="P37" s="2555">
        <f t="shared" ref="P37:S37" si="157">SUM(P32:P36)</f>
        <v>621414.49</v>
      </c>
      <c r="Q37" s="4410">
        <f t="shared" si="157"/>
        <v>634008.56599999988</v>
      </c>
      <c r="R37" s="1735">
        <f t="shared" si="157"/>
        <v>220000</v>
      </c>
      <c r="S37" s="4409">
        <f t="shared" si="157"/>
        <v>174110.46999999991</v>
      </c>
      <c r="T37" s="2555">
        <f t="shared" ref="T37:Y37" si="158">SUM(T32:T36)</f>
        <v>841414.49</v>
      </c>
      <c r="U37" s="4410">
        <f t="shared" si="158"/>
        <v>808119.03599999973</v>
      </c>
      <c r="V37" s="1735">
        <f t="shared" si="158"/>
        <v>221000</v>
      </c>
      <c r="W37" s="4409">
        <f t="shared" si="158"/>
        <v>103546.03300000001</v>
      </c>
      <c r="X37" s="2556">
        <f t="shared" si="158"/>
        <v>662100</v>
      </c>
      <c r="Y37" s="5745">
        <f t="shared" si="158"/>
        <v>469330.88499999989</v>
      </c>
      <c r="Z37" s="6521">
        <f t="shared" ref="Z37:AM37" si="159">SUM(Z32:Z36)</f>
        <v>1062414.49</v>
      </c>
      <c r="AA37" s="7239">
        <f t="shared" si="159"/>
        <v>911665.06899999978</v>
      </c>
      <c r="AB37" s="1735">
        <f t="shared" si="159"/>
        <v>108975.37722048067</v>
      </c>
      <c r="AC37" s="4409">
        <f t="shared" si="159"/>
        <v>74080.930000000022</v>
      </c>
      <c r="AD37" s="2555">
        <f t="shared" si="159"/>
        <v>1171389.8672204807</v>
      </c>
      <c r="AE37" s="4410">
        <f t="shared" si="159"/>
        <v>985745.99899999972</v>
      </c>
      <c r="AF37" s="1735">
        <f t="shared" si="159"/>
        <v>209899.91019518368</v>
      </c>
      <c r="AG37" s="4409">
        <f t="shared" si="159"/>
        <v>138712.46</v>
      </c>
      <c r="AH37" s="2555">
        <f t="shared" si="159"/>
        <v>1381289.7774156644</v>
      </c>
      <c r="AI37" s="4410">
        <f t="shared" si="159"/>
        <v>1124458.4589999998</v>
      </c>
      <c r="AJ37" s="1735">
        <f t="shared" si="159"/>
        <v>218717.28391728178</v>
      </c>
      <c r="AK37" s="4409">
        <f t="shared" si="159"/>
        <v>171614.54</v>
      </c>
      <c r="AL37" s="2556">
        <f t="shared" si="159"/>
        <v>537592.57133294619</v>
      </c>
      <c r="AM37" s="5745">
        <f t="shared" si="159"/>
        <v>384407.93</v>
      </c>
      <c r="AN37" s="2555">
        <f t="shared" ref="AN37:AS37" si="160">SUM(AN32:AN36)</f>
        <v>1600007.0613329462</v>
      </c>
      <c r="AO37" s="4410">
        <f t="shared" si="160"/>
        <v>1296072.9989999998</v>
      </c>
      <c r="AP37" s="1735">
        <f t="shared" si="160"/>
        <v>216040.74113678792</v>
      </c>
      <c r="AQ37" s="4409">
        <f t="shared" si="160"/>
        <v>180965.62999999998</v>
      </c>
      <c r="AR37" s="2555">
        <f t="shared" si="160"/>
        <v>1816047.8024697341</v>
      </c>
      <c r="AS37" s="4410">
        <f t="shared" si="160"/>
        <v>1477038.6289999997</v>
      </c>
      <c r="AT37" s="1735">
        <f t="shared" ref="AT37:AW37" si="161">SUM(AT32:AT36)</f>
        <v>199067</v>
      </c>
      <c r="AU37" s="4409">
        <f t="shared" si="161"/>
        <v>180285.74</v>
      </c>
      <c r="AV37" s="2555">
        <f t="shared" si="161"/>
        <v>2015114.8024697341</v>
      </c>
      <c r="AW37" s="4410">
        <f t="shared" si="161"/>
        <v>1657324.3689999997</v>
      </c>
      <c r="AX37" s="1735">
        <f t="shared" ref="AX37:BE37" si="162">SUM(AX32:AX36)</f>
        <v>219760</v>
      </c>
      <c r="AY37" s="4409">
        <f t="shared" si="162"/>
        <v>220331.04</v>
      </c>
      <c r="AZ37" s="2556">
        <f t="shared" si="162"/>
        <v>634867.74113678792</v>
      </c>
      <c r="BA37" s="5745">
        <f t="shared" si="162"/>
        <v>581582.41</v>
      </c>
      <c r="BB37" s="2556">
        <f t="shared" si="137"/>
        <v>1172460.3124697341</v>
      </c>
      <c r="BC37" s="5745">
        <f t="shared" si="138"/>
        <v>965990.34000000008</v>
      </c>
      <c r="BD37" s="6521">
        <f t="shared" si="162"/>
        <v>2234874.8024697341</v>
      </c>
      <c r="BE37" s="7239">
        <f t="shared" si="162"/>
        <v>1877655.4089999998</v>
      </c>
    </row>
    <row r="38" spans="2:57" ht="19" thickBot="1" x14ac:dyDescent="0.25">
      <c r="B38" s="4833" t="s">
        <v>960</v>
      </c>
      <c r="C38" s="4834" t="s">
        <v>169</v>
      </c>
      <c r="D38" s="4835" t="s">
        <v>127</v>
      </c>
      <c r="E38" s="4836">
        <f>+((E32+E33+E35)/E37)*100</f>
        <v>69.997747189010838</v>
      </c>
      <c r="F38" s="4835" t="s">
        <v>127</v>
      </c>
      <c r="G38" s="4836">
        <f>+((G32+G33+G35)/G37)*100</f>
        <v>71.55981839078548</v>
      </c>
      <c r="H38" s="4837" t="s">
        <v>127</v>
      </c>
      <c r="I38" s="4838">
        <f>+((I32+I33+I35)/I37)*100</f>
        <v>71.067377025765268</v>
      </c>
      <c r="J38" s="7273" t="s">
        <v>127</v>
      </c>
      <c r="K38" s="4836">
        <f>+((K32+K33+K35)/K37)*100</f>
        <v>76.308793119114071</v>
      </c>
      <c r="L38" s="5746" t="s">
        <v>127</v>
      </c>
      <c r="M38" s="5747">
        <f>+((M32+M33+M35)/M37)*100</f>
        <v>73.677441352803058</v>
      </c>
      <c r="N38" s="7273" t="s">
        <v>127</v>
      </c>
      <c r="O38" s="4836">
        <f>+((O32+O33+O35)/O37)*100</f>
        <v>81.060075101742072</v>
      </c>
      <c r="P38" s="4837" t="s">
        <v>127</v>
      </c>
      <c r="Q38" s="4838">
        <f>+((Q32+Q33+Q35)/Q37)*100</f>
        <v>75.909369811258983</v>
      </c>
      <c r="R38" s="7273" t="s">
        <v>127</v>
      </c>
      <c r="S38" s="4836">
        <f>+((S32+S33+S35)/S37)*100</f>
        <v>82.66122766769854</v>
      </c>
      <c r="T38" s="4837" t="s">
        <v>127</v>
      </c>
      <c r="U38" s="4838">
        <f>+((U32+U33+U35)/U37)*100</f>
        <v>77.36406781042588</v>
      </c>
      <c r="V38" s="7273" t="s">
        <v>127</v>
      </c>
      <c r="W38" s="4836">
        <f>+((W32+W33+W35)/W37)*100</f>
        <v>70.47433386463004</v>
      </c>
      <c r="X38" s="5746" t="s">
        <v>127</v>
      </c>
      <c r="Y38" s="5747">
        <f>+((Y32+Y33+Y35)/Y37)*100</f>
        <v>79.318587141351244</v>
      </c>
      <c r="Z38" s="7240" t="s">
        <v>127</v>
      </c>
      <c r="AA38" s="7241">
        <f>+((AA32+AA33+AA35)/AA37)*100</f>
        <v>76.581538521138597</v>
      </c>
      <c r="AB38" s="7273" t="s">
        <v>127</v>
      </c>
      <c r="AC38" s="4836">
        <f>+((AC32+AC33+AC35)/AC37)*100</f>
        <v>75.940393836848415</v>
      </c>
      <c r="AD38" s="4837" t="s">
        <v>127</v>
      </c>
      <c r="AE38" s="4838">
        <f>+((AE32+AE33+AE35)/AE37)*100</f>
        <v>76.533355120419827</v>
      </c>
      <c r="AF38" s="7273" t="s">
        <v>127</v>
      </c>
      <c r="AG38" s="4836">
        <f>+((AG32+AG33+AG35)/AG37)*100</f>
        <v>73.841246849778315</v>
      </c>
      <c r="AH38" s="4837" t="s">
        <v>127</v>
      </c>
      <c r="AI38" s="4838">
        <f>+((AI32+AI33+AI35)/AI37)*100</f>
        <v>76.201258405047042</v>
      </c>
      <c r="AJ38" s="7273" t="s">
        <v>127</v>
      </c>
      <c r="AK38" s="4836">
        <f>+((AK32+AK33+AK35)/AK37)*100</f>
        <v>78.306878892662596</v>
      </c>
      <c r="AL38" s="5746" t="s">
        <v>127</v>
      </c>
      <c r="AM38" s="5747">
        <f>+((AM32+AM33+AM35)/AM37)*100</f>
        <v>76.239413167152918</v>
      </c>
      <c r="AN38" s="4837" t="s">
        <v>127</v>
      </c>
      <c r="AO38" s="4838">
        <f>+((AO32+AO33+AO35)/AO37)*100</f>
        <v>76.480066073809155</v>
      </c>
      <c r="AP38" s="7273" t="s">
        <v>127</v>
      </c>
      <c r="AQ38" s="4836">
        <f>+((AQ32+AQ33+AQ35)/AQ37)*100</f>
        <v>54.016279223850404</v>
      </c>
      <c r="AR38" s="4837" t="s">
        <v>127</v>
      </c>
      <c r="AS38" s="4838">
        <f>+((AS32+AS33+AS35)/AS37)*100</f>
        <v>73.727820289796895</v>
      </c>
      <c r="AT38" s="7273" t="s">
        <v>127</v>
      </c>
      <c r="AU38" s="4836">
        <f>+((AU32+AU33+AU35)/AU37)*100</f>
        <v>61.327562568176496</v>
      </c>
      <c r="AV38" s="4837" t="s">
        <v>127</v>
      </c>
      <c r="AW38" s="4838">
        <f>+((AW32+AW33+AW35)/AW37)*100</f>
        <v>72.378905327011438</v>
      </c>
      <c r="AX38" s="7273" t="s">
        <v>127</v>
      </c>
      <c r="AY38" s="4836">
        <f>+((AY32+AY33+AY35)/AY37)*100</f>
        <v>85.842879877478907</v>
      </c>
      <c r="AZ38" s="5746" t="s">
        <v>127</v>
      </c>
      <c r="BA38" s="5747">
        <f>+((BA32+BA33+BA35)/BA37)*100</f>
        <v>68.340144606505547</v>
      </c>
      <c r="BB38" s="5746" t="e">
        <f t="shared" si="137"/>
        <v>#VALUE!</v>
      </c>
      <c r="BC38" s="5747">
        <f>+((BC32+BC33+BC35)/BC37)*100</f>
        <v>71.483593717924748</v>
      </c>
      <c r="BD38" s="7240" t="s">
        <v>127</v>
      </c>
      <c r="BE38" s="7241">
        <f>+((BE32+BE33+BE35)/BE37)*100</f>
        <v>73.958817967541137</v>
      </c>
    </row>
    <row r="39" spans="2:57" s="3380" customFormat="1" ht="18" x14ac:dyDescent="0.2">
      <c r="B39" s="5320" t="s">
        <v>609</v>
      </c>
      <c r="C39" s="4902"/>
      <c r="D39" s="5653"/>
      <c r="E39" s="4902"/>
      <c r="F39" s="5653"/>
      <c r="G39" s="4902"/>
      <c r="H39" s="5302"/>
      <c r="I39" s="4902"/>
      <c r="J39" s="5302"/>
      <c r="K39" s="4902"/>
      <c r="L39" s="5302"/>
      <c r="M39" s="4902"/>
      <c r="N39" s="5302"/>
      <c r="O39" s="4902"/>
      <c r="P39" s="5302"/>
      <c r="Q39" s="4902"/>
      <c r="R39" s="5302"/>
      <c r="S39" s="4902"/>
      <c r="T39" s="5302"/>
      <c r="U39" s="4902"/>
      <c r="V39" s="5302"/>
      <c r="W39" s="4902"/>
      <c r="X39" s="5302"/>
      <c r="Y39" s="4902"/>
      <c r="Z39" s="5302"/>
      <c r="AA39" s="4902"/>
      <c r="AB39" s="5302"/>
      <c r="AC39" s="4902"/>
      <c r="AD39" s="5302"/>
      <c r="AE39" s="4902"/>
      <c r="AF39" s="5302"/>
      <c r="AG39" s="4902"/>
      <c r="AH39" s="5302"/>
      <c r="AI39" s="4902"/>
      <c r="AJ39" s="5302"/>
      <c r="AK39" s="4902"/>
      <c r="AL39" s="5302"/>
      <c r="AM39" s="4902"/>
      <c r="AN39" s="5302"/>
      <c r="AO39" s="4902"/>
      <c r="AP39" s="5302"/>
      <c r="AQ39" s="4902"/>
      <c r="AR39" s="5302"/>
      <c r="AS39" s="4902"/>
      <c r="AT39" s="5302"/>
      <c r="AU39" s="4902"/>
      <c r="AV39" s="5302"/>
      <c r="AW39" s="4902"/>
      <c r="AX39" s="5302"/>
      <c r="AY39" s="4902"/>
      <c r="AZ39" s="5302"/>
      <c r="BA39" s="4902"/>
      <c r="BB39" s="5302"/>
      <c r="BC39" s="4902"/>
      <c r="BD39" s="5302"/>
      <c r="BE39" s="4902"/>
    </row>
    <row r="40" spans="2:57" ht="18" x14ac:dyDescent="0.2">
      <c r="B40" s="4815" t="s">
        <v>446</v>
      </c>
      <c r="C40" s="4839" t="s">
        <v>170</v>
      </c>
      <c r="D40" s="6044">
        <f>+D11</f>
        <v>14366.4</v>
      </c>
      <c r="E40" s="4452">
        <f>+E11</f>
        <v>16375.711000000003</v>
      </c>
      <c r="F40" s="6044">
        <f>+F11</f>
        <v>17668</v>
      </c>
      <c r="G40" s="4452">
        <f>+G11</f>
        <v>16536.607</v>
      </c>
      <c r="H40" s="7137">
        <f>+D40+F40</f>
        <v>32034.400000000001</v>
      </c>
      <c r="I40" s="4466">
        <f t="shared" ref="I40:I43" si="163">+E40+G40</f>
        <v>32912.317999999999</v>
      </c>
      <c r="J40" s="6044">
        <f>+J11</f>
        <v>35910</v>
      </c>
      <c r="K40" s="4452">
        <f>+K11</f>
        <v>30920.367999999999</v>
      </c>
      <c r="L40" s="7145">
        <f>+H40+J40</f>
        <v>67944.399999999994</v>
      </c>
      <c r="M40" s="4854">
        <f t="shared" ref="M40:M43" si="164">+I40+K40</f>
        <v>63832.686000000002</v>
      </c>
      <c r="N40" s="6044">
        <f>+N11</f>
        <v>35000</v>
      </c>
      <c r="O40" s="4452">
        <f>+O11</f>
        <v>33185.978000000003</v>
      </c>
      <c r="P40" s="7137">
        <f>+L40+N40</f>
        <v>102944.4</v>
      </c>
      <c r="Q40" s="4466">
        <f t="shared" ref="Q40:Q43" si="165">+M40+O40</f>
        <v>97018.664000000004</v>
      </c>
      <c r="R40" s="6044">
        <f>+R11</f>
        <v>35000</v>
      </c>
      <c r="S40" s="4452">
        <f>+S11</f>
        <v>35758.760999999999</v>
      </c>
      <c r="T40" s="7137">
        <f>+P40+R40</f>
        <v>137944.4</v>
      </c>
      <c r="U40" s="4466">
        <f t="shared" ref="U40:U43" si="166">+Q40+S40</f>
        <v>132777.42499999999</v>
      </c>
      <c r="V40" s="6044">
        <f>+V11</f>
        <v>32000</v>
      </c>
      <c r="W40" s="4452">
        <f>+W11</f>
        <v>26492.411000000004</v>
      </c>
      <c r="X40" s="7145">
        <f>N40+R40+V40</f>
        <v>102000</v>
      </c>
      <c r="Y40" s="4854">
        <f>O40+S40+W40</f>
        <v>95437.150000000009</v>
      </c>
      <c r="Z40" s="6961">
        <f>+T40+V40</f>
        <v>169944.4</v>
      </c>
      <c r="AA40" s="7231">
        <f t="shared" ref="AA40:AA43" si="167">+U40+W40</f>
        <v>159269.83599999998</v>
      </c>
      <c r="AB40" s="6044">
        <f>+AB11</f>
        <v>39800</v>
      </c>
      <c r="AC40" s="4452">
        <f>+AC11</f>
        <v>24289.420000000002</v>
      </c>
      <c r="AD40" s="7308">
        <f>+Z40+AB40</f>
        <v>209744.4</v>
      </c>
      <c r="AE40" s="4466">
        <f t="shared" ref="AE40:AE43" si="168">+AA40+AC40</f>
        <v>183559.25599999999</v>
      </c>
      <c r="AF40" s="6044">
        <f>+AF11</f>
        <v>45249.811321000008</v>
      </c>
      <c r="AG40" s="4452">
        <f>+AG11</f>
        <v>32282.620000000003</v>
      </c>
      <c r="AH40" s="7567">
        <f>+AD40+AF40</f>
        <v>254994.21132100001</v>
      </c>
      <c r="AI40" s="4466">
        <f t="shared" ref="AI40:AI43" si="169">+AE40+AG40</f>
        <v>215841.87599999999</v>
      </c>
      <c r="AJ40" s="6044">
        <f>+AJ11</f>
        <v>46094.037736100006</v>
      </c>
      <c r="AK40" s="4452">
        <f>+AK11</f>
        <v>36641.610000000008</v>
      </c>
      <c r="AL40" s="7714">
        <f>AB40+AF40+AJ40</f>
        <v>131143.84905710001</v>
      </c>
      <c r="AM40" s="4854">
        <f>AC40+AG40+AK40</f>
        <v>93213.650000000023</v>
      </c>
      <c r="AN40" s="7723">
        <f>+AH40+AJ40</f>
        <v>301088.24905710004</v>
      </c>
      <c r="AO40" s="4466">
        <f t="shared" ref="AO40:AO43" si="170">+AI40+AK40</f>
        <v>252483.486</v>
      </c>
      <c r="AP40" s="6044">
        <f>+AP11</f>
        <v>46294.037736100006</v>
      </c>
      <c r="AQ40" s="4452">
        <f>+AQ11</f>
        <v>30074.789999999997</v>
      </c>
      <c r="AR40" s="8029">
        <f>+AN40+AP40</f>
        <v>347382.28679320007</v>
      </c>
      <c r="AS40" s="4466">
        <f t="shared" ref="AS40:AS43" si="171">+AO40+AQ40</f>
        <v>282558.27600000001</v>
      </c>
      <c r="AT40" s="6044">
        <f>+AT11</f>
        <v>41769</v>
      </c>
      <c r="AU40" s="4452">
        <f>+AU11</f>
        <v>31673.72</v>
      </c>
      <c r="AV40" s="8226">
        <f>+AR40+AT40</f>
        <v>389151.28679320007</v>
      </c>
      <c r="AW40" s="4466">
        <f t="shared" ref="AW40:AW43" si="172">+AS40+AU40</f>
        <v>314231.99600000004</v>
      </c>
      <c r="AX40" s="6044">
        <f>+AX11</f>
        <v>46415</v>
      </c>
      <c r="AY40" s="4452">
        <f>+AY11</f>
        <v>37035.019999999997</v>
      </c>
      <c r="AZ40" s="8295">
        <f>AP40+AT40+AX40</f>
        <v>134478.0377361</v>
      </c>
      <c r="BA40" s="4854">
        <f>AQ40+AU40+AY40</f>
        <v>98783.53</v>
      </c>
      <c r="BB40" s="8295">
        <f t="shared" ref="BB40:BB44" si="173">+AZ40+AL40</f>
        <v>265621.88679320004</v>
      </c>
      <c r="BC40" s="4854">
        <f t="shared" ref="BC40:BC44" si="174">+BA40+AM40</f>
        <v>191997.18000000002</v>
      </c>
      <c r="BD40" s="8307">
        <f>+AV40+AX40</f>
        <v>435566.28679320007</v>
      </c>
      <c r="BE40" s="7231">
        <f t="shared" ref="BE40:BE43" si="175">+AW40+AY40</f>
        <v>351267.01600000006</v>
      </c>
    </row>
    <row r="41" spans="2:57" ht="18" x14ac:dyDescent="0.2">
      <c r="B41" s="4815" t="s">
        <v>341</v>
      </c>
      <c r="C41" s="4010" t="s">
        <v>170</v>
      </c>
      <c r="D41" s="4015">
        <f>+D17</f>
        <v>8073.14</v>
      </c>
      <c r="E41" s="4453">
        <f>+E17</f>
        <v>11672.028999999999</v>
      </c>
      <c r="F41" s="4015">
        <f>+F17</f>
        <v>43712</v>
      </c>
      <c r="G41" s="4453">
        <f>+G17</f>
        <v>31996.589</v>
      </c>
      <c r="H41" s="7137">
        <f t="shared" ref="H41:H43" si="176">+D41+F41</f>
        <v>51785.14</v>
      </c>
      <c r="I41" s="4466">
        <f t="shared" si="163"/>
        <v>43668.618000000002</v>
      </c>
      <c r="J41" s="4015">
        <f>+J17</f>
        <v>41998</v>
      </c>
      <c r="K41" s="4453">
        <f>+K17</f>
        <v>34772.045000000006</v>
      </c>
      <c r="L41" s="7145">
        <f t="shared" ref="L41:L43" si="177">+H41+J41</f>
        <v>93783.14</v>
      </c>
      <c r="M41" s="4854">
        <f t="shared" si="164"/>
        <v>78440.663</v>
      </c>
      <c r="N41" s="4015">
        <f>+N17</f>
        <v>59600</v>
      </c>
      <c r="O41" s="4453">
        <f>+O17</f>
        <v>28512.978999999999</v>
      </c>
      <c r="P41" s="7137">
        <f t="shared" ref="P41:P43" si="178">+L41+N41</f>
        <v>153383.14000000001</v>
      </c>
      <c r="Q41" s="4466">
        <f t="shared" si="165"/>
        <v>106953.64199999999</v>
      </c>
      <c r="R41" s="4015">
        <f>+R17</f>
        <v>55000</v>
      </c>
      <c r="S41" s="4453">
        <f>+S17</f>
        <v>29750.625</v>
      </c>
      <c r="T41" s="7137">
        <f t="shared" ref="T41:T43" si="179">+P41+R41</f>
        <v>208383.14</v>
      </c>
      <c r="U41" s="4466">
        <f t="shared" si="166"/>
        <v>136704.26699999999</v>
      </c>
      <c r="V41" s="4015">
        <f>+V17</f>
        <v>58000</v>
      </c>
      <c r="W41" s="4453">
        <f>+W17</f>
        <v>35123.995999999999</v>
      </c>
      <c r="X41" s="7145">
        <f t="shared" ref="X41:X42" si="180">N41+R41+V41</f>
        <v>172600</v>
      </c>
      <c r="Y41" s="4854">
        <f t="shared" ref="Y41:Y43" si="181">O41+S41+W41</f>
        <v>93387.6</v>
      </c>
      <c r="Z41" s="6961">
        <f t="shared" ref="Z41:Z43" si="182">+T41+V41</f>
        <v>266383.14</v>
      </c>
      <c r="AA41" s="7231">
        <f t="shared" si="167"/>
        <v>171828.26299999998</v>
      </c>
      <c r="AB41" s="4015">
        <f>+AB17</f>
        <v>50000</v>
      </c>
      <c r="AC41" s="4453">
        <f>+AC17</f>
        <v>26097</v>
      </c>
      <c r="AD41" s="7308">
        <f t="shared" ref="AD41:AD43" si="183">+Z41+AB41</f>
        <v>316383.14</v>
      </c>
      <c r="AE41" s="4466">
        <f t="shared" si="168"/>
        <v>197925.26299999998</v>
      </c>
      <c r="AF41" s="4015">
        <f>+AF17</f>
        <v>72144</v>
      </c>
      <c r="AG41" s="4453">
        <f>+AG17</f>
        <v>43636.79</v>
      </c>
      <c r="AH41" s="7567">
        <f t="shared" ref="AH41:AH43" si="184">+AD41+AF41</f>
        <v>388527.14</v>
      </c>
      <c r="AI41" s="4466">
        <f t="shared" si="169"/>
        <v>241562.05299999999</v>
      </c>
      <c r="AJ41" s="4015">
        <f>+AJ17</f>
        <v>72945.600000000006</v>
      </c>
      <c r="AK41" s="4453">
        <f>+AK17</f>
        <v>50121.09</v>
      </c>
      <c r="AL41" s="7714">
        <f t="shared" ref="AL41:AL42" si="185">AB41+AF41+AJ41</f>
        <v>195089.6</v>
      </c>
      <c r="AM41" s="4854">
        <f t="shared" ref="AM41:AM43" si="186">AC41+AG41+AK41</f>
        <v>119854.88</v>
      </c>
      <c r="AN41" s="7723">
        <f t="shared" ref="AN41:AN43" si="187">+AH41+AJ41</f>
        <v>461472.74</v>
      </c>
      <c r="AO41" s="4466">
        <f t="shared" si="170"/>
        <v>291683.14299999998</v>
      </c>
      <c r="AP41" s="4015">
        <f>+AP17</f>
        <v>73480</v>
      </c>
      <c r="AQ41" s="4453">
        <f>+AQ17</f>
        <v>48805.759999999995</v>
      </c>
      <c r="AR41" s="8029">
        <f t="shared" ref="AR41:AR43" si="188">+AN41+AP41</f>
        <v>534952.74</v>
      </c>
      <c r="AS41" s="4466">
        <f t="shared" si="171"/>
        <v>340488.90299999999</v>
      </c>
      <c r="AT41" s="4015">
        <f>+AT17</f>
        <v>66800</v>
      </c>
      <c r="AU41" s="4453">
        <f>+AU17</f>
        <v>49089.909999999996</v>
      </c>
      <c r="AV41" s="8226">
        <f t="shared" ref="AV41:AV43" si="189">+AR41+AT41</f>
        <v>601752.74</v>
      </c>
      <c r="AW41" s="4466">
        <f t="shared" si="172"/>
        <v>389578.81299999997</v>
      </c>
      <c r="AX41" s="4015">
        <f>+AX17</f>
        <v>73122</v>
      </c>
      <c r="AY41" s="4453">
        <f>+AY17</f>
        <v>47380.17</v>
      </c>
      <c r="AZ41" s="8295">
        <f t="shared" ref="AZ41:AZ42" si="190">AP41+AT41+AX41</f>
        <v>213402</v>
      </c>
      <c r="BA41" s="4854">
        <f t="shared" ref="BA41:BA43" si="191">AQ41+AU41+AY41</f>
        <v>145275.83999999997</v>
      </c>
      <c r="BB41" s="8295">
        <f t="shared" si="173"/>
        <v>408491.6</v>
      </c>
      <c r="BC41" s="4854">
        <f t="shared" si="174"/>
        <v>265130.71999999997</v>
      </c>
      <c r="BD41" s="8307">
        <f t="shared" ref="BD41:BD43" si="192">+AV41+AX41</f>
        <v>674874.74</v>
      </c>
      <c r="BE41" s="7231">
        <f t="shared" si="175"/>
        <v>436958.98299999995</v>
      </c>
    </row>
    <row r="42" spans="2:57" ht="18" x14ac:dyDescent="0.2">
      <c r="B42" s="4815" t="s">
        <v>447</v>
      </c>
      <c r="C42" s="4010" t="s">
        <v>170</v>
      </c>
      <c r="D42" s="4015">
        <f>+D23</f>
        <v>0</v>
      </c>
      <c r="E42" s="4453">
        <f>+E23</f>
        <v>985.79999999999984</v>
      </c>
      <c r="F42" s="4015">
        <f>+F23</f>
        <v>0</v>
      </c>
      <c r="G42" s="4453">
        <f>+G23</f>
        <v>3719.2910000000002</v>
      </c>
      <c r="H42" s="7137">
        <f t="shared" si="176"/>
        <v>0</v>
      </c>
      <c r="I42" s="4466">
        <f t="shared" si="163"/>
        <v>4705.0910000000003</v>
      </c>
      <c r="J42" s="4015">
        <f>+J23</f>
        <v>0</v>
      </c>
      <c r="K42" s="4453">
        <f>+K23</f>
        <v>4850.5109999999995</v>
      </c>
      <c r="L42" s="7145">
        <f t="shared" si="177"/>
        <v>0</v>
      </c>
      <c r="M42" s="4854">
        <f t="shared" si="164"/>
        <v>9555.601999999999</v>
      </c>
      <c r="N42" s="4015">
        <f>+N23</f>
        <v>7000</v>
      </c>
      <c r="O42" s="4453">
        <f>+O23</f>
        <v>2379.6999999999998</v>
      </c>
      <c r="P42" s="7137">
        <f t="shared" si="178"/>
        <v>7000</v>
      </c>
      <c r="Q42" s="4466">
        <f t="shared" si="165"/>
        <v>11935.302</v>
      </c>
      <c r="R42" s="4015">
        <f>+R23</f>
        <v>8000</v>
      </c>
      <c r="S42" s="4453">
        <f>+S23</f>
        <v>813.76</v>
      </c>
      <c r="T42" s="7137">
        <f t="shared" si="179"/>
        <v>15000</v>
      </c>
      <c r="U42" s="4466">
        <f t="shared" si="166"/>
        <v>12749.062</v>
      </c>
      <c r="V42" s="4015">
        <f>+V23</f>
        <v>10000</v>
      </c>
      <c r="W42" s="4453">
        <f>+W23</f>
        <v>3337.13</v>
      </c>
      <c r="X42" s="7145">
        <f t="shared" si="180"/>
        <v>25000</v>
      </c>
      <c r="Y42" s="4854">
        <f t="shared" si="181"/>
        <v>6530.59</v>
      </c>
      <c r="Z42" s="6961">
        <f t="shared" si="182"/>
        <v>25000</v>
      </c>
      <c r="AA42" s="7231">
        <f t="shared" si="167"/>
        <v>16086.191999999999</v>
      </c>
      <c r="AB42" s="4015">
        <f>+AB23</f>
        <v>10000</v>
      </c>
      <c r="AC42" s="4453">
        <f>+AC23</f>
        <v>12306.480000000001</v>
      </c>
      <c r="AD42" s="7308">
        <f t="shared" si="183"/>
        <v>35000</v>
      </c>
      <c r="AE42" s="4466">
        <f t="shared" si="168"/>
        <v>28392.671999999999</v>
      </c>
      <c r="AF42" s="4015">
        <f>+AF23</f>
        <v>40000</v>
      </c>
      <c r="AG42" s="4453">
        <f>+AG23</f>
        <v>18760.43</v>
      </c>
      <c r="AH42" s="7567">
        <f t="shared" si="184"/>
        <v>75000</v>
      </c>
      <c r="AI42" s="4466">
        <f t="shared" si="169"/>
        <v>47153.101999999999</v>
      </c>
      <c r="AJ42" s="4015">
        <f>+AJ23</f>
        <v>30000</v>
      </c>
      <c r="AK42" s="4453">
        <f>+AK23</f>
        <v>12872.419999999998</v>
      </c>
      <c r="AL42" s="7714">
        <f t="shared" si="185"/>
        <v>80000</v>
      </c>
      <c r="AM42" s="4854">
        <f t="shared" si="186"/>
        <v>43939.33</v>
      </c>
      <c r="AN42" s="7723">
        <f t="shared" si="187"/>
        <v>105000</v>
      </c>
      <c r="AO42" s="4466">
        <f t="shared" si="170"/>
        <v>60025.521999999997</v>
      </c>
      <c r="AP42" s="4015">
        <f>+AP23</f>
        <v>35000</v>
      </c>
      <c r="AQ42" s="4453">
        <f>+AQ23</f>
        <v>13700.86</v>
      </c>
      <c r="AR42" s="8029">
        <f t="shared" si="188"/>
        <v>140000</v>
      </c>
      <c r="AS42" s="4466">
        <f t="shared" si="171"/>
        <v>73726.381999999998</v>
      </c>
      <c r="AT42" s="4015">
        <f>+AT23</f>
        <v>35000</v>
      </c>
      <c r="AU42" s="4453">
        <f>+AU23</f>
        <v>17221.010000000002</v>
      </c>
      <c r="AV42" s="8226">
        <f t="shared" si="189"/>
        <v>175000</v>
      </c>
      <c r="AW42" s="4466">
        <f t="shared" si="172"/>
        <v>90947.391999999993</v>
      </c>
      <c r="AX42" s="4015">
        <f>+AX23</f>
        <v>45000</v>
      </c>
      <c r="AY42" s="4453">
        <f>+AY23</f>
        <v>13013.9</v>
      </c>
      <c r="AZ42" s="8295">
        <f t="shared" si="190"/>
        <v>115000</v>
      </c>
      <c r="BA42" s="4854">
        <f t="shared" si="191"/>
        <v>43935.770000000004</v>
      </c>
      <c r="BB42" s="8295">
        <f t="shared" si="173"/>
        <v>195000</v>
      </c>
      <c r="BC42" s="4854">
        <f t="shared" si="174"/>
        <v>87875.1</v>
      </c>
      <c r="BD42" s="8307">
        <f t="shared" si="192"/>
        <v>220000</v>
      </c>
      <c r="BE42" s="7231">
        <f t="shared" si="175"/>
        <v>103961.29199999999</v>
      </c>
    </row>
    <row r="43" spans="2:57" ht="19" thickBot="1" x14ac:dyDescent="0.25">
      <c r="B43" s="4819" t="s">
        <v>1135</v>
      </c>
      <c r="C43" s="4820" t="s">
        <v>170</v>
      </c>
      <c r="D43" s="4015">
        <f>+D30</f>
        <v>94808</v>
      </c>
      <c r="E43" s="4454">
        <f>+E30</f>
        <v>40972.332999999991</v>
      </c>
      <c r="F43" s="4015">
        <f>+F30</f>
        <v>65936.95</v>
      </c>
      <c r="G43" s="4454">
        <f>+G30</f>
        <v>99806.977999999988</v>
      </c>
      <c r="H43" s="7137">
        <f t="shared" si="176"/>
        <v>160744.95000000001</v>
      </c>
      <c r="I43" s="4466">
        <f t="shared" si="163"/>
        <v>140779.31099999999</v>
      </c>
      <c r="J43" s="4015">
        <f>+J30</f>
        <v>77842</v>
      </c>
      <c r="K43" s="4454">
        <f>+K30</f>
        <v>149725.92199999987</v>
      </c>
      <c r="L43" s="7145">
        <f t="shared" si="177"/>
        <v>238586.95</v>
      </c>
      <c r="M43" s="4854">
        <f t="shared" si="164"/>
        <v>290505.23299999989</v>
      </c>
      <c r="N43" s="4015">
        <f>+N30</f>
        <v>119500</v>
      </c>
      <c r="O43" s="4454">
        <f>+O30</f>
        <v>127595.72499999998</v>
      </c>
      <c r="P43" s="7137">
        <f t="shared" si="178"/>
        <v>358086.95</v>
      </c>
      <c r="Q43" s="4466">
        <f t="shared" si="165"/>
        <v>418100.95799999987</v>
      </c>
      <c r="R43" s="4015">
        <f>+R30</f>
        <v>122000</v>
      </c>
      <c r="S43" s="4454">
        <f>+S30</f>
        <v>107787.32399999992</v>
      </c>
      <c r="T43" s="7137">
        <f t="shared" si="179"/>
        <v>480086.95</v>
      </c>
      <c r="U43" s="4466">
        <f t="shared" si="166"/>
        <v>525888.28199999977</v>
      </c>
      <c r="V43" s="4015">
        <f>+V30</f>
        <v>121000</v>
      </c>
      <c r="W43" s="4454">
        <f>+W30</f>
        <v>38592.495999999992</v>
      </c>
      <c r="X43" s="7145">
        <f>N43+R43+V43</f>
        <v>362500</v>
      </c>
      <c r="Y43" s="4854">
        <f t="shared" si="181"/>
        <v>273975.54499999987</v>
      </c>
      <c r="Z43" s="6961">
        <f t="shared" si="182"/>
        <v>601086.94999999995</v>
      </c>
      <c r="AA43" s="7231">
        <f t="shared" si="167"/>
        <v>564480.77799999982</v>
      </c>
      <c r="AB43" s="4015">
        <f>+AB30</f>
        <v>9175.3772204806719</v>
      </c>
      <c r="AC43" s="4454">
        <f>+AC30</f>
        <v>11388.029999999999</v>
      </c>
      <c r="AD43" s="7308">
        <f t="shared" si="183"/>
        <v>610262.32722048066</v>
      </c>
      <c r="AE43" s="4466">
        <f t="shared" si="168"/>
        <v>575868.80799999984</v>
      </c>
      <c r="AF43" s="4015">
        <f>+AF30</f>
        <v>52506.09887418367</v>
      </c>
      <c r="AG43" s="4454">
        <f>+AG30</f>
        <v>44032.619999999995</v>
      </c>
      <c r="AH43" s="7567">
        <f t="shared" si="184"/>
        <v>662768.42609466438</v>
      </c>
      <c r="AI43" s="4466">
        <f t="shared" si="169"/>
        <v>619901.42799999984</v>
      </c>
      <c r="AJ43" s="4015">
        <f>+AJ30</f>
        <v>69677.646181181786</v>
      </c>
      <c r="AK43" s="4454">
        <f>+AK30</f>
        <v>71979.419999999984</v>
      </c>
      <c r="AL43" s="7714">
        <f>AB43+AF43+AJ43</f>
        <v>131359.12227584614</v>
      </c>
      <c r="AM43" s="4854">
        <f t="shared" si="186"/>
        <v>127400.06999999998</v>
      </c>
      <c r="AN43" s="7723">
        <f t="shared" si="187"/>
        <v>732446.07227584615</v>
      </c>
      <c r="AO43" s="4466">
        <f t="shared" si="170"/>
        <v>691880.84799999977</v>
      </c>
      <c r="AP43" s="4015">
        <f>+AP30</f>
        <v>61266.703400687926</v>
      </c>
      <c r="AQ43" s="4454">
        <f>+AQ30</f>
        <v>88384.219999999972</v>
      </c>
      <c r="AR43" s="8029">
        <f t="shared" si="188"/>
        <v>793712.77567653405</v>
      </c>
      <c r="AS43" s="4466">
        <f t="shared" si="171"/>
        <v>780265.06799999974</v>
      </c>
      <c r="AT43" s="4015">
        <f>+AT30</f>
        <v>55498</v>
      </c>
      <c r="AU43" s="4454">
        <f>+AU30</f>
        <v>82301.100000000006</v>
      </c>
      <c r="AV43" s="8226">
        <f t="shared" si="189"/>
        <v>849210.77567653405</v>
      </c>
      <c r="AW43" s="4466">
        <f t="shared" si="172"/>
        <v>862566.16799999971</v>
      </c>
      <c r="AX43" s="4015">
        <f>+AX30</f>
        <v>55223</v>
      </c>
      <c r="AY43" s="4454">
        <f>+AY30</f>
        <v>122901.95000000001</v>
      </c>
      <c r="AZ43" s="8295">
        <f>AP43+AT43+AX43</f>
        <v>171987.70340068793</v>
      </c>
      <c r="BA43" s="4854">
        <f t="shared" si="191"/>
        <v>293587.27</v>
      </c>
      <c r="BB43" s="8295">
        <f t="shared" si="173"/>
        <v>303346.82567653409</v>
      </c>
      <c r="BC43" s="4854">
        <f t="shared" si="174"/>
        <v>420987.33999999997</v>
      </c>
      <c r="BD43" s="8307">
        <f t="shared" si="192"/>
        <v>904433.77567653405</v>
      </c>
      <c r="BE43" s="7231">
        <f t="shared" si="175"/>
        <v>985468.11799999978</v>
      </c>
    </row>
    <row r="44" spans="2:57" ht="19" thickBot="1" x14ac:dyDescent="0.25">
      <c r="B44" s="4821" t="s">
        <v>15</v>
      </c>
      <c r="C44" s="2963" t="s">
        <v>170</v>
      </c>
      <c r="D44" s="1735">
        <f t="shared" ref="D44:I44" si="193">SUM(D40:D43)</f>
        <v>117247.54000000001</v>
      </c>
      <c r="E44" s="3205">
        <f t="shared" si="193"/>
        <v>70005.872999999992</v>
      </c>
      <c r="F44" s="1735">
        <f t="shared" ref="F44:G44" si="194">SUM(F40:F43)</f>
        <v>127316.95</v>
      </c>
      <c r="G44" s="3205">
        <f t="shared" si="194"/>
        <v>152059.46499999997</v>
      </c>
      <c r="H44" s="2555">
        <f t="shared" si="193"/>
        <v>244564.49000000002</v>
      </c>
      <c r="I44" s="4400">
        <f t="shared" si="193"/>
        <v>222065.33799999999</v>
      </c>
      <c r="J44" s="1734">
        <f t="shared" ref="J44:K44" si="195">SUM(J40:J43)</f>
        <v>155750</v>
      </c>
      <c r="K44" s="3205">
        <f t="shared" si="195"/>
        <v>220268.84599999987</v>
      </c>
      <c r="L44" s="2556">
        <f t="shared" ref="L44:O44" si="196">SUM(L40:L43)</f>
        <v>400314.49</v>
      </c>
      <c r="M44" s="5740">
        <f t="shared" si="196"/>
        <v>442334.18399999989</v>
      </c>
      <c r="N44" s="1734">
        <f t="shared" si="196"/>
        <v>221100</v>
      </c>
      <c r="O44" s="3205">
        <f t="shared" si="196"/>
        <v>191674.38199999998</v>
      </c>
      <c r="P44" s="2555">
        <f t="shared" ref="P44:S44" si="197">SUM(P40:P43)</f>
        <v>621414.49</v>
      </c>
      <c r="Q44" s="4400">
        <f t="shared" si="197"/>
        <v>634008.56599999988</v>
      </c>
      <c r="R44" s="1734">
        <f t="shared" si="197"/>
        <v>220000</v>
      </c>
      <c r="S44" s="3205">
        <f t="shared" si="197"/>
        <v>174110.46999999991</v>
      </c>
      <c r="T44" s="2555">
        <f t="shared" ref="T44:Y44" si="198">SUM(T40:T43)</f>
        <v>841414.49</v>
      </c>
      <c r="U44" s="4400">
        <f t="shared" si="198"/>
        <v>808119.03599999973</v>
      </c>
      <c r="V44" s="1734">
        <f t="shared" si="198"/>
        <v>221000</v>
      </c>
      <c r="W44" s="3205">
        <f t="shared" si="198"/>
        <v>103546.033</v>
      </c>
      <c r="X44" s="2556">
        <f t="shared" si="198"/>
        <v>662100</v>
      </c>
      <c r="Y44" s="5740">
        <f t="shared" si="198"/>
        <v>469330.88499999989</v>
      </c>
      <c r="Z44" s="6521">
        <f t="shared" ref="Z44:AM44" si="199">SUM(Z40:Z43)</f>
        <v>1062414.49</v>
      </c>
      <c r="AA44" s="7233">
        <f t="shared" si="199"/>
        <v>911665.06899999967</v>
      </c>
      <c r="AB44" s="1734">
        <f t="shared" si="199"/>
        <v>108975.37722048067</v>
      </c>
      <c r="AC44" s="3205">
        <f t="shared" si="199"/>
        <v>74080.929999999993</v>
      </c>
      <c r="AD44" s="2555">
        <f t="shared" si="199"/>
        <v>1171389.8672204807</v>
      </c>
      <c r="AE44" s="4400">
        <f t="shared" si="199"/>
        <v>985745.99899999984</v>
      </c>
      <c r="AF44" s="1734">
        <f t="shared" si="199"/>
        <v>209899.91019518368</v>
      </c>
      <c r="AG44" s="3205">
        <f t="shared" si="199"/>
        <v>138712.46</v>
      </c>
      <c r="AH44" s="2555">
        <f t="shared" si="199"/>
        <v>1381289.7774156644</v>
      </c>
      <c r="AI44" s="4400">
        <f t="shared" si="199"/>
        <v>1124458.4589999998</v>
      </c>
      <c r="AJ44" s="1734">
        <f t="shared" si="199"/>
        <v>218717.28391728178</v>
      </c>
      <c r="AK44" s="3205">
        <f t="shared" si="199"/>
        <v>171614.53999999998</v>
      </c>
      <c r="AL44" s="2556">
        <f t="shared" si="199"/>
        <v>537592.57133294619</v>
      </c>
      <c r="AM44" s="5740">
        <f t="shared" si="199"/>
        <v>384407.93000000005</v>
      </c>
      <c r="AN44" s="2555">
        <f t="shared" ref="AN44:AS44" si="200">SUM(AN40:AN43)</f>
        <v>1600007.0613329462</v>
      </c>
      <c r="AO44" s="4400">
        <f t="shared" si="200"/>
        <v>1296072.9989999998</v>
      </c>
      <c r="AP44" s="1734">
        <f t="shared" si="200"/>
        <v>216040.74113678792</v>
      </c>
      <c r="AQ44" s="3205">
        <f t="shared" si="200"/>
        <v>180965.62999999995</v>
      </c>
      <c r="AR44" s="2555">
        <f t="shared" si="200"/>
        <v>1816047.8024697341</v>
      </c>
      <c r="AS44" s="4400">
        <f t="shared" si="200"/>
        <v>1477038.6289999997</v>
      </c>
      <c r="AT44" s="1734">
        <f t="shared" ref="AT44:AW44" si="201">SUM(AT40:AT43)</f>
        <v>199067</v>
      </c>
      <c r="AU44" s="3205">
        <f t="shared" si="201"/>
        <v>180285.74000000002</v>
      </c>
      <c r="AV44" s="2555">
        <f t="shared" si="201"/>
        <v>2015114.8024697341</v>
      </c>
      <c r="AW44" s="4400">
        <f t="shared" si="201"/>
        <v>1657324.3689999997</v>
      </c>
      <c r="AX44" s="1734">
        <f t="shared" ref="AX44:BE44" si="202">SUM(AX40:AX43)</f>
        <v>219760</v>
      </c>
      <c r="AY44" s="3205">
        <f t="shared" si="202"/>
        <v>220331.04</v>
      </c>
      <c r="AZ44" s="2556">
        <f t="shared" si="202"/>
        <v>634867.74113678792</v>
      </c>
      <c r="BA44" s="5740">
        <f t="shared" si="202"/>
        <v>581582.40999999992</v>
      </c>
      <c r="BB44" s="2556">
        <f t="shared" si="173"/>
        <v>1172460.3124697341</v>
      </c>
      <c r="BC44" s="5740">
        <f t="shared" si="174"/>
        <v>965990.34</v>
      </c>
      <c r="BD44" s="6521">
        <f t="shared" si="202"/>
        <v>2234874.8024697341</v>
      </c>
      <c r="BE44" s="7233">
        <f t="shared" si="202"/>
        <v>1877655.409</v>
      </c>
    </row>
    <row r="45" spans="2:57" s="3380" customFormat="1" ht="18" x14ac:dyDescent="0.2">
      <c r="B45" s="5320" t="s">
        <v>814</v>
      </c>
      <c r="C45" s="4902"/>
      <c r="D45" s="5653"/>
      <c r="E45" s="4902"/>
      <c r="F45" s="5653"/>
      <c r="G45" s="4902"/>
      <c r="H45" s="5302"/>
      <c r="I45" s="4902"/>
      <c r="J45" s="5302"/>
      <c r="K45" s="4902"/>
      <c r="L45" s="5302"/>
      <c r="M45" s="4902"/>
      <c r="N45" s="5302"/>
      <c r="O45" s="4902"/>
      <c r="P45" s="5302"/>
      <c r="Q45" s="4902"/>
      <c r="R45" s="5302"/>
      <c r="S45" s="4902"/>
      <c r="T45" s="5302"/>
      <c r="U45" s="4902"/>
      <c r="V45" s="5302"/>
      <c r="W45" s="4902"/>
      <c r="X45" s="5302"/>
      <c r="Y45" s="4902"/>
      <c r="Z45" s="5302"/>
      <c r="AA45" s="4902"/>
      <c r="AB45" s="5302"/>
      <c r="AC45" s="4902"/>
      <c r="AD45" s="5302"/>
      <c r="AE45" s="4902"/>
      <c r="AF45" s="5302"/>
      <c r="AG45" s="4902"/>
      <c r="AH45" s="5302"/>
      <c r="AI45" s="4902"/>
      <c r="AJ45" s="5302"/>
      <c r="AK45" s="4902"/>
      <c r="AL45" s="5302"/>
      <c r="AM45" s="4902"/>
      <c r="AN45" s="5302"/>
      <c r="AO45" s="4902"/>
      <c r="AP45" s="5302"/>
      <c r="AQ45" s="4902"/>
      <c r="AR45" s="5302"/>
      <c r="AS45" s="4902"/>
      <c r="AT45" s="5302"/>
      <c r="AU45" s="4902"/>
      <c r="AV45" s="5302"/>
      <c r="AW45" s="4902"/>
      <c r="AX45" s="5302"/>
      <c r="AY45" s="4902"/>
      <c r="AZ45" s="5302"/>
      <c r="BA45" s="4902"/>
      <c r="BB45" s="5302"/>
      <c r="BC45" s="4902"/>
      <c r="BD45" s="5302"/>
      <c r="BE45" s="4902"/>
    </row>
    <row r="46" spans="2:57" s="3380" customFormat="1" ht="18" x14ac:dyDescent="0.2">
      <c r="B46" s="5771" t="s">
        <v>446</v>
      </c>
      <c r="C46" s="5648"/>
      <c r="D46" s="5647"/>
      <c r="E46" s="5648"/>
      <c r="F46" s="5647"/>
      <c r="G46" s="5648"/>
      <c r="H46" s="5645"/>
      <c r="I46" s="5648"/>
      <c r="J46" s="5645"/>
      <c r="K46" s="5648"/>
      <c r="L46" s="5645"/>
      <c r="M46" s="5648"/>
      <c r="N46" s="5645"/>
      <c r="O46" s="5648"/>
      <c r="P46" s="5645"/>
      <c r="Q46" s="5648"/>
      <c r="R46" s="5645"/>
      <c r="S46" s="5648"/>
      <c r="T46" s="5645"/>
      <c r="U46" s="5648"/>
      <c r="V46" s="5645"/>
      <c r="W46" s="5648"/>
      <c r="X46" s="5645"/>
      <c r="Y46" s="5648"/>
      <c r="Z46" s="5645"/>
      <c r="AA46" s="5648"/>
      <c r="AB46" s="5645"/>
      <c r="AC46" s="5648"/>
      <c r="AD46" s="5645"/>
      <c r="AE46" s="5648"/>
      <c r="AF46" s="5645"/>
      <c r="AG46" s="5648"/>
      <c r="AH46" s="5645"/>
      <c r="AI46" s="5648"/>
      <c r="AJ46" s="5645"/>
      <c r="AK46" s="5648"/>
      <c r="AL46" s="5645"/>
      <c r="AM46" s="5648"/>
      <c r="AN46" s="5645"/>
      <c r="AO46" s="5648"/>
      <c r="AP46" s="5645"/>
      <c r="AQ46" s="5648"/>
      <c r="AR46" s="5645"/>
      <c r="AS46" s="5648"/>
      <c r="AT46" s="5645"/>
      <c r="AU46" s="5648"/>
      <c r="AV46" s="5645"/>
      <c r="AW46" s="5648"/>
      <c r="AX46" s="5645"/>
      <c r="AY46" s="5648"/>
      <c r="AZ46" s="5645"/>
      <c r="BA46" s="5648"/>
      <c r="BB46" s="5645"/>
      <c r="BC46" s="5648"/>
      <c r="BD46" s="5645"/>
      <c r="BE46" s="5648"/>
    </row>
    <row r="47" spans="2:57" ht="18" x14ac:dyDescent="0.2">
      <c r="B47" s="4815" t="s">
        <v>98</v>
      </c>
      <c r="C47" s="4010" t="s">
        <v>170</v>
      </c>
      <c r="D47" s="8809">
        <f>+D40</f>
        <v>14366.4</v>
      </c>
      <c r="E47" s="4453">
        <v>16311.781000000006</v>
      </c>
      <c r="F47" s="8809">
        <f>+F40</f>
        <v>17668</v>
      </c>
      <c r="G47" s="4453">
        <v>14135.317000000003</v>
      </c>
      <c r="H47" s="8784">
        <f>+D47+F47</f>
        <v>32034.400000000001</v>
      </c>
      <c r="I47" s="4466">
        <f t="shared" ref="I47:I48" si="203">+E47+G47</f>
        <v>30447.098000000009</v>
      </c>
      <c r="J47" s="8764">
        <f>+J40</f>
        <v>35910</v>
      </c>
      <c r="K47" s="4453">
        <v>28257.387999999999</v>
      </c>
      <c r="L47" s="8720">
        <f>+H47+J47</f>
        <v>67944.399999999994</v>
      </c>
      <c r="M47" s="4854">
        <f t="shared" ref="M47:M48" si="204">+I47+K47</f>
        <v>58704.486000000004</v>
      </c>
      <c r="N47" s="8764">
        <f>+N40</f>
        <v>35000</v>
      </c>
      <c r="O47" s="4453">
        <v>26255.517999999996</v>
      </c>
      <c r="P47" s="8784">
        <f>+L47+N47</f>
        <v>102944.4</v>
      </c>
      <c r="Q47" s="4466">
        <f t="shared" ref="Q47:Q48" si="205">+M47+O47</f>
        <v>84960.004000000001</v>
      </c>
      <c r="R47" s="8764">
        <f>+R40</f>
        <v>35000</v>
      </c>
      <c r="S47" s="4453">
        <v>26723.231</v>
      </c>
      <c r="T47" s="8784">
        <f>+P47+R47</f>
        <v>137944.4</v>
      </c>
      <c r="U47" s="4466">
        <f t="shared" ref="U47:U48" si="206">+Q47+S47</f>
        <v>111683.235</v>
      </c>
      <c r="V47" s="8764">
        <f>+V40</f>
        <v>32000</v>
      </c>
      <c r="W47" s="4453">
        <v>18369.641</v>
      </c>
      <c r="X47" s="8720">
        <f>N47+R47+V47</f>
        <v>102000</v>
      </c>
      <c r="Y47" s="4854">
        <f>O47+S47+W47</f>
        <v>71348.39</v>
      </c>
      <c r="Z47" s="8722">
        <f>+T47+V47</f>
        <v>169944.4</v>
      </c>
      <c r="AA47" s="7231">
        <f t="shared" ref="AA47:AA48" si="207">+U47+W47</f>
        <v>130052.876</v>
      </c>
      <c r="AB47" s="8764">
        <f>+AB40</f>
        <v>39800</v>
      </c>
      <c r="AC47" s="4453">
        <v>19950.279999999995</v>
      </c>
      <c r="AD47" s="8784">
        <f>+Z47+AB47</f>
        <v>209744.4</v>
      </c>
      <c r="AE47" s="4466">
        <f t="shared" ref="AE47:AE48" si="208">+AA47+AC47</f>
        <v>150003.15599999999</v>
      </c>
      <c r="AF47" s="8764">
        <f>+AF40</f>
        <v>45249.811321000008</v>
      </c>
      <c r="AG47" s="4453">
        <v>24690.739999999998</v>
      </c>
      <c r="AH47" s="8784">
        <f>+AD47+AF47</f>
        <v>254994.21132100001</v>
      </c>
      <c r="AI47" s="4466">
        <f t="shared" ref="AI47:AI48" si="209">+AE47+AG47</f>
        <v>174693.89599999998</v>
      </c>
      <c r="AJ47" s="8764">
        <f>+AJ40</f>
        <v>46094.037736100006</v>
      </c>
      <c r="AK47" s="4453">
        <v>29845.74</v>
      </c>
      <c r="AL47" s="8720">
        <f>AB47+AF47+AJ47</f>
        <v>131143.84905710001</v>
      </c>
      <c r="AM47" s="4854">
        <f>AC47+AG47+AK47</f>
        <v>74486.759999999995</v>
      </c>
      <c r="AN47" s="8784">
        <f>+AH47+AJ47</f>
        <v>301088.24905710004</v>
      </c>
      <c r="AO47" s="4466">
        <f t="shared" ref="AO47:AO48" si="210">+AI47+AK47</f>
        <v>204539.63599999997</v>
      </c>
      <c r="AP47" s="8764">
        <f>+AP40</f>
        <v>46294.037736100006</v>
      </c>
      <c r="AQ47" s="4453">
        <v>25801.639999999996</v>
      </c>
      <c r="AR47" s="8784">
        <f>+AN47+AP47</f>
        <v>347382.28679320007</v>
      </c>
      <c r="AS47" s="4466">
        <f t="shared" ref="AS47:AS48" si="211">+AO47+AQ47</f>
        <v>230341.27599999995</v>
      </c>
      <c r="AT47" s="8764">
        <f>+AT40</f>
        <v>41769</v>
      </c>
      <c r="AU47" s="4453">
        <f>26246.82-125.24</f>
        <v>26121.579999999998</v>
      </c>
      <c r="AV47" s="8784">
        <f>+AR47+AT47</f>
        <v>389151.28679320007</v>
      </c>
      <c r="AW47" s="4466">
        <f t="shared" ref="AW47:AW48" si="212">+AS47+AU47</f>
        <v>256462.85599999994</v>
      </c>
      <c r="AX47" s="8764">
        <f>+AX40</f>
        <v>46415</v>
      </c>
      <c r="AY47" s="4453">
        <v>32087.06</v>
      </c>
      <c r="AZ47" s="8720">
        <f>AP47+AT47+AX47</f>
        <v>134478.0377361</v>
      </c>
      <c r="BA47" s="4854">
        <f>AQ47+AU47+AY47</f>
        <v>84010.28</v>
      </c>
      <c r="BB47" s="8720">
        <f t="shared" ref="BB47:BB49" si="213">+AZ47+AL47</f>
        <v>265621.88679320004</v>
      </c>
      <c r="BC47" s="4854">
        <f t="shared" ref="BC47:BC49" si="214">+BA47+AM47</f>
        <v>158497.03999999998</v>
      </c>
      <c r="BD47" s="8722">
        <f>+AV47+AX47</f>
        <v>435566.28679320007</v>
      </c>
      <c r="BE47" s="7231">
        <f t="shared" ref="BE47:BE48" si="215">+AW47+AY47</f>
        <v>288549.91599999997</v>
      </c>
    </row>
    <row r="48" spans="2:57" ht="19" thickBot="1" x14ac:dyDescent="0.25">
      <c r="B48" s="4819" t="s">
        <v>99</v>
      </c>
      <c r="C48" s="4820" t="s">
        <v>170</v>
      </c>
      <c r="D48" s="8811"/>
      <c r="E48" s="4453">
        <v>63.930000000000007</v>
      </c>
      <c r="F48" s="8811"/>
      <c r="G48" s="4453">
        <v>2401.2900000000004</v>
      </c>
      <c r="H48" s="8798"/>
      <c r="I48" s="4466">
        <f t="shared" si="203"/>
        <v>2465.2200000000003</v>
      </c>
      <c r="J48" s="8772"/>
      <c r="K48" s="4453">
        <v>2662.9800000000005</v>
      </c>
      <c r="L48" s="8739"/>
      <c r="M48" s="4854">
        <f t="shared" si="204"/>
        <v>5128.2000000000007</v>
      </c>
      <c r="N48" s="8772"/>
      <c r="O48" s="4453">
        <v>6930.4600000000019</v>
      </c>
      <c r="P48" s="8798"/>
      <c r="Q48" s="4466">
        <f t="shared" si="205"/>
        <v>12058.660000000003</v>
      </c>
      <c r="R48" s="8772"/>
      <c r="S48" s="4453">
        <v>9035.5299999999988</v>
      </c>
      <c r="T48" s="8798"/>
      <c r="U48" s="4466">
        <f t="shared" si="206"/>
        <v>21094.190000000002</v>
      </c>
      <c r="V48" s="8772"/>
      <c r="W48" s="4453">
        <v>8122.7699999999986</v>
      </c>
      <c r="X48" s="8739"/>
      <c r="Y48" s="4854">
        <f>O48+S48+W48</f>
        <v>24088.760000000002</v>
      </c>
      <c r="Z48" s="8753"/>
      <c r="AA48" s="7231">
        <f t="shared" si="207"/>
        <v>29216.959999999999</v>
      </c>
      <c r="AB48" s="8772"/>
      <c r="AC48" s="4453">
        <v>4339.1400000000003</v>
      </c>
      <c r="AD48" s="8798"/>
      <c r="AE48" s="4466">
        <f t="shared" si="208"/>
        <v>33556.1</v>
      </c>
      <c r="AF48" s="8772"/>
      <c r="AG48" s="4453">
        <v>7591.880000000001</v>
      </c>
      <c r="AH48" s="8798"/>
      <c r="AI48" s="4466">
        <f t="shared" si="209"/>
        <v>41147.979999999996</v>
      </c>
      <c r="AJ48" s="8772"/>
      <c r="AK48" s="4453">
        <v>6795.87</v>
      </c>
      <c r="AL48" s="8739"/>
      <c r="AM48" s="4854">
        <f>AC48+AG48+AK48</f>
        <v>18726.89</v>
      </c>
      <c r="AN48" s="8798"/>
      <c r="AO48" s="4466">
        <f t="shared" si="210"/>
        <v>47943.85</v>
      </c>
      <c r="AP48" s="8772"/>
      <c r="AQ48" s="4453">
        <v>4273.1499999999996</v>
      </c>
      <c r="AR48" s="8798"/>
      <c r="AS48" s="4466">
        <f t="shared" si="211"/>
        <v>52217</v>
      </c>
      <c r="AT48" s="8772"/>
      <c r="AU48" s="4453">
        <f>+AU11-AU47</f>
        <v>5552.1400000000031</v>
      </c>
      <c r="AV48" s="8798"/>
      <c r="AW48" s="4466">
        <f t="shared" si="212"/>
        <v>57769.14</v>
      </c>
      <c r="AX48" s="8772"/>
      <c r="AY48" s="4453">
        <f>+AY11-AY47</f>
        <v>4947.9599999999955</v>
      </c>
      <c r="AZ48" s="8739"/>
      <c r="BA48" s="4854">
        <f>AQ48+AU48+AY48</f>
        <v>14773.249999999998</v>
      </c>
      <c r="BB48" s="8739">
        <f t="shared" si="213"/>
        <v>0</v>
      </c>
      <c r="BC48" s="4854">
        <f t="shared" si="214"/>
        <v>33500.14</v>
      </c>
      <c r="BD48" s="8753"/>
      <c r="BE48" s="7231">
        <f t="shared" si="215"/>
        <v>62717.099999999991</v>
      </c>
    </row>
    <row r="49" spans="2:57" ht="19" thickBot="1" x14ac:dyDescent="0.25">
      <c r="B49" s="4821" t="s">
        <v>15</v>
      </c>
      <c r="C49" s="2963" t="s">
        <v>170</v>
      </c>
      <c r="D49" s="8810"/>
      <c r="E49" s="3205">
        <f>SUM(E47:E48)</f>
        <v>16375.711000000007</v>
      </c>
      <c r="F49" s="8810"/>
      <c r="G49" s="3205">
        <f>SUM(G47:G48)</f>
        <v>16536.607000000004</v>
      </c>
      <c r="H49" s="8805"/>
      <c r="I49" s="4400">
        <f>SUM(I47:I48)</f>
        <v>32912.318000000007</v>
      </c>
      <c r="J49" s="8765"/>
      <c r="K49" s="3205">
        <f>SUM(K47:K48)</f>
        <v>30920.367999999999</v>
      </c>
      <c r="L49" s="8740"/>
      <c r="M49" s="5740">
        <f>SUM(M47:M48)</f>
        <v>63832.686000000002</v>
      </c>
      <c r="N49" s="8765"/>
      <c r="O49" s="3205">
        <f>SUM(O47:O48)</f>
        <v>33185.977999999996</v>
      </c>
      <c r="P49" s="8805"/>
      <c r="Q49" s="4400">
        <f>SUM(Q47:Q48)</f>
        <v>97018.664000000004</v>
      </c>
      <c r="R49" s="8765"/>
      <c r="S49" s="3205">
        <f>SUM(S47:S48)</f>
        <v>35758.760999999999</v>
      </c>
      <c r="T49" s="8805"/>
      <c r="U49" s="4400">
        <f>SUM(U47:U48)</f>
        <v>132777.42499999999</v>
      </c>
      <c r="V49" s="8765"/>
      <c r="W49" s="3205">
        <f>SUM(W47:W48)</f>
        <v>26492.411</v>
      </c>
      <c r="X49" s="8740"/>
      <c r="Y49" s="5740">
        <f>SUM(Y47:Y48)</f>
        <v>95437.15</v>
      </c>
      <c r="Z49" s="8754"/>
      <c r="AA49" s="7233">
        <f>SUM(AA47:AA48)</f>
        <v>159269.83600000001</v>
      </c>
      <c r="AB49" s="8765"/>
      <c r="AC49" s="3205">
        <f>SUM(AC47:AC48)</f>
        <v>24289.419999999995</v>
      </c>
      <c r="AD49" s="8805"/>
      <c r="AE49" s="4400">
        <f>SUM(AE47:AE48)</f>
        <v>183559.25599999999</v>
      </c>
      <c r="AF49" s="8765"/>
      <c r="AG49" s="3205">
        <f>SUM(AG47:AG48)</f>
        <v>32282.62</v>
      </c>
      <c r="AH49" s="8805"/>
      <c r="AI49" s="4400">
        <f>SUM(AI47:AI48)</f>
        <v>215841.87599999999</v>
      </c>
      <c r="AJ49" s="8765"/>
      <c r="AK49" s="3205">
        <f>SUM(AK47:AK48)</f>
        <v>36641.61</v>
      </c>
      <c r="AL49" s="8740"/>
      <c r="AM49" s="5740">
        <f>SUM(AM47:AM48)</f>
        <v>93213.65</v>
      </c>
      <c r="AN49" s="8805"/>
      <c r="AO49" s="4400">
        <f>SUM(AO47:AO48)</f>
        <v>252483.48599999998</v>
      </c>
      <c r="AP49" s="8765"/>
      <c r="AQ49" s="3205">
        <f>SUM(AQ47:AQ48)</f>
        <v>30074.789999999994</v>
      </c>
      <c r="AR49" s="8805"/>
      <c r="AS49" s="4400">
        <f>SUM(AS47:AS48)</f>
        <v>282558.27599999995</v>
      </c>
      <c r="AT49" s="8765"/>
      <c r="AU49" s="3205">
        <f>SUM(AU47:AU48)</f>
        <v>31673.72</v>
      </c>
      <c r="AV49" s="8805"/>
      <c r="AW49" s="4400">
        <f>SUM(AW47:AW48)</f>
        <v>314231.99599999993</v>
      </c>
      <c r="AX49" s="8765"/>
      <c r="AY49" s="3205">
        <f>SUM(AY47:AY48)</f>
        <v>37035.019999999997</v>
      </c>
      <c r="AZ49" s="8740"/>
      <c r="BA49" s="5740">
        <f>SUM(BA47:BA48)</f>
        <v>98783.53</v>
      </c>
      <c r="BB49" s="8740">
        <f t="shared" si="213"/>
        <v>0</v>
      </c>
      <c r="BC49" s="5740">
        <f t="shared" si="214"/>
        <v>191997.18</v>
      </c>
      <c r="BD49" s="8754"/>
      <c r="BE49" s="7233">
        <f>SUM(BE47:BE48)</f>
        <v>351267.01599999995</v>
      </c>
    </row>
    <row r="50" spans="2:57" s="3380" customFormat="1" ht="18" x14ac:dyDescent="0.2">
      <c r="B50" s="5767" t="s">
        <v>341</v>
      </c>
      <c r="C50" s="5756"/>
      <c r="D50" s="5768"/>
      <c r="E50" s="5769"/>
      <c r="F50" s="5768"/>
      <c r="G50" s="5769"/>
      <c r="H50" s="5770"/>
      <c r="I50" s="5769"/>
      <c r="J50" s="5770"/>
      <c r="K50" s="5769"/>
      <c r="L50" s="5770"/>
      <c r="M50" s="5769"/>
      <c r="N50" s="5770"/>
      <c r="O50" s="5769"/>
      <c r="P50" s="5770"/>
      <c r="Q50" s="5769"/>
      <c r="R50" s="5770"/>
      <c r="S50" s="5769"/>
      <c r="T50" s="5770"/>
      <c r="U50" s="5769"/>
      <c r="V50" s="5770"/>
      <c r="W50" s="5769"/>
      <c r="X50" s="5770"/>
      <c r="Y50" s="5769"/>
      <c r="Z50" s="5770"/>
      <c r="AA50" s="5769"/>
      <c r="AB50" s="5770"/>
      <c r="AC50" s="5769"/>
      <c r="AD50" s="5770"/>
      <c r="AE50" s="5769"/>
      <c r="AF50" s="5770"/>
      <c r="AG50" s="5769"/>
      <c r="AH50" s="5770"/>
      <c r="AI50" s="5769"/>
      <c r="AJ50" s="5770"/>
      <c r="AK50" s="5769"/>
      <c r="AL50" s="5770"/>
      <c r="AM50" s="5769"/>
      <c r="AN50" s="5770"/>
      <c r="AO50" s="5769"/>
      <c r="AP50" s="5770"/>
      <c r="AQ50" s="5769"/>
      <c r="AR50" s="5770"/>
      <c r="AS50" s="5769"/>
      <c r="AT50" s="5770"/>
      <c r="AU50" s="5769"/>
      <c r="AV50" s="5770"/>
      <c r="AW50" s="5769"/>
      <c r="AX50" s="5770"/>
      <c r="AY50" s="5769"/>
      <c r="AZ50" s="5770"/>
      <c r="BA50" s="5769"/>
      <c r="BB50" s="5770"/>
      <c r="BC50" s="5769"/>
      <c r="BD50" s="5770"/>
      <c r="BE50" s="5769"/>
    </row>
    <row r="51" spans="2:57" ht="18" x14ac:dyDescent="0.2">
      <c r="B51" s="4815" t="s">
        <v>98</v>
      </c>
      <c r="C51" s="4010" t="s">
        <v>170</v>
      </c>
      <c r="D51" s="8809">
        <f>+D41</f>
        <v>8073.14</v>
      </c>
      <c r="E51" s="4453">
        <v>10495.718999999999</v>
      </c>
      <c r="F51" s="8809">
        <f>+F41</f>
        <v>43712</v>
      </c>
      <c r="G51" s="4453">
        <v>15736.698999999999</v>
      </c>
      <c r="H51" s="8784">
        <f>+D51+F51</f>
        <v>51785.14</v>
      </c>
      <c r="I51" s="4466">
        <f t="shared" ref="I51:I52" si="216">+E51+G51</f>
        <v>26232.417999999998</v>
      </c>
      <c r="J51" s="8764">
        <f>+J41</f>
        <v>41998</v>
      </c>
      <c r="K51" s="4453">
        <v>25167.185000000001</v>
      </c>
      <c r="L51" s="8720">
        <f>+H51+J51</f>
        <v>93783.14</v>
      </c>
      <c r="M51" s="4854">
        <f t="shared" ref="M51:M52" si="217">+I51+K51</f>
        <v>51399.603000000003</v>
      </c>
      <c r="N51" s="8764">
        <f>+N41</f>
        <v>59600</v>
      </c>
      <c r="O51" s="4453">
        <v>17092.839</v>
      </c>
      <c r="P51" s="8784">
        <f>+L51+N51</f>
        <v>153383.14000000001</v>
      </c>
      <c r="Q51" s="4466">
        <f t="shared" ref="Q51:Q52" si="218">+M51+O51</f>
        <v>68492.44200000001</v>
      </c>
      <c r="R51" s="8764">
        <f>+R41</f>
        <v>55000</v>
      </c>
      <c r="S51" s="4453">
        <v>14577.935000000001</v>
      </c>
      <c r="T51" s="8784">
        <f>+P51+R51</f>
        <v>208383.14</v>
      </c>
      <c r="U51" s="4466">
        <f t="shared" ref="U51:U52" si="219">+Q51+S51</f>
        <v>83070.377000000008</v>
      </c>
      <c r="V51" s="8764">
        <f>+V41</f>
        <v>58000</v>
      </c>
      <c r="W51" s="4453">
        <v>24878.675999999999</v>
      </c>
      <c r="X51" s="8720">
        <f>N51+R51+V51</f>
        <v>172600</v>
      </c>
      <c r="Y51" s="4854">
        <f>O51+S51+W51</f>
        <v>56549.45</v>
      </c>
      <c r="Z51" s="8722">
        <f>+T51+V51</f>
        <v>266383.14</v>
      </c>
      <c r="AA51" s="7231">
        <f t="shared" ref="AA51:AA52" si="220">+U51+W51</f>
        <v>107949.05300000001</v>
      </c>
      <c r="AB51" s="8764">
        <f>+AB41</f>
        <v>50000</v>
      </c>
      <c r="AC51" s="4453">
        <v>16326.78</v>
      </c>
      <c r="AD51" s="8784">
        <f>+Z51+AB51</f>
        <v>316383.14</v>
      </c>
      <c r="AE51" s="4466">
        <f t="shared" ref="AE51:AE52" si="221">+AA51+AC51</f>
        <v>124275.83300000001</v>
      </c>
      <c r="AF51" s="8764">
        <f>+AF41</f>
        <v>72144</v>
      </c>
      <c r="AG51" s="4453">
        <v>28733.880000000008</v>
      </c>
      <c r="AH51" s="8784">
        <f>+AD51+AF51</f>
        <v>388527.14</v>
      </c>
      <c r="AI51" s="4466">
        <f t="shared" ref="AI51:AI52" si="222">+AE51+AG51</f>
        <v>153009.71300000002</v>
      </c>
      <c r="AJ51" s="8764">
        <f>+AJ41</f>
        <v>72945.600000000006</v>
      </c>
      <c r="AK51" s="4453">
        <v>36974.189999999995</v>
      </c>
      <c r="AL51" s="8720">
        <f>AB51+AF51+AJ51</f>
        <v>195089.6</v>
      </c>
      <c r="AM51" s="4854">
        <f>AC51+AG51+AK51</f>
        <v>82034.850000000006</v>
      </c>
      <c r="AN51" s="8784">
        <f>+AH51+AJ51</f>
        <v>461472.74</v>
      </c>
      <c r="AO51" s="4466">
        <f t="shared" ref="AO51:AO52" si="223">+AI51+AK51</f>
        <v>189983.90300000002</v>
      </c>
      <c r="AP51" s="8764">
        <f>+AP41</f>
        <v>73480</v>
      </c>
      <c r="AQ51" s="4453">
        <v>40733.96</v>
      </c>
      <c r="AR51" s="8784">
        <f>+AN51+AP51</f>
        <v>534952.74</v>
      </c>
      <c r="AS51" s="4466">
        <f t="shared" ref="AS51:AS52" si="224">+AO51+AQ51</f>
        <v>230717.86300000001</v>
      </c>
      <c r="AT51" s="8764">
        <f>+AT41</f>
        <v>66800</v>
      </c>
      <c r="AU51" s="4453">
        <v>42495.68</v>
      </c>
      <c r="AV51" s="8784">
        <f>+AR51+AT51</f>
        <v>601752.74</v>
      </c>
      <c r="AW51" s="4466">
        <f t="shared" ref="AW51:AW52" si="225">+AS51+AU51</f>
        <v>273213.54300000001</v>
      </c>
      <c r="AX51" s="8764">
        <f>+AX41</f>
        <v>73122</v>
      </c>
      <c r="AY51" s="4453">
        <v>37717.879999999997</v>
      </c>
      <c r="AZ51" s="8720">
        <f>AP51+AT51+AX51</f>
        <v>213402</v>
      </c>
      <c r="BA51" s="4854">
        <f>AQ51+AU51+AY51</f>
        <v>120947.51999999999</v>
      </c>
      <c r="BB51" s="8720">
        <f t="shared" ref="BB51:BB53" si="226">+AZ51+AL51</f>
        <v>408491.6</v>
      </c>
      <c r="BC51" s="4854">
        <f t="shared" ref="BC51:BC53" si="227">+BA51+AM51</f>
        <v>202982.37</v>
      </c>
      <c r="BD51" s="8722">
        <f>+AV51+AX51</f>
        <v>674874.74</v>
      </c>
      <c r="BE51" s="7231">
        <f t="shared" ref="BE51:BE52" si="228">+AW51+AY51</f>
        <v>310931.42300000001</v>
      </c>
    </row>
    <row r="52" spans="2:57" ht="19" thickBot="1" x14ac:dyDescent="0.25">
      <c r="B52" s="4819" t="s">
        <v>99</v>
      </c>
      <c r="C52" s="4820" t="s">
        <v>170</v>
      </c>
      <c r="D52" s="8811"/>
      <c r="E52" s="4453">
        <v>1176.31</v>
      </c>
      <c r="F52" s="8811"/>
      <c r="G52" s="4453">
        <v>16259.890000000001</v>
      </c>
      <c r="H52" s="8798"/>
      <c r="I52" s="4466">
        <f t="shared" si="216"/>
        <v>17436.2</v>
      </c>
      <c r="J52" s="8772"/>
      <c r="K52" s="4453">
        <v>9604.8599999999988</v>
      </c>
      <c r="L52" s="8739"/>
      <c r="M52" s="4854">
        <f t="shared" si="217"/>
        <v>27041.059999999998</v>
      </c>
      <c r="N52" s="8772"/>
      <c r="O52" s="4453">
        <v>11420.14</v>
      </c>
      <c r="P52" s="8798"/>
      <c r="Q52" s="4466">
        <f t="shared" si="218"/>
        <v>38461.199999999997</v>
      </c>
      <c r="R52" s="8772"/>
      <c r="S52" s="4453">
        <v>15172.689999999999</v>
      </c>
      <c r="T52" s="8798"/>
      <c r="U52" s="4466">
        <f t="shared" si="219"/>
        <v>53633.89</v>
      </c>
      <c r="V52" s="8772"/>
      <c r="W52" s="4453">
        <v>10245.32</v>
      </c>
      <c r="X52" s="8739"/>
      <c r="Y52" s="4854">
        <f>O52+S52+W52</f>
        <v>36838.149999999994</v>
      </c>
      <c r="Z52" s="8753"/>
      <c r="AA52" s="7231">
        <f t="shared" si="220"/>
        <v>63879.21</v>
      </c>
      <c r="AB52" s="8772"/>
      <c r="AC52" s="4453">
        <v>9770.2200000000012</v>
      </c>
      <c r="AD52" s="8798"/>
      <c r="AE52" s="4466">
        <f t="shared" si="221"/>
        <v>73649.429999999993</v>
      </c>
      <c r="AF52" s="8772"/>
      <c r="AG52" s="4453">
        <v>14902.91</v>
      </c>
      <c r="AH52" s="8798"/>
      <c r="AI52" s="4466">
        <f t="shared" si="222"/>
        <v>88552.34</v>
      </c>
      <c r="AJ52" s="8772"/>
      <c r="AK52" s="4453">
        <v>13146.899999999998</v>
      </c>
      <c r="AL52" s="8739"/>
      <c r="AM52" s="4854">
        <f>AC52+AG52+AK52</f>
        <v>37820.03</v>
      </c>
      <c r="AN52" s="8798"/>
      <c r="AO52" s="4466">
        <f t="shared" si="223"/>
        <v>101699.23999999999</v>
      </c>
      <c r="AP52" s="8772"/>
      <c r="AQ52" s="4453">
        <v>8071.8000000000011</v>
      </c>
      <c r="AR52" s="8798"/>
      <c r="AS52" s="4466">
        <f t="shared" si="224"/>
        <v>109771.04</v>
      </c>
      <c r="AT52" s="8772"/>
      <c r="AU52" s="4453">
        <v>6594.23</v>
      </c>
      <c r="AV52" s="8798"/>
      <c r="AW52" s="4466">
        <f t="shared" si="225"/>
        <v>116365.26999999999</v>
      </c>
      <c r="AX52" s="8772"/>
      <c r="AY52" s="4453">
        <v>9662.2900000000009</v>
      </c>
      <c r="AZ52" s="8739"/>
      <c r="BA52" s="4854">
        <f>AQ52+AU52+AY52</f>
        <v>24328.32</v>
      </c>
      <c r="BB52" s="8739">
        <f t="shared" si="226"/>
        <v>0</v>
      </c>
      <c r="BC52" s="4854">
        <f t="shared" si="227"/>
        <v>62148.35</v>
      </c>
      <c r="BD52" s="8753"/>
      <c r="BE52" s="7231">
        <f t="shared" si="228"/>
        <v>126027.56</v>
      </c>
    </row>
    <row r="53" spans="2:57" ht="19" thickBot="1" x14ac:dyDescent="0.25">
      <c r="B53" s="4821" t="s">
        <v>15</v>
      </c>
      <c r="C53" s="2963" t="s">
        <v>170</v>
      </c>
      <c r="D53" s="8810"/>
      <c r="E53" s="3205">
        <f>SUM(E51:E52)</f>
        <v>11672.028999999999</v>
      </c>
      <c r="F53" s="8810"/>
      <c r="G53" s="3205">
        <f>SUM(G51:G52)</f>
        <v>31996.589</v>
      </c>
      <c r="H53" s="8805"/>
      <c r="I53" s="4400">
        <f>SUM(I51:I52)</f>
        <v>43668.618000000002</v>
      </c>
      <c r="J53" s="8765"/>
      <c r="K53" s="3205">
        <f>SUM(K51:K52)</f>
        <v>34772.044999999998</v>
      </c>
      <c r="L53" s="8740"/>
      <c r="M53" s="5740">
        <f>SUM(M51:M52)</f>
        <v>78440.663</v>
      </c>
      <c r="N53" s="8765"/>
      <c r="O53" s="3205">
        <f>SUM(O51:O52)</f>
        <v>28512.978999999999</v>
      </c>
      <c r="P53" s="8805"/>
      <c r="Q53" s="4400">
        <f>SUM(Q51:Q52)</f>
        <v>106953.64200000001</v>
      </c>
      <c r="R53" s="8765"/>
      <c r="S53" s="3205">
        <f>SUM(S51:S52)</f>
        <v>29750.625</v>
      </c>
      <c r="T53" s="8805"/>
      <c r="U53" s="4400">
        <f>SUM(U51:U52)</f>
        <v>136704.26699999999</v>
      </c>
      <c r="V53" s="8765"/>
      <c r="W53" s="3205">
        <f>SUM(W51:W52)</f>
        <v>35123.995999999999</v>
      </c>
      <c r="X53" s="8740"/>
      <c r="Y53" s="5740">
        <f>SUM(Y51:Y52)</f>
        <v>93387.599999999991</v>
      </c>
      <c r="Z53" s="8754"/>
      <c r="AA53" s="7233">
        <f>SUM(AA51:AA52)</f>
        <v>171828.26300000001</v>
      </c>
      <c r="AB53" s="8765"/>
      <c r="AC53" s="3205">
        <f>SUM(AC51:AC52)</f>
        <v>26097</v>
      </c>
      <c r="AD53" s="8805"/>
      <c r="AE53" s="4400">
        <f>SUM(AE51:AE52)</f>
        <v>197925.26300000001</v>
      </c>
      <c r="AF53" s="8765"/>
      <c r="AG53" s="3205">
        <f>SUM(AG51:AG52)</f>
        <v>43636.790000000008</v>
      </c>
      <c r="AH53" s="8805"/>
      <c r="AI53" s="4400">
        <f>SUM(AI51:AI52)</f>
        <v>241562.05300000001</v>
      </c>
      <c r="AJ53" s="8765"/>
      <c r="AK53" s="3205">
        <f>SUM(AK51:AK52)</f>
        <v>50121.09</v>
      </c>
      <c r="AL53" s="8740"/>
      <c r="AM53" s="5740">
        <f>SUM(AM51:AM52)</f>
        <v>119854.88</v>
      </c>
      <c r="AN53" s="8805"/>
      <c r="AO53" s="4400">
        <f>SUM(AO51:AO52)</f>
        <v>291683.14300000004</v>
      </c>
      <c r="AP53" s="8765"/>
      <c r="AQ53" s="3205">
        <f>SUM(AQ51:AQ52)</f>
        <v>48805.760000000002</v>
      </c>
      <c r="AR53" s="8805"/>
      <c r="AS53" s="4400">
        <f>SUM(AS51:AS52)</f>
        <v>340488.90299999999</v>
      </c>
      <c r="AT53" s="8765"/>
      <c r="AU53" s="3205">
        <f>SUM(AU51:AU52)</f>
        <v>49089.91</v>
      </c>
      <c r="AV53" s="8805"/>
      <c r="AW53" s="4400">
        <f>SUM(AW51:AW52)</f>
        <v>389578.81299999997</v>
      </c>
      <c r="AX53" s="8765"/>
      <c r="AY53" s="3205">
        <f>SUM(AY51:AY52)</f>
        <v>47380.17</v>
      </c>
      <c r="AZ53" s="8740"/>
      <c r="BA53" s="5740">
        <f>SUM(BA51:BA52)</f>
        <v>145275.84</v>
      </c>
      <c r="BB53" s="8740">
        <f t="shared" si="226"/>
        <v>0</v>
      </c>
      <c r="BC53" s="5740">
        <f t="shared" si="227"/>
        <v>265130.71999999997</v>
      </c>
      <c r="BD53" s="8754"/>
      <c r="BE53" s="7233">
        <f>SUM(BE51:BE52)</f>
        <v>436958.98300000001</v>
      </c>
    </row>
    <row r="54" spans="2:57" s="3380" customFormat="1" ht="18" x14ac:dyDescent="0.2">
      <c r="B54" s="5767" t="s">
        <v>447</v>
      </c>
      <c r="C54" s="5756"/>
      <c r="D54" s="5768"/>
      <c r="E54" s="5769"/>
      <c r="F54" s="5768"/>
      <c r="G54" s="5769"/>
      <c r="H54" s="5770"/>
      <c r="I54" s="5769"/>
      <c r="J54" s="5770"/>
      <c r="K54" s="5769"/>
      <c r="L54" s="5770"/>
      <c r="M54" s="5769"/>
      <c r="N54" s="5770"/>
      <c r="O54" s="5769"/>
      <c r="P54" s="5770"/>
      <c r="Q54" s="5769"/>
      <c r="R54" s="5770"/>
      <c r="S54" s="5769"/>
      <c r="T54" s="5770"/>
      <c r="U54" s="5769"/>
      <c r="V54" s="5770"/>
      <c r="W54" s="5769"/>
      <c r="X54" s="5770"/>
      <c r="Y54" s="5769"/>
      <c r="Z54" s="5770"/>
      <c r="AA54" s="5769"/>
      <c r="AB54" s="5770"/>
      <c r="AC54" s="5769"/>
      <c r="AD54" s="5770"/>
      <c r="AE54" s="5769"/>
      <c r="AF54" s="5770"/>
      <c r="AG54" s="5769"/>
      <c r="AH54" s="5770"/>
      <c r="AI54" s="5769"/>
      <c r="AJ54" s="5770"/>
      <c r="AK54" s="5769"/>
      <c r="AL54" s="5770"/>
      <c r="AM54" s="5769"/>
      <c r="AN54" s="5770"/>
      <c r="AO54" s="5769"/>
      <c r="AP54" s="5770"/>
      <c r="AQ54" s="5769"/>
      <c r="AR54" s="5770"/>
      <c r="AS54" s="5769"/>
      <c r="AT54" s="5770"/>
      <c r="AU54" s="5769"/>
      <c r="AV54" s="5770"/>
      <c r="AW54" s="5769"/>
      <c r="AX54" s="5770"/>
      <c r="AY54" s="5769"/>
      <c r="AZ54" s="5770"/>
      <c r="BA54" s="5769"/>
      <c r="BB54" s="5770"/>
      <c r="BC54" s="5769"/>
      <c r="BD54" s="5770"/>
      <c r="BE54" s="5769"/>
    </row>
    <row r="55" spans="2:57" ht="18" x14ac:dyDescent="0.2">
      <c r="B55" s="4815" t="s">
        <v>98</v>
      </c>
      <c r="C55" s="4010" t="s">
        <v>170</v>
      </c>
      <c r="D55" s="8809">
        <f>+D42</f>
        <v>0</v>
      </c>
      <c r="E55" s="4453">
        <v>985.8</v>
      </c>
      <c r="F55" s="8809">
        <f>+F42</f>
        <v>0</v>
      </c>
      <c r="G55" s="4453">
        <v>1484.8010000000002</v>
      </c>
      <c r="H55" s="8784">
        <f>+D55+F55</f>
        <v>0</v>
      </c>
      <c r="I55" s="4466">
        <f t="shared" ref="I55:I56" si="229">+E55+G55</f>
        <v>2470.6010000000001</v>
      </c>
      <c r="J55" s="8764">
        <f>+J42</f>
        <v>0</v>
      </c>
      <c r="K55" s="4453">
        <v>3655.0209999999997</v>
      </c>
      <c r="L55" s="8720">
        <f>+H55+J55</f>
        <v>0</v>
      </c>
      <c r="M55" s="4854">
        <f t="shared" ref="M55:M56" si="230">+I55+K55</f>
        <v>6125.6219999999994</v>
      </c>
      <c r="N55" s="8764">
        <f>+N42</f>
        <v>7000</v>
      </c>
      <c r="O55" s="4453">
        <v>936.52</v>
      </c>
      <c r="P55" s="8784">
        <f>+L55+N55</f>
        <v>7000</v>
      </c>
      <c r="Q55" s="4466">
        <f t="shared" ref="Q55:Q56" si="231">+M55+O55</f>
        <v>7062.1419999999998</v>
      </c>
      <c r="R55" s="8764">
        <f>+R42</f>
        <v>8000</v>
      </c>
      <c r="S55" s="4453">
        <v>186.72</v>
      </c>
      <c r="T55" s="8784">
        <f>+P55+R55</f>
        <v>15000</v>
      </c>
      <c r="U55" s="4466">
        <f t="shared" ref="U55:U56" si="232">+Q55+S55</f>
        <v>7248.8620000000001</v>
      </c>
      <c r="V55" s="8764">
        <f>+V42</f>
        <v>10000</v>
      </c>
      <c r="W55" s="4453">
        <v>0</v>
      </c>
      <c r="X55" s="8720">
        <f>N55+R55+V55</f>
        <v>25000</v>
      </c>
      <c r="Y55" s="4854">
        <f>O55+S55+W55</f>
        <v>1123.24</v>
      </c>
      <c r="Z55" s="8722">
        <f>+T55+V55</f>
        <v>25000</v>
      </c>
      <c r="AA55" s="7231">
        <f t="shared" ref="AA55:AA56" si="233">+U55+W55</f>
        <v>7248.8620000000001</v>
      </c>
      <c r="AB55" s="8764">
        <f>+AB42</f>
        <v>10000</v>
      </c>
      <c r="AC55" s="4453">
        <v>6276.4000000000005</v>
      </c>
      <c r="AD55" s="8784">
        <f>+Z55+AB55</f>
        <v>35000</v>
      </c>
      <c r="AE55" s="4466">
        <f t="shared" ref="AE55:AE56" si="234">+AA55+AC55</f>
        <v>13525.262000000001</v>
      </c>
      <c r="AF55" s="8764">
        <f>+AF42</f>
        <v>40000</v>
      </c>
      <c r="AG55" s="4453">
        <v>13228.360000000002</v>
      </c>
      <c r="AH55" s="8784">
        <f>+AD55+AF55</f>
        <v>75000</v>
      </c>
      <c r="AI55" s="4466">
        <f t="shared" ref="AI55:AI56" si="235">+AE55+AG55</f>
        <v>26753.622000000003</v>
      </c>
      <c r="AJ55" s="8764">
        <f>+AJ42</f>
        <v>30000</v>
      </c>
      <c r="AK55" s="4453">
        <v>9355.64</v>
      </c>
      <c r="AL55" s="8720">
        <f>AB55+AF55+AJ55</f>
        <v>80000</v>
      </c>
      <c r="AM55" s="4854">
        <f>AC55+AG55+AK55</f>
        <v>28860.400000000001</v>
      </c>
      <c r="AN55" s="8784">
        <f>+AH55+AJ55</f>
        <v>105000</v>
      </c>
      <c r="AO55" s="4466">
        <f t="shared" ref="AO55:AO56" si="236">+AI55+AK55</f>
        <v>36109.262000000002</v>
      </c>
      <c r="AP55" s="8764">
        <f>+AP42</f>
        <v>35000</v>
      </c>
      <c r="AQ55" s="4453">
        <v>11852.52</v>
      </c>
      <c r="AR55" s="8784">
        <f>+AN55+AP55</f>
        <v>140000</v>
      </c>
      <c r="AS55" s="4466">
        <f t="shared" ref="AS55:AS56" si="237">+AO55+AQ55</f>
        <v>47961.782000000007</v>
      </c>
      <c r="AT55" s="8764">
        <f>+AT42</f>
        <v>35000</v>
      </c>
      <c r="AU55" s="4453">
        <v>13755.45</v>
      </c>
      <c r="AV55" s="8784">
        <f>+AR55+AT55</f>
        <v>175000</v>
      </c>
      <c r="AW55" s="4466">
        <f t="shared" ref="AW55:AW56" si="238">+AS55+AU55</f>
        <v>61717.232000000004</v>
      </c>
      <c r="AX55" s="8764">
        <f>+AX42</f>
        <v>45000</v>
      </c>
      <c r="AY55" s="4453">
        <v>8375.7000000000007</v>
      </c>
      <c r="AZ55" s="8720">
        <f>AP55+AT55+AX55</f>
        <v>115000</v>
      </c>
      <c r="BA55" s="4854">
        <f>AQ55+AU55+AY55</f>
        <v>33983.67</v>
      </c>
      <c r="BB55" s="8720">
        <f t="shared" ref="BB55:BB57" si="239">+AZ55+AL55</f>
        <v>195000</v>
      </c>
      <c r="BC55" s="4854">
        <f t="shared" ref="BC55:BC57" si="240">+BA55+AM55</f>
        <v>62844.07</v>
      </c>
      <c r="BD55" s="8722">
        <f>+AV55+AX55</f>
        <v>220000</v>
      </c>
      <c r="BE55" s="7231">
        <f t="shared" ref="BE55:BE56" si="241">+AW55+AY55</f>
        <v>70092.932000000001</v>
      </c>
    </row>
    <row r="56" spans="2:57" ht="19" thickBot="1" x14ac:dyDescent="0.25">
      <c r="B56" s="4819" t="s">
        <v>99</v>
      </c>
      <c r="C56" s="4820" t="s">
        <v>170</v>
      </c>
      <c r="D56" s="8811"/>
      <c r="E56" s="4453">
        <v>0</v>
      </c>
      <c r="F56" s="8811"/>
      <c r="G56" s="4453">
        <v>2234.4900000000002</v>
      </c>
      <c r="H56" s="8798"/>
      <c r="I56" s="4466">
        <f t="shared" si="229"/>
        <v>2234.4900000000002</v>
      </c>
      <c r="J56" s="8772"/>
      <c r="K56" s="4453">
        <v>1195.49</v>
      </c>
      <c r="L56" s="8739"/>
      <c r="M56" s="4854">
        <f t="shared" si="230"/>
        <v>3429.9800000000005</v>
      </c>
      <c r="N56" s="8772"/>
      <c r="O56" s="4453">
        <v>1443.1799999999998</v>
      </c>
      <c r="P56" s="8798"/>
      <c r="Q56" s="4466">
        <f t="shared" si="231"/>
        <v>4873.16</v>
      </c>
      <c r="R56" s="8772"/>
      <c r="S56" s="4453">
        <v>627.04</v>
      </c>
      <c r="T56" s="8798"/>
      <c r="U56" s="4466">
        <f t="shared" si="232"/>
        <v>5500.2</v>
      </c>
      <c r="V56" s="8772"/>
      <c r="W56" s="4453">
        <f>359.27+2977.86</f>
        <v>3337.13</v>
      </c>
      <c r="X56" s="8739"/>
      <c r="Y56" s="4854">
        <f>O56+S56+W56</f>
        <v>5407.35</v>
      </c>
      <c r="Z56" s="8753"/>
      <c r="AA56" s="7231">
        <f t="shared" si="233"/>
        <v>8837.33</v>
      </c>
      <c r="AB56" s="8772"/>
      <c r="AC56" s="4453">
        <v>6030.0800000000008</v>
      </c>
      <c r="AD56" s="8798"/>
      <c r="AE56" s="4466">
        <f t="shared" si="234"/>
        <v>14867.41</v>
      </c>
      <c r="AF56" s="8772"/>
      <c r="AG56" s="4453">
        <v>5532.07</v>
      </c>
      <c r="AH56" s="8798"/>
      <c r="AI56" s="4466">
        <f t="shared" si="235"/>
        <v>20399.48</v>
      </c>
      <c r="AJ56" s="8772"/>
      <c r="AK56" s="4453">
        <f>3331.9+AK19</f>
        <v>3516.78</v>
      </c>
      <c r="AL56" s="8739"/>
      <c r="AM56" s="4854">
        <f>AC56+AG56+AK56</f>
        <v>15078.930000000002</v>
      </c>
      <c r="AN56" s="8798"/>
      <c r="AO56" s="4466">
        <f t="shared" si="236"/>
        <v>23916.26</v>
      </c>
      <c r="AP56" s="8772"/>
      <c r="AQ56" s="4453">
        <v>1848.3400000000001</v>
      </c>
      <c r="AR56" s="8798"/>
      <c r="AS56" s="4466">
        <f t="shared" si="237"/>
        <v>25764.6</v>
      </c>
      <c r="AT56" s="8772"/>
      <c r="AU56" s="4453">
        <v>3465.56</v>
      </c>
      <c r="AV56" s="8798"/>
      <c r="AW56" s="4466">
        <f t="shared" si="238"/>
        <v>29230.16</v>
      </c>
      <c r="AX56" s="8772"/>
      <c r="AY56" s="4453">
        <v>4638.2</v>
      </c>
      <c r="AZ56" s="8739"/>
      <c r="BA56" s="4854">
        <f>AQ56+AU56+AY56</f>
        <v>9952.0999999999985</v>
      </c>
      <c r="BB56" s="8739">
        <f t="shared" si="239"/>
        <v>0</v>
      </c>
      <c r="BC56" s="4854">
        <f t="shared" si="240"/>
        <v>25031.03</v>
      </c>
      <c r="BD56" s="8753"/>
      <c r="BE56" s="7231">
        <f t="shared" si="241"/>
        <v>33868.36</v>
      </c>
    </row>
    <row r="57" spans="2:57" ht="19" thickBot="1" x14ac:dyDescent="0.25">
      <c r="B57" s="4821" t="s">
        <v>15</v>
      </c>
      <c r="C57" s="2963" t="s">
        <v>170</v>
      </c>
      <c r="D57" s="8810"/>
      <c r="E57" s="3205">
        <f>SUM(E55:E56)</f>
        <v>985.8</v>
      </c>
      <c r="F57" s="8810"/>
      <c r="G57" s="3205">
        <f>SUM(G55:G56)</f>
        <v>3719.2910000000002</v>
      </c>
      <c r="H57" s="8805"/>
      <c r="I57" s="4400">
        <f>SUM(I55:I56)</f>
        <v>4705.0910000000003</v>
      </c>
      <c r="J57" s="8765"/>
      <c r="K57" s="3205">
        <f>SUM(K55:K56)</f>
        <v>4850.5109999999995</v>
      </c>
      <c r="L57" s="8740"/>
      <c r="M57" s="5740">
        <f>SUM(M55:M56)</f>
        <v>9555.601999999999</v>
      </c>
      <c r="N57" s="8765"/>
      <c r="O57" s="3205">
        <f>SUM(O55:O56)</f>
        <v>2379.6999999999998</v>
      </c>
      <c r="P57" s="8805"/>
      <c r="Q57" s="4400">
        <f>SUM(Q55:Q56)</f>
        <v>11935.302</v>
      </c>
      <c r="R57" s="8765"/>
      <c r="S57" s="3205">
        <f>SUM(S55:S56)</f>
        <v>813.76</v>
      </c>
      <c r="T57" s="8805"/>
      <c r="U57" s="4400">
        <f>SUM(U55:U56)</f>
        <v>12749.062</v>
      </c>
      <c r="V57" s="8765"/>
      <c r="W57" s="3205">
        <f>SUM(W55:W56)</f>
        <v>3337.13</v>
      </c>
      <c r="X57" s="8740"/>
      <c r="Y57" s="5740">
        <f>SUM(Y55:Y56)</f>
        <v>6530.59</v>
      </c>
      <c r="Z57" s="8754"/>
      <c r="AA57" s="7233">
        <f>SUM(AA55:AA56)</f>
        <v>16086.191999999999</v>
      </c>
      <c r="AB57" s="8765"/>
      <c r="AC57" s="3205">
        <f>SUM(AC55:AC56)</f>
        <v>12306.480000000001</v>
      </c>
      <c r="AD57" s="8805"/>
      <c r="AE57" s="4400">
        <f>SUM(AE55:AE56)</f>
        <v>28392.671999999999</v>
      </c>
      <c r="AF57" s="8765"/>
      <c r="AG57" s="3205">
        <f>SUM(AG55:AG56)</f>
        <v>18760.43</v>
      </c>
      <c r="AH57" s="8805"/>
      <c r="AI57" s="4400">
        <f>SUM(AI55:AI56)</f>
        <v>47153.101999999999</v>
      </c>
      <c r="AJ57" s="8765"/>
      <c r="AK57" s="3205">
        <f>SUM(AK55:AK56)</f>
        <v>12872.42</v>
      </c>
      <c r="AL57" s="8740"/>
      <c r="AM57" s="5740">
        <f>SUM(AM55:AM56)</f>
        <v>43939.33</v>
      </c>
      <c r="AN57" s="8805"/>
      <c r="AO57" s="4400">
        <f>SUM(AO55:AO56)</f>
        <v>60025.521999999997</v>
      </c>
      <c r="AP57" s="8765"/>
      <c r="AQ57" s="3205">
        <f>SUM(AQ55:AQ56)</f>
        <v>13700.86</v>
      </c>
      <c r="AR57" s="8805"/>
      <c r="AS57" s="4400">
        <f>SUM(AS55:AS56)</f>
        <v>73726.382000000012</v>
      </c>
      <c r="AT57" s="8765"/>
      <c r="AU57" s="3205">
        <f>SUM(AU55:AU56)</f>
        <v>17221.010000000002</v>
      </c>
      <c r="AV57" s="8805"/>
      <c r="AW57" s="4400">
        <f>SUM(AW55:AW56)</f>
        <v>90947.392000000007</v>
      </c>
      <c r="AX57" s="8765"/>
      <c r="AY57" s="3205">
        <f>SUM(AY55:AY56)</f>
        <v>13013.900000000001</v>
      </c>
      <c r="AZ57" s="8740"/>
      <c r="BA57" s="5740">
        <f>SUM(BA55:BA56)</f>
        <v>43935.77</v>
      </c>
      <c r="BB57" s="8740">
        <f t="shared" si="239"/>
        <v>0</v>
      </c>
      <c r="BC57" s="5740">
        <f t="shared" si="240"/>
        <v>87875.1</v>
      </c>
      <c r="BD57" s="8754"/>
      <c r="BE57" s="7233">
        <f>SUM(BE55:BE56)</f>
        <v>103961.292</v>
      </c>
    </row>
    <row r="58" spans="2:57" s="3380" customFormat="1" ht="18" x14ac:dyDescent="0.2">
      <c r="B58" s="5767" t="s">
        <v>1135</v>
      </c>
      <c r="C58" s="5756"/>
      <c r="D58" s="5768"/>
      <c r="E58" s="5769"/>
      <c r="F58" s="5768"/>
      <c r="G58" s="5769"/>
      <c r="H58" s="5770"/>
      <c r="I58" s="5769"/>
      <c r="J58" s="5770"/>
      <c r="K58" s="5769"/>
      <c r="L58" s="5770"/>
      <c r="M58" s="5769"/>
      <c r="N58" s="5770"/>
      <c r="O58" s="5769"/>
      <c r="P58" s="5770"/>
      <c r="Q58" s="5769"/>
      <c r="R58" s="5770"/>
      <c r="S58" s="5769"/>
      <c r="T58" s="5770"/>
      <c r="U58" s="5769"/>
      <c r="V58" s="5770"/>
      <c r="W58" s="5769"/>
      <c r="X58" s="5770"/>
      <c r="Y58" s="5769"/>
      <c r="Z58" s="5770"/>
      <c r="AA58" s="5769"/>
      <c r="AB58" s="5770"/>
      <c r="AC58" s="5769"/>
      <c r="AD58" s="5770"/>
      <c r="AE58" s="5769"/>
      <c r="AF58" s="5770"/>
      <c r="AG58" s="5769"/>
      <c r="AH58" s="5770"/>
      <c r="AI58" s="5769"/>
      <c r="AJ58" s="5770"/>
      <c r="AK58" s="5769"/>
      <c r="AL58" s="5770"/>
      <c r="AM58" s="5769"/>
      <c r="AN58" s="5770"/>
      <c r="AO58" s="5769"/>
      <c r="AP58" s="5770"/>
      <c r="AQ58" s="5769"/>
      <c r="AR58" s="5770"/>
      <c r="AS58" s="5769"/>
      <c r="AT58" s="5770"/>
      <c r="AU58" s="5769"/>
      <c r="AV58" s="5770"/>
      <c r="AW58" s="5769"/>
      <c r="AX58" s="5770"/>
      <c r="AY58" s="5769"/>
      <c r="AZ58" s="5770"/>
      <c r="BA58" s="5769"/>
      <c r="BB58" s="5770"/>
      <c r="BC58" s="5769"/>
      <c r="BD58" s="5770"/>
      <c r="BE58" s="5769"/>
    </row>
    <row r="59" spans="2:57" ht="18" x14ac:dyDescent="0.2">
      <c r="B59" s="4815" t="s">
        <v>98</v>
      </c>
      <c r="C59" s="4010" t="s">
        <v>170</v>
      </c>
      <c r="D59" s="8809">
        <f>+D43</f>
        <v>94808</v>
      </c>
      <c r="E59" s="4453">
        <v>40972.332999999991</v>
      </c>
      <c r="F59" s="8809">
        <f>+F43</f>
        <v>65936.95</v>
      </c>
      <c r="G59" s="4453">
        <v>93418.417999999991</v>
      </c>
      <c r="H59" s="8784">
        <f>+D59+F59</f>
        <v>160744.95000000001</v>
      </c>
      <c r="I59" s="4466">
        <f t="shared" ref="I59:I60" si="242">+E59+G59</f>
        <v>134390.75099999999</v>
      </c>
      <c r="J59" s="8764">
        <f>+J43</f>
        <v>77842</v>
      </c>
      <c r="K59" s="4453">
        <v>136232.16199999989</v>
      </c>
      <c r="L59" s="8720">
        <f>+H59+J59</f>
        <v>238586.95</v>
      </c>
      <c r="M59" s="4854">
        <f t="shared" ref="M59:M60" si="243">+I59+K59</f>
        <v>270622.91299999988</v>
      </c>
      <c r="N59" s="8764">
        <f>+N43</f>
        <v>119500</v>
      </c>
      <c r="O59" s="4453">
        <v>113446.85499999995</v>
      </c>
      <c r="P59" s="8784">
        <f>+L59+N59</f>
        <v>358086.95</v>
      </c>
      <c r="Q59" s="4466">
        <f t="shared" ref="Q59:Q60" si="244">+M59+O59</f>
        <v>384069.76799999981</v>
      </c>
      <c r="R59" s="8764">
        <f>+R43</f>
        <v>122000</v>
      </c>
      <c r="S59" s="4453">
        <v>95353.523999999947</v>
      </c>
      <c r="T59" s="8784">
        <f>+P59+R59</f>
        <v>480086.95</v>
      </c>
      <c r="U59" s="4466">
        <f t="shared" ref="U59:U60" si="245">+Q59+S59</f>
        <v>479423.29199999978</v>
      </c>
      <c r="V59" s="8764">
        <f>+V43</f>
        <v>121000</v>
      </c>
      <c r="W59" s="4453">
        <v>34462.745999999999</v>
      </c>
      <c r="X59" s="8720">
        <f>N59+R59+V59</f>
        <v>362500</v>
      </c>
      <c r="Y59" s="4854">
        <f>O59+S59+W59</f>
        <v>243263.12499999988</v>
      </c>
      <c r="Z59" s="8722">
        <f>+T59+V59</f>
        <v>601086.94999999995</v>
      </c>
      <c r="AA59" s="7231">
        <f t="shared" ref="AA59:AA60" si="246">+U59+W59</f>
        <v>513886.03799999977</v>
      </c>
      <c r="AB59" s="8764">
        <f>+AB43</f>
        <v>9175.3772204806719</v>
      </c>
      <c r="AC59" s="4453">
        <v>7162.42</v>
      </c>
      <c r="AD59" s="8784">
        <f>+Z59+AB59</f>
        <v>610262.32722048066</v>
      </c>
      <c r="AE59" s="4466">
        <f t="shared" ref="AE59:AE60" si="247">+AA59+AC59</f>
        <v>521048.45799999975</v>
      </c>
      <c r="AF59" s="8764">
        <f>+AF43</f>
        <v>52506.09887418367</v>
      </c>
      <c r="AG59" s="4453">
        <v>30885.379999999997</v>
      </c>
      <c r="AH59" s="8784">
        <f>+AD59+AF59</f>
        <v>662768.42609466438</v>
      </c>
      <c r="AI59" s="4466">
        <f t="shared" ref="AI59:AI60" si="248">+AE59+AG59</f>
        <v>551933.83799999976</v>
      </c>
      <c r="AJ59" s="8764">
        <f>+AJ43</f>
        <v>69677.646181181786</v>
      </c>
      <c r="AK59" s="4453">
        <v>61841.21</v>
      </c>
      <c r="AL59" s="8720">
        <f>AB59+AF59+AJ59</f>
        <v>131359.12227584614</v>
      </c>
      <c r="AM59" s="4854">
        <f>AC59+AG59+AK59</f>
        <v>99889.01</v>
      </c>
      <c r="AN59" s="8784">
        <f>+AH59+AJ59</f>
        <v>732446.07227584615</v>
      </c>
      <c r="AO59" s="4466">
        <f t="shared" ref="AO59:AO60" si="249">+AI59+AK59</f>
        <v>613775.04799999972</v>
      </c>
      <c r="AP59" s="8764">
        <f>+AP43</f>
        <v>61266.703400687926</v>
      </c>
      <c r="AQ59" s="4453">
        <v>85106.62</v>
      </c>
      <c r="AR59" s="8784">
        <f>+AN59+AP59</f>
        <v>793712.77567653405</v>
      </c>
      <c r="AS59" s="4466">
        <f t="shared" ref="AS59:AS60" si="250">+AO59+AQ59</f>
        <v>698881.66799999971</v>
      </c>
      <c r="AT59" s="8764">
        <f>+AT43</f>
        <v>55498</v>
      </c>
      <c r="AU59" s="4453">
        <v>77283.539999999994</v>
      </c>
      <c r="AV59" s="8784">
        <f>+AR59+AT59</f>
        <v>849210.77567653405</v>
      </c>
      <c r="AW59" s="4466">
        <f t="shared" ref="AW59:AW60" si="251">+AS59+AU59</f>
        <v>776165.20799999975</v>
      </c>
      <c r="AX59" s="8764">
        <f>+AX43</f>
        <v>55223</v>
      </c>
      <c r="AY59" s="4453">
        <v>111317.23</v>
      </c>
      <c r="AZ59" s="8720">
        <f>AP59+AT59+AX59</f>
        <v>171987.70340068793</v>
      </c>
      <c r="BA59" s="4854">
        <f>AQ59+AU59+AY59</f>
        <v>273707.38999999996</v>
      </c>
      <c r="BB59" s="8720">
        <f t="shared" ref="BB59:BB61" si="252">+AZ59+AL59</f>
        <v>303346.82567653409</v>
      </c>
      <c r="BC59" s="4854">
        <f t="shared" ref="BC59:BC61" si="253">+BA59+AM59</f>
        <v>373596.39999999997</v>
      </c>
      <c r="BD59" s="8722">
        <f>+AV59+AX59</f>
        <v>904433.77567653405</v>
      </c>
      <c r="BE59" s="7231">
        <f t="shared" ref="BE59:BE60" si="254">+AW59+AY59</f>
        <v>887482.43799999973</v>
      </c>
    </row>
    <row r="60" spans="2:57" ht="19" thickBot="1" x14ac:dyDescent="0.25">
      <c r="B60" s="4819" t="s">
        <v>99</v>
      </c>
      <c r="C60" s="4820" t="s">
        <v>170</v>
      </c>
      <c r="D60" s="8811"/>
      <c r="E60" s="4453">
        <v>0</v>
      </c>
      <c r="F60" s="8811"/>
      <c r="G60" s="4453">
        <f>4262.17+2126.39</f>
        <v>6388.5599999999995</v>
      </c>
      <c r="H60" s="8798"/>
      <c r="I60" s="4466">
        <f t="shared" si="242"/>
        <v>6388.5599999999995</v>
      </c>
      <c r="J60" s="8772"/>
      <c r="K60" s="4453">
        <v>13493.760000000002</v>
      </c>
      <c r="L60" s="8739"/>
      <c r="M60" s="4854">
        <f t="shared" si="243"/>
        <v>19882.32</v>
      </c>
      <c r="N60" s="8772"/>
      <c r="O60" s="4453">
        <f>12085.66+2063.213</f>
        <v>14148.873</v>
      </c>
      <c r="P60" s="8798"/>
      <c r="Q60" s="4466">
        <f t="shared" si="244"/>
        <v>34031.192999999999</v>
      </c>
      <c r="R60" s="8772"/>
      <c r="S60" s="4453">
        <v>12433.799999999974</v>
      </c>
      <c r="T60" s="8798"/>
      <c r="U60" s="4466">
        <f t="shared" si="245"/>
        <v>46464.992999999973</v>
      </c>
      <c r="V60" s="8772"/>
      <c r="W60" s="4453">
        <f>1369.83+2569.68+190.24</f>
        <v>4129.75</v>
      </c>
      <c r="X60" s="8739"/>
      <c r="Y60" s="4854">
        <f>O60+S60+W60</f>
        <v>30712.422999999973</v>
      </c>
      <c r="Z60" s="8753"/>
      <c r="AA60" s="7231">
        <f t="shared" si="246"/>
        <v>50594.742999999973</v>
      </c>
      <c r="AB60" s="8772"/>
      <c r="AC60" s="4453">
        <f>1681.46+2544.15</f>
        <v>4225.6100000000006</v>
      </c>
      <c r="AD60" s="8798"/>
      <c r="AE60" s="4466">
        <f t="shared" si="247"/>
        <v>54820.352999999974</v>
      </c>
      <c r="AF60" s="8772"/>
      <c r="AG60" s="4453">
        <f>10160.91+AG25</f>
        <v>13147.24</v>
      </c>
      <c r="AH60" s="8798"/>
      <c r="AI60" s="4466">
        <f t="shared" si="248"/>
        <v>67967.592999999979</v>
      </c>
      <c r="AJ60" s="8772"/>
      <c r="AK60" s="4453">
        <f>7700.1+AK25</f>
        <v>10138.210000000001</v>
      </c>
      <c r="AL60" s="8739"/>
      <c r="AM60" s="4854">
        <f>AC60+AG60+AK60</f>
        <v>27511.059999999998</v>
      </c>
      <c r="AN60" s="8798"/>
      <c r="AO60" s="4466">
        <f t="shared" si="249"/>
        <v>78105.802999999985</v>
      </c>
      <c r="AP60" s="8772"/>
      <c r="AQ60" s="4453">
        <v>3277.6</v>
      </c>
      <c r="AR60" s="8798"/>
      <c r="AS60" s="4466">
        <f t="shared" si="250"/>
        <v>81383.402999999991</v>
      </c>
      <c r="AT60" s="8772"/>
      <c r="AU60" s="4453">
        <v>5017.5600000000004</v>
      </c>
      <c r="AV60" s="8798"/>
      <c r="AW60" s="4466">
        <f t="shared" si="251"/>
        <v>86400.962999999989</v>
      </c>
      <c r="AX60" s="8772"/>
      <c r="AY60" s="4453">
        <v>11584.72</v>
      </c>
      <c r="AZ60" s="8739"/>
      <c r="BA60" s="4854">
        <f>AQ60+AU60+AY60</f>
        <v>19879.879999999997</v>
      </c>
      <c r="BB60" s="8739">
        <f t="shared" si="252"/>
        <v>0</v>
      </c>
      <c r="BC60" s="4854">
        <f t="shared" si="253"/>
        <v>47390.939999999995</v>
      </c>
      <c r="BD60" s="8753"/>
      <c r="BE60" s="7231">
        <f t="shared" si="254"/>
        <v>97985.68299999999</v>
      </c>
    </row>
    <row r="61" spans="2:57" ht="19" thickBot="1" x14ac:dyDescent="0.25">
      <c r="B61" s="4821" t="s">
        <v>15</v>
      </c>
      <c r="C61" s="2963" t="s">
        <v>170</v>
      </c>
      <c r="D61" s="8810"/>
      <c r="E61" s="3205">
        <f>SUM(E59:E60)</f>
        <v>40972.332999999991</v>
      </c>
      <c r="F61" s="8810"/>
      <c r="G61" s="3205">
        <f>SUM(G59:G60)</f>
        <v>99806.977999999988</v>
      </c>
      <c r="H61" s="8805"/>
      <c r="I61" s="4400">
        <f>SUM(I59:I60)</f>
        <v>140779.31099999999</v>
      </c>
      <c r="J61" s="8765"/>
      <c r="K61" s="3205">
        <f>SUM(K59:K60)</f>
        <v>149725.9219999999</v>
      </c>
      <c r="L61" s="8740"/>
      <c r="M61" s="5740">
        <f>SUM(M59:M60)</f>
        <v>290505.23299999989</v>
      </c>
      <c r="N61" s="8765"/>
      <c r="O61" s="3205">
        <f>SUM(O59:O60)</f>
        <v>127595.72799999994</v>
      </c>
      <c r="P61" s="8805"/>
      <c r="Q61" s="4400">
        <f>SUM(Q59:Q60)</f>
        <v>418100.96099999978</v>
      </c>
      <c r="R61" s="8765"/>
      <c r="S61" s="3205">
        <f>SUM(S59:S60)</f>
        <v>107787.32399999992</v>
      </c>
      <c r="T61" s="8805"/>
      <c r="U61" s="4400">
        <f>SUM(U59:U60)</f>
        <v>525888.2849999998</v>
      </c>
      <c r="V61" s="8765"/>
      <c r="W61" s="3205">
        <f>SUM(W59:W60)</f>
        <v>38592.495999999999</v>
      </c>
      <c r="X61" s="8740"/>
      <c r="Y61" s="5740">
        <f>SUM(Y59:Y60)</f>
        <v>273975.54799999984</v>
      </c>
      <c r="Z61" s="8754"/>
      <c r="AA61" s="7233">
        <f>SUM(AA59:AA60)</f>
        <v>564480.78099999973</v>
      </c>
      <c r="AB61" s="8765"/>
      <c r="AC61" s="3205">
        <f>SUM(AC59:AC60)</f>
        <v>11388.03</v>
      </c>
      <c r="AD61" s="8805"/>
      <c r="AE61" s="4400">
        <f>SUM(AE59:AE60)</f>
        <v>575868.81099999975</v>
      </c>
      <c r="AF61" s="8765"/>
      <c r="AG61" s="3205">
        <f>SUM(AG59:AG60)</f>
        <v>44032.619999999995</v>
      </c>
      <c r="AH61" s="8805"/>
      <c r="AI61" s="4400">
        <f>SUM(AI59:AI60)</f>
        <v>619901.43099999975</v>
      </c>
      <c r="AJ61" s="8765"/>
      <c r="AK61" s="3205">
        <f>SUM(AK59:AK60)</f>
        <v>71979.42</v>
      </c>
      <c r="AL61" s="8740"/>
      <c r="AM61" s="5740">
        <f>SUM(AM59:AM60)</f>
        <v>127400.06999999999</v>
      </c>
      <c r="AN61" s="8805"/>
      <c r="AO61" s="4400">
        <f>SUM(AO59:AO60)</f>
        <v>691880.85099999967</v>
      </c>
      <c r="AP61" s="8765"/>
      <c r="AQ61" s="3205">
        <f>SUM(AQ59:AQ60)</f>
        <v>88384.22</v>
      </c>
      <c r="AR61" s="8805"/>
      <c r="AS61" s="4400">
        <f>SUM(AS59:AS60)</f>
        <v>780265.07099999976</v>
      </c>
      <c r="AT61" s="8765"/>
      <c r="AU61" s="3205">
        <f>SUM(AU59:AU60)</f>
        <v>82301.099999999991</v>
      </c>
      <c r="AV61" s="8805"/>
      <c r="AW61" s="4400">
        <f>SUM(AW59:AW60)</f>
        <v>862566.17099999974</v>
      </c>
      <c r="AX61" s="8765"/>
      <c r="AY61" s="3205">
        <f>SUM(AY59:AY60)</f>
        <v>122901.95</v>
      </c>
      <c r="AZ61" s="8740"/>
      <c r="BA61" s="5740">
        <f>SUM(BA59:BA60)</f>
        <v>293587.26999999996</v>
      </c>
      <c r="BB61" s="8740">
        <f t="shared" si="252"/>
        <v>0</v>
      </c>
      <c r="BC61" s="5740">
        <f t="shared" si="253"/>
        <v>420987.33999999997</v>
      </c>
      <c r="BD61" s="8754"/>
      <c r="BE61" s="7233">
        <f>SUM(BE59:BE60)</f>
        <v>985468.12099999969</v>
      </c>
    </row>
    <row r="62" spans="2:57" s="3380" customFormat="1" ht="18" x14ac:dyDescent="0.2">
      <c r="B62" s="5320" t="s">
        <v>449</v>
      </c>
      <c r="C62" s="4902"/>
      <c r="D62" s="5766"/>
      <c r="E62" s="5397"/>
      <c r="F62" s="5766"/>
      <c r="G62" s="5397"/>
      <c r="H62" s="5399"/>
      <c r="I62" s="5397"/>
      <c r="J62" s="5399"/>
      <c r="K62" s="5397"/>
      <c r="L62" s="5399"/>
      <c r="M62" s="5397"/>
      <c r="N62" s="5399"/>
      <c r="O62" s="5397"/>
      <c r="P62" s="5399"/>
      <c r="Q62" s="5397"/>
      <c r="R62" s="5399"/>
      <c r="S62" s="5397"/>
      <c r="T62" s="5399"/>
      <c r="U62" s="5397"/>
      <c r="V62" s="5399"/>
      <c r="W62" s="5397"/>
      <c r="X62" s="5399"/>
      <c r="Y62" s="5397"/>
      <c r="Z62" s="5399"/>
      <c r="AA62" s="5397"/>
      <c r="AB62" s="5399"/>
      <c r="AC62" s="5397"/>
      <c r="AD62" s="5399"/>
      <c r="AE62" s="5397"/>
      <c r="AF62" s="5399"/>
      <c r="AG62" s="5397"/>
      <c r="AH62" s="5399"/>
      <c r="AI62" s="5397"/>
      <c r="AJ62" s="5399"/>
      <c r="AK62" s="5397"/>
      <c r="AL62" s="5399"/>
      <c r="AM62" s="5397"/>
      <c r="AN62" s="5399"/>
      <c r="AO62" s="5397"/>
      <c r="AP62" s="5399"/>
      <c r="AQ62" s="5397"/>
      <c r="AR62" s="5399"/>
      <c r="AS62" s="5397"/>
      <c r="AT62" s="5399"/>
      <c r="AU62" s="5397"/>
      <c r="AV62" s="5399"/>
      <c r="AW62" s="5397"/>
      <c r="AX62" s="5399"/>
      <c r="AY62" s="5397"/>
      <c r="AZ62" s="5399"/>
      <c r="BA62" s="5397"/>
      <c r="BB62" s="5399"/>
      <c r="BC62" s="5397"/>
      <c r="BD62" s="5399"/>
      <c r="BE62" s="5397"/>
    </row>
    <row r="63" spans="2:57" ht="18" x14ac:dyDescent="0.2">
      <c r="B63" s="4825" t="s">
        <v>98</v>
      </c>
      <c r="C63" s="4826" t="s">
        <v>170</v>
      </c>
      <c r="D63" s="8811">
        <f>+D47+D51+D55+D59</f>
        <v>117247.54000000001</v>
      </c>
      <c r="E63" s="3188">
        <f>+E47+E51+E55+E59</f>
        <v>68765.633000000002</v>
      </c>
      <c r="F63" s="8811">
        <f>+F47+F51+F55+F59</f>
        <v>127316.95</v>
      </c>
      <c r="G63" s="3188">
        <f>+G47+G51+G55+G59</f>
        <v>124775.23499999999</v>
      </c>
      <c r="H63" s="8784">
        <f>+D63+F63</f>
        <v>244564.49</v>
      </c>
      <c r="I63" s="4840">
        <f t="shared" ref="I63:I64" si="255">+E63+G63</f>
        <v>193540.86799999999</v>
      </c>
      <c r="J63" s="8772">
        <f>+J47+J51+J55+J59</f>
        <v>155750</v>
      </c>
      <c r="K63" s="3188">
        <f>+K47+K51+K55+K59</f>
        <v>193311.75599999991</v>
      </c>
      <c r="L63" s="8720">
        <f>+H63+J63</f>
        <v>400314.49</v>
      </c>
      <c r="M63" s="5748">
        <f t="shared" ref="M63:M64" si="256">+I63+K63</f>
        <v>386852.62399999989</v>
      </c>
      <c r="N63" s="8772">
        <f>+N47+N51+N55+N59</f>
        <v>221100</v>
      </c>
      <c r="O63" s="3188">
        <f>+O47+O51+O55+O59</f>
        <v>157731.73199999996</v>
      </c>
      <c r="P63" s="8784">
        <f>+L63+N63</f>
        <v>621414.49</v>
      </c>
      <c r="Q63" s="4840">
        <f t="shared" ref="Q63:Q64" si="257">+M63+O63</f>
        <v>544584.35599999991</v>
      </c>
      <c r="R63" s="8772">
        <f>+R47+R51+R55+R59</f>
        <v>220000</v>
      </c>
      <c r="S63" s="3188">
        <f>+S47+S51+S55+S59</f>
        <v>136841.40999999995</v>
      </c>
      <c r="T63" s="8784">
        <f>+P63+R63</f>
        <v>841414.49</v>
      </c>
      <c r="U63" s="4840">
        <f t="shared" ref="U63:U64" si="258">+Q63+S63</f>
        <v>681425.76599999983</v>
      </c>
      <c r="V63" s="8772">
        <f>+V47+V51+V55+V59</f>
        <v>221000</v>
      </c>
      <c r="W63" s="3188">
        <f>+W47+W51+W55+W59</f>
        <v>77711.062999999995</v>
      </c>
      <c r="X63" s="8720">
        <f>N63+R63+V63</f>
        <v>662100</v>
      </c>
      <c r="Y63" s="5748">
        <f>O63+S63+W63</f>
        <v>372284.20499999984</v>
      </c>
      <c r="Z63" s="8722">
        <f>+T63+V63</f>
        <v>1062414.49</v>
      </c>
      <c r="AA63" s="7242">
        <f t="shared" ref="AA63:AA64" si="259">+U63+W63</f>
        <v>759136.82899999979</v>
      </c>
      <c r="AB63" s="8772">
        <f>+AB47+AB51+AB55+AB59</f>
        <v>108975.37722048067</v>
      </c>
      <c r="AC63" s="3188">
        <f>+AC47+AC51+AC55+AC59</f>
        <v>49715.88</v>
      </c>
      <c r="AD63" s="8784">
        <f>+Z63+AB63</f>
        <v>1171389.8672204807</v>
      </c>
      <c r="AE63" s="4840">
        <f t="shared" ref="AE63:AE64" si="260">+AA63+AC63</f>
        <v>808852.7089999998</v>
      </c>
      <c r="AF63" s="8772">
        <f>+AF47+AF51+AF55+AF59</f>
        <v>209899.91019518368</v>
      </c>
      <c r="AG63" s="3188">
        <f>+AG47+AG51+AG55+AG59</f>
        <v>97538.360000000015</v>
      </c>
      <c r="AH63" s="8784">
        <f>+AD63+AF63</f>
        <v>1381289.7774156644</v>
      </c>
      <c r="AI63" s="4840">
        <f t="shared" ref="AI63:AI64" si="261">+AE63+AG63</f>
        <v>906391.06899999978</v>
      </c>
      <c r="AJ63" s="8772">
        <f>+AJ47+AJ51+AJ55+AJ59</f>
        <v>218717.28391728178</v>
      </c>
      <c r="AK63" s="3188">
        <f>+AK47+AK51+AK55+AK59</f>
        <v>138016.78</v>
      </c>
      <c r="AL63" s="8720">
        <f>AB63+AF63+AJ63</f>
        <v>537592.57133294619</v>
      </c>
      <c r="AM63" s="5748">
        <f>AC63+AG63+AK63</f>
        <v>285271.02</v>
      </c>
      <c r="AN63" s="8784">
        <f>+AH63+AJ63</f>
        <v>1600007.0613329462</v>
      </c>
      <c r="AO63" s="4840">
        <f t="shared" ref="AO63:AO64" si="262">+AI63+AK63</f>
        <v>1044407.8489999998</v>
      </c>
      <c r="AP63" s="8772">
        <f>+AP47+AP51+AP55+AP59</f>
        <v>216040.74113678792</v>
      </c>
      <c r="AQ63" s="3188">
        <f>+AQ47+AQ51+AQ55+AQ59</f>
        <v>163494.74</v>
      </c>
      <c r="AR63" s="8784">
        <f>+AN63+AP63</f>
        <v>1816047.8024697341</v>
      </c>
      <c r="AS63" s="4840">
        <f t="shared" ref="AS63:AS64" si="263">+AO63+AQ63</f>
        <v>1207902.5889999997</v>
      </c>
      <c r="AT63" s="8772">
        <f>+AT47+AT51+AT55+AT59</f>
        <v>199067</v>
      </c>
      <c r="AU63" s="3188">
        <f>+AU47+AU51+AU55+AU59</f>
        <v>159656.25</v>
      </c>
      <c r="AV63" s="8784">
        <f>+AR63+AT63</f>
        <v>2015114.8024697341</v>
      </c>
      <c r="AW63" s="4840">
        <f t="shared" ref="AW63:AW64" si="264">+AS63+AU63</f>
        <v>1367558.8389999997</v>
      </c>
      <c r="AX63" s="8772">
        <f>+AX47+AX51+AX55+AX59</f>
        <v>219760</v>
      </c>
      <c r="AY63" s="3188">
        <f>+AY47+AY51+AY55+AY59</f>
        <v>189497.87</v>
      </c>
      <c r="AZ63" s="8720">
        <f>AP63+AT63+AX63</f>
        <v>634867.74113678792</v>
      </c>
      <c r="BA63" s="5748">
        <f>AQ63+AU63+AY63</f>
        <v>512648.86</v>
      </c>
      <c r="BB63" s="8720">
        <f t="shared" ref="BB63:BB66" si="265">+AZ63+AL63</f>
        <v>1172460.3124697341</v>
      </c>
      <c r="BC63" s="5748">
        <f t="shared" ref="BC63:BC66" si="266">+BA63+AM63</f>
        <v>797919.88</v>
      </c>
      <c r="BD63" s="8722">
        <f>+AV63+AX63</f>
        <v>2234874.8024697341</v>
      </c>
      <c r="BE63" s="7242">
        <f t="shared" ref="BE63:BE64" si="267">+AW63+AY63</f>
        <v>1557056.7089999998</v>
      </c>
    </row>
    <row r="64" spans="2:57" ht="19" thickBot="1" x14ac:dyDescent="0.25">
      <c r="B64" s="4829" t="s">
        <v>99</v>
      </c>
      <c r="C64" s="4830" t="s">
        <v>170</v>
      </c>
      <c r="D64" s="8811"/>
      <c r="E64" s="4831">
        <f>+E48+E52+E56+E60</f>
        <v>1240.24</v>
      </c>
      <c r="F64" s="8811"/>
      <c r="G64" s="4831">
        <f>+G48+G52+G56+G60</f>
        <v>27284.230000000003</v>
      </c>
      <c r="H64" s="8798"/>
      <c r="I64" s="4840">
        <f t="shared" si="255"/>
        <v>28524.470000000005</v>
      </c>
      <c r="J64" s="8772"/>
      <c r="K64" s="4831">
        <f>+K48+K52+K56+K60</f>
        <v>26957.090000000004</v>
      </c>
      <c r="L64" s="8739"/>
      <c r="M64" s="5748">
        <f t="shared" si="256"/>
        <v>55481.560000000012</v>
      </c>
      <c r="N64" s="8772"/>
      <c r="O64" s="4831">
        <f>+O48+O52+O56+O60</f>
        <v>33942.653000000006</v>
      </c>
      <c r="P64" s="8798"/>
      <c r="Q64" s="4840">
        <f t="shared" si="257"/>
        <v>89424.213000000018</v>
      </c>
      <c r="R64" s="8772"/>
      <c r="S64" s="4831">
        <f>+S48+S52+S56+S60</f>
        <v>37269.059999999969</v>
      </c>
      <c r="T64" s="8798"/>
      <c r="U64" s="4840">
        <f t="shared" si="258"/>
        <v>126693.27299999999</v>
      </c>
      <c r="V64" s="8772"/>
      <c r="W64" s="4831">
        <f>+W48+W52+W56+W60</f>
        <v>25834.969999999998</v>
      </c>
      <c r="X64" s="8739"/>
      <c r="Y64" s="5748">
        <f>O64+S64+W64</f>
        <v>97046.682999999975</v>
      </c>
      <c r="Z64" s="8753"/>
      <c r="AA64" s="7242">
        <f t="shared" si="259"/>
        <v>152528.24299999999</v>
      </c>
      <c r="AB64" s="8772"/>
      <c r="AC64" s="4831">
        <f>+AC48+AC52+AC56+AC60</f>
        <v>24365.050000000003</v>
      </c>
      <c r="AD64" s="8798"/>
      <c r="AE64" s="4840">
        <f t="shared" si="260"/>
        <v>176893.29300000001</v>
      </c>
      <c r="AF64" s="8772"/>
      <c r="AG64" s="4831">
        <f>+AG48+AG52+AG56+AG60</f>
        <v>41174.1</v>
      </c>
      <c r="AH64" s="8798"/>
      <c r="AI64" s="4840">
        <f t="shared" si="261"/>
        <v>218067.39300000001</v>
      </c>
      <c r="AJ64" s="8772"/>
      <c r="AK64" s="4831">
        <f>+AK48+AK52+AK56+AK60</f>
        <v>33597.759999999995</v>
      </c>
      <c r="AL64" s="8739"/>
      <c r="AM64" s="5748">
        <f>AC64+AG64+AK64</f>
        <v>99136.909999999989</v>
      </c>
      <c r="AN64" s="8798"/>
      <c r="AO64" s="4840">
        <f t="shared" si="262"/>
        <v>251665.15299999999</v>
      </c>
      <c r="AP64" s="8772"/>
      <c r="AQ64" s="4831">
        <f>+AQ48+AQ52+AQ56+AQ60</f>
        <v>17470.89</v>
      </c>
      <c r="AR64" s="8798"/>
      <c r="AS64" s="4840">
        <f t="shared" si="263"/>
        <v>269136.04300000001</v>
      </c>
      <c r="AT64" s="8772"/>
      <c r="AU64" s="4831">
        <f>+AU48+AU52+AU56+AU60</f>
        <v>20629.490000000002</v>
      </c>
      <c r="AV64" s="8798"/>
      <c r="AW64" s="4840">
        <f t="shared" si="264"/>
        <v>289765.533</v>
      </c>
      <c r="AX64" s="8772"/>
      <c r="AY64" s="4831">
        <f>+AY48+AY52+AY56+AY60</f>
        <v>30833.17</v>
      </c>
      <c r="AZ64" s="8739"/>
      <c r="BA64" s="5748">
        <f>AQ64+AU64+AY64</f>
        <v>68933.55</v>
      </c>
      <c r="BB64" s="8739">
        <f t="shared" si="265"/>
        <v>0</v>
      </c>
      <c r="BC64" s="5748">
        <f t="shared" si="266"/>
        <v>168070.46</v>
      </c>
      <c r="BD64" s="8753"/>
      <c r="BE64" s="7242">
        <f t="shared" si="267"/>
        <v>320598.70299999998</v>
      </c>
    </row>
    <row r="65" spans="2:57" ht="19" thickBot="1" x14ac:dyDescent="0.25">
      <c r="B65" s="4833" t="s">
        <v>15</v>
      </c>
      <c r="C65" s="4834" t="s">
        <v>170</v>
      </c>
      <c r="D65" s="8811"/>
      <c r="E65" s="3205">
        <f>SUM(E63:E64)</f>
        <v>70005.873000000007</v>
      </c>
      <c r="F65" s="8811"/>
      <c r="G65" s="3205">
        <f>SUM(G63:G64)</f>
        <v>152059.465</v>
      </c>
      <c r="H65" s="8798"/>
      <c r="I65" s="4410">
        <f>SUM(I63:I64)</f>
        <v>222065.33799999999</v>
      </c>
      <c r="J65" s="8772"/>
      <c r="K65" s="3205">
        <f>SUM(K63:K64)</f>
        <v>220268.8459999999</v>
      </c>
      <c r="L65" s="8739"/>
      <c r="M65" s="5745">
        <f>SUM(M63:M64)</f>
        <v>442334.18399999989</v>
      </c>
      <c r="N65" s="8772"/>
      <c r="O65" s="3205">
        <f>SUM(O63:O64)</f>
        <v>191674.38499999995</v>
      </c>
      <c r="P65" s="8798"/>
      <c r="Q65" s="4410">
        <f>SUM(Q63:Q64)</f>
        <v>634008.5689999999</v>
      </c>
      <c r="R65" s="8772"/>
      <c r="S65" s="3205">
        <f>SUM(S63:S64)</f>
        <v>174110.46999999991</v>
      </c>
      <c r="T65" s="8798"/>
      <c r="U65" s="4410">
        <f>SUM(U63:U64)</f>
        <v>808119.03899999987</v>
      </c>
      <c r="V65" s="8772"/>
      <c r="W65" s="3205">
        <f>SUM(W63:W64)</f>
        <v>103546.033</v>
      </c>
      <c r="X65" s="8739"/>
      <c r="Y65" s="5745">
        <f>SUM(Y63:Y64)</f>
        <v>469330.8879999998</v>
      </c>
      <c r="Z65" s="8753"/>
      <c r="AA65" s="7239">
        <f>SUM(AA63:AA64)</f>
        <v>911665.07199999981</v>
      </c>
      <c r="AB65" s="8772"/>
      <c r="AC65" s="3205">
        <f>SUM(AC63:AC64)</f>
        <v>74080.929999999993</v>
      </c>
      <c r="AD65" s="8798"/>
      <c r="AE65" s="4410">
        <f>SUM(AE63:AE64)</f>
        <v>985746.00199999986</v>
      </c>
      <c r="AF65" s="8772"/>
      <c r="AG65" s="3205">
        <f>SUM(AG63:AG64)</f>
        <v>138712.46000000002</v>
      </c>
      <c r="AH65" s="8798"/>
      <c r="AI65" s="4410">
        <f>SUM(AI63:AI64)</f>
        <v>1124458.4619999998</v>
      </c>
      <c r="AJ65" s="8772"/>
      <c r="AK65" s="3205">
        <f>SUM(AK63:AK64)</f>
        <v>171614.53999999998</v>
      </c>
      <c r="AL65" s="8739"/>
      <c r="AM65" s="5745">
        <f>SUM(AM63:AM64)</f>
        <v>384407.93</v>
      </c>
      <c r="AN65" s="8798"/>
      <c r="AO65" s="4410">
        <f>SUM(AO63:AO64)</f>
        <v>1296073.0019999999</v>
      </c>
      <c r="AP65" s="8772"/>
      <c r="AQ65" s="3205">
        <f>SUM(AQ63:AQ64)</f>
        <v>180965.63</v>
      </c>
      <c r="AR65" s="8798"/>
      <c r="AS65" s="4410">
        <f>SUM(AS63:AS64)</f>
        <v>1477038.6319999998</v>
      </c>
      <c r="AT65" s="8772"/>
      <c r="AU65" s="3205">
        <f>SUM(AU63:AU64)</f>
        <v>180285.74</v>
      </c>
      <c r="AV65" s="8798"/>
      <c r="AW65" s="4410">
        <f>SUM(AW63:AW64)</f>
        <v>1657324.3719999997</v>
      </c>
      <c r="AX65" s="8772"/>
      <c r="AY65" s="3205">
        <f>SUM(AY63:AY64)</f>
        <v>220331.03999999998</v>
      </c>
      <c r="AZ65" s="8739"/>
      <c r="BA65" s="5745">
        <f>SUM(BA63:BA64)</f>
        <v>581582.41</v>
      </c>
      <c r="BB65" s="8739">
        <f t="shared" si="265"/>
        <v>0</v>
      </c>
      <c r="BC65" s="5745">
        <f t="shared" si="266"/>
        <v>965990.34000000008</v>
      </c>
      <c r="BD65" s="8753"/>
      <c r="BE65" s="7239">
        <f>SUM(BE63:BE64)</f>
        <v>1877655.4119999998</v>
      </c>
    </row>
    <row r="66" spans="2:57" ht="19" thickBot="1" x14ac:dyDescent="0.25">
      <c r="B66" s="4833" t="s">
        <v>1669</v>
      </c>
      <c r="C66" s="4834" t="s">
        <v>169</v>
      </c>
      <c r="D66" s="7502"/>
      <c r="E66" s="3214">
        <f>+E64/E65*100</f>
        <v>1.7716227894193959</v>
      </c>
      <c r="F66" s="4841"/>
      <c r="G66" s="3214">
        <f>+G64/G65*100</f>
        <v>17.943131655763754</v>
      </c>
      <c r="H66" s="4842"/>
      <c r="I66" s="3881">
        <f>+I64/I65*100</f>
        <v>12.845079856632108</v>
      </c>
      <c r="J66" s="4078"/>
      <c r="K66" s="3214">
        <f>+K64/K65*100</f>
        <v>12.238267230945594</v>
      </c>
      <c r="L66" s="4843"/>
      <c r="M66" s="3907">
        <f>+M64/M65*100</f>
        <v>12.542905795406496</v>
      </c>
      <c r="N66" s="4078"/>
      <c r="O66" s="3214">
        <f>+O64/O65*100</f>
        <v>17.708497147388794</v>
      </c>
      <c r="P66" s="4842"/>
      <c r="Q66" s="3881">
        <f>+Q64/Q65*100</f>
        <v>14.104574823183508</v>
      </c>
      <c r="R66" s="4078"/>
      <c r="S66" s="3214">
        <f>+S64/S65*100</f>
        <v>21.405410025026057</v>
      </c>
      <c r="T66" s="4842"/>
      <c r="U66" s="3881">
        <f>+U64/U65*100</f>
        <v>15.677550816866722</v>
      </c>
      <c r="V66" s="4078"/>
      <c r="W66" s="3214">
        <f>+W64/W65*100</f>
        <v>24.950226726696521</v>
      </c>
      <c r="X66" s="4843"/>
      <c r="Y66" s="3907">
        <f>+Y64/Y65*100</f>
        <v>20.677668033645382</v>
      </c>
      <c r="Z66" s="7243"/>
      <c r="AA66" s="7127">
        <f>+AA64/AA65*100</f>
        <v>16.730732336315725</v>
      </c>
      <c r="AB66" s="4078"/>
      <c r="AC66" s="3214">
        <f>+AC64/AC65*100</f>
        <v>32.889773387024171</v>
      </c>
      <c r="AD66" s="4842"/>
      <c r="AE66" s="3881">
        <f>+AE64/AE65*100</f>
        <v>17.945118990196018</v>
      </c>
      <c r="AF66" s="4078"/>
      <c r="AG66" s="3214">
        <f>+AG64/AG65*100</f>
        <v>29.683058032421883</v>
      </c>
      <c r="AH66" s="4842"/>
      <c r="AI66" s="3881">
        <f>+AI64/AI65*100</f>
        <v>19.393103468858953</v>
      </c>
      <c r="AJ66" s="4078"/>
      <c r="AK66" s="3214">
        <f>+AK64/AK65*100</f>
        <v>19.577455383442452</v>
      </c>
      <c r="AL66" s="4843"/>
      <c r="AM66" s="3907">
        <f>+AM64/AM65*100</f>
        <v>25.789506995862439</v>
      </c>
      <c r="AN66" s="4842"/>
      <c r="AO66" s="3881">
        <f>+AO64/AO65*100</f>
        <v>19.417513721190836</v>
      </c>
      <c r="AP66" s="4078"/>
      <c r="AQ66" s="3214">
        <f>+AQ64/AQ65*100</f>
        <v>9.6542586567405078</v>
      </c>
      <c r="AR66" s="4842"/>
      <c r="AS66" s="3881">
        <f>+AS64/AS65*100</f>
        <v>18.22132726722073</v>
      </c>
      <c r="AT66" s="4078"/>
      <c r="AU66" s="3214">
        <f>+AU64/AU65*100</f>
        <v>11.442663185674032</v>
      </c>
      <c r="AV66" s="4842"/>
      <c r="AW66" s="3881">
        <f>+AW64/AW65*100</f>
        <v>17.483936029391838</v>
      </c>
      <c r="AX66" s="4078"/>
      <c r="AY66" s="3214">
        <f>+AY64/AY65*100</f>
        <v>13.994020089044195</v>
      </c>
      <c r="AZ66" s="4843"/>
      <c r="BA66" s="3907">
        <f>+BA64/BA65*100</f>
        <v>11.852757032318086</v>
      </c>
      <c r="BB66" s="4843">
        <f t="shared" si="265"/>
        <v>0</v>
      </c>
      <c r="BC66" s="3907">
        <f t="shared" si="266"/>
        <v>37.642264028180527</v>
      </c>
      <c r="BD66" s="7243"/>
      <c r="BE66" s="7127">
        <f>+BE64/BE65*100</f>
        <v>17.074416367937911</v>
      </c>
    </row>
    <row r="67" spans="2:57" s="3380" customFormat="1" ht="19" x14ac:dyDescent="0.2">
      <c r="B67" s="5765" t="s">
        <v>815</v>
      </c>
      <c r="C67" s="3290"/>
      <c r="D67" s="7503"/>
      <c r="E67" s="5756"/>
      <c r="F67" s="7503"/>
      <c r="G67" s="5756"/>
      <c r="H67" s="3435"/>
      <c r="I67" s="5756"/>
      <c r="J67" s="7503"/>
      <c r="K67" s="5756"/>
      <c r="L67" s="3435"/>
      <c r="M67" s="5756"/>
      <c r="N67" s="3435"/>
      <c r="O67" s="5756"/>
      <c r="P67" s="3435"/>
      <c r="Q67" s="5756"/>
      <c r="R67" s="3435"/>
      <c r="S67" s="5756"/>
      <c r="T67" s="3435"/>
      <c r="U67" s="5756"/>
      <c r="V67" s="3435"/>
      <c r="W67" s="5756"/>
      <c r="X67" s="3435"/>
      <c r="Y67" s="5756"/>
      <c r="Z67" s="3435"/>
      <c r="AA67" s="5756"/>
      <c r="AB67" s="3435"/>
      <c r="AC67" s="5756"/>
      <c r="AD67" s="3435"/>
      <c r="AE67" s="5756"/>
      <c r="AF67" s="3435"/>
      <c r="AG67" s="5756"/>
      <c r="AH67" s="3435"/>
      <c r="AI67" s="5756"/>
      <c r="AJ67" s="3435"/>
      <c r="AK67" s="5756"/>
      <c r="AL67" s="3435"/>
      <c r="AM67" s="5756"/>
      <c r="AN67" s="3435"/>
      <c r="AO67" s="5756"/>
      <c r="AP67" s="3435"/>
      <c r="AQ67" s="5756"/>
      <c r="AR67" s="3435"/>
      <c r="AS67" s="5756"/>
      <c r="AT67" s="3435"/>
      <c r="AU67" s="5756"/>
      <c r="AV67" s="3435"/>
      <c r="AW67" s="5756"/>
      <c r="AX67" s="3435"/>
      <c r="AY67" s="5756"/>
      <c r="AZ67" s="3435"/>
      <c r="BA67" s="5756"/>
      <c r="BB67" s="3435"/>
      <c r="BC67" s="5756"/>
      <c r="BD67" s="3435"/>
      <c r="BE67" s="5756"/>
    </row>
    <row r="68" spans="2:57" ht="18.75" customHeight="1" x14ac:dyDescent="0.2">
      <c r="B68" s="4883" t="s">
        <v>2294</v>
      </c>
      <c r="C68" s="7521" t="s">
        <v>2416</v>
      </c>
      <c r="D68" s="5202"/>
      <c r="E68" s="7500">
        <v>0</v>
      </c>
      <c r="F68" s="5202"/>
      <c r="G68" s="4453">
        <v>54.88</v>
      </c>
      <c r="H68" s="5893"/>
      <c r="I68" s="4466">
        <f t="shared" ref="I68:I143" si="268">+E68+G68</f>
        <v>54.88</v>
      </c>
      <c r="J68" s="5202"/>
      <c r="K68" s="4453">
        <v>62.040000000000006</v>
      </c>
      <c r="L68" s="5127"/>
      <c r="M68" s="4854">
        <f t="shared" ref="M68:M143" si="269">+I68+K68</f>
        <v>116.92000000000002</v>
      </c>
      <c r="N68" s="7503"/>
      <c r="O68" s="4453">
        <v>0</v>
      </c>
      <c r="P68" s="5893"/>
      <c r="Q68" s="4466">
        <f t="shared" ref="Q68:Q143" si="270">+M68+O68</f>
        <v>116.92000000000002</v>
      </c>
      <c r="R68" s="7503"/>
      <c r="S68" s="4453">
        <v>92.1</v>
      </c>
      <c r="T68" s="5893"/>
      <c r="U68" s="4466">
        <f t="shared" ref="U68:U143" si="271">+Q68+S68</f>
        <v>209.02</v>
      </c>
      <c r="V68" s="7503"/>
      <c r="W68" s="4453"/>
      <c r="X68" s="5127"/>
      <c r="Y68" s="4854">
        <f>O68+S68+W68</f>
        <v>92.1</v>
      </c>
      <c r="Z68" s="6974"/>
      <c r="AA68" s="7231">
        <f t="shared" ref="AA68:AA143" si="272">+U68+W68</f>
        <v>209.02</v>
      </c>
      <c r="AB68" s="7503"/>
      <c r="AC68" s="4853">
        <v>537.08000000000004</v>
      </c>
      <c r="AD68" s="5893"/>
      <c r="AE68" s="4466">
        <f t="shared" ref="AE68:AE144" si="273">+AA68+AC68</f>
        <v>746.1</v>
      </c>
      <c r="AF68" s="7503"/>
      <c r="AG68" s="4453">
        <v>0</v>
      </c>
      <c r="AH68" s="5893"/>
      <c r="AI68" s="4466">
        <f t="shared" ref="AI68:AI143" si="274">+AE68+AG68</f>
        <v>746.1</v>
      </c>
      <c r="AJ68" s="7503"/>
      <c r="AK68" s="4453">
        <v>0</v>
      </c>
      <c r="AL68" s="5127"/>
      <c r="AM68" s="4854">
        <f>AC68+AG68+AK68</f>
        <v>537.08000000000004</v>
      </c>
      <c r="AN68" s="5893"/>
      <c r="AO68" s="4466">
        <f t="shared" ref="AO68:AO143" si="275">+AI68+AK68</f>
        <v>746.1</v>
      </c>
      <c r="AP68" s="7503"/>
      <c r="AQ68" s="4453">
        <v>658.82</v>
      </c>
      <c r="AR68" s="5893"/>
      <c r="AS68" s="4466">
        <f t="shared" ref="AS68:AS143" si="276">+AO68+AQ68</f>
        <v>1404.92</v>
      </c>
      <c r="AT68" s="7503"/>
      <c r="AU68" s="4453">
        <v>368.69</v>
      </c>
      <c r="AV68" s="5893"/>
      <c r="AW68" s="4466">
        <f t="shared" ref="AW68:AW143" si="277">+AS68+AU68</f>
        <v>1773.6100000000001</v>
      </c>
      <c r="AX68" s="7503"/>
      <c r="AY68" s="4453"/>
      <c r="AZ68" s="5127"/>
      <c r="BA68" s="4854">
        <f>AQ68+AU68+AY68</f>
        <v>1027.51</v>
      </c>
      <c r="BB68" s="5127">
        <f t="shared" ref="BB68:BB131" si="278">+AZ68+AL68</f>
        <v>0</v>
      </c>
      <c r="BC68" s="4854">
        <f t="shared" ref="BC68:BC131" si="279">+BA68+AM68</f>
        <v>1564.5900000000001</v>
      </c>
      <c r="BD68" s="6974"/>
      <c r="BE68" s="7231">
        <f t="shared" ref="BE68:BE70" si="280">+AW68+AY68</f>
        <v>1773.6100000000001</v>
      </c>
    </row>
    <row r="69" spans="2:57" s="5126" customFormat="1" ht="18.75" customHeight="1" x14ac:dyDescent="0.2">
      <c r="B69" s="4883" t="s">
        <v>2294</v>
      </c>
      <c r="C69" s="7521" t="s">
        <v>2353</v>
      </c>
      <c r="D69" s="5202"/>
      <c r="E69" s="7500"/>
      <c r="F69" s="5202"/>
      <c r="G69" s="4453"/>
      <c r="H69" s="5893"/>
      <c r="I69" s="4466">
        <f t="shared" si="268"/>
        <v>0</v>
      </c>
      <c r="J69" s="5202"/>
      <c r="K69" s="4453">
        <v>310.99900000000002</v>
      </c>
      <c r="L69" s="5127"/>
      <c r="M69" s="4854">
        <f t="shared" si="269"/>
        <v>310.99900000000002</v>
      </c>
      <c r="N69" s="5202"/>
      <c r="O69" s="4453">
        <v>0</v>
      </c>
      <c r="P69" s="5893"/>
      <c r="Q69" s="4466">
        <f t="shared" si="270"/>
        <v>310.99900000000002</v>
      </c>
      <c r="R69" s="5202"/>
      <c r="S69" s="4453">
        <v>0</v>
      </c>
      <c r="T69" s="5893"/>
      <c r="U69" s="4466">
        <f t="shared" si="271"/>
        <v>310.99900000000002</v>
      </c>
      <c r="V69" s="5202"/>
      <c r="W69" s="4453"/>
      <c r="X69" s="5127"/>
      <c r="Y69" s="4854">
        <f t="shared" ref="Y69:Y143" si="281">O69+S69+W69</f>
        <v>0</v>
      </c>
      <c r="Z69" s="6974"/>
      <c r="AA69" s="7231">
        <f t="shared" si="272"/>
        <v>310.99900000000002</v>
      </c>
      <c r="AB69" s="5202"/>
      <c r="AC69" s="4853">
        <v>0</v>
      </c>
      <c r="AD69" s="5893"/>
      <c r="AE69" s="4466">
        <f t="shared" si="273"/>
        <v>310.99900000000002</v>
      </c>
      <c r="AF69" s="5202"/>
      <c r="AG69" s="4453">
        <v>0</v>
      </c>
      <c r="AH69" s="5893"/>
      <c r="AI69" s="4466">
        <f t="shared" si="274"/>
        <v>310.99900000000002</v>
      </c>
      <c r="AJ69" s="5202"/>
      <c r="AK69" s="4453">
        <v>0</v>
      </c>
      <c r="AL69" s="5127"/>
      <c r="AM69" s="4854">
        <f t="shared" ref="AM69:AM141" si="282">AC69+AG69+AK69</f>
        <v>0</v>
      </c>
      <c r="AN69" s="5893"/>
      <c r="AO69" s="4466">
        <f t="shared" si="275"/>
        <v>310.99900000000002</v>
      </c>
      <c r="AP69" s="5202"/>
      <c r="AQ69" s="4453">
        <v>0</v>
      </c>
      <c r="AR69" s="5893"/>
      <c r="AS69" s="4466">
        <f t="shared" si="276"/>
        <v>310.99900000000002</v>
      </c>
      <c r="AT69" s="5202"/>
      <c r="AU69" s="4453">
        <v>0</v>
      </c>
      <c r="AV69" s="5893"/>
      <c r="AW69" s="4466">
        <f t="shared" si="277"/>
        <v>310.99900000000002</v>
      </c>
      <c r="AX69" s="5202"/>
      <c r="AY69" s="4453"/>
      <c r="AZ69" s="5127"/>
      <c r="BA69" s="4854">
        <f t="shared" ref="BA69:BA132" si="283">AQ69+AU69+AY69</f>
        <v>0</v>
      </c>
      <c r="BB69" s="5127">
        <f t="shared" si="278"/>
        <v>0</v>
      </c>
      <c r="BC69" s="4854">
        <f t="shared" si="279"/>
        <v>0</v>
      </c>
      <c r="BD69" s="6974"/>
      <c r="BE69" s="7231">
        <f t="shared" si="280"/>
        <v>310.99900000000002</v>
      </c>
    </row>
    <row r="70" spans="2:57" s="5126" customFormat="1" ht="18.75" customHeight="1" x14ac:dyDescent="0.2">
      <c r="B70" s="4883" t="s">
        <v>2294</v>
      </c>
      <c r="C70" s="7521" t="s">
        <v>2326</v>
      </c>
      <c r="D70" s="5202"/>
      <c r="E70" s="7500"/>
      <c r="F70" s="5202"/>
      <c r="G70" s="4453"/>
      <c r="H70" s="5893"/>
      <c r="I70" s="4466">
        <f t="shared" si="268"/>
        <v>0</v>
      </c>
      <c r="J70" s="5202"/>
      <c r="K70" s="4453"/>
      <c r="L70" s="5127"/>
      <c r="M70" s="4854">
        <f t="shared" si="269"/>
        <v>0</v>
      </c>
      <c r="N70" s="5202"/>
      <c r="O70" s="4453"/>
      <c r="P70" s="5893"/>
      <c r="Q70" s="4466">
        <f t="shared" si="270"/>
        <v>0</v>
      </c>
      <c r="R70" s="5202"/>
      <c r="S70" s="4453">
        <v>62.320999999999998</v>
      </c>
      <c r="T70" s="5893"/>
      <c r="U70" s="4466">
        <f t="shared" si="271"/>
        <v>62.320999999999998</v>
      </c>
      <c r="V70" s="5202"/>
      <c r="W70" s="4453"/>
      <c r="X70" s="5127"/>
      <c r="Y70" s="4854">
        <f t="shared" si="281"/>
        <v>62.320999999999998</v>
      </c>
      <c r="Z70" s="6974"/>
      <c r="AA70" s="7231">
        <f t="shared" si="272"/>
        <v>62.320999999999998</v>
      </c>
      <c r="AB70" s="5202"/>
      <c r="AC70" s="4853">
        <v>0</v>
      </c>
      <c r="AD70" s="5893"/>
      <c r="AE70" s="4466">
        <f t="shared" si="273"/>
        <v>62.320999999999998</v>
      </c>
      <c r="AF70" s="5202"/>
      <c r="AG70" s="4453">
        <v>0</v>
      </c>
      <c r="AH70" s="5893"/>
      <c r="AI70" s="4466">
        <f t="shared" si="274"/>
        <v>62.320999999999998</v>
      </c>
      <c r="AJ70" s="5202"/>
      <c r="AK70" s="4453">
        <v>0</v>
      </c>
      <c r="AL70" s="5127"/>
      <c r="AM70" s="4854">
        <f t="shared" si="282"/>
        <v>0</v>
      </c>
      <c r="AN70" s="5893"/>
      <c r="AO70" s="4466">
        <f t="shared" si="275"/>
        <v>62.320999999999998</v>
      </c>
      <c r="AP70" s="5202"/>
      <c r="AQ70" s="4453">
        <v>0</v>
      </c>
      <c r="AR70" s="5893"/>
      <c r="AS70" s="4466">
        <f t="shared" si="276"/>
        <v>62.320999999999998</v>
      </c>
      <c r="AT70" s="5202"/>
      <c r="AU70" s="4453">
        <v>0</v>
      </c>
      <c r="AV70" s="5893"/>
      <c r="AW70" s="4466">
        <f t="shared" si="277"/>
        <v>62.320999999999998</v>
      </c>
      <c r="AX70" s="5202"/>
      <c r="AY70" s="4453"/>
      <c r="AZ70" s="5127"/>
      <c r="BA70" s="4854">
        <f t="shared" si="283"/>
        <v>0</v>
      </c>
      <c r="BB70" s="5127">
        <f t="shared" si="278"/>
        <v>0</v>
      </c>
      <c r="BC70" s="4854">
        <f t="shared" si="279"/>
        <v>0</v>
      </c>
      <c r="BD70" s="6974"/>
      <c r="BE70" s="7231">
        <f t="shared" si="280"/>
        <v>62.320999999999998</v>
      </c>
    </row>
    <row r="71" spans="2:57" s="8125" customFormat="1" ht="18.75" customHeight="1" x14ac:dyDescent="0.2">
      <c r="B71" s="4883" t="s">
        <v>2294</v>
      </c>
      <c r="C71" s="7521" t="s">
        <v>2560</v>
      </c>
      <c r="D71" s="5202"/>
      <c r="E71" s="7500"/>
      <c r="F71" s="5202"/>
      <c r="G71" s="4453"/>
      <c r="H71" s="5893"/>
      <c r="I71" s="4466"/>
      <c r="J71" s="5202"/>
      <c r="K71" s="4453"/>
      <c r="L71" s="5127"/>
      <c r="M71" s="4854"/>
      <c r="N71" s="5202"/>
      <c r="O71" s="4453"/>
      <c r="P71" s="5893"/>
      <c r="Q71" s="4466"/>
      <c r="R71" s="5202"/>
      <c r="S71" s="4453"/>
      <c r="T71" s="5893"/>
      <c r="U71" s="4466"/>
      <c r="V71" s="5202"/>
      <c r="W71" s="4453"/>
      <c r="X71" s="5127"/>
      <c r="Y71" s="4854"/>
      <c r="Z71" s="6974"/>
      <c r="AA71" s="7231"/>
      <c r="AB71" s="5202"/>
      <c r="AC71" s="4853"/>
      <c r="AD71" s="5893"/>
      <c r="AE71" s="4466"/>
      <c r="AF71" s="5202"/>
      <c r="AG71" s="4453"/>
      <c r="AH71" s="5893"/>
      <c r="AI71" s="4466"/>
      <c r="AJ71" s="5202"/>
      <c r="AK71" s="4453"/>
      <c r="AL71" s="5127"/>
      <c r="AM71" s="4854"/>
      <c r="AN71" s="5893"/>
      <c r="AO71" s="4466"/>
      <c r="AP71" s="5202"/>
      <c r="AQ71" s="4453">
        <v>691.3</v>
      </c>
      <c r="AR71" s="5893"/>
      <c r="AS71" s="4466">
        <f t="shared" si="276"/>
        <v>691.3</v>
      </c>
      <c r="AT71" s="5202"/>
      <c r="AU71" s="4453">
        <v>0</v>
      </c>
      <c r="AV71" s="5893"/>
      <c r="AW71" s="4466">
        <f t="shared" si="277"/>
        <v>691.3</v>
      </c>
      <c r="AX71" s="5202"/>
      <c r="AY71" s="4453"/>
      <c r="AZ71" s="5127"/>
      <c r="BA71" s="4854">
        <f t="shared" si="283"/>
        <v>691.3</v>
      </c>
      <c r="BB71" s="5127">
        <f t="shared" si="278"/>
        <v>0</v>
      </c>
      <c r="BC71" s="4854">
        <f t="shared" si="279"/>
        <v>691.3</v>
      </c>
      <c r="BD71" s="6974"/>
      <c r="BE71" s="7231"/>
    </row>
    <row r="72" spans="2:57" s="4756" customFormat="1" ht="18.75" customHeight="1" x14ac:dyDescent="0.2">
      <c r="B72" s="4883" t="s">
        <v>2294</v>
      </c>
      <c r="C72" s="7521" t="s">
        <v>2418</v>
      </c>
      <c r="D72" s="5202"/>
      <c r="E72" s="7500">
        <v>0</v>
      </c>
      <c r="F72" s="5202"/>
      <c r="G72" s="4453">
        <v>66.699999999999989</v>
      </c>
      <c r="H72" s="5893"/>
      <c r="I72" s="4466">
        <f t="shared" si="268"/>
        <v>66.699999999999989</v>
      </c>
      <c r="J72" s="5202"/>
      <c r="K72" s="4453">
        <v>510</v>
      </c>
      <c r="L72" s="5127"/>
      <c r="M72" s="4854">
        <f t="shared" si="269"/>
        <v>576.70000000000005</v>
      </c>
      <c r="N72" s="5202"/>
      <c r="O72" s="4453">
        <v>0</v>
      </c>
      <c r="P72" s="5893"/>
      <c r="Q72" s="4466">
        <f t="shared" si="270"/>
        <v>576.70000000000005</v>
      </c>
      <c r="R72" s="5202"/>
      <c r="S72" s="4453">
        <v>21.3</v>
      </c>
      <c r="T72" s="5893"/>
      <c r="U72" s="4466">
        <f t="shared" si="271"/>
        <v>598</v>
      </c>
      <c r="V72" s="5202"/>
      <c r="W72" s="4453"/>
      <c r="X72" s="5127"/>
      <c r="Y72" s="4854">
        <f t="shared" si="281"/>
        <v>21.3</v>
      </c>
      <c r="Z72" s="6974"/>
      <c r="AA72" s="7231">
        <f t="shared" si="272"/>
        <v>598</v>
      </c>
      <c r="AB72" s="5202"/>
      <c r="AC72" s="4853">
        <v>1207.3499999999999</v>
      </c>
      <c r="AD72" s="5893"/>
      <c r="AE72" s="4466">
        <f t="shared" si="273"/>
        <v>1805.35</v>
      </c>
      <c r="AF72" s="5202"/>
      <c r="AG72" s="4453">
        <v>61.5</v>
      </c>
      <c r="AH72" s="5893"/>
      <c r="AI72" s="4466">
        <f t="shared" si="274"/>
        <v>1866.85</v>
      </c>
      <c r="AJ72" s="5202"/>
      <c r="AK72" s="4453">
        <v>0</v>
      </c>
      <c r="AL72" s="5127"/>
      <c r="AM72" s="4854">
        <f t="shared" si="282"/>
        <v>1268.8499999999999</v>
      </c>
      <c r="AN72" s="5893"/>
      <c r="AO72" s="4466">
        <f t="shared" si="275"/>
        <v>1866.85</v>
      </c>
      <c r="AP72" s="5202"/>
      <c r="AQ72" s="4453">
        <v>1607.02</v>
      </c>
      <c r="AR72" s="5893"/>
      <c r="AS72" s="4466">
        <f t="shared" si="276"/>
        <v>3473.87</v>
      </c>
      <c r="AT72" s="5202"/>
      <c r="AU72" s="4453">
        <v>254.36</v>
      </c>
      <c r="AV72" s="5893"/>
      <c r="AW72" s="4466">
        <f t="shared" si="277"/>
        <v>3728.23</v>
      </c>
      <c r="AX72" s="5202"/>
      <c r="AY72" s="4453"/>
      <c r="AZ72" s="5127"/>
      <c r="BA72" s="4854">
        <f t="shared" si="283"/>
        <v>1861.38</v>
      </c>
      <c r="BB72" s="5127">
        <f t="shared" si="278"/>
        <v>0</v>
      </c>
      <c r="BC72" s="4854">
        <f t="shared" si="279"/>
        <v>3130.23</v>
      </c>
      <c r="BD72" s="6974"/>
      <c r="BE72" s="7231">
        <f t="shared" ref="BE72" si="284">+AW72+AY72</f>
        <v>3728.23</v>
      </c>
    </row>
    <row r="73" spans="2:57" s="8125" customFormat="1" ht="18.75" customHeight="1" x14ac:dyDescent="0.2">
      <c r="B73" s="4883" t="s">
        <v>2351</v>
      </c>
      <c r="C73" s="7521" t="s">
        <v>2560</v>
      </c>
      <c r="D73" s="5202"/>
      <c r="E73" s="7500"/>
      <c r="F73" s="5202"/>
      <c r="G73" s="4453"/>
      <c r="H73" s="5893"/>
      <c r="I73" s="4466"/>
      <c r="J73" s="5202"/>
      <c r="K73" s="4453"/>
      <c r="L73" s="5127"/>
      <c r="M73" s="4854"/>
      <c r="N73" s="5202"/>
      <c r="O73" s="4453"/>
      <c r="P73" s="5893"/>
      <c r="Q73" s="4466"/>
      <c r="R73" s="5202"/>
      <c r="S73" s="4453"/>
      <c r="T73" s="5893"/>
      <c r="U73" s="4466"/>
      <c r="V73" s="5202"/>
      <c r="W73" s="4453"/>
      <c r="X73" s="5127"/>
      <c r="Y73" s="4854"/>
      <c r="Z73" s="6974"/>
      <c r="AA73" s="7231"/>
      <c r="AB73" s="5202"/>
      <c r="AC73" s="4853"/>
      <c r="AD73" s="5893"/>
      <c r="AE73" s="4466"/>
      <c r="AF73" s="5202"/>
      <c r="AG73" s="4453"/>
      <c r="AH73" s="5893"/>
      <c r="AI73" s="4466"/>
      <c r="AJ73" s="5202"/>
      <c r="AK73" s="4453"/>
      <c r="AL73" s="5127"/>
      <c r="AM73" s="4854"/>
      <c r="AN73" s="5893"/>
      <c r="AO73" s="4466"/>
      <c r="AP73" s="5202"/>
      <c r="AQ73" s="4453">
        <v>599.12999999999988</v>
      </c>
      <c r="AR73" s="5893"/>
      <c r="AS73" s="4466">
        <f t="shared" si="276"/>
        <v>599.12999999999988</v>
      </c>
      <c r="AT73" s="5202"/>
      <c r="AU73" s="4453">
        <v>26.31</v>
      </c>
      <c r="AV73" s="5893"/>
      <c r="AW73" s="4466">
        <f t="shared" si="277"/>
        <v>625.43999999999983</v>
      </c>
      <c r="AX73" s="5202"/>
      <c r="AY73" s="4453"/>
      <c r="AZ73" s="5127"/>
      <c r="BA73" s="4854">
        <f t="shared" si="283"/>
        <v>625.43999999999983</v>
      </c>
      <c r="BB73" s="5127">
        <f t="shared" si="278"/>
        <v>0</v>
      </c>
      <c r="BC73" s="4854">
        <f t="shared" si="279"/>
        <v>625.43999999999983</v>
      </c>
      <c r="BD73" s="6974"/>
      <c r="BE73" s="7231"/>
    </row>
    <row r="74" spans="2:57" ht="18.75" customHeight="1" x14ac:dyDescent="0.2">
      <c r="B74" s="4883" t="s">
        <v>2351</v>
      </c>
      <c r="C74" s="7521" t="s">
        <v>2415</v>
      </c>
      <c r="D74" s="5202"/>
      <c r="E74" s="7500"/>
      <c r="F74" s="5202"/>
      <c r="G74" s="4453"/>
      <c r="H74" s="5893"/>
      <c r="I74" s="4466">
        <f t="shared" si="268"/>
        <v>0</v>
      </c>
      <c r="J74" s="5202"/>
      <c r="K74" s="4453"/>
      <c r="L74" s="5127"/>
      <c r="M74" s="4854">
        <f t="shared" si="269"/>
        <v>0</v>
      </c>
      <c r="N74" s="5202"/>
      <c r="O74" s="4453"/>
      <c r="P74" s="5893"/>
      <c r="Q74" s="4466">
        <f t="shared" si="270"/>
        <v>0</v>
      </c>
      <c r="R74" s="5202"/>
      <c r="S74" s="4453"/>
      <c r="T74" s="5893"/>
      <c r="U74" s="4466">
        <f t="shared" si="271"/>
        <v>0</v>
      </c>
      <c r="V74" s="5202"/>
      <c r="W74" s="4453">
        <v>17.829999999999998</v>
      </c>
      <c r="X74" s="5127"/>
      <c r="Y74" s="4854">
        <f t="shared" si="281"/>
        <v>17.829999999999998</v>
      </c>
      <c r="Z74" s="6974"/>
      <c r="AA74" s="7231">
        <f t="shared" si="272"/>
        <v>17.829999999999998</v>
      </c>
      <c r="AB74" s="5202"/>
      <c r="AC74" s="4853">
        <v>0</v>
      </c>
      <c r="AD74" s="5893"/>
      <c r="AE74" s="4466">
        <f t="shared" si="273"/>
        <v>17.829999999999998</v>
      </c>
      <c r="AF74" s="5202"/>
      <c r="AG74" s="4453">
        <v>0</v>
      </c>
      <c r="AH74" s="5893"/>
      <c r="AI74" s="4466">
        <f t="shared" si="274"/>
        <v>17.829999999999998</v>
      </c>
      <c r="AJ74" s="5202"/>
      <c r="AK74" s="4453">
        <v>0</v>
      </c>
      <c r="AL74" s="5127"/>
      <c r="AM74" s="4854">
        <f t="shared" si="282"/>
        <v>0</v>
      </c>
      <c r="AN74" s="5893"/>
      <c r="AO74" s="4466">
        <f t="shared" si="275"/>
        <v>17.829999999999998</v>
      </c>
      <c r="AP74" s="5202"/>
      <c r="AQ74" s="4453">
        <v>806.04</v>
      </c>
      <c r="AR74" s="5893"/>
      <c r="AS74" s="4466">
        <f t="shared" si="276"/>
        <v>823.87</v>
      </c>
      <c r="AT74" s="5202"/>
      <c r="AU74" s="4453">
        <v>232.96</v>
      </c>
      <c r="AV74" s="5893"/>
      <c r="AW74" s="4466">
        <f t="shared" si="277"/>
        <v>1056.83</v>
      </c>
      <c r="AX74" s="5202"/>
      <c r="AY74" s="4453"/>
      <c r="AZ74" s="5127"/>
      <c r="BA74" s="4854">
        <f t="shared" si="283"/>
        <v>1039</v>
      </c>
      <c r="BB74" s="5127">
        <f t="shared" si="278"/>
        <v>0</v>
      </c>
      <c r="BC74" s="4854">
        <f t="shared" si="279"/>
        <v>1039</v>
      </c>
      <c r="BD74" s="6974"/>
      <c r="BE74" s="7231">
        <f t="shared" ref="BE74" si="285">+AW74+AY74</f>
        <v>1056.83</v>
      </c>
    </row>
    <row r="75" spans="2:57" s="8125" customFormat="1" ht="18.75" customHeight="1" x14ac:dyDescent="0.2">
      <c r="B75" s="4883" t="s">
        <v>2351</v>
      </c>
      <c r="C75" s="7521" t="s">
        <v>2561</v>
      </c>
      <c r="D75" s="5202"/>
      <c r="E75" s="7500"/>
      <c r="F75" s="5202"/>
      <c r="G75" s="4453"/>
      <c r="H75" s="8129"/>
      <c r="I75" s="4466"/>
      <c r="J75" s="5202"/>
      <c r="K75" s="4453"/>
      <c r="L75" s="8128"/>
      <c r="M75" s="4854"/>
      <c r="N75" s="5202"/>
      <c r="O75" s="4453"/>
      <c r="P75" s="8129"/>
      <c r="Q75" s="4466"/>
      <c r="R75" s="5202"/>
      <c r="S75" s="4453"/>
      <c r="T75" s="8129"/>
      <c r="U75" s="4466"/>
      <c r="V75" s="5202"/>
      <c r="W75" s="4453"/>
      <c r="X75" s="8128"/>
      <c r="Y75" s="4854"/>
      <c r="Z75" s="8130"/>
      <c r="AA75" s="7231"/>
      <c r="AB75" s="5202"/>
      <c r="AC75" s="4853"/>
      <c r="AD75" s="8129"/>
      <c r="AE75" s="4466"/>
      <c r="AF75" s="5202"/>
      <c r="AG75" s="4453"/>
      <c r="AH75" s="8129"/>
      <c r="AI75" s="4466"/>
      <c r="AJ75" s="5202"/>
      <c r="AK75" s="4453"/>
      <c r="AL75" s="8128"/>
      <c r="AM75" s="4854"/>
      <c r="AN75" s="8129"/>
      <c r="AO75" s="4466"/>
      <c r="AP75" s="5202"/>
      <c r="AQ75" s="4453">
        <v>1246.98</v>
      </c>
      <c r="AR75" s="8129"/>
      <c r="AS75" s="4466">
        <f t="shared" si="276"/>
        <v>1246.98</v>
      </c>
      <c r="AT75" s="5202"/>
      <c r="AU75" s="4453">
        <v>253.4</v>
      </c>
      <c r="AV75" s="8228"/>
      <c r="AW75" s="4466">
        <f t="shared" si="277"/>
        <v>1500.38</v>
      </c>
      <c r="AX75" s="5202"/>
      <c r="AY75" s="4453"/>
      <c r="AZ75" s="8298"/>
      <c r="BA75" s="4854">
        <f t="shared" si="283"/>
        <v>1500.38</v>
      </c>
      <c r="BB75" s="8298">
        <f t="shared" si="278"/>
        <v>0</v>
      </c>
      <c r="BC75" s="4854">
        <f t="shared" si="279"/>
        <v>1500.38</v>
      </c>
      <c r="BD75" s="8308"/>
      <c r="BE75" s="7231"/>
    </row>
    <row r="76" spans="2:57" ht="18.75" customHeight="1" x14ac:dyDescent="0.2">
      <c r="B76" s="4883" t="s">
        <v>2295</v>
      </c>
      <c r="C76" s="7521" t="s">
        <v>2416</v>
      </c>
      <c r="D76" s="7504"/>
      <c r="E76" s="7500">
        <v>0</v>
      </c>
      <c r="F76" s="7504"/>
      <c r="G76" s="4453">
        <v>900.779</v>
      </c>
      <c r="H76" s="8799"/>
      <c r="I76" s="4466">
        <f t="shared" si="268"/>
        <v>900.779</v>
      </c>
      <c r="J76" s="7504"/>
      <c r="K76" s="4453">
        <v>1070.82</v>
      </c>
      <c r="L76" s="8741"/>
      <c r="M76" s="4854">
        <f t="shared" si="269"/>
        <v>1971.5989999999999</v>
      </c>
      <c r="N76" s="5202"/>
      <c r="O76" s="4453">
        <v>0</v>
      </c>
      <c r="P76" s="8799"/>
      <c r="Q76" s="4466">
        <f t="shared" si="270"/>
        <v>1971.5989999999999</v>
      </c>
      <c r="R76" s="5202"/>
      <c r="S76" s="4453">
        <v>0</v>
      </c>
      <c r="T76" s="8799"/>
      <c r="U76" s="4466">
        <f t="shared" si="271"/>
        <v>1971.5989999999999</v>
      </c>
      <c r="V76" s="5202"/>
      <c r="W76" s="4453">
        <v>4956.55</v>
      </c>
      <c r="X76" s="8741"/>
      <c r="Y76" s="4854">
        <f t="shared" si="281"/>
        <v>4956.55</v>
      </c>
      <c r="Z76" s="8743"/>
      <c r="AA76" s="7231">
        <f t="shared" si="272"/>
        <v>6928.1490000000003</v>
      </c>
      <c r="AB76" s="5202"/>
      <c r="AC76" s="4853">
        <v>3967.09</v>
      </c>
      <c r="AD76" s="8799"/>
      <c r="AE76" s="4466">
        <f t="shared" si="273"/>
        <v>10895.239000000001</v>
      </c>
      <c r="AF76" s="5202"/>
      <c r="AG76" s="4453">
        <v>28.59</v>
      </c>
      <c r="AH76" s="8799"/>
      <c r="AI76" s="4466">
        <f t="shared" si="274"/>
        <v>10923.829000000002</v>
      </c>
      <c r="AJ76" s="5202"/>
      <c r="AK76" s="4453">
        <v>0</v>
      </c>
      <c r="AL76" s="8741"/>
      <c r="AM76" s="4854">
        <f t="shared" si="282"/>
        <v>3995.6800000000003</v>
      </c>
      <c r="AN76" s="8799"/>
      <c r="AO76" s="4466">
        <f t="shared" si="275"/>
        <v>10923.829000000002</v>
      </c>
      <c r="AP76" s="5202"/>
      <c r="AQ76" s="4453">
        <v>2938.7799999999997</v>
      </c>
      <c r="AR76" s="8799"/>
      <c r="AS76" s="4466">
        <f t="shared" si="276"/>
        <v>13862.609</v>
      </c>
      <c r="AT76" s="5202"/>
      <c r="AU76" s="4453">
        <v>944.9</v>
      </c>
      <c r="AV76" s="8799"/>
      <c r="AW76" s="4466">
        <f t="shared" si="277"/>
        <v>14807.509</v>
      </c>
      <c r="AX76" s="5202"/>
      <c r="AY76" s="4453">
        <v>33.22</v>
      </c>
      <c r="AZ76" s="8741"/>
      <c r="BA76" s="4854">
        <f t="shared" si="283"/>
        <v>3916.8999999999996</v>
      </c>
      <c r="BB76" s="8741">
        <f t="shared" si="278"/>
        <v>0</v>
      </c>
      <c r="BC76" s="4854">
        <f t="shared" si="279"/>
        <v>7912.58</v>
      </c>
      <c r="BD76" s="8743"/>
      <c r="BE76" s="7231">
        <f t="shared" ref="BE76:BE77" si="286">+AW76+AY76</f>
        <v>14840.728999999999</v>
      </c>
    </row>
    <row r="77" spans="2:57" s="5983" customFormat="1" ht="18.75" customHeight="1" x14ac:dyDescent="0.2">
      <c r="B77" s="4883" t="s">
        <v>2295</v>
      </c>
      <c r="C77" s="7521" t="s">
        <v>2354</v>
      </c>
      <c r="D77" s="7504"/>
      <c r="E77" s="7500"/>
      <c r="F77" s="7504"/>
      <c r="G77" s="4453"/>
      <c r="H77" s="8800"/>
      <c r="I77" s="4466">
        <f t="shared" si="268"/>
        <v>0</v>
      </c>
      <c r="J77" s="7504"/>
      <c r="K77" s="4453"/>
      <c r="L77" s="8742"/>
      <c r="M77" s="4854">
        <f t="shared" si="269"/>
        <v>0</v>
      </c>
      <c r="N77" s="7504"/>
      <c r="O77" s="4453">
        <v>104.24</v>
      </c>
      <c r="P77" s="8800"/>
      <c r="Q77" s="4466">
        <f t="shared" si="270"/>
        <v>104.24</v>
      </c>
      <c r="R77" s="7504"/>
      <c r="S77" s="4453">
        <v>0</v>
      </c>
      <c r="T77" s="8800"/>
      <c r="U77" s="4466">
        <f t="shared" si="271"/>
        <v>104.24</v>
      </c>
      <c r="V77" s="7504"/>
      <c r="W77" s="4453"/>
      <c r="X77" s="8742"/>
      <c r="Y77" s="4854">
        <f t="shared" si="281"/>
        <v>104.24</v>
      </c>
      <c r="Z77" s="8744"/>
      <c r="AA77" s="7231">
        <f t="shared" si="272"/>
        <v>104.24</v>
      </c>
      <c r="AB77" s="7504"/>
      <c r="AC77" s="4853">
        <v>0</v>
      </c>
      <c r="AD77" s="8800"/>
      <c r="AE77" s="4466">
        <f t="shared" si="273"/>
        <v>104.24</v>
      </c>
      <c r="AF77" s="7504"/>
      <c r="AG77" s="4453">
        <v>0</v>
      </c>
      <c r="AH77" s="8800"/>
      <c r="AI77" s="4466">
        <f t="shared" si="274"/>
        <v>104.24</v>
      </c>
      <c r="AJ77" s="7504"/>
      <c r="AK77" s="4453">
        <v>0</v>
      </c>
      <c r="AL77" s="8742"/>
      <c r="AM77" s="4854">
        <f t="shared" si="282"/>
        <v>0</v>
      </c>
      <c r="AN77" s="8800"/>
      <c r="AO77" s="4466">
        <f t="shared" si="275"/>
        <v>104.24</v>
      </c>
      <c r="AP77" s="7504"/>
      <c r="AQ77" s="4453">
        <v>0</v>
      </c>
      <c r="AR77" s="8800"/>
      <c r="AS77" s="4466">
        <f t="shared" si="276"/>
        <v>104.24</v>
      </c>
      <c r="AT77" s="7504"/>
      <c r="AU77" s="4453">
        <v>0</v>
      </c>
      <c r="AV77" s="8800"/>
      <c r="AW77" s="4466">
        <f t="shared" si="277"/>
        <v>104.24</v>
      </c>
      <c r="AX77" s="7504"/>
      <c r="AY77" s="4453"/>
      <c r="AZ77" s="8742"/>
      <c r="BA77" s="4854">
        <f t="shared" si="283"/>
        <v>0</v>
      </c>
      <c r="BB77" s="8742">
        <f t="shared" si="278"/>
        <v>0</v>
      </c>
      <c r="BC77" s="4854">
        <f t="shared" si="279"/>
        <v>0</v>
      </c>
      <c r="BD77" s="8744"/>
      <c r="BE77" s="7231">
        <f t="shared" si="286"/>
        <v>104.24</v>
      </c>
    </row>
    <row r="78" spans="2:57" s="8125" customFormat="1" ht="18.75" customHeight="1" x14ac:dyDescent="0.2">
      <c r="B78" s="4883" t="s">
        <v>2295</v>
      </c>
      <c r="C78" s="7521" t="s">
        <v>2326</v>
      </c>
      <c r="D78" s="7504"/>
      <c r="E78" s="7500"/>
      <c r="F78" s="7504"/>
      <c r="G78" s="4453"/>
      <c r="H78" s="8800"/>
      <c r="I78" s="4466"/>
      <c r="J78" s="7504"/>
      <c r="K78" s="4453"/>
      <c r="L78" s="8742"/>
      <c r="M78" s="4854"/>
      <c r="N78" s="7504"/>
      <c r="O78" s="4453"/>
      <c r="P78" s="8800"/>
      <c r="Q78" s="4466"/>
      <c r="R78" s="7504"/>
      <c r="S78" s="4453"/>
      <c r="T78" s="8800"/>
      <c r="U78" s="4466"/>
      <c r="V78" s="7504"/>
      <c r="W78" s="4453"/>
      <c r="X78" s="8742"/>
      <c r="Y78" s="4854"/>
      <c r="Z78" s="8744"/>
      <c r="AA78" s="7231"/>
      <c r="AB78" s="7504"/>
      <c r="AC78" s="4853"/>
      <c r="AD78" s="8800"/>
      <c r="AE78" s="4466"/>
      <c r="AF78" s="7504"/>
      <c r="AG78" s="4453"/>
      <c r="AH78" s="8800"/>
      <c r="AI78" s="4466"/>
      <c r="AJ78" s="7504"/>
      <c r="AK78" s="4453"/>
      <c r="AL78" s="8742"/>
      <c r="AM78" s="4854"/>
      <c r="AN78" s="8800"/>
      <c r="AO78" s="4466"/>
      <c r="AP78" s="7504"/>
      <c r="AQ78" s="4453">
        <v>627.36</v>
      </c>
      <c r="AR78" s="8800"/>
      <c r="AS78" s="4466">
        <f t="shared" si="276"/>
        <v>627.36</v>
      </c>
      <c r="AT78" s="7504"/>
      <c r="AU78" s="4453">
        <v>0</v>
      </c>
      <c r="AV78" s="8800"/>
      <c r="AW78" s="4466">
        <f t="shared" si="277"/>
        <v>627.36</v>
      </c>
      <c r="AX78" s="7504"/>
      <c r="AY78" s="4453"/>
      <c r="AZ78" s="8742"/>
      <c r="BA78" s="4854">
        <f t="shared" si="283"/>
        <v>627.36</v>
      </c>
      <c r="BB78" s="8742">
        <f t="shared" si="278"/>
        <v>0</v>
      </c>
      <c r="BC78" s="4854">
        <f t="shared" si="279"/>
        <v>627.36</v>
      </c>
      <c r="BD78" s="8744"/>
      <c r="BE78" s="7231"/>
    </row>
    <row r="79" spans="2:57" s="8125" customFormat="1" ht="18.75" customHeight="1" x14ac:dyDescent="0.2">
      <c r="B79" s="4883" t="s">
        <v>2295</v>
      </c>
      <c r="C79" s="7521" t="s">
        <v>2560</v>
      </c>
      <c r="D79" s="7504"/>
      <c r="E79" s="7500"/>
      <c r="F79" s="7504"/>
      <c r="G79" s="4453"/>
      <c r="H79" s="8800"/>
      <c r="I79" s="4466"/>
      <c r="J79" s="7504"/>
      <c r="K79" s="4453"/>
      <c r="L79" s="8742"/>
      <c r="M79" s="4854"/>
      <c r="N79" s="7504"/>
      <c r="O79" s="4453"/>
      <c r="P79" s="8800"/>
      <c r="Q79" s="4466"/>
      <c r="R79" s="7504"/>
      <c r="S79" s="4453"/>
      <c r="T79" s="8800"/>
      <c r="U79" s="4466"/>
      <c r="V79" s="7504"/>
      <c r="W79" s="4453"/>
      <c r="X79" s="8742"/>
      <c r="Y79" s="4854"/>
      <c r="Z79" s="8744"/>
      <c r="AA79" s="7231"/>
      <c r="AB79" s="7504"/>
      <c r="AC79" s="4853"/>
      <c r="AD79" s="8800"/>
      <c r="AE79" s="4466"/>
      <c r="AF79" s="7504"/>
      <c r="AG79" s="4453"/>
      <c r="AH79" s="8800"/>
      <c r="AI79" s="4466"/>
      <c r="AJ79" s="7504"/>
      <c r="AK79" s="4453"/>
      <c r="AL79" s="8742"/>
      <c r="AM79" s="4854"/>
      <c r="AN79" s="8800"/>
      <c r="AO79" s="4466"/>
      <c r="AP79" s="7504"/>
      <c r="AQ79" s="4453">
        <v>500.46</v>
      </c>
      <c r="AR79" s="8800"/>
      <c r="AS79" s="4466">
        <f t="shared" si="276"/>
        <v>500.46</v>
      </c>
      <c r="AT79" s="7504"/>
      <c r="AU79" s="4453">
        <v>0</v>
      </c>
      <c r="AV79" s="8800"/>
      <c r="AW79" s="4466">
        <f t="shared" si="277"/>
        <v>500.46</v>
      </c>
      <c r="AX79" s="7504"/>
      <c r="AY79" s="4453">
        <v>124.48</v>
      </c>
      <c r="AZ79" s="8742"/>
      <c r="BA79" s="4854">
        <f t="shared" si="283"/>
        <v>624.93999999999994</v>
      </c>
      <c r="BB79" s="8742">
        <f t="shared" si="278"/>
        <v>0</v>
      </c>
      <c r="BC79" s="4854">
        <f t="shared" si="279"/>
        <v>624.93999999999994</v>
      </c>
      <c r="BD79" s="8744"/>
      <c r="BE79" s="7231"/>
    </row>
    <row r="80" spans="2:57" s="5126" customFormat="1" ht="18.75" customHeight="1" x14ac:dyDescent="0.2">
      <c r="B80" s="4883" t="s">
        <v>2295</v>
      </c>
      <c r="C80" s="7521" t="s">
        <v>2355</v>
      </c>
      <c r="D80" s="7504"/>
      <c r="E80" s="7500">
        <v>0</v>
      </c>
      <c r="F80" s="7504"/>
      <c r="G80" s="4453">
        <v>131.57999999999998</v>
      </c>
      <c r="H80" s="8800"/>
      <c r="I80" s="4466">
        <f t="shared" si="268"/>
        <v>131.57999999999998</v>
      </c>
      <c r="J80" s="7504"/>
      <c r="K80" s="4453">
        <v>249.15899999999999</v>
      </c>
      <c r="L80" s="8742"/>
      <c r="M80" s="4854">
        <f t="shared" si="269"/>
        <v>380.73899999999998</v>
      </c>
      <c r="N80" s="7504"/>
      <c r="O80" s="4453">
        <v>0</v>
      </c>
      <c r="P80" s="8800"/>
      <c r="Q80" s="4466">
        <f t="shared" si="270"/>
        <v>380.73899999999998</v>
      </c>
      <c r="R80" s="7504"/>
      <c r="S80" s="4453">
        <v>0</v>
      </c>
      <c r="T80" s="8800"/>
      <c r="U80" s="4466">
        <f t="shared" si="271"/>
        <v>380.73899999999998</v>
      </c>
      <c r="V80" s="7504"/>
      <c r="W80" s="4453">
        <v>38.74</v>
      </c>
      <c r="X80" s="8742"/>
      <c r="Y80" s="4854">
        <f t="shared" si="281"/>
        <v>38.74</v>
      </c>
      <c r="Z80" s="8744"/>
      <c r="AA80" s="7231">
        <f t="shared" si="272"/>
        <v>419.47899999999998</v>
      </c>
      <c r="AB80" s="7504"/>
      <c r="AC80" s="4853">
        <v>0</v>
      </c>
      <c r="AD80" s="8800"/>
      <c r="AE80" s="4466">
        <f t="shared" si="273"/>
        <v>419.47899999999998</v>
      </c>
      <c r="AF80" s="7504"/>
      <c r="AG80" s="4453">
        <v>0</v>
      </c>
      <c r="AH80" s="8800"/>
      <c r="AI80" s="4466">
        <f t="shared" si="274"/>
        <v>419.47899999999998</v>
      </c>
      <c r="AJ80" s="7504"/>
      <c r="AK80" s="4453">
        <v>118.88</v>
      </c>
      <c r="AL80" s="8742"/>
      <c r="AM80" s="4854">
        <f t="shared" si="282"/>
        <v>118.88</v>
      </c>
      <c r="AN80" s="8800"/>
      <c r="AO80" s="4466">
        <f t="shared" si="275"/>
        <v>538.35899999999992</v>
      </c>
      <c r="AP80" s="7504"/>
      <c r="AQ80" s="4453">
        <v>0</v>
      </c>
      <c r="AR80" s="8800"/>
      <c r="AS80" s="4466">
        <f t="shared" si="276"/>
        <v>538.35899999999992</v>
      </c>
      <c r="AT80" s="7504"/>
      <c r="AU80" s="4453">
        <v>0</v>
      </c>
      <c r="AV80" s="8800"/>
      <c r="AW80" s="4466">
        <f t="shared" si="277"/>
        <v>538.35899999999992</v>
      </c>
      <c r="AX80" s="7504"/>
      <c r="AY80" s="4453"/>
      <c r="AZ80" s="8742"/>
      <c r="BA80" s="4854">
        <f t="shared" si="283"/>
        <v>0</v>
      </c>
      <c r="BB80" s="8742">
        <f t="shared" si="278"/>
        <v>0</v>
      </c>
      <c r="BC80" s="4854">
        <f t="shared" si="279"/>
        <v>118.88</v>
      </c>
      <c r="BD80" s="8744"/>
      <c r="BE80" s="7231">
        <f t="shared" ref="BE80:BE81" si="287">+AW80+AY80</f>
        <v>538.35899999999992</v>
      </c>
    </row>
    <row r="81" spans="2:57" ht="18.75" customHeight="1" x14ac:dyDescent="0.2">
      <c r="B81" s="4883" t="s">
        <v>2295</v>
      </c>
      <c r="C81" s="7521" t="s">
        <v>2417</v>
      </c>
      <c r="D81" s="7504"/>
      <c r="E81" s="7500"/>
      <c r="F81" s="7504"/>
      <c r="G81" s="4453"/>
      <c r="H81" s="8801"/>
      <c r="I81" s="4466">
        <f t="shared" si="268"/>
        <v>0</v>
      </c>
      <c r="J81" s="7504"/>
      <c r="K81" s="4453"/>
      <c r="L81" s="8745"/>
      <c r="M81" s="4854">
        <f t="shared" si="269"/>
        <v>0</v>
      </c>
      <c r="N81" s="7504"/>
      <c r="O81" s="4453">
        <v>39.299999999999997</v>
      </c>
      <c r="P81" s="8801"/>
      <c r="Q81" s="4466">
        <f t="shared" si="270"/>
        <v>39.299999999999997</v>
      </c>
      <c r="R81" s="7504"/>
      <c r="S81" s="4453">
        <v>39.44</v>
      </c>
      <c r="T81" s="8801"/>
      <c r="U81" s="4466">
        <f t="shared" si="271"/>
        <v>78.739999999999995</v>
      </c>
      <c r="V81" s="7504"/>
      <c r="W81" s="4453"/>
      <c r="X81" s="8745"/>
      <c r="Y81" s="4854">
        <f t="shared" si="281"/>
        <v>78.739999999999995</v>
      </c>
      <c r="Z81" s="8746"/>
      <c r="AA81" s="7231">
        <f t="shared" si="272"/>
        <v>78.739999999999995</v>
      </c>
      <c r="AB81" s="7504"/>
      <c r="AC81" s="4853">
        <v>1423.0499999999997</v>
      </c>
      <c r="AD81" s="8801"/>
      <c r="AE81" s="4466">
        <f t="shared" si="273"/>
        <v>1501.7899999999997</v>
      </c>
      <c r="AF81" s="7504"/>
      <c r="AG81" s="4453">
        <v>33.020000000000003</v>
      </c>
      <c r="AH81" s="8801"/>
      <c r="AI81" s="4466">
        <f t="shared" si="274"/>
        <v>1534.8099999999997</v>
      </c>
      <c r="AJ81" s="7504"/>
      <c r="AK81" s="4453">
        <v>0</v>
      </c>
      <c r="AL81" s="8745"/>
      <c r="AM81" s="4854">
        <f t="shared" si="282"/>
        <v>1456.0699999999997</v>
      </c>
      <c r="AN81" s="8801"/>
      <c r="AO81" s="4466">
        <f t="shared" si="275"/>
        <v>1534.8099999999997</v>
      </c>
      <c r="AP81" s="7504"/>
      <c r="AQ81" s="4453">
        <v>860.37999999999988</v>
      </c>
      <c r="AR81" s="8801"/>
      <c r="AS81" s="4466">
        <f t="shared" si="276"/>
        <v>2395.1899999999996</v>
      </c>
      <c r="AT81" s="7504"/>
      <c r="AU81" s="4453">
        <v>378.38</v>
      </c>
      <c r="AV81" s="8801"/>
      <c r="AW81" s="4466">
        <f t="shared" si="277"/>
        <v>2773.5699999999997</v>
      </c>
      <c r="AX81" s="7504"/>
      <c r="AY81" s="4453"/>
      <c r="AZ81" s="8745"/>
      <c r="BA81" s="4854">
        <f t="shared" si="283"/>
        <v>1238.7599999999998</v>
      </c>
      <c r="BB81" s="8745">
        <f t="shared" si="278"/>
        <v>0</v>
      </c>
      <c r="BC81" s="4854">
        <f t="shared" si="279"/>
        <v>2694.8299999999995</v>
      </c>
      <c r="BD81" s="8746"/>
      <c r="BE81" s="7231">
        <f t="shared" si="287"/>
        <v>2773.5699999999997</v>
      </c>
    </row>
    <row r="82" spans="2:57" s="7882" customFormat="1" ht="18.75" customHeight="1" x14ac:dyDescent="0.2">
      <c r="B82" s="4883" t="s">
        <v>2325</v>
      </c>
      <c r="C82" s="7521" t="s">
        <v>2465</v>
      </c>
      <c r="D82" s="7504"/>
      <c r="E82" s="7500"/>
      <c r="F82" s="7504"/>
      <c r="G82" s="4453"/>
      <c r="H82" s="7885"/>
      <c r="I82" s="4466"/>
      <c r="J82" s="7504"/>
      <c r="K82" s="4453"/>
      <c r="L82" s="7886"/>
      <c r="M82" s="4854"/>
      <c r="N82" s="7504"/>
      <c r="O82" s="4453"/>
      <c r="P82" s="7885"/>
      <c r="Q82" s="4466"/>
      <c r="R82" s="7504"/>
      <c r="S82" s="4453"/>
      <c r="T82" s="7885"/>
      <c r="U82" s="4466"/>
      <c r="V82" s="7504"/>
      <c r="W82" s="4453"/>
      <c r="X82" s="7886"/>
      <c r="Y82" s="4854"/>
      <c r="Z82" s="7889"/>
      <c r="AA82" s="7231"/>
      <c r="AB82" s="7504"/>
      <c r="AC82" s="4853"/>
      <c r="AD82" s="7885"/>
      <c r="AE82" s="4466"/>
      <c r="AF82" s="7504"/>
      <c r="AG82" s="4453"/>
      <c r="AH82" s="7885"/>
      <c r="AI82" s="4466">
        <f t="shared" si="274"/>
        <v>0</v>
      </c>
      <c r="AJ82" s="7504"/>
      <c r="AK82" s="4453">
        <v>904.89999999999986</v>
      </c>
      <c r="AL82" s="7886"/>
      <c r="AM82" s="4854">
        <f t="shared" si="282"/>
        <v>904.89999999999986</v>
      </c>
      <c r="AN82" s="7885"/>
      <c r="AO82" s="4466">
        <f t="shared" si="275"/>
        <v>904.89999999999986</v>
      </c>
      <c r="AP82" s="7504"/>
      <c r="AQ82" s="4453">
        <v>0</v>
      </c>
      <c r="AR82" s="8036"/>
      <c r="AS82" s="4466">
        <f t="shared" si="276"/>
        <v>904.89999999999986</v>
      </c>
      <c r="AT82" s="7504"/>
      <c r="AU82" s="4453">
        <v>0</v>
      </c>
      <c r="AV82" s="8227"/>
      <c r="AW82" s="4466">
        <f t="shared" si="277"/>
        <v>904.89999999999986</v>
      </c>
      <c r="AX82" s="7504"/>
      <c r="AY82" s="4453"/>
      <c r="AZ82" s="8296"/>
      <c r="BA82" s="4854">
        <f t="shared" si="283"/>
        <v>0</v>
      </c>
      <c r="BB82" s="8296">
        <f t="shared" si="278"/>
        <v>0</v>
      </c>
      <c r="BC82" s="4854">
        <f t="shared" si="279"/>
        <v>904.89999999999986</v>
      </c>
      <c r="BD82" s="8309"/>
      <c r="BE82" s="7231"/>
    </row>
    <row r="83" spans="2:57" s="7882" customFormat="1" ht="18.75" customHeight="1" x14ac:dyDescent="0.2">
      <c r="B83" s="4883" t="s">
        <v>2325</v>
      </c>
      <c r="C83" s="7521" t="s">
        <v>2454</v>
      </c>
      <c r="D83" s="7504"/>
      <c r="E83" s="7500"/>
      <c r="F83" s="7504"/>
      <c r="G83" s="4453"/>
      <c r="H83" s="7885"/>
      <c r="I83" s="4466"/>
      <c r="J83" s="7504"/>
      <c r="K83" s="4453"/>
      <c r="L83" s="7886"/>
      <c r="M83" s="4854"/>
      <c r="N83" s="7504"/>
      <c r="O83" s="4453"/>
      <c r="P83" s="7885"/>
      <c r="Q83" s="4466"/>
      <c r="R83" s="7504"/>
      <c r="S83" s="4453"/>
      <c r="T83" s="7885"/>
      <c r="U83" s="4466"/>
      <c r="V83" s="7504"/>
      <c r="W83" s="4453"/>
      <c r="X83" s="7886"/>
      <c r="Y83" s="4854"/>
      <c r="Z83" s="7889"/>
      <c r="AA83" s="7231"/>
      <c r="AB83" s="7504"/>
      <c r="AC83" s="4853"/>
      <c r="AD83" s="7885"/>
      <c r="AE83" s="4466"/>
      <c r="AF83" s="7504"/>
      <c r="AG83" s="4453"/>
      <c r="AH83" s="7885"/>
      <c r="AI83" s="4466"/>
      <c r="AJ83" s="7504"/>
      <c r="AK83" s="4453">
        <v>497.58000000000004</v>
      </c>
      <c r="AL83" s="7886"/>
      <c r="AM83" s="4854">
        <f t="shared" si="282"/>
        <v>497.58000000000004</v>
      </c>
      <c r="AN83" s="7885"/>
      <c r="AO83" s="4466">
        <f t="shared" si="275"/>
        <v>497.58000000000004</v>
      </c>
      <c r="AP83" s="7504"/>
      <c r="AQ83" s="4453">
        <v>0</v>
      </c>
      <c r="AR83" s="8036"/>
      <c r="AS83" s="4466">
        <f t="shared" si="276"/>
        <v>497.58000000000004</v>
      </c>
      <c r="AT83" s="7504"/>
      <c r="AU83" s="4453">
        <v>0</v>
      </c>
      <c r="AV83" s="8227"/>
      <c r="AW83" s="4466">
        <f t="shared" si="277"/>
        <v>497.58000000000004</v>
      </c>
      <c r="AX83" s="7504"/>
      <c r="AY83" s="4453"/>
      <c r="AZ83" s="8296"/>
      <c r="BA83" s="4854">
        <f t="shared" si="283"/>
        <v>0</v>
      </c>
      <c r="BB83" s="8296">
        <f t="shared" si="278"/>
        <v>0</v>
      </c>
      <c r="BC83" s="4854">
        <f t="shared" si="279"/>
        <v>497.58000000000004</v>
      </c>
      <c r="BD83" s="8309"/>
      <c r="BE83" s="7231"/>
    </row>
    <row r="84" spans="2:57" s="7882" customFormat="1" ht="18.75" customHeight="1" x14ac:dyDescent="0.2">
      <c r="B84" s="4883" t="s">
        <v>2325</v>
      </c>
      <c r="C84" s="7521" t="s">
        <v>2466</v>
      </c>
      <c r="D84" s="7504"/>
      <c r="E84" s="7500"/>
      <c r="F84" s="7504"/>
      <c r="G84" s="4453"/>
      <c r="H84" s="7885"/>
      <c r="I84" s="4466"/>
      <c r="J84" s="7504"/>
      <c r="K84" s="4453"/>
      <c r="L84" s="7886"/>
      <c r="M84" s="4854"/>
      <c r="N84" s="7504"/>
      <c r="O84" s="4453"/>
      <c r="P84" s="7885"/>
      <c r="Q84" s="4466"/>
      <c r="R84" s="7504"/>
      <c r="S84" s="4453"/>
      <c r="T84" s="7885"/>
      <c r="U84" s="4466"/>
      <c r="V84" s="7504"/>
      <c r="W84" s="4453"/>
      <c r="X84" s="7886"/>
      <c r="Y84" s="4854"/>
      <c r="Z84" s="7889"/>
      <c r="AA84" s="7231"/>
      <c r="AB84" s="7504"/>
      <c r="AC84" s="4853"/>
      <c r="AD84" s="7885"/>
      <c r="AE84" s="4466"/>
      <c r="AF84" s="7504"/>
      <c r="AG84" s="4453"/>
      <c r="AH84" s="7885"/>
      <c r="AI84" s="4466">
        <f t="shared" si="274"/>
        <v>0</v>
      </c>
      <c r="AJ84" s="7504"/>
      <c r="AK84" s="4453">
        <v>477.09999999999997</v>
      </c>
      <c r="AL84" s="7886"/>
      <c r="AM84" s="4854">
        <f t="shared" si="282"/>
        <v>477.09999999999997</v>
      </c>
      <c r="AN84" s="7885"/>
      <c r="AO84" s="4466">
        <f t="shared" si="275"/>
        <v>477.09999999999997</v>
      </c>
      <c r="AP84" s="7504"/>
      <c r="AQ84" s="4453">
        <v>0</v>
      </c>
      <c r="AR84" s="8036"/>
      <c r="AS84" s="4466">
        <f t="shared" si="276"/>
        <v>477.09999999999997</v>
      </c>
      <c r="AT84" s="7504"/>
      <c r="AU84" s="4453">
        <v>0</v>
      </c>
      <c r="AV84" s="8227"/>
      <c r="AW84" s="4466">
        <f t="shared" si="277"/>
        <v>477.09999999999997</v>
      </c>
      <c r="AX84" s="7504"/>
      <c r="AY84" s="4453"/>
      <c r="AZ84" s="8296"/>
      <c r="BA84" s="4854">
        <f t="shared" si="283"/>
        <v>0</v>
      </c>
      <c r="BB84" s="8296">
        <f t="shared" si="278"/>
        <v>0</v>
      </c>
      <c r="BC84" s="4854">
        <f t="shared" si="279"/>
        <v>477.09999999999997</v>
      </c>
      <c r="BD84" s="8309"/>
      <c r="BE84" s="7231"/>
    </row>
    <row r="85" spans="2:57" s="7525" customFormat="1" ht="18.75" customHeight="1" x14ac:dyDescent="0.2">
      <c r="B85" s="4883" t="s">
        <v>2325</v>
      </c>
      <c r="C85" s="7521" t="s">
        <v>2414</v>
      </c>
      <c r="D85" s="7504"/>
      <c r="E85" s="7500"/>
      <c r="F85" s="7504"/>
      <c r="G85" s="4453"/>
      <c r="H85" s="7529"/>
      <c r="I85" s="4466">
        <f t="shared" si="268"/>
        <v>0</v>
      </c>
      <c r="J85" s="7504"/>
      <c r="K85" s="4453"/>
      <c r="L85" s="7530"/>
      <c r="M85" s="4854">
        <f t="shared" si="269"/>
        <v>0</v>
      </c>
      <c r="N85" s="7504"/>
      <c r="O85" s="4453"/>
      <c r="P85" s="7529"/>
      <c r="Q85" s="4466">
        <f t="shared" si="270"/>
        <v>0</v>
      </c>
      <c r="R85" s="7504"/>
      <c r="S85" s="4453"/>
      <c r="T85" s="7529"/>
      <c r="U85" s="4466">
        <f t="shared" si="271"/>
        <v>0</v>
      </c>
      <c r="V85" s="7504"/>
      <c r="W85" s="4453"/>
      <c r="X85" s="7530"/>
      <c r="Y85" s="4854">
        <f t="shared" si="281"/>
        <v>0</v>
      </c>
      <c r="Z85" s="7533"/>
      <c r="AA85" s="7231">
        <f t="shared" si="272"/>
        <v>0</v>
      </c>
      <c r="AB85" s="7504"/>
      <c r="AC85" s="4853">
        <v>1007.3299999999999</v>
      </c>
      <c r="AD85" s="7529"/>
      <c r="AE85" s="4466">
        <f t="shared" si="273"/>
        <v>1007.3299999999999</v>
      </c>
      <c r="AF85" s="7504"/>
      <c r="AG85" s="4453">
        <v>0</v>
      </c>
      <c r="AH85" s="7571"/>
      <c r="AI85" s="4466">
        <f t="shared" si="274"/>
        <v>1007.3299999999999</v>
      </c>
      <c r="AJ85" s="7504"/>
      <c r="AK85" s="4453">
        <v>2980.79</v>
      </c>
      <c r="AL85" s="7715"/>
      <c r="AM85" s="4854">
        <f t="shared" si="282"/>
        <v>3988.12</v>
      </c>
      <c r="AN85" s="7725"/>
      <c r="AO85" s="4466">
        <f t="shared" si="275"/>
        <v>3988.12</v>
      </c>
      <c r="AP85" s="7504"/>
      <c r="AQ85" s="4453">
        <v>0</v>
      </c>
      <c r="AR85" s="8036"/>
      <c r="AS85" s="4466">
        <f t="shared" si="276"/>
        <v>3988.12</v>
      </c>
      <c r="AT85" s="7504"/>
      <c r="AU85" s="4453">
        <v>0</v>
      </c>
      <c r="AV85" s="8227"/>
      <c r="AW85" s="4466">
        <f t="shared" si="277"/>
        <v>3988.12</v>
      </c>
      <c r="AX85" s="7504"/>
      <c r="AY85" s="4453">
        <v>118.96</v>
      </c>
      <c r="AZ85" s="8296"/>
      <c r="BA85" s="4854">
        <f t="shared" si="283"/>
        <v>118.96</v>
      </c>
      <c r="BB85" s="8296">
        <f t="shared" si="278"/>
        <v>0</v>
      </c>
      <c r="BC85" s="4854">
        <f t="shared" si="279"/>
        <v>4107.08</v>
      </c>
      <c r="BD85" s="8309"/>
      <c r="BE85" s="7231">
        <f t="shared" ref="BE85:BE92" si="288">+AW85+AY85</f>
        <v>4107.08</v>
      </c>
    </row>
    <row r="86" spans="2:57" ht="18.75" customHeight="1" x14ac:dyDescent="0.2">
      <c r="B86" s="7536" t="s">
        <v>2297</v>
      </c>
      <c r="C86" s="7522" t="s">
        <v>2352</v>
      </c>
      <c r="D86" s="7504"/>
      <c r="E86" s="7500">
        <v>0</v>
      </c>
      <c r="F86" s="7504"/>
      <c r="G86" s="4453">
        <v>2241.27</v>
      </c>
      <c r="H86" s="8799"/>
      <c r="I86" s="4466">
        <f t="shared" si="268"/>
        <v>2241.27</v>
      </c>
      <c r="J86" s="7504"/>
      <c r="K86" s="4453">
        <v>2850.6900000000005</v>
      </c>
      <c r="L86" s="8741"/>
      <c r="M86" s="4854">
        <f t="shared" si="269"/>
        <v>5091.9600000000009</v>
      </c>
      <c r="N86" s="7504"/>
      <c r="O86" s="4453">
        <v>0</v>
      </c>
      <c r="P86" s="8799"/>
      <c r="Q86" s="4466">
        <f t="shared" si="270"/>
        <v>5091.9600000000009</v>
      </c>
      <c r="R86" s="7504"/>
      <c r="S86" s="4453">
        <v>4521.9130000000005</v>
      </c>
      <c r="T86" s="8799"/>
      <c r="U86" s="4466">
        <f t="shared" si="271"/>
        <v>9613.8730000000014</v>
      </c>
      <c r="V86" s="7504"/>
      <c r="W86" s="4453"/>
      <c r="X86" s="8741"/>
      <c r="Y86" s="4854">
        <f t="shared" si="281"/>
        <v>4521.9130000000005</v>
      </c>
      <c r="Z86" s="8743"/>
      <c r="AA86" s="7231">
        <f t="shared" si="272"/>
        <v>9613.8730000000014</v>
      </c>
      <c r="AB86" s="7504"/>
      <c r="AC86" s="4853">
        <v>2460.9499999999998</v>
      </c>
      <c r="AD86" s="8799"/>
      <c r="AE86" s="4466">
        <f t="shared" si="273"/>
        <v>12074.823</v>
      </c>
      <c r="AF86" s="7504"/>
      <c r="AG86" s="4453">
        <v>0</v>
      </c>
      <c r="AH86" s="8799"/>
      <c r="AI86" s="4466">
        <f t="shared" si="274"/>
        <v>12074.823</v>
      </c>
      <c r="AJ86" s="7504"/>
      <c r="AK86" s="4453">
        <v>0</v>
      </c>
      <c r="AL86" s="8741"/>
      <c r="AM86" s="4854">
        <f t="shared" si="282"/>
        <v>2460.9499999999998</v>
      </c>
      <c r="AN86" s="8799"/>
      <c r="AO86" s="4466">
        <f t="shared" si="275"/>
        <v>12074.823</v>
      </c>
      <c r="AP86" s="7504"/>
      <c r="AQ86" s="4453">
        <v>0</v>
      </c>
      <c r="AR86" s="8799"/>
      <c r="AS86" s="4466">
        <f t="shared" si="276"/>
        <v>12074.823</v>
      </c>
      <c r="AT86" s="7504"/>
      <c r="AU86" s="4453">
        <v>0</v>
      </c>
      <c r="AV86" s="8799"/>
      <c r="AW86" s="4466">
        <f t="shared" si="277"/>
        <v>12074.823</v>
      </c>
      <c r="AX86" s="7504"/>
      <c r="AY86" s="4453">
        <v>1654.66</v>
      </c>
      <c r="AZ86" s="8741"/>
      <c r="BA86" s="4854">
        <f t="shared" si="283"/>
        <v>1654.66</v>
      </c>
      <c r="BB86" s="8741">
        <f t="shared" si="278"/>
        <v>0</v>
      </c>
      <c r="BC86" s="4854">
        <f t="shared" si="279"/>
        <v>4115.6099999999997</v>
      </c>
      <c r="BD86" s="8743"/>
      <c r="BE86" s="7231">
        <f t="shared" si="288"/>
        <v>13729.483</v>
      </c>
    </row>
    <row r="87" spans="2:57" s="7525" customFormat="1" ht="18.75" customHeight="1" x14ac:dyDescent="0.2">
      <c r="B87" s="7536" t="s">
        <v>2297</v>
      </c>
      <c r="C87" s="7522" t="s">
        <v>2414</v>
      </c>
      <c r="D87" s="7504"/>
      <c r="E87" s="7500"/>
      <c r="F87" s="7504"/>
      <c r="G87" s="4453"/>
      <c r="H87" s="8800"/>
      <c r="I87" s="4466">
        <f t="shared" si="268"/>
        <v>0</v>
      </c>
      <c r="J87" s="7504"/>
      <c r="K87" s="4453"/>
      <c r="L87" s="8742"/>
      <c r="M87" s="4854">
        <f t="shared" si="269"/>
        <v>0</v>
      </c>
      <c r="N87" s="7504"/>
      <c r="O87" s="4453"/>
      <c r="P87" s="8800"/>
      <c r="Q87" s="4466">
        <f t="shared" si="270"/>
        <v>0</v>
      </c>
      <c r="R87" s="7504"/>
      <c r="S87" s="4453"/>
      <c r="T87" s="8800"/>
      <c r="U87" s="4466">
        <f t="shared" si="271"/>
        <v>0</v>
      </c>
      <c r="V87" s="7504"/>
      <c r="W87" s="4453"/>
      <c r="X87" s="8742"/>
      <c r="Y87" s="4854">
        <f t="shared" si="281"/>
        <v>0</v>
      </c>
      <c r="Z87" s="8744"/>
      <c r="AA87" s="7231">
        <f t="shared" si="272"/>
        <v>0</v>
      </c>
      <c r="AB87" s="7504"/>
      <c r="AC87" s="4853">
        <v>242.24</v>
      </c>
      <c r="AD87" s="8800"/>
      <c r="AE87" s="4466">
        <f t="shared" si="273"/>
        <v>242.24</v>
      </c>
      <c r="AF87" s="7504"/>
      <c r="AG87" s="4453">
        <v>0</v>
      </c>
      <c r="AH87" s="8800"/>
      <c r="AI87" s="4466">
        <f t="shared" si="274"/>
        <v>242.24</v>
      </c>
      <c r="AJ87" s="7504"/>
      <c r="AK87" s="4453">
        <v>0</v>
      </c>
      <c r="AL87" s="8742"/>
      <c r="AM87" s="4854">
        <f t="shared" si="282"/>
        <v>242.24</v>
      </c>
      <c r="AN87" s="8800"/>
      <c r="AO87" s="4466">
        <f t="shared" si="275"/>
        <v>242.24</v>
      </c>
      <c r="AP87" s="7504"/>
      <c r="AQ87" s="4453">
        <v>0</v>
      </c>
      <c r="AR87" s="8800"/>
      <c r="AS87" s="4466">
        <f t="shared" si="276"/>
        <v>242.24</v>
      </c>
      <c r="AT87" s="7504"/>
      <c r="AU87" s="4453">
        <v>0</v>
      </c>
      <c r="AV87" s="8800"/>
      <c r="AW87" s="4466">
        <f t="shared" si="277"/>
        <v>242.24</v>
      </c>
      <c r="AX87" s="7504"/>
      <c r="AY87" s="4453"/>
      <c r="AZ87" s="8742"/>
      <c r="BA87" s="4854">
        <f t="shared" si="283"/>
        <v>0</v>
      </c>
      <c r="BB87" s="8742">
        <f t="shared" si="278"/>
        <v>0</v>
      </c>
      <c r="BC87" s="4854">
        <f t="shared" si="279"/>
        <v>242.24</v>
      </c>
      <c r="BD87" s="8744"/>
      <c r="BE87" s="7231">
        <f t="shared" si="288"/>
        <v>242.24</v>
      </c>
    </row>
    <row r="88" spans="2:57" ht="18.75" customHeight="1" x14ac:dyDescent="0.2">
      <c r="B88" s="7536" t="s">
        <v>2297</v>
      </c>
      <c r="C88" s="7522" t="s">
        <v>2356</v>
      </c>
      <c r="D88" s="7504"/>
      <c r="E88" s="7500"/>
      <c r="F88" s="7504"/>
      <c r="G88" s="4453"/>
      <c r="H88" s="8800"/>
      <c r="I88" s="4466">
        <f t="shared" si="268"/>
        <v>0</v>
      </c>
      <c r="J88" s="7504"/>
      <c r="K88" s="4453"/>
      <c r="L88" s="8742"/>
      <c r="M88" s="4854">
        <f t="shared" si="269"/>
        <v>0</v>
      </c>
      <c r="N88" s="7504"/>
      <c r="O88" s="4453">
        <v>1519.3460000000002</v>
      </c>
      <c r="P88" s="8800"/>
      <c r="Q88" s="4466">
        <f t="shared" si="270"/>
        <v>1519.3460000000002</v>
      </c>
      <c r="R88" s="7504"/>
      <c r="S88" s="4453">
        <v>0</v>
      </c>
      <c r="T88" s="8800"/>
      <c r="U88" s="4466">
        <f t="shared" si="271"/>
        <v>1519.3460000000002</v>
      </c>
      <c r="V88" s="7504"/>
      <c r="W88" s="4453"/>
      <c r="X88" s="8742"/>
      <c r="Y88" s="4854">
        <f t="shared" si="281"/>
        <v>1519.3460000000002</v>
      </c>
      <c r="Z88" s="8744"/>
      <c r="AA88" s="7231">
        <f t="shared" si="272"/>
        <v>1519.3460000000002</v>
      </c>
      <c r="AB88" s="7504"/>
      <c r="AC88" s="4853">
        <v>0</v>
      </c>
      <c r="AD88" s="8800"/>
      <c r="AE88" s="4466">
        <f t="shared" si="273"/>
        <v>1519.3460000000002</v>
      </c>
      <c r="AF88" s="7504"/>
      <c r="AG88" s="4453">
        <v>0</v>
      </c>
      <c r="AH88" s="8800"/>
      <c r="AI88" s="4466">
        <f t="shared" si="274"/>
        <v>1519.3460000000002</v>
      </c>
      <c r="AJ88" s="7504"/>
      <c r="AK88" s="4453">
        <v>0</v>
      </c>
      <c r="AL88" s="8742"/>
      <c r="AM88" s="4854">
        <f t="shared" si="282"/>
        <v>0</v>
      </c>
      <c r="AN88" s="8800"/>
      <c r="AO88" s="4466">
        <f t="shared" si="275"/>
        <v>1519.3460000000002</v>
      </c>
      <c r="AP88" s="7504"/>
      <c r="AQ88" s="4453">
        <v>0</v>
      </c>
      <c r="AR88" s="8800"/>
      <c r="AS88" s="4466">
        <f t="shared" si="276"/>
        <v>1519.3460000000002</v>
      </c>
      <c r="AT88" s="7504"/>
      <c r="AU88" s="4453">
        <v>0</v>
      </c>
      <c r="AV88" s="8800"/>
      <c r="AW88" s="4466">
        <f t="shared" si="277"/>
        <v>1519.3460000000002</v>
      </c>
      <c r="AX88" s="7504"/>
      <c r="AY88" s="4453"/>
      <c r="AZ88" s="8742"/>
      <c r="BA88" s="4854">
        <f t="shared" si="283"/>
        <v>0</v>
      </c>
      <c r="BB88" s="8742">
        <f t="shared" si="278"/>
        <v>0</v>
      </c>
      <c r="BC88" s="4854">
        <f t="shared" si="279"/>
        <v>0</v>
      </c>
      <c r="BD88" s="8744"/>
      <c r="BE88" s="7231">
        <f t="shared" si="288"/>
        <v>1519.3460000000002</v>
      </c>
    </row>
    <row r="89" spans="2:57" s="7129" customFormat="1" ht="18.75" customHeight="1" x14ac:dyDescent="0.2">
      <c r="B89" s="7536" t="s">
        <v>2297</v>
      </c>
      <c r="C89" s="7522" t="s">
        <v>2355</v>
      </c>
      <c r="D89" s="7504"/>
      <c r="E89" s="7500"/>
      <c r="F89" s="7504"/>
      <c r="G89" s="4453"/>
      <c r="H89" s="8800"/>
      <c r="I89" s="4466">
        <f t="shared" si="268"/>
        <v>0</v>
      </c>
      <c r="J89" s="7504"/>
      <c r="K89" s="4453"/>
      <c r="L89" s="8742"/>
      <c r="M89" s="4854">
        <f t="shared" si="269"/>
        <v>0</v>
      </c>
      <c r="N89" s="7504"/>
      <c r="O89" s="4453"/>
      <c r="P89" s="8800"/>
      <c r="Q89" s="4466">
        <f t="shared" si="270"/>
        <v>0</v>
      </c>
      <c r="R89" s="7504"/>
      <c r="S89" s="4453"/>
      <c r="T89" s="8800"/>
      <c r="U89" s="4466">
        <f t="shared" si="271"/>
        <v>0</v>
      </c>
      <c r="V89" s="7504"/>
      <c r="W89" s="4453">
        <v>76.400000000000006</v>
      </c>
      <c r="X89" s="8742"/>
      <c r="Y89" s="4854">
        <f t="shared" si="281"/>
        <v>76.400000000000006</v>
      </c>
      <c r="Z89" s="8744"/>
      <c r="AA89" s="7231">
        <f t="shared" si="272"/>
        <v>76.400000000000006</v>
      </c>
      <c r="AB89" s="7504"/>
      <c r="AC89" s="4853">
        <v>0</v>
      </c>
      <c r="AD89" s="8800"/>
      <c r="AE89" s="4466">
        <f t="shared" si="273"/>
        <v>76.400000000000006</v>
      </c>
      <c r="AF89" s="7504"/>
      <c r="AG89" s="4453">
        <v>0</v>
      </c>
      <c r="AH89" s="8800"/>
      <c r="AI89" s="4466">
        <f t="shared" si="274"/>
        <v>76.400000000000006</v>
      </c>
      <c r="AJ89" s="7504"/>
      <c r="AK89" s="4453">
        <v>0</v>
      </c>
      <c r="AL89" s="8742"/>
      <c r="AM89" s="4854">
        <f t="shared" si="282"/>
        <v>0</v>
      </c>
      <c r="AN89" s="8800"/>
      <c r="AO89" s="4466">
        <f t="shared" si="275"/>
        <v>76.400000000000006</v>
      </c>
      <c r="AP89" s="7504"/>
      <c r="AQ89" s="4453">
        <v>0</v>
      </c>
      <c r="AR89" s="8800"/>
      <c r="AS89" s="4466">
        <f t="shared" si="276"/>
        <v>76.400000000000006</v>
      </c>
      <c r="AT89" s="7504"/>
      <c r="AU89" s="4453">
        <v>0</v>
      </c>
      <c r="AV89" s="8800"/>
      <c r="AW89" s="4466">
        <f t="shared" si="277"/>
        <v>76.400000000000006</v>
      </c>
      <c r="AX89" s="7504"/>
      <c r="AY89" s="4453"/>
      <c r="AZ89" s="8742"/>
      <c r="BA89" s="4854">
        <f t="shared" si="283"/>
        <v>0</v>
      </c>
      <c r="BB89" s="8742">
        <f t="shared" si="278"/>
        <v>0</v>
      </c>
      <c r="BC89" s="4854">
        <f t="shared" si="279"/>
        <v>0</v>
      </c>
      <c r="BD89" s="8744"/>
      <c r="BE89" s="7231">
        <f t="shared" si="288"/>
        <v>76.400000000000006</v>
      </c>
    </row>
    <row r="90" spans="2:57" s="7525" customFormat="1" ht="18.75" customHeight="1" x14ac:dyDescent="0.2">
      <c r="B90" s="7536" t="s">
        <v>2297</v>
      </c>
      <c r="C90" s="7522" t="s">
        <v>2417</v>
      </c>
      <c r="D90" s="7504"/>
      <c r="E90" s="7500"/>
      <c r="F90" s="7504"/>
      <c r="G90" s="4453"/>
      <c r="H90" s="8800"/>
      <c r="I90" s="4466">
        <f t="shared" si="268"/>
        <v>0</v>
      </c>
      <c r="J90" s="7504"/>
      <c r="K90" s="4453"/>
      <c r="L90" s="8742"/>
      <c r="M90" s="4854">
        <f t="shared" si="269"/>
        <v>0</v>
      </c>
      <c r="N90" s="7504"/>
      <c r="O90" s="4453"/>
      <c r="P90" s="8800"/>
      <c r="Q90" s="4466">
        <f t="shared" si="270"/>
        <v>0</v>
      </c>
      <c r="R90" s="7504"/>
      <c r="S90" s="4453"/>
      <c r="T90" s="8800"/>
      <c r="U90" s="4466">
        <f t="shared" si="271"/>
        <v>0</v>
      </c>
      <c r="V90" s="7504"/>
      <c r="W90" s="4453"/>
      <c r="X90" s="8742"/>
      <c r="Y90" s="4854">
        <f t="shared" si="281"/>
        <v>0</v>
      </c>
      <c r="Z90" s="8744"/>
      <c r="AA90" s="7231">
        <f t="shared" si="272"/>
        <v>0</v>
      </c>
      <c r="AB90" s="7504"/>
      <c r="AC90" s="4853">
        <v>123.22</v>
      </c>
      <c r="AD90" s="8800"/>
      <c r="AE90" s="4466">
        <f t="shared" si="273"/>
        <v>123.22</v>
      </c>
      <c r="AF90" s="7504"/>
      <c r="AG90" s="4453">
        <v>0</v>
      </c>
      <c r="AH90" s="8800"/>
      <c r="AI90" s="4466">
        <f t="shared" si="274"/>
        <v>123.22</v>
      </c>
      <c r="AJ90" s="7504"/>
      <c r="AK90" s="4453">
        <v>0</v>
      </c>
      <c r="AL90" s="8742"/>
      <c r="AM90" s="4854">
        <f t="shared" si="282"/>
        <v>123.22</v>
      </c>
      <c r="AN90" s="8800"/>
      <c r="AO90" s="4466">
        <f t="shared" si="275"/>
        <v>123.22</v>
      </c>
      <c r="AP90" s="7504"/>
      <c r="AQ90" s="4453">
        <v>0</v>
      </c>
      <c r="AR90" s="8800"/>
      <c r="AS90" s="4466">
        <f t="shared" si="276"/>
        <v>123.22</v>
      </c>
      <c r="AT90" s="7504"/>
      <c r="AU90" s="4453">
        <v>0</v>
      </c>
      <c r="AV90" s="8800"/>
      <c r="AW90" s="4466">
        <f t="shared" si="277"/>
        <v>123.22</v>
      </c>
      <c r="AX90" s="7504"/>
      <c r="AY90" s="4453">
        <v>554.24</v>
      </c>
      <c r="AZ90" s="8742"/>
      <c r="BA90" s="4854">
        <f t="shared" si="283"/>
        <v>554.24</v>
      </c>
      <c r="BB90" s="8742">
        <f t="shared" si="278"/>
        <v>0</v>
      </c>
      <c r="BC90" s="4854">
        <f t="shared" si="279"/>
        <v>677.46</v>
      </c>
      <c r="BD90" s="8744"/>
      <c r="BE90" s="7231">
        <f t="shared" si="288"/>
        <v>677.46</v>
      </c>
    </row>
    <row r="91" spans="2:57" s="7525" customFormat="1" ht="18.75" customHeight="1" x14ac:dyDescent="0.2">
      <c r="B91" s="7536" t="s">
        <v>2297</v>
      </c>
      <c r="C91" s="7522" t="s">
        <v>2412</v>
      </c>
      <c r="D91" s="7504"/>
      <c r="E91" s="7500"/>
      <c r="F91" s="7504"/>
      <c r="G91" s="4453"/>
      <c r="H91" s="8800"/>
      <c r="I91" s="4466">
        <f t="shared" si="268"/>
        <v>0</v>
      </c>
      <c r="J91" s="7504"/>
      <c r="K91" s="4453"/>
      <c r="L91" s="8742"/>
      <c r="M91" s="4854">
        <f t="shared" si="269"/>
        <v>0</v>
      </c>
      <c r="N91" s="7504"/>
      <c r="O91" s="4453"/>
      <c r="P91" s="8800"/>
      <c r="Q91" s="4466">
        <f t="shared" si="270"/>
        <v>0</v>
      </c>
      <c r="R91" s="7504"/>
      <c r="S91" s="4453"/>
      <c r="T91" s="8800"/>
      <c r="U91" s="4466">
        <f t="shared" si="271"/>
        <v>0</v>
      </c>
      <c r="V91" s="7504"/>
      <c r="W91" s="4453"/>
      <c r="X91" s="8742"/>
      <c r="Y91" s="4854">
        <f t="shared" si="281"/>
        <v>0</v>
      </c>
      <c r="Z91" s="8744"/>
      <c r="AA91" s="7231">
        <f t="shared" si="272"/>
        <v>0</v>
      </c>
      <c r="AB91" s="7504"/>
      <c r="AC91" s="4853">
        <v>816.91</v>
      </c>
      <c r="AD91" s="8800"/>
      <c r="AE91" s="4466">
        <f t="shared" si="273"/>
        <v>816.91</v>
      </c>
      <c r="AF91" s="7504"/>
      <c r="AG91" s="4453">
        <v>506.29999999999995</v>
      </c>
      <c r="AH91" s="8800"/>
      <c r="AI91" s="4466">
        <f t="shared" si="274"/>
        <v>1323.21</v>
      </c>
      <c r="AJ91" s="7504"/>
      <c r="AK91" s="4453">
        <v>0</v>
      </c>
      <c r="AL91" s="8742"/>
      <c r="AM91" s="4854">
        <f t="shared" si="282"/>
        <v>1323.21</v>
      </c>
      <c r="AN91" s="8800"/>
      <c r="AO91" s="4466">
        <f t="shared" si="275"/>
        <v>1323.21</v>
      </c>
      <c r="AP91" s="7504"/>
      <c r="AQ91" s="4453">
        <v>0</v>
      </c>
      <c r="AR91" s="8800"/>
      <c r="AS91" s="4466">
        <f t="shared" si="276"/>
        <v>1323.21</v>
      </c>
      <c r="AT91" s="7504"/>
      <c r="AU91" s="4453">
        <v>0</v>
      </c>
      <c r="AV91" s="8800"/>
      <c r="AW91" s="4466">
        <f t="shared" si="277"/>
        <v>1323.21</v>
      </c>
      <c r="AX91" s="7504"/>
      <c r="AY91" s="4453">
        <v>28.7</v>
      </c>
      <c r="AZ91" s="8742"/>
      <c r="BA91" s="4854">
        <f t="shared" si="283"/>
        <v>28.7</v>
      </c>
      <c r="BB91" s="8742">
        <f t="shared" si="278"/>
        <v>0</v>
      </c>
      <c r="BC91" s="4854">
        <f t="shared" si="279"/>
        <v>1351.91</v>
      </c>
      <c r="BD91" s="8744"/>
      <c r="BE91" s="7231">
        <f t="shared" si="288"/>
        <v>1351.91</v>
      </c>
    </row>
    <row r="92" spans="2:57" ht="18.75" customHeight="1" x14ac:dyDescent="0.2">
      <c r="B92" s="5065" t="s">
        <v>2298</v>
      </c>
      <c r="C92" s="7522" t="s">
        <v>2419</v>
      </c>
      <c r="D92" s="7504"/>
      <c r="E92" s="7500">
        <v>0</v>
      </c>
      <c r="F92" s="7504"/>
      <c r="G92" s="4453">
        <v>1499.8600000000001</v>
      </c>
      <c r="H92" s="8800"/>
      <c r="I92" s="4466">
        <f t="shared" si="268"/>
        <v>1499.8600000000001</v>
      </c>
      <c r="J92" s="7504"/>
      <c r="K92" s="4453">
        <v>3743.1289999999999</v>
      </c>
      <c r="L92" s="8742"/>
      <c r="M92" s="4854">
        <f t="shared" si="269"/>
        <v>5242.9889999999996</v>
      </c>
      <c r="N92" s="7504"/>
      <c r="O92" s="4453">
        <v>0</v>
      </c>
      <c r="P92" s="8800"/>
      <c r="Q92" s="4466">
        <f t="shared" si="270"/>
        <v>5242.9889999999996</v>
      </c>
      <c r="R92" s="7504"/>
      <c r="S92" s="4453">
        <v>0</v>
      </c>
      <c r="T92" s="8800"/>
      <c r="U92" s="4466">
        <f t="shared" si="271"/>
        <v>5242.9889999999996</v>
      </c>
      <c r="V92" s="7504"/>
      <c r="W92" s="4453">
        <v>1521.67</v>
      </c>
      <c r="X92" s="8742"/>
      <c r="Y92" s="4854">
        <f t="shared" si="281"/>
        <v>1521.67</v>
      </c>
      <c r="Z92" s="8744"/>
      <c r="AA92" s="7231">
        <f t="shared" si="272"/>
        <v>6764.6589999999997</v>
      </c>
      <c r="AB92" s="7504"/>
      <c r="AC92" s="4853">
        <v>0</v>
      </c>
      <c r="AD92" s="8800"/>
      <c r="AE92" s="4466">
        <f t="shared" si="273"/>
        <v>6764.6589999999997</v>
      </c>
      <c r="AF92" s="7504"/>
      <c r="AG92" s="4453">
        <v>0</v>
      </c>
      <c r="AH92" s="8800"/>
      <c r="AI92" s="4466">
        <f t="shared" si="274"/>
        <v>6764.6589999999997</v>
      </c>
      <c r="AJ92" s="7504"/>
      <c r="AK92" s="4453">
        <v>2396.1799999999998</v>
      </c>
      <c r="AL92" s="8742"/>
      <c r="AM92" s="4854">
        <f t="shared" si="282"/>
        <v>2396.1799999999998</v>
      </c>
      <c r="AN92" s="8800"/>
      <c r="AO92" s="4466">
        <f t="shared" si="275"/>
        <v>9160.8389999999999</v>
      </c>
      <c r="AP92" s="7504"/>
      <c r="AQ92" s="4453">
        <v>0</v>
      </c>
      <c r="AR92" s="8800"/>
      <c r="AS92" s="4466">
        <f t="shared" si="276"/>
        <v>9160.8389999999999</v>
      </c>
      <c r="AT92" s="7504"/>
      <c r="AU92" s="4453">
        <v>0</v>
      </c>
      <c r="AV92" s="8800"/>
      <c r="AW92" s="4466">
        <f t="shared" si="277"/>
        <v>9160.8389999999999</v>
      </c>
      <c r="AX92" s="7504"/>
      <c r="AY92" s="4453"/>
      <c r="AZ92" s="8742"/>
      <c r="BA92" s="4854">
        <f t="shared" si="283"/>
        <v>0</v>
      </c>
      <c r="BB92" s="8742">
        <f t="shared" si="278"/>
        <v>0</v>
      </c>
      <c r="BC92" s="4854">
        <f t="shared" si="279"/>
        <v>2396.1799999999998</v>
      </c>
      <c r="BD92" s="8744"/>
      <c r="BE92" s="7231">
        <f t="shared" si="288"/>
        <v>9160.8389999999999</v>
      </c>
    </row>
    <row r="93" spans="2:57" s="7882" customFormat="1" ht="18.75" customHeight="1" x14ac:dyDescent="0.2">
      <c r="B93" s="4883" t="s">
        <v>2298</v>
      </c>
      <c r="C93" s="7521" t="s">
        <v>2326</v>
      </c>
      <c r="D93" s="7504"/>
      <c r="E93" s="7500"/>
      <c r="F93" s="7504"/>
      <c r="G93" s="4453"/>
      <c r="H93" s="8800"/>
      <c r="I93" s="4466"/>
      <c r="J93" s="7504"/>
      <c r="K93" s="4453"/>
      <c r="L93" s="8742"/>
      <c r="M93" s="4854"/>
      <c r="N93" s="7504"/>
      <c r="O93" s="4453"/>
      <c r="P93" s="8800"/>
      <c r="Q93" s="4466"/>
      <c r="R93" s="7504"/>
      <c r="S93" s="4453"/>
      <c r="T93" s="8800"/>
      <c r="U93" s="4466"/>
      <c r="V93" s="7504"/>
      <c r="W93" s="4453"/>
      <c r="X93" s="8742"/>
      <c r="Y93" s="4854"/>
      <c r="Z93" s="8744"/>
      <c r="AA93" s="7231"/>
      <c r="AB93" s="7504"/>
      <c r="AC93" s="4853"/>
      <c r="AD93" s="8800"/>
      <c r="AE93" s="4466"/>
      <c r="AF93" s="7504"/>
      <c r="AG93" s="4453"/>
      <c r="AH93" s="8800"/>
      <c r="AI93" s="4466"/>
      <c r="AJ93" s="7504"/>
      <c r="AK93" s="4453">
        <v>1541.6399999999999</v>
      </c>
      <c r="AL93" s="8742"/>
      <c r="AM93" s="4854">
        <f t="shared" si="282"/>
        <v>1541.6399999999999</v>
      </c>
      <c r="AN93" s="8800"/>
      <c r="AO93" s="4466">
        <f t="shared" si="275"/>
        <v>1541.6399999999999</v>
      </c>
      <c r="AP93" s="7504"/>
      <c r="AQ93" s="4453">
        <v>0</v>
      </c>
      <c r="AR93" s="8800"/>
      <c r="AS93" s="4466">
        <f t="shared" si="276"/>
        <v>1541.6399999999999</v>
      </c>
      <c r="AT93" s="7504"/>
      <c r="AU93" s="4453">
        <v>0</v>
      </c>
      <c r="AV93" s="8800"/>
      <c r="AW93" s="4466">
        <f t="shared" si="277"/>
        <v>1541.6399999999999</v>
      </c>
      <c r="AX93" s="7504"/>
      <c r="AY93" s="4453"/>
      <c r="AZ93" s="8742"/>
      <c r="BA93" s="4854">
        <f t="shared" si="283"/>
        <v>0</v>
      </c>
      <c r="BB93" s="8742">
        <f t="shared" si="278"/>
        <v>0</v>
      </c>
      <c r="BC93" s="4854">
        <f t="shared" si="279"/>
        <v>1541.6399999999999</v>
      </c>
      <c r="BD93" s="8744"/>
      <c r="BE93" s="7231"/>
    </row>
    <row r="94" spans="2:57" s="7882" customFormat="1" ht="18.75" customHeight="1" x14ac:dyDescent="0.2">
      <c r="B94" s="4883" t="s">
        <v>2298</v>
      </c>
      <c r="C94" s="7521" t="s">
        <v>2454</v>
      </c>
      <c r="D94" s="7504"/>
      <c r="E94" s="7500"/>
      <c r="F94" s="7504"/>
      <c r="G94" s="4453"/>
      <c r="H94" s="8800"/>
      <c r="I94" s="4466"/>
      <c r="J94" s="7504"/>
      <c r="K94" s="4453"/>
      <c r="L94" s="8742"/>
      <c r="M94" s="4854"/>
      <c r="N94" s="7504"/>
      <c r="O94" s="4453"/>
      <c r="P94" s="8800"/>
      <c r="Q94" s="4466"/>
      <c r="R94" s="7504"/>
      <c r="S94" s="4453"/>
      <c r="T94" s="8800"/>
      <c r="U94" s="4466"/>
      <c r="V94" s="7504"/>
      <c r="W94" s="4453"/>
      <c r="X94" s="8742"/>
      <c r="Y94" s="4854"/>
      <c r="Z94" s="8744"/>
      <c r="AA94" s="7231"/>
      <c r="AB94" s="7504"/>
      <c r="AC94" s="4853"/>
      <c r="AD94" s="8800"/>
      <c r="AE94" s="4466"/>
      <c r="AF94" s="7504"/>
      <c r="AG94" s="4453"/>
      <c r="AH94" s="8800"/>
      <c r="AI94" s="4466"/>
      <c r="AJ94" s="7504"/>
      <c r="AK94" s="4453">
        <v>190.38</v>
      </c>
      <c r="AL94" s="8742"/>
      <c r="AM94" s="4854">
        <f t="shared" si="282"/>
        <v>190.38</v>
      </c>
      <c r="AN94" s="8800"/>
      <c r="AO94" s="4466">
        <f t="shared" si="275"/>
        <v>190.38</v>
      </c>
      <c r="AP94" s="7504"/>
      <c r="AQ94" s="4453">
        <v>0</v>
      </c>
      <c r="AR94" s="8800"/>
      <c r="AS94" s="4466">
        <f t="shared" si="276"/>
        <v>190.38</v>
      </c>
      <c r="AT94" s="7504"/>
      <c r="AU94" s="4453">
        <v>0</v>
      </c>
      <c r="AV94" s="8800"/>
      <c r="AW94" s="4466">
        <f t="shared" si="277"/>
        <v>190.38</v>
      </c>
      <c r="AX94" s="7504"/>
      <c r="AY94" s="4453"/>
      <c r="AZ94" s="8742"/>
      <c r="BA94" s="4854">
        <f t="shared" si="283"/>
        <v>0</v>
      </c>
      <c r="BB94" s="8742">
        <f t="shared" si="278"/>
        <v>0</v>
      </c>
      <c r="BC94" s="4854">
        <f t="shared" si="279"/>
        <v>190.38</v>
      </c>
      <c r="BD94" s="8744"/>
      <c r="BE94" s="7231"/>
    </row>
    <row r="95" spans="2:57" s="7129" customFormat="1" ht="18.75" customHeight="1" x14ac:dyDescent="0.2">
      <c r="B95" s="4884" t="s">
        <v>2298</v>
      </c>
      <c r="C95" s="7521" t="s">
        <v>1848</v>
      </c>
      <c r="D95" s="7504"/>
      <c r="E95" s="7500"/>
      <c r="F95" s="7504"/>
      <c r="G95" s="4453"/>
      <c r="H95" s="8800"/>
      <c r="I95" s="4466">
        <f t="shared" si="268"/>
        <v>0</v>
      </c>
      <c r="J95" s="7504"/>
      <c r="K95" s="4453"/>
      <c r="L95" s="8742"/>
      <c r="M95" s="4854">
        <f t="shared" si="269"/>
        <v>0</v>
      </c>
      <c r="N95" s="7504"/>
      <c r="O95" s="4453"/>
      <c r="P95" s="8800"/>
      <c r="Q95" s="4466">
        <f t="shared" si="270"/>
        <v>0</v>
      </c>
      <c r="R95" s="7504"/>
      <c r="S95" s="4453"/>
      <c r="T95" s="8800"/>
      <c r="U95" s="4466">
        <f t="shared" si="271"/>
        <v>0</v>
      </c>
      <c r="V95" s="7504"/>
      <c r="W95" s="4453">
        <v>27.98</v>
      </c>
      <c r="X95" s="8742"/>
      <c r="Y95" s="4854">
        <f t="shared" si="281"/>
        <v>27.98</v>
      </c>
      <c r="Z95" s="8744"/>
      <c r="AA95" s="7231">
        <f t="shared" si="272"/>
        <v>27.98</v>
      </c>
      <c r="AB95" s="7504"/>
      <c r="AC95" s="4853">
        <v>0</v>
      </c>
      <c r="AD95" s="8800"/>
      <c r="AE95" s="4466">
        <f t="shared" si="273"/>
        <v>27.98</v>
      </c>
      <c r="AF95" s="7504"/>
      <c r="AG95" s="4453">
        <v>0</v>
      </c>
      <c r="AH95" s="8800"/>
      <c r="AI95" s="4466">
        <f t="shared" si="274"/>
        <v>27.98</v>
      </c>
      <c r="AJ95" s="7504"/>
      <c r="AK95" s="4453">
        <v>0</v>
      </c>
      <c r="AL95" s="8742"/>
      <c r="AM95" s="4854">
        <f t="shared" si="282"/>
        <v>0</v>
      </c>
      <c r="AN95" s="8800"/>
      <c r="AO95" s="4466">
        <f t="shared" si="275"/>
        <v>27.98</v>
      </c>
      <c r="AP95" s="7504"/>
      <c r="AQ95" s="4453">
        <v>0</v>
      </c>
      <c r="AR95" s="8800"/>
      <c r="AS95" s="4466">
        <f t="shared" si="276"/>
        <v>27.98</v>
      </c>
      <c r="AT95" s="7504"/>
      <c r="AU95" s="4453">
        <v>0</v>
      </c>
      <c r="AV95" s="8800"/>
      <c r="AW95" s="4466">
        <f t="shared" si="277"/>
        <v>27.98</v>
      </c>
      <c r="AX95" s="7504"/>
      <c r="AY95" s="4453"/>
      <c r="AZ95" s="8742"/>
      <c r="BA95" s="4854">
        <f t="shared" si="283"/>
        <v>0</v>
      </c>
      <c r="BB95" s="8742">
        <f t="shared" si="278"/>
        <v>0</v>
      </c>
      <c r="BC95" s="4854">
        <f t="shared" si="279"/>
        <v>0</v>
      </c>
      <c r="BD95" s="8744"/>
      <c r="BE95" s="7231">
        <f t="shared" ref="BE95" si="289">+AW95+AY95</f>
        <v>27.98</v>
      </c>
    </row>
    <row r="96" spans="2:57" s="7882" customFormat="1" ht="18.75" customHeight="1" x14ac:dyDescent="0.2">
      <c r="B96" s="4884" t="s">
        <v>2298</v>
      </c>
      <c r="C96" s="7521" t="s">
        <v>1753</v>
      </c>
      <c r="D96" s="7504"/>
      <c r="E96" s="7500"/>
      <c r="F96" s="7504"/>
      <c r="G96" s="4453"/>
      <c r="H96" s="8800"/>
      <c r="I96" s="4466"/>
      <c r="J96" s="7504"/>
      <c r="K96" s="4453"/>
      <c r="L96" s="8742"/>
      <c r="M96" s="4854"/>
      <c r="N96" s="7504"/>
      <c r="O96" s="4453"/>
      <c r="P96" s="8800"/>
      <c r="Q96" s="4466"/>
      <c r="R96" s="7504"/>
      <c r="S96" s="4453"/>
      <c r="T96" s="8800"/>
      <c r="U96" s="4466"/>
      <c r="V96" s="7504"/>
      <c r="W96" s="4453"/>
      <c r="X96" s="8742"/>
      <c r="Y96" s="4854"/>
      <c r="Z96" s="8744"/>
      <c r="AA96" s="7231"/>
      <c r="AB96" s="7504"/>
      <c r="AC96" s="4853"/>
      <c r="AD96" s="8800"/>
      <c r="AE96" s="4466"/>
      <c r="AF96" s="7504"/>
      <c r="AG96" s="4453"/>
      <c r="AH96" s="8800"/>
      <c r="AI96" s="4466"/>
      <c r="AJ96" s="7504"/>
      <c r="AK96" s="4453">
        <v>197.11</v>
      </c>
      <c r="AL96" s="8742"/>
      <c r="AM96" s="4854">
        <f t="shared" si="282"/>
        <v>197.11</v>
      </c>
      <c r="AN96" s="8800"/>
      <c r="AO96" s="4466">
        <f t="shared" si="275"/>
        <v>197.11</v>
      </c>
      <c r="AP96" s="7504"/>
      <c r="AQ96" s="4453">
        <v>0</v>
      </c>
      <c r="AR96" s="8800"/>
      <c r="AS96" s="4466">
        <f t="shared" si="276"/>
        <v>197.11</v>
      </c>
      <c r="AT96" s="7504"/>
      <c r="AU96" s="4453">
        <v>0</v>
      </c>
      <c r="AV96" s="8800"/>
      <c r="AW96" s="4466">
        <f t="shared" si="277"/>
        <v>197.11</v>
      </c>
      <c r="AX96" s="7504"/>
      <c r="AY96" s="4453"/>
      <c r="AZ96" s="8742"/>
      <c r="BA96" s="4854">
        <f t="shared" si="283"/>
        <v>0</v>
      </c>
      <c r="BB96" s="8742">
        <f t="shared" si="278"/>
        <v>0</v>
      </c>
      <c r="BC96" s="4854">
        <f t="shared" si="279"/>
        <v>197.11</v>
      </c>
      <c r="BD96" s="8744"/>
      <c r="BE96" s="7231"/>
    </row>
    <row r="97" spans="2:57" s="7882" customFormat="1" ht="18.75" customHeight="1" x14ac:dyDescent="0.2">
      <c r="B97" s="4884" t="s">
        <v>2298</v>
      </c>
      <c r="C97" s="7521" t="s">
        <v>2357</v>
      </c>
      <c r="D97" s="7504"/>
      <c r="E97" s="7500"/>
      <c r="F97" s="7504"/>
      <c r="G97" s="4453"/>
      <c r="H97" s="8800"/>
      <c r="I97" s="4466"/>
      <c r="J97" s="7504"/>
      <c r="K97" s="4453"/>
      <c r="L97" s="8742"/>
      <c r="M97" s="4854"/>
      <c r="N97" s="7504"/>
      <c r="O97" s="4453"/>
      <c r="P97" s="8800"/>
      <c r="Q97" s="4466"/>
      <c r="R97" s="7504"/>
      <c r="S97" s="4453"/>
      <c r="T97" s="8800"/>
      <c r="U97" s="4466"/>
      <c r="V97" s="7504"/>
      <c r="W97" s="4453"/>
      <c r="X97" s="8742"/>
      <c r="Y97" s="4854"/>
      <c r="Z97" s="8744"/>
      <c r="AA97" s="7231"/>
      <c r="AB97" s="7504"/>
      <c r="AC97" s="4853"/>
      <c r="AD97" s="8800"/>
      <c r="AE97" s="4466"/>
      <c r="AF97" s="7504"/>
      <c r="AG97" s="4453"/>
      <c r="AH97" s="8800"/>
      <c r="AI97" s="4466"/>
      <c r="AJ97" s="7504"/>
      <c r="AK97" s="4453">
        <v>97.199999999999989</v>
      </c>
      <c r="AL97" s="8742"/>
      <c r="AM97" s="4854">
        <f t="shared" si="282"/>
        <v>97.199999999999989</v>
      </c>
      <c r="AN97" s="8800"/>
      <c r="AO97" s="4466">
        <f t="shared" si="275"/>
        <v>97.199999999999989</v>
      </c>
      <c r="AP97" s="7504"/>
      <c r="AQ97" s="4453">
        <v>0</v>
      </c>
      <c r="AR97" s="8800"/>
      <c r="AS97" s="4466">
        <f t="shared" si="276"/>
        <v>97.199999999999989</v>
      </c>
      <c r="AT97" s="7504"/>
      <c r="AU97" s="4453">
        <v>0</v>
      </c>
      <c r="AV97" s="8800"/>
      <c r="AW97" s="4466">
        <f t="shared" si="277"/>
        <v>97.199999999999989</v>
      </c>
      <c r="AX97" s="7504"/>
      <c r="AY97" s="4453"/>
      <c r="AZ97" s="8742"/>
      <c r="BA97" s="4854">
        <f t="shared" si="283"/>
        <v>0</v>
      </c>
      <c r="BB97" s="8742">
        <f t="shared" si="278"/>
        <v>0</v>
      </c>
      <c r="BC97" s="4854">
        <f t="shared" si="279"/>
        <v>97.199999999999989</v>
      </c>
      <c r="BD97" s="8744"/>
      <c r="BE97" s="7231"/>
    </row>
    <row r="98" spans="2:57" s="7882" customFormat="1" ht="18.75" customHeight="1" x14ac:dyDescent="0.2">
      <c r="B98" s="4884" t="s">
        <v>2298</v>
      </c>
      <c r="C98" s="7521" t="s">
        <v>2558</v>
      </c>
      <c r="D98" s="7504"/>
      <c r="E98" s="7500"/>
      <c r="F98" s="7504"/>
      <c r="G98" s="4453"/>
      <c r="H98" s="8800"/>
      <c r="I98" s="4466"/>
      <c r="J98" s="7504"/>
      <c r="K98" s="4453"/>
      <c r="L98" s="8742"/>
      <c r="M98" s="4854"/>
      <c r="N98" s="7504"/>
      <c r="O98" s="4453"/>
      <c r="P98" s="8800"/>
      <c r="Q98" s="4466"/>
      <c r="R98" s="7504"/>
      <c r="S98" s="4453"/>
      <c r="T98" s="8800"/>
      <c r="U98" s="4466"/>
      <c r="V98" s="7504"/>
      <c r="W98" s="4453"/>
      <c r="X98" s="8742"/>
      <c r="Y98" s="4854"/>
      <c r="Z98" s="8744"/>
      <c r="AA98" s="7231"/>
      <c r="AB98" s="7504"/>
      <c r="AC98" s="4853"/>
      <c r="AD98" s="8800"/>
      <c r="AE98" s="4466"/>
      <c r="AF98" s="7504"/>
      <c r="AG98" s="4453"/>
      <c r="AH98" s="8800"/>
      <c r="AI98" s="4466"/>
      <c r="AJ98" s="7504"/>
      <c r="AK98" s="4453">
        <v>545.7700000000001</v>
      </c>
      <c r="AL98" s="8742"/>
      <c r="AM98" s="4854">
        <f t="shared" si="282"/>
        <v>545.7700000000001</v>
      </c>
      <c r="AN98" s="8800"/>
      <c r="AO98" s="4466">
        <f t="shared" si="275"/>
        <v>545.7700000000001</v>
      </c>
      <c r="AP98" s="7504"/>
      <c r="AQ98" s="4453">
        <v>0</v>
      </c>
      <c r="AR98" s="8800"/>
      <c r="AS98" s="4466">
        <f t="shared" si="276"/>
        <v>545.7700000000001</v>
      </c>
      <c r="AT98" s="7504"/>
      <c r="AU98" s="4453">
        <v>0</v>
      </c>
      <c r="AV98" s="8800"/>
      <c r="AW98" s="4466">
        <f t="shared" si="277"/>
        <v>545.7700000000001</v>
      </c>
      <c r="AX98" s="7504"/>
      <c r="AY98" s="4453"/>
      <c r="AZ98" s="8742"/>
      <c r="BA98" s="4854">
        <f t="shared" si="283"/>
        <v>0</v>
      </c>
      <c r="BB98" s="8742">
        <f t="shared" si="278"/>
        <v>0</v>
      </c>
      <c r="BC98" s="4854">
        <f t="shared" si="279"/>
        <v>545.7700000000001</v>
      </c>
      <c r="BD98" s="8744"/>
      <c r="BE98" s="7231"/>
    </row>
    <row r="99" spans="2:57" s="7882" customFormat="1" ht="18.75" customHeight="1" x14ac:dyDescent="0.2">
      <c r="B99" s="4884" t="s">
        <v>2298</v>
      </c>
      <c r="C99" s="7521" t="s">
        <v>2466</v>
      </c>
      <c r="D99" s="7504"/>
      <c r="E99" s="7500"/>
      <c r="F99" s="7504"/>
      <c r="G99" s="4453"/>
      <c r="H99" s="8800"/>
      <c r="I99" s="4466"/>
      <c r="J99" s="7504"/>
      <c r="K99" s="4453"/>
      <c r="L99" s="8742"/>
      <c r="M99" s="4854"/>
      <c r="N99" s="7504"/>
      <c r="O99" s="4453"/>
      <c r="P99" s="8800"/>
      <c r="Q99" s="4466"/>
      <c r="R99" s="7504"/>
      <c r="S99" s="4453"/>
      <c r="T99" s="8800"/>
      <c r="U99" s="4466"/>
      <c r="V99" s="7504"/>
      <c r="W99" s="4453"/>
      <c r="X99" s="8742"/>
      <c r="Y99" s="4854"/>
      <c r="Z99" s="8744"/>
      <c r="AA99" s="7231"/>
      <c r="AB99" s="7504"/>
      <c r="AC99" s="4853"/>
      <c r="AD99" s="8800"/>
      <c r="AE99" s="4466"/>
      <c r="AF99" s="7504"/>
      <c r="AG99" s="4453"/>
      <c r="AH99" s="8800"/>
      <c r="AI99" s="4466"/>
      <c r="AJ99" s="7504"/>
      <c r="AK99" s="4453">
        <v>506.5</v>
      </c>
      <c r="AL99" s="8742"/>
      <c r="AM99" s="4854">
        <f t="shared" si="282"/>
        <v>506.5</v>
      </c>
      <c r="AN99" s="8800"/>
      <c r="AO99" s="4466">
        <f t="shared" si="275"/>
        <v>506.5</v>
      </c>
      <c r="AP99" s="7504"/>
      <c r="AQ99" s="4453">
        <v>0</v>
      </c>
      <c r="AR99" s="8800"/>
      <c r="AS99" s="4466">
        <f t="shared" si="276"/>
        <v>506.5</v>
      </c>
      <c r="AT99" s="7504"/>
      <c r="AU99" s="4453">
        <v>0</v>
      </c>
      <c r="AV99" s="8800"/>
      <c r="AW99" s="4466">
        <f t="shared" si="277"/>
        <v>506.5</v>
      </c>
      <c r="AX99" s="7504"/>
      <c r="AY99" s="4453"/>
      <c r="AZ99" s="8742"/>
      <c r="BA99" s="4854">
        <f t="shared" si="283"/>
        <v>0</v>
      </c>
      <c r="BB99" s="8742">
        <f t="shared" si="278"/>
        <v>0</v>
      </c>
      <c r="BC99" s="4854">
        <f t="shared" si="279"/>
        <v>506.5</v>
      </c>
      <c r="BD99" s="8744"/>
      <c r="BE99" s="7231"/>
    </row>
    <row r="100" spans="2:57" ht="18.75" customHeight="1" x14ac:dyDescent="0.2">
      <c r="B100" s="4884" t="s">
        <v>2298</v>
      </c>
      <c r="C100" s="7521" t="s">
        <v>2356</v>
      </c>
      <c r="D100" s="7504"/>
      <c r="E100" s="7500"/>
      <c r="F100" s="7504"/>
      <c r="G100" s="4453"/>
      <c r="H100" s="8801"/>
      <c r="I100" s="4466">
        <f t="shared" si="268"/>
        <v>0</v>
      </c>
      <c r="J100" s="7504"/>
      <c r="K100" s="4453"/>
      <c r="L100" s="8745"/>
      <c r="M100" s="4854">
        <f t="shared" si="269"/>
        <v>0</v>
      </c>
      <c r="N100" s="7504"/>
      <c r="O100" s="4453">
        <v>5099.3179999999993</v>
      </c>
      <c r="P100" s="8801"/>
      <c r="Q100" s="4466">
        <f t="shared" si="270"/>
        <v>5099.3179999999993</v>
      </c>
      <c r="R100" s="7504"/>
      <c r="S100" s="4453">
        <v>0</v>
      </c>
      <c r="T100" s="8801"/>
      <c r="U100" s="4466">
        <f t="shared" si="271"/>
        <v>5099.3179999999993</v>
      </c>
      <c r="V100" s="7504"/>
      <c r="W100" s="4453"/>
      <c r="X100" s="8745"/>
      <c r="Y100" s="4854">
        <f t="shared" si="281"/>
        <v>5099.3179999999993</v>
      </c>
      <c r="Z100" s="8746"/>
      <c r="AA100" s="7231">
        <f t="shared" si="272"/>
        <v>5099.3179999999993</v>
      </c>
      <c r="AB100" s="7504"/>
      <c r="AC100" s="4853">
        <v>0</v>
      </c>
      <c r="AD100" s="8801"/>
      <c r="AE100" s="4466">
        <f t="shared" si="273"/>
        <v>5099.3179999999993</v>
      </c>
      <c r="AF100" s="7504"/>
      <c r="AG100" s="4453">
        <v>0</v>
      </c>
      <c r="AH100" s="8801"/>
      <c r="AI100" s="4466">
        <f t="shared" si="274"/>
        <v>5099.3179999999993</v>
      </c>
      <c r="AJ100" s="7504"/>
      <c r="AK100" s="4453">
        <v>0</v>
      </c>
      <c r="AL100" s="8745"/>
      <c r="AM100" s="4854">
        <f t="shared" si="282"/>
        <v>0</v>
      </c>
      <c r="AN100" s="8801"/>
      <c r="AO100" s="4466">
        <f t="shared" si="275"/>
        <v>5099.3179999999993</v>
      </c>
      <c r="AP100" s="7504"/>
      <c r="AQ100" s="4453">
        <v>0</v>
      </c>
      <c r="AR100" s="8801"/>
      <c r="AS100" s="4466">
        <f t="shared" si="276"/>
        <v>5099.3179999999993</v>
      </c>
      <c r="AT100" s="7504"/>
      <c r="AU100" s="4453">
        <v>0</v>
      </c>
      <c r="AV100" s="8801"/>
      <c r="AW100" s="4466">
        <f t="shared" si="277"/>
        <v>5099.3179999999993</v>
      </c>
      <c r="AX100" s="7504"/>
      <c r="AY100" s="4453"/>
      <c r="AZ100" s="8745"/>
      <c r="BA100" s="4854">
        <f t="shared" si="283"/>
        <v>0</v>
      </c>
      <c r="BB100" s="8745">
        <f t="shared" si="278"/>
        <v>0</v>
      </c>
      <c r="BC100" s="4854">
        <f t="shared" si="279"/>
        <v>0</v>
      </c>
      <c r="BD100" s="8746"/>
      <c r="BE100" s="7231">
        <f t="shared" ref="BE100:BE108" si="290">+AW100+AY100</f>
        <v>5099.3179999999993</v>
      </c>
    </row>
    <row r="101" spans="2:57" ht="18.75" customHeight="1" x14ac:dyDescent="0.2">
      <c r="B101" s="4884" t="s">
        <v>2299</v>
      </c>
      <c r="C101" s="7521" t="s">
        <v>2419</v>
      </c>
      <c r="D101" s="7504"/>
      <c r="E101" s="7500">
        <v>0</v>
      </c>
      <c r="F101" s="7504"/>
      <c r="G101" s="4453">
        <v>926.9799999999999</v>
      </c>
      <c r="H101" s="8800"/>
      <c r="I101" s="4466">
        <f t="shared" si="268"/>
        <v>926.9799999999999</v>
      </c>
      <c r="J101" s="7504"/>
      <c r="K101" s="4453">
        <v>4512.7740000000003</v>
      </c>
      <c r="L101" s="8742"/>
      <c r="M101" s="4854">
        <f t="shared" si="269"/>
        <v>5439.7539999999999</v>
      </c>
      <c r="N101" s="7504"/>
      <c r="O101" s="4453">
        <v>4055.2190000000005</v>
      </c>
      <c r="P101" s="8800"/>
      <c r="Q101" s="4466">
        <f t="shared" si="270"/>
        <v>9494.973</v>
      </c>
      <c r="R101" s="7504"/>
      <c r="S101" s="4453">
        <v>3413.2289999999989</v>
      </c>
      <c r="T101" s="8800"/>
      <c r="U101" s="4466">
        <f t="shared" si="271"/>
        <v>12908.201999999999</v>
      </c>
      <c r="V101" s="7504"/>
      <c r="W101" s="4453">
        <v>2531.88</v>
      </c>
      <c r="X101" s="8742"/>
      <c r="Y101" s="4854">
        <f t="shared" si="281"/>
        <v>10000.328</v>
      </c>
      <c r="Z101" s="8744"/>
      <c r="AA101" s="7231">
        <f t="shared" si="272"/>
        <v>15440.081999999999</v>
      </c>
      <c r="AB101" s="7504"/>
      <c r="AC101" s="4853">
        <v>121.86</v>
      </c>
      <c r="AD101" s="8800"/>
      <c r="AE101" s="4466">
        <f t="shared" si="273"/>
        <v>15561.941999999999</v>
      </c>
      <c r="AF101" s="7504"/>
      <c r="AG101" s="4453">
        <v>0</v>
      </c>
      <c r="AH101" s="8800"/>
      <c r="AI101" s="4466">
        <f t="shared" si="274"/>
        <v>15561.941999999999</v>
      </c>
      <c r="AJ101" s="7504"/>
      <c r="AK101" s="4453">
        <v>622.43999999999994</v>
      </c>
      <c r="AL101" s="8742"/>
      <c r="AM101" s="4854">
        <f t="shared" si="282"/>
        <v>744.3</v>
      </c>
      <c r="AN101" s="8800"/>
      <c r="AO101" s="4466">
        <f t="shared" si="275"/>
        <v>16184.382</v>
      </c>
      <c r="AP101" s="7504"/>
      <c r="AQ101" s="4453">
        <v>0</v>
      </c>
      <c r="AR101" s="8800"/>
      <c r="AS101" s="4466">
        <f t="shared" si="276"/>
        <v>16184.382</v>
      </c>
      <c r="AT101" s="7504"/>
      <c r="AU101" s="4453">
        <v>0</v>
      </c>
      <c r="AV101" s="8800"/>
      <c r="AW101" s="4466">
        <f t="shared" si="277"/>
        <v>16184.382</v>
      </c>
      <c r="AX101" s="7504"/>
      <c r="AY101" s="4453">
        <v>31.98</v>
      </c>
      <c r="AZ101" s="8742"/>
      <c r="BA101" s="4854">
        <f t="shared" si="283"/>
        <v>31.98</v>
      </c>
      <c r="BB101" s="8742">
        <f t="shared" si="278"/>
        <v>0</v>
      </c>
      <c r="BC101" s="4854">
        <f t="shared" si="279"/>
        <v>776.28</v>
      </c>
      <c r="BD101" s="8744"/>
      <c r="BE101" s="7231">
        <f t="shared" si="290"/>
        <v>16216.361999999999</v>
      </c>
    </row>
    <row r="102" spans="2:57" ht="18.75" customHeight="1" x14ac:dyDescent="0.2">
      <c r="B102" s="4884" t="s">
        <v>2299</v>
      </c>
      <c r="C102" s="7521" t="s">
        <v>2357</v>
      </c>
      <c r="D102" s="7504"/>
      <c r="E102" s="7500"/>
      <c r="F102" s="7504"/>
      <c r="G102" s="4453"/>
      <c r="H102" s="8801"/>
      <c r="I102" s="4466">
        <f t="shared" si="268"/>
        <v>0</v>
      </c>
      <c r="J102" s="7504"/>
      <c r="K102" s="4453"/>
      <c r="L102" s="8745"/>
      <c r="M102" s="4854">
        <f t="shared" si="269"/>
        <v>0</v>
      </c>
      <c r="N102" s="7504"/>
      <c r="O102" s="4453"/>
      <c r="P102" s="8801"/>
      <c r="Q102" s="4466">
        <f t="shared" si="270"/>
        <v>0</v>
      </c>
      <c r="R102" s="7504"/>
      <c r="S102" s="4453">
        <v>344.90000000000003</v>
      </c>
      <c r="T102" s="8801"/>
      <c r="U102" s="4466">
        <f t="shared" si="271"/>
        <v>344.90000000000003</v>
      </c>
      <c r="V102" s="7504"/>
      <c r="W102" s="4453">
        <v>38.69</v>
      </c>
      <c r="X102" s="8745"/>
      <c r="Y102" s="4854">
        <f t="shared" si="281"/>
        <v>383.59000000000003</v>
      </c>
      <c r="Z102" s="8746"/>
      <c r="AA102" s="7231">
        <f t="shared" si="272"/>
        <v>383.59000000000003</v>
      </c>
      <c r="AB102" s="7504"/>
      <c r="AC102" s="4853">
        <v>0</v>
      </c>
      <c r="AD102" s="8801"/>
      <c r="AE102" s="4466">
        <f t="shared" si="273"/>
        <v>383.59000000000003</v>
      </c>
      <c r="AF102" s="7504"/>
      <c r="AG102" s="4453">
        <v>0</v>
      </c>
      <c r="AH102" s="8801"/>
      <c r="AI102" s="4466">
        <f t="shared" si="274"/>
        <v>383.59000000000003</v>
      </c>
      <c r="AJ102" s="7504"/>
      <c r="AK102" s="4453">
        <v>0</v>
      </c>
      <c r="AL102" s="8745"/>
      <c r="AM102" s="4854">
        <f t="shared" si="282"/>
        <v>0</v>
      </c>
      <c r="AN102" s="8801"/>
      <c r="AO102" s="4466">
        <f t="shared" si="275"/>
        <v>383.59000000000003</v>
      </c>
      <c r="AP102" s="7504"/>
      <c r="AQ102" s="4453">
        <v>0</v>
      </c>
      <c r="AR102" s="8801"/>
      <c r="AS102" s="4466">
        <f t="shared" si="276"/>
        <v>383.59000000000003</v>
      </c>
      <c r="AT102" s="7504"/>
      <c r="AU102" s="4453">
        <v>0</v>
      </c>
      <c r="AV102" s="8801"/>
      <c r="AW102" s="4466">
        <f t="shared" si="277"/>
        <v>383.59000000000003</v>
      </c>
      <c r="AX102" s="7504"/>
      <c r="AY102" s="4453"/>
      <c r="AZ102" s="8745"/>
      <c r="BA102" s="4854">
        <f t="shared" si="283"/>
        <v>0</v>
      </c>
      <c r="BB102" s="8745">
        <f t="shared" si="278"/>
        <v>0</v>
      </c>
      <c r="BC102" s="4854">
        <f t="shared" si="279"/>
        <v>0</v>
      </c>
      <c r="BD102" s="8746"/>
      <c r="BE102" s="7231">
        <f t="shared" si="290"/>
        <v>383.59000000000003</v>
      </c>
    </row>
    <row r="103" spans="2:57" s="4756" customFormat="1" ht="18.75" customHeight="1" x14ac:dyDescent="0.2">
      <c r="B103" s="4884" t="s">
        <v>2299</v>
      </c>
      <c r="C103" s="7521" t="s">
        <v>1753</v>
      </c>
      <c r="D103" s="5202"/>
      <c r="E103" s="7500"/>
      <c r="F103" s="5202"/>
      <c r="G103" s="4453"/>
      <c r="H103" s="7141"/>
      <c r="I103" s="4466">
        <f t="shared" si="268"/>
        <v>0</v>
      </c>
      <c r="J103" s="5202"/>
      <c r="K103" s="4453"/>
      <c r="L103" s="7150"/>
      <c r="M103" s="4854">
        <f t="shared" si="269"/>
        <v>0</v>
      </c>
      <c r="N103" s="7504"/>
      <c r="O103" s="4453">
        <v>60.74</v>
      </c>
      <c r="P103" s="7141"/>
      <c r="Q103" s="4466">
        <f t="shared" si="270"/>
        <v>60.74</v>
      </c>
      <c r="R103" s="7504"/>
      <c r="S103" s="4453">
        <v>0</v>
      </c>
      <c r="T103" s="7141"/>
      <c r="U103" s="4466">
        <f t="shared" si="271"/>
        <v>60.74</v>
      </c>
      <c r="V103" s="7504"/>
      <c r="W103" s="4453"/>
      <c r="X103" s="7150"/>
      <c r="Y103" s="4854">
        <f t="shared" si="281"/>
        <v>60.74</v>
      </c>
      <c r="Z103" s="7244"/>
      <c r="AA103" s="7231">
        <f t="shared" si="272"/>
        <v>60.74</v>
      </c>
      <c r="AB103" s="7504"/>
      <c r="AC103" s="4853">
        <v>0</v>
      </c>
      <c r="AD103" s="7300"/>
      <c r="AE103" s="4466">
        <f t="shared" si="273"/>
        <v>60.74</v>
      </c>
      <c r="AF103" s="7504"/>
      <c r="AG103" s="4453">
        <v>0</v>
      </c>
      <c r="AH103" s="7571"/>
      <c r="AI103" s="4466">
        <f t="shared" si="274"/>
        <v>60.74</v>
      </c>
      <c r="AJ103" s="7504"/>
      <c r="AK103" s="4453">
        <v>0</v>
      </c>
      <c r="AL103" s="7715"/>
      <c r="AM103" s="4854">
        <f t="shared" si="282"/>
        <v>0</v>
      </c>
      <c r="AN103" s="7725"/>
      <c r="AO103" s="4466">
        <f t="shared" si="275"/>
        <v>60.74</v>
      </c>
      <c r="AP103" s="7504"/>
      <c r="AQ103" s="4453">
        <v>0</v>
      </c>
      <c r="AR103" s="8036"/>
      <c r="AS103" s="4466">
        <f t="shared" si="276"/>
        <v>60.74</v>
      </c>
      <c r="AT103" s="7504"/>
      <c r="AU103" s="4453">
        <v>0</v>
      </c>
      <c r="AV103" s="8227"/>
      <c r="AW103" s="4466">
        <f t="shared" si="277"/>
        <v>60.74</v>
      </c>
      <c r="AX103" s="7504"/>
      <c r="AY103" s="4453"/>
      <c r="AZ103" s="8296"/>
      <c r="BA103" s="4854">
        <f t="shared" si="283"/>
        <v>0</v>
      </c>
      <c r="BB103" s="8296">
        <f t="shared" si="278"/>
        <v>0</v>
      </c>
      <c r="BC103" s="4854">
        <f t="shared" si="279"/>
        <v>0</v>
      </c>
      <c r="BD103" s="8309"/>
      <c r="BE103" s="7231">
        <f t="shared" si="290"/>
        <v>60.74</v>
      </c>
    </row>
    <row r="104" spans="2:57" s="5983" customFormat="1" ht="18.75" customHeight="1" x14ac:dyDescent="0.2">
      <c r="B104" s="4884" t="s">
        <v>2299</v>
      </c>
      <c r="C104" s="7521" t="s">
        <v>2366</v>
      </c>
      <c r="D104" s="5202"/>
      <c r="E104" s="7500"/>
      <c r="F104" s="5202"/>
      <c r="G104" s="4453"/>
      <c r="H104" s="7141"/>
      <c r="I104" s="4466">
        <f t="shared" si="268"/>
        <v>0</v>
      </c>
      <c r="J104" s="5202"/>
      <c r="K104" s="4453"/>
      <c r="L104" s="7150"/>
      <c r="M104" s="4854">
        <f t="shared" si="269"/>
        <v>0</v>
      </c>
      <c r="N104" s="5202"/>
      <c r="O104" s="4453">
        <v>157.35</v>
      </c>
      <c r="P104" s="7141"/>
      <c r="Q104" s="4466">
        <f t="shared" si="270"/>
        <v>157.35</v>
      </c>
      <c r="R104" s="5202"/>
      <c r="S104" s="4453">
        <v>147.19</v>
      </c>
      <c r="T104" s="7141"/>
      <c r="U104" s="4466">
        <f t="shared" si="271"/>
        <v>304.53999999999996</v>
      </c>
      <c r="V104" s="5202"/>
      <c r="W104" s="4453"/>
      <c r="X104" s="7150"/>
      <c r="Y104" s="4854">
        <f t="shared" si="281"/>
        <v>304.53999999999996</v>
      </c>
      <c r="Z104" s="7244"/>
      <c r="AA104" s="7231">
        <f t="shared" si="272"/>
        <v>304.53999999999996</v>
      </c>
      <c r="AB104" s="5202"/>
      <c r="AC104" s="4853">
        <v>0</v>
      </c>
      <c r="AD104" s="7300"/>
      <c r="AE104" s="4466">
        <f t="shared" si="273"/>
        <v>304.53999999999996</v>
      </c>
      <c r="AF104" s="5202"/>
      <c r="AG104" s="4453">
        <v>0</v>
      </c>
      <c r="AH104" s="7571"/>
      <c r="AI104" s="4466">
        <f t="shared" si="274"/>
        <v>304.53999999999996</v>
      </c>
      <c r="AJ104" s="5202"/>
      <c r="AK104" s="4453">
        <v>485.47</v>
      </c>
      <c r="AL104" s="7715"/>
      <c r="AM104" s="4854">
        <f t="shared" si="282"/>
        <v>485.47</v>
      </c>
      <c r="AN104" s="7725"/>
      <c r="AO104" s="4466">
        <f t="shared" si="275"/>
        <v>790.01</v>
      </c>
      <c r="AP104" s="5202"/>
      <c r="AQ104" s="4453">
        <v>0</v>
      </c>
      <c r="AR104" s="8036"/>
      <c r="AS104" s="4466">
        <f t="shared" si="276"/>
        <v>790.01</v>
      </c>
      <c r="AT104" s="5202"/>
      <c r="AU104" s="4453">
        <v>0</v>
      </c>
      <c r="AV104" s="8227"/>
      <c r="AW104" s="4466">
        <f t="shared" si="277"/>
        <v>790.01</v>
      </c>
      <c r="AX104" s="5202"/>
      <c r="AY104" s="4453"/>
      <c r="AZ104" s="8296"/>
      <c r="BA104" s="4854">
        <f t="shared" si="283"/>
        <v>0</v>
      </c>
      <c r="BB104" s="8296">
        <f t="shared" si="278"/>
        <v>0</v>
      </c>
      <c r="BC104" s="4854">
        <f t="shared" si="279"/>
        <v>485.47</v>
      </c>
      <c r="BD104" s="8309"/>
      <c r="BE104" s="7231">
        <f t="shared" si="290"/>
        <v>790.01</v>
      </c>
    </row>
    <row r="105" spans="2:57" s="4756" customFormat="1" ht="18.75" customHeight="1" x14ac:dyDescent="0.2">
      <c r="B105" s="4884" t="s">
        <v>2299</v>
      </c>
      <c r="C105" s="7521" t="s">
        <v>2359</v>
      </c>
      <c r="D105" s="5202"/>
      <c r="E105" s="7500"/>
      <c r="F105" s="5202"/>
      <c r="G105" s="4453"/>
      <c r="H105" s="7141"/>
      <c r="I105" s="4466">
        <f t="shared" si="268"/>
        <v>0</v>
      </c>
      <c r="J105" s="5202"/>
      <c r="K105" s="4453">
        <v>2237.2900000000004</v>
      </c>
      <c r="L105" s="7150"/>
      <c r="M105" s="4854">
        <f t="shared" si="269"/>
        <v>2237.2900000000004</v>
      </c>
      <c r="N105" s="5202"/>
      <c r="O105" s="4453">
        <v>246.68</v>
      </c>
      <c r="P105" s="7141"/>
      <c r="Q105" s="4466">
        <f t="shared" si="270"/>
        <v>2483.9700000000003</v>
      </c>
      <c r="R105" s="5202"/>
      <c r="S105" s="4453">
        <v>0</v>
      </c>
      <c r="T105" s="7141"/>
      <c r="U105" s="4466">
        <f t="shared" si="271"/>
        <v>2483.9700000000003</v>
      </c>
      <c r="V105" s="5202"/>
      <c r="W105" s="4453">
        <f>425.94+400.25</f>
        <v>826.19</v>
      </c>
      <c r="X105" s="7150"/>
      <c r="Y105" s="4854">
        <f t="shared" si="281"/>
        <v>1072.8700000000001</v>
      </c>
      <c r="Z105" s="7244"/>
      <c r="AA105" s="7231">
        <f t="shared" si="272"/>
        <v>3310.1600000000003</v>
      </c>
      <c r="AB105" s="5202"/>
      <c r="AC105" s="4853">
        <v>0</v>
      </c>
      <c r="AD105" s="7300"/>
      <c r="AE105" s="4466">
        <f t="shared" si="273"/>
        <v>3310.1600000000003</v>
      </c>
      <c r="AF105" s="5202"/>
      <c r="AG105" s="4453">
        <v>0</v>
      </c>
      <c r="AH105" s="7571"/>
      <c r="AI105" s="4466">
        <f t="shared" si="274"/>
        <v>3310.1600000000003</v>
      </c>
      <c r="AJ105" s="5202"/>
      <c r="AK105" s="4453">
        <v>0</v>
      </c>
      <c r="AL105" s="7715"/>
      <c r="AM105" s="4854">
        <f t="shared" si="282"/>
        <v>0</v>
      </c>
      <c r="AN105" s="7725"/>
      <c r="AO105" s="4466">
        <f t="shared" si="275"/>
        <v>3310.1600000000003</v>
      </c>
      <c r="AP105" s="5202"/>
      <c r="AQ105" s="4453">
        <v>0</v>
      </c>
      <c r="AR105" s="8036"/>
      <c r="AS105" s="4466">
        <f t="shared" si="276"/>
        <v>3310.1600000000003</v>
      </c>
      <c r="AT105" s="5202"/>
      <c r="AU105" s="4453">
        <v>0</v>
      </c>
      <c r="AV105" s="8227"/>
      <c r="AW105" s="4466">
        <f t="shared" si="277"/>
        <v>3310.1600000000003</v>
      </c>
      <c r="AX105" s="5202"/>
      <c r="AY105" s="4453"/>
      <c r="AZ105" s="8296"/>
      <c r="BA105" s="4854">
        <f t="shared" si="283"/>
        <v>0</v>
      </c>
      <c r="BB105" s="8296">
        <f t="shared" si="278"/>
        <v>0</v>
      </c>
      <c r="BC105" s="4854">
        <f t="shared" si="279"/>
        <v>0</v>
      </c>
      <c r="BD105" s="8309"/>
      <c r="BE105" s="7231">
        <f t="shared" si="290"/>
        <v>3310.1600000000003</v>
      </c>
    </row>
    <row r="106" spans="2:57" ht="18.75" customHeight="1" x14ac:dyDescent="0.2">
      <c r="B106" s="4884" t="s">
        <v>2299</v>
      </c>
      <c r="C106" s="7521" t="s">
        <v>2360</v>
      </c>
      <c r="D106" s="7504"/>
      <c r="E106" s="7500"/>
      <c r="F106" s="7504"/>
      <c r="G106" s="4453"/>
      <c r="H106" s="8799"/>
      <c r="I106" s="4466">
        <f t="shared" si="268"/>
        <v>0</v>
      </c>
      <c r="J106" s="7504"/>
      <c r="K106" s="4453">
        <v>249.18100000000001</v>
      </c>
      <c r="L106" s="8741"/>
      <c r="M106" s="4854">
        <f t="shared" si="269"/>
        <v>249.18100000000001</v>
      </c>
      <c r="N106" s="5202"/>
      <c r="O106" s="4453">
        <v>181.92000000000002</v>
      </c>
      <c r="P106" s="8799"/>
      <c r="Q106" s="4466">
        <f t="shared" si="270"/>
        <v>431.101</v>
      </c>
      <c r="R106" s="5202"/>
      <c r="S106" s="4453">
        <v>305.29999999999995</v>
      </c>
      <c r="T106" s="8799"/>
      <c r="U106" s="4466">
        <f t="shared" si="271"/>
        <v>736.40099999999995</v>
      </c>
      <c r="V106" s="5202"/>
      <c r="W106" s="4453">
        <v>774.69</v>
      </c>
      <c r="X106" s="8741"/>
      <c r="Y106" s="4854">
        <f t="shared" si="281"/>
        <v>1261.9100000000001</v>
      </c>
      <c r="Z106" s="8743"/>
      <c r="AA106" s="7231">
        <f t="shared" si="272"/>
        <v>1511.0909999999999</v>
      </c>
      <c r="AB106" s="5202"/>
      <c r="AC106" s="4853">
        <v>121.52000000000001</v>
      </c>
      <c r="AD106" s="8799"/>
      <c r="AE106" s="4466">
        <f t="shared" si="273"/>
        <v>1632.6109999999999</v>
      </c>
      <c r="AF106" s="5202"/>
      <c r="AG106" s="4453">
        <v>0</v>
      </c>
      <c r="AH106" s="8799"/>
      <c r="AI106" s="4466">
        <f t="shared" si="274"/>
        <v>1632.6109999999999</v>
      </c>
      <c r="AJ106" s="5202"/>
      <c r="AK106" s="4453">
        <v>505.86</v>
      </c>
      <c r="AL106" s="8741"/>
      <c r="AM106" s="4854">
        <f t="shared" si="282"/>
        <v>627.38</v>
      </c>
      <c r="AN106" s="8799"/>
      <c r="AO106" s="4466">
        <f t="shared" si="275"/>
        <v>2138.471</v>
      </c>
      <c r="AP106" s="5202"/>
      <c r="AQ106" s="4453">
        <v>0</v>
      </c>
      <c r="AR106" s="8799"/>
      <c r="AS106" s="4466">
        <f t="shared" si="276"/>
        <v>2138.471</v>
      </c>
      <c r="AT106" s="5202"/>
      <c r="AU106" s="4453">
        <v>0</v>
      </c>
      <c r="AV106" s="8799"/>
      <c r="AW106" s="4466">
        <f t="shared" si="277"/>
        <v>2138.471</v>
      </c>
      <c r="AX106" s="5202"/>
      <c r="AY106" s="4453">
        <v>28.09</v>
      </c>
      <c r="AZ106" s="8741"/>
      <c r="BA106" s="4854">
        <f t="shared" si="283"/>
        <v>28.09</v>
      </c>
      <c r="BB106" s="8741">
        <f t="shared" si="278"/>
        <v>0</v>
      </c>
      <c r="BC106" s="4854">
        <f t="shared" si="279"/>
        <v>655.47</v>
      </c>
      <c r="BD106" s="8743"/>
      <c r="BE106" s="7231">
        <f t="shared" si="290"/>
        <v>2166.5610000000001</v>
      </c>
    </row>
    <row r="107" spans="2:57" ht="18.75" customHeight="1" x14ac:dyDescent="0.2">
      <c r="B107" s="4884" t="s">
        <v>2300</v>
      </c>
      <c r="C107" s="7521" t="s">
        <v>2361</v>
      </c>
      <c r="D107" s="7504"/>
      <c r="E107" s="7500"/>
      <c r="F107" s="7504"/>
      <c r="G107" s="4453"/>
      <c r="H107" s="8800"/>
      <c r="I107" s="4466">
        <f t="shared" si="268"/>
        <v>0</v>
      </c>
      <c r="J107" s="7504"/>
      <c r="K107" s="4453"/>
      <c r="L107" s="8742"/>
      <c r="M107" s="4854">
        <f t="shared" si="269"/>
        <v>0</v>
      </c>
      <c r="N107" s="7504"/>
      <c r="O107" s="4453"/>
      <c r="P107" s="8800"/>
      <c r="Q107" s="4466">
        <f t="shared" si="270"/>
        <v>0</v>
      </c>
      <c r="R107" s="7504"/>
      <c r="S107" s="4453">
        <v>29.78</v>
      </c>
      <c r="T107" s="8800"/>
      <c r="U107" s="4466">
        <f t="shared" si="271"/>
        <v>29.78</v>
      </c>
      <c r="V107" s="7504"/>
      <c r="W107" s="4453"/>
      <c r="X107" s="8742"/>
      <c r="Y107" s="4854">
        <f t="shared" si="281"/>
        <v>29.78</v>
      </c>
      <c r="Z107" s="8744"/>
      <c r="AA107" s="7231">
        <f t="shared" si="272"/>
        <v>29.78</v>
      </c>
      <c r="AB107" s="7504"/>
      <c r="AC107" s="4853">
        <v>512.5</v>
      </c>
      <c r="AD107" s="8800"/>
      <c r="AE107" s="4466">
        <f t="shared" si="273"/>
        <v>542.28</v>
      </c>
      <c r="AF107" s="7504"/>
      <c r="AG107" s="4453">
        <v>373.04</v>
      </c>
      <c r="AH107" s="8800"/>
      <c r="AI107" s="4466">
        <f t="shared" si="274"/>
        <v>915.31999999999994</v>
      </c>
      <c r="AJ107" s="7504"/>
      <c r="AK107" s="4453">
        <v>953.6400000000001</v>
      </c>
      <c r="AL107" s="8742"/>
      <c r="AM107" s="4854">
        <f t="shared" si="282"/>
        <v>1839.18</v>
      </c>
      <c r="AN107" s="8800"/>
      <c r="AO107" s="4466">
        <f t="shared" si="275"/>
        <v>1868.96</v>
      </c>
      <c r="AP107" s="7504"/>
      <c r="AQ107" s="4453">
        <v>875.7600000000001</v>
      </c>
      <c r="AR107" s="8800"/>
      <c r="AS107" s="4466">
        <f t="shared" si="276"/>
        <v>2744.7200000000003</v>
      </c>
      <c r="AT107" s="7504"/>
      <c r="AU107" s="4453">
        <v>0</v>
      </c>
      <c r="AV107" s="8800"/>
      <c r="AW107" s="4466">
        <f t="shared" si="277"/>
        <v>2744.7200000000003</v>
      </c>
      <c r="AX107" s="7504"/>
      <c r="AY107" s="4453">
        <v>110.72</v>
      </c>
      <c r="AZ107" s="8742"/>
      <c r="BA107" s="4854">
        <f t="shared" si="283"/>
        <v>986.48000000000013</v>
      </c>
      <c r="BB107" s="8742">
        <f t="shared" si="278"/>
        <v>0</v>
      </c>
      <c r="BC107" s="4854">
        <f t="shared" si="279"/>
        <v>2825.6600000000003</v>
      </c>
      <c r="BD107" s="8744"/>
      <c r="BE107" s="7231">
        <f t="shared" si="290"/>
        <v>2855.44</v>
      </c>
    </row>
    <row r="108" spans="2:57" s="5983" customFormat="1" ht="18.75" customHeight="1" x14ac:dyDescent="0.2">
      <c r="B108" s="4884" t="s">
        <v>2300</v>
      </c>
      <c r="C108" s="7521" t="s">
        <v>2360</v>
      </c>
      <c r="D108" s="7504"/>
      <c r="E108" s="7500"/>
      <c r="F108" s="7504"/>
      <c r="G108" s="4453"/>
      <c r="H108" s="8800"/>
      <c r="I108" s="4466">
        <f t="shared" si="268"/>
        <v>0</v>
      </c>
      <c r="J108" s="7504"/>
      <c r="K108" s="4453"/>
      <c r="L108" s="8742"/>
      <c r="M108" s="4854">
        <f t="shared" si="269"/>
        <v>0</v>
      </c>
      <c r="N108" s="7504"/>
      <c r="O108" s="4453">
        <v>65.27000000000001</v>
      </c>
      <c r="P108" s="8800"/>
      <c r="Q108" s="4466">
        <f t="shared" si="270"/>
        <v>65.27000000000001</v>
      </c>
      <c r="R108" s="7504"/>
      <c r="S108" s="4453">
        <v>0</v>
      </c>
      <c r="T108" s="8800"/>
      <c r="U108" s="4466">
        <f t="shared" si="271"/>
        <v>65.27000000000001</v>
      </c>
      <c r="V108" s="7504"/>
      <c r="W108" s="4453"/>
      <c r="X108" s="8742"/>
      <c r="Y108" s="4854">
        <f t="shared" si="281"/>
        <v>65.27000000000001</v>
      </c>
      <c r="Z108" s="8744"/>
      <c r="AA108" s="7231">
        <f t="shared" si="272"/>
        <v>65.27000000000001</v>
      </c>
      <c r="AB108" s="7504"/>
      <c r="AC108" s="4853">
        <v>0</v>
      </c>
      <c r="AD108" s="8800"/>
      <c r="AE108" s="4466">
        <f t="shared" si="273"/>
        <v>65.27000000000001</v>
      </c>
      <c r="AF108" s="7504"/>
      <c r="AG108" s="4453">
        <v>0</v>
      </c>
      <c r="AH108" s="8800"/>
      <c r="AI108" s="4466">
        <f t="shared" si="274"/>
        <v>65.27000000000001</v>
      </c>
      <c r="AJ108" s="7504"/>
      <c r="AK108" s="4453">
        <v>0</v>
      </c>
      <c r="AL108" s="8742"/>
      <c r="AM108" s="4854">
        <f t="shared" si="282"/>
        <v>0</v>
      </c>
      <c r="AN108" s="8800"/>
      <c r="AO108" s="4466">
        <f t="shared" si="275"/>
        <v>65.27000000000001</v>
      </c>
      <c r="AP108" s="7504"/>
      <c r="AQ108" s="4453">
        <v>441.68</v>
      </c>
      <c r="AR108" s="8800"/>
      <c r="AS108" s="4466">
        <f t="shared" si="276"/>
        <v>506.95000000000005</v>
      </c>
      <c r="AT108" s="7504"/>
      <c r="AU108" s="4453">
        <v>63.42</v>
      </c>
      <c r="AV108" s="8800"/>
      <c r="AW108" s="4466">
        <f t="shared" si="277"/>
        <v>570.37</v>
      </c>
      <c r="AX108" s="7504"/>
      <c r="AY108" s="4453">
        <v>1192.3599999999999</v>
      </c>
      <c r="AZ108" s="8742"/>
      <c r="BA108" s="4854">
        <f t="shared" si="283"/>
        <v>1697.46</v>
      </c>
      <c r="BB108" s="8742">
        <f t="shared" si="278"/>
        <v>0</v>
      </c>
      <c r="BC108" s="4854">
        <f t="shared" si="279"/>
        <v>1697.46</v>
      </c>
      <c r="BD108" s="8744"/>
      <c r="BE108" s="7231">
        <f t="shared" si="290"/>
        <v>1762.73</v>
      </c>
    </row>
    <row r="109" spans="2:57" s="7634" customFormat="1" ht="18.75" customHeight="1" x14ac:dyDescent="0.2">
      <c r="B109" s="5065" t="s">
        <v>2300</v>
      </c>
      <c r="C109" s="7522" t="s">
        <v>2419</v>
      </c>
      <c r="D109" s="7504"/>
      <c r="E109" s="7500"/>
      <c r="F109" s="7504"/>
      <c r="G109" s="4453"/>
      <c r="H109" s="8800"/>
      <c r="I109" s="4466"/>
      <c r="J109" s="7504"/>
      <c r="K109" s="4453"/>
      <c r="L109" s="8742"/>
      <c r="M109" s="4854"/>
      <c r="N109" s="7504"/>
      <c r="O109" s="4453"/>
      <c r="P109" s="8800"/>
      <c r="Q109" s="4466"/>
      <c r="R109" s="7504"/>
      <c r="S109" s="4453"/>
      <c r="T109" s="8800"/>
      <c r="U109" s="4466"/>
      <c r="V109" s="7504"/>
      <c r="W109" s="4453"/>
      <c r="X109" s="8742"/>
      <c r="Y109" s="4854"/>
      <c r="Z109" s="8744"/>
      <c r="AA109" s="7231"/>
      <c r="AB109" s="7504"/>
      <c r="AC109" s="4853"/>
      <c r="AD109" s="8800"/>
      <c r="AE109" s="4466"/>
      <c r="AF109" s="7504"/>
      <c r="AG109" s="4453">
        <v>252.48</v>
      </c>
      <c r="AH109" s="8800"/>
      <c r="AI109" s="4466">
        <f t="shared" si="274"/>
        <v>252.48</v>
      </c>
      <c r="AJ109" s="7504"/>
      <c r="AK109" s="4453">
        <v>28.31</v>
      </c>
      <c r="AL109" s="8742"/>
      <c r="AM109" s="4854">
        <f t="shared" si="282"/>
        <v>280.78999999999996</v>
      </c>
      <c r="AN109" s="8800"/>
      <c r="AO109" s="4466">
        <f t="shared" si="275"/>
        <v>280.78999999999996</v>
      </c>
      <c r="AP109" s="7504"/>
      <c r="AQ109" s="4453">
        <v>0</v>
      </c>
      <c r="AR109" s="8800"/>
      <c r="AS109" s="4466">
        <f t="shared" si="276"/>
        <v>280.78999999999996</v>
      </c>
      <c r="AT109" s="7504"/>
      <c r="AU109" s="4453">
        <v>0</v>
      </c>
      <c r="AV109" s="8800"/>
      <c r="AW109" s="4466">
        <f t="shared" si="277"/>
        <v>280.78999999999996</v>
      </c>
      <c r="AX109" s="7504"/>
      <c r="AY109" s="4453"/>
      <c r="AZ109" s="8742"/>
      <c r="BA109" s="4854">
        <f t="shared" si="283"/>
        <v>0</v>
      </c>
      <c r="BB109" s="8742">
        <f t="shared" si="278"/>
        <v>0</v>
      </c>
      <c r="BC109" s="4854">
        <f t="shared" si="279"/>
        <v>280.78999999999996</v>
      </c>
      <c r="BD109" s="8744"/>
      <c r="BE109" s="7231"/>
    </row>
    <row r="110" spans="2:57" s="7525" customFormat="1" ht="18.75" customHeight="1" x14ac:dyDescent="0.2">
      <c r="B110" s="4884" t="s">
        <v>2300</v>
      </c>
      <c r="C110" s="7521" t="s">
        <v>2413</v>
      </c>
      <c r="D110" s="7504"/>
      <c r="E110" s="7500"/>
      <c r="F110" s="7504"/>
      <c r="G110" s="4453"/>
      <c r="H110" s="8800"/>
      <c r="I110" s="4466">
        <f t="shared" si="268"/>
        <v>0</v>
      </c>
      <c r="J110" s="7504"/>
      <c r="K110" s="4453"/>
      <c r="L110" s="8742"/>
      <c r="M110" s="4854">
        <f t="shared" si="269"/>
        <v>0</v>
      </c>
      <c r="N110" s="7504"/>
      <c r="O110" s="4453"/>
      <c r="P110" s="8800"/>
      <c r="Q110" s="4466">
        <f t="shared" si="270"/>
        <v>0</v>
      </c>
      <c r="R110" s="7504"/>
      <c r="S110" s="4453"/>
      <c r="T110" s="8800"/>
      <c r="U110" s="4466">
        <f t="shared" si="271"/>
        <v>0</v>
      </c>
      <c r="V110" s="7504"/>
      <c r="W110" s="4453"/>
      <c r="X110" s="8742"/>
      <c r="Y110" s="4854">
        <f t="shared" si="281"/>
        <v>0</v>
      </c>
      <c r="Z110" s="8744"/>
      <c r="AA110" s="7231">
        <f t="shared" si="272"/>
        <v>0</v>
      </c>
      <c r="AB110" s="7504"/>
      <c r="AC110" s="4853">
        <v>607.91</v>
      </c>
      <c r="AD110" s="8800"/>
      <c r="AE110" s="4466">
        <f t="shared" si="273"/>
        <v>607.91</v>
      </c>
      <c r="AF110" s="7504"/>
      <c r="AG110" s="4453">
        <v>436.84000000000003</v>
      </c>
      <c r="AH110" s="8800"/>
      <c r="AI110" s="4466">
        <f t="shared" si="274"/>
        <v>1044.75</v>
      </c>
      <c r="AJ110" s="7504"/>
      <c r="AK110" s="4453">
        <v>560.81000000000006</v>
      </c>
      <c r="AL110" s="8742"/>
      <c r="AM110" s="4854">
        <f t="shared" si="282"/>
        <v>1605.56</v>
      </c>
      <c r="AN110" s="8800"/>
      <c r="AO110" s="4466">
        <f t="shared" si="275"/>
        <v>1605.56</v>
      </c>
      <c r="AP110" s="7504"/>
      <c r="AQ110" s="4453">
        <v>0</v>
      </c>
      <c r="AR110" s="8800"/>
      <c r="AS110" s="4466">
        <f t="shared" si="276"/>
        <v>1605.56</v>
      </c>
      <c r="AT110" s="7504"/>
      <c r="AU110" s="4453">
        <v>0</v>
      </c>
      <c r="AV110" s="8800"/>
      <c r="AW110" s="4466">
        <f t="shared" si="277"/>
        <v>1605.56</v>
      </c>
      <c r="AX110" s="7504"/>
      <c r="AY110" s="4453"/>
      <c r="AZ110" s="8742"/>
      <c r="BA110" s="4854">
        <f t="shared" si="283"/>
        <v>0</v>
      </c>
      <c r="BB110" s="8742">
        <f t="shared" si="278"/>
        <v>0</v>
      </c>
      <c r="BC110" s="4854">
        <f t="shared" si="279"/>
        <v>1605.56</v>
      </c>
      <c r="BD110" s="8744"/>
      <c r="BE110" s="7231">
        <f t="shared" ref="BE110" si="291">+AW110+AY110</f>
        <v>1605.56</v>
      </c>
    </row>
    <row r="111" spans="2:57" s="7634" customFormat="1" ht="18.75" customHeight="1" x14ac:dyDescent="0.2">
      <c r="B111" s="4884" t="s">
        <v>2300</v>
      </c>
      <c r="C111" s="7521" t="s">
        <v>2444</v>
      </c>
      <c r="D111" s="7504"/>
      <c r="E111" s="7500"/>
      <c r="F111" s="7504"/>
      <c r="G111" s="4453"/>
      <c r="H111" s="8800"/>
      <c r="I111" s="4466"/>
      <c r="J111" s="7504"/>
      <c r="K111" s="4453"/>
      <c r="L111" s="8742"/>
      <c r="M111" s="4854"/>
      <c r="N111" s="7504"/>
      <c r="O111" s="4453"/>
      <c r="P111" s="8800"/>
      <c r="Q111" s="4466"/>
      <c r="R111" s="7504"/>
      <c r="S111" s="4453"/>
      <c r="T111" s="8800"/>
      <c r="U111" s="4466"/>
      <c r="V111" s="7504"/>
      <c r="W111" s="4453"/>
      <c r="X111" s="8742"/>
      <c r="Y111" s="4854"/>
      <c r="Z111" s="8744"/>
      <c r="AA111" s="7231"/>
      <c r="AB111" s="7504"/>
      <c r="AC111" s="4853"/>
      <c r="AD111" s="8800"/>
      <c r="AE111" s="4466"/>
      <c r="AF111" s="7504"/>
      <c r="AG111" s="4453">
        <v>389.56</v>
      </c>
      <c r="AH111" s="8800"/>
      <c r="AI111" s="4466">
        <f t="shared" si="274"/>
        <v>389.56</v>
      </c>
      <c r="AJ111" s="7504"/>
      <c r="AK111" s="4453">
        <v>183.34</v>
      </c>
      <c r="AL111" s="8742"/>
      <c r="AM111" s="4854">
        <f t="shared" si="282"/>
        <v>572.9</v>
      </c>
      <c r="AN111" s="8800"/>
      <c r="AO111" s="4466">
        <f t="shared" si="275"/>
        <v>572.9</v>
      </c>
      <c r="AP111" s="7504"/>
      <c r="AQ111" s="4453">
        <v>0</v>
      </c>
      <c r="AR111" s="8800"/>
      <c r="AS111" s="4466">
        <f t="shared" si="276"/>
        <v>572.9</v>
      </c>
      <c r="AT111" s="7504"/>
      <c r="AU111" s="4453">
        <v>0</v>
      </c>
      <c r="AV111" s="8800"/>
      <c r="AW111" s="4466">
        <f t="shared" si="277"/>
        <v>572.9</v>
      </c>
      <c r="AX111" s="7504"/>
      <c r="AY111" s="4453"/>
      <c r="AZ111" s="8742"/>
      <c r="BA111" s="4854">
        <f t="shared" si="283"/>
        <v>0</v>
      </c>
      <c r="BB111" s="8742">
        <f t="shared" si="278"/>
        <v>0</v>
      </c>
      <c r="BC111" s="4854">
        <f t="shared" si="279"/>
        <v>572.9</v>
      </c>
      <c r="BD111" s="8744"/>
      <c r="BE111" s="7231"/>
    </row>
    <row r="112" spans="2:57" s="8125" customFormat="1" ht="18.75" customHeight="1" x14ac:dyDescent="0.2">
      <c r="B112" s="4884" t="s">
        <v>2300</v>
      </c>
      <c r="C112" s="7521" t="s">
        <v>2559</v>
      </c>
      <c r="D112" s="7504"/>
      <c r="E112" s="7500"/>
      <c r="F112" s="7504"/>
      <c r="G112" s="4453"/>
      <c r="H112" s="8800"/>
      <c r="I112" s="4466"/>
      <c r="J112" s="7504"/>
      <c r="K112" s="4453"/>
      <c r="L112" s="8742"/>
      <c r="M112" s="4854"/>
      <c r="N112" s="7504"/>
      <c r="O112" s="4453"/>
      <c r="P112" s="8800"/>
      <c r="Q112" s="4466"/>
      <c r="R112" s="7504"/>
      <c r="S112" s="4453"/>
      <c r="T112" s="8800"/>
      <c r="U112" s="4466"/>
      <c r="V112" s="7504"/>
      <c r="W112" s="4453"/>
      <c r="X112" s="8742"/>
      <c r="Y112" s="4854"/>
      <c r="Z112" s="8744"/>
      <c r="AA112" s="7231"/>
      <c r="AB112" s="7504"/>
      <c r="AC112" s="4853"/>
      <c r="AD112" s="8800"/>
      <c r="AE112" s="4466"/>
      <c r="AF112" s="7504"/>
      <c r="AG112" s="4453"/>
      <c r="AH112" s="8800"/>
      <c r="AI112" s="4466"/>
      <c r="AJ112" s="7504"/>
      <c r="AK112" s="4453"/>
      <c r="AL112" s="8742"/>
      <c r="AM112" s="4854">
        <f t="shared" si="282"/>
        <v>0</v>
      </c>
      <c r="AN112" s="8800"/>
      <c r="AO112" s="4466">
        <f t="shared" si="275"/>
        <v>0</v>
      </c>
      <c r="AP112" s="7504"/>
      <c r="AQ112" s="4453">
        <v>497.97000000000008</v>
      </c>
      <c r="AR112" s="8800"/>
      <c r="AS112" s="4466">
        <f t="shared" si="276"/>
        <v>497.97000000000008</v>
      </c>
      <c r="AT112" s="7504"/>
      <c r="AU112" s="4453">
        <v>0</v>
      </c>
      <c r="AV112" s="8800"/>
      <c r="AW112" s="4466">
        <f t="shared" si="277"/>
        <v>497.97000000000008</v>
      </c>
      <c r="AX112" s="7504"/>
      <c r="AY112" s="4453"/>
      <c r="AZ112" s="8742"/>
      <c r="BA112" s="4854">
        <f t="shared" si="283"/>
        <v>497.97000000000008</v>
      </c>
      <c r="BB112" s="8742">
        <f t="shared" si="278"/>
        <v>0</v>
      </c>
      <c r="BC112" s="4854">
        <f t="shared" si="279"/>
        <v>497.97000000000008</v>
      </c>
      <c r="BD112" s="8744"/>
      <c r="BE112" s="7231"/>
    </row>
    <row r="113" spans="2:57" s="6434" customFormat="1" ht="18.75" customHeight="1" x14ac:dyDescent="0.2">
      <c r="B113" s="4884" t="s">
        <v>2300</v>
      </c>
      <c r="C113" s="7521" t="s">
        <v>2362</v>
      </c>
      <c r="D113" s="7504"/>
      <c r="E113" s="7500"/>
      <c r="F113" s="7504"/>
      <c r="G113" s="4453"/>
      <c r="H113" s="8800"/>
      <c r="I113" s="4466">
        <f t="shared" si="268"/>
        <v>0</v>
      </c>
      <c r="J113" s="7504"/>
      <c r="K113" s="4453"/>
      <c r="L113" s="8742"/>
      <c r="M113" s="4854">
        <f t="shared" si="269"/>
        <v>0</v>
      </c>
      <c r="N113" s="7504"/>
      <c r="O113" s="4453"/>
      <c r="P113" s="8800"/>
      <c r="Q113" s="4466">
        <f t="shared" si="270"/>
        <v>0</v>
      </c>
      <c r="R113" s="7504"/>
      <c r="S113" s="4453">
        <v>984.61999999999989</v>
      </c>
      <c r="T113" s="8800"/>
      <c r="U113" s="4466">
        <f t="shared" si="271"/>
        <v>984.61999999999989</v>
      </c>
      <c r="V113" s="7504"/>
      <c r="W113" s="4453">
        <v>580.36</v>
      </c>
      <c r="X113" s="8742"/>
      <c r="Y113" s="4854">
        <f t="shared" si="281"/>
        <v>1564.98</v>
      </c>
      <c r="Z113" s="8744"/>
      <c r="AA113" s="7231">
        <f t="shared" si="272"/>
        <v>1564.98</v>
      </c>
      <c r="AB113" s="7504"/>
      <c r="AC113" s="4853">
        <v>0</v>
      </c>
      <c r="AD113" s="8800"/>
      <c r="AE113" s="4466">
        <f t="shared" si="273"/>
        <v>1564.98</v>
      </c>
      <c r="AF113" s="7504"/>
      <c r="AG113" s="4453">
        <v>0</v>
      </c>
      <c r="AH113" s="8800"/>
      <c r="AI113" s="4466">
        <f t="shared" si="274"/>
        <v>1564.98</v>
      </c>
      <c r="AJ113" s="7504"/>
      <c r="AK113" s="4453">
        <v>0</v>
      </c>
      <c r="AL113" s="8742"/>
      <c r="AM113" s="4854">
        <f t="shared" si="282"/>
        <v>0</v>
      </c>
      <c r="AN113" s="8800"/>
      <c r="AO113" s="4466">
        <f t="shared" si="275"/>
        <v>1564.98</v>
      </c>
      <c r="AP113" s="7504"/>
      <c r="AQ113" s="4453">
        <v>0</v>
      </c>
      <c r="AR113" s="8800"/>
      <c r="AS113" s="4466">
        <f t="shared" si="276"/>
        <v>1564.98</v>
      </c>
      <c r="AT113" s="7504"/>
      <c r="AU113" s="4453">
        <v>0</v>
      </c>
      <c r="AV113" s="8800"/>
      <c r="AW113" s="4466">
        <f t="shared" si="277"/>
        <v>1564.98</v>
      </c>
      <c r="AX113" s="7504"/>
      <c r="AY113" s="4453">
        <v>61.3</v>
      </c>
      <c r="AZ113" s="8742"/>
      <c r="BA113" s="4854">
        <f t="shared" si="283"/>
        <v>61.3</v>
      </c>
      <c r="BB113" s="8742">
        <f t="shared" si="278"/>
        <v>0</v>
      </c>
      <c r="BC113" s="4854">
        <f t="shared" si="279"/>
        <v>61.3</v>
      </c>
      <c r="BD113" s="8744"/>
      <c r="BE113" s="7231">
        <f t="shared" ref="BE113" si="292">+AW113+AY113</f>
        <v>1626.28</v>
      </c>
    </row>
    <row r="114" spans="2:57" s="7634" customFormat="1" ht="18.75" customHeight="1" x14ac:dyDescent="0.2">
      <c r="B114" s="4884" t="s">
        <v>2300</v>
      </c>
      <c r="C114" s="7521" t="s">
        <v>2365</v>
      </c>
      <c r="D114" s="7504"/>
      <c r="E114" s="7500"/>
      <c r="F114" s="7504"/>
      <c r="G114" s="4453"/>
      <c r="H114" s="8800"/>
      <c r="I114" s="4466"/>
      <c r="J114" s="7504"/>
      <c r="K114" s="4453"/>
      <c r="L114" s="8742"/>
      <c r="M114" s="4854"/>
      <c r="N114" s="7504"/>
      <c r="O114" s="4453"/>
      <c r="P114" s="8800"/>
      <c r="Q114" s="4466"/>
      <c r="R114" s="7504"/>
      <c r="S114" s="4453"/>
      <c r="T114" s="8800"/>
      <c r="U114" s="4466"/>
      <c r="V114" s="7504"/>
      <c r="W114" s="4453"/>
      <c r="X114" s="8742"/>
      <c r="Y114" s="4854"/>
      <c r="Z114" s="8744"/>
      <c r="AA114" s="7231"/>
      <c r="AB114" s="7504"/>
      <c r="AC114" s="4853"/>
      <c r="AD114" s="8800"/>
      <c r="AE114" s="4466"/>
      <c r="AF114" s="7504"/>
      <c r="AG114" s="4453">
        <v>4092.41</v>
      </c>
      <c r="AH114" s="8800"/>
      <c r="AI114" s="4466">
        <f t="shared" si="274"/>
        <v>4092.41</v>
      </c>
      <c r="AJ114" s="7504"/>
      <c r="AK114" s="4453">
        <v>2127.96</v>
      </c>
      <c r="AL114" s="8742"/>
      <c r="AM114" s="4854">
        <f t="shared" si="282"/>
        <v>6220.37</v>
      </c>
      <c r="AN114" s="8800"/>
      <c r="AO114" s="4466">
        <f t="shared" si="275"/>
        <v>6220.37</v>
      </c>
      <c r="AP114" s="7504"/>
      <c r="AQ114" s="4453">
        <v>0</v>
      </c>
      <c r="AR114" s="8800"/>
      <c r="AS114" s="4466">
        <f t="shared" si="276"/>
        <v>6220.37</v>
      </c>
      <c r="AT114" s="7504"/>
      <c r="AU114" s="4453">
        <v>0</v>
      </c>
      <c r="AV114" s="8800"/>
      <c r="AW114" s="4466">
        <f t="shared" si="277"/>
        <v>6220.37</v>
      </c>
      <c r="AX114" s="7504"/>
      <c r="AY114" s="4453"/>
      <c r="AZ114" s="8742"/>
      <c r="BA114" s="4854">
        <f t="shared" si="283"/>
        <v>0</v>
      </c>
      <c r="BB114" s="8742">
        <f t="shared" si="278"/>
        <v>0</v>
      </c>
      <c r="BC114" s="4854">
        <f t="shared" si="279"/>
        <v>6220.37</v>
      </c>
      <c r="BD114" s="8744"/>
      <c r="BE114" s="7231"/>
    </row>
    <row r="115" spans="2:57" ht="18.75" customHeight="1" x14ac:dyDescent="0.2">
      <c r="B115" s="4884" t="s">
        <v>2300</v>
      </c>
      <c r="C115" s="7521" t="s">
        <v>2420</v>
      </c>
      <c r="D115" s="7504"/>
      <c r="E115" s="7500">
        <v>0</v>
      </c>
      <c r="F115" s="7504"/>
      <c r="G115" s="4453">
        <v>2167.5789999999997</v>
      </c>
      <c r="H115" s="8800"/>
      <c r="I115" s="4466">
        <f t="shared" si="268"/>
        <v>2167.5789999999997</v>
      </c>
      <c r="J115" s="7504"/>
      <c r="K115" s="4453">
        <v>2293.2019999999998</v>
      </c>
      <c r="L115" s="8742"/>
      <c r="M115" s="4854">
        <f t="shared" si="269"/>
        <v>4460.780999999999</v>
      </c>
      <c r="N115" s="7504"/>
      <c r="O115" s="4453">
        <v>1262.42</v>
      </c>
      <c r="P115" s="8800"/>
      <c r="Q115" s="4466">
        <f t="shared" si="270"/>
        <v>5723.2009999999991</v>
      </c>
      <c r="R115" s="7504"/>
      <c r="S115" s="4453">
        <v>1562.3810000000003</v>
      </c>
      <c r="T115" s="8800"/>
      <c r="U115" s="4466">
        <f t="shared" si="271"/>
        <v>7285.5819999999994</v>
      </c>
      <c r="V115" s="7504"/>
      <c r="W115" s="4453">
        <v>1227.46</v>
      </c>
      <c r="X115" s="8742"/>
      <c r="Y115" s="4854">
        <f t="shared" si="281"/>
        <v>4052.2610000000004</v>
      </c>
      <c r="Z115" s="8744"/>
      <c r="AA115" s="7231">
        <f t="shared" si="272"/>
        <v>8513.0419999999995</v>
      </c>
      <c r="AB115" s="7504"/>
      <c r="AC115" s="4853">
        <v>0</v>
      </c>
      <c r="AD115" s="8800"/>
      <c r="AE115" s="4466">
        <f t="shared" si="273"/>
        <v>8513.0419999999995</v>
      </c>
      <c r="AF115" s="7504"/>
      <c r="AG115" s="4453">
        <v>0</v>
      </c>
      <c r="AH115" s="8800"/>
      <c r="AI115" s="4466">
        <f t="shared" si="274"/>
        <v>8513.0419999999995</v>
      </c>
      <c r="AJ115" s="7504"/>
      <c r="AK115" s="4453">
        <v>0</v>
      </c>
      <c r="AL115" s="8742"/>
      <c r="AM115" s="4854">
        <f t="shared" si="282"/>
        <v>0</v>
      </c>
      <c r="AN115" s="8800"/>
      <c r="AO115" s="4466">
        <f t="shared" si="275"/>
        <v>8513.0419999999995</v>
      </c>
      <c r="AP115" s="7504"/>
      <c r="AQ115" s="4453">
        <v>0</v>
      </c>
      <c r="AR115" s="8800"/>
      <c r="AS115" s="4466">
        <f t="shared" si="276"/>
        <v>8513.0419999999995</v>
      </c>
      <c r="AT115" s="7504"/>
      <c r="AU115" s="4453">
        <v>0</v>
      </c>
      <c r="AV115" s="8800"/>
      <c r="AW115" s="4466">
        <f t="shared" si="277"/>
        <v>8513.0419999999995</v>
      </c>
      <c r="AX115" s="7504"/>
      <c r="AY115" s="4453">
        <v>433.72</v>
      </c>
      <c r="AZ115" s="8742"/>
      <c r="BA115" s="4854">
        <f t="shared" si="283"/>
        <v>433.72</v>
      </c>
      <c r="BB115" s="8742">
        <f t="shared" si="278"/>
        <v>0</v>
      </c>
      <c r="BC115" s="4854">
        <f t="shared" si="279"/>
        <v>433.72</v>
      </c>
      <c r="BD115" s="8744"/>
      <c r="BE115" s="7231">
        <f t="shared" ref="BE115:BE120" si="293">+AW115+AY115</f>
        <v>8946.7619999999988</v>
      </c>
    </row>
    <row r="116" spans="2:57" s="5718" customFormat="1" ht="18.75" customHeight="1" x14ac:dyDescent="0.2">
      <c r="B116" s="4884" t="s">
        <v>2300</v>
      </c>
      <c r="C116" s="7521" t="s">
        <v>2358</v>
      </c>
      <c r="D116" s="7504"/>
      <c r="E116" s="7500"/>
      <c r="F116" s="7504"/>
      <c r="G116" s="4453"/>
      <c r="H116" s="8800"/>
      <c r="I116" s="4466">
        <f t="shared" si="268"/>
        <v>0</v>
      </c>
      <c r="J116" s="7504"/>
      <c r="K116" s="4453">
        <v>117.50999999999999</v>
      </c>
      <c r="L116" s="8742"/>
      <c r="M116" s="4854">
        <f t="shared" si="269"/>
        <v>117.50999999999999</v>
      </c>
      <c r="N116" s="7504"/>
      <c r="O116" s="4453">
        <v>574.23000000000013</v>
      </c>
      <c r="P116" s="8800"/>
      <c r="Q116" s="4466">
        <f t="shared" si="270"/>
        <v>691.74000000000012</v>
      </c>
      <c r="R116" s="7504"/>
      <c r="S116" s="4453">
        <v>1910.7499999999998</v>
      </c>
      <c r="T116" s="8800"/>
      <c r="U116" s="4466">
        <f t="shared" si="271"/>
        <v>2602.4899999999998</v>
      </c>
      <c r="V116" s="7504"/>
      <c r="W116" s="4453">
        <v>3578.22</v>
      </c>
      <c r="X116" s="8742"/>
      <c r="Y116" s="4854">
        <f t="shared" si="281"/>
        <v>6063.2</v>
      </c>
      <c r="Z116" s="8744"/>
      <c r="AA116" s="7231">
        <f t="shared" si="272"/>
        <v>6180.7099999999991</v>
      </c>
      <c r="AB116" s="7504"/>
      <c r="AC116" s="4853">
        <v>2656.5899999999997</v>
      </c>
      <c r="AD116" s="8800"/>
      <c r="AE116" s="4466">
        <f t="shared" si="273"/>
        <v>8837.2999999999993</v>
      </c>
      <c r="AF116" s="7504"/>
      <c r="AG116" s="4453">
        <v>3097.2</v>
      </c>
      <c r="AH116" s="8800"/>
      <c r="AI116" s="4466">
        <f t="shared" si="274"/>
        <v>11934.5</v>
      </c>
      <c r="AJ116" s="7504"/>
      <c r="AK116" s="4453">
        <v>3463.29</v>
      </c>
      <c r="AL116" s="8742"/>
      <c r="AM116" s="4854">
        <f t="shared" si="282"/>
        <v>9217.0799999999981</v>
      </c>
      <c r="AN116" s="8800"/>
      <c r="AO116" s="4466">
        <f t="shared" si="275"/>
        <v>15397.79</v>
      </c>
      <c r="AP116" s="7504"/>
      <c r="AQ116" s="4453">
        <v>3254.4199999999996</v>
      </c>
      <c r="AR116" s="8800"/>
      <c r="AS116" s="4466">
        <f t="shared" si="276"/>
        <v>18652.21</v>
      </c>
      <c r="AT116" s="7504"/>
      <c r="AU116" s="4453">
        <v>3308.83</v>
      </c>
      <c r="AV116" s="8800"/>
      <c r="AW116" s="4466">
        <f t="shared" si="277"/>
        <v>21961.040000000001</v>
      </c>
      <c r="AX116" s="7504"/>
      <c r="AY116" s="4453">
        <v>3987.65</v>
      </c>
      <c r="AZ116" s="8742"/>
      <c r="BA116" s="4854">
        <f t="shared" si="283"/>
        <v>10550.9</v>
      </c>
      <c r="BB116" s="8742">
        <f t="shared" si="278"/>
        <v>0</v>
      </c>
      <c r="BC116" s="4854">
        <f t="shared" si="279"/>
        <v>19767.979999999996</v>
      </c>
      <c r="BD116" s="8744"/>
      <c r="BE116" s="7231">
        <f t="shared" si="293"/>
        <v>25948.690000000002</v>
      </c>
    </row>
    <row r="117" spans="2:57" s="5718" customFormat="1" ht="18.75" customHeight="1" x14ac:dyDescent="0.2">
      <c r="B117" s="4884" t="s">
        <v>2300</v>
      </c>
      <c r="C117" s="7521" t="s">
        <v>2313</v>
      </c>
      <c r="D117" s="7504"/>
      <c r="E117" s="7500"/>
      <c r="F117" s="7504"/>
      <c r="G117" s="4453"/>
      <c r="H117" s="8800"/>
      <c r="I117" s="4466">
        <f t="shared" si="268"/>
        <v>0</v>
      </c>
      <c r="J117" s="7504"/>
      <c r="K117" s="4453">
        <v>715.3900000000001</v>
      </c>
      <c r="L117" s="8742"/>
      <c r="M117" s="4854">
        <f t="shared" si="269"/>
        <v>715.3900000000001</v>
      </c>
      <c r="N117" s="7504"/>
      <c r="O117" s="4453">
        <v>1376.6089999999999</v>
      </c>
      <c r="P117" s="8800"/>
      <c r="Q117" s="4466">
        <f t="shared" si="270"/>
        <v>2091.9989999999998</v>
      </c>
      <c r="R117" s="7504"/>
      <c r="S117" s="4453">
        <v>1505.3700000000001</v>
      </c>
      <c r="T117" s="8800"/>
      <c r="U117" s="4466">
        <f t="shared" si="271"/>
        <v>3597.3689999999997</v>
      </c>
      <c r="V117" s="7504"/>
      <c r="W117" s="4453">
        <v>1424.88</v>
      </c>
      <c r="X117" s="8742"/>
      <c r="Y117" s="4854">
        <f t="shared" si="281"/>
        <v>4306.8590000000004</v>
      </c>
      <c r="Z117" s="8744"/>
      <c r="AA117" s="7231">
        <f t="shared" si="272"/>
        <v>5022.2489999999998</v>
      </c>
      <c r="AB117" s="7504"/>
      <c r="AC117" s="4453">
        <v>0</v>
      </c>
      <c r="AD117" s="8800"/>
      <c r="AE117" s="4466">
        <f t="shared" si="273"/>
        <v>5022.2489999999998</v>
      </c>
      <c r="AF117" s="7504"/>
      <c r="AG117" s="4453">
        <v>1007.47</v>
      </c>
      <c r="AH117" s="8800"/>
      <c r="AI117" s="4466">
        <f t="shared" si="274"/>
        <v>6029.7190000000001</v>
      </c>
      <c r="AJ117" s="7504"/>
      <c r="AK117" s="4453">
        <v>2569.65</v>
      </c>
      <c r="AL117" s="8742"/>
      <c r="AM117" s="4854">
        <f t="shared" si="282"/>
        <v>3577.12</v>
      </c>
      <c r="AN117" s="8800"/>
      <c r="AO117" s="4466">
        <f t="shared" si="275"/>
        <v>8599.3690000000006</v>
      </c>
      <c r="AP117" s="7504"/>
      <c r="AQ117" s="4453">
        <v>2061.88</v>
      </c>
      <c r="AR117" s="8800"/>
      <c r="AS117" s="4466">
        <f t="shared" si="276"/>
        <v>10661.249</v>
      </c>
      <c r="AT117" s="7504"/>
      <c r="AU117" s="4453">
        <v>1275.27</v>
      </c>
      <c r="AV117" s="8800"/>
      <c r="AW117" s="4466">
        <f t="shared" si="277"/>
        <v>11936.519</v>
      </c>
      <c r="AX117" s="7504"/>
      <c r="AY117" s="4453">
        <v>1407.94</v>
      </c>
      <c r="AZ117" s="8742"/>
      <c r="BA117" s="4854">
        <f t="shared" si="283"/>
        <v>4745.09</v>
      </c>
      <c r="BB117" s="8742">
        <f t="shared" si="278"/>
        <v>0</v>
      </c>
      <c r="BC117" s="4854">
        <f t="shared" si="279"/>
        <v>8322.2099999999991</v>
      </c>
      <c r="BD117" s="8744"/>
      <c r="BE117" s="7231">
        <f t="shared" si="293"/>
        <v>13344.459000000001</v>
      </c>
    </row>
    <row r="118" spans="2:57" ht="18.75" customHeight="1" x14ac:dyDescent="0.2">
      <c r="B118" s="4884" t="s">
        <v>2300</v>
      </c>
      <c r="C118" s="7521" t="s">
        <v>2363</v>
      </c>
      <c r="D118" s="7504"/>
      <c r="E118" s="7500">
        <v>2393.84</v>
      </c>
      <c r="F118" s="7504"/>
      <c r="G118" s="4453">
        <v>0</v>
      </c>
      <c r="H118" s="8800"/>
      <c r="I118" s="4466">
        <f t="shared" si="268"/>
        <v>2393.84</v>
      </c>
      <c r="J118" s="7504"/>
      <c r="K118" s="4453">
        <v>0</v>
      </c>
      <c r="L118" s="8742"/>
      <c r="M118" s="4854">
        <f t="shared" si="269"/>
        <v>2393.84</v>
      </c>
      <c r="N118" s="7504"/>
      <c r="O118" s="4453">
        <v>0</v>
      </c>
      <c r="P118" s="8800"/>
      <c r="Q118" s="4466">
        <f t="shared" si="270"/>
        <v>2393.84</v>
      </c>
      <c r="R118" s="7504"/>
      <c r="S118" s="4453">
        <v>0</v>
      </c>
      <c r="T118" s="8800"/>
      <c r="U118" s="4466">
        <f t="shared" si="271"/>
        <v>2393.84</v>
      </c>
      <c r="V118" s="7504"/>
      <c r="W118" s="4453"/>
      <c r="X118" s="8742"/>
      <c r="Y118" s="4854">
        <f t="shared" si="281"/>
        <v>0</v>
      </c>
      <c r="Z118" s="8744"/>
      <c r="AA118" s="7231">
        <f t="shared" si="272"/>
        <v>2393.84</v>
      </c>
      <c r="AB118" s="7504"/>
      <c r="AC118" s="4453">
        <v>0</v>
      </c>
      <c r="AD118" s="8800"/>
      <c r="AE118" s="4466">
        <f t="shared" si="273"/>
        <v>2393.84</v>
      </c>
      <c r="AF118" s="7504"/>
      <c r="AG118" s="4453">
        <v>0</v>
      </c>
      <c r="AH118" s="8800"/>
      <c r="AI118" s="4466">
        <f t="shared" si="274"/>
        <v>2393.84</v>
      </c>
      <c r="AJ118" s="7504"/>
      <c r="AK118" s="4453">
        <v>0</v>
      </c>
      <c r="AL118" s="8742"/>
      <c r="AM118" s="4854">
        <f t="shared" si="282"/>
        <v>0</v>
      </c>
      <c r="AN118" s="8800"/>
      <c r="AO118" s="4466">
        <f t="shared" si="275"/>
        <v>2393.84</v>
      </c>
      <c r="AP118" s="7504"/>
      <c r="AQ118" s="4453">
        <v>0</v>
      </c>
      <c r="AR118" s="8800"/>
      <c r="AS118" s="4466">
        <f t="shared" si="276"/>
        <v>2393.84</v>
      </c>
      <c r="AT118" s="7504"/>
      <c r="AU118" s="4453">
        <v>0</v>
      </c>
      <c r="AV118" s="8800"/>
      <c r="AW118" s="4466">
        <f t="shared" si="277"/>
        <v>2393.84</v>
      </c>
      <c r="AX118" s="7504"/>
      <c r="AY118" s="4453"/>
      <c r="AZ118" s="8742"/>
      <c r="BA118" s="4854">
        <f t="shared" si="283"/>
        <v>0</v>
      </c>
      <c r="BB118" s="8742">
        <f t="shared" si="278"/>
        <v>0</v>
      </c>
      <c r="BC118" s="4854">
        <f t="shared" si="279"/>
        <v>0</v>
      </c>
      <c r="BD118" s="8744"/>
      <c r="BE118" s="7231">
        <f t="shared" si="293"/>
        <v>2393.84</v>
      </c>
    </row>
    <row r="119" spans="2:57" s="6434" customFormat="1" ht="18.75" customHeight="1" x14ac:dyDescent="0.2">
      <c r="B119" s="4884" t="s">
        <v>2301</v>
      </c>
      <c r="C119" s="7521" t="s">
        <v>2364</v>
      </c>
      <c r="D119" s="7504"/>
      <c r="E119" s="7500"/>
      <c r="F119" s="7504"/>
      <c r="G119" s="4453"/>
      <c r="H119" s="8800"/>
      <c r="I119" s="4466">
        <f t="shared" si="268"/>
        <v>0</v>
      </c>
      <c r="J119" s="7504"/>
      <c r="K119" s="4453"/>
      <c r="L119" s="8742"/>
      <c r="M119" s="4854">
        <f t="shared" si="269"/>
        <v>0</v>
      </c>
      <c r="N119" s="7504"/>
      <c r="O119" s="4453"/>
      <c r="P119" s="8800"/>
      <c r="Q119" s="4466">
        <f t="shared" si="270"/>
        <v>0</v>
      </c>
      <c r="R119" s="7504"/>
      <c r="S119" s="4453">
        <v>2066.0570000000007</v>
      </c>
      <c r="T119" s="8800"/>
      <c r="U119" s="4466">
        <f t="shared" si="271"/>
        <v>2066.0570000000007</v>
      </c>
      <c r="V119" s="7504"/>
      <c r="W119" s="4453"/>
      <c r="X119" s="8742"/>
      <c r="Y119" s="4854">
        <f t="shared" si="281"/>
        <v>2066.0570000000007</v>
      </c>
      <c r="Z119" s="8744"/>
      <c r="AA119" s="7231">
        <f t="shared" si="272"/>
        <v>2066.0570000000007</v>
      </c>
      <c r="AB119" s="7504"/>
      <c r="AC119" s="4453">
        <v>0</v>
      </c>
      <c r="AD119" s="8800"/>
      <c r="AE119" s="4466">
        <f t="shared" si="273"/>
        <v>2066.0570000000007</v>
      </c>
      <c r="AF119" s="7504"/>
      <c r="AG119" s="4453">
        <v>0</v>
      </c>
      <c r="AH119" s="8800"/>
      <c r="AI119" s="4466">
        <f t="shared" si="274"/>
        <v>2066.0570000000007</v>
      </c>
      <c r="AJ119" s="7504"/>
      <c r="AK119" s="4453">
        <v>0</v>
      </c>
      <c r="AL119" s="8742"/>
      <c r="AM119" s="4854">
        <f t="shared" si="282"/>
        <v>0</v>
      </c>
      <c r="AN119" s="8800"/>
      <c r="AO119" s="4466">
        <f t="shared" si="275"/>
        <v>2066.0570000000007</v>
      </c>
      <c r="AP119" s="7504"/>
      <c r="AQ119" s="4453">
        <v>0</v>
      </c>
      <c r="AR119" s="8800"/>
      <c r="AS119" s="4466">
        <f t="shared" si="276"/>
        <v>2066.0570000000007</v>
      </c>
      <c r="AT119" s="7504"/>
      <c r="AU119" s="4453">
        <v>0</v>
      </c>
      <c r="AV119" s="8800"/>
      <c r="AW119" s="4466">
        <f t="shared" si="277"/>
        <v>2066.0570000000007</v>
      </c>
      <c r="AX119" s="7504"/>
      <c r="AY119" s="4453">
        <v>2042.72</v>
      </c>
      <c r="AZ119" s="8742"/>
      <c r="BA119" s="4854">
        <f t="shared" si="283"/>
        <v>2042.72</v>
      </c>
      <c r="BB119" s="8742">
        <f t="shared" si="278"/>
        <v>0</v>
      </c>
      <c r="BC119" s="4854">
        <f t="shared" si="279"/>
        <v>2042.72</v>
      </c>
      <c r="BD119" s="8744"/>
      <c r="BE119" s="7231">
        <f t="shared" si="293"/>
        <v>4108.777000000001</v>
      </c>
    </row>
    <row r="120" spans="2:57" ht="18.75" customHeight="1" x14ac:dyDescent="0.2">
      <c r="B120" s="4884" t="s">
        <v>2302</v>
      </c>
      <c r="C120" s="7521" t="s">
        <v>2421</v>
      </c>
      <c r="D120" s="7504"/>
      <c r="E120" s="7500"/>
      <c r="F120" s="7504"/>
      <c r="G120" s="4453"/>
      <c r="H120" s="8800"/>
      <c r="I120" s="4466">
        <f t="shared" si="268"/>
        <v>0</v>
      </c>
      <c r="J120" s="7504"/>
      <c r="K120" s="4453"/>
      <c r="L120" s="8742"/>
      <c r="M120" s="4854">
        <f t="shared" si="269"/>
        <v>0</v>
      </c>
      <c r="N120" s="7504"/>
      <c r="O120" s="4453"/>
      <c r="P120" s="8800"/>
      <c r="Q120" s="4466">
        <f t="shared" si="270"/>
        <v>0</v>
      </c>
      <c r="R120" s="7504"/>
      <c r="S120" s="4453">
        <v>356.11999999999995</v>
      </c>
      <c r="T120" s="8800"/>
      <c r="U120" s="4466">
        <f t="shared" si="271"/>
        <v>356.11999999999995</v>
      </c>
      <c r="V120" s="7504"/>
      <c r="W120" s="4453"/>
      <c r="X120" s="8742"/>
      <c r="Y120" s="4854">
        <f t="shared" si="281"/>
        <v>356.11999999999995</v>
      </c>
      <c r="Z120" s="8744"/>
      <c r="AA120" s="7231">
        <f t="shared" si="272"/>
        <v>356.11999999999995</v>
      </c>
      <c r="AB120" s="7504"/>
      <c r="AC120" s="4853">
        <v>0</v>
      </c>
      <c r="AD120" s="8800"/>
      <c r="AE120" s="4466">
        <f t="shared" si="273"/>
        <v>356.11999999999995</v>
      </c>
      <c r="AF120" s="7504"/>
      <c r="AG120" s="4453">
        <v>41.25</v>
      </c>
      <c r="AH120" s="8800"/>
      <c r="AI120" s="4466">
        <f t="shared" si="274"/>
        <v>397.36999999999995</v>
      </c>
      <c r="AJ120" s="7504"/>
      <c r="AK120" s="4453">
        <v>0</v>
      </c>
      <c r="AL120" s="8742"/>
      <c r="AM120" s="4854">
        <f t="shared" si="282"/>
        <v>41.25</v>
      </c>
      <c r="AN120" s="8800"/>
      <c r="AO120" s="4466">
        <f t="shared" si="275"/>
        <v>397.36999999999995</v>
      </c>
      <c r="AP120" s="7504"/>
      <c r="AQ120" s="4453">
        <v>0</v>
      </c>
      <c r="AR120" s="8800"/>
      <c r="AS120" s="4466">
        <f t="shared" si="276"/>
        <v>397.36999999999995</v>
      </c>
      <c r="AT120" s="7504"/>
      <c r="AU120" s="4453">
        <v>0</v>
      </c>
      <c r="AV120" s="8800"/>
      <c r="AW120" s="4466">
        <f t="shared" si="277"/>
        <v>397.36999999999995</v>
      </c>
      <c r="AX120" s="7504"/>
      <c r="AY120" s="4453"/>
      <c r="AZ120" s="8742"/>
      <c r="BA120" s="4854">
        <f t="shared" si="283"/>
        <v>0</v>
      </c>
      <c r="BB120" s="8742">
        <f t="shared" si="278"/>
        <v>0</v>
      </c>
      <c r="BC120" s="4854">
        <f t="shared" si="279"/>
        <v>41.25</v>
      </c>
      <c r="BD120" s="8744"/>
      <c r="BE120" s="7231">
        <f t="shared" si="293"/>
        <v>397.36999999999995</v>
      </c>
    </row>
    <row r="121" spans="2:57" s="7882" customFormat="1" ht="18.75" customHeight="1" x14ac:dyDescent="0.2">
      <c r="B121" s="4884" t="s">
        <v>2302</v>
      </c>
      <c r="C121" s="7521" t="s">
        <v>2467</v>
      </c>
      <c r="D121" s="7504"/>
      <c r="E121" s="7500"/>
      <c r="F121" s="7504"/>
      <c r="G121" s="4453"/>
      <c r="H121" s="7885"/>
      <c r="I121" s="4466"/>
      <c r="J121" s="7504"/>
      <c r="K121" s="4453"/>
      <c r="L121" s="7886"/>
      <c r="M121" s="4854"/>
      <c r="N121" s="7504"/>
      <c r="O121" s="4453"/>
      <c r="P121" s="7885"/>
      <c r="Q121" s="4466"/>
      <c r="R121" s="7504"/>
      <c r="S121" s="4453"/>
      <c r="T121" s="7885"/>
      <c r="U121" s="4466"/>
      <c r="V121" s="7504"/>
      <c r="W121" s="4453"/>
      <c r="X121" s="7886"/>
      <c r="Y121" s="4854"/>
      <c r="Z121" s="7889"/>
      <c r="AA121" s="7231"/>
      <c r="AB121" s="7504"/>
      <c r="AC121" s="4853"/>
      <c r="AD121" s="7885"/>
      <c r="AE121" s="4466"/>
      <c r="AF121" s="7504"/>
      <c r="AG121" s="4453"/>
      <c r="AH121" s="7885"/>
      <c r="AI121" s="4466"/>
      <c r="AJ121" s="7504"/>
      <c r="AK121" s="4453">
        <v>503.46000000000009</v>
      </c>
      <c r="AL121" s="7886"/>
      <c r="AM121" s="4854">
        <f t="shared" si="282"/>
        <v>503.46000000000009</v>
      </c>
      <c r="AN121" s="7885"/>
      <c r="AO121" s="4466">
        <f t="shared" si="275"/>
        <v>503.46000000000009</v>
      </c>
      <c r="AP121" s="7504"/>
      <c r="AQ121" s="4453">
        <v>0</v>
      </c>
      <c r="AR121" s="8036"/>
      <c r="AS121" s="4466">
        <f t="shared" si="276"/>
        <v>503.46000000000009</v>
      </c>
      <c r="AT121" s="7504"/>
      <c r="AU121" s="4453">
        <v>251.64</v>
      </c>
      <c r="AV121" s="8227"/>
      <c r="AW121" s="4466">
        <f t="shared" si="277"/>
        <v>755.10000000000014</v>
      </c>
      <c r="AX121" s="7504"/>
      <c r="AY121" s="4453"/>
      <c r="AZ121" s="8296"/>
      <c r="BA121" s="4854">
        <f t="shared" si="283"/>
        <v>251.64</v>
      </c>
      <c r="BB121" s="8296">
        <f t="shared" si="278"/>
        <v>0</v>
      </c>
      <c r="BC121" s="4854">
        <f t="shared" si="279"/>
        <v>755.10000000000014</v>
      </c>
      <c r="BD121" s="8309"/>
      <c r="BE121" s="7231"/>
    </row>
    <row r="122" spans="2:57" ht="19" x14ac:dyDescent="0.2">
      <c r="B122" s="4884" t="s">
        <v>2302</v>
      </c>
      <c r="C122" s="7521" t="s">
        <v>2364</v>
      </c>
      <c r="D122" s="7504"/>
      <c r="E122" s="7500">
        <v>2717.8400000000011</v>
      </c>
      <c r="F122" s="7504"/>
      <c r="G122" s="4453">
        <v>0</v>
      </c>
      <c r="H122" s="8799"/>
      <c r="I122" s="4466">
        <f t="shared" si="268"/>
        <v>2717.8400000000011</v>
      </c>
      <c r="J122" s="7504"/>
      <c r="K122" s="4453">
        <v>0</v>
      </c>
      <c r="L122" s="8741"/>
      <c r="M122" s="4854">
        <f t="shared" si="269"/>
        <v>2717.8400000000011</v>
      </c>
      <c r="N122" s="7504"/>
      <c r="O122" s="4453">
        <v>0</v>
      </c>
      <c r="P122" s="8799"/>
      <c r="Q122" s="4466">
        <f t="shared" si="270"/>
        <v>2717.8400000000011</v>
      </c>
      <c r="R122" s="7504"/>
      <c r="S122" s="4453">
        <v>0</v>
      </c>
      <c r="T122" s="8799"/>
      <c r="U122" s="4466">
        <f t="shared" si="271"/>
        <v>2717.8400000000011</v>
      </c>
      <c r="V122" s="7504"/>
      <c r="W122" s="4453"/>
      <c r="X122" s="8741"/>
      <c r="Y122" s="4854">
        <f t="shared" si="281"/>
        <v>0</v>
      </c>
      <c r="Z122" s="8743"/>
      <c r="AA122" s="7231">
        <f t="shared" si="272"/>
        <v>2717.8400000000011</v>
      </c>
      <c r="AB122" s="7504"/>
      <c r="AC122" s="4853">
        <v>0</v>
      </c>
      <c r="AD122" s="8799"/>
      <c r="AE122" s="4466">
        <f t="shared" si="273"/>
        <v>2717.8400000000011</v>
      </c>
      <c r="AF122" s="7504"/>
      <c r="AG122" s="4453">
        <v>0</v>
      </c>
      <c r="AH122" s="8799"/>
      <c r="AI122" s="4466">
        <f t="shared" si="274"/>
        <v>2717.8400000000011</v>
      </c>
      <c r="AJ122" s="7504"/>
      <c r="AK122" s="4453">
        <v>0</v>
      </c>
      <c r="AL122" s="8741"/>
      <c r="AM122" s="4854">
        <f t="shared" si="282"/>
        <v>0</v>
      </c>
      <c r="AN122" s="8799"/>
      <c r="AO122" s="4466">
        <f t="shared" si="275"/>
        <v>2717.8400000000011</v>
      </c>
      <c r="AP122" s="7504"/>
      <c r="AQ122" s="4453">
        <v>0</v>
      </c>
      <c r="AR122" s="8799"/>
      <c r="AS122" s="4466">
        <f t="shared" si="276"/>
        <v>2717.8400000000011</v>
      </c>
      <c r="AT122" s="7504"/>
      <c r="AU122" s="4453">
        <v>2898.54</v>
      </c>
      <c r="AV122" s="8799"/>
      <c r="AW122" s="4466">
        <f t="shared" si="277"/>
        <v>5616.380000000001</v>
      </c>
      <c r="AX122" s="7504"/>
      <c r="AY122" s="4453">
        <v>1840.5</v>
      </c>
      <c r="AZ122" s="8741"/>
      <c r="BA122" s="4854">
        <f t="shared" si="283"/>
        <v>4739.04</v>
      </c>
      <c r="BB122" s="8741">
        <f t="shared" si="278"/>
        <v>0</v>
      </c>
      <c r="BC122" s="4854">
        <f t="shared" si="279"/>
        <v>4739.04</v>
      </c>
      <c r="BD122" s="8743"/>
      <c r="BE122" s="7231">
        <f t="shared" ref="BE122" si="294">+AW122+AY122</f>
        <v>7456.880000000001</v>
      </c>
    </row>
    <row r="123" spans="2:57" s="8125" customFormat="1" ht="19" x14ac:dyDescent="0.2">
      <c r="B123" s="4884" t="s">
        <v>2302</v>
      </c>
      <c r="C123" s="7521" t="s">
        <v>2545</v>
      </c>
      <c r="D123" s="7504"/>
      <c r="E123" s="7500"/>
      <c r="F123" s="7504"/>
      <c r="G123" s="4453"/>
      <c r="H123" s="8800"/>
      <c r="I123" s="4466"/>
      <c r="J123" s="7504"/>
      <c r="K123" s="4453"/>
      <c r="L123" s="8742"/>
      <c r="M123" s="4854"/>
      <c r="N123" s="7504"/>
      <c r="O123" s="4453"/>
      <c r="P123" s="8800"/>
      <c r="Q123" s="4466"/>
      <c r="R123" s="7504"/>
      <c r="S123" s="4453"/>
      <c r="T123" s="8800"/>
      <c r="U123" s="4466"/>
      <c r="V123" s="7504"/>
      <c r="W123" s="4453"/>
      <c r="X123" s="8742"/>
      <c r="Y123" s="4854"/>
      <c r="Z123" s="8744"/>
      <c r="AA123" s="7231"/>
      <c r="AB123" s="7504"/>
      <c r="AC123" s="4853"/>
      <c r="AD123" s="8800"/>
      <c r="AE123" s="4466"/>
      <c r="AF123" s="7504"/>
      <c r="AG123" s="4453"/>
      <c r="AH123" s="8800"/>
      <c r="AI123" s="4466"/>
      <c r="AJ123" s="7504"/>
      <c r="AK123" s="4453">
        <v>0</v>
      </c>
      <c r="AL123" s="8742"/>
      <c r="AM123" s="4854"/>
      <c r="AN123" s="8800"/>
      <c r="AO123" s="4466">
        <f t="shared" si="275"/>
        <v>0</v>
      </c>
      <c r="AP123" s="7504"/>
      <c r="AQ123" s="4453">
        <v>62.42</v>
      </c>
      <c r="AR123" s="8800"/>
      <c r="AS123" s="4466">
        <f t="shared" si="276"/>
        <v>62.42</v>
      </c>
      <c r="AT123" s="7504"/>
      <c r="AU123" s="4453">
        <v>0</v>
      </c>
      <c r="AV123" s="8800"/>
      <c r="AW123" s="4466">
        <f t="shared" si="277"/>
        <v>62.42</v>
      </c>
      <c r="AX123" s="7504"/>
      <c r="AY123" s="4453"/>
      <c r="AZ123" s="8742"/>
      <c r="BA123" s="4854">
        <f t="shared" si="283"/>
        <v>62.42</v>
      </c>
      <c r="BB123" s="8742">
        <f t="shared" si="278"/>
        <v>0</v>
      </c>
      <c r="BC123" s="4854">
        <f t="shared" si="279"/>
        <v>62.42</v>
      </c>
      <c r="BD123" s="8744"/>
      <c r="BE123" s="7231"/>
    </row>
    <row r="124" spans="2:57" ht="18.75" customHeight="1" x14ac:dyDescent="0.2">
      <c r="B124" s="4884" t="s">
        <v>2302</v>
      </c>
      <c r="C124" s="7521" t="s">
        <v>2359</v>
      </c>
      <c r="D124" s="7504"/>
      <c r="E124" s="7500"/>
      <c r="F124" s="7504"/>
      <c r="G124" s="4453"/>
      <c r="H124" s="8801"/>
      <c r="I124" s="4466">
        <f t="shared" si="268"/>
        <v>0</v>
      </c>
      <c r="J124" s="7504"/>
      <c r="K124" s="4453">
        <v>654.88</v>
      </c>
      <c r="L124" s="8745"/>
      <c r="M124" s="4854">
        <f t="shared" si="269"/>
        <v>654.88</v>
      </c>
      <c r="N124" s="7504"/>
      <c r="O124" s="4453">
        <v>0</v>
      </c>
      <c r="P124" s="8801"/>
      <c r="Q124" s="4466">
        <f t="shared" si="270"/>
        <v>654.88</v>
      </c>
      <c r="R124" s="7504"/>
      <c r="S124" s="4453">
        <v>0</v>
      </c>
      <c r="T124" s="8801"/>
      <c r="U124" s="4466">
        <f t="shared" si="271"/>
        <v>654.88</v>
      </c>
      <c r="V124" s="7504"/>
      <c r="W124" s="4453"/>
      <c r="X124" s="8745"/>
      <c r="Y124" s="4854">
        <f t="shared" si="281"/>
        <v>0</v>
      </c>
      <c r="Z124" s="8746"/>
      <c r="AA124" s="7231">
        <f t="shared" si="272"/>
        <v>654.88</v>
      </c>
      <c r="AB124" s="7504"/>
      <c r="AC124" s="4853">
        <v>0</v>
      </c>
      <c r="AD124" s="8801"/>
      <c r="AE124" s="4466">
        <f t="shared" si="273"/>
        <v>654.88</v>
      </c>
      <c r="AF124" s="7504"/>
      <c r="AG124" s="4453">
        <v>0</v>
      </c>
      <c r="AH124" s="8801"/>
      <c r="AI124" s="4466">
        <f t="shared" si="274"/>
        <v>654.88</v>
      </c>
      <c r="AJ124" s="7504"/>
      <c r="AK124" s="4453">
        <v>0</v>
      </c>
      <c r="AL124" s="8745"/>
      <c r="AM124" s="4854">
        <f t="shared" si="282"/>
        <v>0</v>
      </c>
      <c r="AN124" s="8801"/>
      <c r="AO124" s="4466">
        <f t="shared" si="275"/>
        <v>654.88</v>
      </c>
      <c r="AP124" s="7504"/>
      <c r="AQ124" s="4453">
        <v>0</v>
      </c>
      <c r="AR124" s="8801"/>
      <c r="AS124" s="4466">
        <f t="shared" si="276"/>
        <v>654.88</v>
      </c>
      <c r="AT124" s="7504"/>
      <c r="AU124" s="4453">
        <v>0</v>
      </c>
      <c r="AV124" s="8801"/>
      <c r="AW124" s="4466">
        <f t="shared" si="277"/>
        <v>654.88</v>
      </c>
      <c r="AX124" s="7504"/>
      <c r="AY124" s="4453"/>
      <c r="AZ124" s="8745"/>
      <c r="BA124" s="4854">
        <f t="shared" si="283"/>
        <v>0</v>
      </c>
      <c r="BB124" s="8745">
        <f t="shared" si="278"/>
        <v>0</v>
      </c>
      <c r="BC124" s="4854">
        <f t="shared" si="279"/>
        <v>0</v>
      </c>
      <c r="BD124" s="8746"/>
      <c r="BE124" s="7231">
        <f t="shared" ref="BE124:BE131" si="295">+AW124+AY124</f>
        <v>654.88</v>
      </c>
    </row>
    <row r="125" spans="2:57" ht="18.75" customHeight="1" x14ac:dyDescent="0.2">
      <c r="B125" s="4884" t="s">
        <v>2302</v>
      </c>
      <c r="C125" s="7521" t="s">
        <v>2422</v>
      </c>
      <c r="D125" s="7504"/>
      <c r="E125" s="7500">
        <v>681.44</v>
      </c>
      <c r="F125" s="7504"/>
      <c r="G125" s="4453">
        <v>1246.5500000000004</v>
      </c>
      <c r="H125" s="8799"/>
      <c r="I125" s="4466">
        <f t="shared" si="268"/>
        <v>1927.9900000000005</v>
      </c>
      <c r="J125" s="7504"/>
      <c r="K125" s="4453">
        <v>1880.83</v>
      </c>
      <c r="L125" s="8741"/>
      <c r="M125" s="4854">
        <f t="shared" si="269"/>
        <v>3808.8200000000006</v>
      </c>
      <c r="N125" s="7504"/>
      <c r="O125" s="4453">
        <v>2510.5419999999999</v>
      </c>
      <c r="P125" s="8799"/>
      <c r="Q125" s="4466">
        <f t="shared" si="270"/>
        <v>6319.362000000001</v>
      </c>
      <c r="R125" s="7504"/>
      <c r="S125" s="4453">
        <v>554.72</v>
      </c>
      <c r="T125" s="8799"/>
      <c r="U125" s="4466">
        <f t="shared" si="271"/>
        <v>6874.0820000000012</v>
      </c>
      <c r="V125" s="7504"/>
      <c r="W125" s="4453">
        <v>122.879</v>
      </c>
      <c r="X125" s="8741"/>
      <c r="Y125" s="4854">
        <f t="shared" si="281"/>
        <v>3188.1409999999996</v>
      </c>
      <c r="Z125" s="8743"/>
      <c r="AA125" s="7231">
        <f t="shared" si="272"/>
        <v>6996.9610000000011</v>
      </c>
      <c r="AB125" s="7504"/>
      <c r="AC125" s="4853">
        <v>99.740000000000009</v>
      </c>
      <c r="AD125" s="8799"/>
      <c r="AE125" s="4466">
        <f t="shared" si="273"/>
        <v>7096.7010000000009</v>
      </c>
      <c r="AF125" s="7504"/>
      <c r="AG125" s="4453">
        <v>0</v>
      </c>
      <c r="AH125" s="8799"/>
      <c r="AI125" s="4466">
        <f t="shared" si="274"/>
        <v>7096.7010000000009</v>
      </c>
      <c r="AJ125" s="7504"/>
      <c r="AK125" s="4453">
        <v>0</v>
      </c>
      <c r="AL125" s="8741"/>
      <c r="AM125" s="4854">
        <f t="shared" si="282"/>
        <v>99.740000000000009</v>
      </c>
      <c r="AN125" s="8799"/>
      <c r="AO125" s="4466">
        <f t="shared" si="275"/>
        <v>7096.7010000000009</v>
      </c>
      <c r="AP125" s="7504"/>
      <c r="AQ125" s="4453">
        <v>0</v>
      </c>
      <c r="AR125" s="8799"/>
      <c r="AS125" s="4466">
        <f t="shared" si="276"/>
        <v>7096.7010000000009</v>
      </c>
      <c r="AT125" s="7504"/>
      <c r="AU125" s="4453">
        <v>127.56</v>
      </c>
      <c r="AV125" s="8799"/>
      <c r="AW125" s="4466">
        <f t="shared" si="277"/>
        <v>7224.2610000000013</v>
      </c>
      <c r="AX125" s="7504"/>
      <c r="AY125" s="4453">
        <v>121.8</v>
      </c>
      <c r="AZ125" s="8741"/>
      <c r="BA125" s="4854">
        <f t="shared" si="283"/>
        <v>249.36</v>
      </c>
      <c r="BB125" s="8741">
        <f t="shared" si="278"/>
        <v>0</v>
      </c>
      <c r="BC125" s="4854">
        <f t="shared" si="279"/>
        <v>349.1</v>
      </c>
      <c r="BD125" s="8743"/>
      <c r="BE125" s="7231">
        <f t="shared" si="295"/>
        <v>7346.0610000000015</v>
      </c>
    </row>
    <row r="126" spans="2:57" s="5438" customFormat="1" ht="18.75" customHeight="1" x14ac:dyDescent="0.2">
      <c r="B126" s="4884" t="s">
        <v>2302</v>
      </c>
      <c r="C126" s="7521" t="s">
        <v>2313</v>
      </c>
      <c r="D126" s="7504"/>
      <c r="E126" s="7500">
        <v>0</v>
      </c>
      <c r="F126" s="7504"/>
      <c r="G126" s="4453">
        <v>1151.8499999999999</v>
      </c>
      <c r="H126" s="8800"/>
      <c r="I126" s="4466">
        <f t="shared" si="268"/>
        <v>1151.8499999999999</v>
      </c>
      <c r="J126" s="7504"/>
      <c r="K126" s="4453">
        <v>3333.6579999999999</v>
      </c>
      <c r="L126" s="8742"/>
      <c r="M126" s="4854">
        <f t="shared" si="269"/>
        <v>4485.5079999999998</v>
      </c>
      <c r="N126" s="7504"/>
      <c r="O126" s="4453">
        <v>3146.8410000000003</v>
      </c>
      <c r="P126" s="8800"/>
      <c r="Q126" s="4466">
        <f t="shared" si="270"/>
        <v>7632.3490000000002</v>
      </c>
      <c r="R126" s="7504"/>
      <c r="S126" s="4453">
        <v>4285.8590000000013</v>
      </c>
      <c r="T126" s="8800"/>
      <c r="U126" s="4466">
        <f t="shared" si="271"/>
        <v>11918.208000000002</v>
      </c>
      <c r="V126" s="7504"/>
      <c r="W126" s="4453">
        <v>2429.442</v>
      </c>
      <c r="X126" s="8742"/>
      <c r="Y126" s="4854">
        <f t="shared" si="281"/>
        <v>9862.1420000000016</v>
      </c>
      <c r="Z126" s="8744"/>
      <c r="AA126" s="7231">
        <f t="shared" si="272"/>
        <v>14347.650000000001</v>
      </c>
      <c r="AB126" s="7504"/>
      <c r="AC126" s="4853">
        <v>5240.6299999999992</v>
      </c>
      <c r="AD126" s="8800"/>
      <c r="AE126" s="4466">
        <f t="shared" si="273"/>
        <v>19588.28</v>
      </c>
      <c r="AF126" s="7504"/>
      <c r="AG126" s="4453">
        <v>11990.489999999998</v>
      </c>
      <c r="AH126" s="8800"/>
      <c r="AI126" s="4466">
        <f t="shared" si="274"/>
        <v>31578.769999999997</v>
      </c>
      <c r="AJ126" s="7504"/>
      <c r="AK126" s="4453">
        <v>5656.8100000000013</v>
      </c>
      <c r="AL126" s="8742"/>
      <c r="AM126" s="4854">
        <f t="shared" si="282"/>
        <v>22887.929999999997</v>
      </c>
      <c r="AN126" s="8800"/>
      <c r="AO126" s="4466">
        <f t="shared" si="275"/>
        <v>37235.58</v>
      </c>
      <c r="AP126" s="7504"/>
      <c r="AQ126" s="4453">
        <v>9104.9599999999991</v>
      </c>
      <c r="AR126" s="8800"/>
      <c r="AS126" s="4466">
        <f t="shared" si="276"/>
        <v>46340.54</v>
      </c>
      <c r="AT126" s="7504"/>
      <c r="AU126" s="4453">
        <f>5194.19</f>
        <v>5194.1899999999996</v>
      </c>
      <c r="AV126" s="8800"/>
      <c r="AW126" s="4466">
        <f t="shared" si="277"/>
        <v>51534.73</v>
      </c>
      <c r="AX126" s="7504"/>
      <c r="AY126" s="4453">
        <v>6653.68</v>
      </c>
      <c r="AZ126" s="8742"/>
      <c r="BA126" s="4854">
        <f t="shared" si="283"/>
        <v>20952.829999999998</v>
      </c>
      <c r="BB126" s="8742">
        <f t="shared" si="278"/>
        <v>0</v>
      </c>
      <c r="BC126" s="4854">
        <f t="shared" si="279"/>
        <v>43840.759999999995</v>
      </c>
      <c r="BD126" s="8744"/>
      <c r="BE126" s="7231">
        <f t="shared" si="295"/>
        <v>58188.41</v>
      </c>
    </row>
    <row r="127" spans="2:57" s="5983" customFormat="1" ht="18.75" customHeight="1" x14ac:dyDescent="0.2">
      <c r="B127" s="4884" t="s">
        <v>2302</v>
      </c>
      <c r="C127" s="7521" t="s">
        <v>2365</v>
      </c>
      <c r="D127" s="7504"/>
      <c r="E127" s="7500"/>
      <c r="F127" s="7504"/>
      <c r="G127" s="4453"/>
      <c r="H127" s="8800"/>
      <c r="I127" s="4466">
        <f t="shared" si="268"/>
        <v>0</v>
      </c>
      <c r="J127" s="7504"/>
      <c r="K127" s="4453"/>
      <c r="L127" s="8742"/>
      <c r="M127" s="4854">
        <f t="shared" si="269"/>
        <v>0</v>
      </c>
      <c r="N127" s="7504"/>
      <c r="O127" s="4453">
        <v>2591.1510000000003</v>
      </c>
      <c r="P127" s="8800"/>
      <c r="Q127" s="4466">
        <f t="shared" si="270"/>
        <v>2591.1510000000003</v>
      </c>
      <c r="R127" s="7504"/>
      <c r="S127" s="4453">
        <v>2795.2220000000002</v>
      </c>
      <c r="T127" s="8800"/>
      <c r="U127" s="4466">
        <f t="shared" si="271"/>
        <v>5386.3730000000005</v>
      </c>
      <c r="V127" s="7504"/>
      <c r="W127" s="4453"/>
      <c r="X127" s="8742"/>
      <c r="Y127" s="4854">
        <f t="shared" si="281"/>
        <v>5386.3730000000005</v>
      </c>
      <c r="Z127" s="8744"/>
      <c r="AA127" s="7231">
        <f t="shared" si="272"/>
        <v>5386.3730000000005</v>
      </c>
      <c r="AB127" s="7504"/>
      <c r="AC127" s="4853">
        <v>2832.68</v>
      </c>
      <c r="AD127" s="8800"/>
      <c r="AE127" s="4466">
        <f t="shared" si="273"/>
        <v>8219.0529999999999</v>
      </c>
      <c r="AF127" s="7504"/>
      <c r="AG127" s="4453">
        <v>9139.68</v>
      </c>
      <c r="AH127" s="8800"/>
      <c r="AI127" s="4466">
        <f t="shared" si="274"/>
        <v>17358.733</v>
      </c>
      <c r="AJ127" s="7504"/>
      <c r="AK127" s="4453">
        <v>4941.7000000000016</v>
      </c>
      <c r="AL127" s="8742"/>
      <c r="AM127" s="4854">
        <f t="shared" si="282"/>
        <v>16914.060000000001</v>
      </c>
      <c r="AN127" s="8800"/>
      <c r="AO127" s="4466">
        <f t="shared" si="275"/>
        <v>22300.433000000001</v>
      </c>
      <c r="AP127" s="7504"/>
      <c r="AQ127" s="4453">
        <v>2366.02</v>
      </c>
      <c r="AR127" s="8800"/>
      <c r="AS127" s="4466">
        <f t="shared" si="276"/>
        <v>24666.453000000001</v>
      </c>
      <c r="AT127" s="7504"/>
      <c r="AU127" s="4453">
        <v>0</v>
      </c>
      <c r="AV127" s="8800"/>
      <c r="AW127" s="4466">
        <f t="shared" si="277"/>
        <v>24666.453000000001</v>
      </c>
      <c r="AX127" s="7504"/>
      <c r="AY127" s="4453"/>
      <c r="AZ127" s="8742"/>
      <c r="BA127" s="4854">
        <f t="shared" si="283"/>
        <v>2366.02</v>
      </c>
      <c r="BB127" s="8742">
        <f t="shared" si="278"/>
        <v>0</v>
      </c>
      <c r="BC127" s="4854">
        <f t="shared" si="279"/>
        <v>19280.080000000002</v>
      </c>
      <c r="BD127" s="8744"/>
      <c r="BE127" s="7231">
        <f t="shared" si="295"/>
        <v>24666.453000000001</v>
      </c>
    </row>
    <row r="128" spans="2:57" ht="18.75" customHeight="1" x14ac:dyDescent="0.2">
      <c r="B128" s="4884" t="s">
        <v>2302</v>
      </c>
      <c r="C128" s="7521" t="s">
        <v>2362</v>
      </c>
      <c r="D128" s="7504"/>
      <c r="E128" s="7500"/>
      <c r="F128" s="7504"/>
      <c r="G128" s="4453"/>
      <c r="H128" s="8800"/>
      <c r="I128" s="4466">
        <f t="shared" si="268"/>
        <v>0</v>
      </c>
      <c r="J128" s="7504"/>
      <c r="K128" s="4453"/>
      <c r="L128" s="8742"/>
      <c r="M128" s="4854">
        <f t="shared" si="269"/>
        <v>0</v>
      </c>
      <c r="N128" s="7504"/>
      <c r="O128" s="4453"/>
      <c r="P128" s="8800"/>
      <c r="Q128" s="4466">
        <f t="shared" si="270"/>
        <v>0</v>
      </c>
      <c r="R128" s="7504"/>
      <c r="S128" s="4453">
        <v>245.04</v>
      </c>
      <c r="T128" s="8800"/>
      <c r="U128" s="4466">
        <f t="shared" si="271"/>
        <v>245.04</v>
      </c>
      <c r="V128" s="7504"/>
      <c r="W128" s="4453"/>
      <c r="X128" s="8742"/>
      <c r="Y128" s="4854">
        <f t="shared" si="281"/>
        <v>245.04</v>
      </c>
      <c r="Z128" s="8744"/>
      <c r="AA128" s="7231">
        <f t="shared" si="272"/>
        <v>245.04</v>
      </c>
      <c r="AB128" s="7504"/>
      <c r="AC128" s="4853">
        <v>0</v>
      </c>
      <c r="AD128" s="8800"/>
      <c r="AE128" s="4466">
        <f t="shared" si="273"/>
        <v>245.04</v>
      </c>
      <c r="AF128" s="7504"/>
      <c r="AG128" s="4453">
        <v>0</v>
      </c>
      <c r="AH128" s="8800"/>
      <c r="AI128" s="4466">
        <f t="shared" si="274"/>
        <v>245.04</v>
      </c>
      <c r="AJ128" s="7504"/>
      <c r="AK128" s="4453">
        <v>0</v>
      </c>
      <c r="AL128" s="8742"/>
      <c r="AM128" s="4854">
        <f t="shared" si="282"/>
        <v>0</v>
      </c>
      <c r="AN128" s="8800"/>
      <c r="AO128" s="4466">
        <f t="shared" si="275"/>
        <v>245.04</v>
      </c>
      <c r="AP128" s="7504"/>
      <c r="AQ128" s="4453">
        <v>0</v>
      </c>
      <c r="AR128" s="8800"/>
      <c r="AS128" s="4466">
        <f t="shared" si="276"/>
        <v>245.04</v>
      </c>
      <c r="AT128" s="7504"/>
      <c r="AU128" s="4453">
        <v>6776.68</v>
      </c>
      <c r="AV128" s="8800"/>
      <c r="AW128" s="4466">
        <f t="shared" si="277"/>
        <v>7021.72</v>
      </c>
      <c r="AX128" s="7504"/>
      <c r="AY128" s="4453">
        <v>8279.44</v>
      </c>
      <c r="AZ128" s="8742"/>
      <c r="BA128" s="4854">
        <f t="shared" si="283"/>
        <v>15056.12</v>
      </c>
      <c r="BB128" s="8742">
        <f t="shared" si="278"/>
        <v>0</v>
      </c>
      <c r="BC128" s="4854">
        <f t="shared" si="279"/>
        <v>15056.12</v>
      </c>
      <c r="BD128" s="8744"/>
      <c r="BE128" s="7231">
        <f t="shared" si="295"/>
        <v>15301.16</v>
      </c>
    </row>
    <row r="129" spans="1:57" ht="18.75" customHeight="1" x14ac:dyDescent="0.2">
      <c r="B129" s="4884" t="s">
        <v>2303</v>
      </c>
      <c r="C129" s="7521" t="s">
        <v>2313</v>
      </c>
      <c r="D129" s="7504"/>
      <c r="E129" s="7500">
        <v>0</v>
      </c>
      <c r="F129" s="7504"/>
      <c r="G129" s="4453">
        <v>318.34999999999997</v>
      </c>
      <c r="H129" s="8800"/>
      <c r="I129" s="4466">
        <f t="shared" si="268"/>
        <v>318.34999999999997</v>
      </c>
      <c r="J129" s="7504"/>
      <c r="K129" s="4453">
        <v>0</v>
      </c>
      <c r="L129" s="8742"/>
      <c r="M129" s="4854">
        <f t="shared" si="269"/>
        <v>318.34999999999997</v>
      </c>
      <c r="N129" s="7504"/>
      <c r="O129" s="4453">
        <v>1950.0120000000002</v>
      </c>
      <c r="P129" s="8800"/>
      <c r="Q129" s="4466">
        <f t="shared" si="270"/>
        <v>2268.3620000000001</v>
      </c>
      <c r="R129" s="7504"/>
      <c r="S129" s="4453">
        <v>366.45300000000003</v>
      </c>
      <c r="T129" s="8800"/>
      <c r="U129" s="4466">
        <f t="shared" si="271"/>
        <v>2634.8150000000001</v>
      </c>
      <c r="V129" s="7504"/>
      <c r="W129" s="4453">
        <v>1453.63</v>
      </c>
      <c r="X129" s="8742"/>
      <c r="Y129" s="4854">
        <f t="shared" si="281"/>
        <v>3770.0950000000003</v>
      </c>
      <c r="Z129" s="8744"/>
      <c r="AA129" s="7231">
        <f t="shared" si="272"/>
        <v>4088.4450000000002</v>
      </c>
      <c r="AB129" s="7504"/>
      <c r="AC129" s="4853">
        <v>0</v>
      </c>
      <c r="AD129" s="8800"/>
      <c r="AE129" s="4466">
        <f t="shared" si="273"/>
        <v>4088.4450000000002</v>
      </c>
      <c r="AF129" s="7504"/>
      <c r="AG129" s="4453">
        <v>0</v>
      </c>
      <c r="AH129" s="8800"/>
      <c r="AI129" s="4466">
        <f t="shared" si="274"/>
        <v>4088.4450000000002</v>
      </c>
      <c r="AJ129" s="7504"/>
      <c r="AK129" s="4453">
        <v>91.96</v>
      </c>
      <c r="AL129" s="8742"/>
      <c r="AM129" s="4854">
        <f t="shared" si="282"/>
        <v>91.96</v>
      </c>
      <c r="AN129" s="8800"/>
      <c r="AO129" s="4466">
        <f t="shared" si="275"/>
        <v>4180.4049999999997</v>
      </c>
      <c r="AP129" s="7504"/>
      <c r="AQ129" s="4453">
        <v>0</v>
      </c>
      <c r="AR129" s="8800"/>
      <c r="AS129" s="4466">
        <f t="shared" si="276"/>
        <v>4180.4049999999997</v>
      </c>
      <c r="AT129" s="7504"/>
      <c r="AU129" s="4453">
        <v>0</v>
      </c>
      <c r="AV129" s="8800"/>
      <c r="AW129" s="4466">
        <f t="shared" si="277"/>
        <v>4180.4049999999997</v>
      </c>
      <c r="AX129" s="7504"/>
      <c r="AY129" s="4453">
        <v>134.52000000000001</v>
      </c>
      <c r="AZ129" s="8742"/>
      <c r="BA129" s="4854">
        <f t="shared" si="283"/>
        <v>134.52000000000001</v>
      </c>
      <c r="BB129" s="8742">
        <f t="shared" si="278"/>
        <v>0</v>
      </c>
      <c r="BC129" s="4854">
        <f t="shared" si="279"/>
        <v>226.48000000000002</v>
      </c>
      <c r="BD129" s="8744"/>
      <c r="BE129" s="7231">
        <f t="shared" si="295"/>
        <v>4314.9250000000002</v>
      </c>
    </row>
    <row r="130" spans="1:57" ht="19" x14ac:dyDescent="0.2">
      <c r="B130" s="4884" t="s">
        <v>2303</v>
      </c>
      <c r="C130" s="7521" t="s">
        <v>1753</v>
      </c>
      <c r="D130" s="7504"/>
      <c r="E130" s="7500">
        <v>115.87899999999999</v>
      </c>
      <c r="F130" s="7504"/>
      <c r="G130" s="4453">
        <v>0</v>
      </c>
      <c r="H130" s="8800"/>
      <c r="I130" s="4466">
        <f t="shared" si="268"/>
        <v>115.87899999999999</v>
      </c>
      <c r="J130" s="7504"/>
      <c r="K130" s="4453">
        <v>0</v>
      </c>
      <c r="L130" s="8742"/>
      <c r="M130" s="4854">
        <f t="shared" si="269"/>
        <v>115.87899999999999</v>
      </c>
      <c r="N130" s="7504"/>
      <c r="O130" s="4453">
        <v>0</v>
      </c>
      <c r="P130" s="8800"/>
      <c r="Q130" s="4466">
        <f t="shared" si="270"/>
        <v>115.87899999999999</v>
      </c>
      <c r="R130" s="7504"/>
      <c r="S130" s="4453">
        <v>58.42</v>
      </c>
      <c r="T130" s="8800"/>
      <c r="U130" s="4466">
        <f t="shared" si="271"/>
        <v>174.29899999999998</v>
      </c>
      <c r="V130" s="7504"/>
      <c r="W130" s="4453">
        <v>911.93</v>
      </c>
      <c r="X130" s="8742"/>
      <c r="Y130" s="4854">
        <f t="shared" si="281"/>
        <v>970.34999999999991</v>
      </c>
      <c r="Z130" s="8744"/>
      <c r="AA130" s="7231">
        <f t="shared" si="272"/>
        <v>1086.2289999999998</v>
      </c>
      <c r="AB130" s="7504"/>
      <c r="AC130" s="4853">
        <v>0</v>
      </c>
      <c r="AD130" s="8800"/>
      <c r="AE130" s="4466">
        <f t="shared" si="273"/>
        <v>1086.2289999999998</v>
      </c>
      <c r="AF130" s="7504"/>
      <c r="AG130" s="4453">
        <v>800.5300000000002</v>
      </c>
      <c r="AH130" s="8800"/>
      <c r="AI130" s="4466">
        <f t="shared" si="274"/>
        <v>1886.759</v>
      </c>
      <c r="AJ130" s="7504"/>
      <c r="AK130" s="4453">
        <v>160.85000000000002</v>
      </c>
      <c r="AL130" s="8742"/>
      <c r="AM130" s="4854">
        <f t="shared" si="282"/>
        <v>961.38000000000022</v>
      </c>
      <c r="AN130" s="8800"/>
      <c r="AO130" s="4466">
        <f t="shared" si="275"/>
        <v>2047.6089999999999</v>
      </c>
      <c r="AP130" s="7504"/>
      <c r="AQ130" s="4453">
        <v>293.3</v>
      </c>
      <c r="AR130" s="8800"/>
      <c r="AS130" s="4466">
        <f t="shared" si="276"/>
        <v>2340.9090000000001</v>
      </c>
      <c r="AT130" s="7504"/>
      <c r="AU130" s="4453">
        <v>993.24</v>
      </c>
      <c r="AV130" s="8800"/>
      <c r="AW130" s="4466">
        <f t="shared" si="277"/>
        <v>3334.1490000000003</v>
      </c>
      <c r="AX130" s="7504"/>
      <c r="AY130" s="4453">
        <v>64.650000000000006</v>
      </c>
      <c r="AZ130" s="8742"/>
      <c r="BA130" s="4854">
        <f t="shared" si="283"/>
        <v>1351.19</v>
      </c>
      <c r="BB130" s="8742">
        <f t="shared" si="278"/>
        <v>0</v>
      </c>
      <c r="BC130" s="4854">
        <f t="shared" si="279"/>
        <v>2312.5700000000002</v>
      </c>
      <c r="BD130" s="8744"/>
      <c r="BE130" s="7231">
        <f t="shared" si="295"/>
        <v>3398.7990000000004</v>
      </c>
    </row>
    <row r="131" spans="1:57" ht="19" x14ac:dyDescent="0.2">
      <c r="B131" s="4884" t="s">
        <v>2303</v>
      </c>
      <c r="C131" s="7521" t="s">
        <v>1752</v>
      </c>
      <c r="D131" s="7504"/>
      <c r="E131" s="7500">
        <v>185.14</v>
      </c>
      <c r="F131" s="7504"/>
      <c r="G131" s="4453">
        <v>62.68</v>
      </c>
      <c r="H131" s="8801"/>
      <c r="I131" s="4466">
        <f t="shared" si="268"/>
        <v>247.82</v>
      </c>
      <c r="J131" s="7504"/>
      <c r="K131" s="4453">
        <v>0</v>
      </c>
      <c r="L131" s="8745"/>
      <c r="M131" s="4854">
        <f t="shared" si="269"/>
        <v>247.82</v>
      </c>
      <c r="N131" s="7504"/>
      <c r="O131" s="4453">
        <v>481.25999999999993</v>
      </c>
      <c r="P131" s="8801"/>
      <c r="Q131" s="4466">
        <f t="shared" si="270"/>
        <v>729.07999999999993</v>
      </c>
      <c r="R131" s="7504"/>
      <c r="S131" s="4453">
        <v>218.04000000000002</v>
      </c>
      <c r="T131" s="8801"/>
      <c r="U131" s="4466">
        <f t="shared" si="271"/>
        <v>947.11999999999989</v>
      </c>
      <c r="V131" s="7504"/>
      <c r="W131" s="4453">
        <v>494.98</v>
      </c>
      <c r="X131" s="8745"/>
      <c r="Y131" s="4854">
        <f t="shared" si="281"/>
        <v>1194.28</v>
      </c>
      <c r="Z131" s="8746"/>
      <c r="AA131" s="7231">
        <f t="shared" si="272"/>
        <v>1442.1</v>
      </c>
      <c r="AB131" s="7504"/>
      <c r="AC131" s="4853">
        <v>28.71</v>
      </c>
      <c r="AD131" s="8801"/>
      <c r="AE131" s="4466">
        <f t="shared" si="273"/>
        <v>1470.81</v>
      </c>
      <c r="AF131" s="7504"/>
      <c r="AG131" s="4453">
        <v>0</v>
      </c>
      <c r="AH131" s="8801"/>
      <c r="AI131" s="4466">
        <f t="shared" si="274"/>
        <v>1470.81</v>
      </c>
      <c r="AJ131" s="7504"/>
      <c r="AK131" s="4453">
        <v>0</v>
      </c>
      <c r="AL131" s="8745"/>
      <c r="AM131" s="4854">
        <f t="shared" si="282"/>
        <v>28.71</v>
      </c>
      <c r="AN131" s="8801"/>
      <c r="AO131" s="4466">
        <f t="shared" si="275"/>
        <v>1470.81</v>
      </c>
      <c r="AP131" s="7504"/>
      <c r="AQ131" s="4453">
        <v>181.72</v>
      </c>
      <c r="AR131" s="8801"/>
      <c r="AS131" s="4466">
        <f t="shared" si="276"/>
        <v>1652.53</v>
      </c>
      <c r="AT131" s="7504"/>
      <c r="AU131" s="4453">
        <v>973.14</v>
      </c>
      <c r="AV131" s="8801"/>
      <c r="AW131" s="4466">
        <f t="shared" si="277"/>
        <v>2625.67</v>
      </c>
      <c r="AX131" s="7504"/>
      <c r="AY131" s="4453">
        <v>90.34</v>
      </c>
      <c r="AZ131" s="8745"/>
      <c r="BA131" s="4854">
        <f t="shared" si="283"/>
        <v>1245.1999999999998</v>
      </c>
      <c r="BB131" s="8745">
        <f t="shared" si="278"/>
        <v>0</v>
      </c>
      <c r="BC131" s="4854">
        <f t="shared" si="279"/>
        <v>1273.9099999999999</v>
      </c>
      <c r="BD131" s="8746"/>
      <c r="BE131" s="7231">
        <f t="shared" si="295"/>
        <v>2716.01</v>
      </c>
    </row>
    <row r="132" spans="1:57" s="8125" customFormat="1" ht="19" x14ac:dyDescent="0.2">
      <c r="B132" s="4884" t="s">
        <v>2303</v>
      </c>
      <c r="C132" s="7521" t="s">
        <v>2545</v>
      </c>
      <c r="D132" s="7504"/>
      <c r="E132" s="7500"/>
      <c r="F132" s="7504"/>
      <c r="G132" s="4453"/>
      <c r="H132" s="8127"/>
      <c r="I132" s="4466"/>
      <c r="J132" s="7504"/>
      <c r="K132" s="4453"/>
      <c r="L132" s="8126"/>
      <c r="M132" s="4854"/>
      <c r="N132" s="7504"/>
      <c r="O132" s="4453"/>
      <c r="P132" s="8127"/>
      <c r="Q132" s="4466"/>
      <c r="R132" s="7504"/>
      <c r="S132" s="4453"/>
      <c r="T132" s="8127"/>
      <c r="U132" s="4466"/>
      <c r="V132" s="7504"/>
      <c r="W132" s="4453"/>
      <c r="X132" s="8126"/>
      <c r="Y132" s="4854"/>
      <c r="Z132" s="8131"/>
      <c r="AA132" s="7231"/>
      <c r="AB132" s="7504"/>
      <c r="AC132" s="4853"/>
      <c r="AD132" s="8127"/>
      <c r="AE132" s="4466"/>
      <c r="AF132" s="7504"/>
      <c r="AG132" s="4453"/>
      <c r="AH132" s="8127"/>
      <c r="AI132" s="4466"/>
      <c r="AJ132" s="7504"/>
      <c r="AK132" s="4453"/>
      <c r="AL132" s="8126"/>
      <c r="AM132" s="4854"/>
      <c r="AN132" s="8127"/>
      <c r="AO132" s="4466"/>
      <c r="AP132" s="7504"/>
      <c r="AQ132" s="4453">
        <v>328.78000000000003</v>
      </c>
      <c r="AR132" s="8127"/>
      <c r="AS132" s="4466">
        <f t="shared" si="276"/>
        <v>328.78000000000003</v>
      </c>
      <c r="AT132" s="7504"/>
      <c r="AU132" s="4453">
        <v>0</v>
      </c>
      <c r="AV132" s="8227"/>
      <c r="AW132" s="4466">
        <f t="shared" si="277"/>
        <v>328.78000000000003</v>
      </c>
      <c r="AX132" s="7504"/>
      <c r="AY132" s="4453">
        <v>56.72</v>
      </c>
      <c r="AZ132" s="8296"/>
      <c r="BA132" s="4854">
        <f t="shared" si="283"/>
        <v>385.5</v>
      </c>
      <c r="BB132" s="8296">
        <f t="shared" ref="BB132:BB169" si="296">+AZ132+AL132</f>
        <v>0</v>
      </c>
      <c r="BC132" s="4854">
        <f t="shared" ref="BC132:BC169" si="297">+BA132+AM132</f>
        <v>385.5</v>
      </c>
      <c r="BD132" s="8309"/>
      <c r="BE132" s="7231"/>
    </row>
    <row r="133" spans="1:57" s="4756" customFormat="1" ht="18.75" customHeight="1" x14ac:dyDescent="0.2">
      <c r="B133" s="4884" t="s">
        <v>2303</v>
      </c>
      <c r="C133" s="7521" t="s">
        <v>1848</v>
      </c>
      <c r="D133" s="7504"/>
      <c r="E133" s="7500"/>
      <c r="F133" s="7504"/>
      <c r="G133" s="4453"/>
      <c r="H133" s="8800"/>
      <c r="I133" s="4466">
        <f t="shared" si="268"/>
        <v>0</v>
      </c>
      <c r="J133" s="7504"/>
      <c r="K133" s="4453"/>
      <c r="L133" s="8742"/>
      <c r="M133" s="4854">
        <f t="shared" si="269"/>
        <v>0</v>
      </c>
      <c r="N133" s="7504"/>
      <c r="O133" s="4453"/>
      <c r="P133" s="8800"/>
      <c r="Q133" s="4466">
        <f t="shared" si="270"/>
        <v>0</v>
      </c>
      <c r="R133" s="7504"/>
      <c r="S133" s="4453">
        <v>262.11</v>
      </c>
      <c r="T133" s="8800"/>
      <c r="U133" s="4466">
        <f t="shared" si="271"/>
        <v>262.11</v>
      </c>
      <c r="V133" s="7504"/>
      <c r="W133" s="4453"/>
      <c r="X133" s="8742"/>
      <c r="Y133" s="4854">
        <f t="shared" si="281"/>
        <v>262.11</v>
      </c>
      <c r="Z133" s="8744"/>
      <c r="AA133" s="7231">
        <f t="shared" si="272"/>
        <v>262.11</v>
      </c>
      <c r="AB133" s="7504"/>
      <c r="AC133" s="4853">
        <v>122.63999999999999</v>
      </c>
      <c r="AD133" s="8800"/>
      <c r="AE133" s="4466">
        <f t="shared" si="273"/>
        <v>384.75</v>
      </c>
      <c r="AF133" s="7504"/>
      <c r="AG133" s="4453">
        <v>0</v>
      </c>
      <c r="AH133" s="8800"/>
      <c r="AI133" s="4466">
        <f t="shared" si="274"/>
        <v>384.75</v>
      </c>
      <c r="AJ133" s="7504"/>
      <c r="AK133" s="4453">
        <v>0</v>
      </c>
      <c r="AL133" s="8742"/>
      <c r="AM133" s="4854">
        <f t="shared" si="282"/>
        <v>122.63999999999999</v>
      </c>
      <c r="AN133" s="8800"/>
      <c r="AO133" s="4466">
        <f t="shared" si="275"/>
        <v>384.75</v>
      </c>
      <c r="AP133" s="7504"/>
      <c r="AQ133" s="4453"/>
      <c r="AR133" s="8800"/>
      <c r="AS133" s="4466">
        <f t="shared" si="276"/>
        <v>384.75</v>
      </c>
      <c r="AT133" s="7504"/>
      <c r="AU133" s="4453">
        <v>0</v>
      </c>
      <c r="AV133" s="8800"/>
      <c r="AW133" s="4466">
        <f t="shared" si="277"/>
        <v>384.75</v>
      </c>
      <c r="AX133" s="7504"/>
      <c r="AY133" s="4453"/>
      <c r="AZ133" s="8742"/>
      <c r="BA133" s="4854">
        <f t="shared" ref="BA133:BA143" si="298">AQ133+AU133+AY133</f>
        <v>0</v>
      </c>
      <c r="BB133" s="8742">
        <f t="shared" si="296"/>
        <v>0</v>
      </c>
      <c r="BC133" s="4854">
        <f t="shared" si="297"/>
        <v>122.63999999999999</v>
      </c>
      <c r="BD133" s="8744"/>
      <c r="BE133" s="7231">
        <f t="shared" ref="BE133" si="299">+AW133+AY133</f>
        <v>384.75</v>
      </c>
    </row>
    <row r="134" spans="1:57" s="8125" customFormat="1" ht="18.75" customHeight="1" x14ac:dyDescent="0.2">
      <c r="B134" s="4884" t="s">
        <v>2303</v>
      </c>
      <c r="C134" s="7521" t="s">
        <v>2317</v>
      </c>
      <c r="D134" s="7504"/>
      <c r="E134" s="7500"/>
      <c r="F134" s="7504"/>
      <c r="G134" s="4453"/>
      <c r="H134" s="8800"/>
      <c r="I134" s="4466"/>
      <c r="J134" s="7504"/>
      <c r="K134" s="4453"/>
      <c r="L134" s="8742"/>
      <c r="M134" s="4854"/>
      <c r="N134" s="7504"/>
      <c r="O134" s="4453"/>
      <c r="P134" s="8800"/>
      <c r="Q134" s="4466"/>
      <c r="R134" s="7504"/>
      <c r="S134" s="4453"/>
      <c r="T134" s="8800"/>
      <c r="U134" s="4466"/>
      <c r="V134" s="7504"/>
      <c r="W134" s="4453"/>
      <c r="X134" s="8742"/>
      <c r="Y134" s="4854"/>
      <c r="Z134" s="8744"/>
      <c r="AA134" s="7231"/>
      <c r="AB134" s="7504"/>
      <c r="AC134" s="4853"/>
      <c r="AD134" s="8800"/>
      <c r="AE134" s="4466"/>
      <c r="AF134" s="7504"/>
      <c r="AG134" s="4453"/>
      <c r="AH134" s="8800"/>
      <c r="AI134" s="4466"/>
      <c r="AJ134" s="7504"/>
      <c r="AK134" s="4453"/>
      <c r="AL134" s="8742"/>
      <c r="AM134" s="4854"/>
      <c r="AN134" s="8800"/>
      <c r="AO134" s="4466"/>
      <c r="AP134" s="7504"/>
      <c r="AQ134" s="4453">
        <v>3.86</v>
      </c>
      <c r="AR134" s="8800"/>
      <c r="AS134" s="4466">
        <f t="shared" si="276"/>
        <v>3.86</v>
      </c>
      <c r="AT134" s="7504"/>
      <c r="AU134" s="4453">
        <v>0</v>
      </c>
      <c r="AV134" s="8800"/>
      <c r="AW134" s="4466">
        <f t="shared" si="277"/>
        <v>3.86</v>
      </c>
      <c r="AX134" s="7504"/>
      <c r="AY134" s="4453"/>
      <c r="AZ134" s="8742"/>
      <c r="BA134" s="4854">
        <f t="shared" si="298"/>
        <v>3.86</v>
      </c>
      <c r="BB134" s="8742">
        <f t="shared" si="296"/>
        <v>0</v>
      </c>
      <c r="BC134" s="4854">
        <f t="shared" si="297"/>
        <v>3.86</v>
      </c>
      <c r="BD134" s="8744"/>
      <c r="BE134" s="7231"/>
    </row>
    <row r="135" spans="1:57" ht="18.75" customHeight="1" x14ac:dyDescent="0.2">
      <c r="A135" s="3380"/>
      <c r="B135" s="4884" t="s">
        <v>2303</v>
      </c>
      <c r="C135" s="7521" t="s">
        <v>2420</v>
      </c>
      <c r="D135" s="7504"/>
      <c r="E135" s="7500">
        <v>123.12</v>
      </c>
      <c r="F135" s="7504"/>
      <c r="G135" s="4453">
        <v>1890.5900000000001</v>
      </c>
      <c r="H135" s="8800"/>
      <c r="I135" s="4466">
        <f t="shared" si="268"/>
        <v>2013.71</v>
      </c>
      <c r="J135" s="7504"/>
      <c r="K135" s="4853">
        <v>0</v>
      </c>
      <c r="L135" s="8742"/>
      <c r="M135" s="4854">
        <f t="shared" si="269"/>
        <v>2013.71</v>
      </c>
      <c r="N135" s="7504"/>
      <c r="O135" s="4453">
        <v>2534.63</v>
      </c>
      <c r="P135" s="8800"/>
      <c r="Q135" s="4466">
        <f t="shared" si="270"/>
        <v>4548.34</v>
      </c>
      <c r="R135" s="7504"/>
      <c r="S135" s="4453">
        <v>3878.1920000000009</v>
      </c>
      <c r="T135" s="8800"/>
      <c r="U135" s="4466">
        <f t="shared" si="271"/>
        <v>8426.5320000000011</v>
      </c>
      <c r="V135" s="7504"/>
      <c r="W135" s="4453">
        <v>120.9</v>
      </c>
      <c r="X135" s="8742"/>
      <c r="Y135" s="4854">
        <f t="shared" si="281"/>
        <v>6533.7220000000007</v>
      </c>
      <c r="Z135" s="8744"/>
      <c r="AA135" s="7231">
        <f t="shared" si="272"/>
        <v>8547.4320000000007</v>
      </c>
      <c r="AB135" s="7504"/>
      <c r="AC135" s="4853">
        <v>76.91</v>
      </c>
      <c r="AD135" s="8800"/>
      <c r="AE135" s="4466">
        <f t="shared" si="273"/>
        <v>8624.3420000000006</v>
      </c>
      <c r="AF135" s="7504"/>
      <c r="AG135" s="4453">
        <v>0</v>
      </c>
      <c r="AH135" s="8800"/>
      <c r="AI135" s="4466">
        <f t="shared" si="274"/>
        <v>8624.3420000000006</v>
      </c>
      <c r="AJ135" s="7504"/>
      <c r="AK135" s="4453">
        <v>0</v>
      </c>
      <c r="AL135" s="8742"/>
      <c r="AM135" s="4854">
        <f t="shared" si="282"/>
        <v>76.91</v>
      </c>
      <c r="AN135" s="8800"/>
      <c r="AO135" s="4466">
        <f t="shared" si="275"/>
        <v>8624.3420000000006</v>
      </c>
      <c r="AP135" s="7504"/>
      <c r="AQ135" s="4453"/>
      <c r="AR135" s="8800"/>
      <c r="AS135" s="4466">
        <f t="shared" si="276"/>
        <v>8624.3420000000006</v>
      </c>
      <c r="AT135" s="7504"/>
      <c r="AU135" s="4453">
        <v>0</v>
      </c>
      <c r="AV135" s="8800"/>
      <c r="AW135" s="4466">
        <f t="shared" si="277"/>
        <v>8624.3420000000006</v>
      </c>
      <c r="AX135" s="7504"/>
      <c r="AY135" s="4453"/>
      <c r="AZ135" s="8742"/>
      <c r="BA135" s="4854">
        <f t="shared" si="298"/>
        <v>0</v>
      </c>
      <c r="BB135" s="8742">
        <f t="shared" si="296"/>
        <v>0</v>
      </c>
      <c r="BC135" s="4854">
        <f t="shared" si="297"/>
        <v>76.91</v>
      </c>
      <c r="BD135" s="8744"/>
      <c r="BE135" s="7231">
        <f t="shared" ref="BE135:BE140" si="300">+AW135+AY135</f>
        <v>8624.3420000000006</v>
      </c>
    </row>
    <row r="136" spans="1:57" ht="19" x14ac:dyDescent="0.2">
      <c r="A136" s="3380"/>
      <c r="B136" s="4884" t="s">
        <v>2303</v>
      </c>
      <c r="C136" s="7521" t="s">
        <v>2359</v>
      </c>
      <c r="D136" s="7504"/>
      <c r="E136" s="7500">
        <v>2796.3599999999997</v>
      </c>
      <c r="F136" s="7504"/>
      <c r="G136" s="4453">
        <v>2777.7200000000003</v>
      </c>
      <c r="H136" s="8800"/>
      <c r="I136" s="4466">
        <f t="shared" si="268"/>
        <v>5574.08</v>
      </c>
      <c r="J136" s="7504"/>
      <c r="K136" s="4853">
        <v>2683.62</v>
      </c>
      <c r="L136" s="8742"/>
      <c r="M136" s="4854">
        <f t="shared" si="269"/>
        <v>8257.7000000000007</v>
      </c>
      <c r="N136" s="7504"/>
      <c r="O136" s="4453">
        <v>0</v>
      </c>
      <c r="P136" s="8800"/>
      <c r="Q136" s="4466">
        <f t="shared" si="270"/>
        <v>8257.7000000000007</v>
      </c>
      <c r="R136" s="7504"/>
      <c r="S136" s="4453">
        <v>3575.2830000000008</v>
      </c>
      <c r="T136" s="8800"/>
      <c r="U136" s="4466">
        <f t="shared" si="271"/>
        <v>11832.983000000002</v>
      </c>
      <c r="V136" s="7504"/>
      <c r="W136" s="4453">
        <f>719.64+72.65</f>
        <v>792.29</v>
      </c>
      <c r="X136" s="8742"/>
      <c r="Y136" s="4854">
        <f t="shared" si="281"/>
        <v>4367.5730000000003</v>
      </c>
      <c r="Z136" s="8744"/>
      <c r="AA136" s="7231">
        <f t="shared" si="272"/>
        <v>12625.273000000001</v>
      </c>
      <c r="AB136" s="7504"/>
      <c r="AC136" s="4853">
        <v>0</v>
      </c>
      <c r="AD136" s="8800"/>
      <c r="AE136" s="4466">
        <f t="shared" si="273"/>
        <v>12625.273000000001</v>
      </c>
      <c r="AF136" s="7504"/>
      <c r="AG136" s="4453">
        <v>0</v>
      </c>
      <c r="AH136" s="8800"/>
      <c r="AI136" s="4466">
        <f t="shared" si="274"/>
        <v>12625.273000000001</v>
      </c>
      <c r="AJ136" s="7504"/>
      <c r="AK136" s="4453">
        <v>2629.9100000000008</v>
      </c>
      <c r="AL136" s="8742"/>
      <c r="AM136" s="4854">
        <f t="shared" si="282"/>
        <v>2629.9100000000008</v>
      </c>
      <c r="AN136" s="8800"/>
      <c r="AO136" s="4466">
        <f t="shared" si="275"/>
        <v>15255.183000000001</v>
      </c>
      <c r="AP136" s="7504"/>
      <c r="AQ136" s="4453">
        <v>65.75</v>
      </c>
      <c r="AR136" s="8800"/>
      <c r="AS136" s="4466">
        <f t="shared" si="276"/>
        <v>15320.933000000001</v>
      </c>
      <c r="AT136" s="7504"/>
      <c r="AU136" s="4453">
        <v>28.18</v>
      </c>
      <c r="AV136" s="8800"/>
      <c r="AW136" s="4466">
        <f t="shared" si="277"/>
        <v>15349.113000000001</v>
      </c>
      <c r="AX136" s="7504"/>
      <c r="AY136" s="4453"/>
      <c r="AZ136" s="8742"/>
      <c r="BA136" s="4854">
        <f t="shared" si="298"/>
        <v>93.93</v>
      </c>
      <c r="BB136" s="8742">
        <f t="shared" si="296"/>
        <v>0</v>
      </c>
      <c r="BC136" s="4854">
        <f t="shared" si="297"/>
        <v>2723.8400000000006</v>
      </c>
      <c r="BD136" s="8744"/>
      <c r="BE136" s="7231">
        <f t="shared" si="300"/>
        <v>15349.113000000001</v>
      </c>
    </row>
    <row r="137" spans="1:57" ht="18.75" customHeight="1" x14ac:dyDescent="0.2">
      <c r="A137" s="3380"/>
      <c r="B137" s="4884" t="s">
        <v>2303</v>
      </c>
      <c r="C137" s="7521" t="s">
        <v>2365</v>
      </c>
      <c r="D137" s="7504"/>
      <c r="E137" s="7501"/>
      <c r="F137" s="7524"/>
      <c r="G137" s="4853"/>
      <c r="H137" s="8800"/>
      <c r="I137" s="4466">
        <f t="shared" si="268"/>
        <v>0</v>
      </c>
      <c r="J137" s="7504"/>
      <c r="K137" s="4853"/>
      <c r="L137" s="8742"/>
      <c r="M137" s="4854">
        <f t="shared" si="269"/>
        <v>0</v>
      </c>
      <c r="N137" s="7504"/>
      <c r="O137" s="4453">
        <v>142.12</v>
      </c>
      <c r="P137" s="8800"/>
      <c r="Q137" s="4466">
        <f t="shared" si="270"/>
        <v>142.12</v>
      </c>
      <c r="R137" s="7504"/>
      <c r="S137" s="4453">
        <v>958.19100000000003</v>
      </c>
      <c r="T137" s="8800"/>
      <c r="U137" s="4466">
        <f t="shared" si="271"/>
        <v>1100.3110000000001</v>
      </c>
      <c r="V137" s="7504"/>
      <c r="W137" s="4453">
        <v>836.38</v>
      </c>
      <c r="X137" s="8742"/>
      <c r="Y137" s="4854">
        <f t="shared" si="281"/>
        <v>1936.6910000000003</v>
      </c>
      <c r="Z137" s="8744"/>
      <c r="AA137" s="7231">
        <f t="shared" si="272"/>
        <v>1936.6910000000003</v>
      </c>
      <c r="AB137" s="7504"/>
      <c r="AC137" s="4853">
        <v>0</v>
      </c>
      <c r="AD137" s="8800"/>
      <c r="AE137" s="4466">
        <f t="shared" si="273"/>
        <v>1936.6910000000003</v>
      </c>
      <c r="AF137" s="7504"/>
      <c r="AG137" s="4453">
        <v>0</v>
      </c>
      <c r="AH137" s="8800"/>
      <c r="AI137" s="4466">
        <f t="shared" si="274"/>
        <v>1936.6910000000003</v>
      </c>
      <c r="AJ137" s="7504"/>
      <c r="AK137" s="4453">
        <v>702.12000000000012</v>
      </c>
      <c r="AL137" s="8742"/>
      <c r="AM137" s="4854">
        <f t="shared" si="282"/>
        <v>702.12000000000012</v>
      </c>
      <c r="AN137" s="8800"/>
      <c r="AO137" s="4466">
        <f t="shared" si="275"/>
        <v>2638.8110000000006</v>
      </c>
      <c r="AP137" s="7504"/>
      <c r="AQ137" s="4453"/>
      <c r="AR137" s="8800"/>
      <c r="AS137" s="4466">
        <f t="shared" si="276"/>
        <v>2638.8110000000006</v>
      </c>
      <c r="AT137" s="7504"/>
      <c r="AU137" s="4453">
        <v>0</v>
      </c>
      <c r="AV137" s="8800"/>
      <c r="AW137" s="4466">
        <f t="shared" si="277"/>
        <v>2638.8110000000006</v>
      </c>
      <c r="AX137" s="7504"/>
      <c r="AY137" s="4453"/>
      <c r="AZ137" s="8742"/>
      <c r="BA137" s="4854">
        <f t="shared" si="298"/>
        <v>0</v>
      </c>
      <c r="BB137" s="8742">
        <f t="shared" si="296"/>
        <v>0</v>
      </c>
      <c r="BC137" s="4854">
        <f t="shared" si="297"/>
        <v>702.12000000000012</v>
      </c>
      <c r="BD137" s="8744"/>
      <c r="BE137" s="7231">
        <f t="shared" si="300"/>
        <v>2638.8110000000006</v>
      </c>
    </row>
    <row r="138" spans="1:57" ht="18.75" customHeight="1" x14ac:dyDescent="0.2">
      <c r="A138" s="3380"/>
      <c r="B138" s="4884" t="s">
        <v>2303</v>
      </c>
      <c r="C138" s="7521" t="s">
        <v>2364</v>
      </c>
      <c r="D138" s="7504"/>
      <c r="E138" s="7501"/>
      <c r="F138" s="7524"/>
      <c r="G138" s="4853"/>
      <c r="H138" s="8800"/>
      <c r="I138" s="4466">
        <f t="shared" si="268"/>
        <v>0</v>
      </c>
      <c r="J138" s="7504"/>
      <c r="K138" s="4853"/>
      <c r="L138" s="8742"/>
      <c r="M138" s="4854">
        <f t="shared" si="269"/>
        <v>0</v>
      </c>
      <c r="N138" s="7504"/>
      <c r="O138" s="4453">
        <v>4638.5</v>
      </c>
      <c r="P138" s="8800"/>
      <c r="Q138" s="4466">
        <f t="shared" si="270"/>
        <v>4638.5</v>
      </c>
      <c r="R138" s="7504"/>
      <c r="S138" s="4853">
        <v>0</v>
      </c>
      <c r="T138" s="8800"/>
      <c r="U138" s="4466">
        <f t="shared" si="271"/>
        <v>4638.5</v>
      </c>
      <c r="V138" s="7504"/>
      <c r="W138" s="4853">
        <v>1537.66</v>
      </c>
      <c r="X138" s="8742"/>
      <c r="Y138" s="4854">
        <f t="shared" si="281"/>
        <v>6176.16</v>
      </c>
      <c r="Z138" s="8744"/>
      <c r="AA138" s="7231">
        <f t="shared" si="272"/>
        <v>6176.16</v>
      </c>
      <c r="AB138" s="7504"/>
      <c r="AC138" s="4853">
        <v>0</v>
      </c>
      <c r="AD138" s="8800"/>
      <c r="AE138" s="4466">
        <f t="shared" si="273"/>
        <v>6176.16</v>
      </c>
      <c r="AF138" s="7504"/>
      <c r="AG138" s="4453">
        <v>0</v>
      </c>
      <c r="AH138" s="8800"/>
      <c r="AI138" s="4466">
        <f t="shared" si="274"/>
        <v>6176.16</v>
      </c>
      <c r="AJ138" s="7504"/>
      <c r="AK138" s="4453">
        <v>0</v>
      </c>
      <c r="AL138" s="8742"/>
      <c r="AM138" s="4854">
        <f t="shared" si="282"/>
        <v>0</v>
      </c>
      <c r="AN138" s="8800"/>
      <c r="AO138" s="4466">
        <f t="shared" si="275"/>
        <v>6176.16</v>
      </c>
      <c r="AP138" s="7504"/>
      <c r="AQ138" s="4453"/>
      <c r="AR138" s="8800"/>
      <c r="AS138" s="4466">
        <f t="shared" si="276"/>
        <v>6176.16</v>
      </c>
      <c r="AT138" s="7504"/>
      <c r="AU138" s="4453">
        <v>0</v>
      </c>
      <c r="AV138" s="8800"/>
      <c r="AW138" s="4466">
        <f t="shared" si="277"/>
        <v>6176.16</v>
      </c>
      <c r="AX138" s="7504"/>
      <c r="AY138" s="4453">
        <v>4505.22</v>
      </c>
      <c r="AZ138" s="8742"/>
      <c r="BA138" s="4854">
        <f t="shared" si="298"/>
        <v>4505.22</v>
      </c>
      <c r="BB138" s="8742">
        <f t="shared" si="296"/>
        <v>0</v>
      </c>
      <c r="BC138" s="4854">
        <f t="shared" si="297"/>
        <v>4505.22</v>
      </c>
      <c r="BD138" s="8744"/>
      <c r="BE138" s="7231">
        <f t="shared" si="300"/>
        <v>10681.380000000001</v>
      </c>
    </row>
    <row r="139" spans="1:57" s="2269" customFormat="1" ht="18.75" customHeight="1" x14ac:dyDescent="0.2">
      <c r="A139" s="3380"/>
      <c r="B139" s="5065" t="s">
        <v>2304</v>
      </c>
      <c r="C139" s="7522" t="s">
        <v>2291</v>
      </c>
      <c r="D139" s="7504"/>
      <c r="E139" s="7501"/>
      <c r="F139" s="7524"/>
      <c r="G139" s="4853"/>
      <c r="H139" s="8800"/>
      <c r="I139" s="4466">
        <f t="shared" si="268"/>
        <v>0</v>
      </c>
      <c r="J139" s="7504"/>
      <c r="K139" s="4853">
        <v>513.79799999999989</v>
      </c>
      <c r="L139" s="8742"/>
      <c r="M139" s="4854">
        <f t="shared" si="269"/>
        <v>513.79799999999989</v>
      </c>
      <c r="N139" s="7504"/>
      <c r="O139" s="4453">
        <v>299.84999999999997</v>
      </c>
      <c r="P139" s="8800"/>
      <c r="Q139" s="4466">
        <f t="shared" si="270"/>
        <v>813.64799999999991</v>
      </c>
      <c r="R139" s="7504"/>
      <c r="S139" s="4853">
        <v>1198.4600000000003</v>
      </c>
      <c r="T139" s="8800"/>
      <c r="U139" s="4466">
        <f t="shared" si="271"/>
        <v>2012.1080000000002</v>
      </c>
      <c r="V139" s="7504"/>
      <c r="W139" s="4853">
        <v>170.78</v>
      </c>
      <c r="X139" s="8742"/>
      <c r="Y139" s="4854">
        <f t="shared" si="281"/>
        <v>1669.0900000000001</v>
      </c>
      <c r="Z139" s="8744"/>
      <c r="AA139" s="7231">
        <f t="shared" si="272"/>
        <v>2182.8880000000004</v>
      </c>
      <c r="AB139" s="7504"/>
      <c r="AC139" s="4853">
        <v>0</v>
      </c>
      <c r="AD139" s="8800"/>
      <c r="AE139" s="4466">
        <f t="shared" si="273"/>
        <v>2182.8880000000004</v>
      </c>
      <c r="AF139" s="7504"/>
      <c r="AG139" s="4453">
        <v>0</v>
      </c>
      <c r="AH139" s="8800"/>
      <c r="AI139" s="4466">
        <f t="shared" si="274"/>
        <v>2182.8880000000004</v>
      </c>
      <c r="AJ139" s="7504"/>
      <c r="AK139" s="4453">
        <v>0</v>
      </c>
      <c r="AL139" s="8742"/>
      <c r="AM139" s="4854">
        <f t="shared" si="282"/>
        <v>0</v>
      </c>
      <c r="AN139" s="8800"/>
      <c r="AO139" s="4466">
        <f t="shared" si="275"/>
        <v>2182.8880000000004</v>
      </c>
      <c r="AP139" s="7504"/>
      <c r="AQ139" s="4453"/>
      <c r="AR139" s="8800"/>
      <c r="AS139" s="4466">
        <f t="shared" si="276"/>
        <v>2182.8880000000004</v>
      </c>
      <c r="AT139" s="7504"/>
      <c r="AU139" s="4453">
        <v>0</v>
      </c>
      <c r="AV139" s="8800"/>
      <c r="AW139" s="4466">
        <f t="shared" si="277"/>
        <v>2182.8880000000004</v>
      </c>
      <c r="AX139" s="7504"/>
      <c r="AY139" s="4453"/>
      <c r="AZ139" s="8742"/>
      <c r="BA139" s="4854">
        <f t="shared" si="298"/>
        <v>0</v>
      </c>
      <c r="BB139" s="8742">
        <f t="shared" si="296"/>
        <v>0</v>
      </c>
      <c r="BC139" s="4854">
        <f t="shared" si="297"/>
        <v>0</v>
      </c>
      <c r="BD139" s="8744"/>
      <c r="BE139" s="7231">
        <f t="shared" si="300"/>
        <v>2182.8880000000004</v>
      </c>
    </row>
    <row r="140" spans="1:57" s="5199" customFormat="1" ht="19" x14ac:dyDescent="0.2">
      <c r="A140" s="3380"/>
      <c r="B140" s="5065" t="s">
        <v>2304</v>
      </c>
      <c r="C140" s="7522" t="s">
        <v>2318</v>
      </c>
      <c r="D140" s="7504"/>
      <c r="E140" s="7501">
        <v>31.87</v>
      </c>
      <c r="F140" s="7524"/>
      <c r="G140" s="4853">
        <v>1099.239</v>
      </c>
      <c r="H140" s="8800"/>
      <c r="I140" s="4466">
        <f t="shared" si="268"/>
        <v>1131.1089999999999</v>
      </c>
      <c r="J140" s="7504"/>
      <c r="K140" s="4853">
        <v>27.53</v>
      </c>
      <c r="L140" s="8742"/>
      <c r="M140" s="4854">
        <f t="shared" si="269"/>
        <v>1158.6389999999999</v>
      </c>
      <c r="N140" s="7504"/>
      <c r="O140" s="4453">
        <v>0</v>
      </c>
      <c r="P140" s="8800"/>
      <c r="Q140" s="4466">
        <f t="shared" si="270"/>
        <v>1158.6389999999999</v>
      </c>
      <c r="R140" s="7504"/>
      <c r="S140" s="4853">
        <v>0</v>
      </c>
      <c r="T140" s="8800"/>
      <c r="U140" s="4466">
        <f t="shared" si="271"/>
        <v>1158.6389999999999</v>
      </c>
      <c r="V140" s="7504"/>
      <c r="W140" s="4853"/>
      <c r="X140" s="8742"/>
      <c r="Y140" s="4854">
        <f t="shared" si="281"/>
        <v>0</v>
      </c>
      <c r="Z140" s="8744"/>
      <c r="AA140" s="7231">
        <f t="shared" si="272"/>
        <v>1158.6389999999999</v>
      </c>
      <c r="AB140" s="7504"/>
      <c r="AC140" s="4853">
        <v>0</v>
      </c>
      <c r="AD140" s="8800"/>
      <c r="AE140" s="4466">
        <f t="shared" si="273"/>
        <v>1158.6389999999999</v>
      </c>
      <c r="AF140" s="7504"/>
      <c r="AG140" s="4453">
        <v>0</v>
      </c>
      <c r="AH140" s="8800"/>
      <c r="AI140" s="4466">
        <f t="shared" si="274"/>
        <v>1158.6389999999999</v>
      </c>
      <c r="AJ140" s="7504"/>
      <c r="AK140" s="4453">
        <v>0</v>
      </c>
      <c r="AL140" s="8742"/>
      <c r="AM140" s="4854">
        <f t="shared" si="282"/>
        <v>0</v>
      </c>
      <c r="AN140" s="8800"/>
      <c r="AO140" s="4466">
        <f t="shared" si="275"/>
        <v>1158.6389999999999</v>
      </c>
      <c r="AP140" s="7504"/>
      <c r="AQ140" s="4453"/>
      <c r="AR140" s="8800"/>
      <c r="AS140" s="4466">
        <f t="shared" si="276"/>
        <v>1158.6389999999999</v>
      </c>
      <c r="AT140" s="7504"/>
      <c r="AU140" s="4453">
        <v>0</v>
      </c>
      <c r="AV140" s="8800"/>
      <c r="AW140" s="4466">
        <f t="shared" si="277"/>
        <v>1158.6389999999999</v>
      </c>
      <c r="AX140" s="7504"/>
      <c r="AY140" s="4453"/>
      <c r="AZ140" s="8742"/>
      <c r="BA140" s="4854">
        <f t="shared" si="298"/>
        <v>0</v>
      </c>
      <c r="BB140" s="8742">
        <f t="shared" si="296"/>
        <v>0</v>
      </c>
      <c r="BC140" s="4854">
        <f t="shared" si="297"/>
        <v>0</v>
      </c>
      <c r="BD140" s="8744"/>
      <c r="BE140" s="7231">
        <f t="shared" si="300"/>
        <v>1158.6389999999999</v>
      </c>
    </row>
    <row r="141" spans="1:57" s="7634" customFormat="1" ht="19" x14ac:dyDescent="0.2">
      <c r="A141" s="3380"/>
      <c r="B141" s="5065" t="s">
        <v>2443</v>
      </c>
      <c r="C141" s="7522" t="s">
        <v>2291</v>
      </c>
      <c r="D141" s="7504"/>
      <c r="E141" s="7501"/>
      <c r="F141" s="7524"/>
      <c r="G141" s="4853"/>
      <c r="H141" s="8800"/>
      <c r="I141" s="4466"/>
      <c r="J141" s="7504"/>
      <c r="K141" s="4853"/>
      <c r="L141" s="8742"/>
      <c r="M141" s="4854"/>
      <c r="N141" s="7504"/>
      <c r="O141" s="4453"/>
      <c r="P141" s="8800"/>
      <c r="Q141" s="4466"/>
      <c r="R141" s="7504"/>
      <c r="S141" s="4853"/>
      <c r="T141" s="8800"/>
      <c r="U141" s="4466"/>
      <c r="V141" s="7504"/>
      <c r="W141" s="4853"/>
      <c r="X141" s="8742"/>
      <c r="Y141" s="4854"/>
      <c r="Z141" s="8744"/>
      <c r="AA141" s="7231"/>
      <c r="AB141" s="7504"/>
      <c r="AC141" s="4853"/>
      <c r="AD141" s="8800"/>
      <c r="AE141" s="4466"/>
      <c r="AF141" s="7504"/>
      <c r="AG141" s="4853">
        <v>32.26</v>
      </c>
      <c r="AH141" s="8800"/>
      <c r="AI141" s="4466">
        <f t="shared" si="274"/>
        <v>32.26</v>
      </c>
      <c r="AJ141" s="7504"/>
      <c r="AK141" s="4453">
        <v>0</v>
      </c>
      <c r="AL141" s="8742"/>
      <c r="AM141" s="4854">
        <f t="shared" si="282"/>
        <v>32.26</v>
      </c>
      <c r="AN141" s="8800"/>
      <c r="AO141" s="4466">
        <f t="shared" si="275"/>
        <v>32.26</v>
      </c>
      <c r="AP141" s="7504"/>
      <c r="AQ141" s="4453"/>
      <c r="AR141" s="8800"/>
      <c r="AS141" s="4466">
        <f t="shared" si="276"/>
        <v>32.26</v>
      </c>
      <c r="AT141" s="7504"/>
      <c r="AU141" s="4453">
        <v>0</v>
      </c>
      <c r="AV141" s="8800"/>
      <c r="AW141" s="4466">
        <f t="shared" si="277"/>
        <v>32.26</v>
      </c>
      <c r="AX141" s="7504"/>
      <c r="AY141" s="4453"/>
      <c r="AZ141" s="8742"/>
      <c r="BA141" s="4854">
        <f t="shared" si="298"/>
        <v>0</v>
      </c>
      <c r="BB141" s="8742">
        <f t="shared" si="296"/>
        <v>0</v>
      </c>
      <c r="BC141" s="4854">
        <f t="shared" si="297"/>
        <v>32.26</v>
      </c>
      <c r="BD141" s="8744"/>
      <c r="BE141" s="7231"/>
    </row>
    <row r="142" spans="1:57" ht="19" x14ac:dyDescent="0.2">
      <c r="A142" s="3380"/>
      <c r="B142" s="5065" t="s">
        <v>2305</v>
      </c>
      <c r="C142" s="7522" t="s">
        <v>2318</v>
      </c>
      <c r="D142" s="7504"/>
      <c r="E142" s="7501">
        <v>7330.2210000000032</v>
      </c>
      <c r="F142" s="7524"/>
      <c r="G142" s="4853">
        <v>0</v>
      </c>
      <c r="H142" s="8800"/>
      <c r="I142" s="4466">
        <f t="shared" si="268"/>
        <v>7330.2210000000032</v>
      </c>
      <c r="J142" s="7504"/>
      <c r="K142" s="4853">
        <v>0</v>
      </c>
      <c r="L142" s="8742"/>
      <c r="M142" s="4854">
        <f t="shared" si="269"/>
        <v>7330.2210000000032</v>
      </c>
      <c r="N142" s="7504"/>
      <c r="O142" s="4453">
        <v>0</v>
      </c>
      <c r="P142" s="8800"/>
      <c r="Q142" s="4466">
        <f t="shared" si="270"/>
        <v>7330.2210000000032</v>
      </c>
      <c r="R142" s="7504"/>
      <c r="S142" s="4853">
        <v>0</v>
      </c>
      <c r="T142" s="8800"/>
      <c r="U142" s="4466">
        <f t="shared" si="271"/>
        <v>7330.2210000000032</v>
      </c>
      <c r="V142" s="7504"/>
      <c r="W142" s="4853"/>
      <c r="X142" s="8742"/>
      <c r="Y142" s="4854">
        <f t="shared" si="281"/>
        <v>0</v>
      </c>
      <c r="Z142" s="8744"/>
      <c r="AA142" s="7231">
        <f t="shared" si="272"/>
        <v>7330.2210000000032</v>
      </c>
      <c r="AB142" s="7504"/>
      <c r="AC142" s="4853">
        <v>0</v>
      </c>
      <c r="AD142" s="8800"/>
      <c r="AE142" s="4466">
        <f t="shared" si="273"/>
        <v>7330.2210000000032</v>
      </c>
      <c r="AF142" s="7504"/>
      <c r="AG142" s="4453">
        <v>0</v>
      </c>
      <c r="AH142" s="8800"/>
      <c r="AI142" s="4466">
        <f t="shared" si="274"/>
        <v>7330.2210000000032</v>
      </c>
      <c r="AJ142" s="7504"/>
      <c r="AK142" s="4453">
        <v>0</v>
      </c>
      <c r="AL142" s="8742"/>
      <c r="AM142" s="4854">
        <f t="shared" ref="AM142:AM143" si="301">AC142+AG142+AK142</f>
        <v>0</v>
      </c>
      <c r="AN142" s="8800"/>
      <c r="AO142" s="4466">
        <f t="shared" si="275"/>
        <v>7330.2210000000032</v>
      </c>
      <c r="AP142" s="7504"/>
      <c r="AQ142" s="4453"/>
      <c r="AR142" s="8800"/>
      <c r="AS142" s="4466">
        <f t="shared" si="276"/>
        <v>7330.2210000000032</v>
      </c>
      <c r="AT142" s="7504"/>
      <c r="AU142" s="4453">
        <v>2296.62</v>
      </c>
      <c r="AV142" s="8800"/>
      <c r="AW142" s="4466">
        <f t="shared" si="277"/>
        <v>9626.841000000004</v>
      </c>
      <c r="AX142" s="7504"/>
      <c r="AY142" s="4453"/>
      <c r="AZ142" s="8742"/>
      <c r="BA142" s="4854">
        <f t="shared" si="298"/>
        <v>2296.62</v>
      </c>
      <c r="BB142" s="8742">
        <f t="shared" si="296"/>
        <v>0</v>
      </c>
      <c r="BC142" s="4854">
        <f t="shared" si="297"/>
        <v>2296.62</v>
      </c>
      <c r="BD142" s="8744"/>
      <c r="BE142" s="7231">
        <f t="shared" ref="BE142:BE143" si="302">+AW142+AY142</f>
        <v>9626.841000000004</v>
      </c>
    </row>
    <row r="143" spans="1:57" s="2269" customFormat="1" ht="18.75" customHeight="1" x14ac:dyDescent="0.2">
      <c r="A143" s="3380"/>
      <c r="B143" s="5065" t="s">
        <v>2305</v>
      </c>
      <c r="C143" s="7522" t="s">
        <v>2291</v>
      </c>
      <c r="D143" s="7504"/>
      <c r="E143" s="7501"/>
      <c r="F143" s="7524"/>
      <c r="G143" s="4853"/>
      <c r="H143" s="8800"/>
      <c r="I143" s="4466">
        <f t="shared" si="268"/>
        <v>0</v>
      </c>
      <c r="J143" s="7504"/>
      <c r="K143" s="4853">
        <v>2903.8680000000004</v>
      </c>
      <c r="L143" s="8742"/>
      <c r="M143" s="4854">
        <f t="shared" si="269"/>
        <v>2903.8680000000004</v>
      </c>
      <c r="N143" s="7504"/>
      <c r="O143" s="4453">
        <v>148.43</v>
      </c>
      <c r="P143" s="8800"/>
      <c r="Q143" s="4466">
        <f t="shared" si="270"/>
        <v>3052.2980000000002</v>
      </c>
      <c r="R143" s="7504"/>
      <c r="S143" s="4853">
        <v>0</v>
      </c>
      <c r="T143" s="8800"/>
      <c r="U143" s="4466">
        <f t="shared" si="271"/>
        <v>3052.2980000000002</v>
      </c>
      <c r="V143" s="7504"/>
      <c r="W143" s="4853"/>
      <c r="X143" s="8742"/>
      <c r="Y143" s="4854">
        <f t="shared" si="281"/>
        <v>148.43</v>
      </c>
      <c r="Z143" s="8744"/>
      <c r="AA143" s="7231">
        <f t="shared" si="272"/>
        <v>3052.2980000000002</v>
      </c>
      <c r="AB143" s="7504"/>
      <c r="AC143" s="4853">
        <v>82.509999999999991</v>
      </c>
      <c r="AD143" s="8800"/>
      <c r="AE143" s="4466">
        <f t="shared" si="273"/>
        <v>3134.808</v>
      </c>
      <c r="AF143" s="7504"/>
      <c r="AG143" s="4453">
        <v>0</v>
      </c>
      <c r="AH143" s="8800"/>
      <c r="AI143" s="4466">
        <f t="shared" si="274"/>
        <v>3134.808</v>
      </c>
      <c r="AJ143" s="7504"/>
      <c r="AK143" s="4453">
        <v>0</v>
      </c>
      <c r="AL143" s="8742"/>
      <c r="AM143" s="4854">
        <f t="shared" si="301"/>
        <v>82.509999999999991</v>
      </c>
      <c r="AN143" s="8800"/>
      <c r="AO143" s="4466">
        <f t="shared" si="275"/>
        <v>3134.808</v>
      </c>
      <c r="AP143" s="7504"/>
      <c r="AQ143" s="4453"/>
      <c r="AR143" s="8800"/>
      <c r="AS143" s="4466">
        <f t="shared" si="276"/>
        <v>3134.808</v>
      </c>
      <c r="AT143" s="7504"/>
      <c r="AU143" s="4453">
        <v>5027.41</v>
      </c>
      <c r="AV143" s="8800"/>
      <c r="AW143" s="4466">
        <f t="shared" si="277"/>
        <v>8162.2179999999998</v>
      </c>
      <c r="AX143" s="7504"/>
      <c r="AY143" s="4453">
        <v>3477.41</v>
      </c>
      <c r="AZ143" s="8742"/>
      <c r="BA143" s="4854">
        <f t="shared" si="298"/>
        <v>8504.82</v>
      </c>
      <c r="BB143" s="8742">
        <f t="shared" si="296"/>
        <v>0</v>
      </c>
      <c r="BC143" s="4854">
        <f t="shared" si="297"/>
        <v>8587.33</v>
      </c>
      <c r="BD143" s="8744"/>
      <c r="BE143" s="7231">
        <f t="shared" si="302"/>
        <v>11639.628000000001</v>
      </c>
    </row>
    <row r="144" spans="1:57" ht="19.5" customHeight="1" thickBot="1" x14ac:dyDescent="0.25">
      <c r="A144" s="3380"/>
      <c r="B144" s="4885" t="s">
        <v>1227</v>
      </c>
      <c r="C144" s="4820"/>
      <c r="D144" s="7472"/>
      <c r="E144" s="7526">
        <f>+E7</f>
        <v>0</v>
      </c>
      <c r="F144" s="7537"/>
      <c r="G144" s="7537">
        <f>+G7</f>
        <v>0</v>
      </c>
      <c r="H144" s="7472"/>
      <c r="I144" s="7472">
        <f>+I7</f>
        <v>0</v>
      </c>
      <c r="J144" s="7472"/>
      <c r="K144" s="7472">
        <f>+K7</f>
        <v>0</v>
      </c>
      <c r="L144" s="7472"/>
      <c r="M144" s="7472">
        <f>+M7</f>
        <v>0</v>
      </c>
      <c r="N144" s="7499"/>
      <c r="O144" s="7472">
        <f>+O7</f>
        <v>0</v>
      </c>
      <c r="P144" s="7472"/>
      <c r="Q144" s="7472">
        <f>+Q7</f>
        <v>0</v>
      </c>
      <c r="R144" s="7499"/>
      <c r="S144" s="7472">
        <f>+S7</f>
        <v>0</v>
      </c>
      <c r="T144" s="7472"/>
      <c r="U144" s="7472">
        <f>+U7</f>
        <v>0</v>
      </c>
      <c r="V144" s="7499"/>
      <c r="W144" s="7472">
        <f>+W7</f>
        <v>0</v>
      </c>
      <c r="X144" s="7472"/>
      <c r="Y144" s="7472">
        <f>+Y7</f>
        <v>0</v>
      </c>
      <c r="Z144" s="7472"/>
      <c r="AA144" s="7472">
        <f>+AA7</f>
        <v>0</v>
      </c>
      <c r="AB144" s="7472">
        <f>+AB7</f>
        <v>0</v>
      </c>
      <c r="AC144" s="7472">
        <f>+AC7</f>
        <v>0</v>
      </c>
      <c r="AD144" s="7472"/>
      <c r="AE144" s="4465">
        <f t="shared" si="273"/>
        <v>0</v>
      </c>
      <c r="AF144" s="7499"/>
      <c r="AG144" s="7472">
        <f>+AG7</f>
        <v>0</v>
      </c>
      <c r="AH144" s="7472"/>
      <c r="AI144" s="7472">
        <f>+AI7</f>
        <v>0</v>
      </c>
      <c r="AJ144" s="7499"/>
      <c r="AK144" s="7472">
        <f>+AK7</f>
        <v>0</v>
      </c>
      <c r="AL144" s="7472"/>
      <c r="AM144" s="7472">
        <f>+AM7</f>
        <v>0</v>
      </c>
      <c r="AN144" s="7472"/>
      <c r="AO144" s="7472">
        <f>+AO7</f>
        <v>0</v>
      </c>
      <c r="AP144" s="7499"/>
      <c r="AQ144" s="7472">
        <f>+AQ7</f>
        <v>0</v>
      </c>
      <c r="AR144" s="7472"/>
      <c r="AS144" s="7472">
        <f>+AS7</f>
        <v>0</v>
      </c>
      <c r="AT144" s="7499"/>
      <c r="AU144" s="7472">
        <v>0</v>
      </c>
      <c r="AV144" s="7472"/>
      <c r="AW144" s="7472">
        <f>+AW7</f>
        <v>0</v>
      </c>
      <c r="AX144" s="7499"/>
      <c r="AY144" s="7472">
        <v>0</v>
      </c>
      <c r="AZ144" s="7472"/>
      <c r="BA144" s="7472">
        <f>+BA7</f>
        <v>0</v>
      </c>
      <c r="BB144" s="7472">
        <f t="shared" si="296"/>
        <v>0</v>
      </c>
      <c r="BC144" s="7472">
        <f t="shared" si="297"/>
        <v>0</v>
      </c>
      <c r="BD144" s="7472"/>
      <c r="BE144" s="7472">
        <f>+BE7</f>
        <v>0</v>
      </c>
    </row>
    <row r="145" spans="1:57" s="3380" customFormat="1" ht="19" thickBot="1" x14ac:dyDescent="0.25">
      <c r="B145" s="5090" t="s">
        <v>128</v>
      </c>
      <c r="C145" s="5054"/>
      <c r="D145" s="4020">
        <f>+D11</f>
        <v>14366.4</v>
      </c>
      <c r="E145" s="5027">
        <f>SUM(E68:E144)</f>
        <v>16375.710000000005</v>
      </c>
      <c r="F145" s="4020">
        <f>+F11</f>
        <v>17668</v>
      </c>
      <c r="G145" s="5027">
        <f>SUM(G68:G144)</f>
        <v>16536.607000000004</v>
      </c>
      <c r="H145" s="4020">
        <f>+H11</f>
        <v>32034.400000000001</v>
      </c>
      <c r="I145" s="5027">
        <f>SUM(I68:I144)</f>
        <v>32912.317000000003</v>
      </c>
      <c r="J145" s="4020">
        <f>+J11</f>
        <v>35910</v>
      </c>
      <c r="K145" s="5027">
        <f>SUM(K68:K144)</f>
        <v>30920.367999999995</v>
      </c>
      <c r="L145" s="2556">
        <f>+L11</f>
        <v>67944.399999999994</v>
      </c>
      <c r="M145" s="5740">
        <f>SUM(M68:M144)</f>
        <v>63832.685000000012</v>
      </c>
      <c r="N145" s="4020">
        <f>+N11</f>
        <v>35000</v>
      </c>
      <c r="O145" s="5027">
        <f>SUM(O68:O144)</f>
        <v>33185.978000000003</v>
      </c>
      <c r="P145" s="4020">
        <f>+P11</f>
        <v>102944.4</v>
      </c>
      <c r="Q145" s="5027">
        <f>SUM(Q68:Q144)</f>
        <v>97018.662999999986</v>
      </c>
      <c r="R145" s="4020">
        <f>+R11</f>
        <v>35000</v>
      </c>
      <c r="S145" s="5027">
        <f>SUM(S68:S144)</f>
        <v>35758.761000000013</v>
      </c>
      <c r="T145" s="4020">
        <f>+T11</f>
        <v>137944.4</v>
      </c>
      <c r="U145" s="5027">
        <f>SUM(U68:U144)</f>
        <v>132777.424</v>
      </c>
      <c r="V145" s="4020">
        <f>+V11</f>
        <v>32000</v>
      </c>
      <c r="W145" s="5027">
        <f>SUM(W68:W144)</f>
        <v>26492.411000000004</v>
      </c>
      <c r="X145" s="2556">
        <f>+X11</f>
        <v>102000</v>
      </c>
      <c r="Y145" s="5740">
        <f>SUM(Y68:Y144)</f>
        <v>95437.15</v>
      </c>
      <c r="Z145" s="6521">
        <f>+Z11</f>
        <v>169944.4</v>
      </c>
      <c r="AA145" s="7233">
        <f>SUM(AA68:AA144)</f>
        <v>159269.83500000002</v>
      </c>
      <c r="AB145" s="4020">
        <f>+AB11</f>
        <v>39800</v>
      </c>
      <c r="AC145" s="5027">
        <f>SUM(AC68:AC144)</f>
        <v>24289.419999999995</v>
      </c>
      <c r="AD145" s="4020">
        <f>+AD11</f>
        <v>209744.4</v>
      </c>
      <c r="AE145" s="5027">
        <f>SUM(AE68:AE144)</f>
        <v>183559.25499999998</v>
      </c>
      <c r="AF145" s="4020">
        <f>+AF11</f>
        <v>45249.811321000008</v>
      </c>
      <c r="AG145" s="5027">
        <f>SUM(AG68:AG144)</f>
        <v>32282.619999999992</v>
      </c>
      <c r="AH145" s="4020">
        <f>+AH11</f>
        <v>254994.21132100001</v>
      </c>
      <c r="AI145" s="5027">
        <f>SUM(AI68:AI144)</f>
        <v>215841.87499999997</v>
      </c>
      <c r="AJ145" s="4020">
        <f>+AJ11</f>
        <v>46094.037736100006</v>
      </c>
      <c r="AK145" s="5027">
        <f>SUM(AK68:AK144)</f>
        <v>36641.610000000008</v>
      </c>
      <c r="AL145" s="2556">
        <f>+AL11</f>
        <v>131143.84905710001</v>
      </c>
      <c r="AM145" s="5740">
        <f>SUM(AM68:AM144)</f>
        <v>93213.650000000009</v>
      </c>
      <c r="AN145" s="4020">
        <f>+AN11</f>
        <v>301088.24905710004</v>
      </c>
      <c r="AO145" s="5027">
        <f>SUM(AO68:AO144)</f>
        <v>252483.48499999996</v>
      </c>
      <c r="AP145" s="4020">
        <f>+AP11</f>
        <v>46294.037736100006</v>
      </c>
      <c r="AQ145" s="5027">
        <f>SUM(AQ68:AQ144)</f>
        <v>30074.789999999997</v>
      </c>
      <c r="AR145" s="4020">
        <f>+AR11</f>
        <v>347382.28679320007</v>
      </c>
      <c r="AS145" s="5027">
        <f>SUM(AS68:AS144)</f>
        <v>282558.27500000002</v>
      </c>
      <c r="AT145" s="4020">
        <f>+AT11</f>
        <v>41769</v>
      </c>
      <c r="AU145" s="5027">
        <f>SUM(AU68:AU144)</f>
        <v>31673.72</v>
      </c>
      <c r="AV145" s="4020">
        <f>+AV11</f>
        <v>389151.28679320007</v>
      </c>
      <c r="AW145" s="5027">
        <f>SUM(AW68:AW144)</f>
        <v>314231.995</v>
      </c>
      <c r="AX145" s="4020">
        <f>+AX11</f>
        <v>46415</v>
      </c>
      <c r="AY145" s="5027">
        <f>SUM(AY68:AY144)</f>
        <v>37035.020000000004</v>
      </c>
      <c r="AZ145" s="2556">
        <f>+AZ11</f>
        <v>134478.0377361</v>
      </c>
      <c r="BA145" s="5740">
        <f>SUM(BA68:BA144)</f>
        <v>98783.53</v>
      </c>
      <c r="BB145" s="2556">
        <f t="shared" si="296"/>
        <v>265621.88679320004</v>
      </c>
      <c r="BC145" s="5740">
        <f t="shared" si="297"/>
        <v>191997.18</v>
      </c>
      <c r="BD145" s="6521">
        <f>+BD11</f>
        <v>435566.28679320007</v>
      </c>
      <c r="BE145" s="7233">
        <f>SUM(BE68:BE144)</f>
        <v>333428.24500000011</v>
      </c>
    </row>
    <row r="146" spans="1:57" s="3380" customFormat="1" ht="19" x14ac:dyDescent="0.25">
      <c r="B146" s="4880" t="s">
        <v>1481</v>
      </c>
      <c r="C146" s="4847"/>
      <c r="D146" s="4848"/>
      <c r="E146" s="5443"/>
      <c r="F146" s="4848"/>
      <c r="G146" s="5443"/>
      <c r="H146" s="4851"/>
      <c r="I146" s="5443"/>
      <c r="J146" s="4098"/>
      <c r="K146" s="5443"/>
      <c r="L146" s="4851"/>
      <c r="M146" s="5443"/>
      <c r="N146" s="4098"/>
      <c r="O146" s="5443"/>
      <c r="P146" s="4851"/>
      <c r="Q146" s="5443"/>
      <c r="R146" s="4098"/>
      <c r="S146" s="5443"/>
      <c r="T146" s="4851"/>
      <c r="U146" s="5443"/>
      <c r="V146" s="4098"/>
      <c r="W146" s="5443"/>
      <c r="X146" s="4851"/>
      <c r="Y146" s="5443"/>
      <c r="Z146" s="4851"/>
      <c r="AA146" s="5443"/>
      <c r="AB146" s="4098"/>
      <c r="AC146" s="5443"/>
      <c r="AD146" s="4851"/>
      <c r="AE146" s="5443"/>
      <c r="AF146" s="4098"/>
      <c r="AG146" s="5443"/>
      <c r="AH146" s="4851"/>
      <c r="AI146" s="5443"/>
      <c r="AJ146" s="4098"/>
      <c r="AK146" s="5443"/>
      <c r="AL146" s="4851"/>
      <c r="AM146" s="5443"/>
      <c r="AN146" s="4851"/>
      <c r="AO146" s="5443"/>
      <c r="AP146" s="4098"/>
      <c r="AQ146" s="5443"/>
      <c r="AR146" s="4851"/>
      <c r="AS146" s="5443"/>
      <c r="AT146" s="4098"/>
      <c r="AU146" s="5443"/>
      <c r="AV146" s="4851"/>
      <c r="AW146" s="5443"/>
      <c r="AX146" s="4098"/>
      <c r="AY146" s="5443"/>
      <c r="AZ146" s="4851"/>
      <c r="BA146" s="5443"/>
      <c r="BB146" s="4851">
        <f t="shared" si="296"/>
        <v>0</v>
      </c>
      <c r="BC146" s="5443">
        <f t="shared" si="297"/>
        <v>0</v>
      </c>
      <c r="BD146" s="4851"/>
      <c r="BE146" s="5443"/>
    </row>
    <row r="147" spans="1:57" s="3380" customFormat="1" ht="16.5" customHeight="1" x14ac:dyDescent="0.2">
      <c r="B147" s="6013" t="s">
        <v>1516</v>
      </c>
      <c r="C147" s="7505"/>
      <c r="D147" s="8773">
        <v>7908</v>
      </c>
      <c r="E147" s="4853"/>
      <c r="F147" s="8829">
        <v>2778</v>
      </c>
      <c r="G147" s="4853"/>
      <c r="H147" s="8794">
        <f>+F147+D147</f>
        <v>10686</v>
      </c>
      <c r="I147" s="4466"/>
      <c r="J147" s="8773">
        <v>5576</v>
      </c>
      <c r="K147" s="4853"/>
      <c r="L147" s="8747">
        <f>+J147+H147</f>
        <v>16262</v>
      </c>
      <c r="M147" s="4854"/>
      <c r="N147" s="8773"/>
      <c r="O147" s="4853"/>
      <c r="P147" s="8794">
        <f>+N147+L147</f>
        <v>16262</v>
      </c>
      <c r="Q147" s="4466"/>
      <c r="R147" s="8773"/>
      <c r="S147" s="4853"/>
      <c r="T147" s="8794">
        <f>+R147+P147</f>
        <v>16262</v>
      </c>
      <c r="U147" s="4466"/>
      <c r="V147" s="8773">
        <v>8100</v>
      </c>
      <c r="W147" s="4853"/>
      <c r="X147" s="8747">
        <f>N147+R147+V147</f>
        <v>8100</v>
      </c>
      <c r="Y147" s="4854"/>
      <c r="Z147" s="8750">
        <f>+V147+T147</f>
        <v>24362</v>
      </c>
      <c r="AA147" s="7231"/>
      <c r="AB147" s="8773">
        <v>6738</v>
      </c>
      <c r="AC147" s="4853"/>
      <c r="AD147" s="8794">
        <f>+AB147+Z147</f>
        <v>31100</v>
      </c>
      <c r="AE147" s="4466"/>
      <c r="AF147" s="8773">
        <v>10800</v>
      </c>
      <c r="AG147" s="4853"/>
      <c r="AH147" s="8794">
        <f>+AF147+AD147</f>
        <v>41900</v>
      </c>
      <c r="AI147" s="4466"/>
      <c r="AJ147" s="8773">
        <v>10800</v>
      </c>
      <c r="AK147" s="4853"/>
      <c r="AL147" s="8747">
        <f>AB147+AF147+AJ147</f>
        <v>28338</v>
      </c>
      <c r="AM147" s="4854"/>
      <c r="AN147" s="8794">
        <f>+AJ147+AH147</f>
        <v>52700</v>
      </c>
      <c r="AO147" s="4466"/>
      <c r="AP147" s="8773"/>
      <c r="AQ147" s="4853"/>
      <c r="AR147" s="8794">
        <f>+AP147+AN147</f>
        <v>52700</v>
      </c>
      <c r="AS147" s="4466"/>
      <c r="AT147" s="8773"/>
      <c r="AU147" s="4853"/>
      <c r="AV147" s="8794">
        <f>+AT147+AR147</f>
        <v>52700</v>
      </c>
      <c r="AW147" s="4466"/>
      <c r="AX147" s="8773"/>
      <c r="AY147" s="4853"/>
      <c r="AZ147" s="8747">
        <f>AP147+AT147+AX147</f>
        <v>0</v>
      </c>
      <c r="BA147" s="4854">
        <f t="shared" ref="BA147:BA168" si="303">AQ147+AU147+AY147</f>
        <v>0</v>
      </c>
      <c r="BB147" s="8747">
        <f t="shared" si="296"/>
        <v>28338</v>
      </c>
      <c r="BC147" s="4854">
        <f t="shared" si="297"/>
        <v>0</v>
      </c>
      <c r="BD147" s="8750">
        <f>+AX147+AV147</f>
        <v>52700</v>
      </c>
      <c r="BE147" s="7231"/>
    </row>
    <row r="148" spans="1:57" s="6434" customFormat="1" ht="16.5" customHeight="1" x14ac:dyDescent="0.2">
      <c r="A148" s="3380"/>
      <c r="B148" s="5224" t="s">
        <v>2622</v>
      </c>
      <c r="C148" s="4084" t="s">
        <v>170</v>
      </c>
      <c r="D148" s="8774"/>
      <c r="E148" s="4853"/>
      <c r="F148" s="8830"/>
      <c r="G148" s="4853"/>
      <c r="H148" s="8795"/>
      <c r="I148" s="4466"/>
      <c r="J148" s="8774"/>
      <c r="K148" s="4853"/>
      <c r="L148" s="8748"/>
      <c r="M148" s="4854"/>
      <c r="N148" s="8774"/>
      <c r="O148" s="4853"/>
      <c r="P148" s="8795"/>
      <c r="Q148" s="4466">
        <f t="shared" ref="Q148:Q155" si="304">+O148+M148</f>
        <v>0</v>
      </c>
      <c r="R148" s="8774"/>
      <c r="S148" s="4853">
        <v>3575.2830000000008</v>
      </c>
      <c r="T148" s="8795"/>
      <c r="U148" s="4466">
        <f>+S148+Q148</f>
        <v>3575.2830000000008</v>
      </c>
      <c r="V148" s="8774"/>
      <c r="W148" s="4853"/>
      <c r="X148" s="8748"/>
      <c r="Y148" s="4854">
        <f t="shared" ref="Y148:Y168" si="305">O148+S148+W148</f>
        <v>3575.2830000000008</v>
      </c>
      <c r="Z148" s="8751"/>
      <c r="AA148" s="7231">
        <f>+W148+U148</f>
        <v>3575.2830000000008</v>
      </c>
      <c r="AB148" s="8774"/>
      <c r="AC148" s="4853">
        <v>0</v>
      </c>
      <c r="AD148" s="8795"/>
      <c r="AE148" s="4466">
        <f t="shared" ref="AE148:AE168" si="306">+AC148+AA148</f>
        <v>3575.2830000000008</v>
      </c>
      <c r="AF148" s="8774"/>
      <c r="AG148" s="4853"/>
      <c r="AH148" s="8795"/>
      <c r="AI148" s="4466">
        <f>+AG148+AE148</f>
        <v>3575.2830000000008</v>
      </c>
      <c r="AJ148" s="8774"/>
      <c r="AK148" s="4853"/>
      <c r="AL148" s="8748"/>
      <c r="AM148" s="4854">
        <f t="shared" ref="AM148:AM149" si="307">AC148+AG148+AK148</f>
        <v>0</v>
      </c>
      <c r="AN148" s="8795"/>
      <c r="AO148" s="4466">
        <f>+AK148+AI148</f>
        <v>3575.2830000000008</v>
      </c>
      <c r="AP148" s="8774"/>
      <c r="AQ148" s="4853">
        <v>0</v>
      </c>
      <c r="AR148" s="8795"/>
      <c r="AS148" s="4466">
        <f>+AQ148+AO148</f>
        <v>3575.2830000000008</v>
      </c>
      <c r="AT148" s="8774"/>
      <c r="AU148" s="4853"/>
      <c r="AV148" s="8795"/>
      <c r="AW148" s="4466">
        <f>+AU148+AS148</f>
        <v>3575.2830000000008</v>
      </c>
      <c r="AX148" s="8774"/>
      <c r="AY148" s="4853">
        <v>3590.96</v>
      </c>
      <c r="AZ148" s="8748"/>
      <c r="BA148" s="4854">
        <f t="shared" si="303"/>
        <v>3590.96</v>
      </c>
      <c r="BB148" s="8748">
        <f t="shared" si="296"/>
        <v>0</v>
      </c>
      <c r="BC148" s="4854">
        <f t="shared" si="297"/>
        <v>3590.96</v>
      </c>
      <c r="BD148" s="8751"/>
      <c r="BE148" s="7231">
        <f>+AY148+AW148</f>
        <v>7166.2430000000004</v>
      </c>
    </row>
    <row r="149" spans="1:57" s="4756" customFormat="1" ht="16.5" customHeight="1" x14ac:dyDescent="0.2">
      <c r="A149" s="3380"/>
      <c r="B149" s="5224" t="s">
        <v>1895</v>
      </c>
      <c r="C149" s="4084" t="s">
        <v>170</v>
      </c>
      <c r="D149" s="8774"/>
      <c r="E149" s="4853">
        <v>2796.3599999999997</v>
      </c>
      <c r="F149" s="8830"/>
      <c r="G149" s="4853">
        <v>2777.7200000000003</v>
      </c>
      <c r="H149" s="8795"/>
      <c r="I149" s="4466">
        <f t="shared" ref="I149:I168" si="308">+G149+E149</f>
        <v>5574.08</v>
      </c>
      <c r="J149" s="8774"/>
      <c r="K149" s="4853">
        <v>2683.62</v>
      </c>
      <c r="L149" s="8748"/>
      <c r="M149" s="4854">
        <f t="shared" ref="M149:M168" si="309">+K149+I149</f>
        <v>8257.7000000000007</v>
      </c>
      <c r="N149" s="8774"/>
      <c r="O149" s="4853">
        <v>0</v>
      </c>
      <c r="P149" s="8795"/>
      <c r="Q149" s="4466">
        <f t="shared" si="304"/>
        <v>8257.7000000000007</v>
      </c>
      <c r="R149" s="8774"/>
      <c r="S149" s="4853">
        <v>0</v>
      </c>
      <c r="T149" s="8795"/>
      <c r="U149" s="4466">
        <f t="shared" ref="U149:U168" si="310">+S149+Q149</f>
        <v>8257.7000000000007</v>
      </c>
      <c r="V149" s="8774"/>
      <c r="W149" s="4853">
        <f>719.64+72.65</f>
        <v>792.29</v>
      </c>
      <c r="X149" s="8748"/>
      <c r="Y149" s="4854">
        <f t="shared" si="305"/>
        <v>792.29</v>
      </c>
      <c r="Z149" s="8751"/>
      <c r="AA149" s="7231">
        <f t="shared" ref="AA149:AA168" si="311">+W149+U149</f>
        <v>9049.9900000000016</v>
      </c>
      <c r="AB149" s="8774"/>
      <c r="AC149" s="4853">
        <v>0</v>
      </c>
      <c r="AD149" s="8795"/>
      <c r="AE149" s="4466">
        <f t="shared" si="306"/>
        <v>9049.9900000000016</v>
      </c>
      <c r="AF149" s="8774"/>
      <c r="AG149" s="4853"/>
      <c r="AH149" s="8795"/>
      <c r="AI149" s="4466">
        <f t="shared" ref="AI149" si="312">+AG149+AE149</f>
        <v>9049.9900000000016</v>
      </c>
      <c r="AJ149" s="8774"/>
      <c r="AK149" s="4853">
        <v>2629.9100000000008</v>
      </c>
      <c r="AL149" s="8748"/>
      <c r="AM149" s="4854">
        <f t="shared" si="307"/>
        <v>2629.9100000000008</v>
      </c>
      <c r="AN149" s="8795"/>
      <c r="AO149" s="4466">
        <f t="shared" ref="AO149" si="313">+AK149+AI149</f>
        <v>11679.900000000001</v>
      </c>
      <c r="AP149" s="8774"/>
      <c r="AQ149" s="4853">
        <v>65.75</v>
      </c>
      <c r="AR149" s="8795"/>
      <c r="AS149" s="4466">
        <f t="shared" ref="AS149" si="314">+AQ149+AO149</f>
        <v>11745.650000000001</v>
      </c>
      <c r="AT149" s="8774"/>
      <c r="AU149" s="4853">
        <v>28.18</v>
      </c>
      <c r="AV149" s="8795"/>
      <c r="AW149" s="4466">
        <f t="shared" ref="AW149" si="315">+AU149+AS149</f>
        <v>11773.830000000002</v>
      </c>
      <c r="AX149" s="8774"/>
      <c r="AY149" s="4853"/>
      <c r="AZ149" s="8748"/>
      <c r="BA149" s="4854">
        <f t="shared" si="303"/>
        <v>93.93</v>
      </c>
      <c r="BB149" s="8748">
        <f t="shared" si="296"/>
        <v>0</v>
      </c>
      <c r="BC149" s="4854">
        <f t="shared" si="297"/>
        <v>2723.8400000000006</v>
      </c>
      <c r="BD149" s="8751"/>
      <c r="BE149" s="7231">
        <f t="shared" ref="BE149" si="316">+AY149+AW149</f>
        <v>11773.830000000002</v>
      </c>
    </row>
    <row r="150" spans="1:57" s="3380" customFormat="1" ht="16.5" customHeight="1" x14ac:dyDescent="0.2">
      <c r="B150" s="6013" t="s">
        <v>2128</v>
      </c>
      <c r="C150" s="7505" t="s">
        <v>170</v>
      </c>
      <c r="D150" s="8774"/>
      <c r="E150" s="4853"/>
      <c r="F150" s="8830"/>
      <c r="G150" s="4853"/>
      <c r="H150" s="8795"/>
      <c r="I150" s="4466"/>
      <c r="J150" s="8774"/>
      <c r="K150" s="4853"/>
      <c r="L150" s="8748"/>
      <c r="M150" s="4854"/>
      <c r="N150" s="8774"/>
      <c r="O150" s="4853"/>
      <c r="P150" s="8795"/>
      <c r="Q150" s="4466"/>
      <c r="R150" s="8774"/>
      <c r="S150" s="4853"/>
      <c r="T150" s="8795"/>
      <c r="U150" s="4466"/>
      <c r="V150" s="8774"/>
      <c r="W150" s="4853"/>
      <c r="X150" s="8748"/>
      <c r="Y150" s="4854"/>
      <c r="Z150" s="8751"/>
      <c r="AA150" s="7231"/>
      <c r="AB150" s="8774"/>
      <c r="AC150" s="4853"/>
      <c r="AD150" s="8795"/>
      <c r="AE150" s="4466"/>
      <c r="AF150" s="8774"/>
      <c r="AG150" s="4853"/>
      <c r="AH150" s="8795"/>
      <c r="AI150" s="4466"/>
      <c r="AJ150" s="8774"/>
      <c r="AK150" s="4853"/>
      <c r="AL150" s="8748"/>
      <c r="AM150" s="4854"/>
      <c r="AN150" s="8795"/>
      <c r="AO150" s="4466"/>
      <c r="AP150" s="8774"/>
      <c r="AQ150" s="4853"/>
      <c r="AR150" s="8795"/>
      <c r="AS150" s="4466"/>
      <c r="AT150" s="8774"/>
      <c r="AU150" s="4853"/>
      <c r="AV150" s="8795"/>
      <c r="AW150" s="4466"/>
      <c r="AX150" s="8774"/>
      <c r="AY150" s="4853"/>
      <c r="AZ150" s="8748"/>
      <c r="BA150" s="4854">
        <f t="shared" si="303"/>
        <v>0</v>
      </c>
      <c r="BB150" s="8748">
        <f t="shared" si="296"/>
        <v>0</v>
      </c>
      <c r="BC150" s="4854">
        <f t="shared" si="297"/>
        <v>0</v>
      </c>
      <c r="BD150" s="8751"/>
      <c r="BE150" s="7231"/>
    </row>
    <row r="151" spans="1:57" s="5985" customFormat="1" ht="16.5" customHeight="1" x14ac:dyDescent="0.2">
      <c r="B151" s="5224" t="s">
        <v>1895</v>
      </c>
      <c r="C151" s="4084" t="s">
        <v>170</v>
      </c>
      <c r="D151" s="8774"/>
      <c r="E151" s="4853"/>
      <c r="F151" s="8830"/>
      <c r="G151" s="4853"/>
      <c r="H151" s="8795"/>
      <c r="I151" s="4466">
        <f t="shared" si="308"/>
        <v>0</v>
      </c>
      <c r="J151" s="8774"/>
      <c r="K151" s="4853"/>
      <c r="L151" s="8748"/>
      <c r="M151" s="4854">
        <f t="shared" si="309"/>
        <v>0</v>
      </c>
      <c r="N151" s="8774"/>
      <c r="O151" s="4853">
        <v>481.25999999999993</v>
      </c>
      <c r="P151" s="8795"/>
      <c r="Q151" s="4466">
        <f t="shared" si="304"/>
        <v>481.25999999999993</v>
      </c>
      <c r="R151" s="8774"/>
      <c r="S151" s="4853">
        <v>0</v>
      </c>
      <c r="T151" s="8795"/>
      <c r="U151" s="4466">
        <f t="shared" si="310"/>
        <v>481.25999999999993</v>
      </c>
      <c r="V151" s="8774"/>
      <c r="W151" s="4853"/>
      <c r="X151" s="8748"/>
      <c r="Y151" s="4854">
        <f t="shared" si="305"/>
        <v>481.25999999999993</v>
      </c>
      <c r="Z151" s="8751"/>
      <c r="AA151" s="7231">
        <f t="shared" si="311"/>
        <v>481.25999999999993</v>
      </c>
      <c r="AB151" s="8774"/>
      <c r="AC151" s="4853">
        <v>0</v>
      </c>
      <c r="AD151" s="8795"/>
      <c r="AE151" s="4466">
        <f t="shared" si="306"/>
        <v>481.25999999999993</v>
      </c>
      <c r="AF151" s="8774"/>
      <c r="AG151" s="4853"/>
      <c r="AH151" s="8795"/>
      <c r="AI151" s="4466">
        <f t="shared" ref="AI151" si="317">+AG151+AE151</f>
        <v>481.25999999999993</v>
      </c>
      <c r="AJ151" s="8774"/>
      <c r="AK151" s="4853"/>
      <c r="AL151" s="8748"/>
      <c r="AM151" s="4854">
        <f t="shared" ref="AM151" si="318">AC151+AG151+AK151</f>
        <v>0</v>
      </c>
      <c r="AN151" s="8795"/>
      <c r="AO151" s="4466">
        <f t="shared" ref="AO151" si="319">+AK151+AI151</f>
        <v>481.25999999999993</v>
      </c>
      <c r="AP151" s="8774"/>
      <c r="AQ151" s="4853"/>
      <c r="AR151" s="8795"/>
      <c r="AS151" s="4466">
        <f t="shared" ref="AS151" si="320">+AQ151+AO151</f>
        <v>481.25999999999993</v>
      </c>
      <c r="AT151" s="8774"/>
      <c r="AU151" s="4853"/>
      <c r="AV151" s="8795"/>
      <c r="AW151" s="4466">
        <f t="shared" ref="AW151" si="321">+AU151+AS151</f>
        <v>481.25999999999993</v>
      </c>
      <c r="AX151" s="8774"/>
      <c r="AY151" s="4853"/>
      <c r="AZ151" s="8748"/>
      <c r="BA151" s="4854">
        <f t="shared" si="303"/>
        <v>0</v>
      </c>
      <c r="BB151" s="8748">
        <f t="shared" si="296"/>
        <v>0</v>
      </c>
      <c r="BC151" s="4854">
        <f t="shared" si="297"/>
        <v>0</v>
      </c>
      <c r="BD151" s="8751"/>
      <c r="BE151" s="7231">
        <f t="shared" ref="BE151" si="322">+AY151+AW151</f>
        <v>481.25999999999993</v>
      </c>
    </row>
    <row r="152" spans="1:57" s="3380" customFormat="1" ht="16.5" customHeight="1" x14ac:dyDescent="0.2">
      <c r="B152" s="6013" t="s">
        <v>2129</v>
      </c>
      <c r="C152" s="7505" t="s">
        <v>170</v>
      </c>
      <c r="D152" s="8774"/>
      <c r="E152" s="4853"/>
      <c r="F152" s="8830"/>
      <c r="G152" s="4853"/>
      <c r="H152" s="8795"/>
      <c r="I152" s="4466"/>
      <c r="J152" s="8774"/>
      <c r="K152" s="4853">
        <v>0</v>
      </c>
      <c r="L152" s="8748"/>
      <c r="M152" s="4854"/>
      <c r="N152" s="8774"/>
      <c r="O152" s="4853"/>
      <c r="P152" s="8795"/>
      <c r="Q152" s="4466"/>
      <c r="R152" s="8774"/>
      <c r="S152" s="4853"/>
      <c r="T152" s="8795"/>
      <c r="U152" s="4466"/>
      <c r="V152" s="8774"/>
      <c r="W152" s="4853"/>
      <c r="X152" s="8748"/>
      <c r="Y152" s="4854"/>
      <c r="Z152" s="8751"/>
      <c r="AA152" s="7231"/>
      <c r="AB152" s="8774"/>
      <c r="AC152" s="4853"/>
      <c r="AD152" s="8795"/>
      <c r="AE152" s="4466"/>
      <c r="AF152" s="8774"/>
      <c r="AG152" s="4853"/>
      <c r="AH152" s="8795"/>
      <c r="AI152" s="4466"/>
      <c r="AJ152" s="8774"/>
      <c r="AK152" s="4853"/>
      <c r="AL152" s="8748"/>
      <c r="AM152" s="4854"/>
      <c r="AN152" s="8795"/>
      <c r="AO152" s="4466"/>
      <c r="AP152" s="8774"/>
      <c r="AQ152" s="4853"/>
      <c r="AR152" s="8795"/>
      <c r="AS152" s="4466"/>
      <c r="AT152" s="8774"/>
      <c r="AU152" s="4853"/>
      <c r="AV152" s="8795"/>
      <c r="AW152" s="4466"/>
      <c r="AX152" s="8774"/>
      <c r="AY152" s="4853"/>
      <c r="AZ152" s="8748"/>
      <c r="BA152" s="4854">
        <f t="shared" si="303"/>
        <v>0</v>
      </c>
      <c r="BB152" s="8748">
        <f t="shared" si="296"/>
        <v>0</v>
      </c>
      <c r="BC152" s="4854">
        <f t="shared" si="297"/>
        <v>0</v>
      </c>
      <c r="BD152" s="8751"/>
      <c r="BE152" s="7231"/>
    </row>
    <row r="153" spans="1:57" s="5718" customFormat="1" ht="16.5" customHeight="1" x14ac:dyDescent="0.2">
      <c r="B153" s="5226" t="s">
        <v>1895</v>
      </c>
      <c r="C153" s="4084" t="s">
        <v>170</v>
      </c>
      <c r="D153" s="8774"/>
      <c r="E153" s="4853"/>
      <c r="F153" s="8830"/>
      <c r="G153" s="4853"/>
      <c r="H153" s="8795"/>
      <c r="I153" s="4466">
        <f t="shared" si="308"/>
        <v>0</v>
      </c>
      <c r="J153" s="8774"/>
      <c r="K153" s="4853">
        <v>0</v>
      </c>
      <c r="L153" s="8748"/>
      <c r="M153" s="4854">
        <f t="shared" si="309"/>
        <v>0</v>
      </c>
      <c r="N153" s="8774"/>
      <c r="O153" s="4853">
        <v>4638.5</v>
      </c>
      <c r="P153" s="8795"/>
      <c r="Q153" s="4466">
        <f t="shared" si="304"/>
        <v>4638.5</v>
      </c>
      <c r="R153" s="8774"/>
      <c r="S153" s="4853">
        <v>0</v>
      </c>
      <c r="T153" s="8795"/>
      <c r="U153" s="4466">
        <f t="shared" si="310"/>
        <v>4638.5</v>
      </c>
      <c r="V153" s="8774"/>
      <c r="W153" s="4853">
        <v>1537.66</v>
      </c>
      <c r="X153" s="8748"/>
      <c r="Y153" s="4854">
        <f t="shared" si="305"/>
        <v>6176.16</v>
      </c>
      <c r="Z153" s="8751"/>
      <c r="AA153" s="7231">
        <f t="shared" si="311"/>
        <v>6176.16</v>
      </c>
      <c r="AB153" s="8774"/>
      <c r="AC153" s="4853">
        <v>0</v>
      </c>
      <c r="AD153" s="8795"/>
      <c r="AE153" s="4466">
        <f t="shared" si="306"/>
        <v>6176.16</v>
      </c>
      <c r="AF153" s="8774"/>
      <c r="AG153" s="4853"/>
      <c r="AH153" s="8795"/>
      <c r="AI153" s="4466">
        <f t="shared" ref="AI153" si="323">+AG153+AE153</f>
        <v>6176.16</v>
      </c>
      <c r="AJ153" s="8774"/>
      <c r="AK153" s="4853"/>
      <c r="AL153" s="8748"/>
      <c r="AM153" s="4854">
        <f t="shared" ref="AM153" si="324">AC153+AG153+AK153</f>
        <v>0</v>
      </c>
      <c r="AN153" s="8795"/>
      <c r="AO153" s="4466">
        <f t="shared" ref="AO153" si="325">+AK153+AI153</f>
        <v>6176.16</v>
      </c>
      <c r="AP153" s="8774"/>
      <c r="AQ153" s="4853"/>
      <c r="AR153" s="8795"/>
      <c r="AS153" s="4466">
        <f t="shared" ref="AS153" si="326">+AQ153+AO153</f>
        <v>6176.16</v>
      </c>
      <c r="AT153" s="8774"/>
      <c r="AU153" s="4853"/>
      <c r="AV153" s="8795"/>
      <c r="AW153" s="4466">
        <f t="shared" ref="AW153" si="327">+AU153+AS153</f>
        <v>6176.16</v>
      </c>
      <c r="AX153" s="8774"/>
      <c r="AY153" s="4853">
        <v>914.26</v>
      </c>
      <c r="AZ153" s="8748"/>
      <c r="BA153" s="4854">
        <f t="shared" si="303"/>
        <v>914.26</v>
      </c>
      <c r="BB153" s="8748">
        <f t="shared" si="296"/>
        <v>0</v>
      </c>
      <c r="BC153" s="4854">
        <f t="shared" si="297"/>
        <v>914.26</v>
      </c>
      <c r="BD153" s="8751"/>
      <c r="BE153" s="7231">
        <f t="shared" ref="BE153" si="328">+AY153+AW153</f>
        <v>7090.42</v>
      </c>
    </row>
    <row r="154" spans="1:57" s="3380" customFormat="1" ht="16.5" customHeight="1" x14ac:dyDescent="0.2">
      <c r="B154" s="6013" t="s">
        <v>2206</v>
      </c>
      <c r="C154" s="7505" t="s">
        <v>170</v>
      </c>
      <c r="D154" s="8774"/>
      <c r="E154" s="4853"/>
      <c r="F154" s="8830"/>
      <c r="G154" s="4853"/>
      <c r="H154" s="8795"/>
      <c r="I154" s="4466"/>
      <c r="J154" s="8774"/>
      <c r="K154" s="4853"/>
      <c r="L154" s="8748"/>
      <c r="M154" s="4854"/>
      <c r="N154" s="8774"/>
      <c r="O154" s="4853"/>
      <c r="P154" s="8795"/>
      <c r="Q154" s="4466"/>
      <c r="R154" s="8774"/>
      <c r="S154" s="4853"/>
      <c r="T154" s="8795"/>
      <c r="U154" s="4466"/>
      <c r="V154" s="8774"/>
      <c r="W154" s="4853"/>
      <c r="X154" s="8748"/>
      <c r="Y154" s="4854"/>
      <c r="Z154" s="8751"/>
      <c r="AA154" s="7231"/>
      <c r="AB154" s="8774"/>
      <c r="AC154" s="4853"/>
      <c r="AD154" s="8795"/>
      <c r="AE154" s="4466"/>
      <c r="AF154" s="8774"/>
      <c r="AG154" s="4853"/>
      <c r="AH154" s="8795"/>
      <c r="AI154" s="4466"/>
      <c r="AJ154" s="8774"/>
      <c r="AK154" s="4853"/>
      <c r="AL154" s="8748"/>
      <c r="AM154" s="4854"/>
      <c r="AN154" s="8795"/>
      <c r="AO154" s="4466"/>
      <c r="AP154" s="8774"/>
      <c r="AQ154" s="4853"/>
      <c r="AR154" s="8795"/>
      <c r="AS154" s="4466"/>
      <c r="AT154" s="8774"/>
      <c r="AU154" s="4853"/>
      <c r="AV154" s="8795"/>
      <c r="AW154" s="4466"/>
      <c r="AX154" s="8774"/>
      <c r="AY154" s="4853"/>
      <c r="AZ154" s="8748"/>
      <c r="BA154" s="4854">
        <f t="shared" si="303"/>
        <v>0</v>
      </c>
      <c r="BB154" s="8748">
        <f t="shared" si="296"/>
        <v>0</v>
      </c>
      <c r="BC154" s="4854">
        <f t="shared" si="297"/>
        <v>0</v>
      </c>
      <c r="BD154" s="8751"/>
      <c r="BE154" s="7231"/>
    </row>
    <row r="155" spans="1:57" s="6434" customFormat="1" ht="16.5" customHeight="1" x14ac:dyDescent="0.2">
      <c r="B155" s="5224" t="s">
        <v>2622</v>
      </c>
      <c r="C155" s="4084" t="s">
        <v>170</v>
      </c>
      <c r="D155" s="8774"/>
      <c r="E155" s="4853"/>
      <c r="F155" s="8830"/>
      <c r="G155" s="4853"/>
      <c r="H155" s="8795"/>
      <c r="I155" s="4466"/>
      <c r="J155" s="8774"/>
      <c r="K155" s="4853"/>
      <c r="L155" s="8748"/>
      <c r="M155" s="4854"/>
      <c r="N155" s="8774"/>
      <c r="O155" s="4853"/>
      <c r="P155" s="8795"/>
      <c r="Q155" s="4466">
        <f t="shared" si="304"/>
        <v>0</v>
      </c>
      <c r="R155" s="8774"/>
      <c r="S155" s="4853">
        <v>2066.0570000000007</v>
      </c>
      <c r="T155" s="8795"/>
      <c r="U155" s="4466">
        <f t="shared" si="310"/>
        <v>2066.0570000000007</v>
      </c>
      <c r="V155" s="8774"/>
      <c r="W155" s="4853"/>
      <c r="X155" s="8748"/>
      <c r="Y155" s="4854">
        <f t="shared" si="305"/>
        <v>2066.0570000000007</v>
      </c>
      <c r="Z155" s="8751"/>
      <c r="AA155" s="7231">
        <f t="shared" si="311"/>
        <v>2066.0570000000007</v>
      </c>
      <c r="AB155" s="8774"/>
      <c r="AC155" s="4853">
        <v>0</v>
      </c>
      <c r="AD155" s="8795"/>
      <c r="AE155" s="4466">
        <f t="shared" si="306"/>
        <v>2066.0570000000007</v>
      </c>
      <c r="AF155" s="8774"/>
      <c r="AG155" s="4853"/>
      <c r="AH155" s="8795"/>
      <c r="AI155" s="4466">
        <f t="shared" ref="AI155:AI156" si="329">+AG155+AE155</f>
        <v>2066.0570000000007</v>
      </c>
      <c r="AJ155" s="8774"/>
      <c r="AK155" s="4853"/>
      <c r="AL155" s="8748"/>
      <c r="AM155" s="4854">
        <f t="shared" ref="AM155:AM156" si="330">AC155+AG155+AK155</f>
        <v>0</v>
      </c>
      <c r="AN155" s="8795"/>
      <c r="AO155" s="4466">
        <f t="shared" ref="AO155:AO156" si="331">+AK155+AI155</f>
        <v>2066.0570000000007</v>
      </c>
      <c r="AP155" s="8774"/>
      <c r="AQ155" s="4853"/>
      <c r="AR155" s="8795"/>
      <c r="AS155" s="4466">
        <f t="shared" ref="AS155:AS156" si="332">+AQ155+AO155</f>
        <v>2066.0570000000007</v>
      </c>
      <c r="AT155" s="8774"/>
      <c r="AU155" s="4853"/>
      <c r="AV155" s="8795"/>
      <c r="AW155" s="4466">
        <f t="shared" ref="AW155:AW156" si="333">+AU155+AS155</f>
        <v>2066.0570000000007</v>
      </c>
      <c r="AX155" s="8774"/>
      <c r="AY155" s="4853">
        <v>2042.72</v>
      </c>
      <c r="AZ155" s="8748"/>
      <c r="BA155" s="4854">
        <f t="shared" si="303"/>
        <v>2042.72</v>
      </c>
      <c r="BB155" s="8748">
        <f t="shared" si="296"/>
        <v>0</v>
      </c>
      <c r="BC155" s="4854">
        <f t="shared" si="297"/>
        <v>2042.72</v>
      </c>
      <c r="BD155" s="8751"/>
      <c r="BE155" s="7231">
        <f t="shared" ref="BE155:BE156" si="334">+AY155+AW155</f>
        <v>4108.777000000001</v>
      </c>
    </row>
    <row r="156" spans="1:57" s="6434" customFormat="1" ht="16.5" customHeight="1" x14ac:dyDescent="0.2">
      <c r="B156" s="5226" t="s">
        <v>1895</v>
      </c>
      <c r="C156" s="4084" t="s">
        <v>170</v>
      </c>
      <c r="D156" s="8774"/>
      <c r="E156" s="4853"/>
      <c r="F156" s="8830"/>
      <c r="G156" s="4853"/>
      <c r="H156" s="8795"/>
      <c r="I156" s="4466"/>
      <c r="J156" s="8774"/>
      <c r="K156" s="4853"/>
      <c r="L156" s="8748"/>
      <c r="M156" s="4854"/>
      <c r="N156" s="8774"/>
      <c r="O156" s="4853"/>
      <c r="P156" s="8795"/>
      <c r="Q156" s="4466">
        <f t="shared" ref="Q156:Q168" si="335">+O156+M156</f>
        <v>0</v>
      </c>
      <c r="R156" s="8774"/>
      <c r="S156" s="4853">
        <v>0</v>
      </c>
      <c r="T156" s="8795"/>
      <c r="U156" s="4466">
        <f t="shared" si="310"/>
        <v>0</v>
      </c>
      <c r="V156" s="8774"/>
      <c r="W156" s="4853"/>
      <c r="X156" s="8748"/>
      <c r="Y156" s="4854">
        <f t="shared" si="305"/>
        <v>0</v>
      </c>
      <c r="Z156" s="8751"/>
      <c r="AA156" s="7231">
        <f t="shared" si="311"/>
        <v>0</v>
      </c>
      <c r="AB156" s="8774"/>
      <c r="AC156" s="4853">
        <v>0</v>
      </c>
      <c r="AD156" s="8795"/>
      <c r="AE156" s="4466">
        <f t="shared" si="306"/>
        <v>0</v>
      </c>
      <c r="AF156" s="8774"/>
      <c r="AG156" s="4853"/>
      <c r="AH156" s="8795"/>
      <c r="AI156" s="4466">
        <f t="shared" si="329"/>
        <v>0</v>
      </c>
      <c r="AJ156" s="8774"/>
      <c r="AK156" s="4853"/>
      <c r="AL156" s="8748"/>
      <c r="AM156" s="4854">
        <f t="shared" si="330"/>
        <v>0</v>
      </c>
      <c r="AN156" s="8795"/>
      <c r="AO156" s="4466">
        <f t="shared" si="331"/>
        <v>0</v>
      </c>
      <c r="AP156" s="8774"/>
      <c r="AQ156" s="4853"/>
      <c r="AR156" s="8795"/>
      <c r="AS156" s="4466">
        <f t="shared" si="332"/>
        <v>0</v>
      </c>
      <c r="AT156" s="8774"/>
      <c r="AU156" s="4853"/>
      <c r="AV156" s="8795"/>
      <c r="AW156" s="4466">
        <f t="shared" si="333"/>
        <v>0</v>
      </c>
      <c r="AX156" s="8774"/>
      <c r="AY156" s="4853"/>
      <c r="AZ156" s="8748"/>
      <c r="BA156" s="4854">
        <f t="shared" si="303"/>
        <v>0</v>
      </c>
      <c r="BB156" s="8748">
        <f t="shared" si="296"/>
        <v>0</v>
      </c>
      <c r="BC156" s="4854">
        <f t="shared" si="297"/>
        <v>0</v>
      </c>
      <c r="BD156" s="8751"/>
      <c r="BE156" s="7231">
        <f t="shared" si="334"/>
        <v>0</v>
      </c>
    </row>
    <row r="157" spans="1:57" s="3380" customFormat="1" ht="16.5" customHeight="1" x14ac:dyDescent="0.2">
      <c r="B157" s="6013" t="s">
        <v>1643</v>
      </c>
      <c r="C157" s="7505" t="s">
        <v>170</v>
      </c>
      <c r="D157" s="8774"/>
      <c r="E157" s="4853"/>
      <c r="F157" s="8830"/>
      <c r="G157" s="4853"/>
      <c r="H157" s="8795"/>
      <c r="I157" s="4466"/>
      <c r="J157" s="8774"/>
      <c r="K157" s="4853">
        <v>0</v>
      </c>
      <c r="L157" s="8748"/>
      <c r="M157" s="4854"/>
      <c r="N157" s="8774"/>
      <c r="O157" s="4853"/>
      <c r="P157" s="8795"/>
      <c r="Q157" s="4466"/>
      <c r="R157" s="8774"/>
      <c r="S157" s="4853"/>
      <c r="T157" s="8795"/>
      <c r="U157" s="4466"/>
      <c r="V157" s="8774"/>
      <c r="W157" s="4853"/>
      <c r="X157" s="8748"/>
      <c r="Y157" s="4854"/>
      <c r="Z157" s="8751"/>
      <c r="AA157" s="7231"/>
      <c r="AB157" s="8774"/>
      <c r="AC157" s="4853"/>
      <c r="AD157" s="8795"/>
      <c r="AE157" s="4466"/>
      <c r="AF157" s="8774"/>
      <c r="AG157" s="4853"/>
      <c r="AH157" s="8795"/>
      <c r="AI157" s="4466"/>
      <c r="AJ157" s="8774"/>
      <c r="AK157" s="4853"/>
      <c r="AL157" s="8748"/>
      <c r="AM157" s="4854"/>
      <c r="AN157" s="8795"/>
      <c r="AO157" s="4466"/>
      <c r="AP157" s="8774"/>
      <c r="AQ157" s="4853"/>
      <c r="AR157" s="8795"/>
      <c r="AS157" s="4466"/>
      <c r="AT157" s="8774"/>
      <c r="AU157" s="4853"/>
      <c r="AV157" s="8795"/>
      <c r="AW157" s="4466"/>
      <c r="AX157" s="8774"/>
      <c r="AY157" s="4853"/>
      <c r="AZ157" s="8748"/>
      <c r="BA157" s="4854">
        <f t="shared" si="303"/>
        <v>0</v>
      </c>
      <c r="BB157" s="8748">
        <f t="shared" si="296"/>
        <v>0</v>
      </c>
      <c r="BC157" s="4854">
        <f t="shared" si="297"/>
        <v>0</v>
      </c>
      <c r="BD157" s="8751"/>
      <c r="BE157" s="7231"/>
    </row>
    <row r="158" spans="1:57" s="5126" customFormat="1" ht="16.5" customHeight="1" x14ac:dyDescent="0.2">
      <c r="B158" s="5224" t="s">
        <v>1895</v>
      </c>
      <c r="C158" s="4084" t="s">
        <v>170</v>
      </c>
      <c r="D158" s="8774"/>
      <c r="E158" s="4853">
        <v>2717.8400000000011</v>
      </c>
      <c r="F158" s="8830"/>
      <c r="G158" s="4853">
        <v>0</v>
      </c>
      <c r="H158" s="8795"/>
      <c r="I158" s="4466">
        <f t="shared" si="308"/>
        <v>2717.8400000000011</v>
      </c>
      <c r="J158" s="8774"/>
      <c r="K158" s="4853">
        <v>0</v>
      </c>
      <c r="L158" s="8748"/>
      <c r="M158" s="4854">
        <f t="shared" si="309"/>
        <v>2717.8400000000011</v>
      </c>
      <c r="N158" s="8774"/>
      <c r="O158" s="4853">
        <v>0</v>
      </c>
      <c r="P158" s="8795"/>
      <c r="Q158" s="4466">
        <f t="shared" si="335"/>
        <v>2717.8400000000011</v>
      </c>
      <c r="R158" s="8774"/>
      <c r="S158" s="4853">
        <v>0</v>
      </c>
      <c r="T158" s="8795"/>
      <c r="U158" s="4466">
        <f t="shared" si="310"/>
        <v>2717.8400000000011</v>
      </c>
      <c r="V158" s="8774"/>
      <c r="W158" s="4853"/>
      <c r="X158" s="8748"/>
      <c r="Y158" s="4854">
        <f t="shared" si="305"/>
        <v>0</v>
      </c>
      <c r="Z158" s="8751"/>
      <c r="AA158" s="7231">
        <f t="shared" si="311"/>
        <v>2717.8400000000011</v>
      </c>
      <c r="AB158" s="8774"/>
      <c r="AC158" s="4853">
        <v>0</v>
      </c>
      <c r="AD158" s="8795"/>
      <c r="AE158" s="4466">
        <f t="shared" si="306"/>
        <v>2717.8400000000011</v>
      </c>
      <c r="AF158" s="8774"/>
      <c r="AG158" s="4853"/>
      <c r="AH158" s="8795"/>
      <c r="AI158" s="4466">
        <f t="shared" ref="AI158" si="336">+AG158+AE158</f>
        <v>2717.8400000000011</v>
      </c>
      <c r="AJ158" s="8774"/>
      <c r="AK158" s="4853"/>
      <c r="AL158" s="8748"/>
      <c r="AM158" s="4854">
        <f t="shared" ref="AM158" si="337">AC158+AG158+AK158</f>
        <v>0</v>
      </c>
      <c r="AN158" s="8795"/>
      <c r="AO158" s="4466">
        <f t="shared" ref="AO158" si="338">+AK158+AI158</f>
        <v>2717.8400000000011</v>
      </c>
      <c r="AP158" s="8774"/>
      <c r="AQ158" s="4853"/>
      <c r="AR158" s="8795"/>
      <c r="AS158" s="4466">
        <f t="shared" ref="AS158" si="339">+AQ158+AO158</f>
        <v>2717.8400000000011</v>
      </c>
      <c r="AT158" s="8774"/>
      <c r="AU158" s="4853">
        <v>2898.54</v>
      </c>
      <c r="AV158" s="8795"/>
      <c r="AW158" s="4466">
        <f t="shared" ref="AW158" si="340">+AU158+AS158</f>
        <v>5616.380000000001</v>
      </c>
      <c r="AX158" s="8774"/>
      <c r="AY158" s="4853">
        <v>1840.5</v>
      </c>
      <c r="AZ158" s="8748"/>
      <c r="BA158" s="4854">
        <f t="shared" si="303"/>
        <v>4739.04</v>
      </c>
      <c r="BB158" s="8748">
        <f t="shared" si="296"/>
        <v>0</v>
      </c>
      <c r="BC158" s="4854">
        <f t="shared" si="297"/>
        <v>4739.04</v>
      </c>
      <c r="BD158" s="8751"/>
      <c r="BE158" s="7231">
        <f t="shared" ref="BE158" si="341">+AY158+AW158</f>
        <v>7456.880000000001</v>
      </c>
    </row>
    <row r="159" spans="1:57" s="3380" customFormat="1" ht="16.5" customHeight="1" x14ac:dyDescent="0.2">
      <c r="B159" s="6013" t="s">
        <v>2081</v>
      </c>
      <c r="C159" s="7505" t="s">
        <v>170</v>
      </c>
      <c r="D159" s="8774"/>
      <c r="E159" s="4853"/>
      <c r="F159" s="8830"/>
      <c r="G159" s="4853"/>
      <c r="H159" s="8795"/>
      <c r="I159" s="4466"/>
      <c r="J159" s="8774"/>
      <c r="K159" s="4853">
        <v>0</v>
      </c>
      <c r="L159" s="8748"/>
      <c r="M159" s="4854"/>
      <c r="N159" s="8774"/>
      <c r="O159" s="4853"/>
      <c r="P159" s="8795"/>
      <c r="Q159" s="4466"/>
      <c r="R159" s="8774"/>
      <c r="S159" s="4853"/>
      <c r="T159" s="8795"/>
      <c r="U159" s="4466"/>
      <c r="V159" s="8774"/>
      <c r="W159" s="4853"/>
      <c r="X159" s="8748"/>
      <c r="Y159" s="4854"/>
      <c r="Z159" s="8751"/>
      <c r="AA159" s="7231"/>
      <c r="AB159" s="8774"/>
      <c r="AC159" s="4853"/>
      <c r="AD159" s="8795"/>
      <c r="AE159" s="4466"/>
      <c r="AF159" s="8774"/>
      <c r="AG159" s="4853"/>
      <c r="AH159" s="8795"/>
      <c r="AI159" s="4466"/>
      <c r="AJ159" s="8774"/>
      <c r="AK159" s="4853"/>
      <c r="AL159" s="8748"/>
      <c r="AM159" s="4854"/>
      <c r="AN159" s="8795"/>
      <c r="AO159" s="4466"/>
      <c r="AP159" s="8774"/>
      <c r="AQ159" s="4853"/>
      <c r="AR159" s="8795"/>
      <c r="AS159" s="4466"/>
      <c r="AT159" s="8774"/>
      <c r="AU159" s="4853"/>
      <c r="AV159" s="8795"/>
      <c r="AW159" s="4466"/>
      <c r="AX159" s="8774"/>
      <c r="AY159" s="4853"/>
      <c r="AZ159" s="8748"/>
      <c r="BA159" s="4854">
        <f t="shared" si="303"/>
        <v>0</v>
      </c>
      <c r="BB159" s="8748">
        <f t="shared" si="296"/>
        <v>0</v>
      </c>
      <c r="BC159" s="4854">
        <f t="shared" si="297"/>
        <v>0</v>
      </c>
      <c r="BD159" s="8751"/>
      <c r="BE159" s="7231"/>
    </row>
    <row r="160" spans="1:57" s="5718" customFormat="1" ht="16.5" customHeight="1" x14ac:dyDescent="0.2">
      <c r="B160" s="5224" t="s">
        <v>1895</v>
      </c>
      <c r="C160" s="4084" t="s">
        <v>170</v>
      </c>
      <c r="D160" s="8774"/>
      <c r="E160" s="4853"/>
      <c r="F160" s="8830"/>
      <c r="G160" s="4853"/>
      <c r="H160" s="8795"/>
      <c r="I160" s="4466">
        <f t="shared" si="308"/>
        <v>0</v>
      </c>
      <c r="J160" s="8774"/>
      <c r="K160" s="4853">
        <v>654.88</v>
      </c>
      <c r="L160" s="8748"/>
      <c r="M160" s="4854">
        <f t="shared" si="309"/>
        <v>654.88</v>
      </c>
      <c r="N160" s="8774"/>
      <c r="O160" s="4853">
        <v>0</v>
      </c>
      <c r="P160" s="8795"/>
      <c r="Q160" s="4466">
        <f t="shared" si="335"/>
        <v>654.88</v>
      </c>
      <c r="R160" s="8774"/>
      <c r="S160" s="4853">
        <v>0</v>
      </c>
      <c r="T160" s="8795"/>
      <c r="U160" s="4466">
        <f t="shared" si="310"/>
        <v>654.88</v>
      </c>
      <c r="V160" s="8774"/>
      <c r="W160" s="4853"/>
      <c r="X160" s="8748"/>
      <c r="Y160" s="4854">
        <f t="shared" si="305"/>
        <v>0</v>
      </c>
      <c r="Z160" s="8751"/>
      <c r="AA160" s="7231">
        <f t="shared" si="311"/>
        <v>654.88</v>
      </c>
      <c r="AB160" s="8774"/>
      <c r="AC160" s="4853">
        <v>0</v>
      </c>
      <c r="AD160" s="8795"/>
      <c r="AE160" s="4466">
        <f t="shared" si="306"/>
        <v>654.88</v>
      </c>
      <c r="AF160" s="8774"/>
      <c r="AG160" s="4853"/>
      <c r="AH160" s="8795"/>
      <c r="AI160" s="4466">
        <f t="shared" ref="AI160" si="342">+AG160+AE160</f>
        <v>654.88</v>
      </c>
      <c r="AJ160" s="8774"/>
      <c r="AK160" s="4853"/>
      <c r="AL160" s="8748"/>
      <c r="AM160" s="4854">
        <f t="shared" ref="AM160" si="343">AC160+AG160+AK160</f>
        <v>0</v>
      </c>
      <c r="AN160" s="8795"/>
      <c r="AO160" s="4466">
        <f t="shared" ref="AO160" si="344">+AK160+AI160</f>
        <v>654.88</v>
      </c>
      <c r="AP160" s="8774"/>
      <c r="AQ160" s="4853"/>
      <c r="AR160" s="8795"/>
      <c r="AS160" s="4466">
        <f t="shared" ref="AS160" si="345">+AQ160+AO160</f>
        <v>654.88</v>
      </c>
      <c r="AT160" s="8774"/>
      <c r="AU160" s="4853"/>
      <c r="AV160" s="8795"/>
      <c r="AW160" s="4466">
        <f t="shared" ref="AW160" si="346">+AU160+AS160</f>
        <v>654.88</v>
      </c>
      <c r="AX160" s="8774"/>
      <c r="AY160" s="4853"/>
      <c r="AZ160" s="8748"/>
      <c r="BA160" s="4854">
        <f t="shared" si="303"/>
        <v>0</v>
      </c>
      <c r="BB160" s="8748">
        <f t="shared" si="296"/>
        <v>0</v>
      </c>
      <c r="BC160" s="4854">
        <f t="shared" si="297"/>
        <v>0</v>
      </c>
      <c r="BD160" s="8751"/>
      <c r="BE160" s="7231">
        <f t="shared" ref="BE160" si="347">+AY160+AW160</f>
        <v>654.88</v>
      </c>
    </row>
    <row r="161" spans="1:78" s="3380" customFormat="1" ht="16.5" customHeight="1" x14ac:dyDescent="0.2">
      <c r="B161" s="6013" t="s">
        <v>1684</v>
      </c>
      <c r="C161" s="7505" t="s">
        <v>170</v>
      </c>
      <c r="D161" s="8774"/>
      <c r="E161" s="4853"/>
      <c r="F161" s="8830"/>
      <c r="G161" s="4853"/>
      <c r="H161" s="8795"/>
      <c r="I161" s="4466"/>
      <c r="J161" s="8774"/>
      <c r="K161" s="4853">
        <v>0</v>
      </c>
      <c r="L161" s="8748"/>
      <c r="M161" s="4854"/>
      <c r="N161" s="8774"/>
      <c r="O161" s="4853"/>
      <c r="P161" s="8795"/>
      <c r="Q161" s="4466"/>
      <c r="R161" s="8774"/>
      <c r="S161" s="4853"/>
      <c r="T161" s="8795"/>
      <c r="U161" s="4466"/>
      <c r="V161" s="8774"/>
      <c r="W161" s="4853"/>
      <c r="X161" s="8748"/>
      <c r="Y161" s="4854"/>
      <c r="Z161" s="8751"/>
      <c r="AA161" s="7231"/>
      <c r="AB161" s="8774"/>
      <c r="AC161" s="4853"/>
      <c r="AD161" s="8795"/>
      <c r="AE161" s="4466"/>
      <c r="AF161" s="8774"/>
      <c r="AG161" s="4853"/>
      <c r="AH161" s="8795"/>
      <c r="AI161" s="4466"/>
      <c r="AJ161" s="8774"/>
      <c r="AK161" s="4853"/>
      <c r="AL161" s="8748"/>
      <c r="AM161" s="4854"/>
      <c r="AN161" s="8795"/>
      <c r="AO161" s="4466"/>
      <c r="AP161" s="8774"/>
      <c r="AQ161" s="4853"/>
      <c r="AR161" s="8795"/>
      <c r="AS161" s="4466"/>
      <c r="AT161" s="8774"/>
      <c r="AU161" s="4853"/>
      <c r="AV161" s="8795"/>
      <c r="AW161" s="4466"/>
      <c r="AX161" s="8774"/>
      <c r="AY161" s="4853"/>
      <c r="AZ161" s="8748"/>
      <c r="BA161" s="4854">
        <f t="shared" si="303"/>
        <v>0</v>
      </c>
      <c r="BB161" s="8748">
        <f t="shared" si="296"/>
        <v>0</v>
      </c>
      <c r="BC161" s="4854">
        <f t="shared" si="297"/>
        <v>0</v>
      </c>
      <c r="BD161" s="8751"/>
      <c r="BE161" s="7231"/>
    </row>
    <row r="162" spans="1:78" s="5718" customFormat="1" ht="16.5" customHeight="1" x14ac:dyDescent="0.2">
      <c r="B162" s="5226" t="s">
        <v>1896</v>
      </c>
      <c r="C162" s="4084" t="s">
        <v>170</v>
      </c>
      <c r="D162" s="8774"/>
      <c r="E162" s="4853">
        <v>2393.84</v>
      </c>
      <c r="F162" s="8830"/>
      <c r="G162" s="4853"/>
      <c r="H162" s="8795"/>
      <c r="I162" s="4466">
        <f t="shared" si="308"/>
        <v>2393.84</v>
      </c>
      <c r="J162" s="8774"/>
      <c r="K162" s="4853">
        <v>0</v>
      </c>
      <c r="L162" s="8748"/>
      <c r="M162" s="4854">
        <f t="shared" si="309"/>
        <v>2393.84</v>
      </c>
      <c r="N162" s="8774"/>
      <c r="O162" s="4853">
        <v>0</v>
      </c>
      <c r="P162" s="8795"/>
      <c r="Q162" s="4466">
        <f t="shared" si="335"/>
        <v>2393.84</v>
      </c>
      <c r="R162" s="8774"/>
      <c r="S162" s="4853">
        <v>0</v>
      </c>
      <c r="T162" s="8795"/>
      <c r="U162" s="4466">
        <f t="shared" si="310"/>
        <v>2393.84</v>
      </c>
      <c r="V162" s="8774"/>
      <c r="W162" s="4853"/>
      <c r="X162" s="8748"/>
      <c r="Y162" s="4854">
        <f t="shared" si="305"/>
        <v>0</v>
      </c>
      <c r="Z162" s="8751"/>
      <c r="AA162" s="7231">
        <f t="shared" si="311"/>
        <v>2393.84</v>
      </c>
      <c r="AB162" s="8774"/>
      <c r="AC162" s="4853">
        <v>0</v>
      </c>
      <c r="AD162" s="8795"/>
      <c r="AE162" s="4466">
        <f t="shared" si="306"/>
        <v>2393.84</v>
      </c>
      <c r="AF162" s="8774"/>
      <c r="AG162" s="4853"/>
      <c r="AH162" s="8795"/>
      <c r="AI162" s="4466">
        <f t="shared" ref="AI162" si="348">+AG162+AE162</f>
        <v>2393.84</v>
      </c>
      <c r="AJ162" s="8774"/>
      <c r="AK162" s="4853"/>
      <c r="AL162" s="8748"/>
      <c r="AM162" s="4854">
        <f t="shared" ref="AM162" si="349">AC162+AG162+AK162</f>
        <v>0</v>
      </c>
      <c r="AN162" s="8795"/>
      <c r="AO162" s="4466">
        <f t="shared" ref="AO162" si="350">+AK162+AI162</f>
        <v>2393.84</v>
      </c>
      <c r="AP162" s="8774"/>
      <c r="AQ162" s="4853"/>
      <c r="AR162" s="8795"/>
      <c r="AS162" s="4466">
        <f t="shared" ref="AS162" si="351">+AQ162+AO162</f>
        <v>2393.84</v>
      </c>
      <c r="AT162" s="8774"/>
      <c r="AU162" s="4853"/>
      <c r="AV162" s="8795"/>
      <c r="AW162" s="4466">
        <f t="shared" ref="AW162" si="352">+AU162+AS162</f>
        <v>2393.84</v>
      </c>
      <c r="AX162" s="8774"/>
      <c r="AY162" s="4853"/>
      <c r="AZ162" s="8748"/>
      <c r="BA162" s="4854">
        <f t="shared" si="303"/>
        <v>0</v>
      </c>
      <c r="BB162" s="8748">
        <f t="shared" si="296"/>
        <v>0</v>
      </c>
      <c r="BC162" s="4854">
        <f t="shared" si="297"/>
        <v>0</v>
      </c>
      <c r="BD162" s="8751"/>
      <c r="BE162" s="7231">
        <f t="shared" ref="BE162" si="353">+AY162+AW162</f>
        <v>2393.84</v>
      </c>
    </row>
    <row r="163" spans="1:78" s="3380" customFormat="1" ht="16.5" customHeight="1" x14ac:dyDescent="0.2">
      <c r="B163" s="6013" t="s">
        <v>2082</v>
      </c>
      <c r="C163" s="7505" t="s">
        <v>170</v>
      </c>
      <c r="D163" s="8774"/>
      <c r="E163" s="4853"/>
      <c r="F163" s="8830"/>
      <c r="G163" s="4853"/>
      <c r="H163" s="8795"/>
      <c r="I163" s="4466"/>
      <c r="J163" s="8774"/>
      <c r="K163" s="4853">
        <v>0</v>
      </c>
      <c r="L163" s="8748"/>
      <c r="M163" s="4854"/>
      <c r="N163" s="8774"/>
      <c r="O163" s="4853"/>
      <c r="P163" s="8795"/>
      <c r="Q163" s="4466"/>
      <c r="R163" s="8774"/>
      <c r="S163" s="4853"/>
      <c r="T163" s="8795"/>
      <c r="U163" s="4466"/>
      <c r="V163" s="8774"/>
      <c r="W163" s="4853"/>
      <c r="X163" s="8748"/>
      <c r="Y163" s="4854"/>
      <c r="Z163" s="8751"/>
      <c r="AA163" s="7231"/>
      <c r="AB163" s="8774"/>
      <c r="AC163" s="4853"/>
      <c r="AD163" s="8795"/>
      <c r="AE163" s="4466"/>
      <c r="AF163" s="8774"/>
      <c r="AG163" s="4853"/>
      <c r="AH163" s="8795"/>
      <c r="AI163" s="4466"/>
      <c r="AJ163" s="8774"/>
      <c r="AK163" s="4853"/>
      <c r="AL163" s="8748"/>
      <c r="AM163" s="4854"/>
      <c r="AN163" s="8795"/>
      <c r="AO163" s="4466"/>
      <c r="AP163" s="8774"/>
      <c r="AQ163" s="4853"/>
      <c r="AR163" s="8795"/>
      <c r="AS163" s="4466"/>
      <c r="AT163" s="8774"/>
      <c r="AU163" s="4853"/>
      <c r="AV163" s="8795"/>
      <c r="AW163" s="4466"/>
      <c r="AX163" s="8774"/>
      <c r="AY163" s="4853"/>
      <c r="AZ163" s="8748"/>
      <c r="BA163" s="4854">
        <f t="shared" si="303"/>
        <v>0</v>
      </c>
      <c r="BB163" s="8748">
        <f t="shared" si="296"/>
        <v>0</v>
      </c>
      <c r="BC163" s="4854">
        <f t="shared" si="297"/>
        <v>0</v>
      </c>
      <c r="BD163" s="8751"/>
      <c r="BE163" s="7231"/>
    </row>
    <row r="164" spans="1:78" s="5718" customFormat="1" ht="16.5" customHeight="1" x14ac:dyDescent="0.2">
      <c r="B164" s="5226" t="s">
        <v>1895</v>
      </c>
      <c r="C164" s="4084" t="s">
        <v>170</v>
      </c>
      <c r="D164" s="8774"/>
      <c r="E164" s="4853"/>
      <c r="F164" s="8830"/>
      <c r="G164" s="4853"/>
      <c r="H164" s="8795"/>
      <c r="I164" s="4466">
        <f t="shared" si="308"/>
        <v>0</v>
      </c>
      <c r="J164" s="8774"/>
      <c r="K164" s="4853">
        <v>2237.2900000000004</v>
      </c>
      <c r="L164" s="8748"/>
      <c r="M164" s="4854">
        <f t="shared" si="309"/>
        <v>2237.2900000000004</v>
      </c>
      <c r="N164" s="8774"/>
      <c r="O164" s="4853">
        <v>246.68</v>
      </c>
      <c r="P164" s="8795"/>
      <c r="Q164" s="4466">
        <f t="shared" si="335"/>
        <v>2483.9700000000003</v>
      </c>
      <c r="R164" s="8774"/>
      <c r="S164" s="4853">
        <v>0</v>
      </c>
      <c r="T164" s="8795"/>
      <c r="U164" s="4466">
        <f t="shared" si="310"/>
        <v>2483.9700000000003</v>
      </c>
      <c r="V164" s="8774"/>
      <c r="W164" s="4853">
        <f>425.94+400.25</f>
        <v>826.19</v>
      </c>
      <c r="X164" s="8748"/>
      <c r="Y164" s="4854">
        <f t="shared" si="305"/>
        <v>1072.8700000000001</v>
      </c>
      <c r="Z164" s="8751"/>
      <c r="AA164" s="7231">
        <f t="shared" si="311"/>
        <v>3310.1600000000003</v>
      </c>
      <c r="AB164" s="8774"/>
      <c r="AC164" s="4853">
        <v>0</v>
      </c>
      <c r="AD164" s="8795"/>
      <c r="AE164" s="4466">
        <f t="shared" si="306"/>
        <v>3310.1600000000003</v>
      </c>
      <c r="AF164" s="8774"/>
      <c r="AG164" s="4853"/>
      <c r="AH164" s="8795"/>
      <c r="AI164" s="4466">
        <f t="shared" ref="AI164" si="354">+AG164+AE164</f>
        <v>3310.1600000000003</v>
      </c>
      <c r="AJ164" s="8774"/>
      <c r="AK164" s="4853"/>
      <c r="AL164" s="8748"/>
      <c r="AM164" s="4854">
        <f t="shared" ref="AM164" si="355">AC164+AG164+AK164</f>
        <v>0</v>
      </c>
      <c r="AN164" s="8795"/>
      <c r="AO164" s="4466">
        <f t="shared" ref="AO164" si="356">+AK164+AI164</f>
        <v>3310.1600000000003</v>
      </c>
      <c r="AP164" s="8774"/>
      <c r="AQ164" s="4853"/>
      <c r="AR164" s="8795"/>
      <c r="AS164" s="4466">
        <f t="shared" ref="AS164" si="357">+AQ164+AO164</f>
        <v>3310.1600000000003</v>
      </c>
      <c r="AT164" s="8774"/>
      <c r="AU164" s="4853"/>
      <c r="AV164" s="8795"/>
      <c r="AW164" s="4466">
        <f t="shared" ref="AW164" si="358">+AU164+AS164</f>
        <v>3310.1600000000003</v>
      </c>
      <c r="AX164" s="8774"/>
      <c r="AY164" s="4853"/>
      <c r="AZ164" s="8748"/>
      <c r="BA164" s="4854">
        <f t="shared" si="303"/>
        <v>0</v>
      </c>
      <c r="BB164" s="8748">
        <f t="shared" si="296"/>
        <v>0</v>
      </c>
      <c r="BC164" s="4854">
        <f t="shared" si="297"/>
        <v>0</v>
      </c>
      <c r="BD164" s="8751"/>
      <c r="BE164" s="7231">
        <f t="shared" ref="BE164" si="359">+AY164+AW164</f>
        <v>3310.1600000000003</v>
      </c>
    </row>
    <row r="165" spans="1:78" s="3380" customFormat="1" ht="16.5" customHeight="1" x14ac:dyDescent="0.2">
      <c r="B165" s="6013" t="s">
        <v>2130</v>
      </c>
      <c r="C165" s="7505" t="s">
        <v>170</v>
      </c>
      <c r="D165" s="8774"/>
      <c r="E165" s="6012"/>
      <c r="F165" s="8830"/>
      <c r="G165" s="6012"/>
      <c r="H165" s="8795"/>
      <c r="I165" s="4466"/>
      <c r="J165" s="8774"/>
      <c r="K165" s="6012"/>
      <c r="L165" s="8748"/>
      <c r="M165" s="4854"/>
      <c r="N165" s="8774"/>
      <c r="O165" s="6012"/>
      <c r="P165" s="8795"/>
      <c r="Q165" s="4466"/>
      <c r="R165" s="8774"/>
      <c r="S165" s="6012"/>
      <c r="T165" s="8795"/>
      <c r="U165" s="4466"/>
      <c r="V165" s="8774"/>
      <c r="W165" s="6012"/>
      <c r="X165" s="8748"/>
      <c r="Y165" s="4854"/>
      <c r="Z165" s="8751"/>
      <c r="AA165" s="7231"/>
      <c r="AB165" s="8774"/>
      <c r="AC165" s="6012"/>
      <c r="AD165" s="8795"/>
      <c r="AE165" s="4466"/>
      <c r="AF165" s="8774"/>
      <c r="AG165" s="6012"/>
      <c r="AH165" s="8795"/>
      <c r="AI165" s="4466"/>
      <c r="AJ165" s="8774"/>
      <c r="AK165" s="6012"/>
      <c r="AL165" s="8748"/>
      <c r="AM165" s="4854"/>
      <c r="AN165" s="8795"/>
      <c r="AO165" s="4466"/>
      <c r="AP165" s="8774"/>
      <c r="AQ165" s="6012"/>
      <c r="AR165" s="8795"/>
      <c r="AS165" s="4466"/>
      <c r="AT165" s="8774"/>
      <c r="AU165" s="6012"/>
      <c r="AV165" s="8795"/>
      <c r="AW165" s="4466"/>
      <c r="AX165" s="8774"/>
      <c r="AY165" s="6012"/>
      <c r="AZ165" s="8748"/>
      <c r="BA165" s="4854">
        <f t="shared" si="303"/>
        <v>0</v>
      </c>
      <c r="BB165" s="8748">
        <f t="shared" si="296"/>
        <v>0</v>
      </c>
      <c r="BC165" s="4854">
        <f t="shared" si="297"/>
        <v>0</v>
      </c>
      <c r="BD165" s="8751"/>
      <c r="BE165" s="7231"/>
    </row>
    <row r="166" spans="1:78" s="5985" customFormat="1" ht="16.5" customHeight="1" x14ac:dyDescent="0.2">
      <c r="B166" s="5226" t="s">
        <v>1895</v>
      </c>
      <c r="C166" s="4084" t="s">
        <v>170</v>
      </c>
      <c r="D166" s="8774"/>
      <c r="E166" s="6012"/>
      <c r="F166" s="8830"/>
      <c r="G166" s="6012"/>
      <c r="H166" s="8795"/>
      <c r="I166" s="4466">
        <f t="shared" si="308"/>
        <v>0</v>
      </c>
      <c r="J166" s="8774"/>
      <c r="K166" s="6012"/>
      <c r="L166" s="8748"/>
      <c r="M166" s="4854">
        <f t="shared" si="309"/>
        <v>0</v>
      </c>
      <c r="N166" s="8774"/>
      <c r="O166" s="6012">
        <v>32.659999999999997</v>
      </c>
      <c r="P166" s="8795"/>
      <c r="Q166" s="4466">
        <f t="shared" si="335"/>
        <v>32.659999999999997</v>
      </c>
      <c r="R166" s="8774"/>
      <c r="S166" s="6012">
        <v>0</v>
      </c>
      <c r="T166" s="8795"/>
      <c r="U166" s="4466">
        <f t="shared" si="310"/>
        <v>32.659999999999997</v>
      </c>
      <c r="V166" s="8774"/>
      <c r="W166" s="6012"/>
      <c r="X166" s="8748"/>
      <c r="Y166" s="4854">
        <f t="shared" si="305"/>
        <v>32.659999999999997</v>
      </c>
      <c r="Z166" s="8751"/>
      <c r="AA166" s="7231">
        <f t="shared" si="311"/>
        <v>32.659999999999997</v>
      </c>
      <c r="AB166" s="8774"/>
      <c r="AC166" s="6012">
        <v>0</v>
      </c>
      <c r="AD166" s="8795"/>
      <c r="AE166" s="4466">
        <f t="shared" si="306"/>
        <v>32.659999999999997</v>
      </c>
      <c r="AF166" s="8774"/>
      <c r="AG166" s="6012"/>
      <c r="AH166" s="8795"/>
      <c r="AI166" s="4466">
        <f t="shared" ref="AI166" si="360">+AG166+AE166</f>
        <v>32.659999999999997</v>
      </c>
      <c r="AJ166" s="8774"/>
      <c r="AK166" s="6012"/>
      <c r="AL166" s="8748"/>
      <c r="AM166" s="4854">
        <f t="shared" ref="AM166" si="361">AC166+AG166+AK166</f>
        <v>0</v>
      </c>
      <c r="AN166" s="8795"/>
      <c r="AO166" s="4466">
        <f t="shared" ref="AO166" si="362">+AK166+AI166</f>
        <v>32.659999999999997</v>
      </c>
      <c r="AP166" s="8774"/>
      <c r="AQ166" s="6012"/>
      <c r="AR166" s="8795"/>
      <c r="AS166" s="4466">
        <f t="shared" ref="AS166" si="363">+AQ166+AO166</f>
        <v>32.659999999999997</v>
      </c>
      <c r="AT166" s="8774"/>
      <c r="AU166" s="6012"/>
      <c r="AV166" s="8795"/>
      <c r="AW166" s="4466">
        <f t="shared" ref="AW166" si="364">+AU166+AS166</f>
        <v>32.659999999999997</v>
      </c>
      <c r="AX166" s="8774"/>
      <c r="AY166" s="6012"/>
      <c r="AZ166" s="8748"/>
      <c r="BA166" s="4854">
        <f t="shared" si="303"/>
        <v>0</v>
      </c>
      <c r="BB166" s="8748">
        <f t="shared" si="296"/>
        <v>0</v>
      </c>
      <c r="BC166" s="4854">
        <f t="shared" si="297"/>
        <v>0</v>
      </c>
      <c r="BD166" s="8751"/>
      <c r="BE166" s="7231">
        <f t="shared" ref="BE166" si="365">+AY166+AW166</f>
        <v>32.659999999999997</v>
      </c>
    </row>
    <row r="167" spans="1:78" s="3380" customFormat="1" ht="16.5" customHeight="1" x14ac:dyDescent="0.2">
      <c r="B167" s="6013" t="s">
        <v>2131</v>
      </c>
      <c r="C167" s="7505" t="s">
        <v>170</v>
      </c>
      <c r="D167" s="8774"/>
      <c r="E167" s="6012"/>
      <c r="F167" s="8830"/>
      <c r="G167" s="6012"/>
      <c r="H167" s="8795"/>
      <c r="I167" s="4466"/>
      <c r="J167" s="8774"/>
      <c r="K167" s="6012"/>
      <c r="L167" s="8748"/>
      <c r="M167" s="4854"/>
      <c r="N167" s="8774"/>
      <c r="O167" s="6012"/>
      <c r="P167" s="8795"/>
      <c r="Q167" s="4466"/>
      <c r="R167" s="8774"/>
      <c r="S167" s="6012"/>
      <c r="T167" s="8795"/>
      <c r="U167" s="4466"/>
      <c r="V167" s="8774"/>
      <c r="W167" s="6012"/>
      <c r="X167" s="8748"/>
      <c r="Y167" s="4854"/>
      <c r="Z167" s="8751"/>
      <c r="AA167" s="7231"/>
      <c r="AB167" s="8774"/>
      <c r="AC167" s="6012"/>
      <c r="AD167" s="8795"/>
      <c r="AE167" s="4466"/>
      <c r="AF167" s="8774"/>
      <c r="AG167" s="6012"/>
      <c r="AH167" s="8795"/>
      <c r="AI167" s="4466"/>
      <c r="AJ167" s="8774"/>
      <c r="AK167" s="6012"/>
      <c r="AL167" s="8748"/>
      <c r="AM167" s="4854"/>
      <c r="AN167" s="8795"/>
      <c r="AO167" s="4466"/>
      <c r="AP167" s="8774"/>
      <c r="AQ167" s="6012"/>
      <c r="AR167" s="8795"/>
      <c r="AS167" s="4466"/>
      <c r="AT167" s="8774"/>
      <c r="AU167" s="6012"/>
      <c r="AV167" s="8795"/>
      <c r="AW167" s="4466"/>
      <c r="AX167" s="8774"/>
      <c r="AY167" s="6012"/>
      <c r="AZ167" s="8748"/>
      <c r="BA167" s="4854">
        <f t="shared" si="303"/>
        <v>0</v>
      </c>
      <c r="BB167" s="8748">
        <f t="shared" si="296"/>
        <v>0</v>
      </c>
      <c r="BC167" s="4854">
        <f t="shared" si="297"/>
        <v>0</v>
      </c>
      <c r="BD167" s="8751"/>
      <c r="BE167" s="7231"/>
    </row>
    <row r="168" spans="1:78" s="5985" customFormat="1" ht="16.5" customHeight="1" x14ac:dyDescent="0.2">
      <c r="B168" s="5226" t="s">
        <v>1895</v>
      </c>
      <c r="C168" s="4084" t="s">
        <v>170</v>
      </c>
      <c r="D168" s="8774"/>
      <c r="E168" s="6012"/>
      <c r="F168" s="8830"/>
      <c r="G168" s="6012"/>
      <c r="H168" s="8795"/>
      <c r="I168" s="4466">
        <f t="shared" si="308"/>
        <v>0</v>
      </c>
      <c r="J168" s="8774"/>
      <c r="K168" s="6012"/>
      <c r="L168" s="8748"/>
      <c r="M168" s="4854">
        <f t="shared" si="309"/>
        <v>0</v>
      </c>
      <c r="N168" s="8774"/>
      <c r="O168" s="6012">
        <v>73.289999999999992</v>
      </c>
      <c r="P168" s="8795"/>
      <c r="Q168" s="4466">
        <f t="shared" si="335"/>
        <v>73.289999999999992</v>
      </c>
      <c r="R168" s="8774"/>
      <c r="S168" s="6012">
        <v>0</v>
      </c>
      <c r="T168" s="8795"/>
      <c r="U168" s="4466">
        <f t="shared" si="310"/>
        <v>73.289999999999992</v>
      </c>
      <c r="V168" s="8774"/>
      <c r="W168" s="6012"/>
      <c r="X168" s="8748"/>
      <c r="Y168" s="4854">
        <f t="shared" si="305"/>
        <v>73.289999999999992</v>
      </c>
      <c r="Z168" s="8751"/>
      <c r="AA168" s="7231">
        <f t="shared" si="311"/>
        <v>73.289999999999992</v>
      </c>
      <c r="AB168" s="8774"/>
      <c r="AC168" s="6012">
        <v>0</v>
      </c>
      <c r="AD168" s="8795"/>
      <c r="AE168" s="4466">
        <f t="shared" si="306"/>
        <v>73.289999999999992</v>
      </c>
      <c r="AF168" s="8774"/>
      <c r="AG168" s="6012"/>
      <c r="AH168" s="8795"/>
      <c r="AI168" s="4466">
        <f t="shared" ref="AI168" si="366">+AG168+AE168</f>
        <v>73.289999999999992</v>
      </c>
      <c r="AJ168" s="8774"/>
      <c r="AK168" s="6012"/>
      <c r="AL168" s="8748"/>
      <c r="AM168" s="4854">
        <f t="shared" ref="AM168" si="367">AC168+AG168+AK168</f>
        <v>0</v>
      </c>
      <c r="AN168" s="8795"/>
      <c r="AO168" s="4466">
        <f t="shared" ref="AO168" si="368">+AK168+AI168</f>
        <v>73.289999999999992</v>
      </c>
      <c r="AP168" s="8774"/>
      <c r="AQ168" s="6012"/>
      <c r="AR168" s="8795"/>
      <c r="AS168" s="4466">
        <f t="shared" ref="AS168" si="369">+AQ168+AO168</f>
        <v>73.289999999999992</v>
      </c>
      <c r="AT168" s="8774"/>
      <c r="AU168" s="6012"/>
      <c r="AV168" s="8795"/>
      <c r="AW168" s="4466">
        <f t="shared" ref="AW168" si="370">+AU168+AS168</f>
        <v>73.289999999999992</v>
      </c>
      <c r="AX168" s="8774"/>
      <c r="AY168" s="6012"/>
      <c r="AZ168" s="8748"/>
      <c r="BA168" s="4854">
        <f t="shared" si="303"/>
        <v>0</v>
      </c>
      <c r="BB168" s="8748">
        <f t="shared" si="296"/>
        <v>0</v>
      </c>
      <c r="BC168" s="4854">
        <f t="shared" si="297"/>
        <v>0</v>
      </c>
      <c r="BD168" s="8751"/>
      <c r="BE168" s="7231">
        <f t="shared" ref="BE168" si="371">+AY168+AW168</f>
        <v>73.289999999999992</v>
      </c>
    </row>
    <row r="169" spans="1:78" s="4179" customFormat="1" ht="16.5" customHeight="1" thickBot="1" x14ac:dyDescent="0.25">
      <c r="B169" s="4855" t="s">
        <v>15</v>
      </c>
      <c r="C169" s="4084" t="s">
        <v>170</v>
      </c>
      <c r="D169" s="8775"/>
      <c r="E169" s="4856">
        <f>SUM(E147:E168)</f>
        <v>7908.0400000000009</v>
      </c>
      <c r="F169" s="8831"/>
      <c r="G169" s="4856">
        <f>SUM(G147:G168)</f>
        <v>2777.7200000000003</v>
      </c>
      <c r="H169" s="8796"/>
      <c r="I169" s="4856">
        <f>SUM(I147:I168)</f>
        <v>10685.760000000002</v>
      </c>
      <c r="J169" s="8775"/>
      <c r="K169" s="4856">
        <f>SUM(K147:K168)</f>
        <v>5575.7900000000009</v>
      </c>
      <c r="L169" s="8749"/>
      <c r="M169" s="4856">
        <f>SUM(M147:M168)</f>
        <v>16261.550000000001</v>
      </c>
      <c r="N169" s="8775"/>
      <c r="O169" s="4856">
        <f>SUM(O147:O168)</f>
        <v>5472.39</v>
      </c>
      <c r="P169" s="8796"/>
      <c r="Q169" s="4856">
        <f>SUM(Q147:Q168)</f>
        <v>21733.940000000006</v>
      </c>
      <c r="R169" s="8775"/>
      <c r="S169" s="4856">
        <f>SUM(S147:S168)</f>
        <v>5641.340000000002</v>
      </c>
      <c r="T169" s="8796"/>
      <c r="U169" s="4856">
        <f>SUM(U147:U168)</f>
        <v>27375.280000000006</v>
      </c>
      <c r="V169" s="8775"/>
      <c r="W169" s="4856">
        <f>SUM(W147:W168)</f>
        <v>3156.14</v>
      </c>
      <c r="X169" s="8749"/>
      <c r="Y169" s="4856">
        <f>SUM(Y147:Y168)</f>
        <v>14269.870000000003</v>
      </c>
      <c r="Z169" s="8752"/>
      <c r="AA169" s="7248">
        <f>SUM(AA147:AA168)</f>
        <v>30531.420000000006</v>
      </c>
      <c r="AB169" s="8775"/>
      <c r="AC169" s="4856">
        <f>SUM(AC147:AC168)</f>
        <v>0</v>
      </c>
      <c r="AD169" s="8796"/>
      <c r="AE169" s="4856">
        <f>SUM(AE147:AE168)</f>
        <v>30531.420000000006</v>
      </c>
      <c r="AF169" s="8775"/>
      <c r="AG169" s="4856">
        <f>SUM(AG147:AG168)</f>
        <v>0</v>
      </c>
      <c r="AH169" s="8796"/>
      <c r="AI169" s="4856">
        <f>SUM(AI147:AI168)</f>
        <v>30531.420000000006</v>
      </c>
      <c r="AJ169" s="8775"/>
      <c r="AK169" s="4856">
        <f>SUM(AK147:AK168)</f>
        <v>2629.9100000000008</v>
      </c>
      <c r="AL169" s="8749"/>
      <c r="AM169" s="4856">
        <f>SUM(AM147:AM168)</f>
        <v>2629.9100000000008</v>
      </c>
      <c r="AN169" s="8796"/>
      <c r="AO169" s="4856">
        <f>SUM(AO147:AO168)</f>
        <v>33161.330000000009</v>
      </c>
      <c r="AP169" s="8775"/>
      <c r="AQ169" s="4856">
        <f>SUM(AQ147:AQ168)</f>
        <v>65.75</v>
      </c>
      <c r="AR169" s="8796"/>
      <c r="AS169" s="4856">
        <f>SUM(AS147:AS168)</f>
        <v>33227.080000000009</v>
      </c>
      <c r="AT169" s="8775"/>
      <c r="AU169" s="4856">
        <f>SUM(AU147:AU168)</f>
        <v>2926.72</v>
      </c>
      <c r="AV169" s="8796"/>
      <c r="AW169" s="4856">
        <f>SUM(AW147:AW168)</f>
        <v>36153.80000000001</v>
      </c>
      <c r="AX169" s="8775"/>
      <c r="AY169" s="4856">
        <f>SUM(AY147:AY168)</f>
        <v>8388.44</v>
      </c>
      <c r="AZ169" s="8749"/>
      <c r="BA169" s="4856">
        <f>SUM(BA147:BA168)</f>
        <v>11380.91</v>
      </c>
      <c r="BB169" s="8749">
        <f t="shared" si="296"/>
        <v>0</v>
      </c>
      <c r="BC169" s="4856">
        <f t="shared" si="297"/>
        <v>14010.82</v>
      </c>
      <c r="BD169" s="8752"/>
      <c r="BE169" s="7248">
        <f>SUM(BE147:BE168)</f>
        <v>44542.240000000013</v>
      </c>
    </row>
    <row r="170" spans="1:78" s="3380" customFormat="1" ht="20" thickBot="1" x14ac:dyDescent="0.3">
      <c r="B170" s="4881"/>
      <c r="C170" s="4852"/>
      <c r="D170" s="4858"/>
      <c r="E170" s="5162"/>
      <c r="F170" s="4858"/>
      <c r="G170" s="5162"/>
      <c r="H170" s="4858"/>
      <c r="I170" s="5764"/>
      <c r="J170" s="4858"/>
      <c r="K170" s="5162"/>
      <c r="L170" s="4858"/>
      <c r="M170" s="5764"/>
      <c r="N170" s="4858"/>
      <c r="O170" s="5162"/>
      <c r="P170" s="4858"/>
      <c r="Q170" s="5764"/>
      <c r="R170" s="4858"/>
      <c r="S170" s="5162"/>
      <c r="T170" s="4858"/>
      <c r="U170" s="5764"/>
      <c r="V170" s="4858"/>
      <c r="W170" s="5162"/>
      <c r="X170" s="4858"/>
      <c r="Y170" s="5764"/>
      <c r="Z170" s="4858"/>
      <c r="AA170" s="5764"/>
      <c r="AB170" s="4858"/>
      <c r="AC170" s="5162"/>
      <c r="AD170" s="4858"/>
      <c r="AE170" s="5764"/>
      <c r="AF170" s="4858"/>
      <c r="AG170" s="5162"/>
      <c r="AH170" s="4858"/>
      <c r="AI170" s="5764"/>
      <c r="AJ170" s="4858"/>
      <c r="AK170" s="5162"/>
      <c r="AL170" s="4858"/>
      <c r="AM170" s="5764"/>
      <c r="AN170" s="4858"/>
      <c r="AO170" s="5764"/>
      <c r="AP170" s="4858"/>
      <c r="AQ170" s="5162"/>
      <c r="AR170" s="4858"/>
      <c r="AS170" s="5764"/>
      <c r="AT170" s="4858"/>
      <c r="AU170" s="5162"/>
      <c r="AV170" s="4858"/>
      <c r="AW170" s="5764"/>
      <c r="AX170" s="4858"/>
      <c r="AY170" s="5162"/>
      <c r="AZ170" s="4858"/>
      <c r="BA170" s="5764"/>
      <c r="BB170" s="4858"/>
      <c r="BC170" s="5764"/>
      <c r="BD170" s="4858"/>
      <c r="BE170" s="5764"/>
    </row>
    <row r="171" spans="1:78" s="3380" customFormat="1" ht="19" thickBot="1" x14ac:dyDescent="0.25">
      <c r="B171" s="5045" t="s">
        <v>816</v>
      </c>
      <c r="C171" s="5046"/>
      <c r="D171" s="5055"/>
      <c r="E171" s="5048"/>
      <c r="F171" s="5047"/>
      <c r="G171" s="5048"/>
      <c r="H171" s="3435"/>
      <c r="I171" s="5756"/>
      <c r="J171" s="3435"/>
      <c r="K171" s="5048"/>
      <c r="L171" s="3435"/>
      <c r="M171" s="5756"/>
      <c r="N171" s="3435"/>
      <c r="O171" s="5048"/>
      <c r="P171" s="3435"/>
      <c r="Q171" s="5756"/>
      <c r="R171" s="3435"/>
      <c r="S171" s="5048"/>
      <c r="T171" s="3435"/>
      <c r="U171" s="5756"/>
      <c r="V171" s="3435"/>
      <c r="W171" s="5048"/>
      <c r="X171" s="3435"/>
      <c r="Y171" s="5756"/>
      <c r="Z171" s="3435"/>
      <c r="AA171" s="5756"/>
      <c r="AB171" s="3435"/>
      <c r="AC171" s="5048"/>
      <c r="AD171" s="3435"/>
      <c r="AE171" s="5756"/>
      <c r="AF171" s="3435"/>
      <c r="AG171" s="5048"/>
      <c r="AH171" s="3435"/>
      <c r="AI171" s="5756"/>
      <c r="AJ171" s="3435"/>
      <c r="AK171" s="5048"/>
      <c r="AL171" s="3435"/>
      <c r="AM171" s="5756"/>
      <c r="AN171" s="3435"/>
      <c r="AO171" s="5756"/>
      <c r="AP171" s="3435"/>
      <c r="AQ171" s="5048"/>
      <c r="AR171" s="3435"/>
      <c r="AS171" s="5756"/>
      <c r="AT171" s="3435"/>
      <c r="AU171" s="5048"/>
      <c r="AV171" s="3435"/>
      <c r="AW171" s="5756"/>
      <c r="AX171" s="3435"/>
      <c r="AY171" s="5048"/>
      <c r="AZ171" s="3435"/>
      <c r="BA171" s="5756"/>
      <c r="BB171" s="3435"/>
      <c r="BC171" s="5756"/>
      <c r="BD171" s="3435"/>
      <c r="BE171" s="5756"/>
      <c r="BF171" s="7468"/>
      <c r="BG171" s="7468"/>
      <c r="BH171" s="7468"/>
      <c r="BI171" s="7468"/>
      <c r="BJ171" s="7468"/>
      <c r="BK171" s="7468"/>
      <c r="BL171" s="7468"/>
      <c r="BM171" s="7468"/>
      <c r="BN171" s="7468"/>
      <c r="BO171" s="7468"/>
      <c r="BP171" s="7468"/>
      <c r="BQ171" s="7468"/>
      <c r="BR171" s="7468"/>
      <c r="BS171" s="7468"/>
      <c r="BT171" s="7468"/>
      <c r="BU171" s="7468"/>
      <c r="BV171" s="7468"/>
      <c r="BW171" s="7468"/>
      <c r="BX171" s="7468"/>
      <c r="BY171" s="7468"/>
      <c r="BZ171" s="7468"/>
    </row>
    <row r="172" spans="1:78" s="5718" customFormat="1" ht="18.75" customHeight="1" x14ac:dyDescent="0.2">
      <c r="A172" s="3380"/>
      <c r="B172" s="4860" t="s">
        <v>2283</v>
      </c>
      <c r="C172" s="7523" t="s">
        <v>2318</v>
      </c>
      <c r="D172" s="7511"/>
      <c r="E172" s="7506"/>
      <c r="F172" s="7511"/>
      <c r="G172" s="7512"/>
      <c r="H172" s="4931"/>
      <c r="I172" s="7519">
        <f t="shared" ref="I172:I193" si="372">+E172+G172</f>
        <v>0</v>
      </c>
      <c r="J172" s="7511"/>
      <c r="K172" s="7512">
        <v>195.92999999999998</v>
      </c>
      <c r="L172" s="5749"/>
      <c r="M172" s="7520">
        <f t="shared" ref="M172:M193" si="373">+I172+K172</f>
        <v>195.92999999999998</v>
      </c>
      <c r="N172" s="7511"/>
      <c r="O172" s="7512">
        <v>198.2</v>
      </c>
      <c r="P172" s="4931"/>
      <c r="Q172" s="7519">
        <f t="shared" ref="Q172:Q193" si="374">+M172+O172</f>
        <v>394.13</v>
      </c>
      <c r="R172" s="7511"/>
      <c r="S172" s="7512">
        <v>0</v>
      </c>
      <c r="T172" s="4931"/>
      <c r="U172" s="7519">
        <f t="shared" ref="U172:U193" si="375">+Q172+S172</f>
        <v>394.13</v>
      </c>
      <c r="V172" s="7511"/>
      <c r="W172" s="7512"/>
      <c r="X172" s="5749"/>
      <c r="Y172" s="7517">
        <f t="shared" ref="Y172:Y193" si="376">O172+S172+W172</f>
        <v>198.2</v>
      </c>
      <c r="Z172" s="7245"/>
      <c r="AA172" s="7516">
        <f t="shared" ref="AA172:AA193" si="377">+U172+W172</f>
        <v>394.13</v>
      </c>
      <c r="AB172" s="7511"/>
      <c r="AC172" s="7512">
        <v>0</v>
      </c>
      <c r="AD172" s="4931"/>
      <c r="AE172" s="4466">
        <f t="shared" ref="AE172:AE194" si="378">+AA172+AC172</f>
        <v>394.13</v>
      </c>
      <c r="AF172" s="7511"/>
      <c r="AG172" s="7512">
        <v>0</v>
      </c>
      <c r="AH172" s="4931"/>
      <c r="AI172" s="7519">
        <f t="shared" ref="AI172:AI193" si="379">+AE172+AG172</f>
        <v>394.13</v>
      </c>
      <c r="AJ172" s="7511"/>
      <c r="AK172" s="7512">
        <v>0</v>
      </c>
      <c r="AL172" s="5749"/>
      <c r="AM172" s="7517">
        <f t="shared" ref="AM172:AM193" si="380">AC172+AG172+AK172</f>
        <v>0</v>
      </c>
      <c r="AN172" s="4931"/>
      <c r="AO172" s="7519">
        <f t="shared" ref="AO172:AO193" si="381">+AI172+AK172</f>
        <v>394.13</v>
      </c>
      <c r="AP172" s="7511"/>
      <c r="AQ172" s="7512"/>
      <c r="AR172" s="4931"/>
      <c r="AS172" s="7519">
        <f t="shared" ref="AS172:AS193" si="382">+AO172+AQ172</f>
        <v>394.13</v>
      </c>
      <c r="AT172" s="7511"/>
      <c r="AU172" s="7512">
        <v>0</v>
      </c>
      <c r="AV172" s="4931"/>
      <c r="AW172" s="7519">
        <f t="shared" ref="AW172:AW193" si="383">+AS172+AU172</f>
        <v>394.13</v>
      </c>
      <c r="AX172" s="7511"/>
      <c r="AY172" s="7512">
        <v>632.70000000000005</v>
      </c>
      <c r="AZ172" s="5749"/>
      <c r="BA172" s="7517">
        <f t="shared" ref="BA172:BA194" si="384">AQ172+AU172+AY172</f>
        <v>632.70000000000005</v>
      </c>
      <c r="BB172" s="5749">
        <f t="shared" ref="BB172:BB195" si="385">+AZ172+AL172</f>
        <v>0</v>
      </c>
      <c r="BC172" s="7517">
        <f t="shared" ref="BC172:BC195" si="386">+BA172+AM172</f>
        <v>632.70000000000005</v>
      </c>
      <c r="BD172" s="7245"/>
      <c r="BE172" s="7516">
        <f t="shared" ref="BE172:BE194" si="387">+AW172+AY172</f>
        <v>1026.83</v>
      </c>
      <c r="BF172" s="7468"/>
      <c r="BG172" s="7468"/>
      <c r="BH172" s="7468"/>
      <c r="BI172" s="7468"/>
      <c r="BJ172" s="7468"/>
      <c r="BK172" s="7468"/>
      <c r="BL172" s="7468"/>
      <c r="BM172" s="7468"/>
      <c r="BN172" s="7468"/>
      <c r="BO172" s="7468"/>
      <c r="BP172" s="7468"/>
      <c r="BQ172" s="7468"/>
      <c r="BR172" s="7468"/>
      <c r="BS172" s="7468"/>
      <c r="BT172" s="7468"/>
      <c r="BU172" s="7468"/>
      <c r="BV172" s="7468"/>
      <c r="BW172" s="7468"/>
      <c r="BX172" s="7468"/>
      <c r="BY172" s="7468"/>
      <c r="BZ172" s="7468"/>
    </row>
    <row r="173" spans="1:78" ht="18.75" customHeight="1" x14ac:dyDescent="0.2">
      <c r="A173" s="3380"/>
      <c r="B173" s="4860" t="s">
        <v>2368</v>
      </c>
      <c r="C173" s="7523" t="s">
        <v>2318</v>
      </c>
      <c r="D173" s="7511"/>
      <c r="E173" s="7506"/>
      <c r="F173" s="7511"/>
      <c r="G173" s="7512"/>
      <c r="H173" s="4931"/>
      <c r="I173" s="7519">
        <f t="shared" si="372"/>
        <v>0</v>
      </c>
      <c r="J173" s="7511"/>
      <c r="K173" s="7512"/>
      <c r="L173" s="5749"/>
      <c r="M173" s="7520">
        <f t="shared" si="373"/>
        <v>0</v>
      </c>
      <c r="N173" s="7511"/>
      <c r="O173" s="7512">
        <v>33.909999999999997</v>
      </c>
      <c r="P173" s="4931"/>
      <c r="Q173" s="7519">
        <f t="shared" si="374"/>
        <v>33.909999999999997</v>
      </c>
      <c r="R173" s="7511"/>
      <c r="S173" s="7512">
        <v>0</v>
      </c>
      <c r="T173" s="4931"/>
      <c r="U173" s="7519">
        <f t="shared" si="375"/>
        <v>33.909999999999997</v>
      </c>
      <c r="V173" s="7511"/>
      <c r="W173" s="7512"/>
      <c r="X173" s="5749"/>
      <c r="Y173" s="7517">
        <f t="shared" si="376"/>
        <v>33.909999999999997</v>
      </c>
      <c r="Z173" s="7245"/>
      <c r="AA173" s="7516">
        <f t="shared" si="377"/>
        <v>33.909999999999997</v>
      </c>
      <c r="AB173" s="7511"/>
      <c r="AC173" s="7512">
        <v>0</v>
      </c>
      <c r="AD173" s="4931"/>
      <c r="AE173" s="4466">
        <f t="shared" si="378"/>
        <v>33.909999999999997</v>
      </c>
      <c r="AF173" s="7511"/>
      <c r="AG173" s="7512">
        <v>0</v>
      </c>
      <c r="AH173" s="4931"/>
      <c r="AI173" s="7519">
        <f t="shared" si="379"/>
        <v>33.909999999999997</v>
      </c>
      <c r="AJ173" s="7511"/>
      <c r="AK173" s="7512">
        <v>0</v>
      </c>
      <c r="AL173" s="5749"/>
      <c r="AM173" s="7517">
        <f t="shared" si="380"/>
        <v>0</v>
      </c>
      <c r="AN173" s="4931"/>
      <c r="AO173" s="7519">
        <f t="shared" si="381"/>
        <v>33.909999999999997</v>
      </c>
      <c r="AP173" s="7511"/>
      <c r="AQ173" s="7512"/>
      <c r="AR173" s="4931"/>
      <c r="AS173" s="7519">
        <f t="shared" si="382"/>
        <v>33.909999999999997</v>
      </c>
      <c r="AT173" s="7511"/>
      <c r="AU173" s="7512">
        <v>6542.88</v>
      </c>
      <c r="AV173" s="4931"/>
      <c r="AW173" s="7519">
        <f t="shared" si="383"/>
        <v>6576.79</v>
      </c>
      <c r="AX173" s="7511"/>
      <c r="AY173" s="7512">
        <v>189.42</v>
      </c>
      <c r="AZ173" s="5749"/>
      <c r="BA173" s="7517">
        <f t="shared" si="384"/>
        <v>6732.3</v>
      </c>
      <c r="BB173" s="5749">
        <f t="shared" si="385"/>
        <v>0</v>
      </c>
      <c r="BC173" s="7517">
        <f t="shared" si="386"/>
        <v>6732.3</v>
      </c>
      <c r="BD173" s="7245"/>
      <c r="BE173" s="7516">
        <f t="shared" si="387"/>
        <v>6766.21</v>
      </c>
      <c r="BF173" s="7468"/>
      <c r="BG173" s="7468"/>
      <c r="BH173" s="7468"/>
      <c r="BI173" s="7468"/>
      <c r="BJ173" s="7468"/>
      <c r="BK173" s="7468"/>
      <c r="BL173" s="7468"/>
      <c r="BM173" s="7468"/>
      <c r="BN173" s="7468"/>
      <c r="BO173" s="7468"/>
      <c r="BP173" s="7468"/>
      <c r="BQ173" s="7468"/>
      <c r="BR173" s="7468"/>
      <c r="BS173" s="7468"/>
      <c r="BT173" s="7468"/>
      <c r="BU173" s="7468"/>
      <c r="BV173" s="7468"/>
      <c r="BW173" s="7468"/>
      <c r="BX173" s="7468"/>
      <c r="BY173" s="7468"/>
      <c r="BZ173" s="7468"/>
    </row>
    <row r="174" spans="1:78" s="7882" customFormat="1" ht="18.75" customHeight="1" x14ac:dyDescent="0.2">
      <c r="A174" s="3380"/>
      <c r="B174" s="4860" t="s">
        <v>2368</v>
      </c>
      <c r="C174" s="7522" t="s">
        <v>2292</v>
      </c>
      <c r="D174" s="7511"/>
      <c r="E174" s="7506"/>
      <c r="F174" s="7511"/>
      <c r="G174" s="7512"/>
      <c r="H174" s="4931"/>
      <c r="I174" s="7519"/>
      <c r="J174" s="7511"/>
      <c r="K174" s="7512"/>
      <c r="L174" s="5749"/>
      <c r="M174" s="7520"/>
      <c r="N174" s="7511"/>
      <c r="O174" s="7512"/>
      <c r="P174" s="4931"/>
      <c r="Q174" s="7519"/>
      <c r="R174" s="7511"/>
      <c r="S174" s="7512"/>
      <c r="T174" s="4931"/>
      <c r="U174" s="7519"/>
      <c r="V174" s="7511"/>
      <c r="W174" s="7512"/>
      <c r="X174" s="5749"/>
      <c r="Y174" s="7517"/>
      <c r="Z174" s="7245"/>
      <c r="AA174" s="7516"/>
      <c r="AB174" s="7511"/>
      <c r="AC174" s="7512"/>
      <c r="AD174" s="4931"/>
      <c r="AE174" s="4466"/>
      <c r="AF174" s="7511"/>
      <c r="AG174" s="7512"/>
      <c r="AH174" s="4931"/>
      <c r="AI174" s="7519"/>
      <c r="AJ174" s="7511"/>
      <c r="AK174" s="7512">
        <v>94.029999999999987</v>
      </c>
      <c r="AL174" s="5749"/>
      <c r="AM174" s="7517">
        <f t="shared" si="380"/>
        <v>94.029999999999987</v>
      </c>
      <c r="AN174" s="4931"/>
      <c r="AO174" s="7519">
        <f t="shared" si="381"/>
        <v>94.029999999999987</v>
      </c>
      <c r="AP174" s="7511"/>
      <c r="AQ174" s="7512"/>
      <c r="AR174" s="4931"/>
      <c r="AS174" s="7519">
        <f t="shared" si="382"/>
        <v>94.029999999999987</v>
      </c>
      <c r="AT174" s="7511"/>
      <c r="AU174" s="7512">
        <v>0</v>
      </c>
      <c r="AV174" s="4931"/>
      <c r="AW174" s="7519">
        <f t="shared" si="383"/>
        <v>94.029999999999987</v>
      </c>
      <c r="AX174" s="7511"/>
      <c r="AY174" s="7512"/>
      <c r="AZ174" s="5749"/>
      <c r="BA174" s="7517">
        <f t="shared" si="384"/>
        <v>0</v>
      </c>
      <c r="BB174" s="5749">
        <f t="shared" si="385"/>
        <v>0</v>
      </c>
      <c r="BC174" s="7517">
        <f t="shared" si="386"/>
        <v>94.029999999999987</v>
      </c>
      <c r="BD174" s="7245"/>
      <c r="BE174" s="7516">
        <f t="shared" si="387"/>
        <v>94.029999999999987</v>
      </c>
    </row>
    <row r="175" spans="1:78" s="7882" customFormat="1" ht="18.75" customHeight="1" x14ac:dyDescent="0.2">
      <c r="A175" s="3380"/>
      <c r="B175" s="4860" t="s">
        <v>2282</v>
      </c>
      <c r="C175" s="7523" t="s">
        <v>2318</v>
      </c>
      <c r="D175" s="7511"/>
      <c r="E175" s="7506">
        <v>0</v>
      </c>
      <c r="F175" s="7511"/>
      <c r="G175" s="7512">
        <v>916.39</v>
      </c>
      <c r="H175" s="4931"/>
      <c r="I175" s="7519">
        <f t="shared" ref="I175" si="388">+E175+G175</f>
        <v>916.39</v>
      </c>
      <c r="J175" s="7511"/>
      <c r="K175" s="7512">
        <v>1232.0400000000002</v>
      </c>
      <c r="L175" s="5749"/>
      <c r="M175" s="7520">
        <f t="shared" ref="M175" si="389">+I175+K175</f>
        <v>2148.4300000000003</v>
      </c>
      <c r="N175" s="7511"/>
      <c r="O175" s="7512">
        <v>9344.8919999999998</v>
      </c>
      <c r="P175" s="4931"/>
      <c r="Q175" s="7519">
        <f t="shared" ref="Q175" si="390">+M175+O175</f>
        <v>11493.322</v>
      </c>
      <c r="R175" s="7511"/>
      <c r="S175" s="7512">
        <v>2869.1980000000003</v>
      </c>
      <c r="T175" s="4931"/>
      <c r="U175" s="7519">
        <f t="shared" ref="U175" si="391">+Q175+S175</f>
        <v>14362.52</v>
      </c>
      <c r="V175" s="7511"/>
      <c r="W175" s="7512">
        <v>6847.0979999999981</v>
      </c>
      <c r="X175" s="5749"/>
      <c r="Y175" s="7517">
        <f t="shared" ref="Y175" si="392">O175+S175+W175</f>
        <v>19061.187999999998</v>
      </c>
      <c r="Z175" s="7245"/>
      <c r="AA175" s="7516">
        <f t="shared" ref="AA175" si="393">+U175+W175</f>
        <v>21209.617999999999</v>
      </c>
      <c r="AB175" s="7511"/>
      <c r="AC175" s="7512">
        <v>2905.3599999999997</v>
      </c>
      <c r="AD175" s="4931"/>
      <c r="AE175" s="4466">
        <f t="shared" ref="AE175" si="394">+AA175+AC175</f>
        <v>24114.977999999999</v>
      </c>
      <c r="AF175" s="7511"/>
      <c r="AG175" s="7512">
        <v>8240.27</v>
      </c>
      <c r="AH175" s="4931"/>
      <c r="AI175" s="7519">
        <f t="shared" ref="AI175:AI179" si="395">+AE175+AG175</f>
        <v>32355.248</v>
      </c>
      <c r="AJ175" s="7511"/>
      <c r="AK175" s="7512">
        <v>13217.800000000001</v>
      </c>
      <c r="AL175" s="5749"/>
      <c r="AM175" s="7517">
        <f t="shared" si="380"/>
        <v>24363.43</v>
      </c>
      <c r="AN175" s="4931"/>
      <c r="AO175" s="7519">
        <f t="shared" si="381"/>
        <v>45573.048000000003</v>
      </c>
      <c r="AP175" s="7511"/>
      <c r="AQ175" s="7512">
        <v>7953.4000000000005</v>
      </c>
      <c r="AR175" s="4931"/>
      <c r="AS175" s="7519">
        <f t="shared" si="382"/>
        <v>53526.448000000004</v>
      </c>
      <c r="AT175" s="7511"/>
      <c r="AU175" s="7512">
        <v>16089.54</v>
      </c>
      <c r="AV175" s="4931"/>
      <c r="AW175" s="7519">
        <f t="shared" si="383"/>
        <v>69615.988000000012</v>
      </c>
      <c r="AX175" s="7511"/>
      <c r="AY175" s="7512">
        <v>13599.9</v>
      </c>
      <c r="AZ175" s="5749"/>
      <c r="BA175" s="7517">
        <f t="shared" si="384"/>
        <v>37642.840000000004</v>
      </c>
      <c r="BB175" s="5749">
        <f t="shared" si="385"/>
        <v>0</v>
      </c>
      <c r="BC175" s="7517">
        <f t="shared" si="386"/>
        <v>62006.270000000004</v>
      </c>
      <c r="BD175" s="7245"/>
      <c r="BE175" s="7516">
        <f t="shared" si="387"/>
        <v>83215.888000000006</v>
      </c>
    </row>
    <row r="176" spans="1:78" s="7882" customFormat="1" ht="18.75" customHeight="1" x14ac:dyDescent="0.2">
      <c r="A176" s="3380"/>
      <c r="B176" s="4860" t="s">
        <v>2282</v>
      </c>
      <c r="C176" s="7522" t="s">
        <v>2292</v>
      </c>
      <c r="D176" s="7511"/>
      <c r="E176" s="7506"/>
      <c r="F176" s="7511"/>
      <c r="G176" s="7512"/>
      <c r="H176" s="4931"/>
      <c r="I176" s="7519"/>
      <c r="J176" s="7511"/>
      <c r="K176" s="7512"/>
      <c r="L176" s="5749"/>
      <c r="M176" s="7520"/>
      <c r="N176" s="7511"/>
      <c r="O176" s="7512"/>
      <c r="P176" s="4931"/>
      <c r="Q176" s="7519"/>
      <c r="R176" s="7511"/>
      <c r="S176" s="7512"/>
      <c r="T176" s="4931"/>
      <c r="U176" s="7519"/>
      <c r="V176" s="7511"/>
      <c r="W176" s="7512"/>
      <c r="X176" s="5749"/>
      <c r="Y176" s="7517"/>
      <c r="Z176" s="7245"/>
      <c r="AA176" s="7516"/>
      <c r="AB176" s="7511"/>
      <c r="AC176" s="7512"/>
      <c r="AD176" s="4931"/>
      <c r="AE176" s="4466"/>
      <c r="AF176" s="7511"/>
      <c r="AG176" s="7512">
        <v>197.38</v>
      </c>
      <c r="AH176" s="4931"/>
      <c r="AI176" s="7519">
        <f t="shared" si="395"/>
        <v>197.38</v>
      </c>
      <c r="AJ176" s="7511"/>
      <c r="AK176" s="7512">
        <v>0</v>
      </c>
      <c r="AL176" s="5749"/>
      <c r="AM176" s="7517">
        <f t="shared" si="380"/>
        <v>197.38</v>
      </c>
      <c r="AN176" s="4931"/>
      <c r="AO176" s="7519">
        <f t="shared" si="381"/>
        <v>197.38</v>
      </c>
      <c r="AP176" s="7511"/>
      <c r="AQ176" s="7512">
        <v>634.48</v>
      </c>
      <c r="AR176" s="4931"/>
      <c r="AS176" s="7519">
        <f t="shared" si="382"/>
        <v>831.86</v>
      </c>
      <c r="AT176" s="7511"/>
      <c r="AU176" s="7512">
        <v>0</v>
      </c>
      <c r="AV176" s="4931"/>
      <c r="AW176" s="7519">
        <f t="shared" si="383"/>
        <v>831.86</v>
      </c>
      <c r="AX176" s="7511"/>
      <c r="AY176" s="7512"/>
      <c r="AZ176" s="5749"/>
      <c r="BA176" s="7517">
        <f t="shared" si="384"/>
        <v>634.48</v>
      </c>
      <c r="BB176" s="5749">
        <f t="shared" si="385"/>
        <v>0</v>
      </c>
      <c r="BC176" s="7517">
        <f t="shared" si="386"/>
        <v>831.86</v>
      </c>
      <c r="BD176" s="7245"/>
      <c r="BE176" s="7516">
        <f t="shared" si="387"/>
        <v>831.86</v>
      </c>
    </row>
    <row r="177" spans="1:78" s="7882" customFormat="1" ht="18.75" customHeight="1" x14ac:dyDescent="0.2">
      <c r="A177" s="3380"/>
      <c r="B177" s="4860" t="s">
        <v>2282</v>
      </c>
      <c r="C177" s="7522" t="s">
        <v>2370</v>
      </c>
      <c r="D177" s="7511"/>
      <c r="E177" s="7506"/>
      <c r="F177" s="7511"/>
      <c r="G177" s="7512"/>
      <c r="H177" s="4931"/>
      <c r="I177" s="7519">
        <f t="shared" ref="I177:I179" si="396">+E177+G177</f>
        <v>0</v>
      </c>
      <c r="J177" s="7511"/>
      <c r="K177" s="7512"/>
      <c r="L177" s="5749"/>
      <c r="M177" s="7520">
        <f t="shared" ref="M177:M179" si="397">+I177+K177</f>
        <v>0</v>
      </c>
      <c r="N177" s="7511"/>
      <c r="O177" s="7512"/>
      <c r="P177" s="4931"/>
      <c r="Q177" s="7519">
        <f t="shared" ref="Q177:Q179" si="398">+M177+O177</f>
        <v>0</v>
      </c>
      <c r="R177" s="7511"/>
      <c r="S177" s="7512">
        <v>1562.4699999999998</v>
      </c>
      <c r="T177" s="4931"/>
      <c r="U177" s="7519">
        <f t="shared" ref="U177:U179" si="399">+Q177+S177</f>
        <v>1562.4699999999998</v>
      </c>
      <c r="V177" s="7511"/>
      <c r="W177" s="7512">
        <v>3158.2999999999997</v>
      </c>
      <c r="X177" s="5749"/>
      <c r="Y177" s="7517">
        <f t="shared" ref="Y177:Y179" si="400">O177+S177+W177</f>
        <v>4720.7699999999995</v>
      </c>
      <c r="Z177" s="7245"/>
      <c r="AA177" s="7516">
        <f t="shared" ref="AA177:AA179" si="401">+U177+W177</f>
        <v>4720.7699999999995</v>
      </c>
      <c r="AB177" s="7511"/>
      <c r="AC177" s="7512">
        <v>0</v>
      </c>
      <c r="AD177" s="4931"/>
      <c r="AE177" s="4466">
        <f t="shared" ref="AE177:AE179" si="402">+AA177+AC177</f>
        <v>4720.7699999999995</v>
      </c>
      <c r="AF177" s="7511"/>
      <c r="AG177" s="7512">
        <v>1870.54</v>
      </c>
      <c r="AH177" s="4931"/>
      <c r="AI177" s="7519">
        <f t="shared" si="395"/>
        <v>6591.3099999999995</v>
      </c>
      <c r="AJ177" s="7511"/>
      <c r="AK177" s="7512">
        <v>5095.4400000000005</v>
      </c>
      <c r="AL177" s="5749"/>
      <c r="AM177" s="7517">
        <f t="shared" si="380"/>
        <v>6965.9800000000005</v>
      </c>
      <c r="AN177" s="4931"/>
      <c r="AO177" s="7519">
        <f t="shared" si="381"/>
        <v>11686.75</v>
      </c>
      <c r="AP177" s="7511"/>
      <c r="AQ177" s="7512">
        <v>4080.7799999999997</v>
      </c>
      <c r="AR177" s="4931"/>
      <c r="AS177" s="7519">
        <f t="shared" si="382"/>
        <v>15767.529999999999</v>
      </c>
      <c r="AT177" s="7511"/>
      <c r="AU177" s="7512">
        <v>1583.8</v>
      </c>
      <c r="AV177" s="4931"/>
      <c r="AW177" s="7519">
        <f t="shared" si="383"/>
        <v>17351.329999999998</v>
      </c>
      <c r="AX177" s="7511"/>
      <c r="AY177" s="7512"/>
      <c r="AZ177" s="5749"/>
      <c r="BA177" s="7517">
        <f t="shared" si="384"/>
        <v>5664.58</v>
      </c>
      <c r="BB177" s="5749">
        <f t="shared" si="385"/>
        <v>0</v>
      </c>
      <c r="BC177" s="7517">
        <f t="shared" si="386"/>
        <v>12630.560000000001</v>
      </c>
      <c r="BD177" s="7245"/>
      <c r="BE177" s="7516">
        <f t="shared" si="387"/>
        <v>17351.329999999998</v>
      </c>
    </row>
    <row r="178" spans="1:78" s="7882" customFormat="1" ht="18.75" customHeight="1" x14ac:dyDescent="0.2">
      <c r="A178" s="3380"/>
      <c r="B178" s="4860" t="s">
        <v>2367</v>
      </c>
      <c r="C178" s="7522" t="s">
        <v>2371</v>
      </c>
      <c r="D178" s="7511"/>
      <c r="E178" s="7506">
        <v>0</v>
      </c>
      <c r="F178" s="7511"/>
      <c r="G178" s="7512">
        <v>66.84</v>
      </c>
      <c r="H178" s="4931"/>
      <c r="I178" s="7519">
        <f t="shared" si="396"/>
        <v>66.84</v>
      </c>
      <c r="J178" s="7511"/>
      <c r="K178" s="7512">
        <v>0</v>
      </c>
      <c r="L178" s="5749"/>
      <c r="M178" s="7520">
        <f t="shared" si="397"/>
        <v>66.84</v>
      </c>
      <c r="N178" s="7511"/>
      <c r="O178" s="7512">
        <v>0</v>
      </c>
      <c r="P178" s="4931"/>
      <c r="Q178" s="7519">
        <f t="shared" si="398"/>
        <v>66.84</v>
      </c>
      <c r="R178" s="7511"/>
      <c r="S178" s="7512">
        <v>0</v>
      </c>
      <c r="T178" s="4931"/>
      <c r="U178" s="7519">
        <f t="shared" si="399"/>
        <v>66.84</v>
      </c>
      <c r="V178" s="7511"/>
      <c r="W178" s="7512"/>
      <c r="X178" s="5749"/>
      <c r="Y178" s="7517">
        <f t="shared" si="400"/>
        <v>0</v>
      </c>
      <c r="Z178" s="7245"/>
      <c r="AA178" s="7516">
        <f t="shared" si="401"/>
        <v>66.84</v>
      </c>
      <c r="AB178" s="7511"/>
      <c r="AC178" s="7512">
        <v>0</v>
      </c>
      <c r="AD178" s="4931"/>
      <c r="AE178" s="4466">
        <f t="shared" si="402"/>
        <v>66.84</v>
      </c>
      <c r="AF178" s="7511"/>
      <c r="AG178" s="7512">
        <v>0</v>
      </c>
      <c r="AH178" s="4931"/>
      <c r="AI178" s="7519">
        <f t="shared" si="395"/>
        <v>66.84</v>
      </c>
      <c r="AJ178" s="7511"/>
      <c r="AK178" s="7512">
        <v>0</v>
      </c>
      <c r="AL178" s="5749"/>
      <c r="AM178" s="7517">
        <f t="shared" si="380"/>
        <v>0</v>
      </c>
      <c r="AN178" s="4931"/>
      <c r="AO178" s="7519">
        <f t="shared" si="381"/>
        <v>66.84</v>
      </c>
      <c r="AP178" s="7511"/>
      <c r="AQ178" s="7512"/>
      <c r="AR178" s="4931"/>
      <c r="AS178" s="7519">
        <f t="shared" si="382"/>
        <v>66.84</v>
      </c>
      <c r="AT178" s="7511"/>
      <c r="AU178" s="7512">
        <v>0</v>
      </c>
      <c r="AV178" s="4931"/>
      <c r="AW178" s="7519">
        <f t="shared" si="383"/>
        <v>66.84</v>
      </c>
      <c r="AX178" s="7511"/>
      <c r="AY178" s="7512"/>
      <c r="AZ178" s="5749"/>
      <c r="BA178" s="7517">
        <f t="shared" si="384"/>
        <v>0</v>
      </c>
      <c r="BB178" s="5749">
        <f t="shared" si="385"/>
        <v>0</v>
      </c>
      <c r="BC178" s="7517">
        <f t="shared" si="386"/>
        <v>0</v>
      </c>
      <c r="BD178" s="7245"/>
      <c r="BE178" s="7516">
        <f t="shared" si="387"/>
        <v>66.84</v>
      </c>
    </row>
    <row r="179" spans="1:78" s="7882" customFormat="1" ht="18.75" customHeight="1" x14ac:dyDescent="0.2">
      <c r="A179" s="3380"/>
      <c r="B179" s="4860" t="s">
        <v>2284</v>
      </c>
      <c r="C179" s="7523" t="s">
        <v>2318</v>
      </c>
      <c r="D179" s="7511"/>
      <c r="E179" s="7506">
        <v>1116.58</v>
      </c>
      <c r="F179" s="7511"/>
      <c r="G179" s="7512">
        <v>0</v>
      </c>
      <c r="H179" s="4931"/>
      <c r="I179" s="7519">
        <f t="shared" si="396"/>
        <v>1116.58</v>
      </c>
      <c r="J179" s="7511"/>
      <c r="K179" s="7512">
        <v>0</v>
      </c>
      <c r="L179" s="5749"/>
      <c r="M179" s="7520">
        <f t="shared" si="397"/>
        <v>1116.58</v>
      </c>
      <c r="N179" s="7511"/>
      <c r="O179" s="7512">
        <v>0</v>
      </c>
      <c r="P179" s="4931"/>
      <c r="Q179" s="7519">
        <f t="shared" si="398"/>
        <v>1116.58</v>
      </c>
      <c r="R179" s="7511"/>
      <c r="S179" s="7512">
        <v>0</v>
      </c>
      <c r="T179" s="4931"/>
      <c r="U179" s="7519">
        <f t="shared" si="399"/>
        <v>1116.58</v>
      </c>
      <c r="V179" s="7511"/>
      <c r="W179" s="7512"/>
      <c r="X179" s="5749"/>
      <c r="Y179" s="7517">
        <f t="shared" si="400"/>
        <v>0</v>
      </c>
      <c r="Z179" s="7245"/>
      <c r="AA179" s="7516">
        <f t="shared" si="401"/>
        <v>1116.58</v>
      </c>
      <c r="AB179" s="7511"/>
      <c r="AC179" s="7512">
        <v>0</v>
      </c>
      <c r="AD179" s="4931"/>
      <c r="AE179" s="4466">
        <f t="shared" si="402"/>
        <v>1116.58</v>
      </c>
      <c r="AF179" s="7511"/>
      <c r="AG179" s="7512">
        <v>0</v>
      </c>
      <c r="AH179" s="4931"/>
      <c r="AI179" s="7519">
        <f t="shared" si="395"/>
        <v>1116.58</v>
      </c>
      <c r="AJ179" s="7511"/>
      <c r="AK179" s="7512">
        <v>2766</v>
      </c>
      <c r="AL179" s="5749"/>
      <c r="AM179" s="7517">
        <f t="shared" si="380"/>
        <v>2766</v>
      </c>
      <c r="AN179" s="4931"/>
      <c r="AO179" s="7519">
        <f t="shared" si="381"/>
        <v>3882.58</v>
      </c>
      <c r="AP179" s="7511"/>
      <c r="AQ179" s="7512">
        <v>5845.7099999999991</v>
      </c>
      <c r="AR179" s="4931"/>
      <c r="AS179" s="7519">
        <f t="shared" si="382"/>
        <v>9728.2899999999991</v>
      </c>
      <c r="AT179" s="7511"/>
      <c r="AU179" s="7512">
        <v>332.76</v>
      </c>
      <c r="AV179" s="4931"/>
      <c r="AW179" s="7519">
        <f t="shared" si="383"/>
        <v>10061.049999999999</v>
      </c>
      <c r="AX179" s="7511"/>
      <c r="AY179" s="7512"/>
      <c r="AZ179" s="5749"/>
      <c r="BA179" s="7517">
        <f t="shared" si="384"/>
        <v>6178.4699999999993</v>
      </c>
      <c r="BB179" s="5749">
        <f t="shared" si="385"/>
        <v>0</v>
      </c>
      <c r="BC179" s="7517">
        <f t="shared" si="386"/>
        <v>8944.4699999999993</v>
      </c>
      <c r="BD179" s="7245"/>
      <c r="BE179" s="7516">
        <f t="shared" si="387"/>
        <v>10061.049999999999</v>
      </c>
    </row>
    <row r="180" spans="1:78" s="7882" customFormat="1" ht="18.75" customHeight="1" x14ac:dyDescent="0.2">
      <c r="A180" s="3380"/>
      <c r="B180" s="5066" t="s">
        <v>2285</v>
      </c>
      <c r="C180" s="7523" t="s">
        <v>2318</v>
      </c>
      <c r="D180" s="7510"/>
      <c r="E180" s="7506">
        <v>2819.6</v>
      </c>
      <c r="F180" s="7510"/>
      <c r="G180" s="7512">
        <v>5844.03</v>
      </c>
      <c r="H180" s="5893"/>
      <c r="I180" s="7519">
        <f>+E180+G180</f>
        <v>8663.6299999999992</v>
      </c>
      <c r="J180" s="7510"/>
      <c r="K180" s="7512">
        <v>3683.411000000001</v>
      </c>
      <c r="L180" s="5127"/>
      <c r="M180" s="7520">
        <f>+I180+K180</f>
        <v>12347.041000000001</v>
      </c>
      <c r="N180" s="7510"/>
      <c r="O180" s="7512">
        <v>9422.0889999999999</v>
      </c>
      <c r="P180" s="5893"/>
      <c r="Q180" s="7519">
        <f>+M180+O180</f>
        <v>21769.13</v>
      </c>
      <c r="R180" s="7510"/>
      <c r="S180" s="7512">
        <v>3734.9189999999999</v>
      </c>
      <c r="T180" s="5893"/>
      <c r="U180" s="7519">
        <f>+Q180+S180</f>
        <v>25504.048999999999</v>
      </c>
      <c r="V180" s="7510"/>
      <c r="W180" s="7512">
        <v>6917.5300000000016</v>
      </c>
      <c r="X180" s="5127"/>
      <c r="Y180" s="7517">
        <f>O180+S180+W180</f>
        <v>20074.538</v>
      </c>
      <c r="Z180" s="6974"/>
      <c r="AA180" s="7516">
        <f>+U180+W180</f>
        <v>32421.579000000002</v>
      </c>
      <c r="AB180" s="7510"/>
      <c r="AC180" s="7512">
        <v>1358.8499999999997</v>
      </c>
      <c r="AD180" s="5893"/>
      <c r="AE180" s="4466">
        <f>+AA180+AC180</f>
        <v>33780.429000000004</v>
      </c>
      <c r="AF180" s="7510"/>
      <c r="AG180" s="7512">
        <v>7520.63</v>
      </c>
      <c r="AH180" s="5893"/>
      <c r="AI180" s="7519">
        <f>+AE180+AG180</f>
        <v>41301.059000000001</v>
      </c>
      <c r="AJ180" s="7510"/>
      <c r="AK180" s="7512">
        <v>2489.2200000000003</v>
      </c>
      <c r="AL180" s="5127"/>
      <c r="AM180" s="7517">
        <f t="shared" si="380"/>
        <v>11368.7</v>
      </c>
      <c r="AN180" s="5893"/>
      <c r="AO180" s="7519">
        <f t="shared" si="381"/>
        <v>43790.279000000002</v>
      </c>
      <c r="AP180" s="7510"/>
      <c r="AQ180" s="7512">
        <v>5808.2199999999984</v>
      </c>
      <c r="AR180" s="5893"/>
      <c r="AS180" s="7519">
        <f t="shared" si="382"/>
        <v>49598.499000000003</v>
      </c>
      <c r="AT180" s="7510"/>
      <c r="AU180" s="7512">
        <v>0</v>
      </c>
      <c r="AV180" s="5893"/>
      <c r="AW180" s="7519">
        <f t="shared" si="383"/>
        <v>49598.499000000003</v>
      </c>
      <c r="AX180" s="7510"/>
      <c r="AY180" s="7512">
        <f>15635.24-1028.8</f>
        <v>14606.44</v>
      </c>
      <c r="AZ180" s="5127"/>
      <c r="BA180" s="7517">
        <f t="shared" si="384"/>
        <v>20414.66</v>
      </c>
      <c r="BB180" s="5127">
        <f t="shared" si="385"/>
        <v>0</v>
      </c>
      <c r="BC180" s="7517">
        <f t="shared" si="386"/>
        <v>31783.360000000001</v>
      </c>
      <c r="BD180" s="6974"/>
      <c r="BE180" s="7516">
        <f t="shared" si="387"/>
        <v>64204.939000000006</v>
      </c>
    </row>
    <row r="181" spans="1:78" s="7882" customFormat="1" ht="18.75" customHeight="1" x14ac:dyDescent="0.2">
      <c r="A181" s="3380"/>
      <c r="B181" s="4860" t="s">
        <v>2285</v>
      </c>
      <c r="C181" s="7522" t="s">
        <v>2369</v>
      </c>
      <c r="D181" s="7511"/>
      <c r="E181" s="7507">
        <v>1067.991</v>
      </c>
      <c r="F181" s="7511"/>
      <c r="G181" s="7513">
        <v>0</v>
      </c>
      <c r="H181" s="4931"/>
      <c r="I181" s="7519">
        <f t="shared" ref="I181:I183" si="403">+E181+G181</f>
        <v>1067.991</v>
      </c>
      <c r="J181" s="7511"/>
      <c r="K181" s="7513">
        <v>3019.2</v>
      </c>
      <c r="L181" s="5749"/>
      <c r="M181" s="7520">
        <f t="shared" ref="M181:M183" si="404">+I181+K181</f>
        <v>4087.1909999999998</v>
      </c>
      <c r="N181" s="7511"/>
      <c r="O181" s="7513">
        <v>1320.74</v>
      </c>
      <c r="P181" s="4931"/>
      <c r="Q181" s="7519">
        <f t="shared" ref="Q181:Q183" si="405">+M181+O181</f>
        <v>5407.9309999999996</v>
      </c>
      <c r="R181" s="7511"/>
      <c r="S181" s="7513">
        <v>2222.1799999999994</v>
      </c>
      <c r="T181" s="4931"/>
      <c r="U181" s="7519">
        <f t="shared" ref="U181:U183" si="406">+Q181+S181</f>
        <v>7630.110999999999</v>
      </c>
      <c r="V181" s="7511"/>
      <c r="W181" s="7513">
        <v>7609.2079999999987</v>
      </c>
      <c r="X181" s="5749"/>
      <c r="Y181" s="7517">
        <f t="shared" ref="Y181:Y183" si="407">O181+S181+W181</f>
        <v>11152.127999999997</v>
      </c>
      <c r="Z181" s="7245"/>
      <c r="AA181" s="7516">
        <f t="shared" ref="AA181:AA183" si="408">+U181+W181</f>
        <v>15239.318999999998</v>
      </c>
      <c r="AB181" s="7511"/>
      <c r="AC181" s="7513">
        <v>325.62</v>
      </c>
      <c r="AD181" s="4931"/>
      <c r="AE181" s="4466">
        <f t="shared" ref="AE181:AE183" si="409">+AA181+AC181</f>
        <v>15564.938999999998</v>
      </c>
      <c r="AF181" s="7511"/>
      <c r="AG181" s="7512">
        <v>4558.93</v>
      </c>
      <c r="AH181" s="4931"/>
      <c r="AI181" s="7519">
        <f t="shared" ref="AI181:AI183" si="410">+AE181+AG181</f>
        <v>20123.868999999999</v>
      </c>
      <c r="AJ181" s="7511"/>
      <c r="AK181" s="7513">
        <v>5517.5900000000011</v>
      </c>
      <c r="AL181" s="5749"/>
      <c r="AM181" s="7517">
        <f t="shared" si="380"/>
        <v>10402.140000000001</v>
      </c>
      <c r="AN181" s="4931"/>
      <c r="AO181" s="7519">
        <f t="shared" si="381"/>
        <v>25641.458999999999</v>
      </c>
      <c r="AP181" s="7511"/>
      <c r="AQ181" s="7513">
        <v>8582.2300000000014</v>
      </c>
      <c r="AR181" s="4931"/>
      <c r="AS181" s="7519">
        <f t="shared" si="382"/>
        <v>34223.688999999998</v>
      </c>
      <c r="AT181" s="7511"/>
      <c r="AU181" s="7513">
        <v>126.6</v>
      </c>
      <c r="AV181" s="4931"/>
      <c r="AW181" s="7519">
        <f t="shared" si="383"/>
        <v>34350.288999999997</v>
      </c>
      <c r="AX181" s="7511"/>
      <c r="AY181" s="7513">
        <v>3380.14</v>
      </c>
      <c r="AZ181" s="5749"/>
      <c r="BA181" s="7517">
        <f t="shared" si="384"/>
        <v>12088.970000000001</v>
      </c>
      <c r="BB181" s="5749">
        <f t="shared" si="385"/>
        <v>0</v>
      </c>
      <c r="BC181" s="7517">
        <f t="shared" si="386"/>
        <v>22491.11</v>
      </c>
      <c r="BD181" s="7245"/>
      <c r="BE181" s="7516">
        <f t="shared" si="387"/>
        <v>37730.428999999996</v>
      </c>
    </row>
    <row r="182" spans="1:78" s="7882" customFormat="1" ht="18.75" customHeight="1" x14ac:dyDescent="0.2">
      <c r="A182" s="3380"/>
      <c r="B182" s="4860" t="s">
        <v>2285</v>
      </c>
      <c r="C182" s="7522" t="s">
        <v>2292</v>
      </c>
      <c r="D182" s="7511"/>
      <c r="E182" s="7506">
        <v>0</v>
      </c>
      <c r="F182" s="7511"/>
      <c r="G182" s="7512">
        <v>621.81000000000006</v>
      </c>
      <c r="H182" s="4931"/>
      <c r="I182" s="7519">
        <f t="shared" si="403"/>
        <v>621.81000000000006</v>
      </c>
      <c r="J182" s="7511"/>
      <c r="K182" s="7512">
        <v>674.96</v>
      </c>
      <c r="L182" s="5749"/>
      <c r="M182" s="7520">
        <f t="shared" si="404"/>
        <v>1296.77</v>
      </c>
      <c r="N182" s="7511"/>
      <c r="O182" s="7512">
        <v>0</v>
      </c>
      <c r="P182" s="4931"/>
      <c r="Q182" s="7519">
        <f t="shared" si="405"/>
        <v>1296.77</v>
      </c>
      <c r="R182" s="7511"/>
      <c r="S182" s="7512">
        <v>0</v>
      </c>
      <c r="T182" s="4931"/>
      <c r="U182" s="7519">
        <f t="shared" si="406"/>
        <v>1296.77</v>
      </c>
      <c r="V182" s="7511"/>
      <c r="W182" s="7512"/>
      <c r="X182" s="5749"/>
      <c r="Y182" s="7517">
        <f t="shared" si="407"/>
        <v>0</v>
      </c>
      <c r="Z182" s="7245"/>
      <c r="AA182" s="7516">
        <f t="shared" si="408"/>
        <v>1296.77</v>
      </c>
      <c r="AB182" s="7511"/>
      <c r="AC182" s="7512">
        <v>31.82</v>
      </c>
      <c r="AD182" s="4931"/>
      <c r="AE182" s="4466">
        <f t="shared" si="409"/>
        <v>1328.59</v>
      </c>
      <c r="AF182" s="7511"/>
      <c r="AG182" s="7512">
        <v>0</v>
      </c>
      <c r="AH182" s="4931"/>
      <c r="AI182" s="7519">
        <f t="shared" si="410"/>
        <v>1328.59</v>
      </c>
      <c r="AJ182" s="7511"/>
      <c r="AK182" s="7512">
        <v>497.34</v>
      </c>
      <c r="AL182" s="5749"/>
      <c r="AM182" s="7517">
        <f t="shared" si="380"/>
        <v>529.16</v>
      </c>
      <c r="AN182" s="4931"/>
      <c r="AO182" s="7519">
        <f t="shared" si="381"/>
        <v>1825.9299999999998</v>
      </c>
      <c r="AP182" s="7511"/>
      <c r="AQ182" s="7512">
        <v>1015.0200000000001</v>
      </c>
      <c r="AR182" s="4931"/>
      <c r="AS182" s="7519">
        <f t="shared" si="382"/>
        <v>2840.95</v>
      </c>
      <c r="AT182" s="7511"/>
      <c r="AU182" s="7512">
        <v>0</v>
      </c>
      <c r="AV182" s="4931"/>
      <c r="AW182" s="7519">
        <f t="shared" si="383"/>
        <v>2840.95</v>
      </c>
      <c r="AX182" s="7511"/>
      <c r="AY182" s="7512"/>
      <c r="AZ182" s="5749"/>
      <c r="BA182" s="7517">
        <f t="shared" si="384"/>
        <v>1015.0200000000001</v>
      </c>
      <c r="BB182" s="5749">
        <f t="shared" si="385"/>
        <v>0</v>
      </c>
      <c r="BC182" s="7517">
        <f t="shared" si="386"/>
        <v>1544.18</v>
      </c>
      <c r="BD182" s="7245"/>
      <c r="BE182" s="7516">
        <f t="shared" si="387"/>
        <v>2840.95</v>
      </c>
    </row>
    <row r="183" spans="1:78" s="7882" customFormat="1" ht="18.75" customHeight="1" x14ac:dyDescent="0.2">
      <c r="A183" s="3380"/>
      <c r="B183" s="4860" t="s">
        <v>2285</v>
      </c>
      <c r="C183" s="7522" t="s">
        <v>2370</v>
      </c>
      <c r="D183" s="7511"/>
      <c r="E183" s="7506">
        <v>0</v>
      </c>
      <c r="F183" s="7511"/>
      <c r="G183" s="7512">
        <v>128.13</v>
      </c>
      <c r="H183" s="4931"/>
      <c r="I183" s="7519">
        <f t="shared" si="403"/>
        <v>128.13</v>
      </c>
      <c r="J183" s="7511"/>
      <c r="K183" s="7512">
        <v>1139.32</v>
      </c>
      <c r="L183" s="5749"/>
      <c r="M183" s="7520">
        <f t="shared" si="404"/>
        <v>1267.4499999999998</v>
      </c>
      <c r="N183" s="7511"/>
      <c r="O183" s="7512">
        <v>397.22999999999996</v>
      </c>
      <c r="P183" s="4931"/>
      <c r="Q183" s="7519">
        <f t="shared" si="405"/>
        <v>1664.6799999999998</v>
      </c>
      <c r="R183" s="7511"/>
      <c r="S183" s="7512">
        <v>556.53</v>
      </c>
      <c r="T183" s="4931"/>
      <c r="U183" s="7519">
        <f t="shared" si="406"/>
        <v>2221.21</v>
      </c>
      <c r="V183" s="7511"/>
      <c r="W183" s="7512">
        <v>3375.0800000000004</v>
      </c>
      <c r="X183" s="5749"/>
      <c r="Y183" s="7517">
        <f t="shared" si="407"/>
        <v>4328.84</v>
      </c>
      <c r="Z183" s="7245"/>
      <c r="AA183" s="7516">
        <f t="shared" si="408"/>
        <v>5596.2900000000009</v>
      </c>
      <c r="AB183" s="7511"/>
      <c r="AC183" s="7512">
        <v>0</v>
      </c>
      <c r="AD183" s="4931"/>
      <c r="AE183" s="4466">
        <f t="shared" si="409"/>
        <v>5596.2900000000009</v>
      </c>
      <c r="AF183" s="7511"/>
      <c r="AG183" s="7512">
        <v>5293.5800000000008</v>
      </c>
      <c r="AH183" s="4931"/>
      <c r="AI183" s="7519">
        <f t="shared" si="410"/>
        <v>10889.870000000003</v>
      </c>
      <c r="AJ183" s="7511"/>
      <c r="AK183" s="7512">
        <v>3577.17</v>
      </c>
      <c r="AL183" s="5749"/>
      <c r="AM183" s="7517">
        <f t="shared" si="380"/>
        <v>8870.75</v>
      </c>
      <c r="AN183" s="4931"/>
      <c r="AO183" s="7519">
        <f t="shared" si="381"/>
        <v>14467.040000000003</v>
      </c>
      <c r="AP183" s="7511"/>
      <c r="AQ183" s="7512">
        <v>5878.1799999999985</v>
      </c>
      <c r="AR183" s="4931"/>
      <c r="AS183" s="7519">
        <f t="shared" si="382"/>
        <v>20345.22</v>
      </c>
      <c r="AT183" s="7511"/>
      <c r="AU183" s="7512">
        <v>0</v>
      </c>
      <c r="AV183" s="4931"/>
      <c r="AW183" s="7519">
        <f t="shared" si="383"/>
        <v>20345.22</v>
      </c>
      <c r="AX183" s="7511"/>
      <c r="AY183" s="7512">
        <v>1569.31</v>
      </c>
      <c r="AZ183" s="5749"/>
      <c r="BA183" s="7517">
        <f t="shared" si="384"/>
        <v>7447.489999999998</v>
      </c>
      <c r="BB183" s="5749">
        <f t="shared" si="385"/>
        <v>0</v>
      </c>
      <c r="BC183" s="7517">
        <f t="shared" si="386"/>
        <v>16318.239999999998</v>
      </c>
      <c r="BD183" s="7245"/>
      <c r="BE183" s="7516">
        <f t="shared" si="387"/>
        <v>21914.530000000002</v>
      </c>
    </row>
    <row r="184" spans="1:78" ht="18.75" customHeight="1" x14ac:dyDescent="0.2">
      <c r="A184" s="3380"/>
      <c r="B184" s="4860" t="s">
        <v>2286</v>
      </c>
      <c r="C184" s="7523" t="s">
        <v>2318</v>
      </c>
      <c r="D184" s="7511"/>
      <c r="E184" s="7506">
        <v>0</v>
      </c>
      <c r="F184" s="7511"/>
      <c r="G184" s="7512">
        <v>7892.51</v>
      </c>
      <c r="H184" s="4931"/>
      <c r="I184" s="7519">
        <f t="shared" si="372"/>
        <v>7892.51</v>
      </c>
      <c r="J184" s="7511"/>
      <c r="K184" s="7512">
        <v>9064.1509999999998</v>
      </c>
      <c r="L184" s="5749"/>
      <c r="M184" s="7520">
        <f t="shared" si="373"/>
        <v>16956.661</v>
      </c>
      <c r="N184" s="7511"/>
      <c r="O184" s="7512">
        <v>242.28999999999996</v>
      </c>
      <c r="P184" s="4931"/>
      <c r="Q184" s="7519">
        <f t="shared" si="374"/>
        <v>17198.951000000001</v>
      </c>
      <c r="R184" s="7511"/>
      <c r="S184" s="7512">
        <v>4491.1680000000006</v>
      </c>
      <c r="T184" s="4931"/>
      <c r="U184" s="7519">
        <f t="shared" si="375"/>
        <v>21690.119000000002</v>
      </c>
      <c r="V184" s="7511"/>
      <c r="W184" s="7512">
        <v>26.37</v>
      </c>
      <c r="X184" s="5749"/>
      <c r="Y184" s="7517">
        <f t="shared" si="376"/>
        <v>4759.8280000000004</v>
      </c>
      <c r="Z184" s="7245"/>
      <c r="AA184" s="7516">
        <f t="shared" si="377"/>
        <v>21716.489000000001</v>
      </c>
      <c r="AB184" s="7511"/>
      <c r="AC184" s="7512">
        <v>8001.3700000000008</v>
      </c>
      <c r="AD184" s="4931"/>
      <c r="AE184" s="4466">
        <f t="shared" si="378"/>
        <v>29717.859000000004</v>
      </c>
      <c r="AF184" s="7511"/>
      <c r="AG184" s="7512">
        <v>2792.3199999999997</v>
      </c>
      <c r="AH184" s="4931"/>
      <c r="AI184" s="7519">
        <f t="shared" si="379"/>
        <v>32510.179000000004</v>
      </c>
      <c r="AJ184" s="7511"/>
      <c r="AK184" s="7512">
        <v>1641.7800000000002</v>
      </c>
      <c r="AL184" s="5749"/>
      <c r="AM184" s="7517">
        <f t="shared" si="380"/>
        <v>12435.470000000001</v>
      </c>
      <c r="AN184" s="4931"/>
      <c r="AO184" s="7519">
        <f t="shared" si="381"/>
        <v>34151.959000000003</v>
      </c>
      <c r="AP184" s="7511"/>
      <c r="AQ184" s="7512">
        <v>791.68</v>
      </c>
      <c r="AR184" s="4931"/>
      <c r="AS184" s="7519">
        <f t="shared" si="382"/>
        <v>34943.639000000003</v>
      </c>
      <c r="AT184" s="7511"/>
      <c r="AU184" s="7512">
        <v>8314.35</v>
      </c>
      <c r="AV184" s="4931"/>
      <c r="AW184" s="7519">
        <f t="shared" si="383"/>
        <v>43257.989000000001</v>
      </c>
      <c r="AX184" s="7511"/>
      <c r="AY184" s="7512">
        <v>2522.69</v>
      </c>
      <c r="AZ184" s="5749"/>
      <c r="BA184" s="7517">
        <f t="shared" si="384"/>
        <v>11628.720000000001</v>
      </c>
      <c r="BB184" s="5749">
        <f t="shared" si="385"/>
        <v>0</v>
      </c>
      <c r="BC184" s="7517">
        <f t="shared" si="386"/>
        <v>24064.190000000002</v>
      </c>
      <c r="BD184" s="7245"/>
      <c r="BE184" s="7516">
        <f t="shared" si="387"/>
        <v>45780.679000000004</v>
      </c>
      <c r="BF184" s="7468"/>
      <c r="BG184" s="7468"/>
      <c r="BH184" s="7468"/>
      <c r="BI184" s="7468"/>
      <c r="BJ184" s="7468"/>
      <c r="BK184" s="7468"/>
      <c r="BL184" s="7468"/>
      <c r="BM184" s="7468"/>
      <c r="BN184" s="7468"/>
      <c r="BO184" s="7468"/>
      <c r="BP184" s="7468"/>
      <c r="BQ184" s="7468"/>
      <c r="BR184" s="7468"/>
      <c r="BS184" s="7468"/>
      <c r="BT184" s="7468"/>
      <c r="BU184" s="7468"/>
      <c r="BV184" s="7468"/>
      <c r="BW184" s="7468"/>
      <c r="BX184" s="7468"/>
      <c r="BY184" s="7468"/>
      <c r="BZ184" s="7468"/>
    </row>
    <row r="185" spans="1:78" s="2269" customFormat="1" ht="19" x14ac:dyDescent="0.2">
      <c r="A185" s="3380"/>
      <c r="B185" s="4860" t="s">
        <v>2286</v>
      </c>
      <c r="C185" s="7522" t="s">
        <v>2369</v>
      </c>
      <c r="D185" s="7511"/>
      <c r="E185" s="7507">
        <v>187.12</v>
      </c>
      <c r="F185" s="7511"/>
      <c r="G185" s="7513">
        <v>1830.02</v>
      </c>
      <c r="H185" s="4931"/>
      <c r="I185" s="7519">
        <f t="shared" si="372"/>
        <v>2017.1399999999999</v>
      </c>
      <c r="J185" s="7511"/>
      <c r="K185" s="7513">
        <v>1419.8609999999996</v>
      </c>
      <c r="L185" s="5749"/>
      <c r="M185" s="7520">
        <f t="shared" si="373"/>
        <v>3437.0009999999993</v>
      </c>
      <c r="N185" s="7511"/>
      <c r="O185" s="7513">
        <v>275.99</v>
      </c>
      <c r="P185" s="4931"/>
      <c r="Q185" s="7519">
        <f t="shared" si="374"/>
        <v>3712.9909999999991</v>
      </c>
      <c r="R185" s="7511"/>
      <c r="S185" s="7513">
        <v>2260.41</v>
      </c>
      <c r="T185" s="4931"/>
      <c r="U185" s="7519">
        <f t="shared" si="375"/>
        <v>5973.4009999999989</v>
      </c>
      <c r="V185" s="7511"/>
      <c r="W185" s="7513"/>
      <c r="X185" s="5749"/>
      <c r="Y185" s="7517">
        <f t="shared" si="376"/>
        <v>2536.3999999999996</v>
      </c>
      <c r="Z185" s="7245"/>
      <c r="AA185" s="7516">
        <f t="shared" si="377"/>
        <v>5973.4009999999989</v>
      </c>
      <c r="AB185" s="7511"/>
      <c r="AC185" s="7513">
        <v>2603.54</v>
      </c>
      <c r="AD185" s="4931"/>
      <c r="AE185" s="4466">
        <f t="shared" si="378"/>
        <v>8576.9409999999989</v>
      </c>
      <c r="AF185" s="7511"/>
      <c r="AG185" s="7512">
        <v>5036.2999999999993</v>
      </c>
      <c r="AH185" s="4931"/>
      <c r="AI185" s="7519">
        <f t="shared" si="379"/>
        <v>13613.240999999998</v>
      </c>
      <c r="AJ185" s="7511"/>
      <c r="AK185" s="7513">
        <v>5710.43</v>
      </c>
      <c r="AL185" s="5749"/>
      <c r="AM185" s="7517">
        <f t="shared" si="380"/>
        <v>13350.27</v>
      </c>
      <c r="AN185" s="4931"/>
      <c r="AO185" s="7519">
        <f t="shared" si="381"/>
        <v>19323.670999999998</v>
      </c>
      <c r="AP185" s="7511"/>
      <c r="AQ185" s="7513">
        <v>32.97</v>
      </c>
      <c r="AR185" s="4931"/>
      <c r="AS185" s="7519">
        <f t="shared" si="382"/>
        <v>19356.641</v>
      </c>
      <c r="AT185" s="7511"/>
      <c r="AU185" s="7513">
        <v>5430.73</v>
      </c>
      <c r="AV185" s="4931"/>
      <c r="AW185" s="7519">
        <f t="shared" si="383"/>
        <v>24787.370999999999</v>
      </c>
      <c r="AX185" s="7511"/>
      <c r="AY185" s="7513">
        <v>4192.75</v>
      </c>
      <c r="AZ185" s="5749"/>
      <c r="BA185" s="7517">
        <f t="shared" si="384"/>
        <v>9656.4500000000007</v>
      </c>
      <c r="BB185" s="5749">
        <f t="shared" si="385"/>
        <v>0</v>
      </c>
      <c r="BC185" s="7517">
        <f t="shared" si="386"/>
        <v>23006.720000000001</v>
      </c>
      <c r="BD185" s="7245"/>
      <c r="BE185" s="7516">
        <f t="shared" si="387"/>
        <v>28980.120999999999</v>
      </c>
      <c r="BF185" s="7468"/>
      <c r="BG185" s="7468"/>
      <c r="BH185" s="7468"/>
      <c r="BI185" s="7468"/>
      <c r="BJ185" s="7468"/>
      <c r="BK185" s="7468"/>
      <c r="BL185" s="7468"/>
      <c r="BM185" s="7468"/>
      <c r="BN185" s="7468"/>
      <c r="BO185" s="7468"/>
      <c r="BP185" s="7468"/>
      <c r="BQ185" s="7468"/>
      <c r="BR185" s="7468"/>
      <c r="BS185" s="7468"/>
      <c r="BT185" s="7468"/>
      <c r="BU185" s="7468"/>
      <c r="BV185" s="7468"/>
      <c r="BW185" s="7468"/>
      <c r="BX185" s="7468"/>
      <c r="BY185" s="7468"/>
      <c r="BZ185" s="7468"/>
    </row>
    <row r="186" spans="1:78" ht="18.75" customHeight="1" x14ac:dyDescent="0.2">
      <c r="A186" s="3380"/>
      <c r="B186" s="4860" t="s">
        <v>2286</v>
      </c>
      <c r="C186" s="7522" t="s">
        <v>2370</v>
      </c>
      <c r="D186" s="7511"/>
      <c r="E186" s="7506">
        <v>0</v>
      </c>
      <c r="F186" s="7511"/>
      <c r="G186" s="7512">
        <v>258.54000000000002</v>
      </c>
      <c r="H186" s="4931"/>
      <c r="I186" s="7519">
        <f t="shared" si="372"/>
        <v>258.54000000000002</v>
      </c>
      <c r="J186" s="7511"/>
      <c r="K186" s="7512">
        <v>784.55000000000007</v>
      </c>
      <c r="L186" s="5749"/>
      <c r="M186" s="7520">
        <f t="shared" si="373"/>
        <v>1043.0900000000001</v>
      </c>
      <c r="N186" s="7511"/>
      <c r="O186" s="7512">
        <v>219.01000000000002</v>
      </c>
      <c r="P186" s="4931"/>
      <c r="Q186" s="7519">
        <f t="shared" si="374"/>
        <v>1262.1000000000001</v>
      </c>
      <c r="R186" s="7511"/>
      <c r="S186" s="7512">
        <v>618.73</v>
      </c>
      <c r="T186" s="4931"/>
      <c r="U186" s="7519">
        <f t="shared" si="375"/>
        <v>1880.8300000000002</v>
      </c>
      <c r="V186" s="7511"/>
      <c r="W186" s="7512"/>
      <c r="X186" s="5749"/>
      <c r="Y186" s="7517">
        <f t="shared" si="376"/>
        <v>837.74</v>
      </c>
      <c r="Z186" s="7245"/>
      <c r="AA186" s="7516">
        <f t="shared" si="377"/>
        <v>1880.8300000000002</v>
      </c>
      <c r="AB186" s="7511"/>
      <c r="AC186" s="7512">
        <v>0</v>
      </c>
      <c r="AD186" s="4931"/>
      <c r="AE186" s="4466">
        <f t="shared" si="378"/>
        <v>1880.8300000000002</v>
      </c>
      <c r="AF186" s="7511"/>
      <c r="AG186" s="7512">
        <v>3694.670000000001</v>
      </c>
      <c r="AH186" s="4931"/>
      <c r="AI186" s="7519">
        <f t="shared" si="379"/>
        <v>5575.5000000000009</v>
      </c>
      <c r="AJ186" s="7511"/>
      <c r="AK186" s="7512">
        <v>1372.64</v>
      </c>
      <c r="AL186" s="5749"/>
      <c r="AM186" s="7517">
        <f t="shared" si="380"/>
        <v>5067.3100000000013</v>
      </c>
      <c r="AN186" s="4931"/>
      <c r="AO186" s="7519">
        <f t="shared" si="381"/>
        <v>6948.1400000000012</v>
      </c>
      <c r="AP186" s="7511"/>
      <c r="AQ186" s="7512"/>
      <c r="AR186" s="4931"/>
      <c r="AS186" s="7519">
        <f t="shared" si="382"/>
        <v>6948.1400000000012</v>
      </c>
      <c r="AT186" s="7511"/>
      <c r="AU186" s="7512">
        <v>1818.54</v>
      </c>
      <c r="AV186" s="4931"/>
      <c r="AW186" s="7519">
        <f t="shared" si="383"/>
        <v>8766.68</v>
      </c>
      <c r="AX186" s="7511"/>
      <c r="AY186" s="7512">
        <v>887.32</v>
      </c>
      <c r="AZ186" s="5749"/>
      <c r="BA186" s="7517">
        <f t="shared" si="384"/>
        <v>2705.86</v>
      </c>
      <c r="BB186" s="5749">
        <f t="shared" si="385"/>
        <v>0</v>
      </c>
      <c r="BC186" s="7517">
        <f t="shared" si="386"/>
        <v>7773.1700000000019</v>
      </c>
      <c r="BD186" s="7245"/>
      <c r="BE186" s="7516">
        <f t="shared" si="387"/>
        <v>9654</v>
      </c>
      <c r="BF186" s="7468"/>
      <c r="BG186" s="7468"/>
      <c r="BH186" s="7468"/>
      <c r="BI186" s="7468"/>
      <c r="BJ186" s="7468"/>
      <c r="BK186" s="7468"/>
      <c r="BL186" s="7468"/>
      <c r="BM186" s="7468"/>
      <c r="BN186" s="7468"/>
      <c r="BO186" s="7468"/>
      <c r="BP186" s="7468"/>
      <c r="BQ186" s="7468"/>
      <c r="BR186" s="7468"/>
      <c r="BS186" s="7468"/>
      <c r="BT186" s="7468"/>
      <c r="BU186" s="7468"/>
      <c r="BV186" s="7468"/>
      <c r="BW186" s="7468"/>
      <c r="BX186" s="7468"/>
      <c r="BY186" s="7468"/>
      <c r="BZ186" s="7468"/>
    </row>
    <row r="187" spans="1:78" s="4756" customFormat="1" ht="19" x14ac:dyDescent="0.2">
      <c r="A187" s="3380"/>
      <c r="B187" s="4860" t="s">
        <v>2286</v>
      </c>
      <c r="C187" s="7522" t="s">
        <v>2292</v>
      </c>
      <c r="D187" s="7511"/>
      <c r="E187" s="7506">
        <v>32.35</v>
      </c>
      <c r="F187" s="7511"/>
      <c r="G187" s="7512">
        <v>0</v>
      </c>
      <c r="H187" s="4931"/>
      <c r="I187" s="7519">
        <f t="shared" si="372"/>
        <v>32.35</v>
      </c>
      <c r="J187" s="7511"/>
      <c r="K187" s="7512">
        <v>807.26100000000008</v>
      </c>
      <c r="L187" s="5749"/>
      <c r="M187" s="7520">
        <f t="shared" si="373"/>
        <v>839.6110000000001</v>
      </c>
      <c r="N187" s="7511"/>
      <c r="O187" s="7512">
        <v>0</v>
      </c>
      <c r="P187" s="4931"/>
      <c r="Q187" s="7519">
        <f t="shared" si="374"/>
        <v>839.6110000000001</v>
      </c>
      <c r="R187" s="7511"/>
      <c r="S187" s="7512">
        <v>0</v>
      </c>
      <c r="T187" s="4931"/>
      <c r="U187" s="7519">
        <f t="shared" si="375"/>
        <v>839.6110000000001</v>
      </c>
      <c r="V187" s="7511"/>
      <c r="W187" s="7512"/>
      <c r="X187" s="5749"/>
      <c r="Y187" s="7517">
        <f t="shared" si="376"/>
        <v>0</v>
      </c>
      <c r="Z187" s="7245"/>
      <c r="AA187" s="7516">
        <f t="shared" si="377"/>
        <v>839.6110000000001</v>
      </c>
      <c r="AB187" s="7511"/>
      <c r="AC187" s="7512">
        <v>26.04</v>
      </c>
      <c r="AD187" s="4931"/>
      <c r="AE187" s="4466">
        <f t="shared" si="378"/>
        <v>865.65100000000007</v>
      </c>
      <c r="AF187" s="7511"/>
      <c r="AG187" s="7512">
        <v>0</v>
      </c>
      <c r="AH187" s="4931"/>
      <c r="AI187" s="7519">
        <f t="shared" si="379"/>
        <v>865.65100000000007</v>
      </c>
      <c r="AJ187" s="7511"/>
      <c r="AK187" s="7512">
        <v>307.3</v>
      </c>
      <c r="AL187" s="5749"/>
      <c r="AM187" s="7517">
        <f t="shared" si="380"/>
        <v>333.34000000000003</v>
      </c>
      <c r="AN187" s="4931"/>
      <c r="AO187" s="7519">
        <f t="shared" si="381"/>
        <v>1172.951</v>
      </c>
      <c r="AP187" s="7511"/>
      <c r="AQ187" s="7512">
        <v>286.89999999999998</v>
      </c>
      <c r="AR187" s="4931"/>
      <c r="AS187" s="7519">
        <f t="shared" si="382"/>
        <v>1459.8510000000001</v>
      </c>
      <c r="AT187" s="7511"/>
      <c r="AU187" s="7512">
        <v>456.24</v>
      </c>
      <c r="AV187" s="4931"/>
      <c r="AW187" s="7519">
        <f t="shared" si="383"/>
        <v>1916.0910000000001</v>
      </c>
      <c r="AX187" s="7511"/>
      <c r="AY187" s="7512"/>
      <c r="AZ187" s="5749"/>
      <c r="BA187" s="7517">
        <f t="shared" si="384"/>
        <v>743.14</v>
      </c>
      <c r="BB187" s="5749">
        <f t="shared" si="385"/>
        <v>0</v>
      </c>
      <c r="BC187" s="7517">
        <f t="shared" si="386"/>
        <v>1076.48</v>
      </c>
      <c r="BD187" s="7245"/>
      <c r="BE187" s="7516">
        <f t="shared" si="387"/>
        <v>1916.0910000000001</v>
      </c>
      <c r="BF187" s="7468"/>
      <c r="BG187" s="7468"/>
      <c r="BH187" s="7468"/>
      <c r="BI187" s="7468"/>
      <c r="BJ187" s="7468"/>
      <c r="BK187" s="7468"/>
      <c r="BL187" s="7468"/>
      <c r="BM187" s="7468"/>
      <c r="BN187" s="7468"/>
      <c r="BO187" s="7468"/>
      <c r="BP187" s="7468"/>
      <c r="BQ187" s="7468"/>
      <c r="BR187" s="7468"/>
      <c r="BS187" s="7468"/>
      <c r="BT187" s="7468"/>
      <c r="BU187" s="7468"/>
      <c r="BV187" s="7468"/>
      <c r="BW187" s="7468"/>
      <c r="BX187" s="7468"/>
      <c r="BY187" s="7468"/>
      <c r="BZ187" s="7468"/>
    </row>
    <row r="188" spans="1:78" ht="18.75" customHeight="1" x14ac:dyDescent="0.2">
      <c r="A188" s="3380"/>
      <c r="B188" s="4860" t="s">
        <v>2287</v>
      </c>
      <c r="C188" s="7523" t="s">
        <v>2318</v>
      </c>
      <c r="D188" s="7511"/>
      <c r="E188" s="7508">
        <v>0</v>
      </c>
      <c r="F188" s="7511"/>
      <c r="G188" s="7514">
        <v>7885.45</v>
      </c>
      <c r="H188" s="4931"/>
      <c r="I188" s="7519">
        <f t="shared" si="372"/>
        <v>7885.45</v>
      </c>
      <c r="J188" s="7511"/>
      <c r="K188" s="7514">
        <v>1654.8000000000002</v>
      </c>
      <c r="L188" s="5749"/>
      <c r="M188" s="7520">
        <f t="shared" si="373"/>
        <v>9540.25</v>
      </c>
      <c r="N188" s="7511"/>
      <c r="O188" s="7514">
        <v>2883.4479999999999</v>
      </c>
      <c r="P188" s="4931"/>
      <c r="Q188" s="7519">
        <f t="shared" si="374"/>
        <v>12423.698</v>
      </c>
      <c r="R188" s="7511"/>
      <c r="S188" s="7514">
        <v>3959.75</v>
      </c>
      <c r="T188" s="4931"/>
      <c r="U188" s="7519">
        <f t="shared" si="375"/>
        <v>16383.448</v>
      </c>
      <c r="V188" s="7511"/>
      <c r="W188" s="7514"/>
      <c r="X188" s="5749"/>
      <c r="Y188" s="7517">
        <f t="shared" si="376"/>
        <v>6843.1980000000003</v>
      </c>
      <c r="Z188" s="7245"/>
      <c r="AA188" s="7516">
        <f t="shared" si="377"/>
        <v>16383.448</v>
      </c>
      <c r="AB188" s="7511"/>
      <c r="AC188" s="7514">
        <v>7089.1600000000017</v>
      </c>
      <c r="AD188" s="4931"/>
      <c r="AE188" s="4466">
        <f t="shared" si="378"/>
        <v>23472.608</v>
      </c>
      <c r="AF188" s="7511"/>
      <c r="AG188" s="7512">
        <v>136.78</v>
      </c>
      <c r="AH188" s="4931"/>
      <c r="AI188" s="7519">
        <f t="shared" si="379"/>
        <v>23609.387999999999</v>
      </c>
      <c r="AJ188" s="7511"/>
      <c r="AK188" s="7514">
        <v>1533.3600000000001</v>
      </c>
      <c r="AL188" s="5749"/>
      <c r="AM188" s="7517">
        <f t="shared" si="380"/>
        <v>8759.3000000000011</v>
      </c>
      <c r="AN188" s="4931"/>
      <c r="AO188" s="7519">
        <f t="shared" si="381"/>
        <v>25142.748</v>
      </c>
      <c r="AP188" s="7511"/>
      <c r="AQ188" s="7514">
        <v>1326.28</v>
      </c>
      <c r="AR188" s="4931"/>
      <c r="AS188" s="7519">
        <f t="shared" si="382"/>
        <v>26469.027999999998</v>
      </c>
      <c r="AT188" s="7511"/>
      <c r="AU188" s="7514">
        <v>4192.53</v>
      </c>
      <c r="AV188" s="4931"/>
      <c r="AW188" s="7519">
        <f t="shared" si="383"/>
        <v>30661.557999999997</v>
      </c>
      <c r="AX188" s="7511"/>
      <c r="AY188" s="7514"/>
      <c r="AZ188" s="5749"/>
      <c r="BA188" s="7517">
        <f t="shared" si="384"/>
        <v>5518.8099999999995</v>
      </c>
      <c r="BB188" s="5749">
        <f t="shared" si="385"/>
        <v>0</v>
      </c>
      <c r="BC188" s="7517">
        <f t="shared" si="386"/>
        <v>14278.11</v>
      </c>
      <c r="BD188" s="7245"/>
      <c r="BE188" s="7516">
        <f t="shared" si="387"/>
        <v>30661.557999999997</v>
      </c>
      <c r="BF188" s="7468"/>
      <c r="BG188" s="7468"/>
      <c r="BH188" s="7468"/>
      <c r="BI188" s="7468"/>
      <c r="BJ188" s="7468"/>
      <c r="BK188" s="7468"/>
      <c r="BL188" s="7468"/>
      <c r="BM188" s="7468"/>
      <c r="BN188" s="7468"/>
      <c r="BO188" s="7468"/>
      <c r="BP188" s="7468"/>
      <c r="BQ188" s="7468"/>
      <c r="BR188" s="7468"/>
      <c r="BS188" s="7468"/>
      <c r="BT188" s="7468"/>
      <c r="BU188" s="7468"/>
      <c r="BV188" s="7468"/>
      <c r="BW188" s="7468"/>
      <c r="BX188" s="7468"/>
      <c r="BY188" s="7468"/>
      <c r="BZ188" s="7468"/>
    </row>
    <row r="189" spans="1:78" ht="18.75" customHeight="1" x14ac:dyDescent="0.2">
      <c r="A189" s="3380"/>
      <c r="B189" s="4860" t="s">
        <v>2287</v>
      </c>
      <c r="C189" s="7522" t="s">
        <v>2370</v>
      </c>
      <c r="D189" s="7511"/>
      <c r="E189" s="7508">
        <v>0</v>
      </c>
      <c r="F189" s="7511"/>
      <c r="G189" s="7514">
        <v>1615.8700000000001</v>
      </c>
      <c r="H189" s="4931"/>
      <c r="I189" s="7519">
        <f t="shared" si="372"/>
        <v>1615.8700000000001</v>
      </c>
      <c r="J189" s="7511"/>
      <c r="K189" s="7514">
        <v>781.63000000000011</v>
      </c>
      <c r="L189" s="5749"/>
      <c r="M189" s="7520">
        <f t="shared" si="373"/>
        <v>2397.5</v>
      </c>
      <c r="N189" s="7511"/>
      <c r="O189" s="7514">
        <v>292.70999999999998</v>
      </c>
      <c r="P189" s="4931"/>
      <c r="Q189" s="7519">
        <f t="shared" si="374"/>
        <v>2690.21</v>
      </c>
      <c r="R189" s="7511"/>
      <c r="S189" s="7514">
        <v>213.3</v>
      </c>
      <c r="T189" s="4931"/>
      <c r="U189" s="7519">
        <f t="shared" si="375"/>
        <v>2903.51</v>
      </c>
      <c r="V189" s="7511"/>
      <c r="W189" s="7514"/>
      <c r="X189" s="5749"/>
      <c r="Y189" s="7517">
        <f t="shared" si="376"/>
        <v>506.01</v>
      </c>
      <c r="Z189" s="7245"/>
      <c r="AA189" s="7516">
        <f t="shared" si="377"/>
        <v>2903.51</v>
      </c>
      <c r="AB189" s="7511"/>
      <c r="AC189" s="7514">
        <v>0</v>
      </c>
      <c r="AD189" s="4931"/>
      <c r="AE189" s="4466">
        <f t="shared" si="378"/>
        <v>2903.51</v>
      </c>
      <c r="AF189" s="7511"/>
      <c r="AG189" s="7512">
        <v>0</v>
      </c>
      <c r="AH189" s="4931"/>
      <c r="AI189" s="7519">
        <f t="shared" si="379"/>
        <v>2903.51</v>
      </c>
      <c r="AJ189" s="7511"/>
      <c r="AK189" s="7514">
        <v>2326.5499999999997</v>
      </c>
      <c r="AL189" s="5749"/>
      <c r="AM189" s="7517">
        <f t="shared" si="380"/>
        <v>2326.5499999999997</v>
      </c>
      <c r="AN189" s="4931"/>
      <c r="AO189" s="7519">
        <f t="shared" si="381"/>
        <v>5230.0599999999995</v>
      </c>
      <c r="AP189" s="7511"/>
      <c r="AQ189" s="7514">
        <v>383.82</v>
      </c>
      <c r="AR189" s="4931"/>
      <c r="AS189" s="7519">
        <f t="shared" si="382"/>
        <v>5613.8799999999992</v>
      </c>
      <c r="AT189" s="7511"/>
      <c r="AU189" s="7514">
        <v>765.32</v>
      </c>
      <c r="AV189" s="4931"/>
      <c r="AW189" s="7519">
        <f t="shared" si="383"/>
        <v>6379.1999999999989</v>
      </c>
      <c r="AX189" s="7511"/>
      <c r="AY189" s="7514"/>
      <c r="AZ189" s="5749"/>
      <c r="BA189" s="7517">
        <f t="shared" si="384"/>
        <v>1149.1400000000001</v>
      </c>
      <c r="BB189" s="5749">
        <f t="shared" si="385"/>
        <v>0</v>
      </c>
      <c r="BC189" s="7517">
        <f t="shared" si="386"/>
        <v>3475.6899999999996</v>
      </c>
      <c r="BD189" s="7245"/>
      <c r="BE189" s="7516">
        <f t="shared" si="387"/>
        <v>6379.1999999999989</v>
      </c>
      <c r="BF189" s="7468"/>
      <c r="BG189" s="7468"/>
      <c r="BH189" s="7468"/>
      <c r="BI189" s="7468"/>
      <c r="BJ189" s="7468"/>
      <c r="BK189" s="7468"/>
      <c r="BL189" s="7468"/>
      <c r="BM189" s="7468"/>
      <c r="BN189" s="7468"/>
      <c r="BO189" s="7468"/>
      <c r="BP189" s="7468"/>
      <c r="BQ189" s="7468"/>
      <c r="BR189" s="7468"/>
      <c r="BS189" s="7468"/>
      <c r="BT189" s="7468"/>
      <c r="BU189" s="7468"/>
      <c r="BV189" s="7468"/>
      <c r="BW189" s="7468"/>
      <c r="BX189" s="7468"/>
      <c r="BY189" s="7468"/>
      <c r="BZ189" s="7468"/>
    </row>
    <row r="190" spans="1:78" s="2269" customFormat="1" ht="18.75" customHeight="1" x14ac:dyDescent="0.2">
      <c r="A190" s="3380"/>
      <c r="B190" s="4860" t="s">
        <v>2287</v>
      </c>
      <c r="C190" s="7522" t="s">
        <v>2369</v>
      </c>
      <c r="D190" s="7511"/>
      <c r="E190" s="7507">
        <v>0</v>
      </c>
      <c r="F190" s="7511"/>
      <c r="G190" s="7513">
        <v>4903.049</v>
      </c>
      <c r="H190" s="4931"/>
      <c r="I190" s="7519">
        <f t="shared" si="372"/>
        <v>4903.049</v>
      </c>
      <c r="J190" s="7511"/>
      <c r="K190" s="7513">
        <v>4414.2710000000006</v>
      </c>
      <c r="L190" s="5749"/>
      <c r="M190" s="7520">
        <f t="shared" si="373"/>
        <v>9317.32</v>
      </c>
      <c r="N190" s="7511"/>
      <c r="O190" s="7513">
        <v>1313.94</v>
      </c>
      <c r="P190" s="4931"/>
      <c r="Q190" s="7519">
        <f t="shared" si="374"/>
        <v>10631.26</v>
      </c>
      <c r="R190" s="7511"/>
      <c r="S190" s="7513">
        <v>3999.2309999999998</v>
      </c>
      <c r="T190" s="4931"/>
      <c r="U190" s="7519">
        <f t="shared" si="375"/>
        <v>14630.491</v>
      </c>
      <c r="V190" s="7511"/>
      <c r="W190" s="7513">
        <v>2451.4599999999991</v>
      </c>
      <c r="X190" s="5749"/>
      <c r="Y190" s="7517">
        <f t="shared" si="376"/>
        <v>7764.6309999999994</v>
      </c>
      <c r="Z190" s="7245"/>
      <c r="AA190" s="7516">
        <f t="shared" si="377"/>
        <v>17081.951000000001</v>
      </c>
      <c r="AB190" s="7511"/>
      <c r="AC190" s="7513">
        <v>3664.32</v>
      </c>
      <c r="AD190" s="4931"/>
      <c r="AE190" s="4466">
        <f t="shared" si="378"/>
        <v>20746.271000000001</v>
      </c>
      <c r="AF190" s="7511"/>
      <c r="AG190" s="7512">
        <v>28.44</v>
      </c>
      <c r="AH190" s="4931"/>
      <c r="AI190" s="7519">
        <f t="shared" si="379"/>
        <v>20774.710999999999</v>
      </c>
      <c r="AJ190" s="7511"/>
      <c r="AK190" s="7513">
        <v>3974.4399999999996</v>
      </c>
      <c r="AL190" s="5749"/>
      <c r="AM190" s="7517">
        <f t="shared" si="380"/>
        <v>7667.2</v>
      </c>
      <c r="AN190" s="4931"/>
      <c r="AO190" s="7519">
        <f t="shared" si="381"/>
        <v>24749.150999999998</v>
      </c>
      <c r="AP190" s="7511"/>
      <c r="AQ190" s="7513">
        <v>3254.3599999999992</v>
      </c>
      <c r="AR190" s="4931"/>
      <c r="AS190" s="7519">
        <f t="shared" si="382"/>
        <v>28003.510999999999</v>
      </c>
      <c r="AT190" s="7511"/>
      <c r="AU190" s="7513">
        <v>3436.62</v>
      </c>
      <c r="AV190" s="4931"/>
      <c r="AW190" s="7519">
        <f t="shared" si="383"/>
        <v>31440.130999999998</v>
      </c>
      <c r="AX190" s="7511"/>
      <c r="AY190" s="7513">
        <v>2762.67</v>
      </c>
      <c r="AZ190" s="5749"/>
      <c r="BA190" s="7517">
        <f t="shared" si="384"/>
        <v>9453.65</v>
      </c>
      <c r="BB190" s="5749">
        <f t="shared" si="385"/>
        <v>0</v>
      </c>
      <c r="BC190" s="7517">
        <f t="shared" si="386"/>
        <v>17120.849999999999</v>
      </c>
      <c r="BD190" s="7245"/>
      <c r="BE190" s="7516">
        <f t="shared" si="387"/>
        <v>34202.800999999999</v>
      </c>
      <c r="BF190" s="7468"/>
      <c r="BG190" s="7468"/>
      <c r="BH190" s="7468"/>
      <c r="BI190" s="7468"/>
      <c r="BJ190" s="7468"/>
      <c r="BK190" s="7468"/>
      <c r="BL190" s="7468"/>
      <c r="BM190" s="7468"/>
      <c r="BN190" s="7468"/>
      <c r="BO190" s="7468"/>
      <c r="BP190" s="7468"/>
      <c r="BQ190" s="7468"/>
      <c r="BR190" s="7468"/>
      <c r="BS190" s="7468"/>
      <c r="BT190" s="7468"/>
      <c r="BU190" s="7468"/>
      <c r="BV190" s="7468"/>
      <c r="BW190" s="7468"/>
      <c r="BX190" s="7468"/>
      <c r="BY190" s="7468"/>
      <c r="BZ190" s="7468"/>
    </row>
    <row r="191" spans="1:78" ht="18.75" customHeight="1" x14ac:dyDescent="0.2">
      <c r="A191" s="3380"/>
      <c r="B191" s="4860" t="s">
        <v>2288</v>
      </c>
      <c r="C191" s="7523" t="s">
        <v>2318</v>
      </c>
      <c r="D191" s="7511"/>
      <c r="E191" s="7508">
        <v>6448.3879999999981</v>
      </c>
      <c r="F191" s="7511"/>
      <c r="G191" s="7514">
        <v>33.950000000000003</v>
      </c>
      <c r="H191" s="4931"/>
      <c r="I191" s="7519">
        <f t="shared" si="372"/>
        <v>6482.3379999999979</v>
      </c>
      <c r="J191" s="7511"/>
      <c r="K191" s="7514">
        <v>2581.0999999999995</v>
      </c>
      <c r="L191" s="5749"/>
      <c r="M191" s="7520">
        <f t="shared" si="373"/>
        <v>9063.4379999999983</v>
      </c>
      <c r="N191" s="7511"/>
      <c r="O191" s="7514">
        <v>2379.9699999999998</v>
      </c>
      <c r="P191" s="4931"/>
      <c r="Q191" s="7519">
        <f t="shared" si="374"/>
        <v>11443.407999999998</v>
      </c>
      <c r="R191" s="7511"/>
      <c r="S191" s="7514">
        <v>0</v>
      </c>
      <c r="T191" s="4931"/>
      <c r="U191" s="7519">
        <f t="shared" si="375"/>
        <v>11443.407999999998</v>
      </c>
      <c r="V191" s="7511"/>
      <c r="W191" s="7514"/>
      <c r="X191" s="5749"/>
      <c r="Y191" s="7517">
        <f t="shared" si="376"/>
        <v>2379.9699999999998</v>
      </c>
      <c r="Z191" s="7245"/>
      <c r="AA191" s="7516">
        <f t="shared" si="377"/>
        <v>11443.407999999998</v>
      </c>
      <c r="AB191" s="7511"/>
      <c r="AC191" s="7514">
        <v>0</v>
      </c>
      <c r="AD191" s="4931"/>
      <c r="AE191" s="4466">
        <f t="shared" si="378"/>
        <v>11443.407999999998</v>
      </c>
      <c r="AF191" s="7511"/>
      <c r="AG191" s="7512">
        <v>17.52</v>
      </c>
      <c r="AH191" s="4931"/>
      <c r="AI191" s="7519">
        <f t="shared" si="379"/>
        <v>11460.927999999998</v>
      </c>
      <c r="AJ191" s="7511"/>
      <c r="AK191" s="7514">
        <v>0</v>
      </c>
      <c r="AL191" s="5749"/>
      <c r="AM191" s="7517">
        <f t="shared" si="380"/>
        <v>17.52</v>
      </c>
      <c r="AN191" s="4931"/>
      <c r="AO191" s="7519">
        <f t="shared" si="381"/>
        <v>11460.927999999998</v>
      </c>
      <c r="AP191" s="7511"/>
      <c r="AQ191" s="7514"/>
      <c r="AR191" s="4931"/>
      <c r="AS191" s="7519">
        <f t="shared" si="382"/>
        <v>11460.927999999998</v>
      </c>
      <c r="AT191" s="7511"/>
      <c r="AU191" s="7514">
        <v>0</v>
      </c>
      <c r="AV191" s="4931"/>
      <c r="AW191" s="7519">
        <f t="shared" si="383"/>
        <v>11460.927999999998</v>
      </c>
      <c r="AX191" s="7511"/>
      <c r="AY191" s="7514"/>
      <c r="AZ191" s="5749"/>
      <c r="BA191" s="7517">
        <f t="shared" si="384"/>
        <v>0</v>
      </c>
      <c r="BB191" s="5749">
        <f t="shared" si="385"/>
        <v>0</v>
      </c>
      <c r="BC191" s="7517">
        <f t="shared" si="386"/>
        <v>17.52</v>
      </c>
      <c r="BD191" s="7245"/>
      <c r="BE191" s="7516">
        <f t="shared" si="387"/>
        <v>11460.927999999998</v>
      </c>
      <c r="BF191" s="7468"/>
      <c r="BG191" s="7468"/>
      <c r="BH191" s="7468"/>
      <c r="BI191" s="7468"/>
      <c r="BJ191" s="7468"/>
      <c r="BK191" s="7468"/>
      <c r="BL191" s="7468"/>
      <c r="BM191" s="7468"/>
      <c r="BN191" s="7468"/>
      <c r="BO191" s="7468"/>
      <c r="BP191" s="7468"/>
      <c r="BQ191" s="7468"/>
      <c r="BR191" s="7468"/>
      <c r="BS191" s="7468"/>
      <c r="BT191" s="7468"/>
      <c r="BU191" s="7468"/>
      <c r="BV191" s="7468"/>
      <c r="BW191" s="7468"/>
      <c r="BX191" s="7468"/>
      <c r="BY191" s="7468"/>
      <c r="BZ191" s="7468"/>
    </row>
    <row r="192" spans="1:78" s="5718" customFormat="1" ht="18.75" customHeight="1" x14ac:dyDescent="0.2">
      <c r="A192" s="3380"/>
      <c r="B192" s="4860" t="s">
        <v>2288</v>
      </c>
      <c r="C192" s="7522" t="s">
        <v>2370</v>
      </c>
      <c r="D192" s="7511"/>
      <c r="E192" s="7508"/>
      <c r="F192" s="7511"/>
      <c r="G192" s="7514"/>
      <c r="H192" s="4931"/>
      <c r="I192" s="7519">
        <f t="shared" si="372"/>
        <v>0</v>
      </c>
      <c r="J192" s="7511"/>
      <c r="K192" s="7514">
        <v>816.47</v>
      </c>
      <c r="L192" s="5749"/>
      <c r="M192" s="7520">
        <f t="shared" si="373"/>
        <v>816.47</v>
      </c>
      <c r="N192" s="7511"/>
      <c r="O192" s="7514">
        <v>188.56</v>
      </c>
      <c r="P192" s="4931"/>
      <c r="Q192" s="7519">
        <f t="shared" si="374"/>
        <v>1005.03</v>
      </c>
      <c r="R192" s="7511"/>
      <c r="S192" s="7514">
        <v>61.08</v>
      </c>
      <c r="T192" s="4931"/>
      <c r="U192" s="7519">
        <f t="shared" si="375"/>
        <v>1066.1099999999999</v>
      </c>
      <c r="V192" s="7511"/>
      <c r="W192" s="7514"/>
      <c r="X192" s="5749"/>
      <c r="Y192" s="7517">
        <f t="shared" si="376"/>
        <v>249.64</v>
      </c>
      <c r="Z192" s="7245"/>
      <c r="AA192" s="7516">
        <f t="shared" si="377"/>
        <v>1066.1099999999999</v>
      </c>
      <c r="AB192" s="7511"/>
      <c r="AC192" s="7514">
        <v>0</v>
      </c>
      <c r="AD192" s="4931"/>
      <c r="AE192" s="4466">
        <f t="shared" si="378"/>
        <v>1066.1099999999999</v>
      </c>
      <c r="AF192" s="7511"/>
      <c r="AG192" s="7512">
        <v>0</v>
      </c>
      <c r="AH192" s="4931"/>
      <c r="AI192" s="7519">
        <f t="shared" si="379"/>
        <v>1066.1099999999999</v>
      </c>
      <c r="AJ192" s="7511"/>
      <c r="AK192" s="7514">
        <v>0</v>
      </c>
      <c r="AL192" s="5749"/>
      <c r="AM192" s="7517">
        <f t="shared" si="380"/>
        <v>0</v>
      </c>
      <c r="AN192" s="4931"/>
      <c r="AO192" s="7519">
        <f t="shared" si="381"/>
        <v>1066.1099999999999</v>
      </c>
      <c r="AP192" s="7511"/>
      <c r="AQ192" s="7514"/>
      <c r="AR192" s="4931"/>
      <c r="AS192" s="7519">
        <f t="shared" si="382"/>
        <v>1066.1099999999999</v>
      </c>
      <c r="AT192" s="7511"/>
      <c r="AU192" s="7514">
        <v>0</v>
      </c>
      <c r="AV192" s="4931"/>
      <c r="AW192" s="7519">
        <f t="shared" si="383"/>
        <v>1066.1099999999999</v>
      </c>
      <c r="AX192" s="7511"/>
      <c r="AY192" s="7514"/>
      <c r="AZ192" s="5749"/>
      <c r="BA192" s="7517">
        <f t="shared" si="384"/>
        <v>0</v>
      </c>
      <c r="BB192" s="5749">
        <f t="shared" si="385"/>
        <v>0</v>
      </c>
      <c r="BC192" s="7517">
        <f t="shared" si="386"/>
        <v>0</v>
      </c>
      <c r="BD192" s="7245"/>
      <c r="BE192" s="7516">
        <f t="shared" si="387"/>
        <v>1066.1099999999999</v>
      </c>
      <c r="BF192" s="7468"/>
      <c r="BG192" s="7468"/>
      <c r="BH192" s="7468"/>
      <c r="BI192" s="7468"/>
      <c r="BJ192" s="7468"/>
      <c r="BK192" s="7468"/>
      <c r="BL192" s="7468"/>
      <c r="BM192" s="7468"/>
      <c r="BN192" s="7468"/>
      <c r="BO192" s="7468"/>
      <c r="BP192" s="7468"/>
      <c r="BQ192" s="7468"/>
      <c r="BR192" s="7468"/>
      <c r="BS192" s="7468"/>
      <c r="BT192" s="7468"/>
      <c r="BU192" s="7468"/>
      <c r="BV192" s="7468"/>
      <c r="BW192" s="7468"/>
      <c r="BX192" s="7468"/>
      <c r="BY192" s="7468"/>
      <c r="BZ192" s="7468"/>
    </row>
    <row r="193" spans="1:78" s="5718" customFormat="1" ht="18.75" customHeight="1" x14ac:dyDescent="0.2">
      <c r="A193" s="3380"/>
      <c r="B193" s="4860" t="s">
        <v>2288</v>
      </c>
      <c r="C193" s="7522" t="s">
        <v>2369</v>
      </c>
      <c r="D193" s="7511"/>
      <c r="E193" s="7507"/>
      <c r="F193" s="7511"/>
      <c r="G193" s="7513"/>
      <c r="H193" s="4931"/>
      <c r="I193" s="7519">
        <f t="shared" si="372"/>
        <v>0</v>
      </c>
      <c r="J193" s="7511"/>
      <c r="K193" s="7513">
        <v>2503.0900000000006</v>
      </c>
      <c r="L193" s="5749"/>
      <c r="M193" s="7520">
        <f t="shared" si="373"/>
        <v>2503.0900000000006</v>
      </c>
      <c r="N193" s="7511"/>
      <c r="O193" s="7513">
        <v>0</v>
      </c>
      <c r="P193" s="4931"/>
      <c r="Q193" s="7519">
        <f t="shared" si="374"/>
        <v>2503.0900000000006</v>
      </c>
      <c r="R193" s="7511"/>
      <c r="S193" s="7513">
        <v>3201.6589999999997</v>
      </c>
      <c r="T193" s="4931"/>
      <c r="U193" s="7519">
        <f t="shared" si="375"/>
        <v>5704.7489999999998</v>
      </c>
      <c r="V193" s="7511"/>
      <c r="W193" s="7513">
        <v>4738.9499999999989</v>
      </c>
      <c r="X193" s="5749"/>
      <c r="Y193" s="7517">
        <f t="shared" si="376"/>
        <v>7940.6089999999986</v>
      </c>
      <c r="Z193" s="7245"/>
      <c r="AA193" s="7516">
        <f t="shared" si="377"/>
        <v>10443.698999999999</v>
      </c>
      <c r="AB193" s="7511"/>
      <c r="AC193" s="7513">
        <v>90.919999999999987</v>
      </c>
      <c r="AD193" s="4931"/>
      <c r="AE193" s="4466">
        <f t="shared" si="378"/>
        <v>10534.618999999999</v>
      </c>
      <c r="AF193" s="7511"/>
      <c r="AG193" s="7512">
        <v>4249.43</v>
      </c>
      <c r="AH193" s="4931"/>
      <c r="AI193" s="7519">
        <f t="shared" si="379"/>
        <v>14784.048999999999</v>
      </c>
      <c r="AJ193" s="7511"/>
      <c r="AK193" s="7513">
        <v>0</v>
      </c>
      <c r="AL193" s="5749"/>
      <c r="AM193" s="7517">
        <f t="shared" si="380"/>
        <v>4340.3500000000004</v>
      </c>
      <c r="AN193" s="4931"/>
      <c r="AO193" s="7519">
        <f t="shared" si="381"/>
        <v>14784.048999999999</v>
      </c>
      <c r="AP193" s="7511"/>
      <c r="AQ193" s="7513">
        <v>2931.7300000000009</v>
      </c>
      <c r="AR193" s="4931"/>
      <c r="AS193" s="7519">
        <f t="shared" si="382"/>
        <v>17715.778999999999</v>
      </c>
      <c r="AT193" s="7511"/>
      <c r="AU193" s="7513">
        <v>0</v>
      </c>
      <c r="AV193" s="4931"/>
      <c r="AW193" s="7519">
        <f t="shared" si="383"/>
        <v>17715.778999999999</v>
      </c>
      <c r="AX193" s="7511"/>
      <c r="AY193" s="7513">
        <v>3036.31</v>
      </c>
      <c r="AZ193" s="5749"/>
      <c r="BA193" s="7517">
        <f t="shared" si="384"/>
        <v>5968.0400000000009</v>
      </c>
      <c r="BB193" s="5749">
        <f t="shared" si="385"/>
        <v>0</v>
      </c>
      <c r="BC193" s="7517">
        <f t="shared" si="386"/>
        <v>10308.390000000001</v>
      </c>
      <c r="BD193" s="7245"/>
      <c r="BE193" s="7516">
        <f t="shared" si="387"/>
        <v>20752.089</v>
      </c>
      <c r="BF193" s="7468"/>
      <c r="BG193" s="7468"/>
      <c r="BH193" s="7468"/>
      <c r="BI193" s="7468"/>
      <c r="BJ193" s="7468"/>
      <c r="BK193" s="7468"/>
      <c r="BL193" s="7468"/>
      <c r="BM193" s="7468"/>
      <c r="BN193" s="7468"/>
      <c r="BO193" s="7468"/>
      <c r="BP193" s="7468"/>
      <c r="BQ193" s="7468"/>
      <c r="BR193" s="7468"/>
      <c r="BS193" s="7468"/>
      <c r="BT193" s="7468"/>
      <c r="BU193" s="7468"/>
      <c r="BV193" s="7468"/>
      <c r="BW193" s="7468"/>
      <c r="BX193" s="7468"/>
      <c r="BY193" s="7468"/>
      <c r="BZ193" s="7468"/>
    </row>
    <row r="194" spans="1:78" ht="19.5" customHeight="1" thickBot="1" x14ac:dyDescent="0.25">
      <c r="B194" s="4846" t="s">
        <v>1227</v>
      </c>
      <c r="C194" s="4010"/>
      <c r="D194" s="7510"/>
      <c r="E194" s="7509">
        <f>+E13</f>
        <v>0</v>
      </c>
      <c r="F194" s="7510"/>
      <c r="G194" s="7515">
        <f>+G13</f>
        <v>0</v>
      </c>
      <c r="H194" s="7510"/>
      <c r="I194" s="7509">
        <f>+I13</f>
        <v>0</v>
      </c>
      <c r="J194" s="7510"/>
      <c r="K194" s="7515">
        <f>+K13</f>
        <v>0</v>
      </c>
      <c r="L194" s="7510"/>
      <c r="M194" s="7509">
        <f>+M13</f>
        <v>0</v>
      </c>
      <c r="N194" s="7510"/>
      <c r="O194" s="7515">
        <f>+O13</f>
        <v>0</v>
      </c>
      <c r="P194" s="7510"/>
      <c r="Q194" s="7509">
        <f>+Q13</f>
        <v>0</v>
      </c>
      <c r="R194" s="7510"/>
      <c r="S194" s="7515">
        <f>+S13</f>
        <v>0</v>
      </c>
      <c r="T194" s="7510"/>
      <c r="U194" s="7509">
        <f>+U13</f>
        <v>0</v>
      </c>
      <c r="V194" s="7510"/>
      <c r="W194" s="7515">
        <f>+W13</f>
        <v>0</v>
      </c>
      <c r="X194" s="7510"/>
      <c r="Y194" s="7518">
        <f>+Y13</f>
        <v>0</v>
      </c>
      <c r="Z194" s="7510"/>
      <c r="AA194" s="7509">
        <f>+AA13</f>
        <v>0</v>
      </c>
      <c r="AB194" s="7510"/>
      <c r="AC194" s="7515">
        <f>+AC13</f>
        <v>0</v>
      </c>
      <c r="AD194" s="7510"/>
      <c r="AE194" s="4466">
        <f t="shared" si="378"/>
        <v>0</v>
      </c>
      <c r="AF194" s="7510"/>
      <c r="AG194" s="7515">
        <f>+AG13</f>
        <v>0</v>
      </c>
      <c r="AH194" s="7510"/>
      <c r="AI194" s="7509">
        <f>+AI13</f>
        <v>0</v>
      </c>
      <c r="AJ194" s="7510"/>
      <c r="AK194" s="7515">
        <f>+AK13</f>
        <v>0</v>
      </c>
      <c r="AL194" s="7510"/>
      <c r="AM194" s="7518">
        <f>+AM13</f>
        <v>0</v>
      </c>
      <c r="AN194" s="7510"/>
      <c r="AO194" s="7509">
        <f>+AO13</f>
        <v>0</v>
      </c>
      <c r="AP194" s="7510"/>
      <c r="AQ194" s="7515">
        <f>+AQ13</f>
        <v>0</v>
      </c>
      <c r="AR194" s="7510"/>
      <c r="AS194" s="7509">
        <f>+AS13</f>
        <v>0</v>
      </c>
      <c r="AT194" s="7510"/>
      <c r="AU194" s="7515">
        <v>0</v>
      </c>
      <c r="AV194" s="7510"/>
      <c r="AW194" s="7509">
        <f>+AW13</f>
        <v>0</v>
      </c>
      <c r="AX194" s="7510"/>
      <c r="AY194" s="7515"/>
      <c r="AZ194" s="7510"/>
      <c r="BA194" s="7518">
        <f t="shared" si="384"/>
        <v>0</v>
      </c>
      <c r="BB194" s="7510">
        <f t="shared" si="385"/>
        <v>0</v>
      </c>
      <c r="BC194" s="7518">
        <f t="shared" si="386"/>
        <v>0</v>
      </c>
      <c r="BD194" s="7510"/>
      <c r="BE194" s="7516">
        <f t="shared" si="387"/>
        <v>0</v>
      </c>
      <c r="BF194" s="7468"/>
      <c r="BG194" s="7468"/>
      <c r="BH194" s="7468"/>
      <c r="BI194" s="7468"/>
      <c r="BJ194" s="7468"/>
      <c r="BK194" s="7468"/>
      <c r="BL194" s="7468"/>
      <c r="BM194" s="7468"/>
      <c r="BN194" s="7468"/>
      <c r="BO194" s="7468"/>
      <c r="BP194" s="7468"/>
      <c r="BQ194" s="7468"/>
      <c r="BR194" s="7468"/>
      <c r="BS194" s="7468"/>
      <c r="BT194" s="7468"/>
      <c r="BU194" s="7468"/>
      <c r="BV194" s="7468"/>
      <c r="BW194" s="7468"/>
      <c r="BX194" s="7468"/>
      <c r="BY194" s="7468"/>
      <c r="BZ194" s="7468"/>
    </row>
    <row r="195" spans="1:78" s="3380" customFormat="1" ht="19" thickBot="1" x14ac:dyDescent="0.25">
      <c r="B195" s="5225" t="s">
        <v>330</v>
      </c>
      <c r="C195" s="5054" t="s">
        <v>170</v>
      </c>
      <c r="D195" s="7479">
        <f>+D17</f>
        <v>8073.14</v>
      </c>
      <c r="E195" s="5027">
        <f>SUM(E172:E194)</f>
        <v>11672.028999999999</v>
      </c>
      <c r="F195" s="4020">
        <f>+F17</f>
        <v>43712</v>
      </c>
      <c r="G195" s="5027">
        <f>SUM(G172:G194)</f>
        <v>31996.589</v>
      </c>
      <c r="H195" s="7478">
        <f>+H17</f>
        <v>51785.14</v>
      </c>
      <c r="I195" s="5027">
        <f>SUM(I172:I194)</f>
        <v>43668.617999999995</v>
      </c>
      <c r="J195" s="5026">
        <f>+J17</f>
        <v>41998</v>
      </c>
      <c r="K195" s="5027">
        <f>SUM(K172:K194)</f>
        <v>34772.045000000006</v>
      </c>
      <c r="L195" s="7474">
        <f>+L17</f>
        <v>93783.14</v>
      </c>
      <c r="M195" s="5740">
        <f>SUM(M172:M194)</f>
        <v>78440.662999999986</v>
      </c>
      <c r="N195" s="5026">
        <f>+N17</f>
        <v>59600</v>
      </c>
      <c r="O195" s="5027">
        <f>SUM(O172:O194)</f>
        <v>28512.979000000003</v>
      </c>
      <c r="P195" s="7478">
        <f>+P17</f>
        <v>153383.14000000001</v>
      </c>
      <c r="Q195" s="5027">
        <f>SUM(Q172:Q194)</f>
        <v>106953.64199999999</v>
      </c>
      <c r="R195" s="5026">
        <f>+R17</f>
        <v>55000</v>
      </c>
      <c r="S195" s="5027">
        <f>SUM(S172:S194)</f>
        <v>29750.625</v>
      </c>
      <c r="T195" s="7478">
        <f>+T17</f>
        <v>208383.14</v>
      </c>
      <c r="U195" s="5027">
        <f>SUM(U172:U194)</f>
        <v>136704.26699999999</v>
      </c>
      <c r="V195" s="5026">
        <f>+V17</f>
        <v>58000</v>
      </c>
      <c r="W195" s="5027">
        <f>SUM(W172:W194)</f>
        <v>35123.995999999999</v>
      </c>
      <c r="X195" s="7474">
        <f>+X17</f>
        <v>172600</v>
      </c>
      <c r="Y195" s="5740">
        <f>SUM(Y172:Y194)</f>
        <v>93387.599999999991</v>
      </c>
      <c r="Z195" s="7477">
        <f>+Z17</f>
        <v>266383.14</v>
      </c>
      <c r="AA195" s="7233">
        <f>SUM(AA172:AA194)</f>
        <v>171828.26300000001</v>
      </c>
      <c r="AB195" s="5026">
        <f>+AB17</f>
        <v>50000</v>
      </c>
      <c r="AC195" s="5027">
        <f>SUM(AC172:AC194)</f>
        <v>26097</v>
      </c>
      <c r="AD195" s="7478">
        <f>+AD17</f>
        <v>316383.14</v>
      </c>
      <c r="AE195" s="5027">
        <f>SUM(AE172:AE194)</f>
        <v>197925.26300000001</v>
      </c>
      <c r="AF195" s="5026">
        <f>+AF17</f>
        <v>72144</v>
      </c>
      <c r="AG195" s="5027">
        <f>SUM(AG172:AG194)</f>
        <v>43636.789999999994</v>
      </c>
      <c r="AH195" s="7576">
        <f>+AH17</f>
        <v>388527.14</v>
      </c>
      <c r="AI195" s="5027">
        <f>SUM(AI172:AI194)</f>
        <v>241562.05300000001</v>
      </c>
      <c r="AJ195" s="5026">
        <f>+AJ17</f>
        <v>72945.600000000006</v>
      </c>
      <c r="AK195" s="5027">
        <f>SUM(AK172:AK194)</f>
        <v>50121.090000000011</v>
      </c>
      <c r="AL195" s="7717">
        <f>+AL17</f>
        <v>195089.6</v>
      </c>
      <c r="AM195" s="5740">
        <f>SUM(AM172:AM194)</f>
        <v>119854.88000000002</v>
      </c>
      <c r="AN195" s="7729">
        <f>+AN17</f>
        <v>461472.74</v>
      </c>
      <c r="AO195" s="5027">
        <f>SUM(AO172:AO194)</f>
        <v>291683.14299999998</v>
      </c>
      <c r="AP195" s="5026">
        <f>+AP17</f>
        <v>73480</v>
      </c>
      <c r="AQ195" s="5027">
        <f>SUM(AQ172:AQ194)</f>
        <v>48805.760000000002</v>
      </c>
      <c r="AR195" s="8042">
        <f>+AR17</f>
        <v>534952.74</v>
      </c>
      <c r="AS195" s="5027">
        <f>SUM(AS172:AS194)</f>
        <v>340488.90299999999</v>
      </c>
      <c r="AT195" s="5026">
        <f>+AT17</f>
        <v>66800</v>
      </c>
      <c r="AU195" s="5027">
        <f>SUM(AU172:AU194)</f>
        <v>49089.91</v>
      </c>
      <c r="AV195" s="8233">
        <f>+AV17</f>
        <v>601752.74</v>
      </c>
      <c r="AW195" s="5027">
        <f>SUM(AW172:AW194)</f>
        <v>389578.81300000002</v>
      </c>
      <c r="AX195" s="5026">
        <f>+AX17</f>
        <v>73122</v>
      </c>
      <c r="AY195" s="5027">
        <f>SUM(AY172:AY194)</f>
        <v>47379.649999999994</v>
      </c>
      <c r="AZ195" s="8299">
        <f>+AZ17</f>
        <v>213402</v>
      </c>
      <c r="BA195" s="5740">
        <f>SUM(BA172:BA194)</f>
        <v>145275.32</v>
      </c>
      <c r="BB195" s="8299">
        <f t="shared" si="385"/>
        <v>408491.6</v>
      </c>
      <c r="BC195" s="5740">
        <f t="shared" si="386"/>
        <v>265130.2</v>
      </c>
      <c r="BD195" s="8310">
        <f>+BD17</f>
        <v>674874.74</v>
      </c>
      <c r="BE195" s="7233">
        <f>SUM(BE172:BE194)</f>
        <v>436958.46300000005</v>
      </c>
      <c r="BF195" s="7468"/>
      <c r="BG195" s="7468"/>
      <c r="BH195" s="7468"/>
      <c r="BI195" s="7468"/>
      <c r="BJ195" s="7468"/>
      <c r="BK195" s="7468"/>
      <c r="BL195" s="7468"/>
      <c r="BM195" s="7468"/>
      <c r="BN195" s="7468"/>
      <c r="BO195" s="7468"/>
      <c r="BP195" s="7468"/>
      <c r="BQ195" s="7468"/>
      <c r="BR195" s="7468"/>
      <c r="BS195" s="7468"/>
      <c r="BT195" s="7468"/>
      <c r="BU195" s="7468"/>
      <c r="BV195" s="7468"/>
      <c r="BW195" s="7468"/>
      <c r="BX195" s="7468"/>
      <c r="BY195" s="7468"/>
      <c r="BZ195" s="7468"/>
    </row>
    <row r="196" spans="1:78" s="3380" customFormat="1" ht="18.75" hidden="1" customHeight="1" x14ac:dyDescent="0.25">
      <c r="B196" s="4880" t="s">
        <v>1482</v>
      </c>
      <c r="C196" s="4847"/>
      <c r="D196" s="4848"/>
      <c r="E196" s="4849"/>
      <c r="F196" s="4848"/>
      <c r="G196" s="4849"/>
      <c r="H196" s="4851"/>
      <c r="I196" s="4850"/>
      <c r="J196" s="4851"/>
      <c r="K196" s="4849"/>
      <c r="L196" s="4851"/>
      <c r="M196" s="4850"/>
      <c r="N196" s="4851"/>
      <c r="O196" s="4849"/>
      <c r="P196" s="4851"/>
      <c r="Q196" s="4850"/>
      <c r="R196" s="4851"/>
      <c r="S196" s="4849"/>
      <c r="T196" s="4851"/>
      <c r="U196" s="4850"/>
      <c r="V196" s="4851"/>
      <c r="W196" s="4849"/>
      <c r="X196" s="4851"/>
      <c r="Y196" s="4850"/>
      <c r="Z196" s="4851"/>
      <c r="AA196" s="4850"/>
      <c r="AB196" s="4851"/>
      <c r="AC196" s="4849"/>
      <c r="AD196" s="4851"/>
      <c r="AE196" s="4850"/>
      <c r="AF196" s="4851"/>
      <c r="AG196" s="4849"/>
      <c r="AH196" s="4851"/>
      <c r="AI196" s="4850"/>
      <c r="AJ196" s="4851"/>
      <c r="AK196" s="4849"/>
      <c r="AL196" s="4851"/>
      <c r="AM196" s="4850"/>
      <c r="AN196" s="4851"/>
      <c r="AO196" s="4850"/>
      <c r="AP196" s="4851"/>
      <c r="AQ196" s="4849"/>
      <c r="AR196" s="4851"/>
      <c r="AS196" s="4850"/>
      <c r="AT196" s="4851"/>
      <c r="AU196" s="4849"/>
      <c r="AV196" s="4851"/>
      <c r="AW196" s="4850"/>
      <c r="AX196" s="4851"/>
      <c r="AY196" s="4849"/>
      <c r="AZ196" s="4851"/>
      <c r="BA196" s="4850"/>
      <c r="BB196" s="4851"/>
      <c r="BC196" s="4850"/>
      <c r="BD196" s="4851"/>
      <c r="BE196" s="4850"/>
      <c r="BF196" s="7468"/>
      <c r="BG196" s="7468"/>
      <c r="BH196" s="7468"/>
      <c r="BI196" s="7468"/>
      <c r="BJ196" s="7468"/>
      <c r="BK196" s="7468"/>
      <c r="BL196" s="7468"/>
      <c r="BM196" s="7468"/>
      <c r="BN196" s="7468"/>
      <c r="BO196" s="7468"/>
      <c r="BP196" s="7468"/>
      <c r="BQ196" s="7468"/>
      <c r="BR196" s="7468"/>
      <c r="BS196" s="7468"/>
      <c r="BT196" s="7468"/>
      <c r="BU196" s="7468"/>
      <c r="BV196" s="7468"/>
      <c r="BW196" s="7468"/>
      <c r="BX196" s="7468"/>
      <c r="BY196" s="7468"/>
      <c r="BZ196" s="7468"/>
    </row>
    <row r="197" spans="1:78" s="4179" customFormat="1" ht="16.5" hidden="1" customHeight="1" x14ac:dyDescent="0.2">
      <c r="B197" s="4845" t="s">
        <v>1517</v>
      </c>
      <c r="C197" s="4084" t="s">
        <v>170</v>
      </c>
      <c r="D197" s="8756">
        <v>0</v>
      </c>
      <c r="E197" s="4453">
        <v>0</v>
      </c>
      <c r="F197" s="8756">
        <v>0</v>
      </c>
      <c r="G197" s="4453">
        <v>0</v>
      </c>
      <c r="H197" s="8791">
        <f>+F197+D197</f>
        <v>0</v>
      </c>
      <c r="I197" s="4466">
        <f>+E197+G197</f>
        <v>0</v>
      </c>
      <c r="J197" s="8756">
        <v>0</v>
      </c>
      <c r="K197" s="4453">
        <v>0</v>
      </c>
      <c r="L197" s="8730">
        <f>+J197+H197</f>
        <v>0</v>
      </c>
      <c r="M197" s="4854">
        <f>+I197+K197</f>
        <v>0</v>
      </c>
      <c r="N197" s="8756">
        <v>3099</v>
      </c>
      <c r="O197" s="4453">
        <v>0</v>
      </c>
      <c r="P197" s="8791">
        <f>+N197+L197</f>
        <v>3099</v>
      </c>
      <c r="Q197" s="4466">
        <f>+M197+O197</f>
        <v>0</v>
      </c>
      <c r="R197" s="8756">
        <v>3099</v>
      </c>
      <c r="S197" s="4453">
        <v>0</v>
      </c>
      <c r="T197" s="8791">
        <f>+R197+P197</f>
        <v>6198</v>
      </c>
      <c r="U197" s="4466">
        <f>+Q197+S197</f>
        <v>0</v>
      </c>
      <c r="V197" s="8756">
        <v>4000</v>
      </c>
      <c r="W197" s="4453">
        <v>0</v>
      </c>
      <c r="X197" s="8730">
        <f>N197+R197+V197</f>
        <v>10198</v>
      </c>
      <c r="Y197" s="4854">
        <f>O197+S197+W197</f>
        <v>0</v>
      </c>
      <c r="Z197" s="8711">
        <f>+V197+T197</f>
        <v>10198</v>
      </c>
      <c r="AA197" s="7231">
        <f>+U197+W197</f>
        <v>0</v>
      </c>
      <c r="AB197" s="8756">
        <v>4000</v>
      </c>
      <c r="AC197" s="4453">
        <v>0</v>
      </c>
      <c r="AD197" s="8791">
        <f>+AB197+Z197</f>
        <v>14198</v>
      </c>
      <c r="AE197" s="4466">
        <f>+AA197+AC197</f>
        <v>0</v>
      </c>
      <c r="AF197" s="8756">
        <v>4000</v>
      </c>
      <c r="AG197" s="4453"/>
      <c r="AH197" s="8791">
        <f>+AF197+AD197</f>
        <v>18198</v>
      </c>
      <c r="AI197" s="4466">
        <f>+AE197+AG197</f>
        <v>0</v>
      </c>
      <c r="AJ197" s="8756">
        <v>4000</v>
      </c>
      <c r="AK197" s="4453"/>
      <c r="AL197" s="8730">
        <f>AB197+AF197+AJ197</f>
        <v>12000</v>
      </c>
      <c r="AM197" s="4854">
        <f>AC197+AG197+AK197</f>
        <v>0</v>
      </c>
      <c r="AN197" s="8791">
        <f>+AJ197+AH197</f>
        <v>22198</v>
      </c>
      <c r="AO197" s="4466">
        <f>+AI197+AK197</f>
        <v>0</v>
      </c>
      <c r="AP197" s="8756">
        <v>4000</v>
      </c>
      <c r="AQ197" s="4453"/>
      <c r="AR197" s="8791">
        <f>+AP197+AN197</f>
        <v>26198</v>
      </c>
      <c r="AS197" s="4466">
        <f>+AO197+AQ197</f>
        <v>0</v>
      </c>
      <c r="AT197" s="8756">
        <v>4000</v>
      </c>
      <c r="AU197" s="4453"/>
      <c r="AV197" s="8791">
        <f>+AT197+AR197</f>
        <v>30198</v>
      </c>
      <c r="AW197" s="4466">
        <f>+AS197+AU197</f>
        <v>0</v>
      </c>
      <c r="AX197" s="8756">
        <v>4000</v>
      </c>
      <c r="AY197" s="4453"/>
      <c r="AZ197" s="8730">
        <f>AP197+AT197+AX197</f>
        <v>12000</v>
      </c>
      <c r="BA197" s="4854">
        <f>AQ197+AU197+AY197</f>
        <v>0</v>
      </c>
      <c r="BB197" s="8730"/>
      <c r="BC197" s="4854"/>
      <c r="BD197" s="8711">
        <f>+AX197+AV197</f>
        <v>34198</v>
      </c>
      <c r="BE197" s="7231">
        <f>+AW197+AY197</f>
        <v>0</v>
      </c>
      <c r="BF197" s="7468"/>
      <c r="BG197" s="7468"/>
      <c r="BH197" s="7468"/>
      <c r="BI197" s="7468"/>
      <c r="BJ197" s="7468"/>
      <c r="BK197" s="7468"/>
      <c r="BL197" s="7468"/>
      <c r="BM197" s="7468"/>
      <c r="BN197" s="7468"/>
      <c r="BO197" s="7468"/>
      <c r="BP197" s="7468"/>
      <c r="BQ197" s="7468"/>
      <c r="BR197" s="7468"/>
      <c r="BS197" s="7468"/>
      <c r="BT197" s="7468"/>
      <c r="BU197" s="7468"/>
      <c r="BV197" s="7468"/>
      <c r="BW197" s="7468"/>
      <c r="BX197" s="7468"/>
      <c r="BY197" s="7468"/>
      <c r="BZ197" s="7468"/>
    </row>
    <row r="198" spans="1:78" s="4179" customFormat="1" ht="16.5" hidden="1" customHeight="1" x14ac:dyDescent="0.2">
      <c r="B198" s="4845"/>
      <c r="C198" s="4084" t="s">
        <v>170</v>
      </c>
      <c r="D198" s="8756"/>
      <c r="E198" s="4453">
        <v>0</v>
      </c>
      <c r="F198" s="8756"/>
      <c r="G198" s="4453">
        <v>0</v>
      </c>
      <c r="H198" s="8791"/>
      <c r="I198" s="4466">
        <f>+E198+G198</f>
        <v>0</v>
      </c>
      <c r="J198" s="8756"/>
      <c r="K198" s="4453">
        <v>0</v>
      </c>
      <c r="L198" s="8730"/>
      <c r="M198" s="4854">
        <f>+I198+K198</f>
        <v>0</v>
      </c>
      <c r="N198" s="8756"/>
      <c r="O198" s="4453">
        <v>0</v>
      </c>
      <c r="P198" s="8791"/>
      <c r="Q198" s="4466">
        <f>+M198+O198</f>
        <v>0</v>
      </c>
      <c r="R198" s="8756"/>
      <c r="S198" s="4453">
        <v>0</v>
      </c>
      <c r="T198" s="8791"/>
      <c r="U198" s="4466">
        <f>+Q198+S198</f>
        <v>0</v>
      </c>
      <c r="V198" s="8756"/>
      <c r="W198" s="4453">
        <v>0</v>
      </c>
      <c r="X198" s="8730"/>
      <c r="Y198" s="4854">
        <f>O198+S198+W198</f>
        <v>0</v>
      </c>
      <c r="Z198" s="8711"/>
      <c r="AA198" s="7231">
        <f>+U198+W198</f>
        <v>0</v>
      </c>
      <c r="AB198" s="8756"/>
      <c r="AC198" s="4453">
        <v>0</v>
      </c>
      <c r="AD198" s="8791"/>
      <c r="AE198" s="4466">
        <f>+AA198+AC198</f>
        <v>0</v>
      </c>
      <c r="AF198" s="8756"/>
      <c r="AG198" s="4453"/>
      <c r="AH198" s="8791"/>
      <c r="AI198" s="4466">
        <f>+AE198+AG198</f>
        <v>0</v>
      </c>
      <c r="AJ198" s="8756"/>
      <c r="AK198" s="4453"/>
      <c r="AL198" s="8730"/>
      <c r="AM198" s="4854">
        <f>AC198+AG198+AK198</f>
        <v>0</v>
      </c>
      <c r="AN198" s="8791"/>
      <c r="AO198" s="4466">
        <f>+AI198+AK198</f>
        <v>0</v>
      </c>
      <c r="AP198" s="8756"/>
      <c r="AQ198" s="4453"/>
      <c r="AR198" s="8791"/>
      <c r="AS198" s="4466">
        <f>+AO198+AQ198</f>
        <v>0</v>
      </c>
      <c r="AT198" s="8756"/>
      <c r="AU198" s="4453"/>
      <c r="AV198" s="8791"/>
      <c r="AW198" s="4466">
        <f>+AS198+AU198</f>
        <v>0</v>
      </c>
      <c r="AX198" s="8756"/>
      <c r="AY198" s="4453"/>
      <c r="AZ198" s="8730"/>
      <c r="BA198" s="4854">
        <f>AQ198+AU198+AY198</f>
        <v>0</v>
      </c>
      <c r="BB198" s="8730"/>
      <c r="BC198" s="4854"/>
      <c r="BD198" s="8711"/>
      <c r="BE198" s="7231">
        <f>+AW198+AY198</f>
        <v>0</v>
      </c>
    </row>
    <row r="199" spans="1:78" s="3380" customFormat="1" ht="16.5" hidden="1" customHeight="1" thickBot="1" x14ac:dyDescent="0.25">
      <c r="B199" s="5093" t="s">
        <v>15</v>
      </c>
      <c r="C199" s="5094" t="s">
        <v>170</v>
      </c>
      <c r="D199" s="8757"/>
      <c r="E199" s="4857">
        <f>SUM(E197:E198)</f>
        <v>0</v>
      </c>
      <c r="F199" s="8757"/>
      <c r="G199" s="4857">
        <f>SUM(G197:G198)</f>
        <v>0</v>
      </c>
      <c r="H199" s="8797"/>
      <c r="I199" s="4857">
        <f>SUM(I197:I198)</f>
        <v>0</v>
      </c>
      <c r="J199" s="8757"/>
      <c r="K199" s="4857">
        <f>SUM(K197:K198)</f>
        <v>0</v>
      </c>
      <c r="L199" s="8731"/>
      <c r="M199" s="5752">
        <f>SUM(M197:M198)</f>
        <v>0</v>
      </c>
      <c r="N199" s="8757"/>
      <c r="O199" s="4857">
        <f>SUM(O197:O198)</f>
        <v>0</v>
      </c>
      <c r="P199" s="8797"/>
      <c r="Q199" s="4857">
        <f>SUM(Q197:Q198)</f>
        <v>0</v>
      </c>
      <c r="R199" s="8757"/>
      <c r="S199" s="4857">
        <f>SUM(S197:S198)</f>
        <v>0</v>
      </c>
      <c r="T199" s="8797"/>
      <c r="U199" s="4857">
        <f>SUM(U197:U198)</f>
        <v>0</v>
      </c>
      <c r="V199" s="8757"/>
      <c r="W199" s="4857">
        <f>SUM(W197:W198)</f>
        <v>0</v>
      </c>
      <c r="X199" s="8731"/>
      <c r="Y199" s="5752">
        <f>SUM(Y197:Y198)</f>
        <v>0</v>
      </c>
      <c r="Z199" s="8725"/>
      <c r="AA199" s="7249">
        <f>SUM(AA197:AA198)</f>
        <v>0</v>
      </c>
      <c r="AB199" s="8757"/>
      <c r="AC199" s="4857">
        <f>SUM(AC197:AC198)</f>
        <v>0</v>
      </c>
      <c r="AD199" s="8797"/>
      <c r="AE199" s="4857">
        <f>SUM(AE197:AE198)</f>
        <v>0</v>
      </c>
      <c r="AF199" s="8757"/>
      <c r="AG199" s="4857">
        <f>SUM(AG197:AG198)</f>
        <v>0</v>
      </c>
      <c r="AH199" s="8797"/>
      <c r="AI199" s="4857">
        <f>SUM(AI197:AI198)</f>
        <v>0</v>
      </c>
      <c r="AJ199" s="8757"/>
      <c r="AK199" s="4857">
        <f>SUM(AK197:AK198)</f>
        <v>0</v>
      </c>
      <c r="AL199" s="8731"/>
      <c r="AM199" s="5752">
        <f>SUM(AM197:AM198)</f>
        <v>0</v>
      </c>
      <c r="AN199" s="8797"/>
      <c r="AO199" s="4857">
        <f>SUM(AO197:AO198)</f>
        <v>0</v>
      </c>
      <c r="AP199" s="8757"/>
      <c r="AQ199" s="4857">
        <f>SUM(AQ197:AQ198)</f>
        <v>0</v>
      </c>
      <c r="AR199" s="8797"/>
      <c r="AS199" s="4857">
        <f>SUM(AS197:AS198)</f>
        <v>0</v>
      </c>
      <c r="AT199" s="8757"/>
      <c r="AU199" s="4857">
        <f>SUM(AU197:AU198)</f>
        <v>0</v>
      </c>
      <c r="AV199" s="8797"/>
      <c r="AW199" s="4857">
        <f>SUM(AW197:AW198)</f>
        <v>0</v>
      </c>
      <c r="AX199" s="8757"/>
      <c r="AY199" s="4857">
        <f>SUM(AY197:AY198)</f>
        <v>0</v>
      </c>
      <c r="AZ199" s="8731"/>
      <c r="BA199" s="5752">
        <f>SUM(BA197:BA198)</f>
        <v>0</v>
      </c>
      <c r="BB199" s="8731"/>
      <c r="BC199" s="5752"/>
      <c r="BD199" s="8725"/>
      <c r="BE199" s="7249">
        <f>SUM(BE197:BE198)</f>
        <v>0</v>
      </c>
    </row>
    <row r="200" spans="1:78" s="3380" customFormat="1" ht="20" thickBot="1" x14ac:dyDescent="0.3">
      <c r="B200" s="4881"/>
      <c r="C200" s="4852"/>
      <c r="D200" s="4858"/>
      <c r="E200" s="5162"/>
      <c r="F200" s="4858"/>
      <c r="G200" s="5162"/>
      <c r="H200" s="4851"/>
      <c r="I200" s="5162"/>
      <c r="J200" s="4851"/>
      <c r="K200" s="5162"/>
      <c r="L200" s="4851"/>
      <c r="M200" s="5162"/>
      <c r="N200" s="4851"/>
      <c r="O200" s="5162"/>
      <c r="P200" s="4851"/>
      <c r="Q200" s="5162"/>
      <c r="R200" s="4851"/>
      <c r="S200" s="5162"/>
      <c r="T200" s="4851"/>
      <c r="U200" s="5162"/>
      <c r="V200" s="4851"/>
      <c r="W200" s="5162"/>
      <c r="X200" s="4851"/>
      <c r="Y200" s="5162"/>
      <c r="Z200" s="4851"/>
      <c r="AA200" s="5162"/>
      <c r="AB200" s="4851"/>
      <c r="AC200" s="5162"/>
      <c r="AD200" s="4851"/>
      <c r="AE200" s="5162"/>
      <c r="AF200" s="4851"/>
      <c r="AG200" s="5162"/>
      <c r="AH200" s="4851"/>
      <c r="AI200" s="5162"/>
      <c r="AJ200" s="4851"/>
      <c r="AK200" s="5162"/>
      <c r="AL200" s="4851"/>
      <c r="AM200" s="5162"/>
      <c r="AN200" s="4851"/>
      <c r="AO200" s="5162"/>
      <c r="AP200" s="4851"/>
      <c r="AQ200" s="5162"/>
      <c r="AR200" s="4851"/>
      <c r="AS200" s="5162"/>
      <c r="AT200" s="4851"/>
      <c r="AU200" s="5162"/>
      <c r="AV200" s="4851"/>
      <c r="AW200" s="5162"/>
      <c r="AX200" s="4851"/>
      <c r="AY200" s="5162"/>
      <c r="AZ200" s="4851"/>
      <c r="BA200" s="5162"/>
      <c r="BB200" s="4851"/>
      <c r="BC200" s="5162"/>
      <c r="BD200" s="4851"/>
      <c r="BE200" s="5162"/>
    </row>
    <row r="201" spans="1:78" s="3380" customFormat="1" ht="19" thickBot="1" x14ac:dyDescent="0.25">
      <c r="B201" s="5045" t="s">
        <v>817</v>
      </c>
      <c r="C201" s="5046"/>
      <c r="D201" s="5047"/>
      <c r="E201" s="5048"/>
      <c r="F201" s="5047"/>
      <c r="G201" s="5048"/>
      <c r="H201" s="5762"/>
      <c r="I201" s="5761"/>
      <c r="J201" s="5762"/>
      <c r="K201" s="5048"/>
      <c r="L201" s="5762"/>
      <c r="M201" s="5761"/>
      <c r="N201" s="5762"/>
      <c r="O201" s="5048"/>
      <c r="P201" s="5762"/>
      <c r="Q201" s="5761"/>
      <c r="R201" s="5762"/>
      <c r="S201" s="5048"/>
      <c r="T201" s="5762"/>
      <c r="U201" s="5761"/>
      <c r="V201" s="5762"/>
      <c r="W201" s="5048"/>
      <c r="X201" s="5762"/>
      <c r="Y201" s="5761"/>
      <c r="Z201" s="5762"/>
      <c r="AA201" s="5761"/>
      <c r="AB201" s="5762"/>
      <c r="AC201" s="5048"/>
      <c r="AD201" s="5762"/>
      <c r="AE201" s="5761"/>
      <c r="AF201" s="5762"/>
      <c r="AG201" s="5048"/>
      <c r="AH201" s="5762"/>
      <c r="AI201" s="5048"/>
      <c r="AJ201" s="5762"/>
      <c r="AK201" s="5048"/>
      <c r="AL201" s="5762"/>
      <c r="AM201" s="5761"/>
      <c r="AN201" s="5762"/>
      <c r="AO201" s="5048"/>
      <c r="AP201" s="5762"/>
      <c r="AQ201" s="5048"/>
      <c r="AR201" s="5762"/>
      <c r="AS201" s="5048"/>
      <c r="AT201" s="5762"/>
      <c r="AU201" s="5048"/>
      <c r="AV201" s="5762"/>
      <c r="AW201" s="5048"/>
      <c r="AX201" s="5762"/>
      <c r="AY201" s="5048"/>
      <c r="AZ201" s="5762"/>
      <c r="BA201" s="5761"/>
      <c r="BB201" s="5762"/>
      <c r="BC201" s="5761"/>
      <c r="BD201" s="5762"/>
      <c r="BE201" s="5761"/>
    </row>
    <row r="202" spans="1:78" ht="18.75" customHeight="1" thickBot="1" x14ac:dyDescent="0.25">
      <c r="A202" s="7525"/>
      <c r="B202" s="4882" t="s">
        <v>2083</v>
      </c>
      <c r="C202" s="7535" t="s">
        <v>2616</v>
      </c>
      <c r="D202" s="7679"/>
      <c r="E202" s="4452"/>
      <c r="F202" s="7471"/>
      <c r="G202" s="4452"/>
      <c r="H202" s="7638"/>
      <c r="I202" s="5015">
        <f>+E202+G202</f>
        <v>0</v>
      </c>
      <c r="J202" s="7680"/>
      <c r="K202" s="4452">
        <v>31.56</v>
      </c>
      <c r="L202" s="7637"/>
      <c r="M202" s="6140">
        <f>+I202+K202</f>
        <v>31.56</v>
      </c>
      <c r="N202" s="7680"/>
      <c r="O202" s="4452">
        <v>0</v>
      </c>
      <c r="P202" s="7638"/>
      <c r="Q202" s="5015">
        <f>+M202+O202</f>
        <v>31.56</v>
      </c>
      <c r="R202" s="7680"/>
      <c r="S202" s="4452">
        <v>0</v>
      </c>
      <c r="T202" s="7638"/>
      <c r="U202" s="5015">
        <f>+Q202+S202</f>
        <v>31.56</v>
      </c>
      <c r="V202" s="7680"/>
      <c r="W202" s="4452"/>
      <c r="X202" s="7637"/>
      <c r="Y202" s="6140">
        <f>O202+S202+W202</f>
        <v>0</v>
      </c>
      <c r="Z202" s="7636"/>
      <c r="AA202" s="6960">
        <f>+U202+W202</f>
        <v>31.56</v>
      </c>
      <c r="AB202" s="7680"/>
      <c r="AC202" s="4452">
        <v>0</v>
      </c>
      <c r="AD202" s="7638"/>
      <c r="AE202" s="5015">
        <f>+AA202+AC202</f>
        <v>31.56</v>
      </c>
      <c r="AF202" s="7680"/>
      <c r="AG202" s="4452">
        <v>0</v>
      </c>
      <c r="AH202" s="7638"/>
      <c r="AI202" s="5015">
        <f>+AE202+AG202</f>
        <v>31.56</v>
      </c>
      <c r="AJ202" s="7680"/>
      <c r="AK202" s="4452">
        <v>0</v>
      </c>
      <c r="AL202" s="7713"/>
      <c r="AM202" s="6140">
        <f>AC202+AG202+AK202</f>
        <v>0</v>
      </c>
      <c r="AN202" s="7724"/>
      <c r="AO202" s="5015">
        <f>+AI202+AK202</f>
        <v>31.56</v>
      </c>
      <c r="AP202" s="7680"/>
      <c r="AQ202" s="4452"/>
      <c r="AR202" s="8032"/>
      <c r="AS202" s="5015">
        <f>+AO202+AQ202</f>
        <v>31.56</v>
      </c>
      <c r="AT202" s="7680"/>
      <c r="AU202" s="4452"/>
      <c r="AV202" s="8225"/>
      <c r="AW202" s="5015">
        <f>+AS202+AU202</f>
        <v>31.56</v>
      </c>
      <c r="AX202" s="7680"/>
      <c r="AY202" s="4452">
        <f>849.53-63.08</f>
        <v>786.44999999999993</v>
      </c>
      <c r="AZ202" s="8294"/>
      <c r="BA202" s="6140">
        <f>AQ202+AU202+AY202</f>
        <v>786.44999999999993</v>
      </c>
      <c r="BB202" s="8294">
        <f t="shared" ref="BB202:BB245" si="411">+AZ202+AL202</f>
        <v>0</v>
      </c>
      <c r="BC202" s="6140">
        <f t="shared" ref="BC202:BC245" si="412">+BA202+AM202</f>
        <v>786.44999999999993</v>
      </c>
      <c r="BD202" s="8306"/>
      <c r="BE202" s="6960">
        <f>+AW202+AY202</f>
        <v>818.00999999999988</v>
      </c>
    </row>
    <row r="203" spans="1:78" s="5718" customFormat="1" ht="18.75" customHeight="1" x14ac:dyDescent="0.2">
      <c r="A203" s="7525"/>
      <c r="B203" s="4882" t="s">
        <v>2084</v>
      </c>
      <c r="C203" s="7535" t="s">
        <v>2388</v>
      </c>
      <c r="D203" s="7475"/>
      <c r="E203" s="4452"/>
      <c r="F203" s="7471"/>
      <c r="G203" s="4452"/>
      <c r="H203" s="3105"/>
      <c r="I203" s="4844">
        <f t="shared" ref="I203:I236" si="413">+E203+G203</f>
        <v>0</v>
      </c>
      <c r="J203" s="4859"/>
      <c r="K203" s="4452">
        <v>31.82</v>
      </c>
      <c r="L203" s="4057"/>
      <c r="M203" s="4879">
        <f t="shared" ref="M203:M236" si="414">+I203+K203</f>
        <v>31.82</v>
      </c>
      <c r="N203" s="4859"/>
      <c r="O203" s="4452">
        <v>0</v>
      </c>
      <c r="P203" s="3105"/>
      <c r="Q203" s="4844">
        <f t="shared" ref="Q203:Q236" si="415">+M203+O203</f>
        <v>31.82</v>
      </c>
      <c r="R203" s="4859"/>
      <c r="S203" s="4452">
        <v>0</v>
      </c>
      <c r="T203" s="3105"/>
      <c r="U203" s="4844">
        <f t="shared" ref="U203:U236" si="416">+Q203+S203</f>
        <v>31.82</v>
      </c>
      <c r="V203" s="4859"/>
      <c r="W203" s="4452"/>
      <c r="X203" s="4057"/>
      <c r="Y203" s="4879">
        <f t="shared" ref="Y203:Y236" si="417">O203+S203+W203</f>
        <v>0</v>
      </c>
      <c r="Z203" s="7250"/>
      <c r="AA203" s="6970">
        <f t="shared" ref="AA203:AA236" si="418">+U203+W203</f>
        <v>31.82</v>
      </c>
      <c r="AB203" s="4859"/>
      <c r="AC203" s="4452">
        <v>29.51</v>
      </c>
      <c r="AD203" s="3105"/>
      <c r="AE203" s="4844">
        <f t="shared" ref="AE203:AE237" si="419">+AA203+AC203</f>
        <v>61.33</v>
      </c>
      <c r="AF203" s="4859"/>
      <c r="AG203" s="4452">
        <v>0</v>
      </c>
      <c r="AH203" s="3105"/>
      <c r="AI203" s="5015">
        <f t="shared" ref="AI203:AI236" si="420">+AE203+AG203</f>
        <v>61.33</v>
      </c>
      <c r="AJ203" s="4859"/>
      <c r="AK203" s="4452">
        <v>0</v>
      </c>
      <c r="AL203" s="4057"/>
      <c r="AM203" s="6140">
        <f t="shared" ref="AM203:AM236" si="421">AC203+AG203+AK203</f>
        <v>29.51</v>
      </c>
      <c r="AN203" s="3105"/>
      <c r="AO203" s="5015">
        <f t="shared" ref="AO203:AO236" si="422">+AI203+AK203</f>
        <v>61.33</v>
      </c>
      <c r="AP203" s="4859"/>
      <c r="AQ203" s="4452"/>
      <c r="AR203" s="3105"/>
      <c r="AS203" s="5015">
        <f t="shared" ref="AS203:AS236" si="423">+AO203+AQ203</f>
        <v>61.33</v>
      </c>
      <c r="AT203" s="4859"/>
      <c r="AU203" s="4452"/>
      <c r="AV203" s="3105"/>
      <c r="AW203" s="5015">
        <f t="shared" ref="AW203:AW236" si="424">+AS203+AU203</f>
        <v>61.33</v>
      </c>
      <c r="AX203" s="4859"/>
      <c r="AY203" s="4452">
        <v>59.27</v>
      </c>
      <c r="AZ203" s="4057"/>
      <c r="BA203" s="6140">
        <f t="shared" ref="BA203:BA237" si="425">AQ203+AU203+AY203</f>
        <v>59.27</v>
      </c>
      <c r="BB203" s="4057">
        <f t="shared" si="411"/>
        <v>0</v>
      </c>
      <c r="BC203" s="6140">
        <f t="shared" si="412"/>
        <v>88.78</v>
      </c>
      <c r="BD203" s="7250"/>
      <c r="BE203" s="6960">
        <f t="shared" ref="BE203:BE237" si="426">+AW203+AY203</f>
        <v>120.6</v>
      </c>
    </row>
    <row r="204" spans="1:78" s="8398" customFormat="1" ht="18.75" customHeight="1" x14ac:dyDescent="0.2">
      <c r="B204" s="4882" t="s">
        <v>2617</v>
      </c>
      <c r="C204" s="7535" t="s">
        <v>2618</v>
      </c>
      <c r="D204" s="7475"/>
      <c r="E204" s="4452"/>
      <c r="F204" s="8401"/>
      <c r="G204" s="4452"/>
      <c r="H204" s="8400"/>
      <c r="I204" s="4844"/>
      <c r="J204" s="8416"/>
      <c r="K204" s="4452"/>
      <c r="L204" s="8402"/>
      <c r="M204" s="4879"/>
      <c r="N204" s="8416"/>
      <c r="O204" s="4452"/>
      <c r="P204" s="8400"/>
      <c r="Q204" s="4844"/>
      <c r="R204" s="8416"/>
      <c r="S204" s="4452"/>
      <c r="T204" s="8400"/>
      <c r="U204" s="4844"/>
      <c r="V204" s="8416"/>
      <c r="W204" s="4452"/>
      <c r="X204" s="8402"/>
      <c r="Y204" s="4879"/>
      <c r="Z204" s="8403"/>
      <c r="AA204" s="6970"/>
      <c r="AB204" s="8416"/>
      <c r="AC204" s="4452"/>
      <c r="AD204" s="8400"/>
      <c r="AE204" s="4844"/>
      <c r="AF204" s="8416"/>
      <c r="AG204" s="4452"/>
      <c r="AH204" s="8400"/>
      <c r="AI204" s="5015"/>
      <c r="AJ204" s="8416"/>
      <c r="AK204" s="4452"/>
      <c r="AL204" s="8402"/>
      <c r="AM204" s="6140"/>
      <c r="AN204" s="8400"/>
      <c r="AO204" s="5015"/>
      <c r="AP204" s="8416"/>
      <c r="AQ204" s="4452"/>
      <c r="AR204" s="8400"/>
      <c r="AS204" s="5015"/>
      <c r="AT204" s="8416"/>
      <c r="AU204" s="4452"/>
      <c r="AV204" s="8400"/>
      <c r="AW204" s="5015"/>
      <c r="AX204" s="8416"/>
      <c r="AY204" s="4452">
        <v>829.34</v>
      </c>
      <c r="AZ204" s="8402"/>
      <c r="BA204" s="6140">
        <f t="shared" si="425"/>
        <v>829.34</v>
      </c>
      <c r="BB204" s="8402"/>
      <c r="BC204" s="6140">
        <f t="shared" si="412"/>
        <v>829.34</v>
      </c>
      <c r="BD204" s="8403"/>
      <c r="BE204" s="6960">
        <f t="shared" si="426"/>
        <v>829.34</v>
      </c>
    </row>
    <row r="205" spans="1:78" s="8398" customFormat="1" ht="18.75" customHeight="1" x14ac:dyDescent="0.2">
      <c r="B205" s="4882" t="s">
        <v>2083</v>
      </c>
      <c r="C205" s="7535" t="s">
        <v>2388</v>
      </c>
      <c r="D205" s="7475"/>
      <c r="E205" s="4452"/>
      <c r="F205" s="8401"/>
      <c r="G205" s="4452"/>
      <c r="H205" s="8400"/>
      <c r="I205" s="4844"/>
      <c r="J205" s="8416"/>
      <c r="K205" s="4452"/>
      <c r="L205" s="8402"/>
      <c r="M205" s="4879"/>
      <c r="N205" s="8416"/>
      <c r="O205" s="4452"/>
      <c r="P205" s="8400"/>
      <c r="Q205" s="4844"/>
      <c r="R205" s="8416"/>
      <c r="S205" s="4452"/>
      <c r="T205" s="8400"/>
      <c r="U205" s="4844"/>
      <c r="V205" s="8416"/>
      <c r="W205" s="4452"/>
      <c r="X205" s="8402"/>
      <c r="Y205" s="4879"/>
      <c r="Z205" s="8403"/>
      <c r="AA205" s="6970"/>
      <c r="AB205" s="8416"/>
      <c r="AC205" s="4452"/>
      <c r="AD205" s="8400"/>
      <c r="AE205" s="4844"/>
      <c r="AF205" s="8416"/>
      <c r="AG205" s="4452"/>
      <c r="AH205" s="8400"/>
      <c r="AI205" s="5015"/>
      <c r="AJ205" s="8416"/>
      <c r="AK205" s="4452"/>
      <c r="AL205" s="8402"/>
      <c r="AM205" s="6140"/>
      <c r="AN205" s="8400"/>
      <c r="AO205" s="5015"/>
      <c r="AP205" s="8416"/>
      <c r="AQ205" s="4452"/>
      <c r="AR205" s="8400"/>
      <c r="AS205" s="5015"/>
      <c r="AT205" s="8416"/>
      <c r="AU205" s="4452"/>
      <c r="AV205" s="8400"/>
      <c r="AW205" s="5015"/>
      <c r="AX205" s="8416"/>
      <c r="AY205" s="4452">
        <v>126.16</v>
      </c>
      <c r="AZ205" s="8402"/>
      <c r="BA205" s="6140">
        <f t="shared" si="425"/>
        <v>126.16</v>
      </c>
      <c r="BB205" s="8402"/>
      <c r="BC205" s="6140">
        <f t="shared" si="412"/>
        <v>126.16</v>
      </c>
      <c r="BD205" s="8403"/>
      <c r="BE205" s="6960">
        <f t="shared" si="426"/>
        <v>126.16</v>
      </c>
    </row>
    <row r="206" spans="1:78" ht="18.75" customHeight="1" x14ac:dyDescent="0.2">
      <c r="A206" s="4225"/>
      <c r="B206" s="4860" t="s">
        <v>2372</v>
      </c>
      <c r="C206" s="7535" t="s">
        <v>2389</v>
      </c>
      <c r="D206" s="7524"/>
      <c r="E206" s="4452">
        <v>0</v>
      </c>
      <c r="F206" s="8815"/>
      <c r="G206" s="4452">
        <v>42.64</v>
      </c>
      <c r="H206" s="8789"/>
      <c r="I206" s="4844">
        <f t="shared" si="413"/>
        <v>42.64</v>
      </c>
      <c r="J206" s="8755"/>
      <c r="K206" s="4452">
        <v>0</v>
      </c>
      <c r="L206" s="8713"/>
      <c r="M206" s="4879">
        <f t="shared" si="414"/>
        <v>42.64</v>
      </c>
      <c r="N206" s="8755"/>
      <c r="O206" s="4452">
        <v>99.74</v>
      </c>
      <c r="P206" s="8789"/>
      <c r="Q206" s="4844">
        <f t="shared" si="415"/>
        <v>142.38</v>
      </c>
      <c r="R206" s="8755"/>
      <c r="S206" s="4452">
        <v>0</v>
      </c>
      <c r="T206" s="8789"/>
      <c r="U206" s="4844">
        <f t="shared" si="416"/>
        <v>142.38</v>
      </c>
      <c r="V206" s="8755"/>
      <c r="W206" s="4452">
        <v>65.08</v>
      </c>
      <c r="X206" s="8713"/>
      <c r="Y206" s="4879">
        <f t="shared" si="417"/>
        <v>164.82</v>
      </c>
      <c r="Z206" s="8717"/>
      <c r="AA206" s="6970">
        <f t="shared" si="418"/>
        <v>207.45999999999998</v>
      </c>
      <c r="AB206" s="8755"/>
      <c r="AC206" s="4452">
        <v>0</v>
      </c>
      <c r="AD206" s="8789"/>
      <c r="AE206" s="4844">
        <f t="shared" si="419"/>
        <v>207.45999999999998</v>
      </c>
      <c r="AF206" s="8755"/>
      <c r="AG206" s="4452">
        <v>666.08999999999992</v>
      </c>
      <c r="AH206" s="8789"/>
      <c r="AI206" s="5015">
        <f t="shared" si="420"/>
        <v>873.55</v>
      </c>
      <c r="AJ206" s="8755"/>
      <c r="AK206" s="4452">
        <v>259.54000000000002</v>
      </c>
      <c r="AL206" s="8713"/>
      <c r="AM206" s="6140">
        <f t="shared" si="421"/>
        <v>925.62999999999988</v>
      </c>
      <c r="AN206" s="8789"/>
      <c r="AO206" s="5015">
        <f t="shared" si="422"/>
        <v>1133.0899999999999</v>
      </c>
      <c r="AP206" s="8755"/>
      <c r="AQ206" s="4452">
        <v>19.13</v>
      </c>
      <c r="AR206" s="8789"/>
      <c r="AS206" s="5015">
        <f t="shared" si="423"/>
        <v>1152.22</v>
      </c>
      <c r="AT206" s="8755"/>
      <c r="AU206" s="4452">
        <v>1177.1300000000001</v>
      </c>
      <c r="AV206" s="8789"/>
      <c r="AW206" s="5015">
        <f t="shared" si="424"/>
        <v>2329.3500000000004</v>
      </c>
      <c r="AX206" s="8755"/>
      <c r="AY206" s="4452">
        <v>174.03</v>
      </c>
      <c r="AZ206" s="8713"/>
      <c r="BA206" s="6140">
        <f t="shared" si="425"/>
        <v>1370.2900000000002</v>
      </c>
      <c r="BB206" s="8713">
        <f t="shared" si="411"/>
        <v>0</v>
      </c>
      <c r="BC206" s="6140">
        <f t="shared" si="412"/>
        <v>2295.92</v>
      </c>
      <c r="BD206" s="8717"/>
      <c r="BE206" s="6960">
        <f t="shared" si="426"/>
        <v>2503.3800000000006</v>
      </c>
    </row>
    <row r="207" spans="1:78" s="8398" customFormat="1" ht="18.75" customHeight="1" x14ac:dyDescent="0.2">
      <c r="A207" s="4225"/>
      <c r="B207" s="4860" t="s">
        <v>2372</v>
      </c>
      <c r="C207" s="7535" t="s">
        <v>2614</v>
      </c>
      <c r="D207" s="7524"/>
      <c r="E207" s="4452"/>
      <c r="F207" s="8815"/>
      <c r="G207" s="4452"/>
      <c r="H207" s="8789"/>
      <c r="I207" s="4844"/>
      <c r="J207" s="8755"/>
      <c r="K207" s="4452"/>
      <c r="L207" s="8713"/>
      <c r="M207" s="4879"/>
      <c r="N207" s="8755"/>
      <c r="O207" s="4452"/>
      <c r="P207" s="8789"/>
      <c r="Q207" s="4844"/>
      <c r="R207" s="8755"/>
      <c r="S207" s="4452"/>
      <c r="T207" s="8789"/>
      <c r="U207" s="4844"/>
      <c r="V207" s="8755"/>
      <c r="W207" s="4452"/>
      <c r="X207" s="8713"/>
      <c r="Y207" s="4879"/>
      <c r="Z207" s="8717"/>
      <c r="AA207" s="6970"/>
      <c r="AB207" s="8755"/>
      <c r="AC207" s="4452"/>
      <c r="AD207" s="8789"/>
      <c r="AE207" s="4844"/>
      <c r="AF207" s="8755"/>
      <c r="AG207" s="4452"/>
      <c r="AH207" s="8789"/>
      <c r="AI207" s="5015"/>
      <c r="AJ207" s="8755"/>
      <c r="AK207" s="4452"/>
      <c r="AL207" s="8713"/>
      <c r="AM207" s="6140"/>
      <c r="AN207" s="8789"/>
      <c r="AO207" s="5015"/>
      <c r="AP207" s="8755"/>
      <c r="AQ207" s="4452"/>
      <c r="AR207" s="8789"/>
      <c r="AS207" s="5015"/>
      <c r="AT207" s="8755"/>
      <c r="AU207" s="4452"/>
      <c r="AV207" s="8789"/>
      <c r="AW207" s="5015"/>
      <c r="AX207" s="8755"/>
      <c r="AY207" s="4452">
        <v>62.28</v>
      </c>
      <c r="AZ207" s="8713"/>
      <c r="BA207" s="6140">
        <f t="shared" si="425"/>
        <v>62.28</v>
      </c>
      <c r="BB207" s="8713"/>
      <c r="BC207" s="6140">
        <f t="shared" si="412"/>
        <v>62.28</v>
      </c>
      <c r="BD207" s="8717"/>
      <c r="BE207" s="6960">
        <f t="shared" si="426"/>
        <v>62.28</v>
      </c>
    </row>
    <row r="208" spans="1:78" ht="18.75" customHeight="1" x14ac:dyDescent="0.2">
      <c r="A208" s="4225"/>
      <c r="B208" s="4860" t="s">
        <v>2373</v>
      </c>
      <c r="C208" s="7535" t="s">
        <v>2390</v>
      </c>
      <c r="D208" s="7524"/>
      <c r="E208" s="4452">
        <v>0</v>
      </c>
      <c r="F208" s="8815"/>
      <c r="G208" s="4452">
        <v>97.76</v>
      </c>
      <c r="H208" s="8789"/>
      <c r="I208" s="4844">
        <f t="shared" si="413"/>
        <v>97.76</v>
      </c>
      <c r="J208" s="8755"/>
      <c r="K208" s="4452">
        <v>1695.9</v>
      </c>
      <c r="L208" s="8713"/>
      <c r="M208" s="4879">
        <f t="shared" si="414"/>
        <v>1793.66</v>
      </c>
      <c r="N208" s="8755"/>
      <c r="O208" s="4452">
        <v>1071.56</v>
      </c>
      <c r="P208" s="8789"/>
      <c r="Q208" s="4844">
        <f t="shared" si="415"/>
        <v>2865.2200000000003</v>
      </c>
      <c r="R208" s="8755"/>
      <c r="S208" s="4452">
        <v>163.721</v>
      </c>
      <c r="T208" s="8789"/>
      <c r="U208" s="4844">
        <f t="shared" si="416"/>
        <v>3028.9410000000003</v>
      </c>
      <c r="V208" s="8755"/>
      <c r="W208" s="4452">
        <v>133.96</v>
      </c>
      <c r="X208" s="8713"/>
      <c r="Y208" s="4879">
        <f t="shared" si="417"/>
        <v>1369.241</v>
      </c>
      <c r="Z208" s="8717"/>
      <c r="AA208" s="6970">
        <f t="shared" si="418"/>
        <v>3162.9010000000003</v>
      </c>
      <c r="AB208" s="8755"/>
      <c r="AC208" s="4452">
        <v>2136.5100000000002</v>
      </c>
      <c r="AD208" s="8789"/>
      <c r="AE208" s="4844">
        <f t="shared" si="419"/>
        <v>5299.4110000000001</v>
      </c>
      <c r="AF208" s="8755"/>
      <c r="AG208" s="4452">
        <v>2526.46</v>
      </c>
      <c r="AH208" s="8789"/>
      <c r="AI208" s="5015">
        <f t="shared" si="420"/>
        <v>7825.8710000000001</v>
      </c>
      <c r="AJ208" s="8755"/>
      <c r="AK208" s="4452">
        <v>3424.91</v>
      </c>
      <c r="AL208" s="8713"/>
      <c r="AM208" s="6140">
        <f t="shared" si="421"/>
        <v>8087.88</v>
      </c>
      <c r="AN208" s="8789"/>
      <c r="AO208" s="5015">
        <f t="shared" si="422"/>
        <v>11250.780999999999</v>
      </c>
      <c r="AP208" s="8755"/>
      <c r="AQ208" s="4452">
        <v>2061.3700000000003</v>
      </c>
      <c r="AR208" s="8789"/>
      <c r="AS208" s="5015">
        <f t="shared" si="423"/>
        <v>13312.151</v>
      </c>
      <c r="AT208" s="8755"/>
      <c r="AU208" s="4452">
        <v>3314.54</v>
      </c>
      <c r="AV208" s="8789"/>
      <c r="AW208" s="5015">
        <f t="shared" si="424"/>
        <v>16626.690999999999</v>
      </c>
      <c r="AX208" s="8755"/>
      <c r="AY208" s="4452">
        <v>1883.94</v>
      </c>
      <c r="AZ208" s="8713"/>
      <c r="BA208" s="6140">
        <f t="shared" si="425"/>
        <v>7259.85</v>
      </c>
      <c r="BB208" s="8713">
        <f t="shared" si="411"/>
        <v>0</v>
      </c>
      <c r="BC208" s="6140">
        <f t="shared" si="412"/>
        <v>15347.73</v>
      </c>
      <c r="BD208" s="8717"/>
      <c r="BE208" s="6960">
        <f t="shared" si="426"/>
        <v>18510.630999999998</v>
      </c>
    </row>
    <row r="209" spans="1:57" ht="18.75" customHeight="1" x14ac:dyDescent="0.2">
      <c r="A209" s="4225"/>
      <c r="B209" s="4860" t="s">
        <v>2373</v>
      </c>
      <c r="C209" s="7535" t="s">
        <v>2391</v>
      </c>
      <c r="D209" s="7524"/>
      <c r="E209" s="4452"/>
      <c r="F209" s="8815"/>
      <c r="G209" s="4452"/>
      <c r="H209" s="8789"/>
      <c r="I209" s="4844">
        <f t="shared" si="413"/>
        <v>0</v>
      </c>
      <c r="J209" s="8755"/>
      <c r="K209" s="4452"/>
      <c r="L209" s="8713"/>
      <c r="M209" s="4879">
        <f t="shared" si="414"/>
        <v>0</v>
      </c>
      <c r="N209" s="8755"/>
      <c r="O209" s="4452">
        <v>69.400000000000006</v>
      </c>
      <c r="P209" s="8789"/>
      <c r="Q209" s="4844">
        <f t="shared" si="415"/>
        <v>69.400000000000006</v>
      </c>
      <c r="R209" s="8755"/>
      <c r="S209" s="4452">
        <v>0</v>
      </c>
      <c r="T209" s="8789"/>
      <c r="U209" s="4844">
        <f t="shared" si="416"/>
        <v>69.400000000000006</v>
      </c>
      <c r="V209" s="8755"/>
      <c r="W209" s="4452"/>
      <c r="X209" s="8713"/>
      <c r="Y209" s="4879">
        <f t="shared" si="417"/>
        <v>69.400000000000006</v>
      </c>
      <c r="Z209" s="8717"/>
      <c r="AA209" s="6970">
        <f t="shared" si="418"/>
        <v>69.400000000000006</v>
      </c>
      <c r="AB209" s="8755"/>
      <c r="AC209" s="4452">
        <v>0</v>
      </c>
      <c r="AD209" s="8789"/>
      <c r="AE209" s="4844">
        <f t="shared" si="419"/>
        <v>69.400000000000006</v>
      </c>
      <c r="AF209" s="8755"/>
      <c r="AG209" s="4452">
        <v>0</v>
      </c>
      <c r="AH209" s="8789"/>
      <c r="AI209" s="5015">
        <f t="shared" si="420"/>
        <v>69.400000000000006</v>
      </c>
      <c r="AJ209" s="8755"/>
      <c r="AK209" s="4452">
        <v>120.9</v>
      </c>
      <c r="AL209" s="8713"/>
      <c r="AM209" s="6140">
        <f t="shared" si="421"/>
        <v>120.9</v>
      </c>
      <c r="AN209" s="8789"/>
      <c r="AO209" s="5015">
        <f t="shared" si="422"/>
        <v>190.3</v>
      </c>
      <c r="AP209" s="8755"/>
      <c r="AQ209" s="4452"/>
      <c r="AR209" s="8789"/>
      <c r="AS209" s="5015">
        <f t="shared" si="423"/>
        <v>190.3</v>
      </c>
      <c r="AT209" s="8755"/>
      <c r="AU209" s="4452"/>
      <c r="AV209" s="8789"/>
      <c r="AW209" s="5015">
        <f t="shared" si="424"/>
        <v>190.3</v>
      </c>
      <c r="AX209" s="8755"/>
      <c r="AY209" s="4452"/>
      <c r="AZ209" s="8713"/>
      <c r="BA209" s="6140">
        <f t="shared" si="425"/>
        <v>0</v>
      </c>
      <c r="BB209" s="8713">
        <f t="shared" si="411"/>
        <v>0</v>
      </c>
      <c r="BC209" s="6140">
        <f t="shared" si="412"/>
        <v>120.9</v>
      </c>
      <c r="BD209" s="8717"/>
      <c r="BE209" s="6960">
        <f t="shared" si="426"/>
        <v>190.3</v>
      </c>
    </row>
    <row r="210" spans="1:57" ht="18.75" customHeight="1" x14ac:dyDescent="0.2">
      <c r="A210" s="4225"/>
      <c r="B210" s="5067" t="s">
        <v>2374</v>
      </c>
      <c r="C210" s="7535" t="s">
        <v>2392</v>
      </c>
      <c r="D210" s="7524"/>
      <c r="E210" s="4452"/>
      <c r="F210" s="8817"/>
      <c r="G210" s="4452"/>
      <c r="H210" s="8790"/>
      <c r="I210" s="4844">
        <f t="shared" si="413"/>
        <v>0</v>
      </c>
      <c r="J210" s="8776"/>
      <c r="K210" s="4452">
        <v>12.76</v>
      </c>
      <c r="L210" s="8729"/>
      <c r="M210" s="4879">
        <f t="shared" si="414"/>
        <v>12.76</v>
      </c>
      <c r="N210" s="8776"/>
      <c r="O210" s="4452">
        <v>0</v>
      </c>
      <c r="P210" s="8790"/>
      <c r="Q210" s="4844">
        <f t="shared" si="415"/>
        <v>12.76</v>
      </c>
      <c r="R210" s="8776"/>
      <c r="S210" s="4452">
        <v>0</v>
      </c>
      <c r="T210" s="8790"/>
      <c r="U210" s="4844">
        <f t="shared" si="416"/>
        <v>12.76</v>
      </c>
      <c r="V210" s="8776"/>
      <c r="W210" s="4452">
        <v>19.809999999999999</v>
      </c>
      <c r="X210" s="8729"/>
      <c r="Y210" s="4879">
        <f t="shared" si="417"/>
        <v>19.809999999999999</v>
      </c>
      <c r="Z210" s="8726"/>
      <c r="AA210" s="6970">
        <f t="shared" si="418"/>
        <v>32.57</v>
      </c>
      <c r="AB210" s="8776"/>
      <c r="AC210" s="4452">
        <v>0</v>
      </c>
      <c r="AD210" s="8790"/>
      <c r="AE210" s="4844">
        <f t="shared" si="419"/>
        <v>32.57</v>
      </c>
      <c r="AF210" s="8776"/>
      <c r="AG210" s="4452">
        <v>896.49</v>
      </c>
      <c r="AH210" s="8790"/>
      <c r="AI210" s="5015">
        <f t="shared" si="420"/>
        <v>929.06000000000006</v>
      </c>
      <c r="AJ210" s="8776"/>
      <c r="AK210" s="4452">
        <v>132.92000000000002</v>
      </c>
      <c r="AL210" s="8729"/>
      <c r="AM210" s="6140">
        <f t="shared" si="421"/>
        <v>1029.4100000000001</v>
      </c>
      <c r="AN210" s="8790"/>
      <c r="AO210" s="5015">
        <f t="shared" si="422"/>
        <v>1061.98</v>
      </c>
      <c r="AP210" s="8776"/>
      <c r="AQ210" s="4452">
        <v>31.74</v>
      </c>
      <c r="AR210" s="8790"/>
      <c r="AS210" s="5015">
        <f t="shared" si="423"/>
        <v>1093.72</v>
      </c>
      <c r="AT210" s="8776"/>
      <c r="AU210" s="4452">
        <v>136.19999999999999</v>
      </c>
      <c r="AV210" s="8790"/>
      <c r="AW210" s="5015">
        <f t="shared" si="424"/>
        <v>1229.92</v>
      </c>
      <c r="AX210" s="8776"/>
      <c r="AY210" s="4452">
        <v>63.4</v>
      </c>
      <c r="AZ210" s="8729"/>
      <c r="BA210" s="6140">
        <f t="shared" si="425"/>
        <v>231.34</v>
      </c>
      <c r="BB210" s="8729">
        <f t="shared" si="411"/>
        <v>0</v>
      </c>
      <c r="BC210" s="6140">
        <f t="shared" si="412"/>
        <v>1260.75</v>
      </c>
      <c r="BD210" s="8726"/>
      <c r="BE210" s="6960">
        <f t="shared" si="426"/>
        <v>1293.3200000000002</v>
      </c>
    </row>
    <row r="211" spans="1:57" ht="18.75" customHeight="1" x14ac:dyDescent="0.2">
      <c r="A211" s="4225"/>
      <c r="B211" s="5066" t="s">
        <v>2375</v>
      </c>
      <c r="C211" s="7535" t="s">
        <v>2393</v>
      </c>
      <c r="D211" s="7475"/>
      <c r="E211" s="4452"/>
      <c r="F211" s="7476"/>
      <c r="G211" s="4452"/>
      <c r="H211" s="7140"/>
      <c r="I211" s="4844">
        <f t="shared" si="413"/>
        <v>0</v>
      </c>
      <c r="J211" s="7138"/>
      <c r="K211" s="4452"/>
      <c r="L211" s="7147"/>
      <c r="M211" s="4879">
        <f t="shared" si="414"/>
        <v>0</v>
      </c>
      <c r="N211" s="7138"/>
      <c r="O211" s="4452">
        <v>6.39</v>
      </c>
      <c r="P211" s="7140"/>
      <c r="Q211" s="4844">
        <f t="shared" si="415"/>
        <v>6.39</v>
      </c>
      <c r="R211" s="7138"/>
      <c r="S211" s="4452">
        <v>0</v>
      </c>
      <c r="T211" s="7140"/>
      <c r="U211" s="4844">
        <f t="shared" si="416"/>
        <v>6.39</v>
      </c>
      <c r="V211" s="7138"/>
      <c r="W211" s="4452">
        <v>43.33</v>
      </c>
      <c r="X211" s="7147"/>
      <c r="Y211" s="4879">
        <f t="shared" si="417"/>
        <v>49.72</v>
      </c>
      <c r="Z211" s="7160"/>
      <c r="AA211" s="6970">
        <f t="shared" si="418"/>
        <v>49.72</v>
      </c>
      <c r="AB211" s="7305"/>
      <c r="AC211" s="4452">
        <v>1327.3</v>
      </c>
      <c r="AD211" s="7299"/>
      <c r="AE211" s="4844">
        <f t="shared" si="419"/>
        <v>1377.02</v>
      </c>
      <c r="AF211" s="7570"/>
      <c r="AG211" s="4452">
        <v>3199.57</v>
      </c>
      <c r="AH211" s="7569"/>
      <c r="AI211" s="5015">
        <f t="shared" si="420"/>
        <v>4576.59</v>
      </c>
      <c r="AJ211" s="7711"/>
      <c r="AK211" s="4452">
        <v>95.19</v>
      </c>
      <c r="AL211" s="7713"/>
      <c r="AM211" s="6140">
        <f t="shared" si="421"/>
        <v>4622.0599999999995</v>
      </c>
      <c r="AN211" s="7724"/>
      <c r="AO211" s="5015">
        <f t="shared" si="422"/>
        <v>4671.78</v>
      </c>
      <c r="AP211" s="8033"/>
      <c r="AQ211" s="4452"/>
      <c r="AR211" s="8032"/>
      <c r="AS211" s="5015">
        <f t="shared" si="423"/>
        <v>4671.78</v>
      </c>
      <c r="AT211" s="8223"/>
      <c r="AU211" s="4452">
        <v>1103.8</v>
      </c>
      <c r="AV211" s="8225"/>
      <c r="AW211" s="5015">
        <f t="shared" si="424"/>
        <v>5775.58</v>
      </c>
      <c r="AX211" s="8288"/>
      <c r="AY211" s="4452">
        <v>566.78</v>
      </c>
      <c r="AZ211" s="8294"/>
      <c r="BA211" s="6140">
        <f t="shared" si="425"/>
        <v>1670.58</v>
      </c>
      <c r="BB211" s="8294">
        <f t="shared" si="411"/>
        <v>0</v>
      </c>
      <c r="BC211" s="6140">
        <f t="shared" si="412"/>
        <v>6292.6399999999994</v>
      </c>
      <c r="BD211" s="8306"/>
      <c r="BE211" s="6960">
        <f t="shared" si="426"/>
        <v>6342.36</v>
      </c>
    </row>
    <row r="212" spans="1:57" ht="18" x14ac:dyDescent="0.2">
      <c r="A212" s="4225"/>
      <c r="B212" s="4860" t="s">
        <v>2376</v>
      </c>
      <c r="C212" s="7535" t="s">
        <v>2394</v>
      </c>
      <c r="D212" s="7524"/>
      <c r="E212" s="4452">
        <v>431.12</v>
      </c>
      <c r="F212" s="8816"/>
      <c r="G212" s="4452">
        <v>160.99</v>
      </c>
      <c r="H212" s="8787"/>
      <c r="I212" s="4844">
        <f t="shared" si="413"/>
        <v>592.11</v>
      </c>
      <c r="J212" s="8777"/>
      <c r="K212" s="4452">
        <v>0</v>
      </c>
      <c r="L212" s="8732"/>
      <c r="M212" s="4879">
        <f t="shared" si="414"/>
        <v>592.11</v>
      </c>
      <c r="N212" s="8777"/>
      <c r="O212" s="4452">
        <v>0</v>
      </c>
      <c r="P212" s="8787"/>
      <c r="Q212" s="4844">
        <f t="shared" si="415"/>
        <v>592.11</v>
      </c>
      <c r="R212" s="8777"/>
      <c r="S212" s="4452">
        <v>0</v>
      </c>
      <c r="T212" s="8787"/>
      <c r="U212" s="4844">
        <f t="shared" si="416"/>
        <v>592.11</v>
      </c>
      <c r="V212" s="8777"/>
      <c r="W212" s="4452"/>
      <c r="X212" s="8732"/>
      <c r="Y212" s="4879">
        <f t="shared" si="417"/>
        <v>0</v>
      </c>
      <c r="Z212" s="8727"/>
      <c r="AA212" s="6970">
        <f t="shared" si="418"/>
        <v>592.11</v>
      </c>
      <c r="AB212" s="8777"/>
      <c r="AC212" s="4452">
        <v>5356.25</v>
      </c>
      <c r="AD212" s="8787"/>
      <c r="AE212" s="4844">
        <f t="shared" si="419"/>
        <v>5948.36</v>
      </c>
      <c r="AF212" s="8777"/>
      <c r="AG212" s="4452">
        <v>3436.1899999999996</v>
      </c>
      <c r="AH212" s="8787"/>
      <c r="AI212" s="5015">
        <f t="shared" si="420"/>
        <v>9384.5499999999993</v>
      </c>
      <c r="AJ212" s="8777"/>
      <c r="AK212" s="4452">
        <v>1794.59</v>
      </c>
      <c r="AL212" s="8732"/>
      <c r="AM212" s="6140">
        <f t="shared" si="421"/>
        <v>10587.029999999999</v>
      </c>
      <c r="AN212" s="8787"/>
      <c r="AO212" s="5015">
        <f t="shared" si="422"/>
        <v>11179.14</v>
      </c>
      <c r="AP212" s="8777"/>
      <c r="AQ212" s="4452">
        <v>4664.670000000001</v>
      </c>
      <c r="AR212" s="8787"/>
      <c r="AS212" s="5015">
        <f t="shared" si="423"/>
        <v>15843.810000000001</v>
      </c>
      <c r="AT212" s="8777"/>
      <c r="AU212" s="4452">
        <v>3703.01</v>
      </c>
      <c r="AV212" s="8787"/>
      <c r="AW212" s="5015">
        <f t="shared" si="424"/>
        <v>19546.82</v>
      </c>
      <c r="AX212" s="8777"/>
      <c r="AY212" s="4452">
        <v>2386.89</v>
      </c>
      <c r="AZ212" s="8732"/>
      <c r="BA212" s="6140">
        <f t="shared" si="425"/>
        <v>10754.57</v>
      </c>
      <c r="BB212" s="8732">
        <f t="shared" si="411"/>
        <v>0</v>
      </c>
      <c r="BC212" s="6140">
        <f t="shared" si="412"/>
        <v>21341.599999999999</v>
      </c>
      <c r="BD212" s="8727"/>
      <c r="BE212" s="6960">
        <f t="shared" si="426"/>
        <v>21933.71</v>
      </c>
    </row>
    <row r="213" spans="1:57" s="8398" customFormat="1" ht="18" x14ac:dyDescent="0.2">
      <c r="A213" s="4225"/>
      <c r="B213" s="4860" t="s">
        <v>2376</v>
      </c>
      <c r="C213" s="7535" t="s">
        <v>2615</v>
      </c>
      <c r="D213" s="7524"/>
      <c r="E213" s="4452"/>
      <c r="F213" s="8815"/>
      <c r="G213" s="4452"/>
      <c r="H213" s="8787"/>
      <c r="I213" s="4844"/>
      <c r="J213" s="8755"/>
      <c r="K213" s="4452"/>
      <c r="L213" s="8732"/>
      <c r="M213" s="4879"/>
      <c r="N213" s="8755"/>
      <c r="O213" s="4452"/>
      <c r="P213" s="8787"/>
      <c r="Q213" s="4844"/>
      <c r="R213" s="8755"/>
      <c r="S213" s="4452"/>
      <c r="T213" s="8787"/>
      <c r="U213" s="4844"/>
      <c r="V213" s="8755"/>
      <c r="W213" s="4452"/>
      <c r="X213" s="8732"/>
      <c r="Y213" s="4879"/>
      <c r="Z213" s="8727"/>
      <c r="AA213" s="6970"/>
      <c r="AB213" s="8755"/>
      <c r="AC213" s="4452"/>
      <c r="AD213" s="8787"/>
      <c r="AE213" s="4844"/>
      <c r="AF213" s="8755"/>
      <c r="AG213" s="4452"/>
      <c r="AH213" s="8787"/>
      <c r="AI213" s="5015"/>
      <c r="AJ213" s="8755"/>
      <c r="AK213" s="4452"/>
      <c r="AL213" s="8732"/>
      <c r="AM213" s="6140"/>
      <c r="AN213" s="8787"/>
      <c r="AO213" s="5015"/>
      <c r="AP213" s="8755"/>
      <c r="AQ213" s="4452"/>
      <c r="AR213" s="8787"/>
      <c r="AS213" s="5015"/>
      <c r="AT213" s="8755"/>
      <c r="AU213" s="4452"/>
      <c r="AV213" s="8787"/>
      <c r="AW213" s="5015"/>
      <c r="AX213" s="8755"/>
      <c r="AY213" s="4452">
        <v>63.36</v>
      </c>
      <c r="AZ213" s="8732"/>
      <c r="BA213" s="6140">
        <f t="shared" si="425"/>
        <v>63.36</v>
      </c>
      <c r="BB213" s="8732"/>
      <c r="BC213" s="6140">
        <f t="shared" si="412"/>
        <v>63.36</v>
      </c>
      <c r="BD213" s="8727"/>
      <c r="BE213" s="6960">
        <f t="shared" si="426"/>
        <v>63.36</v>
      </c>
    </row>
    <row r="214" spans="1:57" ht="18.75" customHeight="1" x14ac:dyDescent="0.2">
      <c r="A214" s="4225"/>
      <c r="B214" s="4860" t="s">
        <v>2376</v>
      </c>
      <c r="C214" s="7535" t="s">
        <v>2395</v>
      </c>
      <c r="D214" s="7524"/>
      <c r="E214" s="4452"/>
      <c r="F214" s="8815"/>
      <c r="G214" s="4452"/>
      <c r="H214" s="8787"/>
      <c r="I214" s="4844">
        <f t="shared" si="413"/>
        <v>0</v>
      </c>
      <c r="J214" s="8755"/>
      <c r="K214" s="4452"/>
      <c r="L214" s="8732"/>
      <c r="M214" s="4879">
        <f t="shared" si="414"/>
        <v>0</v>
      </c>
      <c r="N214" s="8755"/>
      <c r="O214" s="4452">
        <v>68.650000000000006</v>
      </c>
      <c r="P214" s="8787"/>
      <c r="Q214" s="4844">
        <f t="shared" si="415"/>
        <v>68.650000000000006</v>
      </c>
      <c r="R214" s="8755"/>
      <c r="S214" s="4452">
        <v>0</v>
      </c>
      <c r="T214" s="8787"/>
      <c r="U214" s="4844">
        <f t="shared" si="416"/>
        <v>68.650000000000006</v>
      </c>
      <c r="V214" s="8755"/>
      <c r="W214" s="4452"/>
      <c r="X214" s="8732"/>
      <c r="Y214" s="4879">
        <f t="shared" si="417"/>
        <v>68.650000000000006</v>
      </c>
      <c r="Z214" s="8727"/>
      <c r="AA214" s="6970">
        <f t="shared" si="418"/>
        <v>68.650000000000006</v>
      </c>
      <c r="AB214" s="8755"/>
      <c r="AC214" s="4452">
        <v>345.65999999999997</v>
      </c>
      <c r="AD214" s="8787"/>
      <c r="AE214" s="4844">
        <f t="shared" si="419"/>
        <v>414.30999999999995</v>
      </c>
      <c r="AF214" s="8755"/>
      <c r="AG214" s="4452">
        <v>148.64999999999998</v>
      </c>
      <c r="AH214" s="8787"/>
      <c r="AI214" s="5015">
        <f t="shared" si="420"/>
        <v>562.95999999999992</v>
      </c>
      <c r="AJ214" s="8755"/>
      <c r="AK214" s="4452">
        <v>124.02000000000001</v>
      </c>
      <c r="AL214" s="8732"/>
      <c r="AM214" s="6140">
        <f t="shared" si="421"/>
        <v>618.32999999999993</v>
      </c>
      <c r="AN214" s="8787"/>
      <c r="AO214" s="5015">
        <f t="shared" si="422"/>
        <v>686.9799999999999</v>
      </c>
      <c r="AP214" s="8755"/>
      <c r="AQ214" s="4452"/>
      <c r="AR214" s="8787"/>
      <c r="AS214" s="5015">
        <f t="shared" si="423"/>
        <v>686.9799999999999</v>
      </c>
      <c r="AT214" s="8755"/>
      <c r="AU214" s="4452"/>
      <c r="AV214" s="8787"/>
      <c r="AW214" s="5015">
        <f t="shared" si="424"/>
        <v>686.9799999999999</v>
      </c>
      <c r="AX214" s="8755"/>
      <c r="AY214" s="4452">
        <v>126.1</v>
      </c>
      <c r="AZ214" s="8732"/>
      <c r="BA214" s="6140">
        <f t="shared" si="425"/>
        <v>126.1</v>
      </c>
      <c r="BB214" s="8732">
        <f t="shared" si="411"/>
        <v>0</v>
      </c>
      <c r="BC214" s="6140">
        <f t="shared" si="412"/>
        <v>744.43</v>
      </c>
      <c r="BD214" s="8727"/>
      <c r="BE214" s="6960">
        <f t="shared" si="426"/>
        <v>813.07999999999993</v>
      </c>
    </row>
    <row r="215" spans="1:57" ht="18.75" customHeight="1" x14ac:dyDescent="0.2">
      <c r="A215" s="4225"/>
      <c r="B215" s="4860" t="s">
        <v>2377</v>
      </c>
      <c r="C215" s="7535" t="s">
        <v>2396</v>
      </c>
      <c r="D215" s="7524"/>
      <c r="E215" s="4452">
        <v>0</v>
      </c>
      <c r="F215" s="8817"/>
      <c r="G215" s="4452">
        <v>866.50000000000011</v>
      </c>
      <c r="H215" s="8787"/>
      <c r="I215" s="4844">
        <f t="shared" si="413"/>
        <v>866.50000000000011</v>
      </c>
      <c r="J215" s="8776"/>
      <c r="K215" s="4452">
        <v>1090.3109999999999</v>
      </c>
      <c r="L215" s="8732"/>
      <c r="M215" s="4879">
        <f t="shared" si="414"/>
        <v>1956.8110000000001</v>
      </c>
      <c r="N215" s="8776"/>
      <c r="O215" s="4452">
        <v>79.039999999999992</v>
      </c>
      <c r="P215" s="8787"/>
      <c r="Q215" s="4844">
        <f t="shared" si="415"/>
        <v>2035.8510000000001</v>
      </c>
      <c r="R215" s="8776"/>
      <c r="S215" s="4452">
        <v>0</v>
      </c>
      <c r="T215" s="8787"/>
      <c r="U215" s="4844">
        <f t="shared" si="416"/>
        <v>2035.8510000000001</v>
      </c>
      <c r="V215" s="8776"/>
      <c r="W215" s="4452"/>
      <c r="X215" s="8732"/>
      <c r="Y215" s="4879">
        <f t="shared" si="417"/>
        <v>79.039999999999992</v>
      </c>
      <c r="Z215" s="8727"/>
      <c r="AA215" s="6970">
        <f t="shared" si="418"/>
        <v>2035.8510000000001</v>
      </c>
      <c r="AB215" s="8776"/>
      <c r="AC215" s="4452">
        <v>0</v>
      </c>
      <c r="AD215" s="8787"/>
      <c r="AE215" s="4844">
        <f t="shared" si="419"/>
        <v>2035.8510000000001</v>
      </c>
      <c r="AF215" s="8776"/>
      <c r="AG215" s="4452">
        <v>0</v>
      </c>
      <c r="AH215" s="8787"/>
      <c r="AI215" s="5015">
        <f t="shared" si="420"/>
        <v>2035.8510000000001</v>
      </c>
      <c r="AJ215" s="8776"/>
      <c r="AK215" s="4452">
        <v>3698.73</v>
      </c>
      <c r="AL215" s="8732"/>
      <c r="AM215" s="6140">
        <f t="shared" si="421"/>
        <v>3698.73</v>
      </c>
      <c r="AN215" s="8787"/>
      <c r="AO215" s="5015">
        <f t="shared" si="422"/>
        <v>5734.5810000000001</v>
      </c>
      <c r="AP215" s="8776"/>
      <c r="AQ215" s="4452">
        <v>39.92</v>
      </c>
      <c r="AR215" s="8787"/>
      <c r="AS215" s="5015">
        <f t="shared" si="423"/>
        <v>5774.5010000000002</v>
      </c>
      <c r="AT215" s="8776"/>
      <c r="AU215" s="4452">
        <v>2055.54</v>
      </c>
      <c r="AV215" s="8787"/>
      <c r="AW215" s="5015">
        <f t="shared" si="424"/>
        <v>7830.0410000000002</v>
      </c>
      <c r="AX215" s="8776"/>
      <c r="AY215" s="4452">
        <v>274.23</v>
      </c>
      <c r="AZ215" s="8732"/>
      <c r="BA215" s="6140">
        <f t="shared" si="425"/>
        <v>2369.69</v>
      </c>
      <c r="BB215" s="8732">
        <f t="shared" si="411"/>
        <v>0</v>
      </c>
      <c r="BC215" s="6140">
        <f t="shared" si="412"/>
        <v>6068.42</v>
      </c>
      <c r="BD215" s="8727"/>
      <c r="BE215" s="6960">
        <f t="shared" si="426"/>
        <v>8104.2710000000006</v>
      </c>
    </row>
    <row r="216" spans="1:57" ht="18.75" customHeight="1" x14ac:dyDescent="0.2">
      <c r="A216" s="4225"/>
      <c r="B216" s="4860" t="s">
        <v>2377</v>
      </c>
      <c r="C216" s="7535" t="s">
        <v>2397</v>
      </c>
      <c r="D216" s="7524"/>
      <c r="E216" s="4452">
        <v>0</v>
      </c>
      <c r="F216" s="8816"/>
      <c r="G216" s="4452">
        <v>99.210000000000008</v>
      </c>
      <c r="H216" s="8789"/>
      <c r="I216" s="4844">
        <f t="shared" si="413"/>
        <v>99.210000000000008</v>
      </c>
      <c r="J216" s="8777"/>
      <c r="K216" s="4452">
        <v>0</v>
      </c>
      <c r="L216" s="8713"/>
      <c r="M216" s="4879">
        <f t="shared" si="414"/>
        <v>99.210000000000008</v>
      </c>
      <c r="N216" s="8777"/>
      <c r="O216" s="4452">
        <v>0</v>
      </c>
      <c r="P216" s="8789"/>
      <c r="Q216" s="4844">
        <f t="shared" si="415"/>
        <v>99.210000000000008</v>
      </c>
      <c r="R216" s="8777"/>
      <c r="S216" s="4452">
        <v>34.229999999999997</v>
      </c>
      <c r="T216" s="8789"/>
      <c r="U216" s="4844">
        <f t="shared" si="416"/>
        <v>133.44</v>
      </c>
      <c r="V216" s="8777"/>
      <c r="W216" s="4452"/>
      <c r="X216" s="8713"/>
      <c r="Y216" s="4879">
        <f t="shared" si="417"/>
        <v>34.229999999999997</v>
      </c>
      <c r="Z216" s="8717"/>
      <c r="AA216" s="6970">
        <f t="shared" si="418"/>
        <v>133.44</v>
      </c>
      <c r="AB216" s="8777"/>
      <c r="AC216" s="4452">
        <v>0</v>
      </c>
      <c r="AD216" s="8789"/>
      <c r="AE216" s="4844">
        <f t="shared" si="419"/>
        <v>133.44</v>
      </c>
      <c r="AF216" s="8777"/>
      <c r="AG216" s="4452">
        <v>0</v>
      </c>
      <c r="AH216" s="8789"/>
      <c r="AI216" s="5015">
        <f t="shared" si="420"/>
        <v>133.44</v>
      </c>
      <c r="AJ216" s="8777"/>
      <c r="AK216" s="4452">
        <v>0</v>
      </c>
      <c r="AL216" s="8713"/>
      <c r="AM216" s="6140">
        <f t="shared" si="421"/>
        <v>0</v>
      </c>
      <c r="AN216" s="8789"/>
      <c r="AO216" s="5015">
        <f t="shared" si="422"/>
        <v>133.44</v>
      </c>
      <c r="AP216" s="8777"/>
      <c r="AQ216" s="4452"/>
      <c r="AR216" s="8789"/>
      <c r="AS216" s="5015">
        <f t="shared" si="423"/>
        <v>133.44</v>
      </c>
      <c r="AT216" s="8777"/>
      <c r="AU216" s="4452"/>
      <c r="AV216" s="8789"/>
      <c r="AW216" s="5015">
        <f t="shared" si="424"/>
        <v>133.44</v>
      </c>
      <c r="AX216" s="8777"/>
      <c r="AY216" s="4452"/>
      <c r="AZ216" s="8713"/>
      <c r="BA216" s="6140">
        <f t="shared" si="425"/>
        <v>0</v>
      </c>
      <c r="BB216" s="8713">
        <f t="shared" si="411"/>
        <v>0</v>
      </c>
      <c r="BC216" s="6140">
        <f t="shared" si="412"/>
        <v>0</v>
      </c>
      <c r="BD216" s="8717"/>
      <c r="BE216" s="6960">
        <f t="shared" si="426"/>
        <v>133.44</v>
      </c>
    </row>
    <row r="217" spans="1:57" ht="18" x14ac:dyDescent="0.2">
      <c r="A217" s="4225"/>
      <c r="B217" s="4860" t="s">
        <v>2378</v>
      </c>
      <c r="C217" s="7535" t="s">
        <v>2398</v>
      </c>
      <c r="D217" s="7524"/>
      <c r="E217" s="4452">
        <v>62.96</v>
      </c>
      <c r="F217" s="8815"/>
      <c r="G217" s="4452">
        <v>381.16</v>
      </c>
      <c r="H217" s="8789"/>
      <c r="I217" s="4844">
        <f t="shared" si="413"/>
        <v>444.12</v>
      </c>
      <c r="J217" s="8755"/>
      <c r="K217" s="4452">
        <v>95.89</v>
      </c>
      <c r="L217" s="8713"/>
      <c r="M217" s="4879">
        <f t="shared" si="414"/>
        <v>540.01</v>
      </c>
      <c r="N217" s="8755"/>
      <c r="O217" s="4452">
        <v>257.96000000000004</v>
      </c>
      <c r="P217" s="8789"/>
      <c r="Q217" s="4844">
        <f t="shared" si="415"/>
        <v>797.97</v>
      </c>
      <c r="R217" s="8755"/>
      <c r="S217" s="4452">
        <v>33.69</v>
      </c>
      <c r="T217" s="8789"/>
      <c r="U217" s="4844">
        <f t="shared" si="416"/>
        <v>831.66000000000008</v>
      </c>
      <c r="V217" s="8755"/>
      <c r="W217" s="4452">
        <v>64.94</v>
      </c>
      <c r="X217" s="8713"/>
      <c r="Y217" s="4879">
        <f t="shared" si="417"/>
        <v>356.59000000000003</v>
      </c>
      <c r="Z217" s="8717"/>
      <c r="AA217" s="6970">
        <f t="shared" si="418"/>
        <v>896.60000000000014</v>
      </c>
      <c r="AB217" s="8755"/>
      <c r="AC217" s="4452">
        <v>61.429999999999993</v>
      </c>
      <c r="AD217" s="8789"/>
      <c r="AE217" s="4844">
        <f t="shared" si="419"/>
        <v>958.03000000000009</v>
      </c>
      <c r="AF217" s="8755"/>
      <c r="AG217" s="4452">
        <v>34.83</v>
      </c>
      <c r="AH217" s="8789"/>
      <c r="AI217" s="5015">
        <f t="shared" si="420"/>
        <v>992.86000000000013</v>
      </c>
      <c r="AJ217" s="8755"/>
      <c r="AK217" s="4452">
        <v>0</v>
      </c>
      <c r="AL217" s="8713"/>
      <c r="AM217" s="6140">
        <f t="shared" si="421"/>
        <v>96.259999999999991</v>
      </c>
      <c r="AN217" s="8789"/>
      <c r="AO217" s="5015">
        <f t="shared" si="422"/>
        <v>992.86000000000013</v>
      </c>
      <c r="AP217" s="8755"/>
      <c r="AQ217" s="4452"/>
      <c r="AR217" s="8789"/>
      <c r="AS217" s="5015">
        <f t="shared" si="423"/>
        <v>992.86000000000013</v>
      </c>
      <c r="AT217" s="8755"/>
      <c r="AU217" s="4452"/>
      <c r="AV217" s="8789"/>
      <c r="AW217" s="5015">
        <f t="shared" si="424"/>
        <v>992.86000000000013</v>
      </c>
      <c r="AX217" s="8755"/>
      <c r="AY217" s="4452"/>
      <c r="AZ217" s="8713"/>
      <c r="BA217" s="6140">
        <f t="shared" si="425"/>
        <v>0</v>
      </c>
      <c r="BB217" s="8713">
        <f t="shared" si="411"/>
        <v>0</v>
      </c>
      <c r="BC217" s="6140">
        <f t="shared" si="412"/>
        <v>96.259999999999991</v>
      </c>
      <c r="BD217" s="8717"/>
      <c r="BE217" s="6960">
        <f t="shared" si="426"/>
        <v>992.86000000000013</v>
      </c>
    </row>
    <row r="218" spans="1:57" s="7634" customFormat="1" ht="18" x14ac:dyDescent="0.2">
      <c r="A218" s="4225"/>
      <c r="B218" s="4860" t="s">
        <v>2378</v>
      </c>
      <c r="C218" s="7535" t="s">
        <v>2445</v>
      </c>
      <c r="D218" s="7524"/>
      <c r="E218" s="4452"/>
      <c r="F218" s="8815"/>
      <c r="G218" s="4452"/>
      <c r="H218" s="8789"/>
      <c r="I218" s="4844"/>
      <c r="J218" s="8755"/>
      <c r="K218" s="4452"/>
      <c r="L218" s="8713"/>
      <c r="M218" s="4879"/>
      <c r="N218" s="8755"/>
      <c r="O218" s="4452"/>
      <c r="P218" s="8789"/>
      <c r="Q218" s="4844"/>
      <c r="R218" s="8755"/>
      <c r="S218" s="4452"/>
      <c r="T218" s="8789"/>
      <c r="U218" s="4844"/>
      <c r="V218" s="8755"/>
      <c r="W218" s="4452"/>
      <c r="X218" s="8713"/>
      <c r="Y218" s="4879"/>
      <c r="Z218" s="8717"/>
      <c r="AA218" s="6970"/>
      <c r="AB218" s="8755"/>
      <c r="AC218" s="4452"/>
      <c r="AD218" s="8789"/>
      <c r="AE218" s="4844"/>
      <c r="AF218" s="8755"/>
      <c r="AG218" s="4452">
        <v>34.15</v>
      </c>
      <c r="AH218" s="8789"/>
      <c r="AI218" s="5015">
        <f t="shared" si="420"/>
        <v>34.15</v>
      </c>
      <c r="AJ218" s="8755"/>
      <c r="AK218" s="4452">
        <v>0</v>
      </c>
      <c r="AL218" s="8713"/>
      <c r="AM218" s="6140">
        <f t="shared" si="421"/>
        <v>34.15</v>
      </c>
      <c r="AN218" s="8789"/>
      <c r="AO218" s="5015">
        <f t="shared" si="422"/>
        <v>34.15</v>
      </c>
      <c r="AP218" s="8755"/>
      <c r="AQ218" s="4452"/>
      <c r="AR218" s="8789"/>
      <c r="AS218" s="5015">
        <f t="shared" si="423"/>
        <v>34.15</v>
      </c>
      <c r="AT218" s="8755"/>
      <c r="AU218" s="4452"/>
      <c r="AV218" s="8789"/>
      <c r="AW218" s="5015">
        <f t="shared" si="424"/>
        <v>34.15</v>
      </c>
      <c r="AX218" s="8755"/>
      <c r="AY218" s="4452"/>
      <c r="AZ218" s="8713"/>
      <c r="BA218" s="6140">
        <f t="shared" si="425"/>
        <v>0</v>
      </c>
      <c r="BB218" s="8713">
        <f t="shared" si="411"/>
        <v>0</v>
      </c>
      <c r="BC218" s="6140">
        <f t="shared" si="412"/>
        <v>34.15</v>
      </c>
      <c r="BD218" s="8717"/>
      <c r="BE218" s="6960">
        <f t="shared" si="426"/>
        <v>34.15</v>
      </c>
    </row>
    <row r="219" spans="1:57" ht="18.75" customHeight="1" x14ac:dyDescent="0.2">
      <c r="A219" s="4225"/>
      <c r="B219" s="4860" t="s">
        <v>2377</v>
      </c>
      <c r="C219" s="7535" t="s">
        <v>2399</v>
      </c>
      <c r="D219" s="7524"/>
      <c r="E219" s="4452"/>
      <c r="F219" s="8815"/>
      <c r="G219" s="4452"/>
      <c r="H219" s="8789"/>
      <c r="I219" s="4844">
        <f t="shared" si="413"/>
        <v>0</v>
      </c>
      <c r="J219" s="8755"/>
      <c r="K219" s="4452"/>
      <c r="L219" s="8713"/>
      <c r="M219" s="4879">
        <f t="shared" si="414"/>
        <v>0</v>
      </c>
      <c r="N219" s="8755"/>
      <c r="O219" s="4452">
        <v>18.989999999999998</v>
      </c>
      <c r="P219" s="8789"/>
      <c r="Q219" s="4844">
        <f t="shared" si="415"/>
        <v>18.989999999999998</v>
      </c>
      <c r="R219" s="8755"/>
      <c r="S219" s="4452">
        <v>0</v>
      </c>
      <c r="T219" s="8789"/>
      <c r="U219" s="4844">
        <f t="shared" si="416"/>
        <v>18.989999999999998</v>
      </c>
      <c r="V219" s="8755"/>
      <c r="W219" s="4452"/>
      <c r="X219" s="8713"/>
      <c r="Y219" s="4879">
        <f t="shared" si="417"/>
        <v>18.989999999999998</v>
      </c>
      <c r="Z219" s="8717"/>
      <c r="AA219" s="6970">
        <f t="shared" si="418"/>
        <v>18.989999999999998</v>
      </c>
      <c r="AB219" s="8755"/>
      <c r="AC219" s="4452">
        <v>0</v>
      </c>
      <c r="AD219" s="8789"/>
      <c r="AE219" s="4844">
        <f t="shared" si="419"/>
        <v>18.989999999999998</v>
      </c>
      <c r="AF219" s="8755"/>
      <c r="AG219" s="4452">
        <v>0</v>
      </c>
      <c r="AH219" s="8789"/>
      <c r="AI219" s="5015">
        <f t="shared" si="420"/>
        <v>18.989999999999998</v>
      </c>
      <c r="AJ219" s="8755"/>
      <c r="AK219" s="4452">
        <v>0</v>
      </c>
      <c r="AL219" s="8713"/>
      <c r="AM219" s="6140">
        <f t="shared" si="421"/>
        <v>0</v>
      </c>
      <c r="AN219" s="8789"/>
      <c r="AO219" s="5015">
        <f t="shared" si="422"/>
        <v>18.989999999999998</v>
      </c>
      <c r="AP219" s="8755"/>
      <c r="AQ219" s="4452"/>
      <c r="AR219" s="8789"/>
      <c r="AS219" s="5015">
        <f t="shared" si="423"/>
        <v>18.989999999999998</v>
      </c>
      <c r="AT219" s="8755"/>
      <c r="AU219" s="4452"/>
      <c r="AV219" s="8789"/>
      <c r="AW219" s="5015">
        <f t="shared" si="424"/>
        <v>18.989999999999998</v>
      </c>
      <c r="AX219" s="8755"/>
      <c r="AY219" s="4452"/>
      <c r="AZ219" s="8713"/>
      <c r="BA219" s="6140">
        <f t="shared" si="425"/>
        <v>0</v>
      </c>
      <c r="BB219" s="8713">
        <f t="shared" si="411"/>
        <v>0</v>
      </c>
      <c r="BC219" s="6140">
        <f t="shared" si="412"/>
        <v>0</v>
      </c>
      <c r="BD219" s="8717"/>
      <c r="BE219" s="6960">
        <f t="shared" si="426"/>
        <v>18.989999999999998</v>
      </c>
    </row>
    <row r="220" spans="1:57" ht="18.75" customHeight="1" x14ac:dyDescent="0.2">
      <c r="A220" s="4225"/>
      <c r="B220" s="4860" t="s">
        <v>2379</v>
      </c>
      <c r="C220" s="7535" t="s">
        <v>2400</v>
      </c>
      <c r="D220" s="7524"/>
      <c r="E220" s="4452">
        <v>308.21999999999997</v>
      </c>
      <c r="F220" s="8817"/>
      <c r="G220" s="4452">
        <v>464.47999999999996</v>
      </c>
      <c r="H220" s="8790"/>
      <c r="I220" s="4844">
        <f t="shared" si="413"/>
        <v>772.69999999999993</v>
      </c>
      <c r="J220" s="8776"/>
      <c r="K220" s="4452">
        <v>59.68</v>
      </c>
      <c r="L220" s="8729"/>
      <c r="M220" s="4879">
        <f t="shared" si="414"/>
        <v>832.37999999999988</v>
      </c>
      <c r="N220" s="8776"/>
      <c r="O220" s="4452">
        <v>0</v>
      </c>
      <c r="P220" s="8790"/>
      <c r="Q220" s="4844">
        <f t="shared" si="415"/>
        <v>832.37999999999988</v>
      </c>
      <c r="R220" s="8776"/>
      <c r="S220" s="4452">
        <v>60.7</v>
      </c>
      <c r="T220" s="8790"/>
      <c r="U220" s="4844">
        <f t="shared" si="416"/>
        <v>893.07999999999993</v>
      </c>
      <c r="V220" s="8776"/>
      <c r="W220" s="4452"/>
      <c r="X220" s="8729"/>
      <c r="Y220" s="4879">
        <f t="shared" si="417"/>
        <v>60.7</v>
      </c>
      <c r="Z220" s="8726"/>
      <c r="AA220" s="6970">
        <f t="shared" si="418"/>
        <v>893.07999999999993</v>
      </c>
      <c r="AB220" s="8776"/>
      <c r="AC220" s="4452">
        <v>2481.56</v>
      </c>
      <c r="AD220" s="8790"/>
      <c r="AE220" s="4844">
        <f t="shared" si="419"/>
        <v>3374.64</v>
      </c>
      <c r="AF220" s="8776"/>
      <c r="AG220" s="4452">
        <v>3211.25</v>
      </c>
      <c r="AH220" s="8790"/>
      <c r="AI220" s="5015">
        <f t="shared" si="420"/>
        <v>6585.8899999999994</v>
      </c>
      <c r="AJ220" s="8776"/>
      <c r="AK220" s="4452">
        <v>1463.46</v>
      </c>
      <c r="AL220" s="8729"/>
      <c r="AM220" s="6140">
        <f t="shared" si="421"/>
        <v>7156.2699999999995</v>
      </c>
      <c r="AN220" s="8790"/>
      <c r="AO220" s="5015">
        <f t="shared" si="422"/>
        <v>8049.3499999999995</v>
      </c>
      <c r="AP220" s="8776"/>
      <c r="AQ220" s="4452">
        <v>243.3</v>
      </c>
      <c r="AR220" s="8790"/>
      <c r="AS220" s="5015">
        <f t="shared" si="423"/>
        <v>8292.65</v>
      </c>
      <c r="AT220" s="8776"/>
      <c r="AU220" s="4452">
        <v>3266.84</v>
      </c>
      <c r="AV220" s="8790"/>
      <c r="AW220" s="5015">
        <f t="shared" si="424"/>
        <v>11559.49</v>
      </c>
      <c r="AX220" s="8776"/>
      <c r="AY220" s="4452">
        <v>1829.63</v>
      </c>
      <c r="AZ220" s="8729"/>
      <c r="BA220" s="6140">
        <f t="shared" si="425"/>
        <v>5339.77</v>
      </c>
      <c r="BB220" s="8729">
        <f t="shared" si="411"/>
        <v>0</v>
      </c>
      <c r="BC220" s="6140">
        <f t="shared" si="412"/>
        <v>12496.04</v>
      </c>
      <c r="BD220" s="8726"/>
      <c r="BE220" s="6960">
        <f t="shared" si="426"/>
        <v>13389.119999999999</v>
      </c>
    </row>
    <row r="221" spans="1:57" s="7882" customFormat="1" ht="18.75" customHeight="1" x14ac:dyDescent="0.2">
      <c r="A221" s="4225"/>
      <c r="B221" s="4860" t="s">
        <v>2379</v>
      </c>
      <c r="C221" s="7535" t="s">
        <v>2468</v>
      </c>
      <c r="D221" s="7524"/>
      <c r="E221" s="4452"/>
      <c r="F221" s="7887"/>
      <c r="G221" s="4452"/>
      <c r="H221" s="7884"/>
      <c r="I221" s="4844"/>
      <c r="J221" s="7883"/>
      <c r="K221" s="4452"/>
      <c r="L221" s="7888"/>
      <c r="M221" s="4879"/>
      <c r="N221" s="7883"/>
      <c r="O221" s="4452"/>
      <c r="P221" s="7884"/>
      <c r="Q221" s="4844"/>
      <c r="R221" s="7883"/>
      <c r="S221" s="4452"/>
      <c r="T221" s="7884"/>
      <c r="U221" s="4844"/>
      <c r="V221" s="7883"/>
      <c r="W221" s="4452"/>
      <c r="X221" s="7888"/>
      <c r="Y221" s="4879"/>
      <c r="Z221" s="7890"/>
      <c r="AA221" s="6970"/>
      <c r="AB221" s="7883"/>
      <c r="AC221" s="4452"/>
      <c r="AD221" s="7884"/>
      <c r="AE221" s="4844"/>
      <c r="AF221" s="7883"/>
      <c r="AG221" s="4452"/>
      <c r="AH221" s="7884"/>
      <c r="AI221" s="5015"/>
      <c r="AJ221" s="7883"/>
      <c r="AK221" s="4452">
        <v>184.7</v>
      </c>
      <c r="AL221" s="7888"/>
      <c r="AM221" s="6140">
        <f t="shared" si="421"/>
        <v>184.7</v>
      </c>
      <c r="AN221" s="7884"/>
      <c r="AO221" s="5015">
        <f t="shared" si="422"/>
        <v>184.7</v>
      </c>
      <c r="AP221" s="8030"/>
      <c r="AQ221" s="4452"/>
      <c r="AR221" s="8032"/>
      <c r="AS221" s="5015">
        <f t="shared" si="423"/>
        <v>184.7</v>
      </c>
      <c r="AT221" s="8224"/>
      <c r="AU221" s="4452"/>
      <c r="AV221" s="8225"/>
      <c r="AW221" s="5015">
        <f t="shared" si="424"/>
        <v>184.7</v>
      </c>
      <c r="AX221" s="8289"/>
      <c r="AY221" s="4452"/>
      <c r="AZ221" s="8294"/>
      <c r="BA221" s="6140">
        <f t="shared" si="425"/>
        <v>0</v>
      </c>
      <c r="BB221" s="8294">
        <f t="shared" si="411"/>
        <v>0</v>
      </c>
      <c r="BC221" s="6140">
        <f t="shared" si="412"/>
        <v>184.7</v>
      </c>
      <c r="BD221" s="8306"/>
      <c r="BE221" s="6960">
        <f t="shared" si="426"/>
        <v>184.7</v>
      </c>
    </row>
    <row r="222" spans="1:57" ht="18.75" customHeight="1" x14ac:dyDescent="0.2">
      <c r="A222" s="4225"/>
      <c r="B222" s="4860" t="s">
        <v>2380</v>
      </c>
      <c r="C222" s="7535" t="s">
        <v>2401</v>
      </c>
      <c r="D222" s="7524"/>
      <c r="E222" s="4452"/>
      <c r="F222" s="8815"/>
      <c r="G222" s="4452"/>
      <c r="H222" s="8787"/>
      <c r="I222" s="4844">
        <f t="shared" si="413"/>
        <v>0</v>
      </c>
      <c r="J222" s="8778"/>
      <c r="K222" s="4452"/>
      <c r="L222" s="8732"/>
      <c r="M222" s="4879">
        <f t="shared" si="414"/>
        <v>0</v>
      </c>
      <c r="N222" s="8778"/>
      <c r="O222" s="4452"/>
      <c r="P222" s="8787"/>
      <c r="Q222" s="4844">
        <f t="shared" si="415"/>
        <v>0</v>
      </c>
      <c r="R222" s="8778"/>
      <c r="S222" s="4452"/>
      <c r="T222" s="8787"/>
      <c r="U222" s="4844">
        <f t="shared" si="416"/>
        <v>0</v>
      </c>
      <c r="V222" s="8778"/>
      <c r="W222" s="4452"/>
      <c r="X222" s="8732"/>
      <c r="Y222" s="4879">
        <f t="shared" si="417"/>
        <v>0</v>
      </c>
      <c r="Z222" s="8727"/>
      <c r="AA222" s="6970">
        <f t="shared" si="418"/>
        <v>0</v>
      </c>
      <c r="AB222" s="8778"/>
      <c r="AC222" s="4452">
        <v>153.97</v>
      </c>
      <c r="AD222" s="8787"/>
      <c r="AE222" s="4844">
        <f t="shared" si="419"/>
        <v>153.97</v>
      </c>
      <c r="AF222" s="8778"/>
      <c r="AG222" s="4452">
        <v>0</v>
      </c>
      <c r="AH222" s="8787"/>
      <c r="AI222" s="5015">
        <f t="shared" si="420"/>
        <v>153.97</v>
      </c>
      <c r="AJ222" s="8778"/>
      <c r="AK222" s="4452">
        <v>168.96</v>
      </c>
      <c r="AL222" s="8732"/>
      <c r="AM222" s="6140">
        <f t="shared" si="421"/>
        <v>322.93</v>
      </c>
      <c r="AN222" s="8787"/>
      <c r="AO222" s="5015">
        <f t="shared" si="422"/>
        <v>322.93</v>
      </c>
      <c r="AP222" s="8778"/>
      <c r="AQ222" s="4452"/>
      <c r="AR222" s="8787"/>
      <c r="AS222" s="5015">
        <f t="shared" si="423"/>
        <v>322.93</v>
      </c>
      <c r="AT222" s="8778"/>
      <c r="AU222" s="4452"/>
      <c r="AV222" s="8787"/>
      <c r="AW222" s="5015">
        <f t="shared" si="424"/>
        <v>322.93</v>
      </c>
      <c r="AX222" s="8778"/>
      <c r="AY222" s="4452"/>
      <c r="AZ222" s="8732"/>
      <c r="BA222" s="6140">
        <f t="shared" si="425"/>
        <v>0</v>
      </c>
      <c r="BB222" s="8732">
        <f t="shared" si="411"/>
        <v>0</v>
      </c>
      <c r="BC222" s="6140">
        <f t="shared" si="412"/>
        <v>322.93</v>
      </c>
      <c r="BD222" s="8727"/>
      <c r="BE222" s="6960">
        <f t="shared" si="426"/>
        <v>322.93</v>
      </c>
    </row>
    <row r="223" spans="1:57" s="4756" customFormat="1" ht="18.75" customHeight="1" x14ac:dyDescent="0.2">
      <c r="A223" s="4225"/>
      <c r="B223" s="4860" t="s">
        <v>2406</v>
      </c>
      <c r="C223" s="7535" t="s">
        <v>2405</v>
      </c>
      <c r="D223" s="7524"/>
      <c r="E223" s="4452"/>
      <c r="F223" s="8815"/>
      <c r="G223" s="4452"/>
      <c r="H223" s="8787"/>
      <c r="I223" s="4844">
        <f t="shared" si="413"/>
        <v>0</v>
      </c>
      <c r="J223" s="8778"/>
      <c r="K223" s="4452"/>
      <c r="L223" s="8732"/>
      <c r="M223" s="4879">
        <f t="shared" si="414"/>
        <v>0</v>
      </c>
      <c r="N223" s="8778"/>
      <c r="O223" s="4452"/>
      <c r="P223" s="8787"/>
      <c r="Q223" s="4844">
        <f t="shared" si="415"/>
        <v>0</v>
      </c>
      <c r="R223" s="8778"/>
      <c r="S223" s="4452"/>
      <c r="T223" s="8787"/>
      <c r="U223" s="4844">
        <f t="shared" si="416"/>
        <v>0</v>
      </c>
      <c r="V223" s="8778"/>
      <c r="W223" s="4452"/>
      <c r="X223" s="8732"/>
      <c r="Y223" s="4879">
        <f t="shared" si="417"/>
        <v>0</v>
      </c>
      <c r="Z223" s="8727"/>
      <c r="AA223" s="6970">
        <f t="shared" si="418"/>
        <v>0</v>
      </c>
      <c r="AB223" s="8778"/>
      <c r="AC223" s="4452">
        <v>148.54999999999998</v>
      </c>
      <c r="AD223" s="8787"/>
      <c r="AE223" s="4844">
        <f t="shared" si="419"/>
        <v>148.54999999999998</v>
      </c>
      <c r="AF223" s="8778"/>
      <c r="AG223" s="4452">
        <v>429.44</v>
      </c>
      <c r="AH223" s="8787"/>
      <c r="AI223" s="5015">
        <f t="shared" si="420"/>
        <v>577.99</v>
      </c>
      <c r="AJ223" s="8778"/>
      <c r="AK223" s="4452">
        <v>547.96</v>
      </c>
      <c r="AL223" s="8732"/>
      <c r="AM223" s="6140">
        <f t="shared" si="421"/>
        <v>1125.95</v>
      </c>
      <c r="AN223" s="8787"/>
      <c r="AO223" s="5015">
        <f t="shared" si="422"/>
        <v>1125.95</v>
      </c>
      <c r="AP223" s="8778"/>
      <c r="AQ223" s="4452">
        <v>62.06</v>
      </c>
      <c r="AR223" s="8787"/>
      <c r="AS223" s="5015">
        <f t="shared" si="423"/>
        <v>1188.01</v>
      </c>
      <c r="AT223" s="8778"/>
      <c r="AU223" s="4452">
        <v>391.22</v>
      </c>
      <c r="AV223" s="8787"/>
      <c r="AW223" s="5015">
        <f t="shared" si="424"/>
        <v>1579.23</v>
      </c>
      <c r="AX223" s="8778"/>
      <c r="AY223" s="4452">
        <v>176.86</v>
      </c>
      <c r="AZ223" s="8732"/>
      <c r="BA223" s="6140">
        <f t="shared" si="425"/>
        <v>630.1400000000001</v>
      </c>
      <c r="BB223" s="8732">
        <f t="shared" si="411"/>
        <v>0</v>
      </c>
      <c r="BC223" s="6140">
        <f t="shared" si="412"/>
        <v>1756.0900000000001</v>
      </c>
      <c r="BD223" s="8727"/>
      <c r="BE223" s="6960">
        <f t="shared" si="426"/>
        <v>1756.0900000000001</v>
      </c>
    </row>
    <row r="224" spans="1:57" ht="18" x14ac:dyDescent="0.2">
      <c r="A224" s="4225"/>
      <c r="B224" s="4860" t="s">
        <v>2381</v>
      </c>
      <c r="C224" s="7535" t="s">
        <v>2402</v>
      </c>
      <c r="D224" s="7524"/>
      <c r="E224" s="4452">
        <v>183.5</v>
      </c>
      <c r="F224" s="8817"/>
      <c r="G224" s="4452">
        <v>1255.0809999999999</v>
      </c>
      <c r="H224" s="8787"/>
      <c r="I224" s="4844">
        <f t="shared" si="413"/>
        <v>1438.5809999999999</v>
      </c>
      <c r="J224" s="8778"/>
      <c r="K224" s="4452">
        <v>1582.9699999999998</v>
      </c>
      <c r="L224" s="8732"/>
      <c r="M224" s="4879">
        <f t="shared" si="414"/>
        <v>3021.5509999999995</v>
      </c>
      <c r="N224" s="8778"/>
      <c r="O224" s="4452">
        <v>668.3</v>
      </c>
      <c r="P224" s="8787"/>
      <c r="Q224" s="4844">
        <f t="shared" si="415"/>
        <v>3689.8509999999997</v>
      </c>
      <c r="R224" s="8778"/>
      <c r="S224" s="4452">
        <v>95.069000000000003</v>
      </c>
      <c r="T224" s="8787"/>
      <c r="U224" s="4844">
        <f t="shared" si="416"/>
        <v>3784.9199999999996</v>
      </c>
      <c r="V224" s="8778"/>
      <c r="W224" s="4452"/>
      <c r="X224" s="8732"/>
      <c r="Y224" s="4879">
        <f t="shared" si="417"/>
        <v>763.36899999999991</v>
      </c>
      <c r="Z224" s="8727"/>
      <c r="AA224" s="6970">
        <f t="shared" si="418"/>
        <v>3784.9199999999996</v>
      </c>
      <c r="AB224" s="8778"/>
      <c r="AC224" s="4452">
        <v>186.59</v>
      </c>
      <c r="AD224" s="8787"/>
      <c r="AE224" s="4844">
        <f t="shared" si="419"/>
        <v>3971.5099999999998</v>
      </c>
      <c r="AF224" s="8778"/>
      <c r="AG224" s="4452">
        <v>3943.67</v>
      </c>
      <c r="AH224" s="8787"/>
      <c r="AI224" s="5015">
        <f t="shared" si="420"/>
        <v>7915.18</v>
      </c>
      <c r="AJ224" s="8778"/>
      <c r="AK224" s="4452">
        <v>632.09</v>
      </c>
      <c r="AL224" s="8732"/>
      <c r="AM224" s="6140">
        <f t="shared" si="421"/>
        <v>4762.3500000000004</v>
      </c>
      <c r="AN224" s="8787"/>
      <c r="AO224" s="5015">
        <f t="shared" si="422"/>
        <v>8547.27</v>
      </c>
      <c r="AP224" s="8778"/>
      <c r="AQ224" s="4452">
        <v>4577.5200000000004</v>
      </c>
      <c r="AR224" s="8787"/>
      <c r="AS224" s="5015">
        <f t="shared" si="423"/>
        <v>13124.79</v>
      </c>
      <c r="AT224" s="8778"/>
      <c r="AU224" s="4452">
        <v>582.38</v>
      </c>
      <c r="AV224" s="8787"/>
      <c r="AW224" s="5015">
        <f t="shared" si="424"/>
        <v>13707.17</v>
      </c>
      <c r="AX224" s="8778"/>
      <c r="AY224" s="4452"/>
      <c r="AZ224" s="8732"/>
      <c r="BA224" s="6140">
        <f t="shared" si="425"/>
        <v>5159.9000000000005</v>
      </c>
      <c r="BB224" s="8732">
        <f t="shared" si="411"/>
        <v>0</v>
      </c>
      <c r="BC224" s="6140">
        <f t="shared" si="412"/>
        <v>9922.25</v>
      </c>
      <c r="BD224" s="8727"/>
      <c r="BE224" s="6960">
        <f t="shared" si="426"/>
        <v>13707.17</v>
      </c>
    </row>
    <row r="225" spans="1:60" s="7634" customFormat="1" ht="18" x14ac:dyDescent="0.2">
      <c r="A225" s="4225"/>
      <c r="B225" s="4860" t="s">
        <v>2381</v>
      </c>
      <c r="C225" s="7535" t="s">
        <v>2446</v>
      </c>
      <c r="D225" s="7524"/>
      <c r="E225" s="4452"/>
      <c r="F225" s="7639"/>
      <c r="G225" s="4452"/>
      <c r="H225" s="7638"/>
      <c r="I225" s="4844"/>
      <c r="J225" s="7635"/>
      <c r="K225" s="4452"/>
      <c r="L225" s="7637"/>
      <c r="M225" s="4879"/>
      <c r="N225" s="7635"/>
      <c r="O225" s="4452"/>
      <c r="P225" s="7638"/>
      <c r="Q225" s="4844"/>
      <c r="R225" s="7635"/>
      <c r="S225" s="4452"/>
      <c r="T225" s="7638"/>
      <c r="U225" s="4844"/>
      <c r="V225" s="7635"/>
      <c r="W225" s="4452"/>
      <c r="X225" s="7637"/>
      <c r="Y225" s="4879"/>
      <c r="Z225" s="7636"/>
      <c r="AA225" s="6970"/>
      <c r="AB225" s="7635"/>
      <c r="AC225" s="4452"/>
      <c r="AD225" s="7638"/>
      <c r="AE225" s="4844"/>
      <c r="AF225" s="7635"/>
      <c r="AG225" s="4452">
        <v>124.22</v>
      </c>
      <c r="AH225" s="7638"/>
      <c r="AI225" s="5015">
        <f t="shared" si="420"/>
        <v>124.22</v>
      </c>
      <c r="AJ225" s="7712"/>
      <c r="AK225" s="4452">
        <v>0</v>
      </c>
      <c r="AL225" s="7713"/>
      <c r="AM225" s="6140">
        <f t="shared" si="421"/>
        <v>124.22</v>
      </c>
      <c r="AN225" s="7724"/>
      <c r="AO225" s="5015">
        <f t="shared" si="422"/>
        <v>124.22</v>
      </c>
      <c r="AP225" s="8030"/>
      <c r="AQ225" s="4452"/>
      <c r="AR225" s="8032"/>
      <c r="AS225" s="5015">
        <f t="shared" si="423"/>
        <v>124.22</v>
      </c>
      <c r="AT225" s="8224"/>
      <c r="AU225" s="4452"/>
      <c r="AV225" s="8225"/>
      <c r="AW225" s="5015">
        <f t="shared" si="424"/>
        <v>124.22</v>
      </c>
      <c r="AX225" s="8289"/>
      <c r="AY225" s="4452"/>
      <c r="AZ225" s="8294"/>
      <c r="BA225" s="6140">
        <f t="shared" si="425"/>
        <v>0</v>
      </c>
      <c r="BB225" s="8294">
        <f t="shared" si="411"/>
        <v>0</v>
      </c>
      <c r="BC225" s="6140">
        <f t="shared" si="412"/>
        <v>124.22</v>
      </c>
      <c r="BD225" s="8306"/>
      <c r="BE225" s="6960">
        <f t="shared" si="426"/>
        <v>124.22</v>
      </c>
    </row>
    <row r="226" spans="1:60" ht="18.75" customHeight="1" x14ac:dyDescent="0.2">
      <c r="A226" s="4225"/>
      <c r="B226" s="5068" t="s">
        <v>2382</v>
      </c>
      <c r="C226" s="7535" t="s">
        <v>2403</v>
      </c>
      <c r="D226" s="7524"/>
      <c r="E226" s="4452">
        <v>0</v>
      </c>
      <c r="F226" s="7531"/>
      <c r="G226" s="4452">
        <v>50.84</v>
      </c>
      <c r="H226" s="7528"/>
      <c r="I226" s="4844">
        <f t="shared" si="413"/>
        <v>50.84</v>
      </c>
      <c r="J226" s="7527"/>
      <c r="K226" s="4452">
        <v>0</v>
      </c>
      <c r="L226" s="7532"/>
      <c r="M226" s="4879">
        <f t="shared" si="414"/>
        <v>50.84</v>
      </c>
      <c r="N226" s="7527"/>
      <c r="O226" s="4452">
        <v>0</v>
      </c>
      <c r="P226" s="7528"/>
      <c r="Q226" s="4844">
        <f t="shared" si="415"/>
        <v>50.84</v>
      </c>
      <c r="R226" s="7527"/>
      <c r="S226" s="4452">
        <v>0</v>
      </c>
      <c r="T226" s="7528"/>
      <c r="U226" s="4844">
        <f t="shared" si="416"/>
        <v>50.84</v>
      </c>
      <c r="V226" s="7527"/>
      <c r="W226" s="4452"/>
      <c r="X226" s="7532"/>
      <c r="Y226" s="4879">
        <f t="shared" si="417"/>
        <v>0</v>
      </c>
      <c r="Z226" s="7534"/>
      <c r="AA226" s="6970">
        <f t="shared" si="418"/>
        <v>50.84</v>
      </c>
      <c r="AB226" s="7527"/>
      <c r="AC226" s="4452">
        <v>79.150000000000006</v>
      </c>
      <c r="AD226" s="7528"/>
      <c r="AE226" s="4844">
        <f t="shared" si="419"/>
        <v>129.99</v>
      </c>
      <c r="AF226" s="7568"/>
      <c r="AG226" s="4452">
        <v>0</v>
      </c>
      <c r="AH226" s="7569"/>
      <c r="AI226" s="5015">
        <f t="shared" si="420"/>
        <v>129.99</v>
      </c>
      <c r="AJ226" s="7712"/>
      <c r="AK226" s="4452">
        <v>0</v>
      </c>
      <c r="AL226" s="7713"/>
      <c r="AM226" s="6140">
        <f t="shared" si="421"/>
        <v>79.150000000000006</v>
      </c>
      <c r="AN226" s="7724"/>
      <c r="AO226" s="5015">
        <f t="shared" si="422"/>
        <v>129.99</v>
      </c>
      <c r="AP226" s="8030"/>
      <c r="AQ226" s="4452"/>
      <c r="AR226" s="8032"/>
      <c r="AS226" s="5015">
        <f t="shared" si="423"/>
        <v>129.99</v>
      </c>
      <c r="AT226" s="8224"/>
      <c r="AU226" s="4452"/>
      <c r="AV226" s="8225"/>
      <c r="AW226" s="5015">
        <f t="shared" si="424"/>
        <v>129.99</v>
      </c>
      <c r="AX226" s="8289"/>
      <c r="AY226" s="4452"/>
      <c r="AZ226" s="8294"/>
      <c r="BA226" s="6140">
        <f t="shared" si="425"/>
        <v>0</v>
      </c>
      <c r="BB226" s="8294">
        <f t="shared" si="411"/>
        <v>0</v>
      </c>
      <c r="BC226" s="6140">
        <f t="shared" si="412"/>
        <v>79.150000000000006</v>
      </c>
      <c r="BD226" s="8306"/>
      <c r="BE226" s="6960">
        <f t="shared" si="426"/>
        <v>129.99</v>
      </c>
    </row>
    <row r="227" spans="1:60" s="4756" customFormat="1" ht="18.75" customHeight="1" x14ac:dyDescent="0.2">
      <c r="A227" s="4225"/>
      <c r="B227" s="5068" t="s">
        <v>2404</v>
      </c>
      <c r="C227" s="7535" t="s">
        <v>2409</v>
      </c>
      <c r="D227" s="7475"/>
      <c r="E227" s="4452"/>
      <c r="F227" s="7470"/>
      <c r="G227" s="4452"/>
      <c r="H227" s="7136"/>
      <c r="I227" s="4844">
        <f t="shared" si="413"/>
        <v>0</v>
      </c>
      <c r="J227" s="7138"/>
      <c r="K227" s="4452">
        <v>45.27</v>
      </c>
      <c r="L227" s="7146"/>
      <c r="M227" s="4879">
        <f t="shared" si="414"/>
        <v>45.27</v>
      </c>
      <c r="N227" s="7138"/>
      <c r="O227" s="4452">
        <v>0</v>
      </c>
      <c r="P227" s="7136"/>
      <c r="Q227" s="4844">
        <f t="shared" si="415"/>
        <v>45.27</v>
      </c>
      <c r="R227" s="7138"/>
      <c r="S227" s="4452">
        <v>74.319999999999993</v>
      </c>
      <c r="T227" s="7136"/>
      <c r="U227" s="4844">
        <f t="shared" si="416"/>
        <v>119.59</v>
      </c>
      <c r="V227" s="7138"/>
      <c r="W227" s="4452"/>
      <c r="X227" s="7146"/>
      <c r="Y227" s="4879">
        <f t="shared" si="417"/>
        <v>74.319999999999993</v>
      </c>
      <c r="Z227" s="7159"/>
      <c r="AA227" s="6970">
        <f t="shared" si="418"/>
        <v>119.59</v>
      </c>
      <c r="AB227" s="7305"/>
      <c r="AC227" s="4452">
        <v>0</v>
      </c>
      <c r="AD227" s="7298"/>
      <c r="AE227" s="4844">
        <f t="shared" si="419"/>
        <v>119.59</v>
      </c>
      <c r="AF227" s="7570"/>
      <c r="AG227" s="4452">
        <v>0</v>
      </c>
      <c r="AH227" s="7565"/>
      <c r="AI227" s="5015">
        <f t="shared" si="420"/>
        <v>119.59</v>
      </c>
      <c r="AJ227" s="7711"/>
      <c r="AK227" s="4452">
        <v>0</v>
      </c>
      <c r="AL227" s="7708"/>
      <c r="AM227" s="6140">
        <f t="shared" si="421"/>
        <v>0</v>
      </c>
      <c r="AN227" s="7721"/>
      <c r="AO227" s="5015">
        <f t="shared" si="422"/>
        <v>119.59</v>
      </c>
      <c r="AP227" s="8033"/>
      <c r="AQ227" s="4452"/>
      <c r="AR227" s="8034"/>
      <c r="AS227" s="5015">
        <f t="shared" si="423"/>
        <v>119.59</v>
      </c>
      <c r="AT227" s="8223"/>
      <c r="AU227" s="4452"/>
      <c r="AV227" s="8222"/>
      <c r="AW227" s="5015">
        <f t="shared" si="424"/>
        <v>119.59</v>
      </c>
      <c r="AX227" s="8288"/>
      <c r="AY227" s="4452">
        <v>48.36</v>
      </c>
      <c r="AZ227" s="8293"/>
      <c r="BA227" s="6140">
        <f t="shared" si="425"/>
        <v>48.36</v>
      </c>
      <c r="BB227" s="8293">
        <f t="shared" si="411"/>
        <v>0</v>
      </c>
      <c r="BC227" s="6140">
        <f t="shared" si="412"/>
        <v>48.36</v>
      </c>
      <c r="BD227" s="8304"/>
      <c r="BE227" s="6960">
        <f t="shared" si="426"/>
        <v>167.95</v>
      </c>
    </row>
    <row r="228" spans="1:60" ht="18.75" customHeight="1" x14ac:dyDescent="0.2">
      <c r="A228" s="4225"/>
      <c r="B228" s="5068" t="s">
        <v>2408</v>
      </c>
      <c r="C228" s="7535" t="s">
        <v>2407</v>
      </c>
      <c r="D228" s="7524"/>
      <c r="E228" s="4452"/>
      <c r="F228" s="8816"/>
      <c r="G228" s="4452"/>
      <c r="H228" s="8788"/>
      <c r="I228" s="4844">
        <f t="shared" si="413"/>
        <v>0</v>
      </c>
      <c r="J228" s="8777"/>
      <c r="K228" s="4452">
        <v>31.97</v>
      </c>
      <c r="L228" s="8712"/>
      <c r="M228" s="4879">
        <f t="shared" si="414"/>
        <v>31.97</v>
      </c>
      <c r="N228" s="8777"/>
      <c r="O228" s="4452">
        <v>0</v>
      </c>
      <c r="P228" s="8788"/>
      <c r="Q228" s="4844">
        <f t="shared" si="415"/>
        <v>31.97</v>
      </c>
      <c r="R228" s="8777"/>
      <c r="S228" s="4452">
        <v>0</v>
      </c>
      <c r="T228" s="8788"/>
      <c r="U228" s="4844">
        <f t="shared" si="416"/>
        <v>31.97</v>
      </c>
      <c r="V228" s="8777"/>
      <c r="W228" s="4452"/>
      <c r="X228" s="8712"/>
      <c r="Y228" s="4879">
        <f t="shared" si="417"/>
        <v>0</v>
      </c>
      <c r="Z228" s="8716"/>
      <c r="AA228" s="6970">
        <f t="shared" si="418"/>
        <v>31.97</v>
      </c>
      <c r="AB228" s="8777"/>
      <c r="AC228" s="4452">
        <v>0</v>
      </c>
      <c r="AD228" s="8788"/>
      <c r="AE228" s="4844">
        <f t="shared" si="419"/>
        <v>31.97</v>
      </c>
      <c r="AF228" s="8777"/>
      <c r="AG228" s="4452">
        <v>0</v>
      </c>
      <c r="AH228" s="8788"/>
      <c r="AI228" s="5015">
        <f t="shared" si="420"/>
        <v>31.97</v>
      </c>
      <c r="AJ228" s="8777"/>
      <c r="AK228" s="4452">
        <v>0</v>
      </c>
      <c r="AL228" s="8712"/>
      <c r="AM228" s="6140">
        <f t="shared" si="421"/>
        <v>0</v>
      </c>
      <c r="AN228" s="8788"/>
      <c r="AO228" s="5015">
        <f t="shared" si="422"/>
        <v>31.97</v>
      </c>
      <c r="AP228" s="8777"/>
      <c r="AQ228" s="4452"/>
      <c r="AR228" s="8788"/>
      <c r="AS228" s="5015">
        <f t="shared" si="423"/>
        <v>31.97</v>
      </c>
      <c r="AT228" s="8777"/>
      <c r="AU228" s="4452"/>
      <c r="AV228" s="8788"/>
      <c r="AW228" s="5015">
        <f t="shared" si="424"/>
        <v>31.97</v>
      </c>
      <c r="AX228" s="8777"/>
      <c r="AY228" s="4452"/>
      <c r="AZ228" s="8712"/>
      <c r="BA228" s="6140">
        <f t="shared" si="425"/>
        <v>0</v>
      </c>
      <c r="BB228" s="8712">
        <f t="shared" si="411"/>
        <v>0</v>
      </c>
      <c r="BC228" s="6140">
        <f t="shared" si="412"/>
        <v>0</v>
      </c>
      <c r="BD228" s="8716"/>
      <c r="BE228" s="6960">
        <f t="shared" si="426"/>
        <v>31.97</v>
      </c>
    </row>
    <row r="229" spans="1:60" s="8125" customFormat="1" ht="18.75" customHeight="1" x14ac:dyDescent="0.2">
      <c r="A229" s="4225"/>
      <c r="B229" s="5068" t="s">
        <v>2563</v>
      </c>
      <c r="C229" s="7535" t="s">
        <v>2411</v>
      </c>
      <c r="D229" s="7524"/>
      <c r="E229" s="4452"/>
      <c r="F229" s="8815"/>
      <c r="G229" s="4452"/>
      <c r="H229" s="8789"/>
      <c r="I229" s="4844"/>
      <c r="J229" s="8755"/>
      <c r="K229" s="4452"/>
      <c r="L229" s="8713"/>
      <c r="M229" s="4879"/>
      <c r="N229" s="8755"/>
      <c r="O229" s="4452"/>
      <c r="P229" s="8789"/>
      <c r="Q229" s="4844"/>
      <c r="R229" s="8755"/>
      <c r="S229" s="4452"/>
      <c r="T229" s="8789"/>
      <c r="U229" s="4844"/>
      <c r="V229" s="8755"/>
      <c r="W229" s="4452"/>
      <c r="X229" s="8713"/>
      <c r="Y229" s="4879"/>
      <c r="Z229" s="8717"/>
      <c r="AA229" s="6970"/>
      <c r="AB229" s="8755"/>
      <c r="AC229" s="4452"/>
      <c r="AD229" s="8789"/>
      <c r="AE229" s="4844"/>
      <c r="AF229" s="8755"/>
      <c r="AG229" s="4452"/>
      <c r="AH229" s="8789"/>
      <c r="AI229" s="5015"/>
      <c r="AJ229" s="8755"/>
      <c r="AK229" s="4452"/>
      <c r="AL229" s="8713"/>
      <c r="AM229" s="6140"/>
      <c r="AN229" s="8789"/>
      <c r="AO229" s="5015">
        <f t="shared" si="422"/>
        <v>0</v>
      </c>
      <c r="AP229" s="8755"/>
      <c r="AQ229" s="4452">
        <v>125.5</v>
      </c>
      <c r="AR229" s="8789"/>
      <c r="AS229" s="5015">
        <f t="shared" si="423"/>
        <v>125.5</v>
      </c>
      <c r="AT229" s="8755"/>
      <c r="AU229" s="4452">
        <v>1427.37</v>
      </c>
      <c r="AV229" s="8789"/>
      <c r="AW229" s="5015">
        <f t="shared" si="424"/>
        <v>1552.87</v>
      </c>
      <c r="AX229" s="8755"/>
      <c r="AY229" s="4452">
        <v>3368.84</v>
      </c>
      <c r="AZ229" s="8713"/>
      <c r="BA229" s="6140">
        <f t="shared" si="425"/>
        <v>4921.71</v>
      </c>
      <c r="BB229" s="8713">
        <f t="shared" si="411"/>
        <v>0</v>
      </c>
      <c r="BC229" s="6140">
        <f t="shared" si="412"/>
        <v>4921.71</v>
      </c>
      <c r="BD229" s="8717"/>
      <c r="BE229" s="6960">
        <f t="shared" si="426"/>
        <v>4921.71</v>
      </c>
    </row>
    <row r="230" spans="1:60" ht="18.75" customHeight="1" x14ac:dyDescent="0.2">
      <c r="A230" s="4225"/>
      <c r="B230" s="5068" t="s">
        <v>2383</v>
      </c>
      <c r="C230" s="7535" t="s">
        <v>2410</v>
      </c>
      <c r="D230" s="7524"/>
      <c r="E230" s="4452">
        <v>0</v>
      </c>
      <c r="F230" s="8817"/>
      <c r="G230" s="4452">
        <v>66.88</v>
      </c>
      <c r="H230" s="8790"/>
      <c r="I230" s="4844">
        <f t="shared" si="413"/>
        <v>66.88</v>
      </c>
      <c r="J230" s="8776"/>
      <c r="K230" s="4452">
        <v>154.57</v>
      </c>
      <c r="L230" s="8729"/>
      <c r="M230" s="4879">
        <f t="shared" si="414"/>
        <v>221.45</v>
      </c>
      <c r="N230" s="8776"/>
      <c r="O230" s="4452">
        <v>39.67</v>
      </c>
      <c r="P230" s="8790"/>
      <c r="Q230" s="4844">
        <f t="shared" si="415"/>
        <v>261.12</v>
      </c>
      <c r="R230" s="8776"/>
      <c r="S230" s="4452">
        <v>0</v>
      </c>
      <c r="T230" s="8790"/>
      <c r="U230" s="4844">
        <f t="shared" si="416"/>
        <v>261.12</v>
      </c>
      <c r="V230" s="8776"/>
      <c r="W230" s="4452">
        <v>32.15</v>
      </c>
      <c r="X230" s="8729"/>
      <c r="Y230" s="4879">
        <f t="shared" si="417"/>
        <v>71.819999999999993</v>
      </c>
      <c r="Z230" s="8726"/>
      <c r="AA230" s="6970">
        <f t="shared" si="418"/>
        <v>293.27</v>
      </c>
      <c r="AB230" s="8776"/>
      <c r="AC230" s="4452">
        <v>0</v>
      </c>
      <c r="AD230" s="8790"/>
      <c r="AE230" s="4844">
        <f t="shared" si="419"/>
        <v>293.27</v>
      </c>
      <c r="AF230" s="8776"/>
      <c r="AG230" s="4452">
        <v>0</v>
      </c>
      <c r="AH230" s="8790"/>
      <c r="AI230" s="5015">
        <f t="shared" si="420"/>
        <v>293.27</v>
      </c>
      <c r="AJ230" s="8776"/>
      <c r="AK230" s="4452">
        <v>39.57</v>
      </c>
      <c r="AL230" s="8729"/>
      <c r="AM230" s="6140">
        <f t="shared" si="421"/>
        <v>39.57</v>
      </c>
      <c r="AN230" s="8790"/>
      <c r="AO230" s="5015">
        <f t="shared" si="422"/>
        <v>332.84</v>
      </c>
      <c r="AP230" s="8776"/>
      <c r="AQ230" s="4452">
        <v>63.58</v>
      </c>
      <c r="AR230" s="8790"/>
      <c r="AS230" s="5015">
        <f t="shared" si="423"/>
        <v>396.41999999999996</v>
      </c>
      <c r="AT230" s="8776"/>
      <c r="AU230" s="4452"/>
      <c r="AV230" s="8790"/>
      <c r="AW230" s="5015">
        <f t="shared" si="424"/>
        <v>396.41999999999996</v>
      </c>
      <c r="AX230" s="8776"/>
      <c r="AY230" s="4452"/>
      <c r="AZ230" s="8729"/>
      <c r="BA230" s="6140">
        <f t="shared" si="425"/>
        <v>63.58</v>
      </c>
      <c r="BB230" s="8729">
        <f t="shared" si="411"/>
        <v>0</v>
      </c>
      <c r="BC230" s="6140">
        <f t="shared" si="412"/>
        <v>103.15</v>
      </c>
      <c r="BD230" s="8726"/>
      <c r="BE230" s="6960">
        <f t="shared" si="426"/>
        <v>396.41999999999996</v>
      </c>
      <c r="BH230" s="1673"/>
    </row>
    <row r="231" spans="1:60" s="5438" customFormat="1" ht="18.75" customHeight="1" x14ac:dyDescent="0.2">
      <c r="A231" s="4225"/>
      <c r="B231" s="5068" t="s">
        <v>2384</v>
      </c>
      <c r="C231" s="7535" t="s">
        <v>2410</v>
      </c>
      <c r="D231" s="7475"/>
      <c r="E231" s="4452">
        <v>0</v>
      </c>
      <c r="F231" s="7471"/>
      <c r="G231" s="4452">
        <v>31.94</v>
      </c>
      <c r="H231" s="7140"/>
      <c r="I231" s="4844">
        <f t="shared" si="413"/>
        <v>31.94</v>
      </c>
      <c r="J231" s="7139"/>
      <c r="K231" s="4452">
        <v>0</v>
      </c>
      <c r="L231" s="7147"/>
      <c r="M231" s="4879">
        <f t="shared" si="414"/>
        <v>31.94</v>
      </c>
      <c r="N231" s="7139"/>
      <c r="O231" s="4452">
        <v>0</v>
      </c>
      <c r="P231" s="7140"/>
      <c r="Q231" s="4844">
        <f t="shared" si="415"/>
        <v>31.94</v>
      </c>
      <c r="R231" s="7139"/>
      <c r="S231" s="4452">
        <v>0</v>
      </c>
      <c r="T231" s="7140"/>
      <c r="U231" s="4844">
        <f t="shared" si="416"/>
        <v>31.94</v>
      </c>
      <c r="V231" s="7139"/>
      <c r="W231" s="4452"/>
      <c r="X231" s="7147"/>
      <c r="Y231" s="4879">
        <f t="shared" si="417"/>
        <v>0</v>
      </c>
      <c r="Z231" s="7160"/>
      <c r="AA231" s="6970">
        <f t="shared" si="418"/>
        <v>31.94</v>
      </c>
      <c r="AB231" s="7306"/>
      <c r="AC231" s="4452">
        <v>0</v>
      </c>
      <c r="AD231" s="7299"/>
      <c r="AE231" s="4844">
        <f t="shared" si="419"/>
        <v>31.94</v>
      </c>
      <c r="AF231" s="7568"/>
      <c r="AG231" s="4452">
        <v>0</v>
      </c>
      <c r="AH231" s="7569"/>
      <c r="AI231" s="5015">
        <f t="shared" si="420"/>
        <v>31.94</v>
      </c>
      <c r="AJ231" s="7712"/>
      <c r="AK231" s="4452">
        <v>0</v>
      </c>
      <c r="AL231" s="7713"/>
      <c r="AM231" s="6140">
        <f t="shared" si="421"/>
        <v>0</v>
      </c>
      <c r="AN231" s="7724"/>
      <c r="AO231" s="5015">
        <f t="shared" si="422"/>
        <v>31.94</v>
      </c>
      <c r="AP231" s="8030"/>
      <c r="AQ231" s="4452"/>
      <c r="AR231" s="8032"/>
      <c r="AS231" s="5015">
        <f t="shared" si="423"/>
        <v>31.94</v>
      </c>
      <c r="AT231" s="8224"/>
      <c r="AU231" s="4452"/>
      <c r="AV231" s="8225"/>
      <c r="AW231" s="5015">
        <f t="shared" si="424"/>
        <v>31.94</v>
      </c>
      <c r="AX231" s="8289"/>
      <c r="AY231" s="4452"/>
      <c r="AZ231" s="8294"/>
      <c r="BA231" s="6140">
        <f t="shared" si="425"/>
        <v>0</v>
      </c>
      <c r="BB231" s="8294">
        <f t="shared" si="411"/>
        <v>0</v>
      </c>
      <c r="BC231" s="6140">
        <f t="shared" si="412"/>
        <v>0</v>
      </c>
      <c r="BD231" s="8306"/>
      <c r="BE231" s="6960">
        <f t="shared" si="426"/>
        <v>31.94</v>
      </c>
    </row>
    <row r="232" spans="1:60" s="5718" customFormat="1" ht="18.75" customHeight="1" x14ac:dyDescent="0.2">
      <c r="A232" s="4225"/>
      <c r="B232" s="4861" t="s">
        <v>2385</v>
      </c>
      <c r="C232" s="7535" t="s">
        <v>2410</v>
      </c>
      <c r="D232" s="7524"/>
      <c r="E232" s="4452"/>
      <c r="F232" s="8815"/>
      <c r="G232" s="4452"/>
      <c r="H232" s="8789"/>
      <c r="I232" s="4844">
        <f t="shared" si="413"/>
        <v>0</v>
      </c>
      <c r="J232" s="8755"/>
      <c r="K232" s="4452">
        <v>17.809999999999999</v>
      </c>
      <c r="L232" s="8713"/>
      <c r="M232" s="4879">
        <f t="shared" si="414"/>
        <v>17.809999999999999</v>
      </c>
      <c r="N232" s="8755"/>
      <c r="O232" s="4452">
        <v>0</v>
      </c>
      <c r="P232" s="8789"/>
      <c r="Q232" s="4844">
        <f t="shared" si="415"/>
        <v>17.809999999999999</v>
      </c>
      <c r="R232" s="8755"/>
      <c r="S232" s="4452">
        <v>0</v>
      </c>
      <c r="T232" s="8789"/>
      <c r="U232" s="4844">
        <f t="shared" si="416"/>
        <v>17.809999999999999</v>
      </c>
      <c r="V232" s="8755"/>
      <c r="W232" s="4452"/>
      <c r="X232" s="8713"/>
      <c r="Y232" s="4879">
        <f t="shared" si="417"/>
        <v>0</v>
      </c>
      <c r="Z232" s="8717"/>
      <c r="AA232" s="6970">
        <f t="shared" si="418"/>
        <v>17.809999999999999</v>
      </c>
      <c r="AB232" s="8755"/>
      <c r="AC232" s="4452">
        <v>0</v>
      </c>
      <c r="AD232" s="8789"/>
      <c r="AE232" s="4844">
        <f t="shared" si="419"/>
        <v>17.809999999999999</v>
      </c>
      <c r="AF232" s="8755"/>
      <c r="AG232" s="4452">
        <v>0</v>
      </c>
      <c r="AH232" s="8789"/>
      <c r="AI232" s="5015">
        <f t="shared" si="420"/>
        <v>17.809999999999999</v>
      </c>
      <c r="AJ232" s="8755"/>
      <c r="AK232" s="4452">
        <v>0</v>
      </c>
      <c r="AL232" s="8713"/>
      <c r="AM232" s="6140">
        <f t="shared" si="421"/>
        <v>0</v>
      </c>
      <c r="AN232" s="8789"/>
      <c r="AO232" s="5015">
        <f t="shared" si="422"/>
        <v>17.809999999999999</v>
      </c>
      <c r="AP232" s="8755"/>
      <c r="AQ232" s="4452"/>
      <c r="AR232" s="8789"/>
      <c r="AS232" s="5015">
        <f t="shared" si="423"/>
        <v>17.809999999999999</v>
      </c>
      <c r="AT232" s="8755"/>
      <c r="AU232" s="4452"/>
      <c r="AV232" s="8789"/>
      <c r="AW232" s="5015">
        <f t="shared" si="424"/>
        <v>17.809999999999999</v>
      </c>
      <c r="AX232" s="8755"/>
      <c r="AY232" s="4452"/>
      <c r="AZ232" s="8713"/>
      <c r="BA232" s="6140">
        <f t="shared" si="425"/>
        <v>0</v>
      </c>
      <c r="BB232" s="8713">
        <f t="shared" si="411"/>
        <v>0</v>
      </c>
      <c r="BC232" s="6140">
        <f t="shared" si="412"/>
        <v>0</v>
      </c>
      <c r="BD232" s="8717"/>
      <c r="BE232" s="6960">
        <f t="shared" si="426"/>
        <v>17.809999999999999</v>
      </c>
    </row>
    <row r="233" spans="1:60" ht="18.75" customHeight="1" x14ac:dyDescent="0.2">
      <c r="A233" s="4225"/>
      <c r="B233" s="4861" t="s">
        <v>2386</v>
      </c>
      <c r="C233" s="7535" t="s">
        <v>2410</v>
      </c>
      <c r="D233" s="7524"/>
      <c r="E233" s="4452">
        <v>0</v>
      </c>
      <c r="F233" s="8815"/>
      <c r="G233" s="4452">
        <v>173.48000000000002</v>
      </c>
      <c r="H233" s="8789"/>
      <c r="I233" s="4844">
        <f t="shared" si="413"/>
        <v>173.48000000000002</v>
      </c>
      <c r="J233" s="8755"/>
      <c r="K233" s="4452">
        <v>0</v>
      </c>
      <c r="L233" s="8713"/>
      <c r="M233" s="4879">
        <f t="shared" si="414"/>
        <v>173.48000000000002</v>
      </c>
      <c r="N233" s="8755"/>
      <c r="O233" s="4452">
        <v>0</v>
      </c>
      <c r="P233" s="8789"/>
      <c r="Q233" s="4844">
        <f t="shared" si="415"/>
        <v>173.48000000000002</v>
      </c>
      <c r="R233" s="8755"/>
      <c r="S233" s="4452">
        <v>0</v>
      </c>
      <c r="T233" s="8789"/>
      <c r="U233" s="4844">
        <f t="shared" si="416"/>
        <v>173.48000000000002</v>
      </c>
      <c r="V233" s="8755"/>
      <c r="W233" s="4452"/>
      <c r="X233" s="8713"/>
      <c r="Y233" s="4879">
        <f t="shared" si="417"/>
        <v>0</v>
      </c>
      <c r="Z233" s="8717"/>
      <c r="AA233" s="6970">
        <f t="shared" si="418"/>
        <v>173.48000000000002</v>
      </c>
      <c r="AB233" s="8755"/>
      <c r="AC233" s="4452">
        <v>0</v>
      </c>
      <c r="AD233" s="8789"/>
      <c r="AE233" s="4844">
        <f t="shared" si="419"/>
        <v>173.48000000000002</v>
      </c>
      <c r="AF233" s="8755"/>
      <c r="AG233" s="4452">
        <v>0</v>
      </c>
      <c r="AH233" s="8789"/>
      <c r="AI233" s="5015">
        <f t="shared" si="420"/>
        <v>173.48000000000002</v>
      </c>
      <c r="AJ233" s="8755"/>
      <c r="AK233" s="4452">
        <v>0</v>
      </c>
      <c r="AL233" s="8713"/>
      <c r="AM233" s="6140">
        <f t="shared" si="421"/>
        <v>0</v>
      </c>
      <c r="AN233" s="8789"/>
      <c r="AO233" s="5015">
        <f t="shared" si="422"/>
        <v>173.48000000000002</v>
      </c>
      <c r="AP233" s="8755"/>
      <c r="AQ233" s="4452"/>
      <c r="AR233" s="8789"/>
      <c r="AS233" s="5015">
        <f t="shared" si="423"/>
        <v>173.48000000000002</v>
      </c>
      <c r="AT233" s="8755"/>
      <c r="AU233" s="4452"/>
      <c r="AV233" s="8789"/>
      <c r="AW233" s="5015">
        <f t="shared" si="424"/>
        <v>173.48000000000002</v>
      </c>
      <c r="AX233" s="8755"/>
      <c r="AY233" s="4452">
        <v>124.56</v>
      </c>
      <c r="AZ233" s="8713"/>
      <c r="BA233" s="6140">
        <f t="shared" si="425"/>
        <v>124.56</v>
      </c>
      <c r="BB233" s="8713">
        <f t="shared" si="411"/>
        <v>0</v>
      </c>
      <c r="BC233" s="6140">
        <f t="shared" si="412"/>
        <v>124.56</v>
      </c>
      <c r="BD233" s="8717"/>
      <c r="BE233" s="6960">
        <f t="shared" si="426"/>
        <v>298.04000000000002</v>
      </c>
    </row>
    <row r="234" spans="1:60" s="7634" customFormat="1" ht="18.75" customHeight="1" x14ac:dyDescent="0.2">
      <c r="A234" s="4225"/>
      <c r="B234" s="4861" t="s">
        <v>2387</v>
      </c>
      <c r="C234" s="7535" t="s">
        <v>2410</v>
      </c>
      <c r="D234" s="7524"/>
      <c r="E234" s="4452"/>
      <c r="F234" s="8815"/>
      <c r="G234" s="4452"/>
      <c r="H234" s="8789"/>
      <c r="I234" s="4844"/>
      <c r="J234" s="8755"/>
      <c r="K234" s="4452"/>
      <c r="L234" s="8713"/>
      <c r="M234" s="4879"/>
      <c r="N234" s="8755"/>
      <c r="O234" s="4452"/>
      <c r="P234" s="8789"/>
      <c r="Q234" s="4844"/>
      <c r="R234" s="8755"/>
      <c r="S234" s="4452"/>
      <c r="T234" s="8789"/>
      <c r="U234" s="4844"/>
      <c r="V234" s="8755"/>
      <c r="W234" s="4452"/>
      <c r="X234" s="8713"/>
      <c r="Y234" s="4879"/>
      <c r="Z234" s="8717"/>
      <c r="AA234" s="6970"/>
      <c r="AB234" s="8755"/>
      <c r="AC234" s="4452"/>
      <c r="AD234" s="8789"/>
      <c r="AE234" s="4844"/>
      <c r="AF234" s="8755"/>
      <c r="AG234" s="4452">
        <v>63.3</v>
      </c>
      <c r="AH234" s="8789"/>
      <c r="AI234" s="5015">
        <f t="shared" si="420"/>
        <v>63.3</v>
      </c>
      <c r="AJ234" s="8755"/>
      <c r="AK234" s="4452">
        <v>0</v>
      </c>
      <c r="AL234" s="8713"/>
      <c r="AM234" s="6140">
        <f t="shared" si="421"/>
        <v>63.3</v>
      </c>
      <c r="AN234" s="8789"/>
      <c r="AO234" s="5015">
        <f t="shared" si="422"/>
        <v>63.3</v>
      </c>
      <c r="AP234" s="8755"/>
      <c r="AQ234" s="4452"/>
      <c r="AR234" s="8789"/>
      <c r="AS234" s="5015">
        <f t="shared" si="423"/>
        <v>63.3</v>
      </c>
      <c r="AT234" s="8755"/>
      <c r="AU234" s="4452"/>
      <c r="AV234" s="8789"/>
      <c r="AW234" s="5015">
        <f t="shared" si="424"/>
        <v>63.3</v>
      </c>
      <c r="AX234" s="8755"/>
      <c r="AY234" s="4452"/>
      <c r="AZ234" s="8713"/>
      <c r="BA234" s="6140">
        <f t="shared" si="425"/>
        <v>0</v>
      </c>
      <c r="BB234" s="8713">
        <f t="shared" si="411"/>
        <v>0</v>
      </c>
      <c r="BC234" s="6140">
        <f t="shared" si="412"/>
        <v>63.3</v>
      </c>
      <c r="BD234" s="8717"/>
      <c r="BE234" s="6960">
        <f t="shared" si="426"/>
        <v>63.3</v>
      </c>
    </row>
    <row r="235" spans="1:60" s="8125" customFormat="1" ht="18.75" customHeight="1" x14ac:dyDescent="0.2">
      <c r="A235" s="4225"/>
      <c r="B235" s="4861" t="s">
        <v>2562</v>
      </c>
      <c r="C235" s="7535" t="s">
        <v>2411</v>
      </c>
      <c r="D235" s="7524"/>
      <c r="E235" s="4452"/>
      <c r="F235" s="8815"/>
      <c r="G235" s="4452"/>
      <c r="H235" s="8789"/>
      <c r="I235" s="4844"/>
      <c r="J235" s="8755"/>
      <c r="K235" s="4452"/>
      <c r="L235" s="8713"/>
      <c r="M235" s="4879"/>
      <c r="N235" s="8755"/>
      <c r="O235" s="4452"/>
      <c r="P235" s="8789"/>
      <c r="Q235" s="4844"/>
      <c r="R235" s="8755"/>
      <c r="S235" s="4452"/>
      <c r="T235" s="8789"/>
      <c r="U235" s="4844"/>
      <c r="V235" s="8755"/>
      <c r="W235" s="4452"/>
      <c r="X235" s="8713"/>
      <c r="Y235" s="4879"/>
      <c r="Z235" s="8717"/>
      <c r="AA235" s="6970"/>
      <c r="AB235" s="8755"/>
      <c r="AC235" s="4452"/>
      <c r="AD235" s="8789"/>
      <c r="AE235" s="4844"/>
      <c r="AF235" s="8755"/>
      <c r="AG235" s="4452"/>
      <c r="AH235" s="8789"/>
      <c r="AI235" s="5015"/>
      <c r="AJ235" s="8755"/>
      <c r="AK235" s="4452"/>
      <c r="AL235" s="8713"/>
      <c r="AM235" s="6140"/>
      <c r="AN235" s="8789"/>
      <c r="AO235" s="5015"/>
      <c r="AP235" s="8755"/>
      <c r="AQ235" s="4452">
        <v>1244.31</v>
      </c>
      <c r="AR235" s="8789"/>
      <c r="AS235" s="5015">
        <f t="shared" si="423"/>
        <v>1244.31</v>
      </c>
      <c r="AT235" s="8755"/>
      <c r="AU235" s="4452"/>
      <c r="AV235" s="8789"/>
      <c r="AW235" s="5015">
        <f t="shared" si="424"/>
        <v>1244.31</v>
      </c>
      <c r="AX235" s="8755"/>
      <c r="AY235" s="4452"/>
      <c r="AZ235" s="8713"/>
      <c r="BA235" s="6140">
        <f t="shared" si="425"/>
        <v>1244.31</v>
      </c>
      <c r="BB235" s="8713">
        <f t="shared" si="411"/>
        <v>0</v>
      </c>
      <c r="BC235" s="6140">
        <f t="shared" si="412"/>
        <v>1244.31</v>
      </c>
      <c r="BD235" s="8717"/>
      <c r="BE235" s="6960">
        <f t="shared" si="426"/>
        <v>1244.31</v>
      </c>
    </row>
    <row r="236" spans="1:60" ht="18.75" customHeight="1" x14ac:dyDescent="0.2">
      <c r="A236" s="4225"/>
      <c r="B236" s="4861" t="s">
        <v>2387</v>
      </c>
      <c r="C236" s="7535" t="s">
        <v>2411</v>
      </c>
      <c r="D236" s="7524"/>
      <c r="E236" s="4452">
        <v>0</v>
      </c>
      <c r="F236" s="8815"/>
      <c r="G236" s="4452">
        <v>28.33</v>
      </c>
      <c r="H236" s="8789"/>
      <c r="I236" s="4844">
        <f t="shared" si="413"/>
        <v>28.33</v>
      </c>
      <c r="J236" s="8755"/>
      <c r="K236" s="4452">
        <v>0</v>
      </c>
      <c r="L236" s="8713"/>
      <c r="M236" s="4879">
        <f t="shared" si="414"/>
        <v>28.33</v>
      </c>
      <c r="N236" s="8755"/>
      <c r="O236" s="4452">
        <v>0</v>
      </c>
      <c r="P236" s="8789"/>
      <c r="Q236" s="4844">
        <f t="shared" si="415"/>
        <v>28.33</v>
      </c>
      <c r="R236" s="8755"/>
      <c r="S236" s="4452">
        <v>0</v>
      </c>
      <c r="T236" s="8789"/>
      <c r="U236" s="4844">
        <f t="shared" si="416"/>
        <v>28.33</v>
      </c>
      <c r="V236" s="8755"/>
      <c r="W236" s="4452"/>
      <c r="X236" s="8713"/>
      <c r="Y236" s="4879">
        <f t="shared" si="417"/>
        <v>0</v>
      </c>
      <c r="Z236" s="8717"/>
      <c r="AA236" s="6970">
        <f t="shared" si="418"/>
        <v>28.33</v>
      </c>
      <c r="AB236" s="8755"/>
      <c r="AC236" s="4452">
        <v>0</v>
      </c>
      <c r="AD236" s="8789"/>
      <c r="AE236" s="4844">
        <f t="shared" si="419"/>
        <v>28.33</v>
      </c>
      <c r="AF236" s="8755"/>
      <c r="AG236" s="4452">
        <v>0</v>
      </c>
      <c r="AH236" s="8789"/>
      <c r="AI236" s="5015">
        <f t="shared" si="420"/>
        <v>28.33</v>
      </c>
      <c r="AJ236" s="8755"/>
      <c r="AK236" s="4452">
        <v>0</v>
      </c>
      <c r="AL236" s="8713"/>
      <c r="AM236" s="6140">
        <f t="shared" si="421"/>
        <v>0</v>
      </c>
      <c r="AN236" s="8789"/>
      <c r="AO236" s="5015">
        <f t="shared" si="422"/>
        <v>28.33</v>
      </c>
      <c r="AP236" s="8755"/>
      <c r="AQ236" s="4452">
        <v>567.76</v>
      </c>
      <c r="AR236" s="8789"/>
      <c r="AS236" s="5015">
        <f t="shared" si="423"/>
        <v>596.09</v>
      </c>
      <c r="AT236" s="8755"/>
      <c r="AU236" s="4452">
        <v>62.98</v>
      </c>
      <c r="AV236" s="8789"/>
      <c r="AW236" s="5015">
        <f t="shared" si="424"/>
        <v>659.07</v>
      </c>
      <c r="AX236" s="8755"/>
      <c r="AY236" s="4452">
        <v>63.42</v>
      </c>
      <c r="AZ236" s="8713"/>
      <c r="BA236" s="6140">
        <f t="shared" si="425"/>
        <v>694.16</v>
      </c>
      <c r="BB236" s="8713">
        <f t="shared" si="411"/>
        <v>0</v>
      </c>
      <c r="BC236" s="6140">
        <f t="shared" si="412"/>
        <v>694.16</v>
      </c>
      <c r="BD236" s="8717"/>
      <c r="BE236" s="6960">
        <f t="shared" si="426"/>
        <v>722.49</v>
      </c>
    </row>
    <row r="237" spans="1:60" s="3938" customFormat="1" ht="19.5" customHeight="1" x14ac:dyDescent="0.2">
      <c r="A237" s="4225"/>
      <c r="B237" s="7278" t="s">
        <v>1227</v>
      </c>
      <c r="C237" s="4010"/>
      <c r="D237" s="7279"/>
      <c r="E237" s="7279">
        <f>+E19</f>
        <v>0</v>
      </c>
      <c r="F237" s="7279"/>
      <c r="G237" s="7279">
        <f>+G19</f>
        <v>0</v>
      </c>
      <c r="H237" s="7279"/>
      <c r="I237" s="7279">
        <f>+I19</f>
        <v>0</v>
      </c>
      <c r="J237" s="7279"/>
      <c r="K237" s="7279">
        <f>+K19</f>
        <v>0</v>
      </c>
      <c r="L237" s="7279"/>
      <c r="M237" s="7279">
        <f>+M19</f>
        <v>0</v>
      </c>
      <c r="N237" s="7279"/>
      <c r="O237" s="7279">
        <f>+O19</f>
        <v>0</v>
      </c>
      <c r="P237" s="7279"/>
      <c r="Q237" s="7279">
        <f>+Q19</f>
        <v>0</v>
      </c>
      <c r="R237" s="7279"/>
      <c r="S237" s="7279">
        <f>+S19</f>
        <v>352.03</v>
      </c>
      <c r="T237" s="7279"/>
      <c r="U237" s="7279">
        <f>+U19</f>
        <v>352.03</v>
      </c>
      <c r="V237" s="7279"/>
      <c r="W237" s="7279">
        <f>+W19</f>
        <v>2977.86</v>
      </c>
      <c r="X237" s="7279"/>
      <c r="Y237" s="7279">
        <f>+Y19</f>
        <v>3329.8900000000003</v>
      </c>
      <c r="Z237" s="7279"/>
      <c r="AA237" s="7279">
        <f>+AA19</f>
        <v>3329.8900000000003</v>
      </c>
      <c r="AB237" s="7279"/>
      <c r="AC237" s="7279">
        <f>+AC19</f>
        <v>0</v>
      </c>
      <c r="AD237" s="7279"/>
      <c r="AE237" s="4844">
        <f t="shared" si="419"/>
        <v>3329.8900000000003</v>
      </c>
      <c r="AF237" s="7279"/>
      <c r="AG237" s="7279">
        <f>+AG19</f>
        <v>46.120000000000005</v>
      </c>
      <c r="AH237" s="7279"/>
      <c r="AI237" s="7279">
        <f>+AI19</f>
        <v>3376.01</v>
      </c>
      <c r="AJ237" s="7279"/>
      <c r="AK237" s="7279">
        <f>+AK19</f>
        <v>184.88</v>
      </c>
      <c r="AL237" s="7279"/>
      <c r="AM237" s="7279">
        <f>+AM19</f>
        <v>231</v>
      </c>
      <c r="AN237" s="7279"/>
      <c r="AO237" s="7279">
        <f>+AO19</f>
        <v>3560.8900000000003</v>
      </c>
      <c r="AP237" s="7279"/>
      <c r="AQ237" s="7279">
        <f>+AQ19</f>
        <v>0</v>
      </c>
      <c r="AR237" s="7279"/>
      <c r="AS237" s="7279">
        <f>+AS19</f>
        <v>3560.8900000000003</v>
      </c>
      <c r="AT237" s="7279"/>
      <c r="AU237" s="7279">
        <v>0</v>
      </c>
      <c r="AV237" s="7279"/>
      <c r="AW237" s="7279">
        <f>+AW19</f>
        <v>3560.8900000000003</v>
      </c>
      <c r="AX237" s="7279"/>
      <c r="AY237" s="7279">
        <v>0</v>
      </c>
      <c r="AZ237" s="7279"/>
      <c r="BA237" s="6140">
        <f t="shared" si="425"/>
        <v>0</v>
      </c>
      <c r="BB237" s="7279">
        <f t="shared" si="411"/>
        <v>0</v>
      </c>
      <c r="BC237" s="6140">
        <f t="shared" si="412"/>
        <v>231</v>
      </c>
      <c r="BD237" s="7279"/>
      <c r="BE237" s="6960">
        <f t="shared" si="426"/>
        <v>3560.8900000000003</v>
      </c>
    </row>
    <row r="238" spans="1:60" s="3380" customFormat="1" ht="19" thickBot="1" x14ac:dyDescent="0.25">
      <c r="B238" s="5018" t="s">
        <v>505</v>
      </c>
      <c r="C238" s="5019" t="s">
        <v>170</v>
      </c>
      <c r="D238" s="7157">
        <f>+D23</f>
        <v>0</v>
      </c>
      <c r="E238" s="5020">
        <f>SUM(E202:E237)</f>
        <v>985.8</v>
      </c>
      <c r="F238" s="7479">
        <f>+F23</f>
        <v>0</v>
      </c>
      <c r="G238" s="5020">
        <f>SUM(G202:G237)</f>
        <v>3719.2910000000002</v>
      </c>
      <c r="H238" s="7157">
        <f>+H23</f>
        <v>0</v>
      </c>
      <c r="I238" s="5020">
        <f>SUM(I202:I237)</f>
        <v>4705.0910000000003</v>
      </c>
      <c r="J238" s="7157">
        <f>+J23</f>
        <v>0</v>
      </c>
      <c r="K238" s="5020">
        <f>SUM(K202:K237)</f>
        <v>4850.5110000000004</v>
      </c>
      <c r="L238" s="7151">
        <f>+L23</f>
        <v>0</v>
      </c>
      <c r="M238" s="5741">
        <f>SUM(M202:M237)</f>
        <v>9555.6020000000008</v>
      </c>
      <c r="N238" s="7157">
        <f>+N23</f>
        <v>7000</v>
      </c>
      <c r="O238" s="5020">
        <f>SUM(O202:O237)</f>
        <v>2379.7000000000003</v>
      </c>
      <c r="P238" s="7157">
        <f>+P23</f>
        <v>7000</v>
      </c>
      <c r="Q238" s="5020">
        <f>SUM(Q202:Q237)</f>
        <v>11935.302000000001</v>
      </c>
      <c r="R238" s="7157">
        <f>+R23</f>
        <v>8000</v>
      </c>
      <c r="S238" s="5020">
        <f>SUM(S202:S237)</f>
        <v>813.76</v>
      </c>
      <c r="T238" s="7157">
        <f>+T23</f>
        <v>15000</v>
      </c>
      <c r="U238" s="5020">
        <f>SUM(U202:U237)</f>
        <v>12749.062</v>
      </c>
      <c r="V238" s="7157">
        <f>+V23</f>
        <v>10000</v>
      </c>
      <c r="W238" s="5020">
        <f>SUM(W202:W237)</f>
        <v>3337.13</v>
      </c>
      <c r="X238" s="7151">
        <f>+X23</f>
        <v>25000</v>
      </c>
      <c r="Y238" s="5741">
        <f>SUM(Y202:Y237)</f>
        <v>6530.59</v>
      </c>
      <c r="Z238" s="7158">
        <f>+Z23</f>
        <v>25000</v>
      </c>
      <c r="AA238" s="7235">
        <f>SUM(AA202:AA237)</f>
        <v>16086.191999999999</v>
      </c>
      <c r="AB238" s="7310">
        <f>+AB23</f>
        <v>10000</v>
      </c>
      <c r="AC238" s="5020">
        <f>SUM(AC202:AC237)</f>
        <v>12306.479999999998</v>
      </c>
      <c r="AD238" s="7310">
        <f>+AD23</f>
        <v>35000</v>
      </c>
      <c r="AE238" s="5020">
        <f>SUM(AE202:AE237)</f>
        <v>28392.672000000006</v>
      </c>
      <c r="AF238" s="7577">
        <f>+AF23</f>
        <v>40000</v>
      </c>
      <c r="AG238" s="5020">
        <f>SUM(AG202:AG237)</f>
        <v>18760.43</v>
      </c>
      <c r="AH238" s="7577">
        <f>+AH23</f>
        <v>75000</v>
      </c>
      <c r="AI238" s="5020">
        <f>SUM(AI202:AI237)</f>
        <v>47153.101999999999</v>
      </c>
      <c r="AJ238" s="7730">
        <f>+AJ23</f>
        <v>30000</v>
      </c>
      <c r="AK238" s="5020">
        <f>SUM(AK202:AK237)</f>
        <v>12872.42</v>
      </c>
      <c r="AL238" s="7718">
        <f>+AL23</f>
        <v>80000</v>
      </c>
      <c r="AM238" s="5741">
        <f>SUM(AM202:AM237)</f>
        <v>43939.329999999994</v>
      </c>
      <c r="AN238" s="7730">
        <f>+AN23</f>
        <v>105000</v>
      </c>
      <c r="AO238" s="5020">
        <f>SUM(AO202:AO237)</f>
        <v>60025.521999999997</v>
      </c>
      <c r="AP238" s="8043">
        <f>+AP23</f>
        <v>35000</v>
      </c>
      <c r="AQ238" s="5020">
        <f>SUM(AQ202:AQ237)</f>
        <v>13700.860000000002</v>
      </c>
      <c r="AR238" s="8043">
        <f>+AR23</f>
        <v>140000</v>
      </c>
      <c r="AS238" s="5020">
        <f>SUM(AS202:AS237)</f>
        <v>73726.381999999998</v>
      </c>
      <c r="AT238" s="8234">
        <f>+AT23</f>
        <v>35000</v>
      </c>
      <c r="AU238" s="5020">
        <f>SUM(AU202:AU237)</f>
        <v>17221.009999999998</v>
      </c>
      <c r="AV238" s="8234">
        <f>+AV23</f>
        <v>175000</v>
      </c>
      <c r="AW238" s="5020">
        <f>SUM(AW202:AW237)</f>
        <v>90947.391999999993</v>
      </c>
      <c r="AX238" s="8316">
        <f>+AX23</f>
        <v>45000</v>
      </c>
      <c r="AY238" s="5020">
        <f>SUM(AY202:AY237)</f>
        <v>13013.900000000001</v>
      </c>
      <c r="AZ238" s="8300">
        <f>+AZ23</f>
        <v>115000</v>
      </c>
      <c r="BA238" s="5741">
        <f>SUM(BA202:BA237)</f>
        <v>43935.77</v>
      </c>
      <c r="BB238" s="8300">
        <f t="shared" si="411"/>
        <v>195000</v>
      </c>
      <c r="BC238" s="5741">
        <f t="shared" si="412"/>
        <v>87875.099999999991</v>
      </c>
      <c r="BD238" s="8311">
        <f>+BD23</f>
        <v>220000</v>
      </c>
      <c r="BE238" s="7235">
        <f>SUM(BE202:BE237)</f>
        <v>103961.292</v>
      </c>
    </row>
    <row r="239" spans="1:60" s="3380" customFormat="1" ht="19.5" customHeight="1" x14ac:dyDescent="0.25">
      <c r="B239" s="4880" t="s">
        <v>1837</v>
      </c>
      <c r="C239" s="4847"/>
      <c r="D239" s="4848"/>
      <c r="E239" s="5443"/>
      <c r="F239" s="4848"/>
      <c r="G239" s="5443"/>
      <c r="H239" s="4851"/>
      <c r="I239" s="5443"/>
      <c r="J239" s="4851"/>
      <c r="K239" s="5443"/>
      <c r="L239" s="5750"/>
      <c r="M239" s="5751"/>
      <c r="N239" s="4851"/>
      <c r="O239" s="5443"/>
      <c r="P239" s="4851"/>
      <c r="Q239" s="5443"/>
      <c r="R239" s="4851"/>
      <c r="S239" s="5443"/>
      <c r="T239" s="4851"/>
      <c r="U239" s="5443"/>
      <c r="V239" s="4851"/>
      <c r="W239" s="5443"/>
      <c r="X239" s="5750"/>
      <c r="Y239" s="5751"/>
      <c r="Z239" s="7246"/>
      <c r="AA239" s="7247"/>
      <c r="AB239" s="4851"/>
      <c r="AC239" s="5443"/>
      <c r="AD239" s="4851"/>
      <c r="AE239" s="5443"/>
      <c r="AF239" s="4851"/>
      <c r="AG239" s="5443"/>
      <c r="AH239" s="4851"/>
      <c r="AI239" s="5443"/>
      <c r="AJ239" s="4851"/>
      <c r="AK239" s="5443"/>
      <c r="AL239" s="5750"/>
      <c r="AM239" s="5751"/>
      <c r="AN239" s="4851"/>
      <c r="AO239" s="5443"/>
      <c r="AP239" s="4851"/>
      <c r="AQ239" s="5443"/>
      <c r="AR239" s="4851"/>
      <c r="AS239" s="5443"/>
      <c r="AT239" s="4851"/>
      <c r="AU239" s="5443"/>
      <c r="AV239" s="4851"/>
      <c r="AW239" s="5443"/>
      <c r="AX239" s="4851"/>
      <c r="AY239" s="5443"/>
      <c r="AZ239" s="5750"/>
      <c r="BA239" s="5751"/>
      <c r="BB239" s="5750">
        <f t="shared" si="411"/>
        <v>0</v>
      </c>
      <c r="BC239" s="5751">
        <f t="shared" si="412"/>
        <v>0</v>
      </c>
      <c r="BD239" s="7246"/>
      <c r="BE239" s="7247"/>
    </row>
    <row r="240" spans="1:60" s="3380" customFormat="1" ht="19.5" customHeight="1" x14ac:dyDescent="0.2">
      <c r="B240" s="4845" t="s">
        <v>1838</v>
      </c>
      <c r="C240" s="4084" t="s">
        <v>170</v>
      </c>
      <c r="D240" s="8756">
        <v>750</v>
      </c>
      <c r="E240" s="4453"/>
      <c r="F240" s="8818">
        <v>875</v>
      </c>
      <c r="G240" s="4456"/>
      <c r="H240" s="8791">
        <f>+F240+D240</f>
        <v>1625</v>
      </c>
      <c r="I240" s="4466">
        <f>+E240+G240</f>
        <v>0</v>
      </c>
      <c r="J240" s="8756"/>
      <c r="K240" s="4453"/>
      <c r="L240" s="8730">
        <f>+J240+H240</f>
        <v>1625</v>
      </c>
      <c r="M240" s="4854">
        <f>+I240+K240</f>
        <v>0</v>
      </c>
      <c r="N240" s="8756"/>
      <c r="O240" s="4453"/>
      <c r="P240" s="8791">
        <f>+N240+L240</f>
        <v>1625</v>
      </c>
      <c r="Q240" s="4466">
        <f>+M240+O240</f>
        <v>0</v>
      </c>
      <c r="R240" s="8756"/>
      <c r="S240" s="4453"/>
      <c r="T240" s="8791">
        <f>+R240+P240</f>
        <v>1625</v>
      </c>
      <c r="U240" s="4466">
        <f>+Q240+S240</f>
        <v>0</v>
      </c>
      <c r="V240" s="8756"/>
      <c r="W240" s="4453"/>
      <c r="X240" s="8730">
        <f>+V240+T240</f>
        <v>1625</v>
      </c>
      <c r="Y240" s="4854">
        <f>+U240+W240</f>
        <v>0</v>
      </c>
      <c r="Z240" s="8711">
        <f>+V240+T240</f>
        <v>1625</v>
      </c>
      <c r="AA240" s="7231">
        <f>+U240+W240</f>
        <v>0</v>
      </c>
      <c r="AB240" s="8756">
        <v>1000</v>
      </c>
      <c r="AC240" s="4453">
        <v>62.07</v>
      </c>
      <c r="AD240" s="8791">
        <f>+AB240+Z240</f>
        <v>2625</v>
      </c>
      <c r="AE240" s="4466">
        <f>+AA240+AC240</f>
        <v>62.07</v>
      </c>
      <c r="AF240" s="8756">
        <v>1000</v>
      </c>
      <c r="AG240" s="4453"/>
      <c r="AH240" s="8791">
        <f>+AF240+AD240</f>
        <v>3625</v>
      </c>
      <c r="AI240" s="4466">
        <f>+AE240+AG240</f>
        <v>62.07</v>
      </c>
      <c r="AJ240" s="8756">
        <v>1508</v>
      </c>
      <c r="AK240" s="4453"/>
      <c r="AL240" s="8730">
        <f>+AJ240+AH240</f>
        <v>5133</v>
      </c>
      <c r="AM240" s="4854">
        <f>+AI240+AK240</f>
        <v>62.07</v>
      </c>
      <c r="AN240" s="8791">
        <f>+AJ240+AH240</f>
        <v>5133</v>
      </c>
      <c r="AO240" s="4466">
        <f>+AI240+AK240</f>
        <v>62.07</v>
      </c>
      <c r="AP240" s="8756"/>
      <c r="AQ240" s="4453">
        <v>0</v>
      </c>
      <c r="AR240" s="8791">
        <f>+AP240+AN240</f>
        <v>5133</v>
      </c>
      <c r="AS240" s="4466">
        <f>+AO240+AQ240</f>
        <v>62.07</v>
      </c>
      <c r="AT240" s="8756"/>
      <c r="AU240" s="4453">
        <v>0</v>
      </c>
      <c r="AV240" s="8791">
        <f>+AT240+AR240</f>
        <v>5133</v>
      </c>
      <c r="AW240" s="4466">
        <f>+AS240+AU240</f>
        <v>62.07</v>
      </c>
      <c r="AX240" s="8756"/>
      <c r="AY240" s="4453">
        <v>0</v>
      </c>
      <c r="AZ240" s="8730">
        <f>+AX240+AV240</f>
        <v>5133</v>
      </c>
      <c r="BA240" s="4854">
        <f t="shared" ref="BA240:BA243" si="427">AQ240+AU240+AY240</f>
        <v>0</v>
      </c>
      <c r="BB240" s="8730">
        <f t="shared" si="411"/>
        <v>10266</v>
      </c>
      <c r="BC240" s="4854">
        <f t="shared" si="412"/>
        <v>62.07</v>
      </c>
      <c r="BD240" s="8711">
        <f>+AX240+AV240</f>
        <v>5133</v>
      </c>
      <c r="BE240" s="7231">
        <f>+AW240+AY240</f>
        <v>62.07</v>
      </c>
    </row>
    <row r="241" spans="2:57" s="3380" customFormat="1" ht="19.5" customHeight="1" x14ac:dyDescent="0.2">
      <c r="B241" s="4845" t="s">
        <v>1930</v>
      </c>
      <c r="C241" s="4084" t="s">
        <v>170</v>
      </c>
      <c r="D241" s="8756"/>
      <c r="E241" s="4453"/>
      <c r="F241" s="8819"/>
      <c r="G241" s="4456">
        <v>42.64</v>
      </c>
      <c r="H241" s="8791"/>
      <c r="I241" s="4466">
        <f>+E241+G241</f>
        <v>42.64</v>
      </c>
      <c r="J241" s="8756"/>
      <c r="K241" s="4453"/>
      <c r="L241" s="8730"/>
      <c r="M241" s="4854">
        <f>+I241+K241</f>
        <v>42.64</v>
      </c>
      <c r="N241" s="8756"/>
      <c r="O241" s="4453"/>
      <c r="P241" s="8791"/>
      <c r="Q241" s="4466">
        <f>+M241+O241</f>
        <v>42.64</v>
      </c>
      <c r="R241" s="8756"/>
      <c r="S241" s="4453"/>
      <c r="T241" s="8791"/>
      <c r="U241" s="4466">
        <f>+Q241+S241</f>
        <v>42.64</v>
      </c>
      <c r="V241" s="8756"/>
      <c r="W241" s="4453"/>
      <c r="X241" s="8730"/>
      <c r="Y241" s="4854">
        <f>+U241+W241</f>
        <v>42.64</v>
      </c>
      <c r="Z241" s="8711"/>
      <c r="AA241" s="7231">
        <f>+U241+W241</f>
        <v>42.64</v>
      </c>
      <c r="AB241" s="8756"/>
      <c r="AC241" s="4453">
        <v>0</v>
      </c>
      <c r="AD241" s="8791"/>
      <c r="AE241" s="4466">
        <f t="shared" ref="AE241:AE244" si="428">+AA241+AC241</f>
        <v>42.64</v>
      </c>
      <c r="AF241" s="8756"/>
      <c r="AG241" s="4453"/>
      <c r="AH241" s="8791"/>
      <c r="AI241" s="4466">
        <f>+AE241+AG241</f>
        <v>42.64</v>
      </c>
      <c r="AJ241" s="8756"/>
      <c r="AK241" s="4453"/>
      <c r="AL241" s="8730"/>
      <c r="AM241" s="4854">
        <f>+AI241+AK241</f>
        <v>42.64</v>
      </c>
      <c r="AN241" s="8791"/>
      <c r="AO241" s="4466">
        <f>+AI241+AK241</f>
        <v>42.64</v>
      </c>
      <c r="AP241" s="8756"/>
      <c r="AQ241" s="4453">
        <v>0</v>
      </c>
      <c r="AR241" s="8791"/>
      <c r="AS241" s="4466">
        <f t="shared" ref="AS241:AS243" si="429">+AO241+AQ241</f>
        <v>42.64</v>
      </c>
      <c r="AT241" s="8756"/>
      <c r="AU241" s="4453">
        <v>0</v>
      </c>
      <c r="AV241" s="8791"/>
      <c r="AW241" s="4466">
        <f t="shared" ref="AW241:AW244" si="430">+AS241+AU241</f>
        <v>42.64</v>
      </c>
      <c r="AX241" s="8756"/>
      <c r="AY241" s="4453">
        <v>0</v>
      </c>
      <c r="AZ241" s="8730"/>
      <c r="BA241" s="4854">
        <f t="shared" si="427"/>
        <v>0</v>
      </c>
      <c r="BB241" s="8730">
        <f t="shared" si="411"/>
        <v>0</v>
      </c>
      <c r="BC241" s="4854">
        <f t="shared" si="412"/>
        <v>42.64</v>
      </c>
      <c r="BD241" s="8711"/>
      <c r="BE241" s="7231">
        <f>+AW241+AY241</f>
        <v>42.64</v>
      </c>
    </row>
    <row r="242" spans="2:57" s="3380" customFormat="1" ht="19.5" customHeight="1" x14ac:dyDescent="0.2">
      <c r="B242" s="4845" t="s">
        <v>1931</v>
      </c>
      <c r="C242" s="4084" t="s">
        <v>170</v>
      </c>
      <c r="D242" s="8756"/>
      <c r="E242" s="4453"/>
      <c r="F242" s="8819"/>
      <c r="G242" s="4456">
        <v>24.86</v>
      </c>
      <c r="H242" s="8791"/>
      <c r="I242" s="4466">
        <f t="shared" ref="I242:I244" si="431">+E242+G242</f>
        <v>24.86</v>
      </c>
      <c r="J242" s="8756"/>
      <c r="K242" s="4453"/>
      <c r="L242" s="8730"/>
      <c r="M242" s="4854">
        <f t="shared" ref="M242:M244" si="432">+I242+K242</f>
        <v>24.86</v>
      </c>
      <c r="N242" s="8756"/>
      <c r="O242" s="4453"/>
      <c r="P242" s="8791"/>
      <c r="Q242" s="4466">
        <f t="shared" ref="Q242:Q244" si="433">+M242+O242</f>
        <v>24.86</v>
      </c>
      <c r="R242" s="8756"/>
      <c r="S242" s="4453"/>
      <c r="T242" s="8791"/>
      <c r="U242" s="4466">
        <f t="shared" ref="U242:U244" si="434">+Q242+S242</f>
        <v>24.86</v>
      </c>
      <c r="V242" s="8756"/>
      <c r="W242" s="4453"/>
      <c r="X242" s="8730"/>
      <c r="Y242" s="4854">
        <f t="shared" ref="Y242:Y244" si="435">+U242+W242</f>
        <v>24.86</v>
      </c>
      <c r="Z242" s="8711"/>
      <c r="AA242" s="7231">
        <f t="shared" ref="AA242:AA244" si="436">+U242+W242</f>
        <v>24.86</v>
      </c>
      <c r="AB242" s="8756"/>
      <c r="AC242" s="4453">
        <v>0</v>
      </c>
      <c r="AD242" s="8791"/>
      <c r="AE242" s="4466">
        <f t="shared" si="428"/>
        <v>24.86</v>
      </c>
      <c r="AF242" s="8756"/>
      <c r="AG242" s="4453"/>
      <c r="AH242" s="8791"/>
      <c r="AI242" s="4466">
        <f t="shared" ref="AI242:AI244" si="437">+AE242+AG242</f>
        <v>24.86</v>
      </c>
      <c r="AJ242" s="8756"/>
      <c r="AK242" s="4453"/>
      <c r="AL242" s="8730"/>
      <c r="AM242" s="4854">
        <f t="shared" ref="AM242:AM244" si="438">+AI242+AK242</f>
        <v>24.86</v>
      </c>
      <c r="AN242" s="8791"/>
      <c r="AO242" s="4466">
        <f t="shared" ref="AO242:AO244" si="439">+AI242+AK242</f>
        <v>24.86</v>
      </c>
      <c r="AP242" s="8756"/>
      <c r="AQ242" s="4453">
        <v>0</v>
      </c>
      <c r="AR242" s="8791"/>
      <c r="AS242" s="4466">
        <f t="shared" si="429"/>
        <v>24.86</v>
      </c>
      <c r="AT242" s="8756"/>
      <c r="AU242" s="4453">
        <v>0</v>
      </c>
      <c r="AV242" s="8791"/>
      <c r="AW242" s="4466">
        <f t="shared" si="430"/>
        <v>24.86</v>
      </c>
      <c r="AX242" s="8756"/>
      <c r="AY242" s="4453">
        <v>0</v>
      </c>
      <c r="AZ242" s="8730"/>
      <c r="BA242" s="4854">
        <f t="shared" si="427"/>
        <v>0</v>
      </c>
      <c r="BB242" s="8730">
        <f t="shared" si="411"/>
        <v>0</v>
      </c>
      <c r="BC242" s="4854">
        <f t="shared" si="412"/>
        <v>24.86</v>
      </c>
      <c r="BD242" s="8711"/>
      <c r="BE242" s="7231">
        <f t="shared" ref="BE242:BE244" si="440">+AW242+AY242</f>
        <v>24.86</v>
      </c>
    </row>
    <row r="243" spans="2:57" s="3380" customFormat="1" ht="19.5" customHeight="1" x14ac:dyDescent="0.2">
      <c r="B243" s="4845" t="s">
        <v>1932</v>
      </c>
      <c r="C243" s="4084" t="s">
        <v>170</v>
      </c>
      <c r="D243" s="8756"/>
      <c r="E243" s="4453"/>
      <c r="F243" s="8819"/>
      <c r="G243" s="4456">
        <v>24.29</v>
      </c>
      <c r="H243" s="8791"/>
      <c r="I243" s="4466">
        <f t="shared" si="431"/>
        <v>24.29</v>
      </c>
      <c r="J243" s="8756"/>
      <c r="K243" s="4453"/>
      <c r="L243" s="8730"/>
      <c r="M243" s="4854">
        <f t="shared" si="432"/>
        <v>24.29</v>
      </c>
      <c r="N243" s="8756"/>
      <c r="O243" s="4453"/>
      <c r="P243" s="8791"/>
      <c r="Q243" s="4466">
        <f t="shared" si="433"/>
        <v>24.29</v>
      </c>
      <c r="R243" s="8756"/>
      <c r="S243" s="4453"/>
      <c r="T243" s="8791"/>
      <c r="U243" s="4466">
        <f t="shared" si="434"/>
        <v>24.29</v>
      </c>
      <c r="V243" s="8756"/>
      <c r="W243" s="4453"/>
      <c r="X243" s="8730"/>
      <c r="Y243" s="4854">
        <f t="shared" si="435"/>
        <v>24.29</v>
      </c>
      <c r="Z243" s="8711"/>
      <c r="AA243" s="7231">
        <f t="shared" si="436"/>
        <v>24.29</v>
      </c>
      <c r="AB243" s="8756"/>
      <c r="AC243" s="4453">
        <v>0</v>
      </c>
      <c r="AD243" s="8791"/>
      <c r="AE243" s="4466">
        <f t="shared" si="428"/>
        <v>24.29</v>
      </c>
      <c r="AF243" s="8756"/>
      <c r="AG243" s="4453"/>
      <c r="AH243" s="8791"/>
      <c r="AI243" s="4466">
        <f t="shared" si="437"/>
        <v>24.29</v>
      </c>
      <c r="AJ243" s="8756"/>
      <c r="AK243" s="4453"/>
      <c r="AL243" s="8730"/>
      <c r="AM243" s="4854">
        <f t="shared" si="438"/>
        <v>24.29</v>
      </c>
      <c r="AN243" s="8791"/>
      <c r="AO243" s="4466">
        <f t="shared" si="439"/>
        <v>24.29</v>
      </c>
      <c r="AP243" s="8756"/>
      <c r="AQ243" s="4453">
        <v>0</v>
      </c>
      <c r="AR243" s="8791"/>
      <c r="AS243" s="4466">
        <f t="shared" si="429"/>
        <v>24.29</v>
      </c>
      <c r="AT243" s="8756"/>
      <c r="AU243" s="4453">
        <v>0</v>
      </c>
      <c r="AV243" s="8791"/>
      <c r="AW243" s="4466">
        <f t="shared" si="430"/>
        <v>24.29</v>
      </c>
      <c r="AX243" s="8756"/>
      <c r="AY243" s="4453">
        <v>0</v>
      </c>
      <c r="AZ243" s="8730"/>
      <c r="BA243" s="4854">
        <f t="shared" si="427"/>
        <v>0</v>
      </c>
      <c r="BB243" s="8730">
        <f t="shared" si="411"/>
        <v>0</v>
      </c>
      <c r="BC243" s="4854">
        <f t="shared" si="412"/>
        <v>24.29</v>
      </c>
      <c r="BD243" s="8711"/>
      <c r="BE243" s="7231">
        <f t="shared" si="440"/>
        <v>24.29</v>
      </c>
    </row>
    <row r="244" spans="2:57" s="3380" customFormat="1" ht="19.5" hidden="1" customHeight="1" x14ac:dyDescent="0.2">
      <c r="B244" s="4845" t="s">
        <v>1839</v>
      </c>
      <c r="C244" s="4084" t="s">
        <v>170</v>
      </c>
      <c r="D244" s="8756"/>
      <c r="E244" s="4453"/>
      <c r="F244" s="8819"/>
      <c r="G244" s="4456"/>
      <c r="H244" s="8791"/>
      <c r="I244" s="4466">
        <f t="shared" si="431"/>
        <v>0</v>
      </c>
      <c r="J244" s="8756"/>
      <c r="K244" s="4453"/>
      <c r="L244" s="8730"/>
      <c r="M244" s="4854">
        <f t="shared" si="432"/>
        <v>0</v>
      </c>
      <c r="N244" s="8756"/>
      <c r="O244" s="4453"/>
      <c r="P244" s="8791"/>
      <c r="Q244" s="4466">
        <f t="shared" si="433"/>
        <v>0</v>
      </c>
      <c r="R244" s="8756"/>
      <c r="S244" s="4453"/>
      <c r="T244" s="8791"/>
      <c r="U244" s="4466">
        <f t="shared" si="434"/>
        <v>0</v>
      </c>
      <c r="V244" s="8756"/>
      <c r="W244" s="4453"/>
      <c r="X244" s="8730"/>
      <c r="Y244" s="4854">
        <f t="shared" si="435"/>
        <v>0</v>
      </c>
      <c r="Z244" s="8711"/>
      <c r="AA244" s="7231">
        <f t="shared" si="436"/>
        <v>0</v>
      </c>
      <c r="AB244" s="8756"/>
      <c r="AC244" s="4453"/>
      <c r="AD244" s="8791"/>
      <c r="AE244" s="4466">
        <f t="shared" si="428"/>
        <v>0</v>
      </c>
      <c r="AF244" s="8756"/>
      <c r="AG244" s="4453"/>
      <c r="AH244" s="8791"/>
      <c r="AI244" s="4466">
        <f t="shared" si="437"/>
        <v>0</v>
      </c>
      <c r="AJ244" s="8756"/>
      <c r="AK244" s="4453"/>
      <c r="AL244" s="8730"/>
      <c r="AM244" s="4854">
        <f t="shared" si="438"/>
        <v>0</v>
      </c>
      <c r="AN244" s="8791"/>
      <c r="AO244" s="4466">
        <f t="shared" si="439"/>
        <v>0</v>
      </c>
      <c r="AP244" s="8756"/>
      <c r="AQ244" s="4453"/>
      <c r="AR244" s="8791"/>
      <c r="AS244" s="4466">
        <f t="shared" ref="AS244" si="441">+AO244+AQ244</f>
        <v>0</v>
      </c>
      <c r="AT244" s="8756"/>
      <c r="AU244" s="4453"/>
      <c r="AV244" s="8791"/>
      <c r="AW244" s="4466">
        <f t="shared" si="430"/>
        <v>0</v>
      </c>
      <c r="AX244" s="8756"/>
      <c r="AY244" s="4453"/>
      <c r="AZ244" s="8730"/>
      <c r="BA244" s="4854">
        <f t="shared" ref="BA244" si="442">+AW244+AY244</f>
        <v>0</v>
      </c>
      <c r="BB244" s="8730">
        <f t="shared" si="411"/>
        <v>0</v>
      </c>
      <c r="BC244" s="4854">
        <f t="shared" si="412"/>
        <v>0</v>
      </c>
      <c r="BD244" s="8711"/>
      <c r="BE244" s="7231">
        <f t="shared" si="440"/>
        <v>0</v>
      </c>
    </row>
    <row r="245" spans="2:57" s="3380" customFormat="1" ht="19.5" customHeight="1" thickBot="1" x14ac:dyDescent="0.25">
      <c r="B245" s="5093" t="s">
        <v>15</v>
      </c>
      <c r="C245" s="5094" t="s">
        <v>170</v>
      </c>
      <c r="D245" s="8757"/>
      <c r="E245" s="4857">
        <f>SUM(E240:E244)</f>
        <v>0</v>
      </c>
      <c r="F245" s="8820"/>
      <c r="G245" s="5738">
        <f>SUM(G240:G244)</f>
        <v>91.789999999999992</v>
      </c>
      <c r="H245" s="8791"/>
      <c r="I245" s="4857">
        <f>SUM(I240:I244)</f>
        <v>91.789999999999992</v>
      </c>
      <c r="J245" s="8757"/>
      <c r="K245" s="4857">
        <f>SUM(K240:K244)</f>
        <v>0</v>
      </c>
      <c r="L245" s="8730"/>
      <c r="M245" s="5752">
        <f>SUM(M240:M244)</f>
        <v>91.789999999999992</v>
      </c>
      <c r="N245" s="8757"/>
      <c r="O245" s="4857">
        <f>SUM(O240:O244)</f>
        <v>0</v>
      </c>
      <c r="P245" s="8791"/>
      <c r="Q245" s="4857">
        <f>SUM(Q240:Q244)</f>
        <v>91.789999999999992</v>
      </c>
      <c r="R245" s="8757"/>
      <c r="S245" s="4857">
        <f>SUM(S240:S244)</f>
        <v>0</v>
      </c>
      <c r="T245" s="8791"/>
      <c r="U245" s="4857">
        <f>SUM(U240:U244)</f>
        <v>91.789999999999992</v>
      </c>
      <c r="V245" s="8757"/>
      <c r="W245" s="4857">
        <f>SUM(W240:W244)</f>
        <v>0</v>
      </c>
      <c r="X245" s="8730"/>
      <c r="Y245" s="5752">
        <f>SUM(Y240:Y244)</f>
        <v>91.789999999999992</v>
      </c>
      <c r="Z245" s="8711"/>
      <c r="AA245" s="7249">
        <f>SUM(AA240:AA244)</f>
        <v>91.789999999999992</v>
      </c>
      <c r="AB245" s="8757"/>
      <c r="AC245" s="4857">
        <f>SUM(AC240:AC244)</f>
        <v>62.07</v>
      </c>
      <c r="AD245" s="8791"/>
      <c r="AE245" s="4857">
        <f>SUM(AE240:AE244)</f>
        <v>153.85999999999999</v>
      </c>
      <c r="AF245" s="8757"/>
      <c r="AG245" s="4857">
        <f>SUM(AG240:AG244)</f>
        <v>0</v>
      </c>
      <c r="AH245" s="8791"/>
      <c r="AI245" s="4857">
        <f>SUM(AI240:AI244)</f>
        <v>153.85999999999999</v>
      </c>
      <c r="AJ245" s="8757"/>
      <c r="AK245" s="4857">
        <f>SUM(AK240:AK244)</f>
        <v>0</v>
      </c>
      <c r="AL245" s="8730"/>
      <c r="AM245" s="5752">
        <f>SUM(AM240:AM244)</f>
        <v>153.85999999999999</v>
      </c>
      <c r="AN245" s="8791"/>
      <c r="AO245" s="4857">
        <f>SUM(AO240:AO244)</f>
        <v>153.85999999999999</v>
      </c>
      <c r="AP245" s="8757"/>
      <c r="AQ245" s="4857">
        <f>SUM(AQ240:AQ244)</f>
        <v>0</v>
      </c>
      <c r="AR245" s="8791"/>
      <c r="AS245" s="4857">
        <f>SUM(AS240:AS244)</f>
        <v>153.85999999999999</v>
      </c>
      <c r="AT245" s="8757"/>
      <c r="AU245" s="4857">
        <f>SUM(AU240:AU244)</f>
        <v>0</v>
      </c>
      <c r="AV245" s="8791"/>
      <c r="AW245" s="4857">
        <f>SUM(AW240:AW244)</f>
        <v>153.85999999999999</v>
      </c>
      <c r="AX245" s="8757"/>
      <c r="AY245" s="4857">
        <f>SUM(AY240:AY244)</f>
        <v>0</v>
      </c>
      <c r="AZ245" s="8730"/>
      <c r="BA245" s="5752">
        <f>SUM(BA240:BA244)</f>
        <v>0</v>
      </c>
      <c r="BB245" s="8730">
        <f t="shared" si="411"/>
        <v>0</v>
      </c>
      <c r="BC245" s="5752">
        <f t="shared" si="412"/>
        <v>153.85999999999999</v>
      </c>
      <c r="BD245" s="8711"/>
      <c r="BE245" s="7249">
        <f>SUM(BE240:BE244)</f>
        <v>153.85999999999999</v>
      </c>
    </row>
    <row r="246" spans="2:57" s="3380" customFormat="1" ht="19.5" customHeight="1" thickBot="1" x14ac:dyDescent="0.25">
      <c r="B246" s="5096"/>
      <c r="C246" s="5097"/>
      <c r="D246" s="5098"/>
      <c r="E246" s="5099"/>
      <c r="F246" s="5098"/>
      <c r="G246" s="5099"/>
      <c r="H246" s="7271"/>
      <c r="I246" s="5099"/>
      <c r="J246" s="7274"/>
      <c r="K246" s="5099"/>
      <c r="L246" s="7271"/>
      <c r="M246" s="5099"/>
      <c r="N246" s="7274"/>
      <c r="O246" s="5099"/>
      <c r="P246" s="7271"/>
      <c r="Q246" s="5099"/>
      <c r="R246" s="7274"/>
      <c r="S246" s="5099"/>
      <c r="T246" s="7271"/>
      <c r="U246" s="5099"/>
      <c r="V246" s="7274"/>
      <c r="W246" s="5099"/>
      <c r="X246" s="7271"/>
      <c r="Y246" s="5099"/>
      <c r="Z246" s="7271"/>
      <c r="AA246" s="5099"/>
      <c r="AB246" s="7274"/>
      <c r="AC246" s="5099"/>
      <c r="AD246" s="7271"/>
      <c r="AE246" s="5099"/>
      <c r="AF246" s="7274"/>
      <c r="AG246" s="5099"/>
      <c r="AH246" s="7271"/>
      <c r="AI246" s="5099"/>
      <c r="AJ246" s="7274"/>
      <c r="AK246" s="5099"/>
      <c r="AL246" s="7271"/>
      <c r="AM246" s="5099"/>
      <c r="AN246" s="7271"/>
      <c r="AO246" s="5099"/>
      <c r="AP246" s="7274"/>
      <c r="AQ246" s="5099"/>
      <c r="AR246" s="7271"/>
      <c r="AS246" s="5099"/>
      <c r="AT246" s="7274"/>
      <c r="AU246" s="5099"/>
      <c r="AV246" s="7271"/>
      <c r="AW246" s="5099"/>
      <c r="AX246" s="7274"/>
      <c r="AY246" s="5099"/>
      <c r="AZ246" s="7271"/>
      <c r="BA246" s="5099"/>
      <c r="BB246" s="7271"/>
      <c r="BC246" s="5099"/>
      <c r="BD246" s="7271"/>
      <c r="BE246" s="5099"/>
    </row>
    <row r="247" spans="2:57" s="3380" customFormat="1" ht="19" thickBot="1" x14ac:dyDescent="0.25">
      <c r="B247" s="5760" t="s">
        <v>1179</v>
      </c>
      <c r="C247" s="5046"/>
      <c r="D247" s="5047"/>
      <c r="E247" s="5761"/>
      <c r="F247" s="5047"/>
      <c r="G247" s="5761"/>
      <c r="H247" s="5762"/>
      <c r="I247" s="5761"/>
      <c r="J247" s="5762"/>
      <c r="K247" s="5761"/>
      <c r="L247" s="5762"/>
      <c r="M247" s="5761"/>
      <c r="N247" s="5762"/>
      <c r="O247" s="5761"/>
      <c r="P247" s="5762"/>
      <c r="Q247" s="5761"/>
      <c r="R247" s="5762"/>
      <c r="S247" s="5761"/>
      <c r="T247" s="5762"/>
      <c r="U247" s="5761"/>
      <c r="V247" s="5762"/>
      <c r="W247" s="5761"/>
      <c r="X247" s="5762"/>
      <c r="Y247" s="5761"/>
      <c r="Z247" s="5762"/>
      <c r="AA247" s="5761"/>
      <c r="AB247" s="5762"/>
      <c r="AC247" s="5761"/>
      <c r="AD247" s="5762"/>
      <c r="AE247" s="5761"/>
      <c r="AF247" s="5762"/>
      <c r="AG247" s="5761"/>
      <c r="AH247" s="5762"/>
      <c r="AI247" s="5761"/>
      <c r="AJ247" s="5762"/>
      <c r="AK247" s="5761"/>
      <c r="AL247" s="5762"/>
      <c r="AM247" s="5761"/>
      <c r="AN247" s="5762"/>
      <c r="AO247" s="5761"/>
      <c r="AP247" s="5762"/>
      <c r="AQ247" s="5761"/>
      <c r="AR247" s="5762"/>
      <c r="AS247" s="5761"/>
      <c r="AT247" s="5762"/>
      <c r="AU247" s="5761"/>
      <c r="AV247" s="5762"/>
      <c r="AW247" s="5761"/>
      <c r="AX247" s="5762"/>
      <c r="AY247" s="5761"/>
      <c r="AZ247" s="5762"/>
      <c r="BA247" s="5761"/>
      <c r="BB247" s="5762"/>
      <c r="BC247" s="5761"/>
      <c r="BD247" s="5762"/>
      <c r="BE247" s="5761"/>
    </row>
    <row r="248" spans="2:57" s="3380" customFormat="1" ht="18" x14ac:dyDescent="0.2">
      <c r="B248" s="5754" t="s">
        <v>1180</v>
      </c>
      <c r="C248" s="3290"/>
      <c r="D248" s="5754"/>
      <c r="E248" s="5756"/>
      <c r="F248" s="5754"/>
      <c r="G248" s="5756"/>
      <c r="H248" s="3435"/>
      <c r="I248" s="5756"/>
      <c r="J248" s="3435"/>
      <c r="K248" s="5756"/>
      <c r="L248" s="3435"/>
      <c r="M248" s="5756"/>
      <c r="N248" s="3435"/>
      <c r="O248" s="5756"/>
      <c r="P248" s="3435"/>
      <c r="Q248" s="5756"/>
      <c r="R248" s="3435"/>
      <c r="S248" s="5756"/>
      <c r="T248" s="3435"/>
      <c r="U248" s="5756"/>
      <c r="V248" s="3435"/>
      <c r="W248" s="5756"/>
      <c r="X248" s="3435"/>
      <c r="Y248" s="5756"/>
      <c r="Z248" s="3435"/>
      <c r="AA248" s="5756"/>
      <c r="AB248" s="3435"/>
      <c r="AC248" s="5756"/>
      <c r="AD248" s="3435"/>
      <c r="AE248" s="5756"/>
      <c r="AF248" s="3435"/>
      <c r="AG248" s="5756"/>
      <c r="AH248" s="3435"/>
      <c r="AI248" s="5756"/>
      <c r="AJ248" s="3435"/>
      <c r="AK248" s="5756"/>
      <c r="AL248" s="3435"/>
      <c r="AM248" s="5756"/>
      <c r="AN248" s="3435"/>
      <c r="AO248" s="5756"/>
      <c r="AP248" s="3435"/>
      <c r="AQ248" s="5756"/>
      <c r="AR248" s="3435"/>
      <c r="AS248" s="5756"/>
      <c r="AT248" s="3435"/>
      <c r="AU248" s="5756"/>
      <c r="AV248" s="3435"/>
      <c r="AW248" s="5756"/>
      <c r="AX248" s="3435"/>
      <c r="AY248" s="5756"/>
      <c r="AZ248" s="3435"/>
      <c r="BA248" s="5756"/>
      <c r="BB248" s="3435"/>
      <c r="BC248" s="5756"/>
      <c r="BD248" s="3435"/>
      <c r="BE248" s="5756"/>
    </row>
    <row r="249" spans="2:57" s="3380" customFormat="1" ht="15.75" customHeight="1" x14ac:dyDescent="0.2">
      <c r="B249" s="5763" t="s">
        <v>503</v>
      </c>
      <c r="C249" s="3237"/>
      <c r="D249" s="5647"/>
      <c r="E249" s="5648"/>
      <c r="F249" s="5647"/>
      <c r="G249" s="5648"/>
      <c r="H249" s="5645"/>
      <c r="I249" s="5648"/>
      <c r="J249" s="5645"/>
      <c r="K249" s="5648"/>
      <c r="L249" s="5645"/>
      <c r="M249" s="5648"/>
      <c r="N249" s="5645"/>
      <c r="O249" s="5648"/>
      <c r="P249" s="5645"/>
      <c r="Q249" s="5648"/>
      <c r="R249" s="5645"/>
      <c r="S249" s="5648"/>
      <c r="T249" s="5645"/>
      <c r="U249" s="5648"/>
      <c r="V249" s="5645"/>
      <c r="W249" s="5648"/>
      <c r="X249" s="5645"/>
      <c r="Y249" s="5648"/>
      <c r="Z249" s="5645"/>
      <c r="AA249" s="5648"/>
      <c r="AB249" s="5645"/>
      <c r="AC249" s="5648"/>
      <c r="AD249" s="5645"/>
      <c r="AE249" s="5648"/>
      <c r="AF249" s="5645"/>
      <c r="AG249" s="5648"/>
      <c r="AH249" s="5645"/>
      <c r="AI249" s="5648"/>
      <c r="AJ249" s="5645"/>
      <c r="AK249" s="5648"/>
      <c r="AL249" s="5645"/>
      <c r="AM249" s="5648"/>
      <c r="AN249" s="5645"/>
      <c r="AO249" s="5648"/>
      <c r="AP249" s="5645"/>
      <c r="AQ249" s="5648"/>
      <c r="AR249" s="5645"/>
      <c r="AS249" s="5648"/>
      <c r="AT249" s="5645"/>
      <c r="AU249" s="5648"/>
      <c r="AV249" s="5645"/>
      <c r="AW249" s="5648"/>
      <c r="AX249" s="5645"/>
      <c r="AY249" s="5648"/>
      <c r="AZ249" s="5645"/>
      <c r="BA249" s="5648"/>
      <c r="BB249" s="5645"/>
      <c r="BC249" s="5648"/>
      <c r="BD249" s="5645"/>
      <c r="BE249" s="5648"/>
    </row>
    <row r="250" spans="2:57" ht="18" x14ac:dyDescent="0.2">
      <c r="B250" s="4899" t="s">
        <v>1708</v>
      </c>
      <c r="C250" s="4010" t="s">
        <v>170</v>
      </c>
      <c r="D250" s="8812"/>
      <c r="E250" s="4453"/>
      <c r="F250" s="8812"/>
      <c r="G250" s="4453"/>
      <c r="H250" s="8788"/>
      <c r="I250" s="4466">
        <f t="shared" ref="I250:I283" si="443">+E250+G250</f>
        <v>0</v>
      </c>
      <c r="J250" s="8758"/>
      <c r="K250" s="4453"/>
      <c r="L250" s="8712"/>
      <c r="M250" s="4854">
        <f t="shared" ref="M250:M267" si="444">+I250+K250</f>
        <v>0</v>
      </c>
      <c r="N250" s="8758"/>
      <c r="O250" s="4453"/>
      <c r="P250" s="8788"/>
      <c r="Q250" s="4466">
        <f t="shared" ref="Q250:Q267" si="445">+M250+O250</f>
        <v>0</v>
      </c>
      <c r="R250" s="8758"/>
      <c r="S250" s="4453">
        <v>0</v>
      </c>
      <c r="T250" s="8788"/>
      <c r="U250" s="4466">
        <f t="shared" ref="U250:U267" si="446">+Q250+S250</f>
        <v>0</v>
      </c>
      <c r="V250" s="8758"/>
      <c r="W250" s="4453">
        <v>0</v>
      </c>
      <c r="X250" s="8712"/>
      <c r="Y250" s="4854">
        <f>O250+S250+W250</f>
        <v>0</v>
      </c>
      <c r="Z250" s="8716"/>
      <c r="AA250" s="7231">
        <f t="shared" ref="AA250:AA267" si="447">+U250+W250</f>
        <v>0</v>
      </c>
      <c r="AB250" s="8758"/>
      <c r="AC250" s="4453">
        <v>0</v>
      </c>
      <c r="AD250" s="8788"/>
      <c r="AE250" s="4466">
        <f t="shared" ref="AE250:AE267" si="448">+AA250+AC250</f>
        <v>0</v>
      </c>
      <c r="AF250" s="8758"/>
      <c r="AG250" s="4453"/>
      <c r="AH250" s="8788"/>
      <c r="AI250" s="4466">
        <f t="shared" ref="AI250:AI267" si="449">+AE250+AG250</f>
        <v>0</v>
      </c>
      <c r="AJ250" s="8758"/>
      <c r="AK250" s="4453">
        <v>0</v>
      </c>
      <c r="AL250" s="8712"/>
      <c r="AM250" s="4854">
        <f>AC250+AG250+AK250</f>
        <v>0</v>
      </c>
      <c r="AN250" s="8788"/>
      <c r="AO250" s="4466">
        <f t="shared" ref="AO250:AO267" si="450">+AI250+AK250</f>
        <v>0</v>
      </c>
      <c r="AP250" s="8758"/>
      <c r="AQ250" s="4453"/>
      <c r="AR250" s="8788"/>
      <c r="AS250" s="4466">
        <f t="shared" ref="AS250:AS267" si="451">+AO250+AQ250</f>
        <v>0</v>
      </c>
      <c r="AT250" s="8758"/>
      <c r="AU250" s="4453"/>
      <c r="AV250" s="8788"/>
      <c r="AW250" s="4466">
        <f t="shared" ref="AW250:AW267" si="452">+AS250+AU250</f>
        <v>0</v>
      </c>
      <c r="AX250" s="8758"/>
      <c r="AY250" s="4453"/>
      <c r="AZ250" s="8712"/>
      <c r="BA250" s="4854">
        <f>AQ250+AU250+AY250</f>
        <v>0</v>
      </c>
      <c r="BB250" s="8712">
        <f t="shared" ref="BB250:BB284" si="453">+AZ250+AL250</f>
        <v>0</v>
      </c>
      <c r="BC250" s="4854">
        <f t="shared" ref="BC250:BC284" si="454">+BA250+AM250</f>
        <v>0</v>
      </c>
      <c r="BD250" s="8716"/>
      <c r="BE250" s="7231">
        <f t="shared" ref="BE250:BE283" si="455">+AW250+AY250</f>
        <v>0</v>
      </c>
    </row>
    <row r="251" spans="2:57" ht="18.75" customHeight="1" x14ac:dyDescent="0.2">
      <c r="B251" s="5226" t="s">
        <v>1897</v>
      </c>
      <c r="C251" s="4010" t="s">
        <v>170</v>
      </c>
      <c r="D251" s="8813"/>
      <c r="E251" s="4453">
        <f>20595-0.44</f>
        <v>20594.560000000001</v>
      </c>
      <c r="F251" s="8813"/>
      <c r="G251" s="4453"/>
      <c r="H251" s="8789"/>
      <c r="I251" s="4466">
        <f t="shared" si="443"/>
        <v>20594.560000000001</v>
      </c>
      <c r="J251" s="8759"/>
      <c r="K251" s="4453"/>
      <c r="L251" s="8713"/>
      <c r="M251" s="4854">
        <f t="shared" si="444"/>
        <v>20594.560000000001</v>
      </c>
      <c r="N251" s="8759"/>
      <c r="O251" s="4453"/>
      <c r="P251" s="8789"/>
      <c r="Q251" s="4466">
        <f t="shared" si="445"/>
        <v>20594.560000000001</v>
      </c>
      <c r="R251" s="8759"/>
      <c r="S251" s="4453">
        <v>0</v>
      </c>
      <c r="T251" s="8789"/>
      <c r="U251" s="4466">
        <f t="shared" si="446"/>
        <v>20594.560000000001</v>
      </c>
      <c r="V251" s="8759"/>
      <c r="W251" s="4453">
        <v>0</v>
      </c>
      <c r="X251" s="8713"/>
      <c r="Y251" s="4854">
        <f t="shared" ref="Y251:Y282" si="456">O251+S251+W251</f>
        <v>0</v>
      </c>
      <c r="Z251" s="8717"/>
      <c r="AA251" s="7231">
        <f t="shared" si="447"/>
        <v>20594.560000000001</v>
      </c>
      <c r="AB251" s="8759"/>
      <c r="AC251" s="4453">
        <v>0</v>
      </c>
      <c r="AD251" s="8789"/>
      <c r="AE251" s="4466">
        <f t="shared" si="448"/>
        <v>20594.560000000001</v>
      </c>
      <c r="AF251" s="8759"/>
      <c r="AG251" s="4453"/>
      <c r="AH251" s="8789"/>
      <c r="AI251" s="4466">
        <f t="shared" si="449"/>
        <v>20594.560000000001</v>
      </c>
      <c r="AJ251" s="8759"/>
      <c r="AK251" s="4453">
        <v>0</v>
      </c>
      <c r="AL251" s="8713"/>
      <c r="AM251" s="4854">
        <f t="shared" ref="AM251:AM267" si="457">AC251+AG251+AK251</f>
        <v>0</v>
      </c>
      <c r="AN251" s="8789"/>
      <c r="AO251" s="4466">
        <f t="shared" si="450"/>
        <v>20594.560000000001</v>
      </c>
      <c r="AP251" s="8759"/>
      <c r="AQ251" s="4453"/>
      <c r="AR251" s="8789"/>
      <c r="AS251" s="4466">
        <f t="shared" si="451"/>
        <v>20594.560000000001</v>
      </c>
      <c r="AT251" s="8759"/>
      <c r="AU251" s="4453"/>
      <c r="AV251" s="8789"/>
      <c r="AW251" s="4466">
        <f t="shared" si="452"/>
        <v>20594.560000000001</v>
      </c>
      <c r="AX251" s="8759"/>
      <c r="AY251" s="4453"/>
      <c r="AZ251" s="8713"/>
      <c r="BA251" s="4854">
        <f t="shared" ref="BA251:BA256" si="458">AQ251+AU251+AY251</f>
        <v>0</v>
      </c>
      <c r="BB251" s="8713">
        <f t="shared" si="453"/>
        <v>0</v>
      </c>
      <c r="BC251" s="4854">
        <f t="shared" si="454"/>
        <v>0</v>
      </c>
      <c r="BD251" s="8717"/>
      <c r="BE251" s="7231">
        <f t="shared" si="455"/>
        <v>20594.560000000001</v>
      </c>
    </row>
    <row r="252" spans="2:57" s="5438" customFormat="1" ht="18.75" customHeight="1" x14ac:dyDescent="0.2">
      <c r="B252" s="5226" t="s">
        <v>1934</v>
      </c>
      <c r="C252" s="4010" t="s">
        <v>170</v>
      </c>
      <c r="D252" s="8813"/>
      <c r="E252" s="4453"/>
      <c r="F252" s="8813"/>
      <c r="G252" s="4453">
        <v>2676.6689999999999</v>
      </c>
      <c r="H252" s="8789"/>
      <c r="I252" s="4466">
        <f t="shared" si="443"/>
        <v>2676.6689999999999</v>
      </c>
      <c r="J252" s="8759"/>
      <c r="K252" s="4453">
        <v>7929</v>
      </c>
      <c r="L252" s="8713"/>
      <c r="M252" s="4854">
        <f t="shared" si="444"/>
        <v>10605.669</v>
      </c>
      <c r="N252" s="8759"/>
      <c r="O252" s="4453">
        <v>2714.82</v>
      </c>
      <c r="P252" s="8789"/>
      <c r="Q252" s="4466">
        <f t="shared" si="445"/>
        <v>13320.489</v>
      </c>
      <c r="R252" s="8759"/>
      <c r="S252" s="4453">
        <v>2666.86</v>
      </c>
      <c r="T252" s="8789"/>
      <c r="U252" s="4466">
        <f t="shared" si="446"/>
        <v>15987.349</v>
      </c>
      <c r="V252" s="8759"/>
      <c r="W252" s="4453">
        <v>2553.16</v>
      </c>
      <c r="X252" s="8713"/>
      <c r="Y252" s="4854">
        <f t="shared" si="456"/>
        <v>7934.84</v>
      </c>
      <c r="Z252" s="8717"/>
      <c r="AA252" s="7231">
        <f t="shared" si="447"/>
        <v>18540.508999999998</v>
      </c>
      <c r="AB252" s="8759"/>
      <c r="AC252" s="4453">
        <v>0</v>
      </c>
      <c r="AD252" s="8789"/>
      <c r="AE252" s="4466">
        <f t="shared" si="448"/>
        <v>18540.508999999998</v>
      </c>
      <c r="AF252" s="8759"/>
      <c r="AG252" s="4453">
        <v>16235.619999999992</v>
      </c>
      <c r="AH252" s="8789"/>
      <c r="AI252" s="4466">
        <f t="shared" si="449"/>
        <v>34776.128999999986</v>
      </c>
      <c r="AJ252" s="8759"/>
      <c r="AK252" s="4453">
        <v>17872.760000000006</v>
      </c>
      <c r="AL252" s="8713"/>
      <c r="AM252" s="4854">
        <f t="shared" si="457"/>
        <v>34108.379999999997</v>
      </c>
      <c r="AN252" s="8789"/>
      <c r="AO252" s="4466">
        <f t="shared" si="450"/>
        <v>52648.888999999996</v>
      </c>
      <c r="AP252" s="8759"/>
      <c r="AQ252" s="4453">
        <v>17542.37999999999</v>
      </c>
      <c r="AR252" s="8789"/>
      <c r="AS252" s="4466">
        <f t="shared" si="451"/>
        <v>70191.268999999986</v>
      </c>
      <c r="AT252" s="8759"/>
      <c r="AU252" s="4453">
        <v>19288.66</v>
      </c>
      <c r="AV252" s="8789"/>
      <c r="AW252" s="4466">
        <f t="shared" si="452"/>
        <v>89479.928999999989</v>
      </c>
      <c r="AX252" s="8759"/>
      <c r="AY252" s="4453">
        <v>30225.040000000001</v>
      </c>
      <c r="AZ252" s="8713"/>
      <c r="BA252" s="4854">
        <f t="shared" si="458"/>
        <v>67056.079999999987</v>
      </c>
      <c r="BB252" s="8713">
        <f t="shared" si="453"/>
        <v>0</v>
      </c>
      <c r="BC252" s="4854">
        <f t="shared" si="454"/>
        <v>101164.45999999999</v>
      </c>
      <c r="BD252" s="8717"/>
      <c r="BE252" s="7231">
        <f t="shared" si="455"/>
        <v>119704.96899999998</v>
      </c>
    </row>
    <row r="253" spans="2:57" s="5985" customFormat="1" ht="18.75" customHeight="1" x14ac:dyDescent="0.2">
      <c r="B253" s="5226" t="s">
        <v>2134</v>
      </c>
      <c r="C253" s="4010" t="s">
        <v>170</v>
      </c>
      <c r="D253" s="8813"/>
      <c r="E253" s="4453"/>
      <c r="F253" s="8813"/>
      <c r="G253" s="4453"/>
      <c r="H253" s="8789"/>
      <c r="I253" s="4466"/>
      <c r="J253" s="8759"/>
      <c r="K253" s="4453"/>
      <c r="L253" s="8713"/>
      <c r="M253" s="4854">
        <f t="shared" si="444"/>
        <v>0</v>
      </c>
      <c r="N253" s="8759"/>
      <c r="O253" s="4453">
        <v>20254.59</v>
      </c>
      <c r="P253" s="8789"/>
      <c r="Q253" s="4466">
        <f t="shared" si="445"/>
        <v>20254.59</v>
      </c>
      <c r="R253" s="8759"/>
      <c r="S253" s="4453">
        <v>0</v>
      </c>
      <c r="T253" s="8789"/>
      <c r="U253" s="4466">
        <f t="shared" si="446"/>
        <v>20254.59</v>
      </c>
      <c r="V253" s="8759"/>
      <c r="W253" s="4453">
        <v>0</v>
      </c>
      <c r="X253" s="8713"/>
      <c r="Y253" s="4854">
        <f t="shared" si="456"/>
        <v>20254.59</v>
      </c>
      <c r="Z253" s="8717"/>
      <c r="AA253" s="7231">
        <f t="shared" si="447"/>
        <v>20254.59</v>
      </c>
      <c r="AB253" s="8759"/>
      <c r="AC253" s="4453">
        <v>0</v>
      </c>
      <c r="AD253" s="8789"/>
      <c r="AE253" s="4466">
        <f t="shared" si="448"/>
        <v>20254.59</v>
      </c>
      <c r="AF253" s="8759"/>
      <c r="AG253" s="4453"/>
      <c r="AH253" s="8789"/>
      <c r="AI253" s="4466">
        <f t="shared" si="449"/>
        <v>20254.59</v>
      </c>
      <c r="AJ253" s="8759"/>
      <c r="AK253" s="4453">
        <v>0</v>
      </c>
      <c r="AL253" s="8713"/>
      <c r="AM253" s="4854">
        <f t="shared" si="457"/>
        <v>0</v>
      </c>
      <c r="AN253" s="8789"/>
      <c r="AO253" s="4466">
        <f t="shared" si="450"/>
        <v>20254.59</v>
      </c>
      <c r="AP253" s="8759"/>
      <c r="AQ253" s="4453"/>
      <c r="AR253" s="8789"/>
      <c r="AS253" s="4466">
        <f t="shared" si="451"/>
        <v>20254.59</v>
      </c>
      <c r="AT253" s="8759"/>
      <c r="AU253" s="4453"/>
      <c r="AV253" s="8789"/>
      <c r="AW253" s="4466">
        <f t="shared" si="452"/>
        <v>20254.59</v>
      </c>
      <c r="AX253" s="8759"/>
      <c r="AY253" s="4453"/>
      <c r="AZ253" s="8713"/>
      <c r="BA253" s="4854">
        <f t="shared" si="458"/>
        <v>0</v>
      </c>
      <c r="BB253" s="8713">
        <f t="shared" si="453"/>
        <v>0</v>
      </c>
      <c r="BC253" s="4854">
        <f t="shared" si="454"/>
        <v>0</v>
      </c>
      <c r="BD253" s="8717"/>
      <c r="BE253" s="7231">
        <f t="shared" si="455"/>
        <v>20254.59</v>
      </c>
    </row>
    <row r="254" spans="2:57" s="5727" customFormat="1" ht="18.75" customHeight="1" x14ac:dyDescent="0.2">
      <c r="B254" s="5226" t="s">
        <v>2087</v>
      </c>
      <c r="C254" s="4010" t="s">
        <v>170</v>
      </c>
      <c r="D254" s="8813"/>
      <c r="E254" s="4453"/>
      <c r="F254" s="8813"/>
      <c r="G254" s="4453"/>
      <c r="H254" s="8789"/>
      <c r="I254" s="4466"/>
      <c r="J254" s="8759"/>
      <c r="K254" s="4453">
        <v>20078</v>
      </c>
      <c r="L254" s="8713"/>
      <c r="M254" s="4854">
        <f t="shared" si="444"/>
        <v>20078</v>
      </c>
      <c r="N254" s="8759"/>
      <c r="O254" s="4453"/>
      <c r="P254" s="8789"/>
      <c r="Q254" s="4466">
        <f t="shared" si="445"/>
        <v>20078</v>
      </c>
      <c r="R254" s="8759"/>
      <c r="S254" s="4453">
        <v>0</v>
      </c>
      <c r="T254" s="8789"/>
      <c r="U254" s="4466">
        <f t="shared" si="446"/>
        <v>20078</v>
      </c>
      <c r="V254" s="8759"/>
      <c r="W254" s="4453">
        <v>0</v>
      </c>
      <c r="X254" s="8713"/>
      <c r="Y254" s="4854">
        <f t="shared" si="456"/>
        <v>0</v>
      </c>
      <c r="Z254" s="8717"/>
      <c r="AA254" s="7231">
        <f t="shared" si="447"/>
        <v>20078</v>
      </c>
      <c r="AB254" s="8759"/>
      <c r="AC254" s="4453">
        <v>0</v>
      </c>
      <c r="AD254" s="8789"/>
      <c r="AE254" s="4466">
        <f t="shared" si="448"/>
        <v>20078</v>
      </c>
      <c r="AF254" s="8759"/>
      <c r="AG254" s="4453"/>
      <c r="AH254" s="8789"/>
      <c r="AI254" s="4466">
        <f t="shared" si="449"/>
        <v>20078</v>
      </c>
      <c r="AJ254" s="8759"/>
      <c r="AK254" s="4453">
        <v>0</v>
      </c>
      <c r="AL254" s="8713"/>
      <c r="AM254" s="4854">
        <f t="shared" si="457"/>
        <v>0</v>
      </c>
      <c r="AN254" s="8789"/>
      <c r="AO254" s="4466">
        <f t="shared" si="450"/>
        <v>20078</v>
      </c>
      <c r="AP254" s="8759"/>
      <c r="AQ254" s="4453"/>
      <c r="AR254" s="8789"/>
      <c r="AS254" s="4466">
        <f t="shared" si="451"/>
        <v>20078</v>
      </c>
      <c r="AT254" s="8759"/>
      <c r="AU254" s="4453"/>
      <c r="AV254" s="8789"/>
      <c r="AW254" s="4466">
        <f t="shared" si="452"/>
        <v>20078</v>
      </c>
      <c r="AX254" s="8759"/>
      <c r="AY254" s="4453"/>
      <c r="AZ254" s="8713"/>
      <c r="BA254" s="4854">
        <f t="shared" si="458"/>
        <v>0</v>
      </c>
      <c r="BB254" s="8713">
        <f t="shared" si="453"/>
        <v>0</v>
      </c>
      <c r="BC254" s="4854">
        <f t="shared" si="454"/>
        <v>0</v>
      </c>
      <c r="BD254" s="8717"/>
      <c r="BE254" s="7231">
        <f t="shared" si="455"/>
        <v>20078</v>
      </c>
    </row>
    <row r="255" spans="2:57" s="8404" customFormat="1" ht="18.75" customHeight="1" x14ac:dyDescent="0.2">
      <c r="B255" s="5226" t="s">
        <v>2619</v>
      </c>
      <c r="C255" s="4010" t="s">
        <v>170</v>
      </c>
      <c r="D255" s="8813"/>
      <c r="E255" s="4453"/>
      <c r="F255" s="8813"/>
      <c r="G255" s="4453"/>
      <c r="H255" s="8789"/>
      <c r="I255" s="4466"/>
      <c r="J255" s="8759"/>
      <c r="K255" s="4453"/>
      <c r="L255" s="8713"/>
      <c r="M255" s="4854"/>
      <c r="N255" s="8759"/>
      <c r="O255" s="4453"/>
      <c r="P255" s="8789"/>
      <c r="Q255" s="4466"/>
      <c r="R255" s="8759"/>
      <c r="S255" s="4453"/>
      <c r="T255" s="8789"/>
      <c r="U255" s="4466"/>
      <c r="V255" s="8759"/>
      <c r="W255" s="4453"/>
      <c r="X255" s="8713"/>
      <c r="Y255" s="4854"/>
      <c r="Z255" s="8717"/>
      <c r="AA255" s="7231"/>
      <c r="AB255" s="8759"/>
      <c r="AC255" s="4453"/>
      <c r="AD255" s="8789"/>
      <c r="AE255" s="4466"/>
      <c r="AF255" s="8759"/>
      <c r="AG255" s="4453"/>
      <c r="AH255" s="8789"/>
      <c r="AI255" s="4466"/>
      <c r="AJ255" s="8759"/>
      <c r="AK255" s="4453"/>
      <c r="AL255" s="8713"/>
      <c r="AM255" s="4854"/>
      <c r="AN255" s="8789"/>
      <c r="AO255" s="4466"/>
      <c r="AP255" s="8759"/>
      <c r="AQ255" s="4453"/>
      <c r="AR255" s="8789"/>
      <c r="AS255" s="4466"/>
      <c r="AT255" s="8759"/>
      <c r="AU255" s="4453"/>
      <c r="AV255" s="8789"/>
      <c r="AW255" s="4466"/>
      <c r="AX255" s="8759"/>
      <c r="AY255" s="4453"/>
      <c r="AZ255" s="8713"/>
      <c r="BA255" s="4854">
        <f t="shared" si="458"/>
        <v>0</v>
      </c>
      <c r="BB255" s="8713"/>
      <c r="BC255" s="4854">
        <f t="shared" si="454"/>
        <v>0</v>
      </c>
      <c r="BD255" s="8717"/>
      <c r="BE255" s="7231">
        <f t="shared" si="455"/>
        <v>0</v>
      </c>
    </row>
    <row r="256" spans="2:57" s="8404" customFormat="1" ht="18.75" customHeight="1" x14ac:dyDescent="0.2">
      <c r="B256" s="5226" t="s">
        <v>2620</v>
      </c>
      <c r="C256" s="4010" t="s">
        <v>170</v>
      </c>
      <c r="D256" s="8813"/>
      <c r="E256" s="4453"/>
      <c r="F256" s="8813"/>
      <c r="G256" s="4453"/>
      <c r="H256" s="8789"/>
      <c r="I256" s="4466"/>
      <c r="J256" s="8759"/>
      <c r="K256" s="4453"/>
      <c r="L256" s="8713"/>
      <c r="M256" s="4854"/>
      <c r="N256" s="8759"/>
      <c r="O256" s="4453"/>
      <c r="P256" s="8789"/>
      <c r="Q256" s="4466"/>
      <c r="R256" s="8759"/>
      <c r="S256" s="4453"/>
      <c r="T256" s="8789"/>
      <c r="U256" s="4466"/>
      <c r="V256" s="8759"/>
      <c r="W256" s="4453"/>
      <c r="X256" s="8713"/>
      <c r="Y256" s="4854"/>
      <c r="Z256" s="8717"/>
      <c r="AA256" s="7231"/>
      <c r="AB256" s="8759"/>
      <c r="AC256" s="4453"/>
      <c r="AD256" s="8789"/>
      <c r="AE256" s="4466"/>
      <c r="AF256" s="8759"/>
      <c r="AG256" s="4453"/>
      <c r="AH256" s="8789"/>
      <c r="AI256" s="4466"/>
      <c r="AJ256" s="8759"/>
      <c r="AK256" s="4453"/>
      <c r="AL256" s="8713"/>
      <c r="AM256" s="4854"/>
      <c r="AN256" s="8789"/>
      <c r="AO256" s="4466"/>
      <c r="AP256" s="8759"/>
      <c r="AQ256" s="4453"/>
      <c r="AR256" s="8789"/>
      <c r="AS256" s="4466"/>
      <c r="AT256" s="8759"/>
      <c r="AU256" s="4453"/>
      <c r="AV256" s="8789"/>
      <c r="AW256" s="4466"/>
      <c r="AX256" s="8759"/>
      <c r="AY256" s="4453">
        <v>18099.22</v>
      </c>
      <c r="AZ256" s="8713"/>
      <c r="BA256" s="4854">
        <f t="shared" si="458"/>
        <v>18099.22</v>
      </c>
      <c r="BB256" s="8713"/>
      <c r="BC256" s="4854">
        <f t="shared" si="454"/>
        <v>18099.22</v>
      </c>
      <c r="BD256" s="8717"/>
      <c r="BE256" s="7231">
        <f t="shared" si="455"/>
        <v>18099.22</v>
      </c>
    </row>
    <row r="257" spans="2:57" s="4756" customFormat="1" ht="18.75" customHeight="1" x14ac:dyDescent="0.2">
      <c r="B257" s="5226" t="s">
        <v>1898</v>
      </c>
      <c r="C257" s="4010" t="s">
        <v>170</v>
      </c>
      <c r="D257" s="8813"/>
      <c r="E257" s="4453">
        <v>5433</v>
      </c>
      <c r="F257" s="8813"/>
      <c r="G257" s="4453">
        <v>46868.940999999999</v>
      </c>
      <c r="H257" s="8789"/>
      <c r="I257" s="4466">
        <f t="shared" si="443"/>
        <v>52301.940999999999</v>
      </c>
      <c r="J257" s="8759"/>
      <c r="K257" s="4453">
        <v>36885.814999999951</v>
      </c>
      <c r="L257" s="8713"/>
      <c r="M257" s="4854">
        <f t="shared" si="444"/>
        <v>89187.75599999995</v>
      </c>
      <c r="N257" s="8759"/>
      <c r="O257" s="4453"/>
      <c r="P257" s="8789"/>
      <c r="Q257" s="4466">
        <f t="shared" si="445"/>
        <v>89187.75599999995</v>
      </c>
      <c r="R257" s="8759"/>
      <c r="S257" s="4453">
        <v>29298</v>
      </c>
      <c r="T257" s="8789"/>
      <c r="U257" s="4466">
        <f t="shared" si="446"/>
        <v>118485.75599999995</v>
      </c>
      <c r="V257" s="8759"/>
      <c r="W257" s="4453">
        <v>18442</v>
      </c>
      <c r="X257" s="8713"/>
      <c r="Y257" s="4854">
        <f t="shared" si="456"/>
        <v>47740</v>
      </c>
      <c r="Z257" s="8717"/>
      <c r="AA257" s="7231">
        <f t="shared" si="447"/>
        <v>136927.75599999994</v>
      </c>
      <c r="AB257" s="8759"/>
      <c r="AC257" s="4453">
        <v>0</v>
      </c>
      <c r="AD257" s="8789"/>
      <c r="AE257" s="4466">
        <f t="shared" si="448"/>
        <v>136927.75599999994</v>
      </c>
      <c r="AF257" s="8759"/>
      <c r="AG257" s="4453"/>
      <c r="AH257" s="8789"/>
      <c r="AI257" s="4466">
        <f t="shared" si="449"/>
        <v>136927.75599999994</v>
      </c>
      <c r="AJ257" s="8759"/>
      <c r="AK257" s="4453">
        <v>0</v>
      </c>
      <c r="AL257" s="8713"/>
      <c r="AM257" s="4854">
        <f t="shared" si="457"/>
        <v>0</v>
      </c>
      <c r="AN257" s="8789"/>
      <c r="AO257" s="4466">
        <f t="shared" si="450"/>
        <v>136927.75599999994</v>
      </c>
      <c r="AP257" s="8759"/>
      <c r="AQ257" s="4453"/>
      <c r="AR257" s="8789"/>
      <c r="AS257" s="4466">
        <f t="shared" si="451"/>
        <v>136927.75599999994</v>
      </c>
      <c r="AT257" s="8759"/>
      <c r="AU257" s="4453">
        <v>16911.64</v>
      </c>
      <c r="AV257" s="8789"/>
      <c r="AW257" s="4466">
        <f t="shared" si="452"/>
        <v>153839.39599999995</v>
      </c>
      <c r="AX257" s="8759"/>
      <c r="AY257" s="4453">
        <v>17120</v>
      </c>
      <c r="AZ257" s="8713"/>
      <c r="BA257" s="4854">
        <f t="shared" ref="BA257:BA282" si="459">AQ257+AU257+AY257</f>
        <v>34031.64</v>
      </c>
      <c r="BB257" s="8713">
        <f t="shared" si="453"/>
        <v>0</v>
      </c>
      <c r="BC257" s="4854">
        <f t="shared" si="454"/>
        <v>34031.64</v>
      </c>
      <c r="BD257" s="8717"/>
      <c r="BE257" s="7231">
        <f t="shared" si="455"/>
        <v>170959.39599999995</v>
      </c>
    </row>
    <row r="258" spans="2:57" s="6434" customFormat="1" ht="18.75" customHeight="1" x14ac:dyDescent="0.2">
      <c r="B258" s="4899" t="s">
        <v>2207</v>
      </c>
      <c r="C258" s="4010" t="s">
        <v>170</v>
      </c>
      <c r="D258" s="8813"/>
      <c r="E258" s="4453"/>
      <c r="F258" s="8813"/>
      <c r="G258" s="4453"/>
      <c r="H258" s="8789"/>
      <c r="I258" s="4466"/>
      <c r="J258" s="8759"/>
      <c r="K258" s="4453"/>
      <c r="L258" s="8713"/>
      <c r="M258" s="4854"/>
      <c r="N258" s="8759"/>
      <c r="O258" s="4453"/>
      <c r="P258" s="8789"/>
      <c r="Q258" s="4466">
        <f t="shared" si="445"/>
        <v>0</v>
      </c>
      <c r="R258" s="8759"/>
      <c r="S258" s="4453">
        <v>0</v>
      </c>
      <c r="T258" s="8789"/>
      <c r="U258" s="4466">
        <f t="shared" si="446"/>
        <v>0</v>
      </c>
      <c r="V258" s="8759"/>
      <c r="W258" s="4453">
        <v>0</v>
      </c>
      <c r="X258" s="8713"/>
      <c r="Y258" s="4854">
        <f t="shared" si="456"/>
        <v>0</v>
      </c>
      <c r="Z258" s="8717"/>
      <c r="AA258" s="7231">
        <f t="shared" si="447"/>
        <v>0</v>
      </c>
      <c r="AB258" s="8759"/>
      <c r="AC258" s="4453">
        <v>0</v>
      </c>
      <c r="AD258" s="8789"/>
      <c r="AE258" s="4466">
        <f t="shared" si="448"/>
        <v>0</v>
      </c>
      <c r="AF258" s="8759"/>
      <c r="AG258" s="4453"/>
      <c r="AH258" s="8789"/>
      <c r="AI258" s="4466">
        <f t="shared" si="449"/>
        <v>0</v>
      </c>
      <c r="AJ258" s="8759"/>
      <c r="AK258" s="4453">
        <v>0</v>
      </c>
      <c r="AL258" s="8713"/>
      <c r="AM258" s="4854">
        <f t="shared" si="457"/>
        <v>0</v>
      </c>
      <c r="AN258" s="8789"/>
      <c r="AO258" s="4466">
        <f t="shared" si="450"/>
        <v>0</v>
      </c>
      <c r="AP258" s="8759"/>
      <c r="AQ258" s="4453"/>
      <c r="AR258" s="8789"/>
      <c r="AS258" s="4466">
        <f t="shared" si="451"/>
        <v>0</v>
      </c>
      <c r="AT258" s="8759"/>
      <c r="AU258" s="4453"/>
      <c r="AV258" s="8789"/>
      <c r="AW258" s="4466">
        <f t="shared" si="452"/>
        <v>0</v>
      </c>
      <c r="AX258" s="8759"/>
      <c r="AY258" s="4453"/>
      <c r="AZ258" s="8713"/>
      <c r="BA258" s="4854">
        <f t="shared" si="459"/>
        <v>0</v>
      </c>
      <c r="BB258" s="8713">
        <f t="shared" si="453"/>
        <v>0</v>
      </c>
      <c r="BC258" s="4854">
        <f t="shared" si="454"/>
        <v>0</v>
      </c>
      <c r="BD258" s="8717"/>
      <c r="BE258" s="7231">
        <f t="shared" si="455"/>
        <v>0</v>
      </c>
    </row>
    <row r="259" spans="2:57" s="6434" customFormat="1" ht="18.75" customHeight="1" x14ac:dyDescent="0.2">
      <c r="B259" s="5226" t="s">
        <v>1898</v>
      </c>
      <c r="C259" s="4010" t="s">
        <v>170</v>
      </c>
      <c r="D259" s="8813"/>
      <c r="E259" s="4453"/>
      <c r="F259" s="8813"/>
      <c r="G259" s="4453"/>
      <c r="H259" s="8789"/>
      <c r="I259" s="4466"/>
      <c r="J259" s="8759"/>
      <c r="K259" s="4453"/>
      <c r="L259" s="8713"/>
      <c r="M259" s="4854"/>
      <c r="N259" s="8759"/>
      <c r="O259" s="4453"/>
      <c r="P259" s="8789"/>
      <c r="Q259" s="4466">
        <f t="shared" si="445"/>
        <v>0</v>
      </c>
      <c r="R259" s="8759"/>
      <c r="S259" s="4453">
        <v>0</v>
      </c>
      <c r="T259" s="8789"/>
      <c r="U259" s="4466">
        <f t="shared" si="446"/>
        <v>0</v>
      </c>
      <c r="V259" s="8759"/>
      <c r="W259" s="4453">
        <v>0</v>
      </c>
      <c r="X259" s="8713"/>
      <c r="Y259" s="4854">
        <f t="shared" si="456"/>
        <v>0</v>
      </c>
      <c r="Z259" s="8717"/>
      <c r="AA259" s="7231">
        <f t="shared" si="447"/>
        <v>0</v>
      </c>
      <c r="AB259" s="8759"/>
      <c r="AC259" s="4453">
        <v>0</v>
      </c>
      <c r="AD259" s="8789"/>
      <c r="AE259" s="4466">
        <f t="shared" si="448"/>
        <v>0</v>
      </c>
      <c r="AF259" s="8759"/>
      <c r="AG259" s="4453"/>
      <c r="AH259" s="8789"/>
      <c r="AI259" s="4466">
        <f t="shared" si="449"/>
        <v>0</v>
      </c>
      <c r="AJ259" s="8759"/>
      <c r="AK259" s="4453">
        <v>0</v>
      </c>
      <c r="AL259" s="8713"/>
      <c r="AM259" s="4854">
        <f t="shared" si="457"/>
        <v>0</v>
      </c>
      <c r="AN259" s="8789"/>
      <c r="AO259" s="4466">
        <f t="shared" si="450"/>
        <v>0</v>
      </c>
      <c r="AP259" s="8759"/>
      <c r="AQ259" s="4453"/>
      <c r="AR259" s="8789"/>
      <c r="AS259" s="4466">
        <f t="shared" si="451"/>
        <v>0</v>
      </c>
      <c r="AT259" s="8759"/>
      <c r="AU259" s="4453"/>
      <c r="AV259" s="8789"/>
      <c r="AW259" s="4466">
        <f t="shared" si="452"/>
        <v>0</v>
      </c>
      <c r="AX259" s="8759"/>
      <c r="AY259" s="4453"/>
      <c r="AZ259" s="8713"/>
      <c r="BA259" s="4854">
        <f t="shared" si="459"/>
        <v>0</v>
      </c>
      <c r="BB259" s="8713">
        <f t="shared" si="453"/>
        <v>0</v>
      </c>
      <c r="BC259" s="4854">
        <f t="shared" si="454"/>
        <v>0</v>
      </c>
      <c r="BD259" s="8717"/>
      <c r="BE259" s="7231">
        <f t="shared" si="455"/>
        <v>0</v>
      </c>
    </row>
    <row r="260" spans="2:57" s="6434" customFormat="1" ht="18.75" customHeight="1" x14ac:dyDescent="0.2">
      <c r="B260" s="5226" t="s">
        <v>2087</v>
      </c>
      <c r="C260" s="4010" t="s">
        <v>170</v>
      </c>
      <c r="D260" s="8813"/>
      <c r="E260" s="4453"/>
      <c r="F260" s="8813"/>
      <c r="G260" s="4453"/>
      <c r="H260" s="8789"/>
      <c r="I260" s="4466"/>
      <c r="J260" s="8759"/>
      <c r="K260" s="4453"/>
      <c r="L260" s="8713"/>
      <c r="M260" s="4854"/>
      <c r="N260" s="8759"/>
      <c r="O260" s="4453"/>
      <c r="P260" s="8789"/>
      <c r="Q260" s="4466">
        <f t="shared" si="445"/>
        <v>0</v>
      </c>
      <c r="R260" s="8759"/>
      <c r="S260" s="4453">
        <v>20259.864999999991</v>
      </c>
      <c r="T260" s="8789"/>
      <c r="U260" s="4466">
        <f t="shared" si="446"/>
        <v>20259.864999999991</v>
      </c>
      <c r="V260" s="8759"/>
      <c r="W260" s="4453">
        <v>0</v>
      </c>
      <c r="X260" s="8713"/>
      <c r="Y260" s="4854">
        <f t="shared" si="456"/>
        <v>20259.864999999991</v>
      </c>
      <c r="Z260" s="8717"/>
      <c r="AA260" s="7231">
        <f t="shared" si="447"/>
        <v>20259.864999999991</v>
      </c>
      <c r="AB260" s="8759"/>
      <c r="AC260" s="4453">
        <v>0</v>
      </c>
      <c r="AD260" s="8789"/>
      <c r="AE260" s="4466">
        <f t="shared" si="448"/>
        <v>20259.864999999991</v>
      </c>
      <c r="AF260" s="8759"/>
      <c r="AG260" s="4453"/>
      <c r="AH260" s="8789"/>
      <c r="AI260" s="4466">
        <f t="shared" si="449"/>
        <v>20259.864999999991</v>
      </c>
      <c r="AJ260" s="8759"/>
      <c r="AK260" s="4453">
        <v>0</v>
      </c>
      <c r="AL260" s="8713"/>
      <c r="AM260" s="4854">
        <f t="shared" si="457"/>
        <v>0</v>
      </c>
      <c r="AN260" s="8789"/>
      <c r="AO260" s="4466">
        <f t="shared" si="450"/>
        <v>20259.864999999991</v>
      </c>
      <c r="AP260" s="8759"/>
      <c r="AQ260" s="4453"/>
      <c r="AR260" s="8789"/>
      <c r="AS260" s="4466">
        <f t="shared" si="451"/>
        <v>20259.864999999991</v>
      </c>
      <c r="AT260" s="8759"/>
      <c r="AU260" s="4453"/>
      <c r="AV260" s="8789"/>
      <c r="AW260" s="4466">
        <f t="shared" si="452"/>
        <v>20259.864999999991</v>
      </c>
      <c r="AX260" s="8759"/>
      <c r="AY260" s="4453"/>
      <c r="AZ260" s="8713"/>
      <c r="BA260" s="4854">
        <f t="shared" si="459"/>
        <v>0</v>
      </c>
      <c r="BB260" s="8713">
        <f t="shared" si="453"/>
        <v>0</v>
      </c>
      <c r="BC260" s="4854">
        <f t="shared" si="454"/>
        <v>0</v>
      </c>
      <c r="BD260" s="8717"/>
      <c r="BE260" s="7231">
        <f t="shared" si="455"/>
        <v>20259.864999999991</v>
      </c>
    </row>
    <row r="261" spans="2:57" s="5985" customFormat="1" ht="18.75" customHeight="1" x14ac:dyDescent="0.2">
      <c r="B261" s="4899" t="s">
        <v>2133</v>
      </c>
      <c r="C261" s="4010" t="s">
        <v>170</v>
      </c>
      <c r="D261" s="8813"/>
      <c r="E261" s="4453"/>
      <c r="F261" s="8813"/>
      <c r="G261" s="4453"/>
      <c r="H261" s="8789"/>
      <c r="I261" s="4466"/>
      <c r="J261" s="8759"/>
      <c r="K261" s="4453"/>
      <c r="L261" s="8713"/>
      <c r="M261" s="4854"/>
      <c r="N261" s="8759"/>
      <c r="O261" s="4453"/>
      <c r="P261" s="8789"/>
      <c r="Q261" s="4466">
        <f t="shared" si="445"/>
        <v>0</v>
      </c>
      <c r="R261" s="8759"/>
      <c r="S261" s="4453">
        <v>0</v>
      </c>
      <c r="T261" s="8789"/>
      <c r="U261" s="4466">
        <f t="shared" si="446"/>
        <v>0</v>
      </c>
      <c r="V261" s="8759"/>
      <c r="W261" s="4453">
        <v>0</v>
      </c>
      <c r="X261" s="8713"/>
      <c r="Y261" s="4854">
        <f t="shared" si="456"/>
        <v>0</v>
      </c>
      <c r="Z261" s="8717"/>
      <c r="AA261" s="7231">
        <f t="shared" si="447"/>
        <v>0</v>
      </c>
      <c r="AB261" s="8759"/>
      <c r="AC261" s="4453">
        <v>0</v>
      </c>
      <c r="AD261" s="8789"/>
      <c r="AE261" s="4466">
        <f t="shared" si="448"/>
        <v>0</v>
      </c>
      <c r="AF261" s="8759"/>
      <c r="AG261" s="4453"/>
      <c r="AH261" s="8789"/>
      <c r="AI261" s="4466">
        <f t="shared" si="449"/>
        <v>0</v>
      </c>
      <c r="AJ261" s="8759"/>
      <c r="AK261" s="4453">
        <v>0</v>
      </c>
      <c r="AL261" s="8713"/>
      <c r="AM261" s="4854">
        <f t="shared" si="457"/>
        <v>0</v>
      </c>
      <c r="AN261" s="8789"/>
      <c r="AO261" s="4466">
        <f t="shared" si="450"/>
        <v>0</v>
      </c>
      <c r="AP261" s="8759"/>
      <c r="AQ261" s="4453"/>
      <c r="AR261" s="8789"/>
      <c r="AS261" s="4466">
        <f t="shared" si="451"/>
        <v>0</v>
      </c>
      <c r="AT261" s="8759"/>
      <c r="AU261" s="4453"/>
      <c r="AV261" s="8789"/>
      <c r="AW261" s="4466">
        <f t="shared" si="452"/>
        <v>0</v>
      </c>
      <c r="AX261" s="8759"/>
      <c r="AY261" s="4453"/>
      <c r="AZ261" s="8713"/>
      <c r="BA261" s="4854">
        <f t="shared" si="459"/>
        <v>0</v>
      </c>
      <c r="BB261" s="8713">
        <f t="shared" si="453"/>
        <v>0</v>
      </c>
      <c r="BC261" s="4854">
        <f t="shared" si="454"/>
        <v>0</v>
      </c>
      <c r="BD261" s="8717"/>
      <c r="BE261" s="7231">
        <f t="shared" si="455"/>
        <v>0</v>
      </c>
    </row>
    <row r="262" spans="2:57" s="5985" customFormat="1" ht="18.75" customHeight="1" x14ac:dyDescent="0.2">
      <c r="B262" s="5226" t="s">
        <v>1898</v>
      </c>
      <c r="C262" s="4010" t="s">
        <v>170</v>
      </c>
      <c r="D262" s="8813"/>
      <c r="E262" s="4453"/>
      <c r="F262" s="8813"/>
      <c r="G262" s="4453"/>
      <c r="H262" s="8789"/>
      <c r="I262" s="4466"/>
      <c r="J262" s="8759"/>
      <c r="K262" s="4453"/>
      <c r="L262" s="8713"/>
      <c r="M262" s="4854"/>
      <c r="N262" s="8759"/>
      <c r="O262" s="4453">
        <v>20362.999000000003</v>
      </c>
      <c r="P262" s="8789"/>
      <c r="Q262" s="4466">
        <f t="shared" si="445"/>
        <v>20362.999000000003</v>
      </c>
      <c r="R262" s="8759"/>
      <c r="S262" s="4453">
        <v>0</v>
      </c>
      <c r="T262" s="8789"/>
      <c r="U262" s="4466">
        <f t="shared" si="446"/>
        <v>20362.999000000003</v>
      </c>
      <c r="V262" s="8759"/>
      <c r="W262" s="4453">
        <v>0</v>
      </c>
      <c r="X262" s="8713"/>
      <c r="Y262" s="4854">
        <f t="shared" si="456"/>
        <v>20362.999000000003</v>
      </c>
      <c r="Z262" s="8717"/>
      <c r="AA262" s="7231">
        <f t="shared" si="447"/>
        <v>20362.999000000003</v>
      </c>
      <c r="AB262" s="8759"/>
      <c r="AC262" s="4453">
        <v>0</v>
      </c>
      <c r="AD262" s="8789"/>
      <c r="AE262" s="4466">
        <f t="shared" si="448"/>
        <v>20362.999000000003</v>
      </c>
      <c r="AF262" s="8759"/>
      <c r="AG262" s="4453"/>
      <c r="AH262" s="8789"/>
      <c r="AI262" s="4466">
        <f t="shared" si="449"/>
        <v>20362.999000000003</v>
      </c>
      <c r="AJ262" s="8759"/>
      <c r="AK262" s="4453">
        <v>0</v>
      </c>
      <c r="AL262" s="8713"/>
      <c r="AM262" s="4854">
        <f t="shared" si="457"/>
        <v>0</v>
      </c>
      <c r="AN262" s="8789"/>
      <c r="AO262" s="4466">
        <f t="shared" si="450"/>
        <v>20362.999000000003</v>
      </c>
      <c r="AP262" s="8759"/>
      <c r="AQ262" s="4453">
        <v>11394.659999999993</v>
      </c>
      <c r="AR262" s="8789"/>
      <c r="AS262" s="4466">
        <f t="shared" si="451"/>
        <v>31757.658999999996</v>
      </c>
      <c r="AT262" s="8759"/>
      <c r="AU262" s="4453">
        <v>6666.2</v>
      </c>
      <c r="AV262" s="8789"/>
      <c r="AW262" s="4466">
        <f t="shared" si="452"/>
        <v>38423.858999999997</v>
      </c>
      <c r="AX262" s="8759"/>
      <c r="AY262" s="4453"/>
      <c r="AZ262" s="8713"/>
      <c r="BA262" s="4854">
        <f t="shared" si="459"/>
        <v>18060.859999999993</v>
      </c>
      <c r="BB262" s="8713">
        <f t="shared" si="453"/>
        <v>0</v>
      </c>
      <c r="BC262" s="4854">
        <f t="shared" si="454"/>
        <v>18060.859999999993</v>
      </c>
      <c r="BD262" s="8717"/>
      <c r="BE262" s="7231">
        <f t="shared" si="455"/>
        <v>38423.858999999997</v>
      </c>
    </row>
    <row r="263" spans="2:57" s="4756" customFormat="1" ht="18.75" customHeight="1" x14ac:dyDescent="0.2">
      <c r="B263" s="4899" t="s">
        <v>1933</v>
      </c>
      <c r="C263" s="4010" t="s">
        <v>170</v>
      </c>
      <c r="D263" s="8813"/>
      <c r="E263" s="4453"/>
      <c r="F263" s="8813"/>
      <c r="G263" s="4453"/>
      <c r="H263" s="8789"/>
      <c r="I263" s="4466">
        <f t="shared" si="443"/>
        <v>0</v>
      </c>
      <c r="J263" s="8759"/>
      <c r="K263" s="4453"/>
      <c r="L263" s="8713"/>
      <c r="M263" s="4854">
        <f t="shared" si="444"/>
        <v>0</v>
      </c>
      <c r="N263" s="8759"/>
      <c r="O263" s="4453"/>
      <c r="P263" s="8789"/>
      <c r="Q263" s="4466">
        <f t="shared" si="445"/>
        <v>0</v>
      </c>
      <c r="R263" s="8759"/>
      <c r="S263" s="4453">
        <v>0</v>
      </c>
      <c r="T263" s="8789"/>
      <c r="U263" s="4466">
        <f t="shared" si="446"/>
        <v>0</v>
      </c>
      <c r="V263" s="8759"/>
      <c r="W263" s="4453">
        <v>0</v>
      </c>
      <c r="X263" s="8713"/>
      <c r="Y263" s="4854">
        <f t="shared" si="456"/>
        <v>0</v>
      </c>
      <c r="Z263" s="8717"/>
      <c r="AA263" s="7231">
        <f t="shared" si="447"/>
        <v>0</v>
      </c>
      <c r="AB263" s="8759"/>
      <c r="AC263" s="4453">
        <v>0</v>
      </c>
      <c r="AD263" s="8789"/>
      <c r="AE263" s="4466">
        <f t="shared" si="448"/>
        <v>0</v>
      </c>
      <c r="AF263" s="8759"/>
      <c r="AG263" s="4453"/>
      <c r="AH263" s="8789"/>
      <c r="AI263" s="4466">
        <f t="shared" si="449"/>
        <v>0</v>
      </c>
      <c r="AJ263" s="8759"/>
      <c r="AK263" s="4453">
        <v>0</v>
      </c>
      <c r="AL263" s="8713"/>
      <c r="AM263" s="4854">
        <f t="shared" si="457"/>
        <v>0</v>
      </c>
      <c r="AN263" s="8789"/>
      <c r="AO263" s="4466">
        <f t="shared" si="450"/>
        <v>0</v>
      </c>
      <c r="AP263" s="8759"/>
      <c r="AQ263" s="4453"/>
      <c r="AR263" s="8789"/>
      <c r="AS263" s="4466">
        <f t="shared" si="451"/>
        <v>0</v>
      </c>
      <c r="AT263" s="8759"/>
      <c r="AU263" s="4453"/>
      <c r="AV263" s="8789"/>
      <c r="AW263" s="4466">
        <f t="shared" si="452"/>
        <v>0</v>
      </c>
      <c r="AX263" s="8759"/>
      <c r="AY263" s="4453"/>
      <c r="AZ263" s="8713"/>
      <c r="BA263" s="4854">
        <f t="shared" si="459"/>
        <v>0</v>
      </c>
      <c r="BB263" s="8713">
        <f t="shared" si="453"/>
        <v>0</v>
      </c>
      <c r="BC263" s="4854">
        <f t="shared" si="454"/>
        <v>0</v>
      </c>
      <c r="BD263" s="8717"/>
      <c r="BE263" s="7231">
        <f t="shared" si="455"/>
        <v>0</v>
      </c>
    </row>
    <row r="264" spans="2:57" ht="18.75" customHeight="1" x14ac:dyDescent="0.2">
      <c r="B264" s="5226" t="s">
        <v>1898</v>
      </c>
      <c r="C264" s="4820" t="s">
        <v>170</v>
      </c>
      <c r="D264" s="8813"/>
      <c r="E264" s="4453"/>
      <c r="F264" s="8813"/>
      <c r="G264" s="4453">
        <v>8290.8599999999988</v>
      </c>
      <c r="H264" s="8789"/>
      <c r="I264" s="4466">
        <f t="shared" si="443"/>
        <v>8290.8599999999988</v>
      </c>
      <c r="J264" s="8759"/>
      <c r="K264" s="4453"/>
      <c r="L264" s="8713"/>
      <c r="M264" s="4854">
        <f t="shared" si="444"/>
        <v>8290.8599999999988</v>
      </c>
      <c r="N264" s="8759"/>
      <c r="O264" s="4453"/>
      <c r="P264" s="8789"/>
      <c r="Q264" s="4466">
        <f t="shared" si="445"/>
        <v>8290.8599999999988</v>
      </c>
      <c r="R264" s="8759"/>
      <c r="S264" s="4453">
        <v>0</v>
      </c>
      <c r="T264" s="8789"/>
      <c r="U264" s="4466">
        <f t="shared" si="446"/>
        <v>8290.8599999999988</v>
      </c>
      <c r="V264" s="8759"/>
      <c r="W264" s="4453">
        <v>0</v>
      </c>
      <c r="X264" s="8713"/>
      <c r="Y264" s="4854">
        <f t="shared" si="456"/>
        <v>0</v>
      </c>
      <c r="Z264" s="8717"/>
      <c r="AA264" s="7231">
        <f t="shared" si="447"/>
        <v>8290.8599999999988</v>
      </c>
      <c r="AB264" s="8759"/>
      <c r="AC264" s="4453">
        <v>0</v>
      </c>
      <c r="AD264" s="8789"/>
      <c r="AE264" s="4466">
        <f t="shared" si="448"/>
        <v>8290.8599999999988</v>
      </c>
      <c r="AF264" s="8759"/>
      <c r="AG264" s="4453"/>
      <c r="AH264" s="8789"/>
      <c r="AI264" s="4466">
        <f t="shared" si="449"/>
        <v>8290.8599999999988</v>
      </c>
      <c r="AJ264" s="8759"/>
      <c r="AK264" s="4453">
        <v>0</v>
      </c>
      <c r="AL264" s="8713"/>
      <c r="AM264" s="4854">
        <f t="shared" si="457"/>
        <v>0</v>
      </c>
      <c r="AN264" s="8789"/>
      <c r="AO264" s="4466">
        <f t="shared" si="450"/>
        <v>8290.8599999999988</v>
      </c>
      <c r="AP264" s="8759"/>
      <c r="AQ264" s="4453"/>
      <c r="AR264" s="8789"/>
      <c r="AS264" s="4466">
        <f t="shared" si="451"/>
        <v>8290.8599999999988</v>
      </c>
      <c r="AT264" s="8759"/>
      <c r="AU264" s="4453"/>
      <c r="AV264" s="8789"/>
      <c r="AW264" s="4466">
        <f t="shared" si="452"/>
        <v>8290.8599999999988</v>
      </c>
      <c r="AX264" s="8759"/>
      <c r="AY264" s="4453"/>
      <c r="AZ264" s="8713"/>
      <c r="BA264" s="4854">
        <f t="shared" si="459"/>
        <v>0</v>
      </c>
      <c r="BB264" s="8713">
        <f t="shared" si="453"/>
        <v>0</v>
      </c>
      <c r="BC264" s="4854">
        <f t="shared" si="454"/>
        <v>0</v>
      </c>
      <c r="BD264" s="8717"/>
      <c r="BE264" s="7231">
        <f t="shared" si="455"/>
        <v>8290.8599999999988</v>
      </c>
    </row>
    <row r="265" spans="2:57" ht="19.5" customHeight="1" thickBot="1" x14ac:dyDescent="0.25">
      <c r="B265" s="4900"/>
      <c r="C265" s="4012" t="s">
        <v>170</v>
      </c>
      <c r="D265" s="8813"/>
      <c r="E265" s="4453"/>
      <c r="F265" s="8813"/>
      <c r="G265" s="4453"/>
      <c r="H265" s="8789"/>
      <c r="I265" s="4466">
        <f t="shared" si="443"/>
        <v>0</v>
      </c>
      <c r="J265" s="8759"/>
      <c r="K265" s="4453"/>
      <c r="L265" s="8713"/>
      <c r="M265" s="4854">
        <f t="shared" si="444"/>
        <v>0</v>
      </c>
      <c r="N265" s="8759"/>
      <c r="O265" s="4453"/>
      <c r="P265" s="8789"/>
      <c r="Q265" s="4466">
        <f t="shared" si="445"/>
        <v>0</v>
      </c>
      <c r="R265" s="8759"/>
      <c r="S265" s="4453">
        <v>0</v>
      </c>
      <c r="T265" s="8789"/>
      <c r="U265" s="4466">
        <f t="shared" si="446"/>
        <v>0</v>
      </c>
      <c r="V265" s="8759"/>
      <c r="W265" s="4453">
        <v>0</v>
      </c>
      <c r="X265" s="8713"/>
      <c r="Y265" s="4854">
        <f t="shared" si="456"/>
        <v>0</v>
      </c>
      <c r="Z265" s="8717"/>
      <c r="AA265" s="7231">
        <f t="shared" si="447"/>
        <v>0</v>
      </c>
      <c r="AB265" s="8759"/>
      <c r="AC265" s="4453">
        <v>0</v>
      </c>
      <c r="AD265" s="8789"/>
      <c r="AE265" s="4466">
        <f t="shared" si="448"/>
        <v>0</v>
      </c>
      <c r="AF265" s="8759"/>
      <c r="AG265" s="4453"/>
      <c r="AH265" s="8789"/>
      <c r="AI265" s="4466">
        <f t="shared" si="449"/>
        <v>0</v>
      </c>
      <c r="AJ265" s="8759"/>
      <c r="AK265" s="4453">
        <v>0</v>
      </c>
      <c r="AL265" s="8713"/>
      <c r="AM265" s="4854">
        <f t="shared" si="457"/>
        <v>0</v>
      </c>
      <c r="AN265" s="8789"/>
      <c r="AO265" s="4466">
        <f t="shared" si="450"/>
        <v>0</v>
      </c>
      <c r="AP265" s="8759"/>
      <c r="AQ265" s="4453"/>
      <c r="AR265" s="8789"/>
      <c r="AS265" s="4466">
        <f t="shared" si="451"/>
        <v>0</v>
      </c>
      <c r="AT265" s="8759"/>
      <c r="AU265" s="4453"/>
      <c r="AV265" s="8789"/>
      <c r="AW265" s="4466">
        <f t="shared" si="452"/>
        <v>0</v>
      </c>
      <c r="AX265" s="8759"/>
      <c r="AY265" s="4453"/>
      <c r="AZ265" s="8713"/>
      <c r="BA265" s="4854">
        <f t="shared" si="459"/>
        <v>0</v>
      </c>
      <c r="BB265" s="8713">
        <f t="shared" si="453"/>
        <v>0</v>
      </c>
      <c r="BC265" s="4854">
        <f t="shared" si="454"/>
        <v>0</v>
      </c>
      <c r="BD265" s="8717"/>
      <c r="BE265" s="7231">
        <f t="shared" si="455"/>
        <v>0</v>
      </c>
    </row>
    <row r="266" spans="2:57" ht="19.5" customHeight="1" thickBot="1" x14ac:dyDescent="0.25">
      <c r="B266" s="4863" t="s">
        <v>2565</v>
      </c>
      <c r="C266" s="4864" t="s">
        <v>170</v>
      </c>
      <c r="D266" s="8813"/>
      <c r="E266" s="4453"/>
      <c r="F266" s="8813"/>
      <c r="G266" s="4453"/>
      <c r="H266" s="8789"/>
      <c r="I266" s="4466">
        <f t="shared" si="443"/>
        <v>0</v>
      </c>
      <c r="J266" s="8759"/>
      <c r="K266" s="4453"/>
      <c r="L266" s="8713"/>
      <c r="M266" s="4854">
        <f t="shared" si="444"/>
        <v>0</v>
      </c>
      <c r="N266" s="8759"/>
      <c r="O266" s="4453"/>
      <c r="P266" s="8789"/>
      <c r="Q266" s="4466">
        <f t="shared" si="445"/>
        <v>0</v>
      </c>
      <c r="R266" s="8759"/>
      <c r="S266" s="4453">
        <v>0</v>
      </c>
      <c r="T266" s="8789"/>
      <c r="U266" s="4466">
        <f t="shared" si="446"/>
        <v>0</v>
      </c>
      <c r="V266" s="8759"/>
      <c r="W266" s="4453">
        <v>0</v>
      </c>
      <c r="X266" s="8713"/>
      <c r="Y266" s="4854">
        <f t="shared" si="456"/>
        <v>0</v>
      </c>
      <c r="Z266" s="8717"/>
      <c r="AA266" s="7231">
        <f t="shared" si="447"/>
        <v>0</v>
      </c>
      <c r="AB266" s="8759"/>
      <c r="AC266" s="4453">
        <v>0</v>
      </c>
      <c r="AD266" s="8789"/>
      <c r="AE266" s="4466">
        <f t="shared" si="448"/>
        <v>0</v>
      </c>
      <c r="AF266" s="8759"/>
      <c r="AG266" s="4453"/>
      <c r="AH266" s="8789"/>
      <c r="AI266" s="4466">
        <f t="shared" si="449"/>
        <v>0</v>
      </c>
      <c r="AJ266" s="8759"/>
      <c r="AK266" s="4453">
        <v>0</v>
      </c>
      <c r="AL266" s="8713"/>
      <c r="AM266" s="4854">
        <f t="shared" si="457"/>
        <v>0</v>
      </c>
      <c r="AN266" s="8789"/>
      <c r="AO266" s="4466">
        <f t="shared" si="450"/>
        <v>0</v>
      </c>
      <c r="AP266" s="8759"/>
      <c r="AQ266" s="4453">
        <v>8475.8799999999956</v>
      </c>
      <c r="AR266" s="8789"/>
      <c r="AS266" s="4466">
        <f t="shared" si="451"/>
        <v>8475.8799999999956</v>
      </c>
      <c r="AT266" s="8759"/>
      <c r="AU266" s="4453"/>
      <c r="AV266" s="8789"/>
      <c r="AW266" s="4466">
        <f t="shared" si="452"/>
        <v>8475.8799999999956</v>
      </c>
      <c r="AX266" s="8759"/>
      <c r="AY266" s="4453"/>
      <c r="AZ266" s="8713"/>
      <c r="BA266" s="4854">
        <f t="shared" si="459"/>
        <v>8475.8799999999956</v>
      </c>
      <c r="BB266" s="8713">
        <f t="shared" si="453"/>
        <v>0</v>
      </c>
      <c r="BC266" s="4854">
        <f t="shared" si="454"/>
        <v>8475.8799999999956</v>
      </c>
      <c r="BD266" s="8717"/>
      <c r="BE266" s="7231">
        <f t="shared" si="455"/>
        <v>8475.8799999999956</v>
      </c>
    </row>
    <row r="267" spans="2:57" s="4179" customFormat="1" ht="19.5" customHeight="1" thickBot="1" x14ac:dyDescent="0.25">
      <c r="B267" s="4863" t="s">
        <v>1541</v>
      </c>
      <c r="C267" s="4864" t="s">
        <v>170</v>
      </c>
      <c r="D267" s="8813"/>
      <c r="E267" s="4453"/>
      <c r="F267" s="8813"/>
      <c r="G267" s="4453">
        <v>778.07999999999993</v>
      </c>
      <c r="H267" s="8792"/>
      <c r="I267" s="4466">
        <f t="shared" si="443"/>
        <v>778.07999999999993</v>
      </c>
      <c r="J267" s="8759"/>
      <c r="K267" s="4453">
        <v>3969.8999999999996</v>
      </c>
      <c r="L267" s="8714"/>
      <c r="M267" s="4854">
        <f t="shared" si="444"/>
        <v>4747.9799999999996</v>
      </c>
      <c r="N267" s="8759"/>
      <c r="O267" s="4453">
        <v>1565.5</v>
      </c>
      <c r="P267" s="8792"/>
      <c r="Q267" s="4466">
        <f t="shared" si="445"/>
        <v>6313.48</v>
      </c>
      <c r="R267" s="8759"/>
      <c r="S267" s="4453">
        <v>2139.64</v>
      </c>
      <c r="T267" s="8792"/>
      <c r="U267" s="4466">
        <f t="shared" si="446"/>
        <v>8453.119999999999</v>
      </c>
      <c r="V267" s="8759"/>
      <c r="W267" s="4453">
        <v>1570.5</v>
      </c>
      <c r="X267" s="8714"/>
      <c r="Y267" s="4854">
        <f t="shared" si="456"/>
        <v>5275.6399999999994</v>
      </c>
      <c r="Z267" s="8718"/>
      <c r="AA267" s="7231">
        <f t="shared" si="447"/>
        <v>10023.619999999999</v>
      </c>
      <c r="AB267" s="8759"/>
      <c r="AC267" s="4453">
        <v>2050.12</v>
      </c>
      <c r="AD267" s="8792"/>
      <c r="AE267" s="4466">
        <f t="shared" si="448"/>
        <v>12073.739999999998</v>
      </c>
      <c r="AF267" s="8759"/>
      <c r="AG267" s="4453">
        <v>1222.4000000000001</v>
      </c>
      <c r="AH267" s="8792"/>
      <c r="AI267" s="4466">
        <f t="shared" si="449"/>
        <v>13296.139999999998</v>
      </c>
      <c r="AJ267" s="8759"/>
      <c r="AK267" s="4453">
        <v>1883.88</v>
      </c>
      <c r="AL267" s="8714"/>
      <c r="AM267" s="4854">
        <f t="shared" si="457"/>
        <v>5156.3999999999996</v>
      </c>
      <c r="AN267" s="8792"/>
      <c r="AO267" s="4466">
        <f t="shared" si="450"/>
        <v>15180.019999999997</v>
      </c>
      <c r="AP267" s="8759"/>
      <c r="AQ267" s="4453">
        <v>3265.38</v>
      </c>
      <c r="AR267" s="8792"/>
      <c r="AS267" s="4466">
        <f t="shared" si="451"/>
        <v>18445.399999999998</v>
      </c>
      <c r="AT267" s="8759"/>
      <c r="AU267" s="4453">
        <v>234.21</v>
      </c>
      <c r="AV267" s="8792"/>
      <c r="AW267" s="4466">
        <f t="shared" si="452"/>
        <v>18679.609999999997</v>
      </c>
      <c r="AX267" s="8759"/>
      <c r="AY267" s="4453">
        <v>4878.4399999999996</v>
      </c>
      <c r="AZ267" s="8714"/>
      <c r="BA267" s="4854">
        <f t="shared" si="459"/>
        <v>8378.0299999999988</v>
      </c>
      <c r="BB267" s="8714">
        <f t="shared" si="453"/>
        <v>0</v>
      </c>
      <c r="BC267" s="4854">
        <f t="shared" si="454"/>
        <v>13534.429999999998</v>
      </c>
      <c r="BD267" s="8718"/>
      <c r="BE267" s="7231">
        <f t="shared" si="455"/>
        <v>23558.049999999996</v>
      </c>
    </row>
    <row r="268" spans="2:57" s="3380" customFormat="1" ht="18.75" customHeight="1" x14ac:dyDescent="0.2">
      <c r="B268" s="4866" t="s">
        <v>1344</v>
      </c>
      <c r="C268" s="4867"/>
      <c r="D268" s="8813"/>
      <c r="E268" s="4853"/>
      <c r="F268" s="8813"/>
      <c r="G268" s="4853"/>
      <c r="H268" s="8792"/>
      <c r="I268" s="4853"/>
      <c r="J268" s="8759"/>
      <c r="K268" s="4853"/>
      <c r="L268" s="8714"/>
      <c r="M268" s="4853"/>
      <c r="N268" s="8759"/>
      <c r="O268" s="4853"/>
      <c r="P268" s="8792"/>
      <c r="Q268" s="4853"/>
      <c r="R268" s="8759"/>
      <c r="S268" s="4853"/>
      <c r="T268" s="8792"/>
      <c r="U268" s="4853"/>
      <c r="V268" s="8759"/>
      <c r="W268" s="4853"/>
      <c r="X268" s="8714"/>
      <c r="Y268" s="4853"/>
      <c r="Z268" s="8718"/>
      <c r="AA268" s="4853"/>
      <c r="AB268" s="8759"/>
      <c r="AC268" s="4853"/>
      <c r="AD268" s="8792"/>
      <c r="AE268" s="4853"/>
      <c r="AF268" s="8759"/>
      <c r="AG268" s="4853"/>
      <c r="AH268" s="8792"/>
      <c r="AI268" s="4853"/>
      <c r="AJ268" s="8759"/>
      <c r="AK268" s="4853"/>
      <c r="AL268" s="8714"/>
      <c r="AM268" s="4853"/>
      <c r="AN268" s="8792"/>
      <c r="AO268" s="4853"/>
      <c r="AP268" s="8759"/>
      <c r="AQ268" s="4853"/>
      <c r="AR268" s="8792"/>
      <c r="AS268" s="4853"/>
      <c r="AT268" s="8759"/>
      <c r="AU268" s="4853"/>
      <c r="AV268" s="8792"/>
      <c r="AW268" s="4853"/>
      <c r="AX268" s="8759"/>
      <c r="AY268" s="4853"/>
      <c r="AZ268" s="8714"/>
      <c r="BA268" s="4854">
        <f t="shared" si="459"/>
        <v>0</v>
      </c>
      <c r="BB268" s="8714">
        <f t="shared" si="453"/>
        <v>0</v>
      </c>
      <c r="BC268" s="4854">
        <f t="shared" si="454"/>
        <v>0</v>
      </c>
      <c r="BD268" s="8718"/>
      <c r="BE268" s="7231">
        <f t="shared" si="455"/>
        <v>0</v>
      </c>
    </row>
    <row r="269" spans="2:57" ht="18.75" customHeight="1" x14ac:dyDescent="0.2">
      <c r="B269" s="4037" t="s">
        <v>1512</v>
      </c>
      <c r="C269" s="4010" t="s">
        <v>170</v>
      </c>
      <c r="D269" s="8813"/>
      <c r="E269" s="4453"/>
      <c r="F269" s="8813"/>
      <c r="G269" s="4453">
        <v>2172.7110000000002</v>
      </c>
      <c r="H269" s="8789"/>
      <c r="I269" s="4466">
        <f t="shared" si="443"/>
        <v>2172.7110000000002</v>
      </c>
      <c r="J269" s="8759"/>
      <c r="K269" s="4453">
        <v>308.90000000000003</v>
      </c>
      <c r="L269" s="8713"/>
      <c r="M269" s="4854">
        <f t="shared" ref="M269:M283" si="460">+I269+K269</f>
        <v>2481.6110000000003</v>
      </c>
      <c r="N269" s="8759"/>
      <c r="O269" s="4453">
        <v>657.93000000000006</v>
      </c>
      <c r="P269" s="8789"/>
      <c r="Q269" s="4466">
        <f t="shared" ref="Q269:Q283" si="461">+M269+O269</f>
        <v>3139.5410000000002</v>
      </c>
      <c r="R269" s="8759"/>
      <c r="S269" s="4453">
        <v>299.16000000000003</v>
      </c>
      <c r="T269" s="8789"/>
      <c r="U269" s="4466">
        <f t="shared" ref="U269:U283" si="462">+Q269+S269</f>
        <v>3438.701</v>
      </c>
      <c r="V269" s="8759"/>
      <c r="W269" s="4453">
        <v>32.1</v>
      </c>
      <c r="X269" s="8713"/>
      <c r="Y269" s="4854">
        <f t="shared" si="456"/>
        <v>989.19000000000017</v>
      </c>
      <c r="Z269" s="8717"/>
      <c r="AA269" s="7231">
        <f t="shared" ref="AA269:AA283" si="463">+U269+W269</f>
        <v>3470.8009999999999</v>
      </c>
      <c r="AB269" s="8759"/>
      <c r="AC269" s="4453">
        <v>184.78</v>
      </c>
      <c r="AD269" s="8789"/>
      <c r="AE269" s="4466">
        <f t="shared" ref="AE269:AE283" si="464">+AA269+AC269</f>
        <v>3655.5810000000001</v>
      </c>
      <c r="AF269" s="8759"/>
      <c r="AG269" s="4453"/>
      <c r="AH269" s="8789"/>
      <c r="AI269" s="4466">
        <f t="shared" ref="AI269:AI283" si="465">+AE269+AG269</f>
        <v>3655.5810000000001</v>
      </c>
      <c r="AJ269" s="8759"/>
      <c r="AK269" s="4453">
        <v>0</v>
      </c>
      <c r="AL269" s="8713"/>
      <c r="AM269" s="4854">
        <f t="shared" ref="AM269:AM283" si="466">AC269+AG269+AK269</f>
        <v>184.78</v>
      </c>
      <c r="AN269" s="8789"/>
      <c r="AO269" s="4466">
        <f t="shared" ref="AO269:AO283" si="467">+AI269+AK269</f>
        <v>3655.5810000000001</v>
      </c>
      <c r="AP269" s="8759"/>
      <c r="AQ269" s="4453">
        <v>2606.0500000000002</v>
      </c>
      <c r="AR269" s="8789"/>
      <c r="AS269" s="4466">
        <f t="shared" ref="AS269:AS283" si="468">+AO269+AQ269</f>
        <v>6261.6310000000003</v>
      </c>
      <c r="AT269" s="8759"/>
      <c r="AU269" s="4453"/>
      <c r="AV269" s="8789"/>
      <c r="AW269" s="4466">
        <f t="shared" ref="AW269:AW283" si="469">+AS269+AU269</f>
        <v>6261.6310000000003</v>
      </c>
      <c r="AX269" s="8759"/>
      <c r="AY269" s="4453"/>
      <c r="AZ269" s="8713"/>
      <c r="BA269" s="4854">
        <f t="shared" si="459"/>
        <v>2606.0500000000002</v>
      </c>
      <c r="BB269" s="8713">
        <f t="shared" si="453"/>
        <v>0</v>
      </c>
      <c r="BC269" s="4854">
        <f t="shared" si="454"/>
        <v>2790.8300000000004</v>
      </c>
      <c r="BD269" s="8717"/>
      <c r="BE269" s="7231">
        <f t="shared" si="455"/>
        <v>6261.6310000000003</v>
      </c>
    </row>
    <row r="270" spans="2:57" ht="18.75" customHeight="1" x14ac:dyDescent="0.2">
      <c r="B270" s="4037" t="s">
        <v>1181</v>
      </c>
      <c r="C270" s="4010" t="s">
        <v>170</v>
      </c>
      <c r="D270" s="8813"/>
      <c r="E270" s="4453"/>
      <c r="F270" s="8813"/>
      <c r="G270" s="4453">
        <v>703.721</v>
      </c>
      <c r="H270" s="8789"/>
      <c r="I270" s="4466">
        <f t="shared" si="443"/>
        <v>703.721</v>
      </c>
      <c r="J270" s="8759"/>
      <c r="K270" s="4453">
        <v>1266.8979999999999</v>
      </c>
      <c r="L270" s="8713"/>
      <c r="M270" s="4854">
        <f t="shared" si="460"/>
        <v>1970.6189999999999</v>
      </c>
      <c r="N270" s="8759"/>
      <c r="O270" s="4453">
        <v>2094.5</v>
      </c>
      <c r="P270" s="8789"/>
      <c r="Q270" s="4466">
        <f t="shared" si="461"/>
        <v>4065.1189999999997</v>
      </c>
      <c r="R270" s="8759"/>
      <c r="S270" s="4453">
        <v>2139.6099999999997</v>
      </c>
      <c r="T270" s="8789"/>
      <c r="U270" s="4466">
        <f t="shared" si="462"/>
        <v>6204.7289999999994</v>
      </c>
      <c r="V270" s="8759"/>
      <c r="W270" s="4453">
        <v>0</v>
      </c>
      <c r="X270" s="8713"/>
      <c r="Y270" s="4854">
        <f t="shared" si="456"/>
        <v>4234.1099999999997</v>
      </c>
      <c r="Z270" s="8717"/>
      <c r="AA270" s="7231">
        <f t="shared" si="463"/>
        <v>6204.7289999999994</v>
      </c>
      <c r="AB270" s="8759"/>
      <c r="AC270" s="4453">
        <v>0</v>
      </c>
      <c r="AD270" s="8789"/>
      <c r="AE270" s="4466">
        <f t="shared" si="464"/>
        <v>6204.7289999999994</v>
      </c>
      <c r="AF270" s="8759"/>
      <c r="AG270" s="4453"/>
      <c r="AH270" s="8789"/>
      <c r="AI270" s="4466">
        <f t="shared" si="465"/>
        <v>6204.7289999999994</v>
      </c>
      <c r="AJ270" s="8759"/>
      <c r="AK270" s="4453">
        <v>2349.1499999999996</v>
      </c>
      <c r="AL270" s="8713"/>
      <c r="AM270" s="4854">
        <f t="shared" si="466"/>
        <v>2349.1499999999996</v>
      </c>
      <c r="AN270" s="8789"/>
      <c r="AO270" s="4466">
        <f t="shared" si="467"/>
        <v>8553.878999999999</v>
      </c>
      <c r="AP270" s="8759"/>
      <c r="AQ270" s="4453">
        <v>3485.04</v>
      </c>
      <c r="AR270" s="8789"/>
      <c r="AS270" s="4466">
        <f t="shared" si="468"/>
        <v>12038.918999999998</v>
      </c>
      <c r="AT270" s="8759"/>
      <c r="AU270" s="4453">
        <v>2360.4899999999998</v>
      </c>
      <c r="AV270" s="8789"/>
      <c r="AW270" s="4466">
        <f t="shared" si="469"/>
        <v>14399.408999999998</v>
      </c>
      <c r="AX270" s="8759"/>
      <c r="AY270" s="4453">
        <v>324.52999999999997</v>
      </c>
      <c r="AZ270" s="8713"/>
      <c r="BA270" s="4854">
        <f t="shared" si="459"/>
        <v>6170.0599999999995</v>
      </c>
      <c r="BB270" s="8713">
        <f t="shared" si="453"/>
        <v>0</v>
      </c>
      <c r="BC270" s="4854">
        <f t="shared" si="454"/>
        <v>8519.2099999999991</v>
      </c>
      <c r="BD270" s="8717"/>
      <c r="BE270" s="7231">
        <f t="shared" si="455"/>
        <v>14723.938999999998</v>
      </c>
    </row>
    <row r="271" spans="2:57" s="5727" customFormat="1" ht="18.75" customHeight="1" x14ac:dyDescent="0.2">
      <c r="B271" s="4037" t="s">
        <v>2085</v>
      </c>
      <c r="C271" s="4010" t="s">
        <v>170</v>
      </c>
      <c r="D271" s="8813"/>
      <c r="E271" s="4453"/>
      <c r="F271" s="8813"/>
      <c r="G271" s="4453"/>
      <c r="H271" s="8789"/>
      <c r="I271" s="4466">
        <f t="shared" si="443"/>
        <v>0</v>
      </c>
      <c r="J271" s="8759"/>
      <c r="K271" s="4453">
        <v>88.6</v>
      </c>
      <c r="L271" s="8713"/>
      <c r="M271" s="4854">
        <f t="shared" si="460"/>
        <v>88.6</v>
      </c>
      <c r="N271" s="8759"/>
      <c r="O271" s="4453"/>
      <c r="P271" s="8789"/>
      <c r="Q271" s="4466">
        <f t="shared" si="461"/>
        <v>88.6</v>
      </c>
      <c r="R271" s="8759"/>
      <c r="S271" s="4453">
        <v>0</v>
      </c>
      <c r="T271" s="8789"/>
      <c r="U271" s="4466">
        <f t="shared" si="462"/>
        <v>88.6</v>
      </c>
      <c r="V271" s="8759"/>
      <c r="W271" s="4453">
        <v>0</v>
      </c>
      <c r="X271" s="8713"/>
      <c r="Y271" s="4854">
        <f t="shared" si="456"/>
        <v>0</v>
      </c>
      <c r="Z271" s="8717"/>
      <c r="AA271" s="7231">
        <f t="shared" si="463"/>
        <v>88.6</v>
      </c>
      <c r="AB271" s="8759"/>
      <c r="AC271" s="4453">
        <v>0</v>
      </c>
      <c r="AD271" s="8789"/>
      <c r="AE271" s="4466">
        <f t="shared" si="464"/>
        <v>88.6</v>
      </c>
      <c r="AF271" s="8759"/>
      <c r="AG271" s="4453"/>
      <c r="AH271" s="8789"/>
      <c r="AI271" s="4466">
        <f t="shared" si="465"/>
        <v>88.6</v>
      </c>
      <c r="AJ271" s="8759"/>
      <c r="AK271" s="4453">
        <v>0</v>
      </c>
      <c r="AL271" s="8713"/>
      <c r="AM271" s="4854">
        <f t="shared" si="466"/>
        <v>0</v>
      </c>
      <c r="AN271" s="8789"/>
      <c r="AO271" s="4466">
        <f t="shared" si="467"/>
        <v>88.6</v>
      </c>
      <c r="AP271" s="8759"/>
      <c r="AQ271" s="4453"/>
      <c r="AR271" s="8789"/>
      <c r="AS271" s="4466">
        <f t="shared" si="468"/>
        <v>88.6</v>
      </c>
      <c r="AT271" s="8759"/>
      <c r="AU271" s="4453"/>
      <c r="AV271" s="8789"/>
      <c r="AW271" s="4466">
        <f t="shared" si="469"/>
        <v>88.6</v>
      </c>
      <c r="AX271" s="8759"/>
      <c r="AY271" s="4453">
        <v>65.319999999999993</v>
      </c>
      <c r="AZ271" s="8713"/>
      <c r="BA271" s="4854">
        <f t="shared" si="459"/>
        <v>65.319999999999993</v>
      </c>
      <c r="BB271" s="8713">
        <f t="shared" si="453"/>
        <v>0</v>
      </c>
      <c r="BC271" s="4854">
        <f t="shared" si="454"/>
        <v>65.319999999999993</v>
      </c>
      <c r="BD271" s="8717"/>
      <c r="BE271" s="7231">
        <f t="shared" si="455"/>
        <v>153.91999999999999</v>
      </c>
    </row>
    <row r="272" spans="2:57" s="8125" customFormat="1" ht="18.75" customHeight="1" x14ac:dyDescent="0.2">
      <c r="B272" s="4037" t="s">
        <v>2564</v>
      </c>
      <c r="C272" s="4010" t="s">
        <v>170</v>
      </c>
      <c r="D272" s="8813"/>
      <c r="E272" s="4453"/>
      <c r="F272" s="8813"/>
      <c r="G272" s="4453"/>
      <c r="H272" s="8789"/>
      <c r="I272" s="4466"/>
      <c r="J272" s="8759"/>
      <c r="K272" s="4453"/>
      <c r="L272" s="8713"/>
      <c r="M272" s="4854"/>
      <c r="N272" s="8759"/>
      <c r="O272" s="4453"/>
      <c r="P272" s="8789"/>
      <c r="Q272" s="4466"/>
      <c r="R272" s="8759"/>
      <c r="S272" s="4453"/>
      <c r="T272" s="8789"/>
      <c r="U272" s="4466"/>
      <c r="V272" s="8759"/>
      <c r="W272" s="4453"/>
      <c r="X272" s="8713"/>
      <c r="Y272" s="4854"/>
      <c r="Z272" s="8717"/>
      <c r="AA272" s="7231"/>
      <c r="AB272" s="8759"/>
      <c r="AC272" s="4453"/>
      <c r="AD272" s="8789"/>
      <c r="AE272" s="4466"/>
      <c r="AF272" s="8759"/>
      <c r="AG272" s="4453"/>
      <c r="AH272" s="8789"/>
      <c r="AI272" s="4466"/>
      <c r="AJ272" s="8759"/>
      <c r="AK272" s="4453">
        <v>0</v>
      </c>
      <c r="AL272" s="8713"/>
      <c r="AM272" s="4854"/>
      <c r="AN272" s="8789"/>
      <c r="AO272" s="4466">
        <f t="shared" si="467"/>
        <v>0</v>
      </c>
      <c r="AP272" s="8759"/>
      <c r="AQ272" s="4453">
        <v>510.18</v>
      </c>
      <c r="AR272" s="8789"/>
      <c r="AS272" s="4466">
        <f t="shared" si="468"/>
        <v>510.18</v>
      </c>
      <c r="AT272" s="8759"/>
      <c r="AU272" s="4453"/>
      <c r="AV272" s="8789"/>
      <c r="AW272" s="4466">
        <f t="shared" si="469"/>
        <v>510.18</v>
      </c>
      <c r="AX272" s="8759"/>
      <c r="AY272" s="4453"/>
      <c r="AZ272" s="8713"/>
      <c r="BA272" s="4854">
        <f t="shared" si="459"/>
        <v>510.18</v>
      </c>
      <c r="BB272" s="8713">
        <f t="shared" si="453"/>
        <v>0</v>
      </c>
      <c r="BC272" s="4854">
        <f t="shared" si="454"/>
        <v>510.18</v>
      </c>
      <c r="BD272" s="8717"/>
      <c r="BE272" s="7231">
        <f t="shared" si="455"/>
        <v>510.18</v>
      </c>
    </row>
    <row r="273" spans="2:57" s="5438" customFormat="1" ht="18.75" customHeight="1" x14ac:dyDescent="0.2">
      <c r="B273" s="4037" t="s">
        <v>1935</v>
      </c>
      <c r="C273" s="4010" t="s">
        <v>170</v>
      </c>
      <c r="D273" s="8813"/>
      <c r="E273" s="4453"/>
      <c r="F273" s="8813"/>
      <c r="G273" s="4453">
        <v>1101.5800000000002</v>
      </c>
      <c r="H273" s="8789"/>
      <c r="I273" s="4466">
        <f t="shared" si="443"/>
        <v>1101.5800000000002</v>
      </c>
      <c r="J273" s="8759"/>
      <c r="K273" s="4453"/>
      <c r="L273" s="8713"/>
      <c r="M273" s="4854">
        <f t="shared" si="460"/>
        <v>1101.5800000000002</v>
      </c>
      <c r="N273" s="8759"/>
      <c r="O273" s="4453"/>
      <c r="P273" s="8789"/>
      <c r="Q273" s="4466">
        <f t="shared" si="461"/>
        <v>1101.5800000000002</v>
      </c>
      <c r="R273" s="8759"/>
      <c r="S273" s="4453">
        <v>0</v>
      </c>
      <c r="T273" s="8789"/>
      <c r="U273" s="4466">
        <f t="shared" si="462"/>
        <v>1101.5800000000002</v>
      </c>
      <c r="V273" s="8759"/>
      <c r="W273" s="4453">
        <v>0</v>
      </c>
      <c r="X273" s="8713"/>
      <c r="Y273" s="4854">
        <f t="shared" si="456"/>
        <v>0</v>
      </c>
      <c r="Z273" s="8717"/>
      <c r="AA273" s="7231">
        <f t="shared" si="463"/>
        <v>1101.5800000000002</v>
      </c>
      <c r="AB273" s="8759"/>
      <c r="AC273" s="4453">
        <v>0</v>
      </c>
      <c r="AD273" s="8789"/>
      <c r="AE273" s="4466">
        <f t="shared" si="464"/>
        <v>1101.5800000000002</v>
      </c>
      <c r="AF273" s="8759"/>
      <c r="AG273" s="4453"/>
      <c r="AH273" s="8789"/>
      <c r="AI273" s="4466">
        <f t="shared" si="465"/>
        <v>1101.5800000000002</v>
      </c>
      <c r="AJ273" s="8759"/>
      <c r="AK273" s="4453">
        <v>0</v>
      </c>
      <c r="AL273" s="8713"/>
      <c r="AM273" s="4854">
        <f t="shared" si="466"/>
        <v>0</v>
      </c>
      <c r="AN273" s="8789"/>
      <c r="AO273" s="4466">
        <f t="shared" si="467"/>
        <v>1101.5800000000002</v>
      </c>
      <c r="AP273" s="8759"/>
      <c r="AQ273" s="4453">
        <v>7147.1199999999972</v>
      </c>
      <c r="AR273" s="8789"/>
      <c r="AS273" s="4466">
        <f t="shared" si="468"/>
        <v>8248.6999999999971</v>
      </c>
      <c r="AT273" s="8759"/>
      <c r="AU273" s="4453"/>
      <c r="AV273" s="8789"/>
      <c r="AW273" s="4466">
        <f t="shared" si="469"/>
        <v>8248.6999999999971</v>
      </c>
      <c r="AX273" s="8759"/>
      <c r="AY273" s="4453"/>
      <c r="AZ273" s="8713"/>
      <c r="BA273" s="4854">
        <f t="shared" si="459"/>
        <v>7147.1199999999972</v>
      </c>
      <c r="BB273" s="8713">
        <f t="shared" si="453"/>
        <v>0</v>
      </c>
      <c r="BC273" s="4854">
        <f t="shared" si="454"/>
        <v>7147.1199999999972</v>
      </c>
      <c r="BD273" s="8717"/>
      <c r="BE273" s="7231">
        <f t="shared" si="455"/>
        <v>8248.6999999999971</v>
      </c>
    </row>
    <row r="274" spans="2:57" ht="18.75" customHeight="1" x14ac:dyDescent="0.2">
      <c r="B274" s="4037" t="s">
        <v>1513</v>
      </c>
      <c r="C274" s="4010" t="s">
        <v>170</v>
      </c>
      <c r="D274" s="8813"/>
      <c r="E274" s="4453"/>
      <c r="F274" s="8813"/>
      <c r="G274" s="4453"/>
      <c r="H274" s="8789"/>
      <c r="I274" s="4466">
        <f t="shared" si="443"/>
        <v>0</v>
      </c>
      <c r="J274" s="8759"/>
      <c r="K274" s="4453"/>
      <c r="L274" s="8713"/>
      <c r="M274" s="4854">
        <f t="shared" si="460"/>
        <v>0</v>
      </c>
      <c r="N274" s="8759"/>
      <c r="O274" s="4453"/>
      <c r="P274" s="8789"/>
      <c r="Q274" s="4466">
        <f t="shared" si="461"/>
        <v>0</v>
      </c>
      <c r="R274" s="8759"/>
      <c r="S274" s="4453"/>
      <c r="T274" s="8789"/>
      <c r="U274" s="4466">
        <f t="shared" si="462"/>
        <v>0</v>
      </c>
      <c r="V274" s="8759"/>
      <c r="W274" s="4453"/>
      <c r="X274" s="8713"/>
      <c r="Y274" s="4854">
        <f t="shared" si="456"/>
        <v>0</v>
      </c>
      <c r="Z274" s="8717"/>
      <c r="AA274" s="7231">
        <f t="shared" si="463"/>
        <v>0</v>
      </c>
      <c r="AB274" s="8759"/>
      <c r="AC274" s="4453"/>
      <c r="AD274" s="8789"/>
      <c r="AE274" s="4466">
        <f t="shared" si="464"/>
        <v>0</v>
      </c>
      <c r="AF274" s="8759"/>
      <c r="AG274" s="4453"/>
      <c r="AH274" s="8789"/>
      <c r="AI274" s="4466">
        <f t="shared" si="465"/>
        <v>0</v>
      </c>
      <c r="AJ274" s="8759"/>
      <c r="AK274" s="4453"/>
      <c r="AL274" s="8713"/>
      <c r="AM274" s="4854">
        <f t="shared" si="466"/>
        <v>0</v>
      </c>
      <c r="AN274" s="8789"/>
      <c r="AO274" s="4466">
        <f t="shared" si="467"/>
        <v>0</v>
      </c>
      <c r="AP274" s="8759"/>
      <c r="AQ274" s="4453"/>
      <c r="AR274" s="8789"/>
      <c r="AS274" s="4466">
        <f t="shared" si="468"/>
        <v>0</v>
      </c>
      <c r="AT274" s="8759"/>
      <c r="AU274" s="4453"/>
      <c r="AV274" s="8789"/>
      <c r="AW274" s="4466">
        <f t="shared" si="469"/>
        <v>0</v>
      </c>
      <c r="AX274" s="8759"/>
      <c r="AY274" s="4453"/>
      <c r="AZ274" s="8713"/>
      <c r="BA274" s="4854">
        <f t="shared" si="459"/>
        <v>0</v>
      </c>
      <c r="BB274" s="8713">
        <f t="shared" si="453"/>
        <v>0</v>
      </c>
      <c r="BC274" s="4854">
        <f t="shared" si="454"/>
        <v>0</v>
      </c>
      <c r="BD274" s="8717"/>
      <c r="BE274" s="7231">
        <f t="shared" si="455"/>
        <v>0</v>
      </c>
    </row>
    <row r="275" spans="2:57" ht="18.75" customHeight="1" x14ac:dyDescent="0.2">
      <c r="B275" s="4037" t="s">
        <v>1514</v>
      </c>
      <c r="C275" s="4010" t="s">
        <v>170</v>
      </c>
      <c r="D275" s="8813"/>
      <c r="E275" s="4453"/>
      <c r="F275" s="8813"/>
      <c r="G275" s="4453"/>
      <c r="H275" s="8789"/>
      <c r="I275" s="4466">
        <f t="shared" si="443"/>
        <v>0</v>
      </c>
      <c r="J275" s="8759"/>
      <c r="K275" s="4453">
        <v>9130.4829999999911</v>
      </c>
      <c r="L275" s="8713"/>
      <c r="M275" s="4854">
        <f t="shared" si="460"/>
        <v>9130.4829999999911</v>
      </c>
      <c r="N275" s="8759"/>
      <c r="O275" s="4453">
        <v>1793.1899999999998</v>
      </c>
      <c r="P275" s="8789"/>
      <c r="Q275" s="4466">
        <f t="shared" si="461"/>
        <v>10923.672999999992</v>
      </c>
      <c r="R275" s="8759"/>
      <c r="S275" s="4453">
        <v>0</v>
      </c>
      <c r="T275" s="8789"/>
      <c r="U275" s="4466">
        <f t="shared" si="462"/>
        <v>10923.672999999992</v>
      </c>
      <c r="V275" s="8759"/>
      <c r="W275" s="4453">
        <v>2017.4</v>
      </c>
      <c r="X275" s="8713"/>
      <c r="Y275" s="4854">
        <f t="shared" si="456"/>
        <v>3810.59</v>
      </c>
      <c r="Z275" s="8717"/>
      <c r="AA275" s="7231">
        <f t="shared" si="463"/>
        <v>12941.072999999991</v>
      </c>
      <c r="AB275" s="8759"/>
      <c r="AC275" s="4453">
        <v>5649.0600000000013</v>
      </c>
      <c r="AD275" s="8789"/>
      <c r="AE275" s="4466">
        <f t="shared" si="464"/>
        <v>18590.132999999994</v>
      </c>
      <c r="AF275" s="8759"/>
      <c r="AG275" s="4453">
        <v>3090.7499999999995</v>
      </c>
      <c r="AH275" s="8789"/>
      <c r="AI275" s="4466">
        <f t="shared" si="465"/>
        <v>21680.882999999994</v>
      </c>
      <c r="AJ275" s="8759"/>
      <c r="AK275" s="4453">
        <v>997.37999999999988</v>
      </c>
      <c r="AL275" s="8713"/>
      <c r="AM275" s="4854">
        <f t="shared" si="466"/>
        <v>9737.19</v>
      </c>
      <c r="AN275" s="8789"/>
      <c r="AO275" s="4466">
        <f t="shared" si="467"/>
        <v>22678.262999999995</v>
      </c>
      <c r="AP275" s="8759"/>
      <c r="AQ275" s="4453"/>
      <c r="AR275" s="8789"/>
      <c r="AS275" s="4466">
        <f t="shared" si="468"/>
        <v>22678.262999999995</v>
      </c>
      <c r="AT275" s="8759"/>
      <c r="AU275" s="4453">
        <v>5065.8599999999997</v>
      </c>
      <c r="AV275" s="8789"/>
      <c r="AW275" s="4466">
        <f t="shared" si="469"/>
        <v>27744.122999999996</v>
      </c>
      <c r="AX275" s="8759"/>
      <c r="AY275" s="4453">
        <v>2280.67</v>
      </c>
      <c r="AZ275" s="8713"/>
      <c r="BA275" s="4854">
        <f t="shared" si="459"/>
        <v>7346.53</v>
      </c>
      <c r="BB275" s="8713">
        <f t="shared" si="453"/>
        <v>0</v>
      </c>
      <c r="BC275" s="4854">
        <f t="shared" si="454"/>
        <v>17083.72</v>
      </c>
      <c r="BD275" s="8717"/>
      <c r="BE275" s="7231">
        <f t="shared" si="455"/>
        <v>30024.792999999998</v>
      </c>
    </row>
    <row r="276" spans="2:57" ht="18.75" customHeight="1" x14ac:dyDescent="0.2">
      <c r="B276" s="4037" t="s">
        <v>1452</v>
      </c>
      <c r="C276" s="4010" t="s">
        <v>170</v>
      </c>
      <c r="D276" s="8813"/>
      <c r="E276" s="4453"/>
      <c r="F276" s="8813"/>
      <c r="G276" s="4453">
        <v>2524.5599999999995</v>
      </c>
      <c r="H276" s="8789"/>
      <c r="I276" s="4466">
        <f t="shared" si="443"/>
        <v>2524.5599999999995</v>
      </c>
      <c r="J276" s="8759"/>
      <c r="K276" s="4453">
        <v>8687.9070000000011</v>
      </c>
      <c r="L276" s="8713"/>
      <c r="M276" s="4854">
        <f t="shared" si="460"/>
        <v>11212.467000000001</v>
      </c>
      <c r="N276" s="8759"/>
      <c r="O276" s="4453">
        <v>13327.210999999999</v>
      </c>
      <c r="P276" s="8789"/>
      <c r="Q276" s="4466">
        <f t="shared" si="461"/>
        <v>24539.678</v>
      </c>
      <c r="R276" s="8759"/>
      <c r="S276" s="4453">
        <v>9248.6210000000028</v>
      </c>
      <c r="T276" s="8789"/>
      <c r="U276" s="4466">
        <f t="shared" si="462"/>
        <v>33788.298999999999</v>
      </c>
      <c r="V276" s="8759"/>
      <c r="W276" s="4453">
        <v>490.37</v>
      </c>
      <c r="X276" s="8713"/>
      <c r="Y276" s="4854">
        <f t="shared" si="456"/>
        <v>23066.202000000001</v>
      </c>
      <c r="Z276" s="8717"/>
      <c r="AA276" s="7231">
        <f t="shared" si="463"/>
        <v>34278.669000000002</v>
      </c>
      <c r="AB276" s="8759"/>
      <c r="AC276" s="4453">
        <v>0</v>
      </c>
      <c r="AD276" s="8789"/>
      <c r="AE276" s="4466">
        <f t="shared" si="464"/>
        <v>34278.669000000002</v>
      </c>
      <c r="AF276" s="8759"/>
      <c r="AG276" s="4453">
        <v>9621.7900000000009</v>
      </c>
      <c r="AH276" s="8789"/>
      <c r="AI276" s="4466">
        <f t="shared" si="465"/>
        <v>43900.459000000003</v>
      </c>
      <c r="AJ276" s="8759"/>
      <c r="AK276" s="4453">
        <v>13517.809999999998</v>
      </c>
      <c r="AL276" s="8713"/>
      <c r="AM276" s="4854">
        <f t="shared" si="466"/>
        <v>23139.599999999999</v>
      </c>
      <c r="AN276" s="8789"/>
      <c r="AO276" s="4466">
        <f t="shared" si="467"/>
        <v>57418.269</v>
      </c>
      <c r="AP276" s="8759"/>
      <c r="AQ276" s="4453">
        <v>8936.9999999999964</v>
      </c>
      <c r="AR276" s="8789"/>
      <c r="AS276" s="4466">
        <f t="shared" si="468"/>
        <v>66355.269</v>
      </c>
      <c r="AT276" s="8759"/>
      <c r="AU276" s="4453">
        <v>9836.69</v>
      </c>
      <c r="AV276" s="8789"/>
      <c r="AW276" s="4466">
        <f t="shared" si="469"/>
        <v>76191.959000000003</v>
      </c>
      <c r="AX276" s="8759"/>
      <c r="AY276" s="4453">
        <v>8244.69</v>
      </c>
      <c r="AZ276" s="8713"/>
      <c r="BA276" s="4854">
        <f t="shared" si="459"/>
        <v>27018.379999999997</v>
      </c>
      <c r="BB276" s="8713">
        <f t="shared" si="453"/>
        <v>0</v>
      </c>
      <c r="BC276" s="4854">
        <f t="shared" si="454"/>
        <v>50157.979999999996</v>
      </c>
      <c r="BD276" s="8717"/>
      <c r="BE276" s="7231">
        <f t="shared" si="455"/>
        <v>84436.649000000005</v>
      </c>
    </row>
    <row r="277" spans="2:57" ht="18.75" customHeight="1" x14ac:dyDescent="0.2">
      <c r="B277" s="4037" t="s">
        <v>1417</v>
      </c>
      <c r="C277" s="4010" t="s">
        <v>170</v>
      </c>
      <c r="D277" s="8813"/>
      <c r="E277" s="4453"/>
      <c r="F277" s="8813"/>
      <c r="G277" s="4453"/>
      <c r="H277" s="8789"/>
      <c r="I277" s="4466">
        <f t="shared" si="443"/>
        <v>0</v>
      </c>
      <c r="J277" s="8759"/>
      <c r="K277" s="4453"/>
      <c r="L277" s="8713"/>
      <c r="M277" s="4854">
        <f t="shared" si="460"/>
        <v>0</v>
      </c>
      <c r="N277" s="8759"/>
      <c r="O277" s="4453"/>
      <c r="P277" s="8789"/>
      <c r="Q277" s="4466">
        <f t="shared" si="461"/>
        <v>0</v>
      </c>
      <c r="R277" s="8759"/>
      <c r="S277" s="4453"/>
      <c r="T277" s="8789"/>
      <c r="U277" s="4466">
        <f t="shared" si="462"/>
        <v>0</v>
      </c>
      <c r="V277" s="8759"/>
      <c r="W277" s="4453"/>
      <c r="X277" s="8713"/>
      <c r="Y277" s="4854">
        <f t="shared" si="456"/>
        <v>0</v>
      </c>
      <c r="Z277" s="8717"/>
      <c r="AA277" s="7231">
        <f t="shared" si="463"/>
        <v>0</v>
      </c>
      <c r="AB277" s="8759"/>
      <c r="AC277" s="4453"/>
      <c r="AD277" s="8789"/>
      <c r="AE277" s="4466">
        <f t="shared" si="464"/>
        <v>0</v>
      </c>
      <c r="AF277" s="8759"/>
      <c r="AG277" s="4453"/>
      <c r="AH277" s="8789"/>
      <c r="AI277" s="4466">
        <f t="shared" si="465"/>
        <v>0</v>
      </c>
      <c r="AJ277" s="8759"/>
      <c r="AK277" s="4453"/>
      <c r="AL277" s="8713"/>
      <c r="AM277" s="4854">
        <f t="shared" si="466"/>
        <v>0</v>
      </c>
      <c r="AN277" s="8789"/>
      <c r="AO277" s="4466">
        <f t="shared" si="467"/>
        <v>0</v>
      </c>
      <c r="AP277" s="8759"/>
      <c r="AQ277" s="4453"/>
      <c r="AR277" s="8789"/>
      <c r="AS277" s="4466">
        <f t="shared" si="468"/>
        <v>0</v>
      </c>
      <c r="AT277" s="8759"/>
      <c r="AU277" s="4453"/>
      <c r="AV277" s="8789"/>
      <c r="AW277" s="4466">
        <f t="shared" si="469"/>
        <v>0</v>
      </c>
      <c r="AX277" s="8759"/>
      <c r="AY277" s="4453"/>
      <c r="AZ277" s="8713"/>
      <c r="BA277" s="4854">
        <f t="shared" si="459"/>
        <v>0</v>
      </c>
      <c r="BB277" s="8713">
        <f t="shared" si="453"/>
        <v>0</v>
      </c>
      <c r="BC277" s="4854">
        <f t="shared" si="454"/>
        <v>0</v>
      </c>
      <c r="BD277" s="8717"/>
      <c r="BE277" s="7231">
        <f t="shared" si="455"/>
        <v>0</v>
      </c>
    </row>
    <row r="278" spans="2:57" ht="18.75" customHeight="1" x14ac:dyDescent="0.2">
      <c r="B278" s="4037" t="s">
        <v>1418</v>
      </c>
      <c r="C278" s="4010" t="s">
        <v>170</v>
      </c>
      <c r="D278" s="8813"/>
      <c r="E278" s="4453"/>
      <c r="F278" s="8813"/>
      <c r="G278" s="4453"/>
      <c r="H278" s="8789"/>
      <c r="I278" s="4466">
        <f t="shared" si="443"/>
        <v>0</v>
      </c>
      <c r="J278" s="8759"/>
      <c r="K278" s="4453"/>
      <c r="L278" s="8713"/>
      <c r="M278" s="4854">
        <f t="shared" si="460"/>
        <v>0</v>
      </c>
      <c r="N278" s="8759"/>
      <c r="O278" s="4453"/>
      <c r="P278" s="8789"/>
      <c r="Q278" s="4466">
        <f t="shared" si="461"/>
        <v>0</v>
      </c>
      <c r="R278" s="8759"/>
      <c r="S278" s="4453"/>
      <c r="T278" s="8789"/>
      <c r="U278" s="4466">
        <f t="shared" si="462"/>
        <v>0</v>
      </c>
      <c r="V278" s="8759"/>
      <c r="W278" s="4453"/>
      <c r="X278" s="8713"/>
      <c r="Y278" s="4854">
        <f t="shared" si="456"/>
        <v>0</v>
      </c>
      <c r="Z278" s="8717"/>
      <c r="AA278" s="7231">
        <f t="shared" si="463"/>
        <v>0</v>
      </c>
      <c r="AB278" s="8759"/>
      <c r="AC278" s="4453"/>
      <c r="AD278" s="8789"/>
      <c r="AE278" s="4466">
        <f t="shared" si="464"/>
        <v>0</v>
      </c>
      <c r="AF278" s="8759"/>
      <c r="AG278" s="4453"/>
      <c r="AH278" s="8789"/>
      <c r="AI278" s="4466">
        <f t="shared" si="465"/>
        <v>0</v>
      </c>
      <c r="AJ278" s="8759"/>
      <c r="AK278" s="4453"/>
      <c r="AL278" s="8713"/>
      <c r="AM278" s="4854">
        <f t="shared" si="466"/>
        <v>0</v>
      </c>
      <c r="AN278" s="8789"/>
      <c r="AO278" s="4466">
        <f t="shared" si="467"/>
        <v>0</v>
      </c>
      <c r="AP278" s="8759"/>
      <c r="AQ278" s="4453"/>
      <c r="AR278" s="8789"/>
      <c r="AS278" s="4466">
        <f t="shared" si="468"/>
        <v>0</v>
      </c>
      <c r="AT278" s="8759"/>
      <c r="AU278" s="4453"/>
      <c r="AV278" s="8789"/>
      <c r="AW278" s="4466">
        <f t="shared" si="469"/>
        <v>0</v>
      </c>
      <c r="AX278" s="8759"/>
      <c r="AY278" s="4453"/>
      <c r="AZ278" s="8713"/>
      <c r="BA278" s="4854">
        <f t="shared" si="459"/>
        <v>0</v>
      </c>
      <c r="BB278" s="8713">
        <f t="shared" si="453"/>
        <v>0</v>
      </c>
      <c r="BC278" s="4854">
        <f t="shared" si="454"/>
        <v>0</v>
      </c>
      <c r="BD278" s="8717"/>
      <c r="BE278" s="7231">
        <f t="shared" si="455"/>
        <v>0</v>
      </c>
    </row>
    <row r="279" spans="2:57" ht="18.75" customHeight="1" x14ac:dyDescent="0.2">
      <c r="B279" s="4868" t="s">
        <v>1422</v>
      </c>
      <c r="C279" s="4820" t="s">
        <v>170</v>
      </c>
      <c r="D279" s="8813"/>
      <c r="E279" s="4453"/>
      <c r="F279" s="8813"/>
      <c r="G279" s="4453"/>
      <c r="H279" s="8789"/>
      <c r="I279" s="4466">
        <f t="shared" si="443"/>
        <v>0</v>
      </c>
      <c r="J279" s="8759"/>
      <c r="K279" s="4453"/>
      <c r="L279" s="8713"/>
      <c r="M279" s="4854">
        <f t="shared" si="460"/>
        <v>0</v>
      </c>
      <c r="N279" s="8759"/>
      <c r="O279" s="4453"/>
      <c r="P279" s="8789"/>
      <c r="Q279" s="4466">
        <f t="shared" si="461"/>
        <v>0</v>
      </c>
      <c r="R279" s="8759"/>
      <c r="S279" s="4453"/>
      <c r="T279" s="8789"/>
      <c r="U279" s="4466">
        <f t="shared" si="462"/>
        <v>0</v>
      </c>
      <c r="V279" s="8759"/>
      <c r="W279" s="4453"/>
      <c r="X279" s="8713"/>
      <c r="Y279" s="4854">
        <f t="shared" si="456"/>
        <v>0</v>
      </c>
      <c r="Z279" s="8717"/>
      <c r="AA279" s="7231">
        <f t="shared" si="463"/>
        <v>0</v>
      </c>
      <c r="AB279" s="8759"/>
      <c r="AC279" s="4453"/>
      <c r="AD279" s="8789"/>
      <c r="AE279" s="4466">
        <f t="shared" si="464"/>
        <v>0</v>
      </c>
      <c r="AF279" s="8759"/>
      <c r="AG279" s="4453"/>
      <c r="AH279" s="8789"/>
      <c r="AI279" s="4466">
        <f t="shared" si="465"/>
        <v>0</v>
      </c>
      <c r="AJ279" s="8759"/>
      <c r="AK279" s="4453"/>
      <c r="AL279" s="8713"/>
      <c r="AM279" s="4854">
        <f t="shared" si="466"/>
        <v>0</v>
      </c>
      <c r="AN279" s="8789"/>
      <c r="AO279" s="4466">
        <f t="shared" si="467"/>
        <v>0</v>
      </c>
      <c r="AP279" s="8759"/>
      <c r="AQ279" s="4453"/>
      <c r="AR279" s="8789"/>
      <c r="AS279" s="4466">
        <f t="shared" si="468"/>
        <v>0</v>
      </c>
      <c r="AT279" s="8759"/>
      <c r="AU279" s="4453"/>
      <c r="AV279" s="8789"/>
      <c r="AW279" s="4466">
        <f t="shared" si="469"/>
        <v>0</v>
      </c>
      <c r="AX279" s="8759"/>
      <c r="AY279" s="4453"/>
      <c r="AZ279" s="8713"/>
      <c r="BA279" s="4854">
        <f t="shared" si="459"/>
        <v>0</v>
      </c>
      <c r="BB279" s="8713">
        <f t="shared" si="453"/>
        <v>0</v>
      </c>
      <c r="BC279" s="4854">
        <f t="shared" si="454"/>
        <v>0</v>
      </c>
      <c r="BD279" s="8717"/>
      <c r="BE279" s="7231">
        <f t="shared" si="455"/>
        <v>0</v>
      </c>
    </row>
    <row r="280" spans="2:57" s="4179" customFormat="1" ht="18.75" customHeight="1" x14ac:dyDescent="0.2">
      <c r="B280" s="4868" t="s">
        <v>2086</v>
      </c>
      <c r="C280" s="4820" t="s">
        <v>170</v>
      </c>
      <c r="D280" s="8813"/>
      <c r="E280" s="4453"/>
      <c r="F280" s="8813"/>
      <c r="G280" s="4453"/>
      <c r="H280" s="8789"/>
      <c r="I280" s="4466">
        <f t="shared" si="443"/>
        <v>0</v>
      </c>
      <c r="J280" s="8759"/>
      <c r="K280" s="4453">
        <v>61.56</v>
      </c>
      <c r="L280" s="8713"/>
      <c r="M280" s="4854">
        <f t="shared" si="460"/>
        <v>61.56</v>
      </c>
      <c r="N280" s="8759"/>
      <c r="O280" s="4453"/>
      <c r="P280" s="8789"/>
      <c r="Q280" s="4466">
        <f t="shared" si="461"/>
        <v>61.56</v>
      </c>
      <c r="R280" s="8759"/>
      <c r="S280" s="4453">
        <v>0</v>
      </c>
      <c r="T280" s="8789"/>
      <c r="U280" s="4466">
        <f t="shared" si="462"/>
        <v>61.56</v>
      </c>
      <c r="V280" s="8759"/>
      <c r="W280" s="4453">
        <v>0</v>
      </c>
      <c r="X280" s="8713"/>
      <c r="Y280" s="4854">
        <f t="shared" si="456"/>
        <v>0</v>
      </c>
      <c r="Z280" s="8717"/>
      <c r="AA280" s="7231">
        <f t="shared" si="463"/>
        <v>61.56</v>
      </c>
      <c r="AB280" s="8759"/>
      <c r="AC280" s="4453">
        <v>0</v>
      </c>
      <c r="AD280" s="8789"/>
      <c r="AE280" s="4466">
        <f t="shared" si="464"/>
        <v>61.56</v>
      </c>
      <c r="AF280" s="8759"/>
      <c r="AG280" s="4453">
        <v>1149.2499999999998</v>
      </c>
      <c r="AH280" s="8789"/>
      <c r="AI280" s="4466">
        <f t="shared" si="465"/>
        <v>1210.8099999999997</v>
      </c>
      <c r="AJ280" s="8759"/>
      <c r="AK280" s="4453">
        <v>0</v>
      </c>
      <c r="AL280" s="8713"/>
      <c r="AM280" s="4854">
        <f t="shared" si="466"/>
        <v>1149.2499999999998</v>
      </c>
      <c r="AN280" s="8789"/>
      <c r="AO280" s="4466">
        <f t="shared" si="467"/>
        <v>1210.8099999999997</v>
      </c>
      <c r="AP280" s="8759"/>
      <c r="AQ280" s="4453"/>
      <c r="AR280" s="8789"/>
      <c r="AS280" s="4466">
        <f t="shared" si="468"/>
        <v>1210.8099999999997</v>
      </c>
      <c r="AT280" s="8759"/>
      <c r="AU280" s="4453"/>
      <c r="AV280" s="8789"/>
      <c r="AW280" s="4466">
        <f t="shared" si="469"/>
        <v>1210.8099999999997</v>
      </c>
      <c r="AX280" s="8759"/>
      <c r="AY280" s="4453">
        <v>117.78</v>
      </c>
      <c r="AZ280" s="8713"/>
      <c r="BA280" s="4854">
        <f t="shared" si="459"/>
        <v>117.78</v>
      </c>
      <c r="BB280" s="8713">
        <f t="shared" si="453"/>
        <v>0</v>
      </c>
      <c r="BC280" s="4854">
        <f t="shared" si="454"/>
        <v>1267.0299999999997</v>
      </c>
      <c r="BD280" s="8717"/>
      <c r="BE280" s="7231">
        <f t="shared" si="455"/>
        <v>1328.5899999999997</v>
      </c>
    </row>
    <row r="281" spans="2:57" s="4179" customFormat="1" ht="18.75" customHeight="1" x14ac:dyDescent="0.2">
      <c r="B281" s="4037" t="s">
        <v>1938</v>
      </c>
      <c r="C281" s="4820" t="s">
        <v>170</v>
      </c>
      <c r="D281" s="8813"/>
      <c r="E281" s="4453"/>
      <c r="F281" s="8813"/>
      <c r="G281" s="4453"/>
      <c r="H281" s="8789"/>
      <c r="I281" s="4466">
        <f t="shared" si="443"/>
        <v>0</v>
      </c>
      <c r="J281" s="8759"/>
      <c r="K281" s="4453"/>
      <c r="L281" s="8713"/>
      <c r="M281" s="4854">
        <f t="shared" si="460"/>
        <v>0</v>
      </c>
      <c r="N281" s="8759"/>
      <c r="O281" s="4453">
        <v>1162.8389999999999</v>
      </c>
      <c r="P281" s="8789"/>
      <c r="Q281" s="4466">
        <f t="shared" si="461"/>
        <v>1162.8389999999999</v>
      </c>
      <c r="R281" s="8759"/>
      <c r="S281" s="4453">
        <v>0</v>
      </c>
      <c r="T281" s="8789"/>
      <c r="U281" s="4466">
        <f t="shared" si="462"/>
        <v>1162.8389999999999</v>
      </c>
      <c r="V281" s="8759"/>
      <c r="W281" s="4453">
        <v>550.32000000000005</v>
      </c>
      <c r="X281" s="8713"/>
      <c r="Y281" s="4854">
        <f t="shared" si="456"/>
        <v>1713.1590000000001</v>
      </c>
      <c r="Z281" s="8717"/>
      <c r="AA281" s="7231">
        <f t="shared" si="463"/>
        <v>1713.1590000000001</v>
      </c>
      <c r="AB281" s="8759"/>
      <c r="AC281" s="4453">
        <v>0</v>
      </c>
      <c r="AD281" s="8789"/>
      <c r="AE281" s="4466">
        <f t="shared" si="464"/>
        <v>1713.1590000000001</v>
      </c>
      <c r="AF281" s="8759"/>
      <c r="AG281" s="4453"/>
      <c r="AH281" s="8789"/>
      <c r="AI281" s="4466">
        <f t="shared" si="465"/>
        <v>1713.1590000000001</v>
      </c>
      <c r="AJ281" s="8759"/>
      <c r="AK281" s="4453">
        <v>2249.6699999999996</v>
      </c>
      <c r="AL281" s="8713"/>
      <c r="AM281" s="4854">
        <f t="shared" si="466"/>
        <v>2249.6699999999996</v>
      </c>
      <c r="AN281" s="8789"/>
      <c r="AO281" s="4466">
        <f t="shared" si="467"/>
        <v>3962.8289999999997</v>
      </c>
      <c r="AP281" s="8759"/>
      <c r="AQ281" s="4453">
        <v>1631.3000000000002</v>
      </c>
      <c r="AR281" s="8789"/>
      <c r="AS281" s="4466">
        <f t="shared" si="468"/>
        <v>5594.1289999999999</v>
      </c>
      <c r="AT281" s="8759"/>
      <c r="AU281" s="4453">
        <v>1635.58</v>
      </c>
      <c r="AV281" s="8789"/>
      <c r="AW281" s="4466">
        <f t="shared" si="469"/>
        <v>7229.7089999999998</v>
      </c>
      <c r="AX281" s="8759"/>
      <c r="AY281" s="4453">
        <v>1394.45</v>
      </c>
      <c r="AZ281" s="8713"/>
      <c r="BA281" s="4854">
        <f t="shared" si="459"/>
        <v>4661.33</v>
      </c>
      <c r="BB281" s="8713">
        <f t="shared" si="453"/>
        <v>0</v>
      </c>
      <c r="BC281" s="4854">
        <f t="shared" si="454"/>
        <v>6911</v>
      </c>
      <c r="BD281" s="8717"/>
      <c r="BE281" s="7231">
        <f t="shared" si="455"/>
        <v>8624.1589999999997</v>
      </c>
    </row>
    <row r="282" spans="2:57" s="4756" customFormat="1" ht="18.75" customHeight="1" x14ac:dyDescent="0.2">
      <c r="B282" s="4868" t="s">
        <v>1936</v>
      </c>
      <c r="C282" s="4820" t="s">
        <v>170</v>
      </c>
      <c r="D282" s="8813"/>
      <c r="E282" s="4453"/>
      <c r="F282" s="8813"/>
      <c r="G282" s="4453">
        <v>1206.6400000000001</v>
      </c>
      <c r="H282" s="8789"/>
      <c r="I282" s="4466">
        <f t="shared" si="443"/>
        <v>1206.6400000000001</v>
      </c>
      <c r="J282" s="8759"/>
      <c r="K282" s="4453">
        <v>2233.9709999999995</v>
      </c>
      <c r="L282" s="8713"/>
      <c r="M282" s="4854">
        <f t="shared" si="460"/>
        <v>3440.6109999999999</v>
      </c>
      <c r="N282" s="8759"/>
      <c r="O282" s="4453">
        <v>2501.1990000000005</v>
      </c>
      <c r="P282" s="8789"/>
      <c r="Q282" s="4466">
        <f t="shared" si="461"/>
        <v>5941.81</v>
      </c>
      <c r="R282" s="8759"/>
      <c r="S282" s="4453">
        <v>2023.9799999999998</v>
      </c>
      <c r="T282" s="8789"/>
      <c r="U282" s="4466">
        <f t="shared" si="462"/>
        <v>7965.79</v>
      </c>
      <c r="V282" s="8759"/>
      <c r="W282" s="4453">
        <v>359.84</v>
      </c>
      <c r="X282" s="8713"/>
      <c r="Y282" s="4854">
        <f t="shared" si="456"/>
        <v>4885.0190000000002</v>
      </c>
      <c r="Z282" s="8717"/>
      <c r="AA282" s="7231">
        <f t="shared" si="463"/>
        <v>8325.6299999999992</v>
      </c>
      <c r="AB282" s="8759"/>
      <c r="AC282" s="4453">
        <v>0</v>
      </c>
      <c r="AD282" s="8789"/>
      <c r="AE282" s="4466">
        <f t="shared" si="464"/>
        <v>8325.6299999999992</v>
      </c>
      <c r="AF282" s="8759"/>
      <c r="AG282" s="4453">
        <v>2880.96</v>
      </c>
      <c r="AH282" s="8789"/>
      <c r="AI282" s="4466">
        <f t="shared" si="465"/>
        <v>11206.59</v>
      </c>
      <c r="AJ282" s="8759"/>
      <c r="AK282" s="4453">
        <v>12460.380000000001</v>
      </c>
      <c r="AL282" s="8713"/>
      <c r="AM282" s="4854">
        <f t="shared" si="466"/>
        <v>15341.34</v>
      </c>
      <c r="AN282" s="8789"/>
      <c r="AO282" s="4466">
        <f t="shared" si="467"/>
        <v>23666.97</v>
      </c>
      <c r="AP282" s="8759"/>
      <c r="AQ282" s="4453">
        <v>2641.6699999999996</v>
      </c>
      <c r="AR282" s="8789"/>
      <c r="AS282" s="4466">
        <f t="shared" si="468"/>
        <v>26308.639999999999</v>
      </c>
      <c r="AT282" s="8759"/>
      <c r="AU282" s="4453">
        <v>1166.57</v>
      </c>
      <c r="AV282" s="8789"/>
      <c r="AW282" s="4466">
        <f t="shared" si="469"/>
        <v>27475.21</v>
      </c>
      <c r="AX282" s="8759"/>
      <c r="AY282" s="4453"/>
      <c r="AZ282" s="8713"/>
      <c r="BA282" s="4854">
        <f t="shared" si="459"/>
        <v>3808.24</v>
      </c>
      <c r="BB282" s="8713">
        <f t="shared" si="453"/>
        <v>0</v>
      </c>
      <c r="BC282" s="4854">
        <f t="shared" si="454"/>
        <v>19149.580000000002</v>
      </c>
      <c r="BD282" s="8717"/>
      <c r="BE282" s="7231">
        <f t="shared" si="455"/>
        <v>27475.21</v>
      </c>
    </row>
    <row r="283" spans="2:57" ht="19.5" customHeight="1" thickBot="1" x14ac:dyDescent="0.25">
      <c r="B283" s="4868" t="s">
        <v>1580</v>
      </c>
      <c r="C283" s="4820" t="s">
        <v>170</v>
      </c>
      <c r="D283" s="8814"/>
      <c r="E283" s="4453"/>
      <c r="F283" s="8814"/>
      <c r="G283" s="4453"/>
      <c r="H283" s="8793"/>
      <c r="I283" s="4466">
        <f t="shared" si="443"/>
        <v>0</v>
      </c>
      <c r="J283" s="8760"/>
      <c r="K283" s="4453"/>
      <c r="L283" s="8715"/>
      <c r="M283" s="4854">
        <f t="shared" si="460"/>
        <v>0</v>
      </c>
      <c r="N283" s="8760"/>
      <c r="O283" s="4453"/>
      <c r="P283" s="8793"/>
      <c r="Q283" s="4466">
        <f t="shared" si="461"/>
        <v>0</v>
      </c>
      <c r="R283" s="8760"/>
      <c r="S283" s="4453"/>
      <c r="T283" s="8793"/>
      <c r="U283" s="4466">
        <f t="shared" si="462"/>
        <v>0</v>
      </c>
      <c r="V283" s="8760"/>
      <c r="W283" s="4453"/>
      <c r="X283" s="8715"/>
      <c r="Y283" s="4854">
        <f t="shared" ref="Y283" si="470">+U283+W283</f>
        <v>0</v>
      </c>
      <c r="Z283" s="8719"/>
      <c r="AA283" s="7231">
        <f t="shared" si="463"/>
        <v>0</v>
      </c>
      <c r="AB283" s="8760"/>
      <c r="AC283" s="4453"/>
      <c r="AD283" s="8793"/>
      <c r="AE283" s="4466">
        <f t="shared" si="464"/>
        <v>0</v>
      </c>
      <c r="AF283" s="8760"/>
      <c r="AG283" s="4453"/>
      <c r="AH283" s="8793"/>
      <c r="AI283" s="4466">
        <f t="shared" si="465"/>
        <v>0</v>
      </c>
      <c r="AJ283" s="8760"/>
      <c r="AK283" s="4453"/>
      <c r="AL283" s="8715"/>
      <c r="AM283" s="4854">
        <f t="shared" si="466"/>
        <v>0</v>
      </c>
      <c r="AN283" s="8793"/>
      <c r="AO283" s="4466">
        <f t="shared" si="467"/>
        <v>0</v>
      </c>
      <c r="AP283" s="8760"/>
      <c r="AQ283" s="4453"/>
      <c r="AR283" s="8793"/>
      <c r="AS283" s="4466">
        <f t="shared" si="468"/>
        <v>0</v>
      </c>
      <c r="AT283" s="8760"/>
      <c r="AU283" s="4453"/>
      <c r="AV283" s="8793"/>
      <c r="AW283" s="4466">
        <f t="shared" si="469"/>
        <v>0</v>
      </c>
      <c r="AX283" s="8760"/>
      <c r="AY283" s="4453"/>
      <c r="AZ283" s="8715"/>
      <c r="BA283" s="4854">
        <f t="shared" ref="BA283" si="471">+AW283+AY283</f>
        <v>0</v>
      </c>
      <c r="BB283" s="8715">
        <f t="shared" si="453"/>
        <v>0</v>
      </c>
      <c r="BC283" s="4854">
        <f t="shared" si="454"/>
        <v>0</v>
      </c>
      <c r="BD283" s="8719"/>
      <c r="BE283" s="7231">
        <f t="shared" si="455"/>
        <v>0</v>
      </c>
    </row>
    <row r="284" spans="2:57" s="3380" customFormat="1" ht="19" thickBot="1" x14ac:dyDescent="0.25">
      <c r="B284" s="5053" t="s">
        <v>1184</v>
      </c>
      <c r="C284" s="5054" t="s">
        <v>170</v>
      </c>
      <c r="D284" s="4020"/>
      <c r="E284" s="5027">
        <f>SUM(E250:E283)</f>
        <v>26027.56</v>
      </c>
      <c r="F284" s="4020"/>
      <c r="G284" s="5027">
        <f>SUM(G250:G283)</f>
        <v>66323.762000000002</v>
      </c>
      <c r="H284" s="4020">
        <f>+D284+F284</f>
        <v>0</v>
      </c>
      <c r="I284" s="5027">
        <f>SUM(I250:I283)</f>
        <v>92351.322</v>
      </c>
      <c r="J284" s="4750"/>
      <c r="K284" s="5027">
        <f>SUM(K250:K283)</f>
        <v>90641.033999999956</v>
      </c>
      <c r="L284" s="4020">
        <f>+H284+J284</f>
        <v>0</v>
      </c>
      <c r="M284" s="5027">
        <f>SUM(M250:M283)</f>
        <v>182992.35599999994</v>
      </c>
      <c r="N284" s="4750"/>
      <c r="O284" s="5027">
        <f>SUM(O250:O283)</f>
        <v>66434.778000000006</v>
      </c>
      <c r="P284" s="4020">
        <f>+L284+N284</f>
        <v>0</v>
      </c>
      <c r="Q284" s="5027">
        <f>SUM(Q250:Q283)</f>
        <v>249427.13399999993</v>
      </c>
      <c r="R284" s="4750"/>
      <c r="S284" s="5027">
        <f>SUM(S250:S283)</f>
        <v>68075.73599999999</v>
      </c>
      <c r="T284" s="4020">
        <f>+P284+R284</f>
        <v>0</v>
      </c>
      <c r="U284" s="5027">
        <f>SUM(U250:U283)</f>
        <v>317502.86999999988</v>
      </c>
      <c r="V284" s="4750"/>
      <c r="W284" s="5027">
        <f>SUM(W250:W283)</f>
        <v>26015.69</v>
      </c>
      <c r="X284" s="4020">
        <f>+V284+R284+N284</f>
        <v>0</v>
      </c>
      <c r="Y284" s="5027">
        <f>SUM(Y250:Y283)</f>
        <v>160526.204</v>
      </c>
      <c r="Z284" s="6521">
        <f>+T284+V284</f>
        <v>0</v>
      </c>
      <c r="AA284" s="7233">
        <f>SUM(AA250:AA283)</f>
        <v>343518.55999999982</v>
      </c>
      <c r="AB284" s="4750"/>
      <c r="AC284" s="5027">
        <f>SUM(AC250:AC283)</f>
        <v>7883.9600000000009</v>
      </c>
      <c r="AD284" s="4020">
        <f>+Z284+AB284</f>
        <v>0</v>
      </c>
      <c r="AE284" s="5027">
        <f>SUM(AE250:AE283)</f>
        <v>351402.51999999984</v>
      </c>
      <c r="AF284" s="4750"/>
      <c r="AG284" s="5027">
        <f>SUM(AG250:AG283)</f>
        <v>34200.769999999997</v>
      </c>
      <c r="AH284" s="4020">
        <f>+AD284+AF284</f>
        <v>0</v>
      </c>
      <c r="AI284" s="5027">
        <f>SUM(AI250:AI283)</f>
        <v>385603.28999999992</v>
      </c>
      <c r="AJ284" s="4750"/>
      <c r="AK284" s="5027">
        <f>SUM(AK250:AK283)</f>
        <v>51331.030000000013</v>
      </c>
      <c r="AL284" s="4020">
        <f>+AJ284+AF284+AB284</f>
        <v>0</v>
      </c>
      <c r="AM284" s="5027">
        <f>SUM(AM250:AM283)</f>
        <v>93415.76</v>
      </c>
      <c r="AN284" s="4020">
        <f>+AH284+AJ284</f>
        <v>0</v>
      </c>
      <c r="AO284" s="5027">
        <f>SUM(AO250:AO283)</f>
        <v>436934.31999999995</v>
      </c>
      <c r="AP284" s="4750"/>
      <c r="AQ284" s="5027">
        <f>SUM(AQ250:AQ283)</f>
        <v>67636.659999999974</v>
      </c>
      <c r="AR284" s="4020">
        <f>+AN284+AP284</f>
        <v>0</v>
      </c>
      <c r="AS284" s="5027">
        <f>SUM(AS250:AS283)</f>
        <v>504570.97999999986</v>
      </c>
      <c r="AT284" s="4750"/>
      <c r="AU284" s="5027">
        <f>SUM(AU250:AU283)</f>
        <v>63165.9</v>
      </c>
      <c r="AV284" s="4020">
        <f>+AR284+AT284</f>
        <v>0</v>
      </c>
      <c r="AW284" s="5027">
        <f>SUM(AW250:AW283)</f>
        <v>567736.87999999989</v>
      </c>
      <c r="AX284" s="4750"/>
      <c r="AY284" s="5027">
        <f>SUM(AY250:AY283)</f>
        <v>82750.14</v>
      </c>
      <c r="AZ284" s="4020">
        <f>+AX284+AT284+AP284</f>
        <v>0</v>
      </c>
      <c r="BA284" s="5027">
        <f>SUM(BA250:BA283)</f>
        <v>213552.69999999995</v>
      </c>
      <c r="BB284" s="4020">
        <f t="shared" si="453"/>
        <v>0</v>
      </c>
      <c r="BC284" s="5027">
        <f t="shared" si="454"/>
        <v>306968.45999999996</v>
      </c>
      <c r="BD284" s="6521">
        <f>+AV284+AX284</f>
        <v>0</v>
      </c>
      <c r="BE284" s="7233">
        <f>SUM(BE250:BE283)</f>
        <v>650487.01999999979</v>
      </c>
    </row>
    <row r="285" spans="2:57" s="3380" customFormat="1" ht="18" x14ac:dyDescent="0.2">
      <c r="B285" s="5055" t="s">
        <v>1183</v>
      </c>
      <c r="C285" s="5051"/>
      <c r="D285" s="5055"/>
      <c r="E285" s="5050"/>
      <c r="F285" s="5055"/>
      <c r="G285" s="5050"/>
      <c r="H285" s="5049"/>
      <c r="I285" s="5050"/>
      <c r="J285" s="5049"/>
      <c r="K285" s="5050"/>
      <c r="L285" s="5049"/>
      <c r="M285" s="5050"/>
      <c r="N285" s="5049"/>
      <c r="O285" s="5050"/>
      <c r="P285" s="5049"/>
      <c r="Q285" s="5050"/>
      <c r="R285" s="5049"/>
      <c r="S285" s="5050"/>
      <c r="T285" s="5049"/>
      <c r="U285" s="5050"/>
      <c r="V285" s="5049"/>
      <c r="W285" s="5050"/>
      <c r="X285" s="5049"/>
      <c r="Y285" s="5050"/>
      <c r="Z285" s="5049"/>
      <c r="AA285" s="5050"/>
      <c r="AB285" s="5049"/>
      <c r="AC285" s="5050"/>
      <c r="AD285" s="5049"/>
      <c r="AE285" s="5050"/>
      <c r="AF285" s="5049"/>
      <c r="AG285" s="5050"/>
      <c r="AH285" s="5049"/>
      <c r="AI285" s="5050"/>
      <c r="AJ285" s="5049"/>
      <c r="AK285" s="5050"/>
      <c r="AL285" s="5049"/>
      <c r="AM285" s="5050"/>
      <c r="AN285" s="5049"/>
      <c r="AO285" s="5050"/>
      <c r="AP285" s="5049"/>
      <c r="AQ285" s="5050"/>
      <c r="AR285" s="5049"/>
      <c r="AS285" s="5050"/>
      <c r="AT285" s="5049"/>
      <c r="AU285" s="5050"/>
      <c r="AV285" s="5049"/>
      <c r="AW285" s="5050"/>
      <c r="AX285" s="5049"/>
      <c r="AY285" s="5050"/>
      <c r="AZ285" s="5049"/>
      <c r="BA285" s="5050"/>
      <c r="BB285" s="5049"/>
      <c r="BC285" s="5050"/>
      <c r="BD285" s="5049"/>
      <c r="BE285" s="5050"/>
    </row>
    <row r="286" spans="2:57" s="5985" customFormat="1" ht="18.75" customHeight="1" x14ac:dyDescent="0.2">
      <c r="B286" s="6014" t="s">
        <v>2138</v>
      </c>
      <c r="C286" s="7505"/>
      <c r="D286" s="8062"/>
      <c r="E286" s="6125"/>
      <c r="F286" s="8062"/>
      <c r="G286" s="6125"/>
      <c r="H286" s="8062"/>
      <c r="I286" s="4865"/>
      <c r="J286" s="8062"/>
      <c r="K286" s="6125"/>
      <c r="L286" s="8062"/>
      <c r="M286" s="4865"/>
      <c r="N286" s="8062"/>
      <c r="O286" s="6125"/>
      <c r="P286" s="8062"/>
      <c r="Q286" s="4865"/>
      <c r="R286" s="8062"/>
      <c r="S286" s="6125"/>
      <c r="T286" s="8062"/>
      <c r="U286" s="4865"/>
      <c r="V286" s="8062"/>
      <c r="W286" s="6125"/>
      <c r="X286" s="8061"/>
      <c r="Y286" s="4865"/>
      <c r="Z286" s="8062"/>
      <c r="AA286" s="4865"/>
      <c r="AB286" s="8062"/>
      <c r="AC286" s="4865"/>
      <c r="AD286" s="8062"/>
      <c r="AE286" s="4865"/>
      <c r="AF286" s="8062"/>
      <c r="AG286" s="6125"/>
      <c r="AH286" s="8062"/>
      <c r="AI286" s="4865"/>
      <c r="AJ286" s="8062"/>
      <c r="AK286" s="6125"/>
      <c r="AL286" s="8061"/>
      <c r="AM286" s="4865"/>
      <c r="AN286" s="8062"/>
      <c r="AO286" s="4865"/>
      <c r="AP286" s="8062"/>
      <c r="AQ286" s="6125"/>
      <c r="AR286" s="8062"/>
      <c r="AS286" s="4865"/>
      <c r="AT286" s="8062"/>
      <c r="AU286" s="6125"/>
      <c r="AV286" s="8062"/>
      <c r="AW286" s="4865"/>
      <c r="AX286" s="8062"/>
      <c r="AY286" s="6125"/>
      <c r="AZ286" s="8061"/>
      <c r="BA286" s="4865"/>
      <c r="BB286" s="8061">
        <f t="shared" ref="BB286:BB312" si="472">+AZ286+AL286</f>
        <v>0</v>
      </c>
      <c r="BC286" s="4865">
        <f t="shared" ref="BC286:BC312" si="473">+BA286+AM286</f>
        <v>0</v>
      </c>
      <c r="BD286" s="8062"/>
      <c r="BE286" s="4865"/>
    </row>
    <row r="287" spans="2:57" s="6434" customFormat="1" ht="18.75" customHeight="1" x14ac:dyDescent="0.2">
      <c r="B287" s="6015" t="s">
        <v>2208</v>
      </c>
      <c r="C287" s="4084" t="s">
        <v>170</v>
      </c>
      <c r="D287" s="5016"/>
      <c r="E287" s="4434"/>
      <c r="F287" s="5016"/>
      <c r="G287" s="4434"/>
      <c r="H287" s="5014"/>
      <c r="I287" s="4844"/>
      <c r="J287" s="5016"/>
      <c r="K287" s="4434"/>
      <c r="L287" s="5017"/>
      <c r="M287" s="4879"/>
      <c r="N287" s="5016"/>
      <c r="O287" s="4434"/>
      <c r="P287" s="5014"/>
      <c r="Q287" s="4844">
        <f t="shared" ref="Q287:Q298" si="474">+M287+O287</f>
        <v>0</v>
      </c>
      <c r="R287" s="5016"/>
      <c r="S287" s="4434">
        <v>8144.8450000000021</v>
      </c>
      <c r="T287" s="5014"/>
      <c r="U287" s="4844">
        <f t="shared" ref="U287:U299" si="475">+Q287+S287</f>
        <v>8144.8450000000021</v>
      </c>
      <c r="V287" s="5016"/>
      <c r="W287" s="4434"/>
      <c r="X287" s="7891"/>
      <c r="Y287" s="4879">
        <f t="shared" ref="Y287:Y309" si="476">O287+S287+W287</f>
        <v>8144.8450000000021</v>
      </c>
      <c r="Z287" s="7251"/>
      <c r="AA287" s="6970">
        <f t="shared" ref="AA287:AA299" si="477">+U287+W287</f>
        <v>8144.8450000000021</v>
      </c>
      <c r="AB287" s="5016"/>
      <c r="AC287" s="4439">
        <v>0</v>
      </c>
      <c r="AD287" s="5014"/>
      <c r="AE287" s="4844">
        <f t="shared" ref="AE287:AE289" si="478">+AA287+AC287</f>
        <v>8144.8450000000021</v>
      </c>
      <c r="AF287" s="5016"/>
      <c r="AG287" s="4434"/>
      <c r="AH287" s="5014"/>
      <c r="AI287" s="4844">
        <f t="shared" ref="AI287" si="479">+AE287+AG287</f>
        <v>8144.8450000000021</v>
      </c>
      <c r="AJ287" s="5016"/>
      <c r="AK287" s="4434">
        <v>0</v>
      </c>
      <c r="AL287" s="7891"/>
      <c r="AM287" s="4879">
        <f t="shared" ref="AM287:AM299" si="480">AC287+AG287+AK287</f>
        <v>0</v>
      </c>
      <c r="AN287" s="5014"/>
      <c r="AO287" s="4844">
        <f t="shared" ref="AO287:AO299" si="481">+AI287+AK287</f>
        <v>8144.8450000000021</v>
      </c>
      <c r="AP287" s="5016"/>
      <c r="AQ287" s="4434"/>
      <c r="AR287" s="5014"/>
      <c r="AS287" s="4844">
        <f t="shared" ref="AS287:AS299" si="482">+AO287+AQ287</f>
        <v>8144.8450000000021</v>
      </c>
      <c r="AT287" s="5016"/>
      <c r="AU287" s="4434"/>
      <c r="AV287" s="5014"/>
      <c r="AW287" s="4844">
        <f t="shared" ref="AW287:AW289" si="483">+AS287+AU287</f>
        <v>8144.8450000000021</v>
      </c>
      <c r="AX287" s="5016"/>
      <c r="AY287" s="4434"/>
      <c r="AZ287" s="7891"/>
      <c r="BA287" s="4879">
        <f t="shared" ref="BA287:BA311" si="484">AQ287+AU287+AY287</f>
        <v>0</v>
      </c>
      <c r="BB287" s="7891">
        <f t="shared" si="472"/>
        <v>0</v>
      </c>
      <c r="BC287" s="4879">
        <f t="shared" si="473"/>
        <v>0</v>
      </c>
      <c r="BD287" s="7251"/>
      <c r="BE287" s="6970">
        <f t="shared" ref="BE287:BE309" si="485">+AW287+AY287</f>
        <v>8144.8450000000021</v>
      </c>
    </row>
    <row r="288" spans="2:57" s="7129" customFormat="1" ht="18.75" customHeight="1" x14ac:dyDescent="0.2">
      <c r="B288" s="6015" t="s">
        <v>2262</v>
      </c>
      <c r="C288" s="4084" t="s">
        <v>170</v>
      </c>
      <c r="D288" s="5016"/>
      <c r="E288" s="4434"/>
      <c r="F288" s="5016"/>
      <c r="G288" s="4434"/>
      <c r="H288" s="5014"/>
      <c r="I288" s="4844"/>
      <c r="J288" s="5016"/>
      <c r="K288" s="4434"/>
      <c r="L288" s="5017"/>
      <c r="M288" s="4879"/>
      <c r="N288" s="5016"/>
      <c r="O288" s="4434"/>
      <c r="P288" s="5014"/>
      <c r="Q288" s="4844"/>
      <c r="R288" s="5016"/>
      <c r="S288" s="4434"/>
      <c r="T288" s="5014"/>
      <c r="U288" s="4844"/>
      <c r="V288" s="5016"/>
      <c r="W288" s="4434">
        <v>7970</v>
      </c>
      <c r="X288" s="7891"/>
      <c r="Y288" s="4879">
        <f t="shared" si="476"/>
        <v>7970</v>
      </c>
      <c r="Z288" s="7251"/>
      <c r="AA288" s="6970">
        <f t="shared" si="477"/>
        <v>7970</v>
      </c>
      <c r="AB288" s="5016"/>
      <c r="AC288" s="4439">
        <v>0</v>
      </c>
      <c r="AD288" s="5014"/>
      <c r="AE288" s="4844">
        <f t="shared" si="478"/>
        <v>7970</v>
      </c>
      <c r="AF288" s="5016"/>
      <c r="AG288" s="4434"/>
      <c r="AH288" s="5014"/>
      <c r="AI288" s="4844"/>
      <c r="AJ288" s="5016"/>
      <c r="AK288" s="4434">
        <v>6688.6399999999949</v>
      </c>
      <c r="AL288" s="7891"/>
      <c r="AM288" s="4879">
        <f t="shared" si="480"/>
        <v>6688.6399999999949</v>
      </c>
      <c r="AN288" s="5014"/>
      <c r="AO288" s="4844">
        <f t="shared" si="481"/>
        <v>6688.6399999999949</v>
      </c>
      <c r="AP288" s="5016"/>
      <c r="AQ288" s="4434">
        <v>253.60000000000002</v>
      </c>
      <c r="AR288" s="5014"/>
      <c r="AS288" s="4844">
        <f t="shared" si="482"/>
        <v>6942.2399999999952</v>
      </c>
      <c r="AT288" s="5016"/>
      <c r="AU288" s="4434"/>
      <c r="AV288" s="5014"/>
      <c r="AW288" s="4844">
        <f t="shared" si="483"/>
        <v>6942.2399999999952</v>
      </c>
      <c r="AX288" s="5016"/>
      <c r="AY288" s="4434"/>
      <c r="AZ288" s="7891"/>
      <c r="BA288" s="4879">
        <f t="shared" si="484"/>
        <v>253.60000000000002</v>
      </c>
      <c r="BB288" s="7891">
        <f t="shared" si="472"/>
        <v>0</v>
      </c>
      <c r="BC288" s="4879">
        <f t="shared" si="473"/>
        <v>6942.2399999999952</v>
      </c>
      <c r="BD288" s="7251"/>
      <c r="BE288" s="6970">
        <f t="shared" si="485"/>
        <v>6942.2399999999952</v>
      </c>
    </row>
    <row r="289" spans="2:57" s="4756" customFormat="1" ht="18" x14ac:dyDescent="0.2">
      <c r="B289" s="6015" t="s">
        <v>2209</v>
      </c>
      <c r="C289" s="4084" t="s">
        <v>170</v>
      </c>
      <c r="D289" s="4938"/>
      <c r="E289" s="4439">
        <v>14944.759999999982</v>
      </c>
      <c r="F289" s="4938"/>
      <c r="G289" s="4439">
        <v>11160.296999999999</v>
      </c>
      <c r="H289" s="4939"/>
      <c r="I289" s="4844">
        <f t="shared" ref="I289:I309" si="486">+E289+G289</f>
        <v>26105.056999999979</v>
      </c>
      <c r="J289" s="4938"/>
      <c r="K289" s="4439">
        <v>34126.281999999956</v>
      </c>
      <c r="L289" s="5012"/>
      <c r="M289" s="4879">
        <f t="shared" ref="M289:M298" si="487">+I289+K289</f>
        <v>60231.338999999934</v>
      </c>
      <c r="N289" s="4938"/>
      <c r="O289" s="4439">
        <v>10547.902999999995</v>
      </c>
      <c r="P289" s="4939"/>
      <c r="Q289" s="4844">
        <f t="shared" si="474"/>
        <v>70779.241999999926</v>
      </c>
      <c r="R289" s="4938"/>
      <c r="S289" s="4439">
        <v>12072.021999999983</v>
      </c>
      <c r="T289" s="4939"/>
      <c r="U289" s="4844">
        <f t="shared" si="475"/>
        <v>82851.263999999908</v>
      </c>
      <c r="V289" s="4938"/>
      <c r="W289" s="4439"/>
      <c r="X289" s="7891"/>
      <c r="Y289" s="4879">
        <f t="shared" si="476"/>
        <v>22619.924999999977</v>
      </c>
      <c r="Z289" s="7252"/>
      <c r="AA289" s="6970">
        <f t="shared" si="477"/>
        <v>82851.263999999908</v>
      </c>
      <c r="AB289" s="4938"/>
      <c r="AC289" s="4439">
        <v>0</v>
      </c>
      <c r="AD289" s="4939"/>
      <c r="AE289" s="4844">
        <f t="shared" si="478"/>
        <v>82851.263999999908</v>
      </c>
      <c r="AF289" s="4938"/>
      <c r="AG289" s="4439"/>
      <c r="AH289" s="4939"/>
      <c r="AI289" s="4844">
        <f t="shared" ref="AI289:AI299" si="488">+AE289+AG289</f>
        <v>82851.263999999908</v>
      </c>
      <c r="AJ289" s="4938"/>
      <c r="AK289" s="4439">
        <v>1599.0000000000002</v>
      </c>
      <c r="AL289" s="7891"/>
      <c r="AM289" s="4879">
        <f t="shared" si="480"/>
        <v>1599.0000000000002</v>
      </c>
      <c r="AN289" s="4939"/>
      <c r="AO289" s="4844">
        <f t="shared" si="481"/>
        <v>84450.263999999908</v>
      </c>
      <c r="AP289" s="4938"/>
      <c r="AQ289" s="4439">
        <v>10602.619999999992</v>
      </c>
      <c r="AR289" s="4939"/>
      <c r="AS289" s="4844">
        <f t="shared" si="482"/>
        <v>95052.883999999904</v>
      </c>
      <c r="AT289" s="4938"/>
      <c r="AU289" s="4439"/>
      <c r="AV289" s="4939"/>
      <c r="AW289" s="4844">
        <f t="shared" si="483"/>
        <v>95052.883999999904</v>
      </c>
      <c r="AX289" s="4938"/>
      <c r="AY289" s="4439"/>
      <c r="AZ289" s="7891"/>
      <c r="BA289" s="4879">
        <f t="shared" si="484"/>
        <v>10602.619999999992</v>
      </c>
      <c r="BB289" s="7891">
        <f t="shared" si="472"/>
        <v>0</v>
      </c>
      <c r="BC289" s="4879">
        <f t="shared" si="473"/>
        <v>12201.619999999992</v>
      </c>
      <c r="BD289" s="7252"/>
      <c r="BE289" s="6970">
        <f t="shared" si="485"/>
        <v>95052.883999999904</v>
      </c>
    </row>
    <row r="290" spans="2:57" s="5985" customFormat="1" ht="18" x14ac:dyDescent="0.2">
      <c r="B290" s="6014" t="s">
        <v>2136</v>
      </c>
      <c r="C290" s="4084" t="s">
        <v>170</v>
      </c>
      <c r="D290" s="7503"/>
      <c r="E290" s="4865"/>
      <c r="F290" s="7503"/>
      <c r="G290" s="4865"/>
      <c r="H290" s="7503"/>
      <c r="I290" s="4865"/>
      <c r="J290" s="7503"/>
      <c r="K290" s="4865"/>
      <c r="L290" s="7503"/>
      <c r="M290" s="4865"/>
      <c r="N290" s="7503"/>
      <c r="O290" s="4865"/>
      <c r="P290" s="7503"/>
      <c r="Q290" s="4865"/>
      <c r="R290" s="7503"/>
      <c r="S290" s="4865"/>
      <c r="T290" s="7503"/>
      <c r="U290" s="4865"/>
      <c r="V290" s="7503"/>
      <c r="W290" s="4865"/>
      <c r="X290" s="8061"/>
      <c r="Y290" s="4865"/>
      <c r="Z290" s="7503"/>
      <c r="AA290" s="4865"/>
      <c r="AB290" s="7503"/>
      <c r="AC290" s="4865"/>
      <c r="AD290" s="7503"/>
      <c r="AE290" s="4865"/>
      <c r="AF290" s="7503"/>
      <c r="AG290" s="4865"/>
      <c r="AH290" s="7503"/>
      <c r="AI290" s="4865"/>
      <c r="AJ290" s="7503"/>
      <c r="AK290" s="4865"/>
      <c r="AL290" s="8061"/>
      <c r="AM290" s="4865"/>
      <c r="AN290" s="7503"/>
      <c r="AO290" s="4865"/>
      <c r="AP290" s="7503"/>
      <c r="AQ290" s="4865"/>
      <c r="AR290" s="7503"/>
      <c r="AS290" s="4865"/>
      <c r="AT290" s="7503"/>
      <c r="AU290" s="4865"/>
      <c r="AV290" s="7503"/>
      <c r="AW290" s="4865"/>
      <c r="AX290" s="7503"/>
      <c r="AY290" s="4865"/>
      <c r="AZ290" s="8061"/>
      <c r="BA290" s="4879">
        <f t="shared" si="484"/>
        <v>0</v>
      </c>
      <c r="BB290" s="8061">
        <f t="shared" si="472"/>
        <v>0</v>
      </c>
      <c r="BC290" s="4879">
        <f t="shared" si="473"/>
        <v>0</v>
      </c>
      <c r="BD290" s="7503"/>
      <c r="BE290" s="6970">
        <f t="shared" si="485"/>
        <v>0</v>
      </c>
    </row>
    <row r="291" spans="2:57" s="5985" customFormat="1" ht="18" x14ac:dyDescent="0.2">
      <c r="B291" s="6015" t="s">
        <v>2135</v>
      </c>
      <c r="C291" s="4084" t="s">
        <v>170</v>
      </c>
      <c r="D291" s="4938"/>
      <c r="E291" s="4439"/>
      <c r="F291" s="4938"/>
      <c r="G291" s="4439"/>
      <c r="H291" s="4939"/>
      <c r="I291" s="4844">
        <f t="shared" si="486"/>
        <v>0</v>
      </c>
      <c r="J291" s="4938"/>
      <c r="K291" s="4439"/>
      <c r="L291" s="5012"/>
      <c r="M291" s="4879">
        <f t="shared" si="487"/>
        <v>0</v>
      </c>
      <c r="N291" s="4938"/>
      <c r="O291" s="4865">
        <v>19997.64899999995</v>
      </c>
      <c r="P291" s="4939"/>
      <c r="Q291" s="4844">
        <f t="shared" si="474"/>
        <v>19997.64899999995</v>
      </c>
      <c r="R291" s="4938"/>
      <c r="S291" s="4865">
        <v>0</v>
      </c>
      <c r="T291" s="4939"/>
      <c r="U291" s="4844">
        <f t="shared" si="475"/>
        <v>19997.64899999995</v>
      </c>
      <c r="V291" s="4938"/>
      <c r="W291" s="4865"/>
      <c r="X291" s="7891"/>
      <c r="Y291" s="4879">
        <f t="shared" si="476"/>
        <v>19997.64899999995</v>
      </c>
      <c r="Z291" s="7252"/>
      <c r="AA291" s="6970">
        <f t="shared" si="477"/>
        <v>19997.64899999995</v>
      </c>
      <c r="AB291" s="4938"/>
      <c r="AC291" s="4439">
        <v>0</v>
      </c>
      <c r="AD291" s="4939"/>
      <c r="AE291" s="4844">
        <f t="shared" ref="AE291:AE299" si="489">+AA291+AC291</f>
        <v>19997.64899999995</v>
      </c>
      <c r="AF291" s="4938"/>
      <c r="AG291" s="4865"/>
      <c r="AH291" s="4939"/>
      <c r="AI291" s="4844">
        <f t="shared" si="488"/>
        <v>19997.64899999995</v>
      </c>
      <c r="AJ291" s="4938"/>
      <c r="AK291" s="4865">
        <v>0</v>
      </c>
      <c r="AL291" s="7891"/>
      <c r="AM291" s="4879">
        <f t="shared" si="480"/>
        <v>0</v>
      </c>
      <c r="AN291" s="4939"/>
      <c r="AO291" s="4844">
        <f t="shared" si="481"/>
        <v>19997.64899999995</v>
      </c>
      <c r="AP291" s="4938"/>
      <c r="AQ291" s="4865"/>
      <c r="AR291" s="4939"/>
      <c r="AS291" s="4844">
        <f t="shared" si="482"/>
        <v>19997.64899999995</v>
      </c>
      <c r="AT291" s="4938"/>
      <c r="AU291" s="4865"/>
      <c r="AV291" s="4939"/>
      <c r="AW291" s="4844">
        <f t="shared" ref="AW291" si="490">+AS291+AU291</f>
        <v>19997.64899999995</v>
      </c>
      <c r="AX291" s="4938"/>
      <c r="AY291" s="4865"/>
      <c r="AZ291" s="7891"/>
      <c r="BA291" s="4879">
        <f t="shared" si="484"/>
        <v>0</v>
      </c>
      <c r="BB291" s="7891">
        <f t="shared" si="472"/>
        <v>0</v>
      </c>
      <c r="BC291" s="4879">
        <f t="shared" si="473"/>
        <v>0</v>
      </c>
      <c r="BD291" s="7252"/>
      <c r="BE291" s="6970">
        <f t="shared" si="485"/>
        <v>19997.64899999995</v>
      </c>
    </row>
    <row r="292" spans="2:57" s="5985" customFormat="1" ht="18" x14ac:dyDescent="0.2">
      <c r="B292" s="6014" t="s">
        <v>2137</v>
      </c>
      <c r="C292" s="4084" t="s">
        <v>170</v>
      </c>
      <c r="D292" s="7503"/>
      <c r="E292" s="4865"/>
      <c r="F292" s="7503"/>
      <c r="G292" s="4865"/>
      <c r="H292" s="7503"/>
      <c r="I292" s="4865"/>
      <c r="J292" s="7503"/>
      <c r="K292" s="4865"/>
      <c r="L292" s="7503"/>
      <c r="M292" s="4865"/>
      <c r="N292" s="7503"/>
      <c r="O292" s="4865"/>
      <c r="P292" s="7503"/>
      <c r="Q292" s="4865"/>
      <c r="R292" s="7503"/>
      <c r="S292" s="4865"/>
      <c r="T292" s="7503"/>
      <c r="U292" s="4865"/>
      <c r="V292" s="7503"/>
      <c r="W292" s="4865"/>
      <c r="X292" s="8061"/>
      <c r="Y292" s="4865"/>
      <c r="Z292" s="7503"/>
      <c r="AA292" s="4865"/>
      <c r="AB292" s="7503"/>
      <c r="AC292" s="4865"/>
      <c r="AD292" s="7503"/>
      <c r="AE292" s="4865"/>
      <c r="AF292" s="7503"/>
      <c r="AG292" s="4865"/>
      <c r="AH292" s="7503"/>
      <c r="AI292" s="4865"/>
      <c r="AJ292" s="7503"/>
      <c r="AK292" s="4865"/>
      <c r="AL292" s="8061"/>
      <c r="AM292" s="4865"/>
      <c r="AN292" s="7503"/>
      <c r="AO292" s="4865"/>
      <c r="AP292" s="7503"/>
      <c r="AQ292" s="4865"/>
      <c r="AR292" s="7503"/>
      <c r="AS292" s="4865"/>
      <c r="AT292" s="7503"/>
      <c r="AU292" s="4865"/>
      <c r="AV292" s="7503"/>
      <c r="AW292" s="4865"/>
      <c r="AX292" s="7503"/>
      <c r="AY292" s="4865"/>
      <c r="AZ292" s="8061"/>
      <c r="BA292" s="4879">
        <f t="shared" si="484"/>
        <v>0</v>
      </c>
      <c r="BB292" s="8061">
        <f t="shared" si="472"/>
        <v>0</v>
      </c>
      <c r="BC292" s="4879">
        <f t="shared" si="473"/>
        <v>0</v>
      </c>
      <c r="BD292" s="7503"/>
      <c r="BE292" s="6970">
        <f t="shared" si="485"/>
        <v>0</v>
      </c>
    </row>
    <row r="293" spans="2:57" s="5985" customFormat="1" ht="18" x14ac:dyDescent="0.2">
      <c r="B293" s="6015" t="s">
        <v>2135</v>
      </c>
      <c r="C293" s="4084" t="s">
        <v>170</v>
      </c>
      <c r="D293" s="4938"/>
      <c r="E293" s="4439"/>
      <c r="F293" s="4938"/>
      <c r="G293" s="4439"/>
      <c r="H293" s="4939"/>
      <c r="I293" s="4844">
        <f t="shared" si="486"/>
        <v>0</v>
      </c>
      <c r="J293" s="4938"/>
      <c r="K293" s="4439"/>
      <c r="L293" s="5012"/>
      <c r="M293" s="4879">
        <f t="shared" si="487"/>
        <v>0</v>
      </c>
      <c r="N293" s="4938"/>
      <c r="O293" s="4865">
        <v>10485.215999999999</v>
      </c>
      <c r="P293" s="4939"/>
      <c r="Q293" s="4844">
        <f t="shared" si="474"/>
        <v>10485.215999999999</v>
      </c>
      <c r="R293" s="4938"/>
      <c r="S293" s="4865">
        <v>0</v>
      </c>
      <c r="T293" s="4939"/>
      <c r="U293" s="4844">
        <f t="shared" si="475"/>
        <v>10485.215999999999</v>
      </c>
      <c r="V293" s="4938"/>
      <c r="W293" s="4865"/>
      <c r="X293" s="7891"/>
      <c r="Y293" s="4879">
        <f t="shared" si="476"/>
        <v>10485.215999999999</v>
      </c>
      <c r="Z293" s="7252"/>
      <c r="AA293" s="6970">
        <f t="shared" si="477"/>
        <v>10485.215999999999</v>
      </c>
      <c r="AB293" s="4938"/>
      <c r="AC293" s="4439">
        <v>0</v>
      </c>
      <c r="AD293" s="4939"/>
      <c r="AE293" s="4844">
        <f t="shared" si="489"/>
        <v>10485.215999999999</v>
      </c>
      <c r="AF293" s="4938"/>
      <c r="AG293" s="4865"/>
      <c r="AH293" s="4939"/>
      <c r="AI293" s="4844">
        <f t="shared" si="488"/>
        <v>10485.215999999999</v>
      </c>
      <c r="AJ293" s="4938"/>
      <c r="AK293" s="4865">
        <v>0</v>
      </c>
      <c r="AL293" s="7891"/>
      <c r="AM293" s="4879">
        <f t="shared" si="480"/>
        <v>0</v>
      </c>
      <c r="AN293" s="4939"/>
      <c r="AO293" s="4844">
        <f t="shared" si="481"/>
        <v>10485.215999999999</v>
      </c>
      <c r="AP293" s="4938"/>
      <c r="AQ293" s="4865"/>
      <c r="AR293" s="4939"/>
      <c r="AS293" s="4844">
        <f t="shared" si="482"/>
        <v>10485.215999999999</v>
      </c>
      <c r="AT293" s="4938"/>
      <c r="AU293" s="4865"/>
      <c r="AV293" s="4939"/>
      <c r="AW293" s="4844">
        <f t="shared" ref="AW293:AW299" si="491">+AS293+AU293</f>
        <v>10485.215999999999</v>
      </c>
      <c r="AX293" s="4938"/>
      <c r="AY293" s="4865"/>
      <c r="AZ293" s="7891"/>
      <c r="BA293" s="4879">
        <f t="shared" si="484"/>
        <v>0</v>
      </c>
      <c r="BB293" s="7891">
        <f t="shared" si="472"/>
        <v>0</v>
      </c>
      <c r="BC293" s="4879">
        <f t="shared" si="473"/>
        <v>0</v>
      </c>
      <c r="BD293" s="7252"/>
      <c r="BE293" s="6970">
        <f t="shared" si="485"/>
        <v>10485.215999999999</v>
      </c>
    </row>
    <row r="294" spans="2:57" s="8212" customFormat="1" ht="18" x14ac:dyDescent="0.2">
      <c r="B294" s="6014" t="s">
        <v>2587</v>
      </c>
      <c r="C294" s="4084" t="s">
        <v>170</v>
      </c>
      <c r="D294" s="4938"/>
      <c r="E294" s="4439"/>
      <c r="F294" s="4938"/>
      <c r="G294" s="4439"/>
      <c r="H294" s="4939"/>
      <c r="I294" s="4844"/>
      <c r="J294" s="4938"/>
      <c r="K294" s="4439"/>
      <c r="L294" s="5012"/>
      <c r="M294" s="4879"/>
      <c r="N294" s="4938"/>
      <c r="O294" s="4865"/>
      <c r="P294" s="4939"/>
      <c r="Q294" s="4844"/>
      <c r="R294" s="4938"/>
      <c r="S294" s="4865"/>
      <c r="T294" s="4939"/>
      <c r="U294" s="4844"/>
      <c r="V294" s="4938"/>
      <c r="W294" s="4865"/>
      <c r="X294" s="7891"/>
      <c r="Y294" s="4879"/>
      <c r="Z294" s="7252"/>
      <c r="AA294" s="6970"/>
      <c r="AB294" s="4938"/>
      <c r="AC294" s="4439"/>
      <c r="AD294" s="4939"/>
      <c r="AE294" s="4844"/>
      <c r="AF294" s="4938"/>
      <c r="AG294" s="4865"/>
      <c r="AH294" s="4939"/>
      <c r="AI294" s="4844"/>
      <c r="AJ294" s="4938"/>
      <c r="AK294" s="4865"/>
      <c r="AL294" s="7891"/>
      <c r="AM294" s="4879"/>
      <c r="AN294" s="4939"/>
      <c r="AO294" s="4844"/>
      <c r="AP294" s="4938"/>
      <c r="AQ294" s="4865"/>
      <c r="AR294" s="4939"/>
      <c r="AS294" s="4844"/>
      <c r="AT294" s="4938"/>
      <c r="AU294" s="4865"/>
      <c r="AV294" s="4939"/>
      <c r="AW294" s="4844">
        <f t="shared" si="491"/>
        <v>0</v>
      </c>
      <c r="AX294" s="4938"/>
      <c r="AY294" s="4865"/>
      <c r="AZ294" s="7891"/>
      <c r="BA294" s="4879">
        <f t="shared" si="484"/>
        <v>0</v>
      </c>
      <c r="BB294" s="7891">
        <f t="shared" si="472"/>
        <v>0</v>
      </c>
      <c r="BC294" s="4879">
        <f t="shared" si="473"/>
        <v>0</v>
      </c>
      <c r="BD294" s="7252"/>
      <c r="BE294" s="6970">
        <f t="shared" si="485"/>
        <v>0</v>
      </c>
    </row>
    <row r="295" spans="2:57" s="8212" customFormat="1" ht="18" x14ac:dyDescent="0.2">
      <c r="B295" s="6015" t="s">
        <v>2087</v>
      </c>
      <c r="C295" s="4084" t="s">
        <v>170</v>
      </c>
      <c r="D295" s="4938"/>
      <c r="E295" s="4439"/>
      <c r="F295" s="4938"/>
      <c r="G295" s="4439"/>
      <c r="H295" s="4939"/>
      <c r="I295" s="4844"/>
      <c r="J295" s="4938"/>
      <c r="K295" s="4439"/>
      <c r="L295" s="5012"/>
      <c r="M295" s="4879"/>
      <c r="N295" s="4938"/>
      <c r="O295" s="4865"/>
      <c r="P295" s="4939"/>
      <c r="Q295" s="4844"/>
      <c r="R295" s="4938"/>
      <c r="S295" s="4865"/>
      <c r="T295" s="4939"/>
      <c r="U295" s="4844"/>
      <c r="V295" s="4938"/>
      <c r="W295" s="4865"/>
      <c r="X295" s="7891"/>
      <c r="Y295" s="4879"/>
      <c r="Z295" s="7252"/>
      <c r="AA295" s="6970"/>
      <c r="AB295" s="4938"/>
      <c r="AC295" s="4439"/>
      <c r="AD295" s="4939"/>
      <c r="AE295" s="4844"/>
      <c r="AF295" s="4938"/>
      <c r="AG295" s="4865"/>
      <c r="AH295" s="4939"/>
      <c r="AI295" s="4844"/>
      <c r="AJ295" s="4938"/>
      <c r="AK295" s="4865"/>
      <c r="AL295" s="7891"/>
      <c r="AM295" s="4879"/>
      <c r="AN295" s="4939"/>
      <c r="AO295" s="4844"/>
      <c r="AP295" s="4938"/>
      <c r="AQ295" s="4865"/>
      <c r="AR295" s="4939"/>
      <c r="AS295" s="4844"/>
      <c r="AT295" s="4938"/>
      <c r="AU295" s="4865">
        <v>5368.88</v>
      </c>
      <c r="AV295" s="4939"/>
      <c r="AW295" s="4844">
        <f t="shared" si="491"/>
        <v>5368.88</v>
      </c>
      <c r="AX295" s="4938"/>
      <c r="AY295" s="4865"/>
      <c r="AZ295" s="7891"/>
      <c r="BA295" s="4879">
        <f t="shared" si="484"/>
        <v>5368.88</v>
      </c>
      <c r="BB295" s="7891">
        <f t="shared" si="472"/>
        <v>0</v>
      </c>
      <c r="BC295" s="4879">
        <f t="shared" si="473"/>
        <v>5368.88</v>
      </c>
      <c r="BD295" s="7252"/>
      <c r="BE295" s="6970">
        <f t="shared" si="485"/>
        <v>5368.88</v>
      </c>
    </row>
    <row r="296" spans="2:57" s="8404" customFormat="1" ht="18" x14ac:dyDescent="0.2">
      <c r="B296" s="6015" t="s">
        <v>2621</v>
      </c>
      <c r="C296" s="4084" t="s">
        <v>170</v>
      </c>
      <c r="D296" s="4938"/>
      <c r="E296" s="4439"/>
      <c r="F296" s="4938"/>
      <c r="G296" s="4439"/>
      <c r="H296" s="4939"/>
      <c r="I296" s="4844"/>
      <c r="J296" s="4938"/>
      <c r="K296" s="4439"/>
      <c r="L296" s="5012"/>
      <c r="M296" s="4879"/>
      <c r="N296" s="4938"/>
      <c r="O296" s="4865"/>
      <c r="P296" s="4939"/>
      <c r="Q296" s="4844"/>
      <c r="R296" s="4938"/>
      <c r="S296" s="4865"/>
      <c r="T296" s="4939"/>
      <c r="U296" s="4844"/>
      <c r="V296" s="4938"/>
      <c r="W296" s="4865"/>
      <c r="X296" s="7891"/>
      <c r="Y296" s="4879"/>
      <c r="Z296" s="7252"/>
      <c r="AA296" s="6970"/>
      <c r="AB296" s="4938"/>
      <c r="AC296" s="4439"/>
      <c r="AD296" s="4939"/>
      <c r="AE296" s="4844"/>
      <c r="AF296" s="4938"/>
      <c r="AG296" s="4865"/>
      <c r="AH296" s="4939"/>
      <c r="AI296" s="4844"/>
      <c r="AJ296" s="4938"/>
      <c r="AK296" s="4865"/>
      <c r="AL296" s="7891"/>
      <c r="AM296" s="4879"/>
      <c r="AN296" s="4939"/>
      <c r="AO296" s="4844"/>
      <c r="AP296" s="4938"/>
      <c r="AQ296" s="4865"/>
      <c r="AR296" s="4939"/>
      <c r="AS296" s="4844"/>
      <c r="AT296" s="4938"/>
      <c r="AU296" s="4865"/>
      <c r="AV296" s="4939"/>
      <c r="AW296" s="4844"/>
      <c r="AX296" s="4938"/>
      <c r="AY296" s="4865">
        <f>15664+0.4</f>
        <v>15664.4</v>
      </c>
      <c r="AZ296" s="7891"/>
      <c r="BA296" s="4879">
        <f t="shared" si="484"/>
        <v>15664.4</v>
      </c>
      <c r="BB296" s="7891"/>
      <c r="BC296" s="4879">
        <f t="shared" si="473"/>
        <v>15664.4</v>
      </c>
      <c r="BD296" s="7252"/>
      <c r="BE296" s="6970">
        <f t="shared" si="485"/>
        <v>15664.4</v>
      </c>
    </row>
    <row r="297" spans="2:57" s="8404" customFormat="1" ht="18" x14ac:dyDescent="0.2">
      <c r="B297" s="6015" t="s">
        <v>1898</v>
      </c>
      <c r="C297" s="4084" t="s">
        <v>170</v>
      </c>
      <c r="D297" s="4938"/>
      <c r="E297" s="4439"/>
      <c r="F297" s="4938"/>
      <c r="G297" s="4439"/>
      <c r="H297" s="4939"/>
      <c r="I297" s="4844"/>
      <c r="J297" s="4938"/>
      <c r="K297" s="4439"/>
      <c r="L297" s="5012"/>
      <c r="M297" s="4879"/>
      <c r="N297" s="4938"/>
      <c r="O297" s="4865"/>
      <c r="P297" s="4939"/>
      <c r="Q297" s="4844"/>
      <c r="R297" s="4938"/>
      <c r="S297" s="4865"/>
      <c r="T297" s="4939"/>
      <c r="U297" s="4844"/>
      <c r="V297" s="4938"/>
      <c r="W297" s="4865"/>
      <c r="X297" s="7891"/>
      <c r="Y297" s="4879"/>
      <c r="Z297" s="7252"/>
      <c r="AA297" s="6970"/>
      <c r="AB297" s="4938"/>
      <c r="AC297" s="4439"/>
      <c r="AD297" s="4939"/>
      <c r="AE297" s="4844"/>
      <c r="AF297" s="4938"/>
      <c r="AG297" s="4865"/>
      <c r="AH297" s="4939"/>
      <c r="AI297" s="4844"/>
      <c r="AJ297" s="4938"/>
      <c r="AK297" s="4865"/>
      <c r="AL297" s="7891"/>
      <c r="AM297" s="4879"/>
      <c r="AN297" s="4939"/>
      <c r="AO297" s="4844"/>
      <c r="AP297" s="4938"/>
      <c r="AQ297" s="4865"/>
      <c r="AR297" s="4939"/>
      <c r="AS297" s="4844"/>
      <c r="AT297" s="4938"/>
      <c r="AU297" s="4865"/>
      <c r="AV297" s="4939"/>
      <c r="AW297" s="4844"/>
      <c r="AX297" s="4938"/>
      <c r="AY297" s="4865">
        <f>11109+0.4</f>
        <v>11109.4</v>
      </c>
      <c r="AZ297" s="7891"/>
      <c r="BA297" s="4879">
        <f t="shared" si="484"/>
        <v>11109.4</v>
      </c>
      <c r="BB297" s="7891"/>
      <c r="BC297" s="4879">
        <f t="shared" si="473"/>
        <v>11109.4</v>
      </c>
      <c r="BD297" s="7252"/>
      <c r="BE297" s="6970">
        <f t="shared" si="485"/>
        <v>11109.4</v>
      </c>
    </row>
    <row r="298" spans="2:57" s="4756" customFormat="1" ht="18.75" customHeight="1" x14ac:dyDescent="0.2">
      <c r="B298" s="4870" t="s">
        <v>1226</v>
      </c>
      <c r="C298" s="4084" t="s">
        <v>170</v>
      </c>
      <c r="D298" s="4938"/>
      <c r="E298" s="4439"/>
      <c r="F298" s="4938"/>
      <c r="G298" s="4439">
        <v>1348.31</v>
      </c>
      <c r="H298" s="4939"/>
      <c r="I298" s="4844">
        <f t="shared" si="486"/>
        <v>1348.31</v>
      </c>
      <c r="J298" s="4938"/>
      <c r="K298" s="4439">
        <v>1007.8200000000003</v>
      </c>
      <c r="L298" s="5012"/>
      <c r="M298" s="4879">
        <f t="shared" si="487"/>
        <v>2356.13</v>
      </c>
      <c r="N298" s="4938"/>
      <c r="O298" s="4439">
        <v>497.71000000000004</v>
      </c>
      <c r="P298" s="4939"/>
      <c r="Q298" s="4844">
        <f t="shared" si="474"/>
        <v>2853.84</v>
      </c>
      <c r="R298" s="4938"/>
      <c r="S298" s="4439">
        <v>497.87</v>
      </c>
      <c r="T298" s="4939"/>
      <c r="U298" s="4844">
        <f t="shared" si="475"/>
        <v>3351.71</v>
      </c>
      <c r="V298" s="4938"/>
      <c r="W298" s="4439">
        <v>999.18</v>
      </c>
      <c r="X298" s="7891"/>
      <c r="Y298" s="4879">
        <f t="shared" si="476"/>
        <v>1994.76</v>
      </c>
      <c r="Z298" s="7252"/>
      <c r="AA298" s="6970">
        <f t="shared" si="477"/>
        <v>4350.8900000000003</v>
      </c>
      <c r="AB298" s="4938"/>
      <c r="AC298" s="4439">
        <v>494.03000000000009</v>
      </c>
      <c r="AD298" s="4939"/>
      <c r="AE298" s="4844">
        <f t="shared" si="489"/>
        <v>4844.92</v>
      </c>
      <c r="AF298" s="4938"/>
      <c r="AG298" s="4439">
        <v>1763.9299999999998</v>
      </c>
      <c r="AH298" s="4939"/>
      <c r="AI298" s="4844">
        <f t="shared" si="488"/>
        <v>6608.85</v>
      </c>
      <c r="AJ298" s="4938"/>
      <c r="AK298" s="4439">
        <v>380.43</v>
      </c>
      <c r="AL298" s="7891"/>
      <c r="AM298" s="4879">
        <f t="shared" si="480"/>
        <v>2638.39</v>
      </c>
      <c r="AN298" s="4939"/>
      <c r="AO298" s="4844">
        <f t="shared" si="481"/>
        <v>6989.2800000000007</v>
      </c>
      <c r="AP298" s="4938"/>
      <c r="AQ298" s="4439">
        <v>249.85999999999999</v>
      </c>
      <c r="AR298" s="4939"/>
      <c r="AS298" s="4844">
        <f t="shared" si="482"/>
        <v>7239.14</v>
      </c>
      <c r="AT298" s="4938"/>
      <c r="AU298" s="4439">
        <v>379.18</v>
      </c>
      <c r="AV298" s="4939"/>
      <c r="AW298" s="4844">
        <f t="shared" si="491"/>
        <v>7618.3200000000006</v>
      </c>
      <c r="AX298" s="4938"/>
      <c r="AY298" s="4439">
        <v>197.17</v>
      </c>
      <c r="AZ298" s="7891"/>
      <c r="BA298" s="4879">
        <f t="shared" si="484"/>
        <v>826.20999999999992</v>
      </c>
      <c r="BB298" s="7891">
        <f t="shared" si="472"/>
        <v>0</v>
      </c>
      <c r="BC298" s="4879">
        <f t="shared" si="473"/>
        <v>3464.6</v>
      </c>
      <c r="BD298" s="7252"/>
      <c r="BE298" s="6970">
        <f t="shared" si="485"/>
        <v>7815.4900000000007</v>
      </c>
    </row>
    <row r="299" spans="2:57" s="6434" customFormat="1" ht="18.75" customHeight="1" x14ac:dyDescent="0.2">
      <c r="B299" s="4870" t="s">
        <v>2204</v>
      </c>
      <c r="C299" s="4084" t="s">
        <v>170</v>
      </c>
      <c r="D299" s="4938"/>
      <c r="E299" s="4439"/>
      <c r="F299" s="4938"/>
      <c r="G299" s="4439"/>
      <c r="H299" s="4939"/>
      <c r="I299" s="4844"/>
      <c r="J299" s="4938"/>
      <c r="K299" s="4439"/>
      <c r="L299" s="5012"/>
      <c r="M299" s="4879"/>
      <c r="N299" s="4938"/>
      <c r="O299" s="4439"/>
      <c r="P299" s="4939"/>
      <c r="Q299" s="4844"/>
      <c r="R299" s="4938"/>
      <c r="S299" s="4439">
        <v>119.1</v>
      </c>
      <c r="T299" s="4939"/>
      <c r="U299" s="4844">
        <f t="shared" si="475"/>
        <v>119.1</v>
      </c>
      <c r="V299" s="4938"/>
      <c r="W299" s="4439">
        <v>0</v>
      </c>
      <c r="X299" s="7891"/>
      <c r="Y299" s="4879">
        <f t="shared" si="476"/>
        <v>119.1</v>
      </c>
      <c r="Z299" s="7252"/>
      <c r="AA299" s="6970">
        <f t="shared" si="477"/>
        <v>119.1</v>
      </c>
      <c r="AB299" s="4938"/>
      <c r="AC299" s="4439">
        <v>0</v>
      </c>
      <c r="AD299" s="4939"/>
      <c r="AE299" s="4844">
        <f t="shared" si="489"/>
        <v>119.1</v>
      </c>
      <c r="AF299" s="4938"/>
      <c r="AG299" s="4439"/>
      <c r="AH299" s="4939"/>
      <c r="AI299" s="4844">
        <f t="shared" si="488"/>
        <v>119.1</v>
      </c>
      <c r="AJ299" s="4938"/>
      <c r="AK299" s="4439">
        <v>173.8</v>
      </c>
      <c r="AL299" s="7891"/>
      <c r="AM299" s="4879">
        <f t="shared" si="480"/>
        <v>173.8</v>
      </c>
      <c r="AN299" s="4939"/>
      <c r="AO299" s="4844">
        <f t="shared" si="481"/>
        <v>292.89999999999998</v>
      </c>
      <c r="AP299" s="4938"/>
      <c r="AQ299" s="4439">
        <v>41.08</v>
      </c>
      <c r="AR299" s="4939"/>
      <c r="AS299" s="4844">
        <f t="shared" si="482"/>
        <v>333.97999999999996</v>
      </c>
      <c r="AT299" s="4938"/>
      <c r="AU299" s="4439"/>
      <c r="AV299" s="4939"/>
      <c r="AW299" s="4844">
        <f t="shared" si="491"/>
        <v>333.97999999999996</v>
      </c>
      <c r="AX299" s="4938"/>
      <c r="AY299" s="4439"/>
      <c r="AZ299" s="7891"/>
      <c r="BA299" s="4879">
        <f t="shared" si="484"/>
        <v>41.08</v>
      </c>
      <c r="BB299" s="7891">
        <f t="shared" si="472"/>
        <v>0</v>
      </c>
      <c r="BC299" s="4879">
        <f t="shared" si="473"/>
        <v>214.88</v>
      </c>
      <c r="BD299" s="7252"/>
      <c r="BE299" s="6970">
        <f t="shared" si="485"/>
        <v>333.97999999999996</v>
      </c>
    </row>
    <row r="300" spans="2:57" s="3380" customFormat="1" ht="15.75" customHeight="1" x14ac:dyDescent="0.2">
      <c r="B300" s="4870" t="s">
        <v>1542</v>
      </c>
      <c r="C300" s="4084" t="s">
        <v>170</v>
      </c>
      <c r="D300" s="8074"/>
      <c r="E300" s="4871"/>
      <c r="F300" s="8075"/>
      <c r="G300" s="4871"/>
      <c r="H300" s="8074"/>
      <c r="I300" s="4871"/>
      <c r="J300" s="8074"/>
      <c r="K300" s="4871"/>
      <c r="L300" s="8074"/>
      <c r="M300" s="4871"/>
      <c r="N300" s="8074"/>
      <c r="O300" s="4871"/>
      <c r="P300" s="8074"/>
      <c r="Q300" s="4871"/>
      <c r="R300" s="8074"/>
      <c r="S300" s="4871"/>
      <c r="T300" s="8074"/>
      <c r="U300" s="4871"/>
      <c r="V300" s="8074"/>
      <c r="W300" s="4871"/>
      <c r="X300" s="8074"/>
      <c r="Y300" s="4865"/>
      <c r="Z300" s="8074"/>
      <c r="AA300" s="4871"/>
      <c r="AB300" s="8074"/>
      <c r="AC300" s="4871"/>
      <c r="AD300" s="8074"/>
      <c r="AE300" s="4871"/>
      <c r="AF300" s="8074"/>
      <c r="AG300" s="4871"/>
      <c r="AH300" s="8074"/>
      <c r="AI300" s="4871"/>
      <c r="AJ300" s="8074"/>
      <c r="AK300" s="4871"/>
      <c r="AL300" s="8074"/>
      <c r="AM300" s="4865"/>
      <c r="AN300" s="8074"/>
      <c r="AO300" s="4871"/>
      <c r="AP300" s="8074"/>
      <c r="AQ300" s="4871"/>
      <c r="AR300" s="8074"/>
      <c r="AS300" s="4871"/>
      <c r="AT300" s="8074"/>
      <c r="AU300" s="4871"/>
      <c r="AV300" s="8074"/>
      <c r="AW300" s="4871"/>
      <c r="AX300" s="8074"/>
      <c r="AY300" s="4871"/>
      <c r="AZ300" s="8074"/>
      <c r="BA300" s="4879">
        <f t="shared" si="484"/>
        <v>0</v>
      </c>
      <c r="BB300" s="8074">
        <f t="shared" si="472"/>
        <v>0</v>
      </c>
      <c r="BC300" s="4879">
        <f t="shared" si="473"/>
        <v>0</v>
      </c>
      <c r="BD300" s="8074"/>
      <c r="BE300" s="6970">
        <f t="shared" si="485"/>
        <v>0</v>
      </c>
    </row>
    <row r="301" spans="2:57" ht="15.75" customHeight="1" x14ac:dyDescent="0.2">
      <c r="B301" s="4037" t="s">
        <v>1452</v>
      </c>
      <c r="C301" s="4084" t="s">
        <v>170</v>
      </c>
      <c r="D301" s="8063"/>
      <c r="E301" s="4439"/>
      <c r="F301" s="4085"/>
      <c r="G301" s="4439">
        <v>11399.749999999996</v>
      </c>
      <c r="H301" s="8065"/>
      <c r="I301" s="4844">
        <f t="shared" si="486"/>
        <v>11399.749999999996</v>
      </c>
      <c r="J301" s="8063"/>
      <c r="K301" s="4439">
        <v>11195.545999999998</v>
      </c>
      <c r="L301" s="8068"/>
      <c r="M301" s="4879">
        <f t="shared" ref="M301:M309" si="492">+I301+K301</f>
        <v>22595.295999999995</v>
      </c>
      <c r="N301" s="8063"/>
      <c r="O301" s="4439">
        <v>6996.9800000000005</v>
      </c>
      <c r="P301" s="8065"/>
      <c r="Q301" s="4844">
        <f t="shared" ref="Q301:Q309" si="493">+M301+O301</f>
        <v>29592.275999999994</v>
      </c>
      <c r="R301" s="8063"/>
      <c r="S301" s="4439">
        <v>7915.4779999999992</v>
      </c>
      <c r="T301" s="8065"/>
      <c r="U301" s="4844">
        <f t="shared" ref="U301:U309" si="494">+Q301+S301</f>
        <v>37507.753999999994</v>
      </c>
      <c r="V301" s="8063"/>
      <c r="W301" s="4439">
        <v>1016.46</v>
      </c>
      <c r="X301" s="8068"/>
      <c r="Y301" s="4879">
        <f t="shared" si="476"/>
        <v>15928.917999999998</v>
      </c>
      <c r="Z301" s="8071"/>
      <c r="AA301" s="6970">
        <f t="shared" ref="AA301:AA309" si="495">+U301+W301</f>
        <v>38524.213999999993</v>
      </c>
      <c r="AB301" s="8063"/>
      <c r="AC301" s="4439">
        <v>126.4</v>
      </c>
      <c r="AD301" s="8065"/>
      <c r="AE301" s="4844">
        <f t="shared" ref="AE301:AE309" si="496">+AA301+AC301</f>
        <v>38650.613999999994</v>
      </c>
      <c r="AF301" s="8063"/>
      <c r="AG301" s="4439">
        <v>1467.1</v>
      </c>
      <c r="AH301" s="8065"/>
      <c r="AI301" s="4844">
        <f t="shared" ref="AI301:AI309" si="497">+AE301+AG301</f>
        <v>40117.713999999993</v>
      </c>
      <c r="AJ301" s="8063"/>
      <c r="AK301" s="4439">
        <v>688.62</v>
      </c>
      <c r="AL301" s="8068"/>
      <c r="AM301" s="4879">
        <f t="shared" ref="AM301:AM309" si="498">AC301+AG301+AK301</f>
        <v>2282.12</v>
      </c>
      <c r="AN301" s="8065"/>
      <c r="AO301" s="4844">
        <f t="shared" ref="AO301:AO309" si="499">+AI301+AK301</f>
        <v>40806.333999999995</v>
      </c>
      <c r="AP301" s="8063"/>
      <c r="AQ301" s="4439">
        <v>4109.0199999999986</v>
      </c>
      <c r="AR301" s="8065"/>
      <c r="AS301" s="4844">
        <f t="shared" ref="AS301:AS309" si="500">+AO301+AQ301</f>
        <v>44915.353999999992</v>
      </c>
      <c r="AT301" s="8063"/>
      <c r="AU301" s="4439">
        <v>4707.95</v>
      </c>
      <c r="AV301" s="8065"/>
      <c r="AW301" s="4844">
        <f t="shared" ref="AW301:AW309" si="501">+AS301+AU301</f>
        <v>49623.303999999989</v>
      </c>
      <c r="AX301" s="8063"/>
      <c r="AY301" s="4439">
        <v>6693.29</v>
      </c>
      <c r="AZ301" s="8068"/>
      <c r="BA301" s="4879">
        <f t="shared" si="484"/>
        <v>15510.259999999998</v>
      </c>
      <c r="BB301" s="8068">
        <f t="shared" si="472"/>
        <v>0</v>
      </c>
      <c r="BC301" s="4879">
        <f t="shared" si="473"/>
        <v>17792.379999999997</v>
      </c>
      <c r="BD301" s="8071"/>
      <c r="BE301" s="6970">
        <f t="shared" si="485"/>
        <v>56316.59399999999</v>
      </c>
    </row>
    <row r="302" spans="2:57" ht="15.75" customHeight="1" x14ac:dyDescent="0.2">
      <c r="B302" s="4872" t="s">
        <v>1515</v>
      </c>
      <c r="C302" s="4084" t="s">
        <v>170</v>
      </c>
      <c r="D302" s="8063"/>
      <c r="E302" s="4439"/>
      <c r="F302" s="4085"/>
      <c r="G302" s="4439"/>
      <c r="H302" s="8065"/>
      <c r="I302" s="4844">
        <f t="shared" si="486"/>
        <v>0</v>
      </c>
      <c r="J302" s="8063"/>
      <c r="K302" s="4439"/>
      <c r="L302" s="8068"/>
      <c r="M302" s="4879">
        <f t="shared" si="492"/>
        <v>0</v>
      </c>
      <c r="N302" s="8063"/>
      <c r="O302" s="4439"/>
      <c r="P302" s="8065"/>
      <c r="Q302" s="4844">
        <f t="shared" si="493"/>
        <v>0</v>
      </c>
      <c r="R302" s="8063"/>
      <c r="S302" s="4439"/>
      <c r="T302" s="8065"/>
      <c r="U302" s="4844">
        <f t="shared" si="494"/>
        <v>0</v>
      </c>
      <c r="V302" s="8063"/>
      <c r="W302" s="4439"/>
      <c r="X302" s="8068"/>
      <c r="Y302" s="4879">
        <f t="shared" si="476"/>
        <v>0</v>
      </c>
      <c r="Z302" s="8071"/>
      <c r="AA302" s="6970">
        <f t="shared" si="495"/>
        <v>0</v>
      </c>
      <c r="AB302" s="8063"/>
      <c r="AC302" s="4439"/>
      <c r="AD302" s="8065"/>
      <c r="AE302" s="4844">
        <f t="shared" si="496"/>
        <v>0</v>
      </c>
      <c r="AF302" s="8063"/>
      <c r="AG302" s="4439"/>
      <c r="AH302" s="8065"/>
      <c r="AI302" s="4844">
        <f t="shared" si="497"/>
        <v>0</v>
      </c>
      <c r="AJ302" s="8063"/>
      <c r="AK302" s="4439"/>
      <c r="AL302" s="8068"/>
      <c r="AM302" s="4879">
        <f t="shared" si="498"/>
        <v>0</v>
      </c>
      <c r="AN302" s="8065"/>
      <c r="AO302" s="4844">
        <f t="shared" si="499"/>
        <v>0</v>
      </c>
      <c r="AP302" s="8063"/>
      <c r="AQ302" s="4439"/>
      <c r="AR302" s="8065"/>
      <c r="AS302" s="4844">
        <f t="shared" si="500"/>
        <v>0</v>
      </c>
      <c r="AT302" s="8063"/>
      <c r="AU302" s="4439">
        <v>801.74</v>
      </c>
      <c r="AV302" s="8065"/>
      <c r="AW302" s="4844">
        <f t="shared" si="501"/>
        <v>801.74</v>
      </c>
      <c r="AX302" s="8063"/>
      <c r="AY302" s="4439"/>
      <c r="AZ302" s="8068"/>
      <c r="BA302" s="4879">
        <f t="shared" si="484"/>
        <v>801.74</v>
      </c>
      <c r="BB302" s="8068">
        <f t="shared" si="472"/>
        <v>0</v>
      </c>
      <c r="BC302" s="4879">
        <f t="shared" si="473"/>
        <v>801.74</v>
      </c>
      <c r="BD302" s="8071"/>
      <c r="BE302" s="6970">
        <f t="shared" si="485"/>
        <v>801.74</v>
      </c>
    </row>
    <row r="303" spans="2:57" ht="18.75" customHeight="1" x14ac:dyDescent="0.2">
      <c r="B303" s="4037" t="s">
        <v>1514</v>
      </c>
      <c r="C303" s="4084" t="s">
        <v>170</v>
      </c>
      <c r="D303" s="8063"/>
      <c r="E303" s="4439"/>
      <c r="F303" s="4085"/>
      <c r="G303" s="4439"/>
      <c r="H303" s="8065"/>
      <c r="I303" s="4844">
        <f t="shared" si="486"/>
        <v>0</v>
      </c>
      <c r="J303" s="8063"/>
      <c r="K303" s="4439">
        <v>881.22300000000007</v>
      </c>
      <c r="L303" s="8068"/>
      <c r="M303" s="4879">
        <f t="shared" si="492"/>
        <v>881.22300000000007</v>
      </c>
      <c r="N303" s="8063"/>
      <c r="O303" s="4439">
        <v>1567.3209999999999</v>
      </c>
      <c r="P303" s="8065"/>
      <c r="Q303" s="4844">
        <f t="shared" si="493"/>
        <v>2448.5439999999999</v>
      </c>
      <c r="R303" s="8063"/>
      <c r="S303" s="4439">
        <v>0</v>
      </c>
      <c r="T303" s="8065"/>
      <c r="U303" s="4844">
        <f t="shared" si="494"/>
        <v>2448.5439999999999</v>
      </c>
      <c r="V303" s="8063"/>
      <c r="W303" s="4439"/>
      <c r="X303" s="8068"/>
      <c r="Y303" s="4879">
        <f t="shared" si="476"/>
        <v>1567.3209999999999</v>
      </c>
      <c r="Z303" s="8071"/>
      <c r="AA303" s="6970">
        <f t="shared" si="495"/>
        <v>2448.5439999999999</v>
      </c>
      <c r="AB303" s="8063"/>
      <c r="AC303" s="4439">
        <v>0</v>
      </c>
      <c r="AD303" s="8065"/>
      <c r="AE303" s="4844">
        <f t="shared" si="496"/>
        <v>2448.5439999999999</v>
      </c>
      <c r="AF303" s="8063"/>
      <c r="AG303" s="4439">
        <v>501.40000000000003</v>
      </c>
      <c r="AH303" s="8065"/>
      <c r="AI303" s="4844">
        <f t="shared" si="497"/>
        <v>2949.944</v>
      </c>
      <c r="AJ303" s="8063"/>
      <c r="AK303" s="4439">
        <v>198.48999999999998</v>
      </c>
      <c r="AL303" s="8068"/>
      <c r="AM303" s="4879">
        <f t="shared" si="498"/>
        <v>699.89</v>
      </c>
      <c r="AN303" s="8065"/>
      <c r="AO303" s="4844">
        <f t="shared" si="499"/>
        <v>3148.4339999999997</v>
      </c>
      <c r="AP303" s="8063"/>
      <c r="AQ303" s="4439"/>
      <c r="AR303" s="8065"/>
      <c r="AS303" s="4844">
        <f t="shared" si="500"/>
        <v>3148.4339999999997</v>
      </c>
      <c r="AT303" s="8063"/>
      <c r="AU303" s="4439">
        <v>253.9</v>
      </c>
      <c r="AV303" s="8065"/>
      <c r="AW303" s="4844">
        <f t="shared" si="501"/>
        <v>3402.3339999999998</v>
      </c>
      <c r="AX303" s="8063"/>
      <c r="AY303" s="4439">
        <v>308.7</v>
      </c>
      <c r="AZ303" s="8068"/>
      <c r="BA303" s="4879">
        <f t="shared" si="484"/>
        <v>562.6</v>
      </c>
      <c r="BB303" s="8068">
        <f t="shared" si="472"/>
        <v>0</v>
      </c>
      <c r="BC303" s="4879">
        <f t="shared" si="473"/>
        <v>1262.49</v>
      </c>
      <c r="BD303" s="8071"/>
      <c r="BE303" s="6970">
        <f t="shared" si="485"/>
        <v>3711.0339999999997</v>
      </c>
    </row>
    <row r="304" spans="2:57" ht="18.75" customHeight="1" x14ac:dyDescent="0.2">
      <c r="B304" s="4037" t="s">
        <v>1215</v>
      </c>
      <c r="C304" s="4084" t="s">
        <v>170</v>
      </c>
      <c r="D304" s="8063"/>
      <c r="E304" s="4439"/>
      <c r="F304" s="4085"/>
      <c r="G304" s="4439">
        <v>3735.030999999999</v>
      </c>
      <c r="H304" s="8065"/>
      <c r="I304" s="4844">
        <f t="shared" si="486"/>
        <v>3735.030999999999</v>
      </c>
      <c r="J304" s="8063"/>
      <c r="K304" s="4439">
        <v>4693.9419999999991</v>
      </c>
      <c r="L304" s="8068"/>
      <c r="M304" s="4879">
        <f t="shared" si="492"/>
        <v>8428.9729999999981</v>
      </c>
      <c r="N304" s="8063"/>
      <c r="O304" s="4439">
        <v>5018.7049999999999</v>
      </c>
      <c r="P304" s="8065"/>
      <c r="Q304" s="4844">
        <f t="shared" si="493"/>
        <v>13447.677999999998</v>
      </c>
      <c r="R304" s="8063"/>
      <c r="S304" s="4439">
        <v>5453.9160000000002</v>
      </c>
      <c r="T304" s="8065"/>
      <c r="U304" s="4844">
        <f t="shared" si="494"/>
        <v>18901.593999999997</v>
      </c>
      <c r="V304" s="8063"/>
      <c r="W304" s="4439">
        <v>1255.3</v>
      </c>
      <c r="X304" s="8068"/>
      <c r="Y304" s="4879">
        <f t="shared" si="476"/>
        <v>11727.920999999998</v>
      </c>
      <c r="Z304" s="8071"/>
      <c r="AA304" s="6970">
        <f t="shared" si="495"/>
        <v>20156.893999999997</v>
      </c>
      <c r="AB304" s="8063"/>
      <c r="AC304" s="4439">
        <v>555.80000000000007</v>
      </c>
      <c r="AD304" s="8065"/>
      <c r="AE304" s="4844">
        <f t="shared" si="496"/>
        <v>20712.693999999996</v>
      </c>
      <c r="AF304" s="8063"/>
      <c r="AG304" s="4439">
        <v>5568.2900000000036</v>
      </c>
      <c r="AH304" s="8065"/>
      <c r="AI304" s="4844">
        <f t="shared" si="497"/>
        <v>26280.984</v>
      </c>
      <c r="AJ304" s="8063"/>
      <c r="AK304" s="4439">
        <v>5953.2500000000018</v>
      </c>
      <c r="AL304" s="8068"/>
      <c r="AM304" s="4879">
        <f t="shared" si="498"/>
        <v>12077.340000000006</v>
      </c>
      <c r="AN304" s="8065"/>
      <c r="AO304" s="4844">
        <f t="shared" si="499"/>
        <v>32234.234000000004</v>
      </c>
      <c r="AP304" s="8063"/>
      <c r="AQ304" s="4439">
        <v>3404.2799999999997</v>
      </c>
      <c r="AR304" s="8065"/>
      <c r="AS304" s="4844">
        <f t="shared" si="500"/>
        <v>35638.514000000003</v>
      </c>
      <c r="AT304" s="8063"/>
      <c r="AU304" s="4439">
        <v>4039.52</v>
      </c>
      <c r="AV304" s="8065"/>
      <c r="AW304" s="4844">
        <f t="shared" si="501"/>
        <v>39678.034</v>
      </c>
      <c r="AX304" s="8063"/>
      <c r="AY304" s="4439">
        <v>3851.72</v>
      </c>
      <c r="AZ304" s="8068"/>
      <c r="BA304" s="4879">
        <f t="shared" si="484"/>
        <v>11295.519999999999</v>
      </c>
      <c r="BB304" s="8068">
        <f t="shared" si="472"/>
        <v>0</v>
      </c>
      <c r="BC304" s="4879">
        <f t="shared" si="473"/>
        <v>23372.860000000004</v>
      </c>
      <c r="BD304" s="8071"/>
      <c r="BE304" s="6970">
        <f t="shared" si="485"/>
        <v>43529.754000000001</v>
      </c>
    </row>
    <row r="305" spans="2:57" ht="18.75" customHeight="1" x14ac:dyDescent="0.2">
      <c r="B305" s="4037" t="s">
        <v>1936</v>
      </c>
      <c r="C305" s="4084" t="s">
        <v>170</v>
      </c>
      <c r="D305" s="8063"/>
      <c r="E305" s="4439"/>
      <c r="F305" s="4085"/>
      <c r="G305" s="4439">
        <v>3861.1909999999993</v>
      </c>
      <c r="H305" s="8065"/>
      <c r="I305" s="4844">
        <f t="shared" si="486"/>
        <v>3861.1909999999993</v>
      </c>
      <c r="J305" s="8063"/>
      <c r="K305" s="4439">
        <v>6228.4920000000002</v>
      </c>
      <c r="L305" s="8068"/>
      <c r="M305" s="4879">
        <f t="shared" si="492"/>
        <v>10089.682999999999</v>
      </c>
      <c r="N305" s="8063"/>
      <c r="O305" s="4439">
        <v>4478.8119999999999</v>
      </c>
      <c r="P305" s="8065"/>
      <c r="Q305" s="4844">
        <f t="shared" si="493"/>
        <v>14568.494999999999</v>
      </c>
      <c r="R305" s="8063"/>
      <c r="S305" s="4439">
        <v>2694.0679999999993</v>
      </c>
      <c r="T305" s="8065"/>
      <c r="U305" s="4844">
        <f t="shared" si="494"/>
        <v>17262.562999999998</v>
      </c>
      <c r="V305" s="8063"/>
      <c r="W305" s="4439">
        <v>954.92</v>
      </c>
      <c r="X305" s="8068"/>
      <c r="Y305" s="4879">
        <f t="shared" si="476"/>
        <v>8127.7999999999993</v>
      </c>
      <c r="Z305" s="8071"/>
      <c r="AA305" s="6970">
        <f t="shared" si="495"/>
        <v>18217.482999999997</v>
      </c>
      <c r="AB305" s="8063"/>
      <c r="AC305" s="4439">
        <v>425.96</v>
      </c>
      <c r="AD305" s="8065"/>
      <c r="AE305" s="4844">
        <f t="shared" si="496"/>
        <v>18643.442999999996</v>
      </c>
      <c r="AF305" s="8063"/>
      <c r="AG305" s="4439"/>
      <c r="AH305" s="8065"/>
      <c r="AI305" s="4844">
        <f t="shared" si="497"/>
        <v>18643.442999999996</v>
      </c>
      <c r="AJ305" s="8063"/>
      <c r="AK305" s="4439">
        <v>2367.0600000000004</v>
      </c>
      <c r="AL305" s="8068"/>
      <c r="AM305" s="4879">
        <f t="shared" si="498"/>
        <v>2793.0200000000004</v>
      </c>
      <c r="AN305" s="8065"/>
      <c r="AO305" s="4844">
        <f t="shared" si="499"/>
        <v>21010.502999999997</v>
      </c>
      <c r="AP305" s="8063"/>
      <c r="AQ305" s="4439">
        <v>2087.1</v>
      </c>
      <c r="AR305" s="8065"/>
      <c r="AS305" s="4844">
        <f t="shared" si="500"/>
        <v>23097.602999999996</v>
      </c>
      <c r="AT305" s="8063"/>
      <c r="AU305" s="4439">
        <v>2265.0100000000002</v>
      </c>
      <c r="AV305" s="8065"/>
      <c r="AW305" s="4844">
        <f t="shared" si="501"/>
        <v>25362.612999999998</v>
      </c>
      <c r="AX305" s="8063"/>
      <c r="AY305" s="4439">
        <v>1316.46</v>
      </c>
      <c r="AZ305" s="8068"/>
      <c r="BA305" s="4879">
        <f t="shared" si="484"/>
        <v>5668.5700000000006</v>
      </c>
      <c r="BB305" s="8068">
        <f t="shared" si="472"/>
        <v>0</v>
      </c>
      <c r="BC305" s="4879">
        <f t="shared" si="473"/>
        <v>8461.59</v>
      </c>
      <c r="BD305" s="8071"/>
      <c r="BE305" s="6970">
        <f t="shared" si="485"/>
        <v>26679.072999999997</v>
      </c>
    </row>
    <row r="306" spans="2:57" s="4756" customFormat="1" ht="18.75" customHeight="1" x14ac:dyDescent="0.2">
      <c r="B306" s="4037" t="s">
        <v>1937</v>
      </c>
      <c r="C306" s="4084" t="s">
        <v>170</v>
      </c>
      <c r="D306" s="8063"/>
      <c r="E306" s="4439"/>
      <c r="F306" s="4085"/>
      <c r="G306" s="4439">
        <v>315.82000000000005</v>
      </c>
      <c r="H306" s="8065"/>
      <c r="I306" s="4844">
        <f t="shared" si="486"/>
        <v>315.82000000000005</v>
      </c>
      <c r="J306" s="8063"/>
      <c r="K306" s="4439">
        <v>186.66</v>
      </c>
      <c r="L306" s="8068"/>
      <c r="M306" s="4879">
        <f t="shared" si="492"/>
        <v>502.48</v>
      </c>
      <c r="N306" s="8063"/>
      <c r="O306" s="4439">
        <v>808.41600000000017</v>
      </c>
      <c r="P306" s="8065"/>
      <c r="Q306" s="4844">
        <f t="shared" si="493"/>
        <v>1310.8960000000002</v>
      </c>
      <c r="R306" s="8063"/>
      <c r="S306" s="4439">
        <v>0</v>
      </c>
      <c r="T306" s="8065"/>
      <c r="U306" s="4844">
        <f t="shared" si="494"/>
        <v>1310.8960000000002</v>
      </c>
      <c r="V306" s="8063"/>
      <c r="W306" s="4439"/>
      <c r="X306" s="8068"/>
      <c r="Y306" s="4879">
        <f t="shared" si="476"/>
        <v>808.41600000000017</v>
      </c>
      <c r="Z306" s="8071"/>
      <c r="AA306" s="6970">
        <f t="shared" si="495"/>
        <v>1310.8960000000002</v>
      </c>
      <c r="AB306" s="8063"/>
      <c r="AC306" s="4439">
        <v>1327.64</v>
      </c>
      <c r="AD306" s="8065"/>
      <c r="AE306" s="4844">
        <f t="shared" si="496"/>
        <v>2638.5360000000001</v>
      </c>
      <c r="AF306" s="8063"/>
      <c r="AG306" s="4439">
        <v>531.13</v>
      </c>
      <c r="AH306" s="8065"/>
      <c r="AI306" s="4844">
        <f t="shared" si="497"/>
        <v>3169.6660000000002</v>
      </c>
      <c r="AJ306" s="8063"/>
      <c r="AK306" s="4439">
        <v>0</v>
      </c>
      <c r="AL306" s="8068"/>
      <c r="AM306" s="4879">
        <f t="shared" si="498"/>
        <v>1858.77</v>
      </c>
      <c r="AN306" s="8065"/>
      <c r="AO306" s="4844">
        <f t="shared" si="499"/>
        <v>3169.6660000000002</v>
      </c>
      <c r="AP306" s="8063"/>
      <c r="AQ306" s="4439"/>
      <c r="AR306" s="8065"/>
      <c r="AS306" s="4844">
        <f t="shared" si="500"/>
        <v>3169.6660000000002</v>
      </c>
      <c r="AT306" s="8063"/>
      <c r="AU306" s="4439"/>
      <c r="AV306" s="8065"/>
      <c r="AW306" s="4844">
        <f t="shared" si="501"/>
        <v>3169.6660000000002</v>
      </c>
      <c r="AX306" s="8063"/>
      <c r="AY306" s="4439"/>
      <c r="AZ306" s="8068"/>
      <c r="BA306" s="4879">
        <f t="shared" si="484"/>
        <v>0</v>
      </c>
      <c r="BB306" s="8068">
        <f t="shared" si="472"/>
        <v>0</v>
      </c>
      <c r="BC306" s="4879">
        <f t="shared" si="473"/>
        <v>1858.77</v>
      </c>
      <c r="BD306" s="8071"/>
      <c r="BE306" s="6970">
        <f t="shared" si="485"/>
        <v>3169.6660000000002</v>
      </c>
    </row>
    <row r="307" spans="2:57" ht="18.75" customHeight="1" x14ac:dyDescent="0.2">
      <c r="B307" s="4037" t="s">
        <v>1938</v>
      </c>
      <c r="C307" s="4084" t="s">
        <v>170</v>
      </c>
      <c r="D307" s="8063"/>
      <c r="E307" s="4439"/>
      <c r="F307" s="4085"/>
      <c r="G307" s="4439">
        <v>1168.7049999999999</v>
      </c>
      <c r="H307" s="8065"/>
      <c r="I307" s="4844">
        <f t="shared" si="486"/>
        <v>1168.7049999999999</v>
      </c>
      <c r="J307" s="8063"/>
      <c r="K307" s="4439">
        <v>765.08200000000011</v>
      </c>
      <c r="L307" s="8068"/>
      <c r="M307" s="4879">
        <f t="shared" si="492"/>
        <v>1933.787</v>
      </c>
      <c r="N307" s="8063"/>
      <c r="O307" s="4439">
        <v>127.8</v>
      </c>
      <c r="P307" s="8065"/>
      <c r="Q307" s="4844">
        <f t="shared" si="493"/>
        <v>2061.587</v>
      </c>
      <c r="R307" s="8063"/>
      <c r="S307" s="4439">
        <v>1721.4400000000003</v>
      </c>
      <c r="T307" s="8065"/>
      <c r="U307" s="4844">
        <f t="shared" si="494"/>
        <v>3783.027</v>
      </c>
      <c r="V307" s="8063"/>
      <c r="W307" s="4439">
        <v>191.04</v>
      </c>
      <c r="X307" s="8068"/>
      <c r="Y307" s="4879">
        <f t="shared" si="476"/>
        <v>2040.2800000000002</v>
      </c>
      <c r="Z307" s="8071"/>
      <c r="AA307" s="6970">
        <f t="shared" si="495"/>
        <v>3974.067</v>
      </c>
      <c r="AB307" s="8063"/>
      <c r="AC307" s="4439">
        <v>510.26000000000005</v>
      </c>
      <c r="AD307" s="8065"/>
      <c r="AE307" s="4844">
        <f t="shared" si="496"/>
        <v>4484.3270000000002</v>
      </c>
      <c r="AF307" s="8063"/>
      <c r="AG307" s="4439"/>
      <c r="AH307" s="8065"/>
      <c r="AI307" s="4844">
        <f t="shared" si="497"/>
        <v>4484.3270000000002</v>
      </c>
      <c r="AJ307" s="8063"/>
      <c r="AK307" s="4439">
        <v>1648.7800000000004</v>
      </c>
      <c r="AL307" s="8068"/>
      <c r="AM307" s="4879">
        <f t="shared" si="498"/>
        <v>2159.0400000000004</v>
      </c>
      <c r="AN307" s="8065"/>
      <c r="AO307" s="4844">
        <f t="shared" si="499"/>
        <v>6133.1070000000009</v>
      </c>
      <c r="AP307" s="8063"/>
      <c r="AQ307" s="4439"/>
      <c r="AR307" s="8065"/>
      <c r="AS307" s="4844">
        <f t="shared" si="500"/>
        <v>6133.1070000000009</v>
      </c>
      <c r="AT307" s="8063"/>
      <c r="AU307" s="4439">
        <v>1013.78</v>
      </c>
      <c r="AV307" s="8065"/>
      <c r="AW307" s="4844">
        <f t="shared" si="501"/>
        <v>7146.8870000000006</v>
      </c>
      <c r="AX307" s="8063"/>
      <c r="AY307" s="4439">
        <v>1010.38</v>
      </c>
      <c r="AZ307" s="8068"/>
      <c r="BA307" s="4879">
        <f t="shared" si="484"/>
        <v>2024.1599999999999</v>
      </c>
      <c r="BB307" s="8068">
        <f t="shared" si="472"/>
        <v>0</v>
      </c>
      <c r="BC307" s="4879">
        <f t="shared" si="473"/>
        <v>4183.2000000000007</v>
      </c>
      <c r="BD307" s="8071"/>
      <c r="BE307" s="6970">
        <f t="shared" si="485"/>
        <v>8157.2670000000007</v>
      </c>
    </row>
    <row r="308" spans="2:57" s="5985" customFormat="1" ht="18.75" customHeight="1" x14ac:dyDescent="0.2">
      <c r="B308" s="4037" t="s">
        <v>2132</v>
      </c>
      <c r="C308" s="4084" t="s">
        <v>170</v>
      </c>
      <c r="D308" s="8064"/>
      <c r="E308" s="4437"/>
      <c r="F308" s="4085"/>
      <c r="G308" s="4437"/>
      <c r="H308" s="8066"/>
      <c r="I308" s="4844">
        <f t="shared" si="486"/>
        <v>0</v>
      </c>
      <c r="J308" s="8064"/>
      <c r="K308" s="4437"/>
      <c r="L308" s="8069"/>
      <c r="M308" s="4879">
        <f t="shared" si="492"/>
        <v>0</v>
      </c>
      <c r="N308" s="8064"/>
      <c r="O308" s="4437">
        <v>634.43999999999983</v>
      </c>
      <c r="P308" s="8066"/>
      <c r="Q308" s="4844">
        <f t="shared" si="493"/>
        <v>634.43999999999983</v>
      </c>
      <c r="R308" s="8064"/>
      <c r="S308" s="4437">
        <v>0</v>
      </c>
      <c r="T308" s="8066"/>
      <c r="U308" s="4844">
        <f t="shared" si="494"/>
        <v>634.43999999999983</v>
      </c>
      <c r="V308" s="8064"/>
      <c r="W308" s="4437"/>
      <c r="X308" s="8068"/>
      <c r="Y308" s="4879">
        <f t="shared" si="476"/>
        <v>634.43999999999983</v>
      </c>
      <c r="Z308" s="8072"/>
      <c r="AA308" s="6970">
        <f t="shared" si="495"/>
        <v>634.43999999999983</v>
      </c>
      <c r="AB308" s="8064"/>
      <c r="AC308" s="4437">
        <v>0</v>
      </c>
      <c r="AD308" s="8066"/>
      <c r="AE308" s="4844">
        <f t="shared" si="496"/>
        <v>634.43999999999983</v>
      </c>
      <c r="AF308" s="8064"/>
      <c r="AG308" s="4437"/>
      <c r="AH308" s="8066"/>
      <c r="AI308" s="4844">
        <f t="shared" si="497"/>
        <v>634.43999999999983</v>
      </c>
      <c r="AJ308" s="8064"/>
      <c r="AK308" s="4437">
        <v>950.32</v>
      </c>
      <c r="AL308" s="8068"/>
      <c r="AM308" s="4879">
        <f t="shared" si="498"/>
        <v>950.32</v>
      </c>
      <c r="AN308" s="8066"/>
      <c r="AO308" s="4844">
        <f t="shared" si="499"/>
        <v>1584.7599999999998</v>
      </c>
      <c r="AP308" s="8064"/>
      <c r="AQ308" s="4437"/>
      <c r="AR308" s="8066"/>
      <c r="AS308" s="4844">
        <f t="shared" si="500"/>
        <v>1584.7599999999998</v>
      </c>
      <c r="AT308" s="8064"/>
      <c r="AU308" s="4437"/>
      <c r="AV308" s="8066"/>
      <c r="AW308" s="4844">
        <f t="shared" si="501"/>
        <v>1584.7599999999998</v>
      </c>
      <c r="AX308" s="8064"/>
      <c r="AY308" s="4437"/>
      <c r="AZ308" s="8068"/>
      <c r="BA308" s="4879">
        <f t="shared" si="484"/>
        <v>0</v>
      </c>
      <c r="BB308" s="8068">
        <f t="shared" si="472"/>
        <v>0</v>
      </c>
      <c r="BC308" s="4879">
        <f t="shared" si="473"/>
        <v>950.32</v>
      </c>
      <c r="BD308" s="8072"/>
      <c r="BE308" s="6970">
        <f t="shared" si="485"/>
        <v>1584.7599999999998</v>
      </c>
    </row>
    <row r="309" spans="2:57" ht="19.5" customHeight="1" thickBot="1" x14ac:dyDescent="0.25">
      <c r="B309" s="4037" t="s">
        <v>1580</v>
      </c>
      <c r="C309" s="4084" t="s">
        <v>170</v>
      </c>
      <c r="D309" s="5262"/>
      <c r="E309" s="4873"/>
      <c r="F309" s="4089"/>
      <c r="G309" s="4873">
        <v>494.11999999999995</v>
      </c>
      <c r="H309" s="8067"/>
      <c r="I309" s="4874">
        <f t="shared" si="486"/>
        <v>494.11999999999995</v>
      </c>
      <c r="J309" s="5262"/>
      <c r="K309" s="4873"/>
      <c r="L309" s="8070"/>
      <c r="M309" s="5013">
        <f t="shared" si="492"/>
        <v>494.11999999999995</v>
      </c>
      <c r="N309" s="5262"/>
      <c r="O309" s="4873">
        <v>0</v>
      </c>
      <c r="P309" s="8067"/>
      <c r="Q309" s="4874">
        <f t="shared" si="493"/>
        <v>494.11999999999995</v>
      </c>
      <c r="R309" s="5262"/>
      <c r="S309" s="4873">
        <v>0</v>
      </c>
      <c r="T309" s="8067"/>
      <c r="U309" s="4874">
        <f t="shared" si="494"/>
        <v>494.11999999999995</v>
      </c>
      <c r="V309" s="5262"/>
      <c r="W309" s="4873"/>
      <c r="X309" s="6164"/>
      <c r="Y309" s="6140">
        <f t="shared" si="476"/>
        <v>0</v>
      </c>
      <c r="Z309" s="8073"/>
      <c r="AA309" s="7253">
        <f t="shared" si="495"/>
        <v>494.11999999999995</v>
      </c>
      <c r="AB309" s="5262"/>
      <c r="AC309" s="4873">
        <v>63.98</v>
      </c>
      <c r="AD309" s="8067"/>
      <c r="AE309" s="4874">
        <f t="shared" si="496"/>
        <v>558.09999999999991</v>
      </c>
      <c r="AF309" s="5262"/>
      <c r="AG309" s="4873"/>
      <c r="AH309" s="8067"/>
      <c r="AI309" s="4874">
        <f t="shared" si="497"/>
        <v>558.09999999999991</v>
      </c>
      <c r="AJ309" s="5262"/>
      <c r="AK309" s="4873">
        <v>0</v>
      </c>
      <c r="AL309" s="8068"/>
      <c r="AM309" s="4879">
        <f t="shared" si="498"/>
        <v>63.98</v>
      </c>
      <c r="AN309" s="8067"/>
      <c r="AO309" s="4874">
        <f t="shared" si="499"/>
        <v>558.09999999999991</v>
      </c>
      <c r="AP309" s="5262"/>
      <c r="AQ309" s="4873"/>
      <c r="AR309" s="8067"/>
      <c r="AS309" s="4874">
        <f t="shared" si="500"/>
        <v>558.09999999999991</v>
      </c>
      <c r="AT309" s="5262"/>
      <c r="AU309" s="4873">
        <v>305.64</v>
      </c>
      <c r="AV309" s="8067"/>
      <c r="AW309" s="4874">
        <f t="shared" si="501"/>
        <v>863.7399999999999</v>
      </c>
      <c r="AX309" s="5262"/>
      <c r="AY309" s="4873"/>
      <c r="AZ309" s="6164"/>
      <c r="BA309" s="4879">
        <f t="shared" si="484"/>
        <v>305.64</v>
      </c>
      <c r="BB309" s="6164">
        <f t="shared" si="472"/>
        <v>0</v>
      </c>
      <c r="BC309" s="4879">
        <f t="shared" si="473"/>
        <v>369.62</v>
      </c>
      <c r="BD309" s="8073"/>
      <c r="BE309" s="6970">
        <f t="shared" si="485"/>
        <v>863.7399999999999</v>
      </c>
    </row>
    <row r="310" spans="2:57" s="3380" customFormat="1" ht="19" thickBot="1" x14ac:dyDescent="0.25">
      <c r="B310" s="5018" t="s">
        <v>1185</v>
      </c>
      <c r="C310" s="5019" t="s">
        <v>170</v>
      </c>
      <c r="D310" s="5227"/>
      <c r="E310" s="5020">
        <f>SUM(E286:E309)</f>
        <v>14944.759999999982</v>
      </c>
      <c r="F310" s="5227"/>
      <c r="G310" s="5020">
        <f>SUM(G286:G309)</f>
        <v>33483.223999999995</v>
      </c>
      <c r="H310" s="5227"/>
      <c r="I310" s="5020">
        <f>SUM(I286:I309)</f>
        <v>48427.983999999975</v>
      </c>
      <c r="J310" s="5227"/>
      <c r="K310" s="5020">
        <f>SUM(K286:K309)</f>
        <v>59085.046999999955</v>
      </c>
      <c r="L310" s="5227"/>
      <c r="M310" s="5020">
        <f>SUM(M286:M309)</f>
        <v>107513.03099999992</v>
      </c>
      <c r="N310" s="5227"/>
      <c r="O310" s="5020">
        <f>SUM(O286:O309)</f>
        <v>61160.951999999954</v>
      </c>
      <c r="P310" s="5227"/>
      <c r="Q310" s="5020">
        <f>SUM(Q286:Q309)</f>
        <v>168673.98299999983</v>
      </c>
      <c r="R310" s="5227"/>
      <c r="S310" s="5020">
        <f>SUM(S286:S309)-S299</f>
        <v>38499.638999999981</v>
      </c>
      <c r="T310" s="5227"/>
      <c r="U310" s="5020">
        <f>SUM(U286:U309)</f>
        <v>207292.72199999986</v>
      </c>
      <c r="V310" s="5227"/>
      <c r="W310" s="5020">
        <f>SUM(W286:W309)-W299</f>
        <v>12386.9</v>
      </c>
      <c r="X310" s="5227"/>
      <c r="Y310" s="5020">
        <f>SUM(Y286:Y309)</f>
        <v>112166.59099999991</v>
      </c>
      <c r="Z310" s="7254"/>
      <c r="AA310" s="7235">
        <f>SUM(AA286:AA309)</f>
        <v>219679.62199999986</v>
      </c>
      <c r="AB310" s="5227"/>
      <c r="AC310" s="5020">
        <f>SUM(AC286:AC309)-AC299</f>
        <v>3504.07</v>
      </c>
      <c r="AD310" s="5227"/>
      <c r="AE310" s="5020">
        <f>SUM(AE286:AE309)</f>
        <v>223183.69199999984</v>
      </c>
      <c r="AF310" s="5227"/>
      <c r="AG310" s="5020">
        <f>SUM(AG286:AG309)-AG299</f>
        <v>9831.8500000000022</v>
      </c>
      <c r="AH310" s="5227"/>
      <c r="AI310" s="5020">
        <f>SUM(AI286:AI309)</f>
        <v>225045.54199999984</v>
      </c>
      <c r="AJ310" s="5227"/>
      <c r="AK310" s="5020">
        <f>SUM(AK286:AK309)-AK299</f>
        <v>20474.589999999997</v>
      </c>
      <c r="AL310" s="5227"/>
      <c r="AM310" s="5020">
        <f>SUM(AM286:AM309)</f>
        <v>33984.310000000005</v>
      </c>
      <c r="AN310" s="5227"/>
      <c r="AO310" s="5020">
        <f>SUM(AO286:AO309)</f>
        <v>245693.93199999986</v>
      </c>
      <c r="AP310" s="5227"/>
      <c r="AQ310" s="5020">
        <f>SUM(AQ286:AQ309)-AQ299</f>
        <v>20706.479999999989</v>
      </c>
      <c r="AR310" s="5227"/>
      <c r="AS310" s="5020">
        <f>SUM(AS286:AS309)</f>
        <v>266441.49199999985</v>
      </c>
      <c r="AT310" s="5227"/>
      <c r="AU310" s="5020">
        <f>SUM(AU286:AU309)-AU299</f>
        <v>19135.599999999999</v>
      </c>
      <c r="AV310" s="5227"/>
      <c r="AW310" s="5020">
        <f>SUM(AW286:AW309)</f>
        <v>285577.09199999989</v>
      </c>
      <c r="AX310" s="5227"/>
      <c r="AY310" s="5020">
        <f>SUM(AY286:AY309)-AY299</f>
        <v>40151.51999999999</v>
      </c>
      <c r="AZ310" s="5227"/>
      <c r="BA310" s="5020">
        <f>SUM(BA286:BA309)</f>
        <v>80034.680000000008</v>
      </c>
      <c r="BB310" s="5227">
        <f t="shared" si="472"/>
        <v>0</v>
      </c>
      <c r="BC310" s="5020">
        <f t="shared" si="473"/>
        <v>114018.99000000002</v>
      </c>
      <c r="BD310" s="7254"/>
      <c r="BE310" s="7235">
        <f>SUM(BE286:BE309)</f>
        <v>325728.61199999979</v>
      </c>
    </row>
    <row r="311" spans="2:57" s="3380" customFormat="1" ht="38.25" customHeight="1" thickBot="1" x14ac:dyDescent="0.25">
      <c r="B311" s="5021" t="s">
        <v>1740</v>
      </c>
      <c r="C311" s="5019" t="s">
        <v>170</v>
      </c>
      <c r="D311" s="5228"/>
      <c r="E311" s="5022">
        <f>+E298+E267</f>
        <v>0</v>
      </c>
      <c r="F311" s="5228"/>
      <c r="G311" s="5022">
        <f>+G298+G267</f>
        <v>2126.39</v>
      </c>
      <c r="H311" s="5228"/>
      <c r="I311" s="5022">
        <f>+I298+I267</f>
        <v>2126.39</v>
      </c>
      <c r="J311" s="5228"/>
      <c r="K311" s="5022">
        <f>+K298+K267</f>
        <v>4977.72</v>
      </c>
      <c r="L311" s="5228"/>
      <c r="M311" s="5022">
        <f>+M298+M267</f>
        <v>7104.11</v>
      </c>
      <c r="N311" s="5228"/>
      <c r="O311" s="5022">
        <f>+O298+O267</f>
        <v>2063.21</v>
      </c>
      <c r="P311" s="5228"/>
      <c r="Q311" s="5022">
        <f>+Q298+Q267</f>
        <v>9167.32</v>
      </c>
      <c r="R311" s="5228"/>
      <c r="S311" s="5022">
        <f>+S298+S267+S299</f>
        <v>2756.6099999999997</v>
      </c>
      <c r="T311" s="5228"/>
      <c r="U311" s="5022">
        <f>+U298+U267</f>
        <v>11804.829999999998</v>
      </c>
      <c r="V311" s="5228"/>
      <c r="W311" s="5022">
        <f>+W298+W267+W299</f>
        <v>2569.6799999999998</v>
      </c>
      <c r="X311" s="5228"/>
      <c r="Y311" s="5022">
        <f>O311+S311+W311</f>
        <v>7389.5</v>
      </c>
      <c r="Z311" s="7255"/>
      <c r="AA311" s="7237">
        <f>+AA298+AA267</f>
        <v>14374.509999999998</v>
      </c>
      <c r="AB311" s="5228"/>
      <c r="AC311" s="5022">
        <f>+AC298+AC267+AC299</f>
        <v>2544.15</v>
      </c>
      <c r="AD311" s="5228"/>
      <c r="AE311" s="5022">
        <f>+AE298+AE267</f>
        <v>16918.659999999996</v>
      </c>
      <c r="AF311" s="5228"/>
      <c r="AG311" s="5022">
        <f>+AG298+AG267+AG299</f>
        <v>2986.33</v>
      </c>
      <c r="AH311" s="5228"/>
      <c r="AI311" s="5022">
        <f>+AI298+AI267</f>
        <v>19904.989999999998</v>
      </c>
      <c r="AJ311" s="5228"/>
      <c r="AK311" s="5022">
        <f>+AK298+AK267+AK299</f>
        <v>2438.11</v>
      </c>
      <c r="AL311" s="5228"/>
      <c r="AM311" s="5022">
        <f>AC311+AG311+AK311</f>
        <v>7968.59</v>
      </c>
      <c r="AN311" s="5228"/>
      <c r="AO311" s="5022">
        <f>+AO298+AO267</f>
        <v>22169.299999999996</v>
      </c>
      <c r="AP311" s="5228"/>
      <c r="AQ311" s="5022">
        <f>+AQ298+AQ267+AQ299</f>
        <v>3556.32</v>
      </c>
      <c r="AR311" s="5228"/>
      <c r="AS311" s="5022">
        <f>+AS298+AS267</f>
        <v>25684.539999999997</v>
      </c>
      <c r="AT311" s="5228"/>
      <c r="AU311" s="5022">
        <f>+AU298+AU267+AU299</f>
        <v>613.39</v>
      </c>
      <c r="AV311" s="5228"/>
      <c r="AW311" s="5022">
        <f>+AW298+AW267</f>
        <v>26297.929999999997</v>
      </c>
      <c r="AX311" s="5228"/>
      <c r="AY311" s="5022">
        <f>+AY298+AY267+AY299</f>
        <v>5075.6099999999997</v>
      </c>
      <c r="AZ311" s="5228"/>
      <c r="BA311" s="5022">
        <f t="shared" si="484"/>
        <v>9245.32</v>
      </c>
      <c r="BB311" s="5228">
        <f t="shared" si="472"/>
        <v>0</v>
      </c>
      <c r="BC311" s="5022">
        <f t="shared" si="473"/>
        <v>17213.91</v>
      </c>
      <c r="BD311" s="7255"/>
      <c r="BE311" s="7237">
        <f>+BE298+BE267</f>
        <v>31373.539999999997</v>
      </c>
    </row>
    <row r="312" spans="2:57" s="3380" customFormat="1" ht="19" thickBot="1" x14ac:dyDescent="0.25">
      <c r="B312" s="5023" t="s">
        <v>1186</v>
      </c>
      <c r="C312" s="5024" t="s">
        <v>170</v>
      </c>
      <c r="D312" s="4020">
        <f>+D30</f>
        <v>94808</v>
      </c>
      <c r="E312" s="5025">
        <f>+E310+E284</f>
        <v>40972.319999999985</v>
      </c>
      <c r="F312" s="4020">
        <f>+F30</f>
        <v>65936.95</v>
      </c>
      <c r="G312" s="5025">
        <f>+G310+G284</f>
        <v>99806.986000000004</v>
      </c>
      <c r="H312" s="4020">
        <f>+H30</f>
        <v>160744.95000000001</v>
      </c>
      <c r="I312" s="5025">
        <f>+I310+I284</f>
        <v>140779.30599999998</v>
      </c>
      <c r="J312" s="4020">
        <f>+J30</f>
        <v>77842</v>
      </c>
      <c r="K312" s="5025">
        <f>+K310+K284</f>
        <v>149726.08099999992</v>
      </c>
      <c r="L312" s="4020">
        <f>+L30</f>
        <v>238586.95</v>
      </c>
      <c r="M312" s="5025">
        <f>+M310+M284</f>
        <v>290505.38699999987</v>
      </c>
      <c r="N312" s="4020">
        <f>+N30</f>
        <v>119500</v>
      </c>
      <c r="O312" s="5025">
        <f>+O310+O284</f>
        <v>127595.72999999995</v>
      </c>
      <c r="P312" s="4020">
        <f>+P30</f>
        <v>358086.95</v>
      </c>
      <c r="Q312" s="5025">
        <f>+Q310+Q284</f>
        <v>418101.11699999974</v>
      </c>
      <c r="R312" s="4020">
        <f>+R30</f>
        <v>122000</v>
      </c>
      <c r="S312" s="5025">
        <f>+S310+S284+S299</f>
        <v>106694.47499999998</v>
      </c>
      <c r="T312" s="4020">
        <f>+T30</f>
        <v>480086.95</v>
      </c>
      <c r="U312" s="5025">
        <f>+U310+U284</f>
        <v>524795.59199999971</v>
      </c>
      <c r="V312" s="4020">
        <f>+V30</f>
        <v>121000</v>
      </c>
      <c r="W312" s="5025">
        <f>+W310+W284+W299</f>
        <v>38402.589999999997</v>
      </c>
      <c r="X312" s="4020">
        <f>+X30</f>
        <v>362500</v>
      </c>
      <c r="Y312" s="5025">
        <f>+Y310+Y284</f>
        <v>272692.79499999993</v>
      </c>
      <c r="Z312" s="6521">
        <f>+Z30</f>
        <v>601086.94999999995</v>
      </c>
      <c r="AA312" s="7239">
        <f>+AA310+AA284</f>
        <v>563198.18199999968</v>
      </c>
      <c r="AB312" s="4020">
        <f>+AB30</f>
        <v>9175.3772204806719</v>
      </c>
      <c r="AC312" s="5025">
        <f>+AC310+AC284+AC299</f>
        <v>11388.03</v>
      </c>
      <c r="AD312" s="4020">
        <f>+AD30</f>
        <v>610262.32722048066</v>
      </c>
      <c r="AE312" s="5025">
        <f>+AE310+AE284</f>
        <v>574586.21199999971</v>
      </c>
      <c r="AF312" s="4020">
        <f>+AF30</f>
        <v>52506.09887418367</v>
      </c>
      <c r="AG312" s="5025">
        <f>+AG310+AG284+AG299</f>
        <v>44032.619999999995</v>
      </c>
      <c r="AH312" s="4020">
        <f>+AH30</f>
        <v>662768.42609466438</v>
      </c>
      <c r="AI312" s="5025">
        <f>+AI310+AI284</f>
        <v>610648.8319999997</v>
      </c>
      <c r="AJ312" s="4020">
        <f>+AJ30</f>
        <v>69677.646181181786</v>
      </c>
      <c r="AK312" s="5025">
        <f>+AK310+AK284+AK299</f>
        <v>71979.420000000013</v>
      </c>
      <c r="AL312" s="4020">
        <f>+AL30</f>
        <v>131359.12227584614</v>
      </c>
      <c r="AM312" s="5025">
        <f>+AM310+AM284</f>
        <v>127400.07</v>
      </c>
      <c r="AN312" s="4020">
        <f>+AN30</f>
        <v>732446.07227584615</v>
      </c>
      <c r="AO312" s="5025">
        <f>+AO310+AO284</f>
        <v>682628.25199999986</v>
      </c>
      <c r="AP312" s="4020">
        <f>+AP30</f>
        <v>61266.703400687926</v>
      </c>
      <c r="AQ312" s="5025">
        <f>+AQ310+AQ284+AQ299</f>
        <v>88384.219999999958</v>
      </c>
      <c r="AR312" s="4020">
        <f>+AR30</f>
        <v>793712.77567653405</v>
      </c>
      <c r="AS312" s="5025">
        <f>+AS310+AS284</f>
        <v>771012.47199999972</v>
      </c>
      <c r="AT312" s="4020">
        <f>+AT30</f>
        <v>55498</v>
      </c>
      <c r="AU312" s="5025">
        <f>+AU310+AU284+AU299</f>
        <v>82301.5</v>
      </c>
      <c r="AV312" s="4020">
        <f>+AV30</f>
        <v>849210.77567653405</v>
      </c>
      <c r="AW312" s="5025">
        <f>+AW310+AW284</f>
        <v>853313.97199999983</v>
      </c>
      <c r="AX312" s="4020">
        <f>+AX30</f>
        <v>55223</v>
      </c>
      <c r="AY312" s="5025">
        <f>+AY310+AY284+AY299</f>
        <v>122901.65999999999</v>
      </c>
      <c r="AZ312" s="4020">
        <f>+AZ30</f>
        <v>171987.70340068793</v>
      </c>
      <c r="BA312" s="5025">
        <f>+BA310+BA284</f>
        <v>293587.37999999995</v>
      </c>
      <c r="BB312" s="4020">
        <f t="shared" si="472"/>
        <v>303346.82567653409</v>
      </c>
      <c r="BC312" s="5025">
        <f t="shared" si="473"/>
        <v>420987.44999999995</v>
      </c>
      <c r="BD312" s="6521">
        <f>+BD30</f>
        <v>904433.77567653405</v>
      </c>
      <c r="BE312" s="7239">
        <f>+BE310+BE284</f>
        <v>976215.63199999952</v>
      </c>
    </row>
    <row r="313" spans="2:57" s="3380" customFormat="1" ht="18" x14ac:dyDescent="0.2">
      <c r="B313" s="5052" t="s">
        <v>819</v>
      </c>
      <c r="C313" s="3290"/>
      <c r="D313" s="5754"/>
      <c r="E313" s="5755"/>
      <c r="F313" s="5754"/>
      <c r="G313" s="5755"/>
      <c r="H313" s="3435"/>
      <c r="I313" s="5755"/>
      <c r="J313" s="3435"/>
      <c r="K313" s="5755"/>
      <c r="L313" s="3435"/>
      <c r="M313" s="5755"/>
      <c r="N313" s="3435"/>
      <c r="O313" s="5755"/>
      <c r="P313" s="3435"/>
      <c r="Q313" s="5755"/>
      <c r="R313" s="3435"/>
      <c r="S313" s="5755"/>
      <c r="T313" s="3435"/>
      <c r="U313" s="5755"/>
      <c r="V313" s="3435"/>
      <c r="W313" s="5755"/>
      <c r="X313" s="3435"/>
      <c r="Y313" s="5755"/>
      <c r="Z313" s="3435"/>
      <c r="AA313" s="5755"/>
      <c r="AB313" s="3435"/>
      <c r="AC313" s="5755"/>
      <c r="AD313" s="3435"/>
      <c r="AE313" s="5755"/>
      <c r="AF313" s="3435"/>
      <c r="AG313" s="5755"/>
      <c r="AH313" s="3435"/>
      <c r="AI313" s="5755"/>
      <c r="AJ313" s="3435"/>
      <c r="AK313" s="5755"/>
      <c r="AL313" s="3435"/>
      <c r="AM313" s="5755"/>
      <c r="AN313" s="3435"/>
      <c r="AO313" s="5755"/>
      <c r="AP313" s="3435"/>
      <c r="AQ313" s="5755"/>
      <c r="AR313" s="3435"/>
      <c r="AS313" s="5755"/>
      <c r="AT313" s="3435"/>
      <c r="AU313" s="5755"/>
      <c r="AV313" s="3435"/>
      <c r="AW313" s="5755"/>
      <c r="AX313" s="3435"/>
      <c r="AY313" s="5755"/>
      <c r="AZ313" s="3435"/>
      <c r="BA313" s="5755"/>
      <c r="BB313" s="3435"/>
      <c r="BC313" s="5755"/>
      <c r="BD313" s="3435"/>
      <c r="BE313" s="5755"/>
    </row>
    <row r="314" spans="2:57" s="3380" customFormat="1" ht="18" x14ac:dyDescent="0.2">
      <c r="B314" s="5757" t="s">
        <v>820</v>
      </c>
      <c r="C314" s="5056"/>
      <c r="D314" s="5758"/>
      <c r="E314" s="7265"/>
      <c r="F314" s="5758"/>
      <c r="G314" s="7265"/>
      <c r="H314" s="3760"/>
      <c r="I314" s="7265"/>
      <c r="J314" s="3760"/>
      <c r="K314" s="7265"/>
      <c r="L314" s="3760"/>
      <c r="M314" s="7265"/>
      <c r="N314" s="3760"/>
      <c r="O314" s="7265"/>
      <c r="P314" s="3760"/>
      <c r="Q314" s="7265"/>
      <c r="R314" s="3760"/>
      <c r="S314" s="7265"/>
      <c r="T314" s="3760"/>
      <c r="U314" s="7265"/>
      <c r="V314" s="3760"/>
      <c r="W314" s="7265"/>
      <c r="X314" s="3760"/>
      <c r="Y314" s="7265"/>
      <c r="Z314" s="3760"/>
      <c r="AA314" s="7265"/>
      <c r="AB314" s="3760"/>
      <c r="AC314" s="7265"/>
      <c r="AD314" s="3760"/>
      <c r="AE314" s="7265"/>
      <c r="AF314" s="3760"/>
      <c r="AG314" s="7265"/>
      <c r="AH314" s="3760"/>
      <c r="AI314" s="7265"/>
      <c r="AJ314" s="3760"/>
      <c r="AK314" s="7265"/>
      <c r="AL314" s="3760"/>
      <c r="AM314" s="7265"/>
      <c r="AN314" s="3760"/>
      <c r="AO314" s="7265"/>
      <c r="AP314" s="3760"/>
      <c r="AQ314" s="7265"/>
      <c r="AR314" s="3760"/>
      <c r="AS314" s="7265"/>
      <c r="AT314" s="3760"/>
      <c r="AU314" s="7265"/>
      <c r="AV314" s="3760"/>
      <c r="AW314" s="7265"/>
      <c r="AX314" s="3760"/>
      <c r="AY314" s="7265"/>
      <c r="AZ314" s="3760"/>
      <c r="BA314" s="7265"/>
      <c r="BB314" s="3760"/>
      <c r="BC314" s="7265"/>
      <c r="BD314" s="3760"/>
      <c r="BE314" s="7265"/>
    </row>
    <row r="315" spans="2:57" ht="18" x14ac:dyDescent="0.2">
      <c r="B315" s="3995" t="s">
        <v>246</v>
      </c>
      <c r="C315" s="4010" t="s">
        <v>170</v>
      </c>
      <c r="D315" s="4015">
        <f>+'Maj Desp Summ'!D25</f>
        <v>3047</v>
      </c>
      <c r="E315" s="4453">
        <v>0</v>
      </c>
      <c r="F315" s="4015">
        <f>+'Maj Desp Summ'!F25</f>
        <v>2899</v>
      </c>
      <c r="G315" s="4453">
        <v>20776.959999999995</v>
      </c>
      <c r="H315" s="7137">
        <f t="shared" ref="H315:I317" si="502">+D315+F315</f>
        <v>5946</v>
      </c>
      <c r="I315" s="4466">
        <f t="shared" si="502"/>
        <v>20776.959999999995</v>
      </c>
      <c r="J315" s="5775">
        <f>+'Maj Desp Summ'!J25</f>
        <v>3951.439913043489</v>
      </c>
      <c r="K315" s="4453">
        <v>0</v>
      </c>
      <c r="L315" s="7145">
        <f t="shared" ref="L315:L317" si="503">+H315+J315</f>
        <v>9897.4399130434886</v>
      </c>
      <c r="M315" s="4854">
        <f t="shared" ref="M315:M317" si="504">+I315+K315</f>
        <v>20776.959999999995</v>
      </c>
      <c r="N315" s="5775">
        <f>+'Maj Desp Summ'!N25</f>
        <v>0</v>
      </c>
      <c r="O315" s="4453">
        <v>0</v>
      </c>
      <c r="P315" s="7137">
        <f t="shared" ref="P315:P317" si="505">+L315+N315</f>
        <v>9897.4399130434886</v>
      </c>
      <c r="Q315" s="4466">
        <f t="shared" ref="Q315:Q317" si="506">+M315+O315</f>
        <v>20776.959999999995</v>
      </c>
      <c r="R315" s="5775">
        <f>+'Maj Desp Summ'!R25</f>
        <v>0</v>
      </c>
      <c r="S315" s="4453">
        <v>0</v>
      </c>
      <c r="T315" s="7137">
        <f t="shared" ref="T315:T317" si="507">+P315+R315</f>
        <v>9897.4399130434886</v>
      </c>
      <c r="U315" s="4466">
        <f t="shared" ref="U315:U317" si="508">+Q315+S315</f>
        <v>20776.959999999995</v>
      </c>
      <c r="V315" s="5775">
        <f>+'Maj Desp Summ'!V25</f>
        <v>0</v>
      </c>
      <c r="W315" s="4453">
        <v>0</v>
      </c>
      <c r="X315" s="7145">
        <f>N315+R315+V315</f>
        <v>0</v>
      </c>
      <c r="Y315" s="4854">
        <f>O315+S315+W315</f>
        <v>0</v>
      </c>
      <c r="Z315" s="6961">
        <f t="shared" ref="Z315:Z317" si="509">+T315+V315</f>
        <v>9897.4399130434886</v>
      </c>
      <c r="AA315" s="7231">
        <f t="shared" ref="AA315:AA317" si="510">+U315+W315</f>
        <v>20776.959999999995</v>
      </c>
      <c r="AB315" s="5775">
        <f>+'Maj Desp Summ'!AB25</f>
        <v>2130.1605375000004</v>
      </c>
      <c r="AC315" s="4453">
        <v>0</v>
      </c>
      <c r="AD315" s="7308">
        <f t="shared" ref="AD315:AD317" si="511">+Z315+AB315</f>
        <v>12027.600450543488</v>
      </c>
      <c r="AE315" s="4466">
        <f t="shared" ref="AE315:AE317" si="512">+AA315+AC315</f>
        <v>20776.959999999995</v>
      </c>
      <c r="AF315" s="5775">
        <f>+'Maj Desp Summ'!AF25</f>
        <v>1873.1932324999893</v>
      </c>
      <c r="AG315" s="4453">
        <v>0</v>
      </c>
      <c r="AH315" s="7567">
        <f t="shared" ref="AH315:AH317" si="513">+AD315+AF315</f>
        <v>13900.793683043477</v>
      </c>
      <c r="AI315" s="4466">
        <f t="shared" ref="AI315:AI317" si="514">+AE315+AG315</f>
        <v>20776.959999999995</v>
      </c>
      <c r="AJ315" s="5775">
        <f>+'Maj Desp Summ'!AJ25</f>
        <v>2501.7112849999949</v>
      </c>
      <c r="AK315" s="4453">
        <v>0</v>
      </c>
      <c r="AL315" s="7714">
        <f>AB315+AF315+AJ315</f>
        <v>6505.0650549999846</v>
      </c>
      <c r="AM315" s="4854">
        <f>AC315+AG315+AK315</f>
        <v>0</v>
      </c>
      <c r="AN315" s="7723">
        <f t="shared" ref="AN315:AN317" si="515">+AH315+AJ315</f>
        <v>16402.504968043471</v>
      </c>
      <c r="AO315" s="4466">
        <f t="shared" ref="AO315:AO317" si="516">+AI315+AK315</f>
        <v>20776.959999999995</v>
      </c>
      <c r="AP315" s="5775">
        <f>+'Maj Desp Summ'!AP25</f>
        <v>2379.1398862500109</v>
      </c>
      <c r="AQ315" s="4453">
        <v>0</v>
      </c>
      <c r="AR315" s="8029">
        <f t="shared" ref="AR315:AR317" si="517">+AN315+AP315</f>
        <v>18781.644854293481</v>
      </c>
      <c r="AS315" s="4466">
        <f t="shared" ref="AS315:AS317" si="518">+AO315+AQ315</f>
        <v>20776.959999999995</v>
      </c>
      <c r="AT315" s="5775">
        <f>+'Maj Desp Summ'!AT25</f>
        <v>492</v>
      </c>
      <c r="AU315" s="4453">
        <v>0</v>
      </c>
      <c r="AV315" s="8226">
        <f t="shared" ref="AV315:AV317" si="519">+AR315+AT315</f>
        <v>19273.644854293481</v>
      </c>
      <c r="AW315" s="4466">
        <f t="shared" ref="AW315:AW317" si="520">+AS315+AU315</f>
        <v>20776.959999999995</v>
      </c>
      <c r="AX315" s="5775">
        <f>+'Maj Desp Summ'!AX25</f>
        <v>1481</v>
      </c>
      <c r="AY315" s="4453">
        <v>0</v>
      </c>
      <c r="AZ315" s="8295">
        <f>AP315+AT315+AX315</f>
        <v>4352.1398862500109</v>
      </c>
      <c r="BA315" s="4854">
        <f>AQ315+AU315+AY315</f>
        <v>0</v>
      </c>
      <c r="BB315" s="8295">
        <f t="shared" ref="BB315:BB329" si="521">+AZ315+AL315</f>
        <v>10857.204941249995</v>
      </c>
      <c r="BC315" s="4854">
        <f t="shared" ref="BC315:BC329" si="522">+BA315+AM315</f>
        <v>0</v>
      </c>
      <c r="BD315" s="8307">
        <f t="shared" ref="BD315:BD317" si="523">+AV315+AX315</f>
        <v>20754.644854293481</v>
      </c>
      <c r="BE315" s="7231">
        <f t="shared" ref="BE315:BE317" si="524">+AW315+AY315</f>
        <v>20776.959999999995</v>
      </c>
    </row>
    <row r="316" spans="2:57" ht="18" x14ac:dyDescent="0.2">
      <c r="B316" s="3998" t="s">
        <v>2088</v>
      </c>
      <c r="C316" s="4010" t="s">
        <v>170</v>
      </c>
      <c r="D316" s="5201">
        <v>0</v>
      </c>
      <c r="E316" s="4453">
        <v>0</v>
      </c>
      <c r="F316" s="7149">
        <v>0</v>
      </c>
      <c r="G316" s="4453">
        <v>0</v>
      </c>
      <c r="H316" s="7137">
        <f t="shared" si="502"/>
        <v>0</v>
      </c>
      <c r="I316" s="4466">
        <f t="shared" si="502"/>
        <v>0</v>
      </c>
      <c r="J316" s="7275">
        <v>0</v>
      </c>
      <c r="K316" s="4453">
        <v>7691</v>
      </c>
      <c r="L316" s="7145">
        <f t="shared" si="503"/>
        <v>0</v>
      </c>
      <c r="M316" s="4854">
        <f t="shared" si="504"/>
        <v>7691</v>
      </c>
      <c r="N316" s="7275">
        <v>0</v>
      </c>
      <c r="O316" s="4453">
        <v>6302.3899999999994</v>
      </c>
      <c r="P316" s="7137">
        <f t="shared" si="505"/>
        <v>0</v>
      </c>
      <c r="Q316" s="4466">
        <f t="shared" si="506"/>
        <v>13993.39</v>
      </c>
      <c r="R316" s="7275">
        <v>0</v>
      </c>
      <c r="S316" s="4453">
        <v>7754.6899999999987</v>
      </c>
      <c r="T316" s="7137">
        <f t="shared" si="507"/>
        <v>0</v>
      </c>
      <c r="U316" s="4466">
        <f t="shared" si="508"/>
        <v>21748.079999999998</v>
      </c>
      <c r="V316" s="7275">
        <v>0</v>
      </c>
      <c r="W316" s="4453">
        <v>5957.6900000000014</v>
      </c>
      <c r="X316" s="7145">
        <f t="shared" ref="X316:X317" si="525">N316+R316+V316</f>
        <v>0</v>
      </c>
      <c r="Y316" s="4854">
        <f t="shared" ref="Y316:Y317" si="526">O316+S316+W316</f>
        <v>20014.77</v>
      </c>
      <c r="Z316" s="6961">
        <f t="shared" si="509"/>
        <v>0</v>
      </c>
      <c r="AA316" s="7231">
        <f t="shared" si="510"/>
        <v>27705.77</v>
      </c>
      <c r="AB316" s="7275">
        <v>0</v>
      </c>
      <c r="AC316" s="4453">
        <v>4510.619999999999</v>
      </c>
      <c r="AD316" s="7308">
        <f t="shared" si="511"/>
        <v>0</v>
      </c>
      <c r="AE316" s="4466">
        <f t="shared" si="512"/>
        <v>32216.39</v>
      </c>
      <c r="AF316" s="7275">
        <v>0</v>
      </c>
      <c r="AG316" s="4453">
        <v>9056.14</v>
      </c>
      <c r="AH316" s="7567">
        <f t="shared" si="513"/>
        <v>0</v>
      </c>
      <c r="AI316" s="4466">
        <f t="shared" si="514"/>
        <v>41272.53</v>
      </c>
      <c r="AJ316" s="7275"/>
      <c r="AK316" s="4453">
        <v>8811.57</v>
      </c>
      <c r="AL316" s="7714">
        <f t="shared" ref="AL316:AL317" si="527">AB316+AF316+AJ316</f>
        <v>0</v>
      </c>
      <c r="AM316" s="4854">
        <f t="shared" ref="AM316:AM317" si="528">AC316+AG316+AK316</f>
        <v>22378.329999999998</v>
      </c>
      <c r="AN316" s="7723">
        <f t="shared" si="515"/>
        <v>0</v>
      </c>
      <c r="AO316" s="4466">
        <f t="shared" si="516"/>
        <v>50084.1</v>
      </c>
      <c r="AP316" s="7275"/>
      <c r="AQ316" s="4453">
        <v>2182.92</v>
      </c>
      <c r="AR316" s="8029">
        <f t="shared" si="517"/>
        <v>0</v>
      </c>
      <c r="AS316" s="4466">
        <f t="shared" si="518"/>
        <v>52267.02</v>
      </c>
      <c r="AT316" s="7275"/>
      <c r="AU316" s="4453">
        <v>4417.97</v>
      </c>
      <c r="AV316" s="8226">
        <f t="shared" si="519"/>
        <v>0</v>
      </c>
      <c r="AW316" s="4466">
        <f t="shared" si="520"/>
        <v>56684.99</v>
      </c>
      <c r="AX316" s="7275"/>
      <c r="AY316" s="4453">
        <v>2540.23</v>
      </c>
      <c r="AZ316" s="8295">
        <f t="shared" ref="AZ316:AZ317" si="529">AP316+AT316+AX316</f>
        <v>0</v>
      </c>
      <c r="BA316" s="4854">
        <f t="shared" ref="BA316:BA317" si="530">AQ316+AU316+AY316</f>
        <v>9141.1200000000008</v>
      </c>
      <c r="BB316" s="8295">
        <f t="shared" si="521"/>
        <v>0</v>
      </c>
      <c r="BC316" s="4854">
        <f t="shared" si="522"/>
        <v>31519.449999999997</v>
      </c>
      <c r="BD316" s="8307">
        <f t="shared" si="523"/>
        <v>0</v>
      </c>
      <c r="BE316" s="7231">
        <f t="shared" si="524"/>
        <v>59225.22</v>
      </c>
    </row>
    <row r="317" spans="2:57" ht="19" thickBot="1" x14ac:dyDescent="0.25">
      <c r="B317" s="3998" t="s">
        <v>503</v>
      </c>
      <c r="C317" s="4820" t="s">
        <v>170</v>
      </c>
      <c r="D317" s="5201">
        <v>0</v>
      </c>
      <c r="E317" s="4454">
        <v>0</v>
      </c>
      <c r="F317" s="7149">
        <v>0</v>
      </c>
      <c r="G317" s="4454">
        <v>0</v>
      </c>
      <c r="H317" s="7135">
        <f t="shared" si="502"/>
        <v>0</v>
      </c>
      <c r="I317" s="7266">
        <f t="shared" si="502"/>
        <v>0</v>
      </c>
      <c r="J317" s="7276">
        <v>0</v>
      </c>
      <c r="K317" s="4454">
        <v>0</v>
      </c>
      <c r="L317" s="7148">
        <f t="shared" si="503"/>
        <v>0</v>
      </c>
      <c r="M317" s="7267">
        <f t="shared" si="504"/>
        <v>0</v>
      </c>
      <c r="N317" s="7276">
        <v>0</v>
      </c>
      <c r="O317" s="4454">
        <v>0</v>
      </c>
      <c r="P317" s="7135">
        <f t="shared" si="505"/>
        <v>0</v>
      </c>
      <c r="Q317" s="7266">
        <f t="shared" si="506"/>
        <v>0</v>
      </c>
      <c r="R317" s="7276">
        <v>0</v>
      </c>
      <c r="S317" s="4454">
        <v>0</v>
      </c>
      <c r="T317" s="7135">
        <f t="shared" si="507"/>
        <v>0</v>
      </c>
      <c r="U317" s="7266">
        <f t="shared" si="508"/>
        <v>0</v>
      </c>
      <c r="V317" s="7276">
        <v>0</v>
      </c>
      <c r="W317" s="4454">
        <v>0</v>
      </c>
      <c r="X317" s="7145">
        <f t="shared" si="525"/>
        <v>0</v>
      </c>
      <c r="Y317" s="4854">
        <f t="shared" si="526"/>
        <v>0</v>
      </c>
      <c r="Z317" s="7277">
        <f t="shared" si="509"/>
        <v>0</v>
      </c>
      <c r="AA317" s="7268">
        <f t="shared" si="510"/>
        <v>0</v>
      </c>
      <c r="AB317" s="7307">
        <v>0</v>
      </c>
      <c r="AC317" s="4454">
        <v>0</v>
      </c>
      <c r="AD317" s="7297">
        <f t="shared" si="511"/>
        <v>0</v>
      </c>
      <c r="AE317" s="7266">
        <f t="shared" si="512"/>
        <v>0</v>
      </c>
      <c r="AF317" s="7563">
        <v>0</v>
      </c>
      <c r="AG317" s="4454">
        <v>0</v>
      </c>
      <c r="AH317" s="7564">
        <f t="shared" si="513"/>
        <v>0</v>
      </c>
      <c r="AI317" s="7266">
        <f t="shared" si="514"/>
        <v>0</v>
      </c>
      <c r="AJ317" s="7710"/>
      <c r="AK317" s="4454">
        <v>0</v>
      </c>
      <c r="AL317" s="7714">
        <f t="shared" si="527"/>
        <v>0</v>
      </c>
      <c r="AM317" s="4854">
        <f t="shared" si="528"/>
        <v>0</v>
      </c>
      <c r="AN317" s="7720">
        <f t="shared" si="515"/>
        <v>0</v>
      </c>
      <c r="AO317" s="7266">
        <f t="shared" si="516"/>
        <v>0</v>
      </c>
      <c r="AP317" s="8035"/>
      <c r="AQ317" s="4454">
        <v>0</v>
      </c>
      <c r="AR317" s="8031">
        <f t="shared" si="517"/>
        <v>0</v>
      </c>
      <c r="AS317" s="7266">
        <f t="shared" si="518"/>
        <v>0</v>
      </c>
      <c r="AT317" s="8220"/>
      <c r="AU317" s="4454">
        <v>0</v>
      </c>
      <c r="AV317" s="8221">
        <f t="shared" si="519"/>
        <v>0</v>
      </c>
      <c r="AW317" s="7266">
        <f t="shared" si="520"/>
        <v>0</v>
      </c>
      <c r="AX317" s="8290"/>
      <c r="AY317" s="4454">
        <v>0</v>
      </c>
      <c r="AZ317" s="8295">
        <f t="shared" si="529"/>
        <v>0</v>
      </c>
      <c r="BA317" s="4854">
        <f t="shared" si="530"/>
        <v>0</v>
      </c>
      <c r="BB317" s="8295">
        <f t="shared" si="521"/>
        <v>0</v>
      </c>
      <c r="BC317" s="4854">
        <f t="shared" si="522"/>
        <v>0</v>
      </c>
      <c r="BD317" s="8303">
        <f t="shared" si="523"/>
        <v>0</v>
      </c>
      <c r="BE317" s="7268">
        <f t="shared" si="524"/>
        <v>0</v>
      </c>
    </row>
    <row r="318" spans="2:57" ht="19" thickBot="1" x14ac:dyDescent="0.25">
      <c r="B318" s="4875" t="s">
        <v>15</v>
      </c>
      <c r="C318" s="2963" t="s">
        <v>170</v>
      </c>
      <c r="D318" s="1735">
        <f t="shared" ref="D318:I318" si="531">SUM(D315:D317)</f>
        <v>3047</v>
      </c>
      <c r="E318" s="3205">
        <f t="shared" si="531"/>
        <v>0</v>
      </c>
      <c r="F318" s="1735">
        <f t="shared" ref="F318:G318" si="532">SUM(F315:F317)</f>
        <v>2899</v>
      </c>
      <c r="G318" s="3205">
        <f t="shared" si="532"/>
        <v>20776.959999999995</v>
      </c>
      <c r="H318" s="2555">
        <f t="shared" si="531"/>
        <v>5946</v>
      </c>
      <c r="I318" s="4400">
        <f t="shared" si="531"/>
        <v>20776.959999999995</v>
      </c>
      <c r="J318" s="1734">
        <f t="shared" ref="J318:K318" si="533">SUM(J315:J317)</f>
        <v>3951.439913043489</v>
      </c>
      <c r="K318" s="3205">
        <f t="shared" si="533"/>
        <v>7691</v>
      </c>
      <c r="L318" s="2556">
        <f t="shared" ref="L318:O318" si="534">SUM(L315:L317)</f>
        <v>9897.4399130434886</v>
      </c>
      <c r="M318" s="5740">
        <f t="shared" si="534"/>
        <v>28467.959999999995</v>
      </c>
      <c r="N318" s="1734">
        <f t="shared" si="534"/>
        <v>0</v>
      </c>
      <c r="O318" s="3205">
        <f t="shared" si="534"/>
        <v>6302.3899999999994</v>
      </c>
      <c r="P318" s="2555">
        <f t="shared" ref="P318:S318" si="535">SUM(P315:P317)</f>
        <v>9897.4399130434886</v>
      </c>
      <c r="Q318" s="4400">
        <f t="shared" si="535"/>
        <v>34770.349999999991</v>
      </c>
      <c r="R318" s="1734">
        <f t="shared" si="535"/>
        <v>0</v>
      </c>
      <c r="S318" s="3205">
        <f t="shared" si="535"/>
        <v>7754.6899999999987</v>
      </c>
      <c r="T318" s="2555">
        <f t="shared" ref="T318:Y318" si="536">SUM(T315:T317)</f>
        <v>9897.4399130434886</v>
      </c>
      <c r="U318" s="4400">
        <f t="shared" si="536"/>
        <v>42525.039999999994</v>
      </c>
      <c r="V318" s="1734">
        <f t="shared" si="536"/>
        <v>0</v>
      </c>
      <c r="W318" s="3205">
        <f t="shared" si="536"/>
        <v>5957.6900000000014</v>
      </c>
      <c r="X318" s="2556">
        <f t="shared" si="536"/>
        <v>0</v>
      </c>
      <c r="Y318" s="5740">
        <f t="shared" si="536"/>
        <v>20014.77</v>
      </c>
      <c r="Z318" s="6521">
        <f t="shared" ref="Z318:AM318" si="537">SUM(Z315:Z317)</f>
        <v>9897.4399130434886</v>
      </c>
      <c r="AA318" s="7233">
        <f t="shared" si="537"/>
        <v>48482.729999999996</v>
      </c>
      <c r="AB318" s="1734">
        <f t="shared" si="537"/>
        <v>2130.1605375000004</v>
      </c>
      <c r="AC318" s="3205">
        <f t="shared" si="537"/>
        <v>4510.619999999999</v>
      </c>
      <c r="AD318" s="2555">
        <f t="shared" si="537"/>
        <v>12027.600450543488</v>
      </c>
      <c r="AE318" s="4400">
        <f t="shared" si="537"/>
        <v>52993.349999999991</v>
      </c>
      <c r="AF318" s="1734">
        <f t="shared" si="537"/>
        <v>1873.1932324999893</v>
      </c>
      <c r="AG318" s="3205">
        <f t="shared" si="537"/>
        <v>9056.14</v>
      </c>
      <c r="AH318" s="2555">
        <f t="shared" si="537"/>
        <v>13900.793683043477</v>
      </c>
      <c r="AI318" s="4400">
        <f t="shared" si="537"/>
        <v>62049.489999999991</v>
      </c>
      <c r="AJ318" s="1734">
        <f t="shared" si="537"/>
        <v>2501.7112849999949</v>
      </c>
      <c r="AK318" s="3205">
        <f t="shared" si="537"/>
        <v>8811.57</v>
      </c>
      <c r="AL318" s="2556">
        <f t="shared" si="537"/>
        <v>6505.0650549999846</v>
      </c>
      <c r="AM318" s="5740">
        <f t="shared" si="537"/>
        <v>22378.329999999998</v>
      </c>
      <c r="AN318" s="2555">
        <f t="shared" ref="AN318:AS318" si="538">SUM(AN315:AN317)</f>
        <v>16402.504968043471</v>
      </c>
      <c r="AO318" s="4400">
        <f t="shared" si="538"/>
        <v>70861.06</v>
      </c>
      <c r="AP318" s="1734">
        <f t="shared" si="538"/>
        <v>2379.1398862500109</v>
      </c>
      <c r="AQ318" s="3205">
        <f t="shared" si="538"/>
        <v>2182.92</v>
      </c>
      <c r="AR318" s="2555">
        <f t="shared" si="538"/>
        <v>18781.644854293481</v>
      </c>
      <c r="AS318" s="4400">
        <f t="shared" si="538"/>
        <v>73043.98</v>
      </c>
      <c r="AT318" s="1734">
        <f t="shared" ref="AT318:AW318" si="539">SUM(AT315:AT317)</f>
        <v>492</v>
      </c>
      <c r="AU318" s="3205">
        <f t="shared" si="539"/>
        <v>4417.97</v>
      </c>
      <c r="AV318" s="2555">
        <f t="shared" si="539"/>
        <v>19273.644854293481</v>
      </c>
      <c r="AW318" s="4400">
        <f t="shared" si="539"/>
        <v>77461.95</v>
      </c>
      <c r="AX318" s="1734">
        <f t="shared" ref="AX318:BE318" si="540">SUM(AX315:AX317)</f>
        <v>1481</v>
      </c>
      <c r="AY318" s="3205">
        <f t="shared" si="540"/>
        <v>2540.23</v>
      </c>
      <c r="AZ318" s="2556">
        <f t="shared" si="540"/>
        <v>4352.1398862500109</v>
      </c>
      <c r="BA318" s="5740">
        <f t="shared" si="540"/>
        <v>9141.1200000000008</v>
      </c>
      <c r="BB318" s="2556">
        <f t="shared" si="521"/>
        <v>10857.204941249995</v>
      </c>
      <c r="BC318" s="5740">
        <f t="shared" si="522"/>
        <v>31519.449999999997</v>
      </c>
      <c r="BD318" s="6521">
        <f t="shared" si="540"/>
        <v>20754.644854293481</v>
      </c>
      <c r="BE318" s="7233">
        <f t="shared" si="540"/>
        <v>80002.179999999993</v>
      </c>
    </row>
    <row r="319" spans="2:57" s="3380" customFormat="1" ht="18" x14ac:dyDescent="0.2">
      <c r="B319" s="5301" t="s">
        <v>821</v>
      </c>
      <c r="C319" s="5057"/>
      <c r="D319" s="5653"/>
      <c r="E319" s="4902"/>
      <c r="F319" s="5653"/>
      <c r="G319" s="4902"/>
      <c r="H319" s="5302"/>
      <c r="I319" s="4902"/>
      <c r="J319" s="5302"/>
      <c r="K319" s="4902"/>
      <c r="L319" s="5302"/>
      <c r="M319" s="4902"/>
      <c r="N319" s="5302"/>
      <c r="O319" s="4902"/>
      <c r="P319" s="5302"/>
      <c r="Q319" s="4902"/>
      <c r="R319" s="5302"/>
      <c r="S319" s="4902"/>
      <c r="T319" s="5302"/>
      <c r="U319" s="4902"/>
      <c r="V319" s="5302"/>
      <c r="W319" s="4902"/>
      <c r="X319" s="5302"/>
      <c r="Y319" s="4902"/>
      <c r="Z319" s="5302"/>
      <c r="AA319" s="4902"/>
      <c r="AB319" s="5302"/>
      <c r="AC319" s="4902"/>
      <c r="AD319" s="5302"/>
      <c r="AE319" s="4902"/>
      <c r="AF319" s="5302"/>
      <c r="AG319" s="4902"/>
      <c r="AH319" s="5302"/>
      <c r="AI319" s="4902"/>
      <c r="AJ319" s="5302"/>
      <c r="AK319" s="4902"/>
      <c r="AL319" s="5302"/>
      <c r="AM319" s="4902"/>
      <c r="AN319" s="5302"/>
      <c r="AO319" s="4902"/>
      <c r="AP319" s="5302"/>
      <c r="AQ319" s="4902"/>
      <c r="AR319" s="5302"/>
      <c r="AS319" s="4902"/>
      <c r="AT319" s="5302"/>
      <c r="AU319" s="4902"/>
      <c r="AV319" s="5302"/>
      <c r="AW319" s="4902"/>
      <c r="AX319" s="5302"/>
      <c r="AY319" s="4902"/>
      <c r="AZ319" s="5302"/>
      <c r="BA319" s="4902"/>
      <c r="BB319" s="5302">
        <f t="shared" si="521"/>
        <v>0</v>
      </c>
      <c r="BC319" s="4902">
        <f t="shared" si="522"/>
        <v>0</v>
      </c>
      <c r="BD319" s="5302"/>
      <c r="BE319" s="4902"/>
    </row>
    <row r="320" spans="2:57" ht="18" x14ac:dyDescent="0.2">
      <c r="B320" s="3995" t="s">
        <v>98</v>
      </c>
      <c r="C320" s="4010" t="s">
        <v>170</v>
      </c>
      <c r="D320" s="8809">
        <f>+D318</f>
        <v>3047</v>
      </c>
      <c r="E320" s="4453">
        <v>0</v>
      </c>
      <c r="F320" s="8809">
        <f>+F318</f>
        <v>2899</v>
      </c>
      <c r="G320" s="4453">
        <v>20776.959999999995</v>
      </c>
      <c r="H320" s="8784">
        <f>+D320+F320</f>
        <v>5946</v>
      </c>
      <c r="I320" s="4466">
        <f>+E320+G320</f>
        <v>20776.959999999995</v>
      </c>
      <c r="J320" s="8761">
        <f>+J318</f>
        <v>3951.439913043489</v>
      </c>
      <c r="K320" s="4453">
        <v>7691</v>
      </c>
      <c r="L320" s="8720">
        <f>+H320+J320</f>
        <v>9897.4399130434886</v>
      </c>
      <c r="M320" s="4854">
        <f>+I320+K320</f>
        <v>28467.959999999995</v>
      </c>
      <c r="N320" s="8761">
        <f>+N318</f>
        <v>0</v>
      </c>
      <c r="O320" s="4453">
        <v>5738.4800000000005</v>
      </c>
      <c r="P320" s="8784">
        <f>+L320+N320</f>
        <v>9897.4399130434886</v>
      </c>
      <c r="Q320" s="4466">
        <f>+M320+O320</f>
        <v>34206.439999999995</v>
      </c>
      <c r="R320" s="8761">
        <f>+R318</f>
        <v>0</v>
      </c>
      <c r="S320" s="4453">
        <v>5927.82</v>
      </c>
      <c r="T320" s="8784">
        <f>+P320+R320</f>
        <v>9897.4399130434886</v>
      </c>
      <c r="U320" s="4466">
        <f>+Q320+S320</f>
        <v>40134.259999999995</v>
      </c>
      <c r="V320" s="8761">
        <f>+V318</f>
        <v>0</v>
      </c>
      <c r="W320" s="4453">
        <v>4724.68</v>
      </c>
      <c r="X320" s="8720">
        <f>N320+R320+V320</f>
        <v>0</v>
      </c>
      <c r="Y320" s="4854">
        <f>O320+S320+W320</f>
        <v>16390.98</v>
      </c>
      <c r="Z320" s="8722">
        <f>+T320+V320</f>
        <v>9897.4399130434886</v>
      </c>
      <c r="AA320" s="7231">
        <f>+U320+W320</f>
        <v>44858.939999999995</v>
      </c>
      <c r="AB320" s="8761">
        <f>+AB318</f>
        <v>2130.1605375000004</v>
      </c>
      <c r="AC320" s="4453">
        <v>2750.96</v>
      </c>
      <c r="AD320" s="8784">
        <f>+Z320+AB320</f>
        <v>12027.600450543488</v>
      </c>
      <c r="AE320" s="4466">
        <f>+AA320+AC320</f>
        <v>47609.899999999994</v>
      </c>
      <c r="AF320" s="8761">
        <f>+AF318</f>
        <v>1873.1932324999893</v>
      </c>
      <c r="AG320" s="4453">
        <v>5101.0199999999986</v>
      </c>
      <c r="AH320" s="8784">
        <f>+AD320+AF320</f>
        <v>13900.793683043477</v>
      </c>
      <c r="AI320" s="4466">
        <f>+AE320+AG320</f>
        <v>52710.919999999991</v>
      </c>
      <c r="AJ320" s="8761">
        <f>+AJ318</f>
        <v>2501.7112849999949</v>
      </c>
      <c r="AK320" s="4453">
        <v>5932.14</v>
      </c>
      <c r="AL320" s="8720">
        <f>AB320+AF320+AJ320</f>
        <v>6505.0650549999846</v>
      </c>
      <c r="AM320" s="4854">
        <f>AC320+AG320+AK320</f>
        <v>13784.119999999999</v>
      </c>
      <c r="AN320" s="8784">
        <f>+AH320+AJ320</f>
        <v>16402.504968043471</v>
      </c>
      <c r="AO320" s="4466">
        <f>+AI320+AK320</f>
        <v>58643.05999999999</v>
      </c>
      <c r="AP320" s="8761">
        <f>+AP318</f>
        <v>2379.1398862500109</v>
      </c>
      <c r="AQ320" s="4453">
        <v>0</v>
      </c>
      <c r="AR320" s="8784">
        <f>+AN320+AP320</f>
        <v>18781.644854293481</v>
      </c>
      <c r="AS320" s="4466">
        <f>+AO320+AQ320</f>
        <v>58643.05999999999</v>
      </c>
      <c r="AT320" s="8761">
        <f>+AT318</f>
        <v>492</v>
      </c>
      <c r="AU320" s="4453">
        <v>1976.86</v>
      </c>
      <c r="AV320" s="8784">
        <f>+AR320+AT320</f>
        <v>19273.644854293481</v>
      </c>
      <c r="AW320" s="4466">
        <f>+AS320+AU320</f>
        <v>60619.919999999991</v>
      </c>
      <c r="AX320" s="8761">
        <f>+AX318</f>
        <v>1481</v>
      </c>
      <c r="AY320" s="4453">
        <v>0</v>
      </c>
      <c r="AZ320" s="8720">
        <f>AP320+AT320+AX320</f>
        <v>4352.1398862500109</v>
      </c>
      <c r="BA320" s="4854">
        <f>AQ320+AU320+AY320</f>
        <v>1976.86</v>
      </c>
      <c r="BB320" s="8720">
        <f t="shared" si="521"/>
        <v>10857.204941249995</v>
      </c>
      <c r="BC320" s="4854">
        <f t="shared" si="522"/>
        <v>15760.98</v>
      </c>
      <c r="BD320" s="8722">
        <f>+AV320+AX320</f>
        <v>20754.644854293481</v>
      </c>
      <c r="BE320" s="7231">
        <f>+AW320+AY320</f>
        <v>60619.919999999991</v>
      </c>
    </row>
    <row r="321" spans="2:57" ht="19" thickBot="1" x14ac:dyDescent="0.25">
      <c r="B321" s="3998" t="s">
        <v>99</v>
      </c>
      <c r="C321" s="4820" t="s">
        <v>170</v>
      </c>
      <c r="D321" s="8811"/>
      <c r="E321" s="4454">
        <v>0</v>
      </c>
      <c r="F321" s="8811"/>
      <c r="G321" s="4454">
        <v>0</v>
      </c>
      <c r="H321" s="8785"/>
      <c r="I321" s="7266">
        <f>+E321+G321</f>
        <v>0</v>
      </c>
      <c r="J321" s="8762"/>
      <c r="K321" s="4454">
        <v>0</v>
      </c>
      <c r="L321" s="8728"/>
      <c r="M321" s="7267">
        <f>+I321+K321</f>
        <v>0</v>
      </c>
      <c r="N321" s="8762"/>
      <c r="O321" s="4454">
        <v>563.91000000000008</v>
      </c>
      <c r="P321" s="8785"/>
      <c r="Q321" s="7266">
        <f>+M321+O321</f>
        <v>563.91000000000008</v>
      </c>
      <c r="R321" s="8762"/>
      <c r="S321" s="4454">
        <v>1826.8699999999997</v>
      </c>
      <c r="T321" s="8785"/>
      <c r="U321" s="4465">
        <f>+Q321+S321</f>
        <v>2390.7799999999997</v>
      </c>
      <c r="V321" s="8762"/>
      <c r="W321" s="4454">
        <v>1233.0100000000002</v>
      </c>
      <c r="X321" s="8728"/>
      <c r="Y321" s="4854">
        <f>O321+S321+W321</f>
        <v>3623.79</v>
      </c>
      <c r="Z321" s="8724"/>
      <c r="AA321" s="7232">
        <f>+U321+W321</f>
        <v>3623.79</v>
      </c>
      <c r="AB321" s="8762"/>
      <c r="AC321" s="4454">
        <v>1759.6599999999999</v>
      </c>
      <c r="AD321" s="8785"/>
      <c r="AE321" s="4465">
        <f>+AA321+AC321</f>
        <v>5383.45</v>
      </c>
      <c r="AF321" s="8762"/>
      <c r="AG321" s="4454">
        <v>3955.1200000000008</v>
      </c>
      <c r="AH321" s="8785"/>
      <c r="AI321" s="4465">
        <f>+AE321+AG321</f>
        <v>9338.57</v>
      </c>
      <c r="AJ321" s="8762"/>
      <c r="AK321" s="4454">
        <v>2879.4299999999989</v>
      </c>
      <c r="AL321" s="8728"/>
      <c r="AM321" s="4854">
        <f>AC321+AG321+AK321</f>
        <v>8594.2099999999991</v>
      </c>
      <c r="AN321" s="8785"/>
      <c r="AO321" s="4465">
        <f>+AI321+AK321</f>
        <v>12217.999999999998</v>
      </c>
      <c r="AP321" s="8762"/>
      <c r="AQ321" s="4454">
        <v>2182.9199999999996</v>
      </c>
      <c r="AR321" s="8785"/>
      <c r="AS321" s="4465">
        <f>+AO321+AQ321</f>
        <v>14400.919999999998</v>
      </c>
      <c r="AT321" s="8762"/>
      <c r="AU321" s="4454">
        <v>2441.11</v>
      </c>
      <c r="AV321" s="8785"/>
      <c r="AW321" s="4465">
        <f>+AS321+AU321</f>
        <v>16842.03</v>
      </c>
      <c r="AX321" s="8762"/>
      <c r="AY321" s="4454">
        <v>2540.23</v>
      </c>
      <c r="AZ321" s="8728"/>
      <c r="BA321" s="4854">
        <f>AQ321+AU321+AY321</f>
        <v>7164.26</v>
      </c>
      <c r="BB321" s="8728">
        <f t="shared" si="521"/>
        <v>0</v>
      </c>
      <c r="BC321" s="4854">
        <f t="shared" si="522"/>
        <v>15758.47</v>
      </c>
      <c r="BD321" s="8724"/>
      <c r="BE321" s="7232">
        <f>+AW321+AY321</f>
        <v>19382.259999999998</v>
      </c>
    </row>
    <row r="322" spans="2:57" ht="19" thickBot="1" x14ac:dyDescent="0.25">
      <c r="B322" s="4875" t="s">
        <v>15</v>
      </c>
      <c r="C322" s="2963" t="s">
        <v>170</v>
      </c>
      <c r="D322" s="8810"/>
      <c r="E322" s="3205">
        <f>SUM(E320:E321)</f>
        <v>0</v>
      </c>
      <c r="F322" s="8810"/>
      <c r="G322" s="3205">
        <f>SUM(G320:G321)</f>
        <v>20776.959999999995</v>
      </c>
      <c r="H322" s="8786"/>
      <c r="I322" s="4400">
        <f>SUM(I320:I321)</f>
        <v>20776.959999999995</v>
      </c>
      <c r="J322" s="8763"/>
      <c r="K322" s="3205">
        <f>SUM(K320:K321)</f>
        <v>7691</v>
      </c>
      <c r="L322" s="8721"/>
      <c r="M322" s="5740">
        <f>SUM(M320:M321)</f>
        <v>28467.959999999995</v>
      </c>
      <c r="N322" s="8763"/>
      <c r="O322" s="3205">
        <f>SUM(O320:O321)</f>
        <v>6302.39</v>
      </c>
      <c r="P322" s="8786"/>
      <c r="Q322" s="4400">
        <f>SUM(Q320:Q321)</f>
        <v>34770.35</v>
      </c>
      <c r="R322" s="8763"/>
      <c r="S322" s="3205">
        <f>SUM(S320:S321)</f>
        <v>7754.69</v>
      </c>
      <c r="T322" s="8786"/>
      <c r="U322" s="4400">
        <f>SUM(U320:U321)</f>
        <v>42525.039999999994</v>
      </c>
      <c r="V322" s="8763"/>
      <c r="W322" s="3205">
        <f>SUM(W320:W321)</f>
        <v>5957.6900000000005</v>
      </c>
      <c r="X322" s="8721"/>
      <c r="Y322" s="5740">
        <f>SUM(Y320:Y321)</f>
        <v>20014.77</v>
      </c>
      <c r="Z322" s="8723"/>
      <c r="AA322" s="7233">
        <f>SUM(AA320:AA321)</f>
        <v>48482.729999999996</v>
      </c>
      <c r="AB322" s="8763"/>
      <c r="AC322" s="3205">
        <f>SUM(AC320:AC321)</f>
        <v>4510.62</v>
      </c>
      <c r="AD322" s="8786"/>
      <c r="AE322" s="4400">
        <f>SUM(AE320:AE321)</f>
        <v>52993.349999999991</v>
      </c>
      <c r="AF322" s="8763"/>
      <c r="AG322" s="3205">
        <f>SUM(AG320:AG321)</f>
        <v>9056.14</v>
      </c>
      <c r="AH322" s="8786"/>
      <c r="AI322" s="4400">
        <f>SUM(AI320:AI321)</f>
        <v>62049.489999999991</v>
      </c>
      <c r="AJ322" s="8763"/>
      <c r="AK322" s="3205">
        <f>SUM(AK320:AK321)</f>
        <v>8811.57</v>
      </c>
      <c r="AL322" s="8721"/>
      <c r="AM322" s="5740">
        <f>SUM(AM320:AM321)</f>
        <v>22378.329999999998</v>
      </c>
      <c r="AN322" s="8786"/>
      <c r="AO322" s="4400">
        <f>SUM(AO320:AO321)</f>
        <v>70861.059999999983</v>
      </c>
      <c r="AP322" s="8763"/>
      <c r="AQ322" s="3205">
        <f>SUM(AQ320:AQ321)</f>
        <v>2182.9199999999996</v>
      </c>
      <c r="AR322" s="8786"/>
      <c r="AS322" s="4400">
        <f>SUM(AS320:AS321)</f>
        <v>73043.979999999981</v>
      </c>
      <c r="AT322" s="8763"/>
      <c r="AU322" s="3205">
        <f>SUM(AU320:AU321)</f>
        <v>4417.97</v>
      </c>
      <c r="AV322" s="8786"/>
      <c r="AW322" s="4400">
        <f>SUM(AW320:AW321)</f>
        <v>77461.949999999983</v>
      </c>
      <c r="AX322" s="8763"/>
      <c r="AY322" s="3205">
        <f>SUM(AY320:AY321)</f>
        <v>2540.23</v>
      </c>
      <c r="AZ322" s="8721"/>
      <c r="BA322" s="5740">
        <f>SUM(BA320:BA321)</f>
        <v>9141.1200000000008</v>
      </c>
      <c r="BB322" s="8721">
        <f t="shared" si="521"/>
        <v>0</v>
      </c>
      <c r="BC322" s="5740">
        <f t="shared" si="522"/>
        <v>31519.449999999997</v>
      </c>
      <c r="BD322" s="8723"/>
      <c r="BE322" s="7233">
        <f>SUM(BE320:BE321)</f>
        <v>80002.179999999993</v>
      </c>
    </row>
    <row r="323" spans="2:57" s="3380" customFormat="1" ht="18" x14ac:dyDescent="0.2">
      <c r="B323" s="5301" t="s">
        <v>822</v>
      </c>
      <c r="C323" s="5057"/>
      <c r="D323" s="5759"/>
      <c r="E323" s="7269"/>
      <c r="F323" s="5759"/>
      <c r="G323" s="7269"/>
      <c r="H323" s="7272"/>
      <c r="I323" s="7269"/>
      <c r="J323" s="7272"/>
      <c r="K323" s="7269"/>
      <c r="L323" s="7272"/>
      <c r="M323" s="7269"/>
      <c r="N323" s="7272"/>
      <c r="O323" s="7269"/>
      <c r="P323" s="7272"/>
      <c r="Q323" s="7269"/>
      <c r="R323" s="7272"/>
      <c r="S323" s="7269"/>
      <c r="T323" s="7272"/>
      <c r="U323" s="7269"/>
      <c r="V323" s="7272"/>
      <c r="W323" s="7269"/>
      <c r="X323" s="7272"/>
      <c r="Y323" s="7269"/>
      <c r="Z323" s="7272"/>
      <c r="AA323" s="7269"/>
      <c r="AB323" s="7272"/>
      <c r="AC323" s="7269"/>
      <c r="AD323" s="7272"/>
      <c r="AE323" s="7269"/>
      <c r="AF323" s="7272"/>
      <c r="AG323" s="7269"/>
      <c r="AH323" s="7272"/>
      <c r="AI323" s="7269"/>
      <c r="AJ323" s="7272"/>
      <c r="AK323" s="7269"/>
      <c r="AL323" s="7272"/>
      <c r="AM323" s="7269"/>
      <c r="AN323" s="7272"/>
      <c r="AO323" s="7269"/>
      <c r="AP323" s="7272"/>
      <c r="AQ323" s="7269"/>
      <c r="AR323" s="7272"/>
      <c r="AS323" s="7269"/>
      <c r="AT323" s="7272"/>
      <c r="AU323" s="7269"/>
      <c r="AV323" s="7272"/>
      <c r="AW323" s="7269"/>
      <c r="AX323" s="7272"/>
      <c r="AY323" s="7269"/>
      <c r="AZ323" s="7272"/>
      <c r="BA323" s="7269"/>
      <c r="BB323" s="7272">
        <f t="shared" si="521"/>
        <v>0</v>
      </c>
      <c r="BC323" s="7269">
        <f t="shared" si="522"/>
        <v>0</v>
      </c>
      <c r="BD323" s="7272"/>
      <c r="BE323" s="7269"/>
    </row>
    <row r="324" spans="2:57" ht="19" thickBot="1" x14ac:dyDescent="0.25">
      <c r="B324" s="3995" t="s">
        <v>94</v>
      </c>
      <c r="C324" s="4010" t="s">
        <v>170</v>
      </c>
      <c r="D324" s="8809">
        <f>+D318</f>
        <v>3047</v>
      </c>
      <c r="E324" s="4453">
        <v>0</v>
      </c>
      <c r="F324" s="8809">
        <f>+F318</f>
        <v>2899</v>
      </c>
      <c r="G324" s="4453">
        <v>20776.959999999995</v>
      </c>
      <c r="H324" s="8784">
        <f>+D324+F324</f>
        <v>5946</v>
      </c>
      <c r="I324" s="4466">
        <f>+E324+G324</f>
        <v>20776.959999999995</v>
      </c>
      <c r="J324" s="8764">
        <f>+J318</f>
        <v>3951.439913043489</v>
      </c>
      <c r="K324" s="4453">
        <v>7691</v>
      </c>
      <c r="L324" s="8720">
        <f>+H324+J324</f>
        <v>9897.4399130434886</v>
      </c>
      <c r="M324" s="4854">
        <f>+I324+K324</f>
        <v>28467.959999999995</v>
      </c>
      <c r="N324" s="8764">
        <f>+N318</f>
        <v>0</v>
      </c>
      <c r="O324" s="4453">
        <v>6302.3899999999994</v>
      </c>
      <c r="P324" s="8784">
        <f>+L324+N324</f>
        <v>9897.4399130434886</v>
      </c>
      <c r="Q324" s="4466">
        <f>+M324+O324</f>
        <v>34770.349999999991</v>
      </c>
      <c r="R324" s="8764">
        <f>+R318</f>
        <v>0</v>
      </c>
      <c r="S324" s="4453">
        <v>7754.69</v>
      </c>
      <c r="T324" s="8784">
        <f>+P324+R324</f>
        <v>9897.4399130434886</v>
      </c>
      <c r="U324" s="4466">
        <f>+Q324+S324</f>
        <v>42525.039999999994</v>
      </c>
      <c r="V324" s="8764">
        <f>+V318</f>
        <v>0</v>
      </c>
      <c r="W324" s="4453">
        <v>5957.6900000000014</v>
      </c>
      <c r="X324" s="8720">
        <f>N324+R324+V324</f>
        <v>0</v>
      </c>
      <c r="Y324" s="4854">
        <f>O324+S324+W324</f>
        <v>20014.77</v>
      </c>
      <c r="Z324" s="8722">
        <f>+T324+V324</f>
        <v>9897.4399130434886</v>
      </c>
      <c r="AA324" s="7231">
        <f>+U324+W324</f>
        <v>48482.729999999996</v>
      </c>
      <c r="AB324" s="8764">
        <f>+AB318</f>
        <v>2130.1605375000004</v>
      </c>
      <c r="AC324" s="4453">
        <v>4510.619999999999</v>
      </c>
      <c r="AD324" s="8784">
        <f>+Z324+AB324</f>
        <v>12027.600450543488</v>
      </c>
      <c r="AE324" s="4466">
        <f>+AA324+AC324</f>
        <v>52993.349999999991</v>
      </c>
      <c r="AF324" s="8764">
        <f>+AF318</f>
        <v>1873.1932324999893</v>
      </c>
      <c r="AG324" s="4453">
        <v>9056.14</v>
      </c>
      <c r="AH324" s="8784">
        <f>+AD324+AF324</f>
        <v>13900.793683043477</v>
      </c>
      <c r="AI324" s="4466">
        <f>+AE324+AG324</f>
        <v>62049.489999999991</v>
      </c>
      <c r="AJ324" s="8764">
        <f>+AJ318</f>
        <v>2501.7112849999949</v>
      </c>
      <c r="AK324" s="4453">
        <v>8811.57</v>
      </c>
      <c r="AL324" s="8720">
        <f>AB324+AF324+AJ324</f>
        <v>6505.0650549999846</v>
      </c>
      <c r="AM324" s="4854">
        <f>AC324+AG324+AK324</f>
        <v>22378.329999999998</v>
      </c>
      <c r="AN324" s="8784">
        <f>+AH324+AJ324</f>
        <v>16402.504968043471</v>
      </c>
      <c r="AO324" s="4466">
        <f>+AI324+AK324</f>
        <v>70861.06</v>
      </c>
      <c r="AP324" s="8764">
        <f>+AP318</f>
        <v>2379.1398862500109</v>
      </c>
      <c r="AQ324" s="4453">
        <v>2182.9199999999996</v>
      </c>
      <c r="AR324" s="8784">
        <f>+AN324+AP324</f>
        <v>18781.644854293481</v>
      </c>
      <c r="AS324" s="4466">
        <f>+AO324+AQ324</f>
        <v>73043.98</v>
      </c>
      <c r="AT324" s="8764">
        <f>+AT318</f>
        <v>492</v>
      </c>
      <c r="AU324" s="4453">
        <v>4417.97</v>
      </c>
      <c r="AV324" s="8784">
        <f>+AR324+AT324</f>
        <v>19273.644854293481</v>
      </c>
      <c r="AW324" s="4466">
        <f>+AS324+AU324</f>
        <v>77461.95</v>
      </c>
      <c r="AX324" s="8764">
        <f>+AX318</f>
        <v>1481</v>
      </c>
      <c r="AY324" s="4453">
        <f>+AY321</f>
        <v>2540.23</v>
      </c>
      <c r="AZ324" s="8720">
        <f>AP324+AT324+AX324</f>
        <v>4352.1398862500109</v>
      </c>
      <c r="BA324" s="4854">
        <f>AQ324+AU324+AY324</f>
        <v>9141.119999999999</v>
      </c>
      <c r="BB324" s="8720">
        <f t="shared" si="521"/>
        <v>10857.204941249995</v>
      </c>
      <c r="BC324" s="4854">
        <f t="shared" si="522"/>
        <v>31519.449999999997</v>
      </c>
      <c r="BD324" s="8722">
        <f>+AV324+AX324</f>
        <v>20754.644854293481</v>
      </c>
      <c r="BE324" s="7231">
        <f>+AW324+AY324</f>
        <v>80002.179999999993</v>
      </c>
    </row>
    <row r="325" spans="2:57" ht="19" thickBot="1" x14ac:dyDescent="0.25">
      <c r="B325" s="4875" t="s">
        <v>15</v>
      </c>
      <c r="C325" s="2963" t="s">
        <v>170</v>
      </c>
      <c r="D325" s="8810"/>
      <c r="E325" s="3205">
        <f>SUM(E324:E324)</f>
        <v>0</v>
      </c>
      <c r="F325" s="8810"/>
      <c r="G325" s="3205">
        <f>SUM(G324:G324)</f>
        <v>20776.959999999995</v>
      </c>
      <c r="H325" s="8786"/>
      <c r="I325" s="4400">
        <f>SUM(I324:I324)</f>
        <v>20776.959999999995</v>
      </c>
      <c r="J325" s="8765"/>
      <c r="K325" s="3205">
        <f>SUM(K324:K324)</f>
        <v>7691</v>
      </c>
      <c r="L325" s="8721"/>
      <c r="M325" s="5740">
        <f>SUM(M324:M324)</f>
        <v>28467.959999999995</v>
      </c>
      <c r="N325" s="8765"/>
      <c r="O325" s="3205">
        <f>SUM(O324:O324)</f>
        <v>6302.3899999999994</v>
      </c>
      <c r="P325" s="8786"/>
      <c r="Q325" s="4400">
        <f>SUM(Q324:Q324)</f>
        <v>34770.349999999991</v>
      </c>
      <c r="R325" s="8765"/>
      <c r="S325" s="3205">
        <f>SUM(S324:S324)</f>
        <v>7754.69</v>
      </c>
      <c r="T325" s="8786"/>
      <c r="U325" s="4400">
        <f>SUM(U324:U324)</f>
        <v>42525.039999999994</v>
      </c>
      <c r="V325" s="8765"/>
      <c r="W325" s="3205">
        <f>SUM(W324:W324)</f>
        <v>5957.6900000000014</v>
      </c>
      <c r="X325" s="8721"/>
      <c r="Y325" s="5740">
        <f>SUM(Y324:Y324)</f>
        <v>20014.77</v>
      </c>
      <c r="Z325" s="8723"/>
      <c r="AA325" s="7233">
        <f>SUM(AA324:AA324)</f>
        <v>48482.729999999996</v>
      </c>
      <c r="AB325" s="8765"/>
      <c r="AC325" s="3205">
        <f>SUM(AC324:AC324)</f>
        <v>4510.619999999999</v>
      </c>
      <c r="AD325" s="8786"/>
      <c r="AE325" s="4400">
        <f>SUM(AE324:AE324)</f>
        <v>52993.349999999991</v>
      </c>
      <c r="AF325" s="8765"/>
      <c r="AG325" s="3205">
        <f>SUM(AG324:AG324)</f>
        <v>9056.14</v>
      </c>
      <c r="AH325" s="8786"/>
      <c r="AI325" s="4400">
        <f>SUM(AI324:AI324)</f>
        <v>62049.489999999991</v>
      </c>
      <c r="AJ325" s="8765"/>
      <c r="AK325" s="3205">
        <f>SUM(AK324:AK324)</f>
        <v>8811.57</v>
      </c>
      <c r="AL325" s="8721"/>
      <c r="AM325" s="5740">
        <f>SUM(AM324:AM324)</f>
        <v>22378.329999999998</v>
      </c>
      <c r="AN325" s="8786"/>
      <c r="AO325" s="4400">
        <f>SUM(AO324:AO324)</f>
        <v>70861.06</v>
      </c>
      <c r="AP325" s="8765"/>
      <c r="AQ325" s="3205">
        <f>SUM(AQ324:AQ324)</f>
        <v>2182.9199999999996</v>
      </c>
      <c r="AR325" s="8786"/>
      <c r="AS325" s="4400">
        <f>SUM(AS324:AS324)</f>
        <v>73043.98</v>
      </c>
      <c r="AT325" s="8765"/>
      <c r="AU325" s="3205">
        <f>SUM(AU324:AU324)</f>
        <v>4417.97</v>
      </c>
      <c r="AV325" s="8786"/>
      <c r="AW325" s="4400">
        <f>SUM(AW324:AW324)</f>
        <v>77461.95</v>
      </c>
      <c r="AX325" s="8765"/>
      <c r="AY325" s="3205">
        <f>SUM(AY324:AY324)</f>
        <v>2540.23</v>
      </c>
      <c r="AZ325" s="8721"/>
      <c r="BA325" s="5740">
        <f>SUM(BA324:BA324)</f>
        <v>9141.119999999999</v>
      </c>
      <c r="BB325" s="8721">
        <f t="shared" si="521"/>
        <v>0</v>
      </c>
      <c r="BC325" s="5740">
        <f t="shared" si="522"/>
        <v>31519.449999999997</v>
      </c>
      <c r="BD325" s="8723"/>
      <c r="BE325" s="7233">
        <f>SUM(BE324:BE324)</f>
        <v>80002.179999999993</v>
      </c>
    </row>
    <row r="326" spans="2:57" ht="18" x14ac:dyDescent="0.2">
      <c r="B326" s="4876" t="s">
        <v>818</v>
      </c>
      <c r="C326" s="4839" t="s">
        <v>170</v>
      </c>
      <c r="D326" s="4054">
        <f>+'Maj Desp Summ'!D27</f>
        <v>0</v>
      </c>
      <c r="E326" s="4452">
        <v>0</v>
      </c>
      <c r="F326" s="4054">
        <f>+'Maj Desp Summ'!F27</f>
        <v>0</v>
      </c>
      <c r="G326" s="4452">
        <v>0</v>
      </c>
      <c r="H326" s="7140">
        <f>+D326+F326</f>
        <v>0</v>
      </c>
      <c r="I326" s="4466">
        <f t="shared" ref="I326:I328" si="541">+E326+G326</f>
        <v>0</v>
      </c>
      <c r="J326" s="4054">
        <f>+'Maj Desp Summ'!J27</f>
        <v>0</v>
      </c>
      <c r="K326" s="4452">
        <v>0</v>
      </c>
      <c r="L326" s="7147">
        <f>+H326+J326</f>
        <v>0</v>
      </c>
      <c r="M326" s="4854">
        <f t="shared" ref="M326" si="542">+I326+K326</f>
        <v>0</v>
      </c>
      <c r="N326" s="4054">
        <f>+'Maj Desp Summ'!N27</f>
        <v>0</v>
      </c>
      <c r="O326" s="4452">
        <v>0</v>
      </c>
      <c r="P326" s="7140">
        <f>+L326+N326</f>
        <v>0</v>
      </c>
      <c r="Q326" s="4466">
        <f t="shared" ref="Q326" si="543">+M326+O326</f>
        <v>0</v>
      </c>
      <c r="R326" s="4054">
        <f>+'Maj Desp Summ'!R27</f>
        <v>0</v>
      </c>
      <c r="S326" s="4452">
        <v>0</v>
      </c>
      <c r="T326" s="7140">
        <f>+P326+R326</f>
        <v>0</v>
      </c>
      <c r="U326" s="4466">
        <f t="shared" ref="U326" si="544">+Q326+S326</f>
        <v>0</v>
      </c>
      <c r="V326" s="4054">
        <f>+'Maj Desp Summ'!V27</f>
        <v>0</v>
      </c>
      <c r="W326" s="4452">
        <v>0</v>
      </c>
      <c r="X326" s="7145">
        <f t="shared" ref="X326:Y326" si="545">N326+R326+V326</f>
        <v>0</v>
      </c>
      <c r="Y326" s="7264">
        <f t="shared" si="545"/>
        <v>0</v>
      </c>
      <c r="Z326" s="7160">
        <f>+T326+V326</f>
        <v>0</v>
      </c>
      <c r="AA326" s="7231">
        <f t="shared" ref="AA326" si="546">+U326+W326</f>
        <v>0</v>
      </c>
      <c r="AB326" s="4054">
        <f>+'Maj Desp Summ'!AB27</f>
        <v>0</v>
      </c>
      <c r="AC326" s="4452">
        <v>0</v>
      </c>
      <c r="AD326" s="7299">
        <f>+Z326+AB326</f>
        <v>0</v>
      </c>
      <c r="AE326" s="4466">
        <f t="shared" ref="AE326" si="547">+AA326+AC326</f>
        <v>0</v>
      </c>
      <c r="AF326" s="4054">
        <f>+'Maj Desp Summ'!AF27</f>
        <v>0</v>
      </c>
      <c r="AG326" s="4452">
        <v>0</v>
      </c>
      <c r="AH326" s="7569">
        <f>+AD326+AF326</f>
        <v>0</v>
      </c>
      <c r="AI326" s="4466">
        <f t="shared" ref="AI326" si="548">+AE326+AG326</f>
        <v>0</v>
      </c>
      <c r="AJ326" s="4054">
        <f>+'Maj Desp Summ'!AJ27</f>
        <v>0</v>
      </c>
      <c r="AK326" s="4452">
        <v>0</v>
      </c>
      <c r="AL326" s="7714">
        <f t="shared" ref="AL326" si="549">AB326+AF326+AJ326</f>
        <v>0</v>
      </c>
      <c r="AM326" s="7264">
        <f t="shared" ref="AM326" si="550">AC326+AG326+AK326</f>
        <v>0</v>
      </c>
      <c r="AN326" s="7724">
        <f>+AH326+AJ326</f>
        <v>0</v>
      </c>
      <c r="AO326" s="4466">
        <f t="shared" ref="AO326" si="551">+AI326+AK326</f>
        <v>0</v>
      </c>
      <c r="AP326" s="4054">
        <f>+'Maj Desp Summ'!AP27</f>
        <v>0</v>
      </c>
      <c r="AQ326" s="4452">
        <v>0</v>
      </c>
      <c r="AR326" s="8032">
        <f>+AN326+AP326</f>
        <v>0</v>
      </c>
      <c r="AS326" s="4466">
        <f t="shared" ref="AS326" si="552">+AO326+AQ326</f>
        <v>0</v>
      </c>
      <c r="AT326" s="4054">
        <f>+'Maj Desp Summ'!AT27</f>
        <v>0</v>
      </c>
      <c r="AU326" s="4452">
        <v>0</v>
      </c>
      <c r="AV326" s="8225">
        <f>+AR326+AT326</f>
        <v>0</v>
      </c>
      <c r="AW326" s="4466">
        <f t="shared" ref="AW326" si="553">+AS326+AU326</f>
        <v>0</v>
      </c>
      <c r="AX326" s="4054">
        <f>+'Maj Desp Summ'!AX27</f>
        <v>0</v>
      </c>
      <c r="AY326" s="4452">
        <v>0</v>
      </c>
      <c r="AZ326" s="8295">
        <f t="shared" ref="AZ326" si="554">AP326+AT326+AX326</f>
        <v>0</v>
      </c>
      <c r="BA326" s="7264">
        <f t="shared" ref="BA326" si="555">AQ326+AU326+AY326</f>
        <v>0</v>
      </c>
      <c r="BB326" s="8295">
        <f t="shared" si="521"/>
        <v>0</v>
      </c>
      <c r="BC326" s="7264">
        <f t="shared" si="522"/>
        <v>0</v>
      </c>
      <c r="BD326" s="8306">
        <f>+AV326+AX326</f>
        <v>0</v>
      </c>
      <c r="BE326" s="7231">
        <f t="shared" ref="BE326" si="556">+AW326+AY326</f>
        <v>0</v>
      </c>
    </row>
    <row r="327" spans="2:57" s="5071" customFormat="1" ht="19" x14ac:dyDescent="0.25">
      <c r="B327" s="5421" t="s">
        <v>1529</v>
      </c>
      <c r="C327" s="5421"/>
      <c r="D327" s="5421"/>
      <c r="E327" s="7270"/>
      <c r="F327" s="5421"/>
      <c r="G327" s="7270"/>
      <c r="H327" s="5421"/>
      <c r="I327" s="7270"/>
      <c r="J327" s="5070"/>
      <c r="K327" s="7270"/>
      <c r="L327" s="5421"/>
      <c r="M327" s="7270"/>
      <c r="N327" s="5070"/>
      <c r="O327" s="7270"/>
      <c r="P327" s="5421"/>
      <c r="Q327" s="7270"/>
      <c r="R327" s="5070"/>
      <c r="S327" s="7270"/>
      <c r="T327" s="5421"/>
      <c r="U327" s="7270"/>
      <c r="V327" s="5070"/>
      <c r="W327" s="7270"/>
      <c r="X327" s="5421"/>
      <c r="Y327" s="7270"/>
      <c r="Z327" s="5421"/>
      <c r="AA327" s="7270"/>
      <c r="AB327" s="5070"/>
      <c r="AC327" s="7270"/>
      <c r="AD327" s="5421"/>
      <c r="AE327" s="7270"/>
      <c r="AF327" s="5070"/>
      <c r="AG327" s="7270"/>
      <c r="AH327" s="5421"/>
      <c r="AI327" s="7270"/>
      <c r="AJ327" s="5070"/>
      <c r="AK327" s="7270"/>
      <c r="AL327" s="5421"/>
      <c r="AM327" s="7270"/>
      <c r="AN327" s="5421"/>
      <c r="AO327" s="7270"/>
      <c r="AP327" s="5070"/>
      <c r="AQ327" s="7270"/>
      <c r="AR327" s="5421"/>
      <c r="AS327" s="7270"/>
      <c r="AT327" s="5070"/>
      <c r="AU327" s="7270"/>
      <c r="AV327" s="5421"/>
      <c r="AW327" s="7270"/>
      <c r="AX327" s="5070"/>
      <c r="AY327" s="7270"/>
      <c r="AZ327" s="5421"/>
      <c r="BA327" s="7270"/>
      <c r="BB327" s="5421">
        <f t="shared" si="521"/>
        <v>0</v>
      </c>
      <c r="BC327" s="7270">
        <f t="shared" si="522"/>
        <v>0</v>
      </c>
      <c r="BD327" s="5421"/>
      <c r="BE327" s="7270"/>
    </row>
    <row r="328" spans="2:57" ht="19" thickBot="1" x14ac:dyDescent="0.25">
      <c r="B328" s="4877" t="s">
        <v>610</v>
      </c>
      <c r="C328" s="4010" t="s">
        <v>170</v>
      </c>
      <c r="D328" s="5777">
        <f>+'Maj Desp Summ'!D26</f>
        <v>647.49189999999987</v>
      </c>
      <c r="E328" s="4453">
        <v>0</v>
      </c>
      <c r="F328" s="5777">
        <f>+'Maj Desp Summ'!F26</f>
        <v>640.17734999999993</v>
      </c>
      <c r="G328" s="4453">
        <v>4059.4499999999989</v>
      </c>
      <c r="H328" s="7137">
        <f>+D328+F328</f>
        <v>1287.6692499999999</v>
      </c>
      <c r="I328" s="4466">
        <f t="shared" si="541"/>
        <v>4059.4499999999989</v>
      </c>
      <c r="J328" s="5777">
        <f>+'Maj Desp Summ'!J26</f>
        <v>807.01939565217526</v>
      </c>
      <c r="K328" s="4453">
        <v>3123.7100000000019</v>
      </c>
      <c r="L328" s="7145">
        <f>+H328+J328</f>
        <v>2094.6886456521752</v>
      </c>
      <c r="M328" s="4854">
        <f t="shared" ref="M328" si="557">+I328+K328</f>
        <v>7183.1600000000008</v>
      </c>
      <c r="N328" s="5777">
        <f>+'Maj Desp Summ'!N26</f>
        <v>416.569001186945</v>
      </c>
      <c r="O328" s="4453">
        <v>2966.5499999999993</v>
      </c>
      <c r="P328" s="7137">
        <f>+L328+N328</f>
        <v>2511.2576468391203</v>
      </c>
      <c r="Q328" s="4466">
        <f t="shared" ref="Q328" si="558">+M328+O328</f>
        <v>10149.709999999999</v>
      </c>
      <c r="R328" s="5777">
        <f>+'Maj Desp Summ'!R26</f>
        <v>414.1988803274038</v>
      </c>
      <c r="S328" s="4453">
        <v>1521.0699999999993</v>
      </c>
      <c r="T328" s="7137">
        <f>+P328+R328</f>
        <v>2925.4565271665242</v>
      </c>
      <c r="U328" s="4466">
        <f t="shared" ref="U328" si="559">+Q328+S328</f>
        <v>11670.779999999999</v>
      </c>
      <c r="V328" s="5777">
        <f>+'Maj Desp Summ'!V26</f>
        <v>408.66503842485781</v>
      </c>
      <c r="W328" s="4453">
        <v>3132.9900000000002</v>
      </c>
      <c r="X328" s="7145">
        <f>N328+R328+V328</f>
        <v>1239.4329199392066</v>
      </c>
      <c r="Y328" s="4854">
        <f>O328+S328+W328</f>
        <v>7620.6099999999988</v>
      </c>
      <c r="Z328" s="6961">
        <f>+T328+V328</f>
        <v>3334.121565591382</v>
      </c>
      <c r="AA328" s="7231">
        <f t="shared" ref="AA328" si="560">+U328+W328</f>
        <v>14803.769999999999</v>
      </c>
      <c r="AB328" s="5777">
        <f>+'Maj Desp Summ'!AB26</f>
        <v>484.30664999999999</v>
      </c>
      <c r="AC328" s="4453">
        <v>2455.9499999999998</v>
      </c>
      <c r="AD328" s="7308">
        <f>+Z328+AB328</f>
        <v>3818.428215591382</v>
      </c>
      <c r="AE328" s="4466">
        <f t="shared" ref="AE328" si="561">+AA328+AC328</f>
        <v>17259.719999999998</v>
      </c>
      <c r="AF328" s="5777">
        <f>+'Maj Desp Summ'!AF26</f>
        <v>640.09372999999857</v>
      </c>
      <c r="AG328" s="4453">
        <v>1774.5500000000002</v>
      </c>
      <c r="AH328" s="7567">
        <f>+AD328+AF328</f>
        <v>4458.5219455913802</v>
      </c>
      <c r="AI328" s="4466">
        <f t="shared" ref="AI328" si="562">+AE328+AG328</f>
        <v>19034.269999999997</v>
      </c>
      <c r="AJ328" s="5777">
        <f>+'Maj Desp Summ'!AJ26</f>
        <v>739.76353999999924</v>
      </c>
      <c r="AK328" s="4453">
        <v>3257.06</v>
      </c>
      <c r="AL328" s="7714">
        <f>AB328+AF328+AJ328</f>
        <v>1864.1639199999979</v>
      </c>
      <c r="AM328" s="4854">
        <f>AC328+AG328+AK328</f>
        <v>7487.5599999999995</v>
      </c>
      <c r="AN328" s="7723">
        <f>+AH328+AJ328</f>
        <v>5198.2854855913793</v>
      </c>
      <c r="AO328" s="4466">
        <f t="shared" ref="AO328" si="563">+AI328+AK328</f>
        <v>22291.329999999998</v>
      </c>
      <c r="AP328" s="5777">
        <f>+'Maj Desp Summ'!AP26</f>
        <v>717.42474500000128</v>
      </c>
      <c r="AQ328" s="4453">
        <v>1615.1499999999994</v>
      </c>
      <c r="AR328" s="8029">
        <f>+AN328+AP328</f>
        <v>5915.7102305913804</v>
      </c>
      <c r="AS328" s="4466">
        <f t="shared" ref="AS328" si="564">+AO328+AQ328</f>
        <v>23906.479999999996</v>
      </c>
      <c r="AT328" s="5777">
        <f>+'Maj Desp Summ'!AT26</f>
        <v>446</v>
      </c>
      <c r="AU328" s="4453">
        <v>2379.75</v>
      </c>
      <c r="AV328" s="8226">
        <f>+AR328+AT328</f>
        <v>6361.7102305913804</v>
      </c>
      <c r="AW328" s="4466">
        <f t="shared" ref="AW328" si="565">+AS328+AU328</f>
        <v>26286.229999999996</v>
      </c>
      <c r="AX328" s="5777">
        <f>+'Maj Desp Summ'!AX26</f>
        <v>612</v>
      </c>
      <c r="AY328" s="4453">
        <v>3197.55</v>
      </c>
      <c r="AZ328" s="8295">
        <f>AP328+AT328+AX328</f>
        <v>1775.4247450000012</v>
      </c>
      <c r="BA328" s="4854">
        <f>AQ328+AU328+AY328</f>
        <v>7192.45</v>
      </c>
      <c r="BB328" s="8295">
        <f t="shared" si="521"/>
        <v>3639.5886649999993</v>
      </c>
      <c r="BC328" s="4854">
        <f t="shared" si="522"/>
        <v>14680.009999999998</v>
      </c>
      <c r="BD328" s="8307">
        <f>+AV328+AX328</f>
        <v>6973.7102305913804</v>
      </c>
      <c r="BE328" s="7231">
        <f t="shared" ref="BE328" si="566">+AW328+AY328</f>
        <v>29483.779999999995</v>
      </c>
    </row>
    <row r="329" spans="2:57" ht="39" thickBot="1" x14ac:dyDescent="0.25">
      <c r="B329" s="4878" t="s">
        <v>500</v>
      </c>
      <c r="C329" s="2963" t="s">
        <v>170</v>
      </c>
      <c r="D329" s="1735">
        <f>+D324+D326+D328</f>
        <v>3694.4919</v>
      </c>
      <c r="E329" s="4409">
        <f>+E325+E326+E328</f>
        <v>0</v>
      </c>
      <c r="F329" s="1735">
        <f>+F324+F326+F328</f>
        <v>3539.1773499999999</v>
      </c>
      <c r="G329" s="4409">
        <f>+G325+G326+G328</f>
        <v>24836.409999999996</v>
      </c>
      <c r="H329" s="2555">
        <f>SUM(H324:H328)</f>
        <v>7233.6692499999999</v>
      </c>
      <c r="I329" s="4410">
        <f>+I325+I326+I328</f>
        <v>24836.409999999996</v>
      </c>
      <c r="J329" s="1735">
        <f>+J324+J326+J328</f>
        <v>4758.4593086956647</v>
      </c>
      <c r="K329" s="4409">
        <f>+K325+K326+K328</f>
        <v>10814.710000000003</v>
      </c>
      <c r="L329" s="2556">
        <f>SUM(L324:L328)</f>
        <v>11992.128558695664</v>
      </c>
      <c r="M329" s="5745">
        <f>+M325+M326+M328</f>
        <v>35651.119999999995</v>
      </c>
      <c r="N329" s="1735">
        <f>+N324+N326+N328</f>
        <v>416.569001186945</v>
      </c>
      <c r="O329" s="4409">
        <f>+O325+O326+O328</f>
        <v>9268.9399999999987</v>
      </c>
      <c r="P329" s="2555">
        <f>SUM(P324:P328)</f>
        <v>12408.697559882608</v>
      </c>
      <c r="Q329" s="4410">
        <f>+Q325+Q326+Q328</f>
        <v>44920.05999999999</v>
      </c>
      <c r="R329" s="1735">
        <f>+R324+R326+R328</f>
        <v>414.1988803274038</v>
      </c>
      <c r="S329" s="4409">
        <f>+S325+S326+S328</f>
        <v>9275.7599999999984</v>
      </c>
      <c r="T329" s="2555">
        <f>SUM(T324:T328)</f>
        <v>12822.896440210014</v>
      </c>
      <c r="U329" s="4410">
        <f>+U325+U326+U328</f>
        <v>54195.819999999992</v>
      </c>
      <c r="V329" s="1735">
        <f>+V324+V326+V328</f>
        <v>408.66503842485781</v>
      </c>
      <c r="W329" s="4409">
        <f>+W325+W326+W328</f>
        <v>9090.6800000000021</v>
      </c>
      <c r="X329" s="2556">
        <f>SUM(X324:X328)</f>
        <v>1239.4329199392066</v>
      </c>
      <c r="Y329" s="5745">
        <f>+Y325+Y326+Y328</f>
        <v>27635.379999999997</v>
      </c>
      <c r="Z329" s="6521">
        <f>SUM(Z324:Z328)</f>
        <v>13231.561478634871</v>
      </c>
      <c r="AA329" s="7239">
        <f>+AA325+AA326+AA328</f>
        <v>63286.499999999993</v>
      </c>
      <c r="AB329" s="1735">
        <f>+AB324+AB326+AB328</f>
        <v>2614.4671875000004</v>
      </c>
      <c r="AC329" s="4409">
        <f>+AC325+AC326+AC328</f>
        <v>6966.5699999999988</v>
      </c>
      <c r="AD329" s="2555">
        <f>SUM(AD324:AD328)</f>
        <v>15846.028666134871</v>
      </c>
      <c r="AE329" s="4410">
        <f>+AE325+AE326+AE328</f>
        <v>70253.069999999992</v>
      </c>
      <c r="AF329" s="1735">
        <f>+AF324+AF326+AF328</f>
        <v>2513.286962499988</v>
      </c>
      <c r="AG329" s="4409">
        <f>+AG325+AG326+AG328</f>
        <v>10830.689999999999</v>
      </c>
      <c r="AH329" s="2555">
        <f>SUM(AH324:AH328)</f>
        <v>18359.315628634857</v>
      </c>
      <c r="AI329" s="4410">
        <f>+AI325+AI326+AI328</f>
        <v>81083.75999999998</v>
      </c>
      <c r="AJ329" s="1735">
        <f>+AJ324+AJ326+AJ328</f>
        <v>3241.4748249999939</v>
      </c>
      <c r="AK329" s="4409">
        <f>+AK325+AK326+AK328</f>
        <v>12068.63</v>
      </c>
      <c r="AL329" s="2556">
        <f>SUM(AL324:AL328)</f>
        <v>8369.2289749999818</v>
      </c>
      <c r="AM329" s="5745">
        <f>+AM325+AM326+AM328</f>
        <v>29865.89</v>
      </c>
      <c r="AN329" s="2555">
        <f>SUM(AN324:AN328)</f>
        <v>21600.790453634851</v>
      </c>
      <c r="AO329" s="4410">
        <f>+AO325+AO326+AO328</f>
        <v>93152.39</v>
      </c>
      <c r="AP329" s="1735">
        <f>+AP324+AP326+AP328</f>
        <v>3096.5646312500121</v>
      </c>
      <c r="AQ329" s="4409">
        <f>+AQ325+AQ326+AQ328</f>
        <v>3798.0699999999988</v>
      </c>
      <c r="AR329" s="2555">
        <f>SUM(AR324:AR328)</f>
        <v>24697.355084884861</v>
      </c>
      <c r="AS329" s="4410">
        <f>+AS325+AS326+AS328</f>
        <v>96950.459999999992</v>
      </c>
      <c r="AT329" s="1735">
        <f>+AT324+AT326+AT328</f>
        <v>938</v>
      </c>
      <c r="AU329" s="4409">
        <f>+AU325+AU326+AU328</f>
        <v>6797.72</v>
      </c>
      <c r="AV329" s="2555">
        <f>SUM(AV324:AV328)</f>
        <v>25635.355084884861</v>
      </c>
      <c r="AW329" s="4410">
        <f>+AW325+AW326+AW328</f>
        <v>103748.18</v>
      </c>
      <c r="AX329" s="1735">
        <f>+AX324+AX326+AX328</f>
        <v>2093</v>
      </c>
      <c r="AY329" s="4409">
        <f>+AY325+AY326+AY328</f>
        <v>5737.7800000000007</v>
      </c>
      <c r="AZ329" s="2556">
        <f>SUM(AZ324:AZ328)</f>
        <v>6127.5646312500121</v>
      </c>
      <c r="BA329" s="5745">
        <f>+BA325+BA326+BA328</f>
        <v>16333.57</v>
      </c>
      <c r="BB329" s="2556">
        <f t="shared" si="521"/>
        <v>14496.793606249994</v>
      </c>
      <c r="BC329" s="5745">
        <f t="shared" si="522"/>
        <v>46199.46</v>
      </c>
      <c r="BD329" s="6521">
        <f>SUM(BD324:BD328)</f>
        <v>27728.355084884861</v>
      </c>
      <c r="BE329" s="7239">
        <f>+BE325+BE326+BE328</f>
        <v>109485.95999999999</v>
      </c>
    </row>
    <row r="330" spans="2:57" s="3380" customFormat="1" ht="19" x14ac:dyDescent="0.25">
      <c r="B330" s="7256"/>
      <c r="C330" s="7256"/>
      <c r="D330" s="4858"/>
      <c r="E330" s="5162"/>
      <c r="F330" s="4858"/>
      <c r="G330" s="5162"/>
      <c r="H330" s="4858"/>
      <c r="I330" s="5764"/>
      <c r="J330" s="4858"/>
      <c r="K330" s="7257"/>
      <c r="L330" s="4858"/>
      <c r="M330" s="4858"/>
      <c r="N330" s="4858"/>
      <c r="O330" s="7257"/>
      <c r="P330" s="4858"/>
      <c r="Q330" s="4858"/>
      <c r="R330" s="4408"/>
      <c r="T330" s="4408"/>
      <c r="V330" s="4408"/>
      <c r="X330" s="4408"/>
      <c r="Z330" s="4408"/>
      <c r="AB330" s="4408"/>
      <c r="AD330" s="4408"/>
      <c r="AF330" s="4408"/>
      <c r="AH330" s="4408"/>
      <c r="AR330" s="4408"/>
    </row>
    <row r="331" spans="2:57" s="3380" customFormat="1" ht="19" x14ac:dyDescent="0.25">
      <c r="B331" s="7256"/>
      <c r="C331" s="7256"/>
      <c r="D331" s="4858"/>
      <c r="E331" s="5764"/>
      <c r="F331" s="4858"/>
      <c r="G331" s="5764"/>
      <c r="H331" s="4858"/>
      <c r="I331" s="5764"/>
      <c r="J331" s="4858"/>
      <c r="K331" s="4858"/>
      <c r="L331" s="4858"/>
      <c r="M331" s="4858"/>
      <c r="N331" s="4858"/>
      <c r="O331" s="4858"/>
      <c r="P331" s="4858"/>
      <c r="Q331" s="4858"/>
      <c r="R331" s="4408"/>
      <c r="T331" s="4408"/>
      <c r="V331" s="4408"/>
      <c r="X331" s="4408"/>
      <c r="Z331" s="4408"/>
      <c r="AB331" s="4408"/>
      <c r="AD331" s="4408"/>
      <c r="AF331" s="4408"/>
      <c r="AH331" s="4408"/>
      <c r="AR331" s="4408"/>
    </row>
    <row r="332" spans="2:57" s="3380" customFormat="1" x14ac:dyDescent="0.2">
      <c r="B332" s="3379"/>
      <c r="C332" s="3379"/>
      <c r="D332" s="4408"/>
      <c r="E332" s="3453"/>
      <c r="F332" s="4408"/>
      <c r="G332" s="3453"/>
      <c r="H332" s="4408"/>
      <c r="I332" s="3453"/>
      <c r="J332" s="4408"/>
      <c r="K332" s="4408"/>
      <c r="L332" s="4408"/>
      <c r="M332" s="4408"/>
      <c r="N332" s="4408"/>
      <c r="O332" s="4408"/>
      <c r="P332" s="4408"/>
      <c r="Q332" s="4408"/>
      <c r="R332" s="4408"/>
      <c r="T332" s="4408"/>
      <c r="V332" s="4408"/>
      <c r="X332" s="4408"/>
      <c r="Z332" s="4408"/>
      <c r="AB332" s="4408"/>
      <c r="AD332" s="4408"/>
      <c r="AF332" s="4408"/>
      <c r="AH332" s="4408"/>
      <c r="AR332" s="4408"/>
    </row>
    <row r="333" spans="2:57" s="3380" customFormat="1" x14ac:dyDescent="0.2">
      <c r="B333" s="3379"/>
      <c r="C333" s="3379"/>
      <c r="D333" s="4408"/>
      <c r="E333" s="3453"/>
      <c r="F333" s="4408"/>
      <c r="G333" s="3453"/>
      <c r="H333" s="4408"/>
      <c r="I333" s="3453"/>
      <c r="J333" s="4408"/>
      <c r="K333" s="4408"/>
      <c r="L333" s="4408"/>
      <c r="M333" s="4408"/>
      <c r="N333" s="4408"/>
      <c r="O333" s="4408"/>
      <c r="P333" s="4408"/>
      <c r="Q333" s="4408"/>
      <c r="R333" s="4408"/>
      <c r="T333" s="4408"/>
      <c r="V333" s="4408"/>
      <c r="X333" s="4408"/>
      <c r="Z333" s="4408"/>
      <c r="AB333" s="4408"/>
      <c r="AD333" s="4408"/>
      <c r="AF333" s="4408"/>
      <c r="AH333" s="4408"/>
      <c r="AR333" s="4408"/>
    </row>
    <row r="334" spans="2:57" s="3380" customFormat="1" x14ac:dyDescent="0.2">
      <c r="B334" s="3379"/>
      <c r="C334" s="3379"/>
      <c r="D334" s="4408"/>
      <c r="E334" s="3453"/>
      <c r="F334" s="4408"/>
      <c r="G334" s="3453"/>
      <c r="H334" s="4408"/>
      <c r="I334" s="3453"/>
      <c r="J334" s="4408"/>
      <c r="K334" s="4408"/>
      <c r="L334" s="4408"/>
      <c r="M334" s="4408"/>
      <c r="N334" s="4408"/>
      <c r="O334" s="4408"/>
      <c r="P334" s="4408"/>
      <c r="Q334" s="4408"/>
      <c r="R334" s="4408"/>
      <c r="T334" s="4408"/>
      <c r="V334" s="4408"/>
      <c r="X334" s="4408"/>
      <c r="Z334" s="4408"/>
      <c r="AB334" s="4408"/>
      <c r="AD334" s="4408"/>
      <c r="AF334" s="4408"/>
      <c r="AH334" s="4408"/>
      <c r="AR334" s="4408"/>
    </row>
    <row r="335" spans="2:57" s="3380" customFormat="1" x14ac:dyDescent="0.2">
      <c r="B335" s="3379">
        <v>534.73</v>
      </c>
      <c r="C335" s="3379"/>
      <c r="D335" s="4408"/>
      <c r="E335" s="3453"/>
      <c r="F335" s="4408"/>
      <c r="G335" s="3453"/>
      <c r="H335" s="4408"/>
      <c r="I335" s="3453"/>
      <c r="J335" s="4408"/>
      <c r="L335" s="4408"/>
      <c r="N335" s="4408"/>
      <c r="P335" s="4408"/>
      <c r="R335" s="4408"/>
      <c r="T335" s="4408"/>
      <c r="V335" s="4408"/>
      <c r="X335" s="4408"/>
      <c r="Z335" s="4408"/>
      <c r="AB335" s="4408"/>
      <c r="AD335" s="4408"/>
      <c r="AF335" s="4408"/>
      <c r="AH335" s="4408"/>
      <c r="AR335" s="4408"/>
    </row>
    <row r="336" spans="2:57" s="3380" customFormat="1" x14ac:dyDescent="0.2">
      <c r="B336" s="3379"/>
      <c r="C336" s="3379"/>
      <c r="D336" s="4408"/>
      <c r="E336" s="3453"/>
      <c r="F336" s="4408"/>
      <c r="G336" s="3453"/>
      <c r="H336" s="4408"/>
      <c r="I336" s="3453"/>
      <c r="J336" s="4408"/>
      <c r="L336" s="4408"/>
      <c r="N336" s="4408"/>
      <c r="P336" s="4408"/>
      <c r="R336" s="4408"/>
      <c r="T336" s="4408"/>
      <c r="V336" s="4408"/>
      <c r="X336" s="4408"/>
      <c r="Z336" s="4408"/>
      <c r="AB336" s="4408"/>
      <c r="AD336" s="4408"/>
      <c r="AF336" s="4408"/>
      <c r="AH336" s="4408"/>
      <c r="AR336" s="4408"/>
    </row>
    <row r="337" spans="2:44" s="3380" customFormat="1" x14ac:dyDescent="0.2">
      <c r="B337" s="3379"/>
      <c r="C337" s="3379"/>
      <c r="D337" s="4408"/>
      <c r="E337" s="3453"/>
      <c r="F337" s="4408"/>
      <c r="G337" s="3453"/>
      <c r="H337" s="4408"/>
      <c r="I337" s="3453"/>
      <c r="J337" s="4408"/>
      <c r="L337" s="4408"/>
      <c r="N337" s="4408"/>
      <c r="P337" s="4408"/>
      <c r="R337" s="4408"/>
      <c r="T337" s="4408"/>
      <c r="V337" s="4408"/>
      <c r="X337" s="4408"/>
      <c r="Z337" s="4408"/>
      <c r="AB337" s="4408"/>
      <c r="AD337" s="4408"/>
      <c r="AF337" s="4408"/>
      <c r="AH337" s="4408"/>
      <c r="AR337" s="4408"/>
    </row>
    <row r="338" spans="2:44" s="3380" customFormat="1" x14ac:dyDescent="0.2">
      <c r="B338" s="3379"/>
      <c r="C338" s="3379"/>
      <c r="D338" s="4408"/>
      <c r="E338" s="3453"/>
      <c r="F338" s="4408"/>
      <c r="G338" s="3453"/>
      <c r="H338" s="4408"/>
      <c r="I338" s="3453"/>
      <c r="J338" s="4408"/>
      <c r="L338" s="4408"/>
      <c r="N338" s="4408"/>
      <c r="P338" s="4408"/>
      <c r="R338" s="4408"/>
      <c r="T338" s="4408"/>
      <c r="V338" s="4408"/>
      <c r="X338" s="4408"/>
      <c r="Z338" s="4408"/>
      <c r="AB338" s="4408"/>
      <c r="AD338" s="4408"/>
      <c r="AF338" s="4408"/>
      <c r="AH338" s="4408"/>
      <c r="AR338" s="4408"/>
    </row>
    <row r="339" spans="2:44" s="3380" customFormat="1" x14ac:dyDescent="0.2">
      <c r="D339" s="4408"/>
      <c r="E339" s="3453"/>
      <c r="F339" s="4408"/>
      <c r="G339" s="3453"/>
      <c r="H339" s="4408"/>
      <c r="I339" s="3453"/>
      <c r="J339" s="4408"/>
      <c r="L339" s="4408"/>
      <c r="N339" s="4408"/>
      <c r="P339" s="4408"/>
      <c r="R339" s="4408"/>
      <c r="T339" s="4408"/>
      <c r="V339" s="4408"/>
      <c r="X339" s="4408"/>
      <c r="Z339" s="4408"/>
      <c r="AB339" s="4408"/>
      <c r="AD339" s="4408"/>
      <c r="AF339" s="4408"/>
      <c r="AH339" s="4408"/>
      <c r="AR339" s="4408"/>
    </row>
    <row r="340" spans="2:44" s="3380" customFormat="1" x14ac:dyDescent="0.2">
      <c r="D340" s="4408"/>
      <c r="E340" s="3453"/>
      <c r="F340" s="4408"/>
      <c r="G340" s="3453"/>
      <c r="H340" s="4408"/>
      <c r="I340" s="3453"/>
      <c r="J340" s="4408"/>
      <c r="L340" s="4408"/>
      <c r="N340" s="4408"/>
      <c r="P340" s="4408"/>
      <c r="R340" s="4408"/>
      <c r="T340" s="4408"/>
      <c r="V340" s="4408"/>
      <c r="X340" s="4408"/>
      <c r="Z340" s="4408"/>
      <c r="AB340" s="4408"/>
      <c r="AD340" s="4408"/>
      <c r="AF340" s="4408"/>
      <c r="AH340" s="4408"/>
      <c r="AR340" s="4408"/>
    </row>
    <row r="341" spans="2:44" s="3380" customFormat="1" x14ac:dyDescent="0.2">
      <c r="D341" s="4408"/>
      <c r="E341" s="3453"/>
      <c r="F341" s="4408"/>
      <c r="G341" s="3453"/>
      <c r="H341" s="4408"/>
      <c r="I341" s="3453"/>
      <c r="J341" s="4408"/>
      <c r="L341" s="4408"/>
      <c r="N341" s="4408"/>
      <c r="P341" s="4408"/>
      <c r="R341" s="4408"/>
      <c r="T341" s="4408"/>
      <c r="V341" s="4408"/>
      <c r="X341" s="4408"/>
      <c r="Z341" s="4408"/>
      <c r="AB341" s="4408"/>
      <c r="AD341" s="4408"/>
      <c r="AF341" s="4408"/>
      <c r="AH341" s="4408"/>
      <c r="AR341" s="4408"/>
    </row>
    <row r="342" spans="2:44" s="3380" customFormat="1" x14ac:dyDescent="0.2">
      <c r="D342" s="4408"/>
      <c r="E342" s="3453"/>
      <c r="F342" s="4408"/>
      <c r="G342" s="3453"/>
      <c r="H342" s="4408"/>
      <c r="I342" s="3453"/>
      <c r="J342" s="4408"/>
      <c r="L342" s="4408"/>
      <c r="N342" s="4408"/>
      <c r="P342" s="4408"/>
      <c r="R342" s="4408"/>
      <c r="T342" s="4408"/>
      <c r="V342" s="4408"/>
      <c r="X342" s="4408"/>
      <c r="Z342" s="4408"/>
      <c r="AB342" s="4408"/>
      <c r="AD342" s="4408"/>
      <c r="AF342" s="4408"/>
      <c r="AH342" s="4408"/>
      <c r="AR342" s="4408"/>
    </row>
    <row r="343" spans="2:44" s="3380" customFormat="1" x14ac:dyDescent="0.2">
      <c r="D343" s="4408"/>
      <c r="E343" s="3453"/>
      <c r="F343" s="4408"/>
      <c r="G343" s="3453"/>
      <c r="H343" s="4408"/>
      <c r="I343" s="3453"/>
      <c r="J343" s="4408"/>
      <c r="L343" s="4408"/>
      <c r="N343" s="4408"/>
      <c r="P343" s="4408"/>
      <c r="R343" s="4408"/>
      <c r="T343" s="4408"/>
      <c r="V343" s="4408"/>
      <c r="X343" s="4408"/>
      <c r="Z343" s="4408"/>
      <c r="AB343" s="4408"/>
      <c r="AD343" s="4408"/>
      <c r="AF343" s="4408"/>
      <c r="AH343" s="4408"/>
      <c r="AR343" s="4408"/>
    </row>
    <row r="344" spans="2:44" s="3380" customFormat="1" x14ac:dyDescent="0.2">
      <c r="D344" s="4408"/>
      <c r="E344" s="3453"/>
      <c r="F344" s="4408"/>
      <c r="G344" s="3453"/>
      <c r="H344" s="4408"/>
      <c r="I344" s="3453"/>
      <c r="J344" s="4408"/>
      <c r="L344" s="4408"/>
      <c r="N344" s="4408"/>
      <c r="P344" s="4408"/>
      <c r="R344" s="4408"/>
      <c r="T344" s="4408"/>
      <c r="V344" s="4408"/>
      <c r="X344" s="4408"/>
      <c r="Z344" s="4408"/>
      <c r="AB344" s="4408"/>
      <c r="AD344" s="4408"/>
      <c r="AF344" s="4408"/>
      <c r="AH344" s="4408"/>
      <c r="AR344" s="4408"/>
    </row>
    <row r="345" spans="2:44" s="3380" customFormat="1" x14ac:dyDescent="0.2">
      <c r="D345" s="4408"/>
      <c r="E345" s="3453"/>
      <c r="F345" s="4408"/>
      <c r="G345" s="3453"/>
      <c r="H345" s="4408"/>
      <c r="I345" s="3453"/>
      <c r="J345" s="4408"/>
      <c r="L345" s="4408"/>
      <c r="N345" s="4408"/>
      <c r="P345" s="4408"/>
      <c r="R345" s="4408"/>
      <c r="T345" s="4408"/>
      <c r="V345" s="4408"/>
      <c r="X345" s="4408"/>
      <c r="Z345" s="4408"/>
      <c r="AB345" s="4408"/>
      <c r="AD345" s="4408"/>
      <c r="AF345" s="4408"/>
      <c r="AH345" s="4408"/>
      <c r="AR345" s="4408"/>
    </row>
    <row r="346" spans="2:44" s="3380" customFormat="1" x14ac:dyDescent="0.2">
      <c r="D346" s="4408"/>
      <c r="E346" s="3453"/>
      <c r="F346" s="4408"/>
      <c r="G346" s="3453"/>
      <c r="H346" s="4408"/>
      <c r="I346" s="3453"/>
      <c r="J346" s="4408"/>
      <c r="L346" s="4408"/>
      <c r="N346" s="4408"/>
      <c r="P346" s="4408"/>
      <c r="R346" s="4408"/>
      <c r="T346" s="4408"/>
      <c r="V346" s="4408"/>
      <c r="X346" s="4408"/>
      <c r="Z346" s="4408"/>
      <c r="AB346" s="4408"/>
      <c r="AD346" s="4408"/>
      <c r="AF346" s="4408"/>
      <c r="AH346" s="4408"/>
      <c r="AR346" s="4408"/>
    </row>
    <row r="347" spans="2:44" s="3380" customFormat="1" x14ac:dyDescent="0.2">
      <c r="D347" s="4408"/>
      <c r="E347" s="3453"/>
      <c r="F347" s="4408"/>
      <c r="G347" s="3453"/>
      <c r="H347" s="4408"/>
      <c r="I347" s="3453"/>
      <c r="J347" s="4408"/>
      <c r="L347" s="4408"/>
      <c r="N347" s="4408"/>
      <c r="P347" s="4408"/>
      <c r="R347" s="4408"/>
      <c r="T347" s="4408"/>
      <c r="V347" s="4408"/>
      <c r="X347" s="4408"/>
      <c r="Z347" s="4408"/>
      <c r="AB347" s="4408"/>
      <c r="AD347" s="4408"/>
      <c r="AF347" s="4408"/>
      <c r="AH347" s="4408"/>
      <c r="AR347" s="4408"/>
    </row>
    <row r="348" spans="2:44" s="3380" customFormat="1" x14ac:dyDescent="0.2">
      <c r="D348" s="4408"/>
      <c r="E348" s="3453"/>
      <c r="F348" s="4408"/>
      <c r="G348" s="3453"/>
      <c r="H348" s="4408"/>
      <c r="I348" s="3453"/>
      <c r="J348" s="4408"/>
      <c r="L348" s="4408"/>
      <c r="N348" s="4408"/>
      <c r="P348" s="4408"/>
      <c r="R348" s="4408"/>
      <c r="T348" s="4408"/>
      <c r="V348" s="4408"/>
      <c r="X348" s="4408"/>
      <c r="Z348" s="4408"/>
      <c r="AB348" s="4408"/>
      <c r="AD348" s="4408"/>
      <c r="AF348" s="4408"/>
      <c r="AH348" s="4408"/>
      <c r="AR348" s="4408"/>
    </row>
    <row r="349" spans="2:44" s="3380" customFormat="1" x14ac:dyDescent="0.2">
      <c r="D349" s="4408"/>
      <c r="E349" s="3453"/>
      <c r="F349" s="4408"/>
      <c r="G349" s="3453"/>
      <c r="H349" s="4408"/>
      <c r="I349" s="3453"/>
      <c r="J349" s="4408"/>
      <c r="L349" s="4408"/>
      <c r="N349" s="4408"/>
      <c r="P349" s="4408"/>
      <c r="R349" s="4408"/>
      <c r="T349" s="4408"/>
      <c r="V349" s="4408"/>
      <c r="X349" s="4408"/>
      <c r="Z349" s="4408"/>
      <c r="AB349" s="4408"/>
      <c r="AD349" s="4408"/>
      <c r="AF349" s="4408"/>
      <c r="AH349" s="4408"/>
      <c r="AR349" s="4408"/>
    </row>
    <row r="350" spans="2:44" s="3380" customFormat="1" x14ac:dyDescent="0.2">
      <c r="D350" s="4408"/>
      <c r="E350" s="3453"/>
      <c r="F350" s="4408"/>
      <c r="G350" s="3453"/>
      <c r="H350" s="4408"/>
      <c r="I350" s="3453"/>
      <c r="J350" s="4408"/>
      <c r="L350" s="4408"/>
      <c r="N350" s="4408"/>
      <c r="P350" s="4408"/>
      <c r="R350" s="4408"/>
      <c r="T350" s="4408"/>
      <c r="V350" s="4408"/>
      <c r="X350" s="4408"/>
      <c r="Z350" s="4408"/>
      <c r="AB350" s="4408"/>
      <c r="AD350" s="4408"/>
      <c r="AF350" s="4408"/>
      <c r="AH350" s="4408"/>
      <c r="AR350" s="4408"/>
    </row>
    <row r="351" spans="2:44" s="3380" customFormat="1" x14ac:dyDescent="0.2">
      <c r="D351" s="4408"/>
      <c r="E351" s="3453"/>
      <c r="F351" s="4408"/>
      <c r="G351" s="3453"/>
      <c r="H351" s="4408"/>
      <c r="I351" s="3453"/>
      <c r="J351" s="4408"/>
      <c r="L351" s="4408"/>
      <c r="N351" s="4408"/>
      <c r="P351" s="4408"/>
      <c r="R351" s="4408"/>
      <c r="T351" s="4408"/>
      <c r="V351" s="4408"/>
      <c r="X351" s="4408"/>
      <c r="Z351" s="4408"/>
      <c r="AB351" s="4408"/>
      <c r="AD351" s="4408"/>
      <c r="AF351" s="4408"/>
      <c r="AH351" s="4408"/>
      <c r="AR351" s="4408"/>
    </row>
    <row r="352" spans="2:44" s="3380" customFormat="1" x14ac:dyDescent="0.2">
      <c r="D352" s="4408"/>
      <c r="E352" s="3453"/>
      <c r="F352" s="4408"/>
      <c r="G352" s="3453"/>
      <c r="H352" s="4408"/>
      <c r="I352" s="3453"/>
      <c r="J352" s="4408"/>
      <c r="L352" s="4408"/>
      <c r="N352" s="4408"/>
      <c r="P352" s="4408"/>
      <c r="R352" s="4408"/>
      <c r="T352" s="4408"/>
      <c r="V352" s="4408"/>
      <c r="X352" s="4408"/>
      <c r="Z352" s="4408"/>
      <c r="AB352" s="4408"/>
      <c r="AD352" s="4408"/>
      <c r="AF352" s="4408"/>
      <c r="AH352" s="4408"/>
      <c r="AR352" s="4408"/>
    </row>
    <row r="353" spans="4:44" s="3380" customFormat="1" x14ac:dyDescent="0.2">
      <c r="D353" s="4408"/>
      <c r="E353" s="3453"/>
      <c r="F353" s="4408"/>
      <c r="G353" s="3453"/>
      <c r="H353" s="4408"/>
      <c r="I353" s="3453"/>
      <c r="J353" s="4408"/>
      <c r="L353" s="4408"/>
      <c r="N353" s="4408"/>
      <c r="P353" s="4408"/>
      <c r="R353" s="4408"/>
      <c r="T353" s="4408"/>
      <c r="V353" s="4408"/>
      <c r="X353" s="4408"/>
      <c r="Z353" s="4408"/>
      <c r="AB353" s="4408"/>
      <c r="AD353" s="4408"/>
      <c r="AF353" s="4408"/>
      <c r="AH353" s="4408"/>
      <c r="AR353" s="4408"/>
    </row>
    <row r="354" spans="4:44" s="3380" customFormat="1" x14ac:dyDescent="0.2">
      <c r="D354" s="4408"/>
      <c r="E354" s="3453"/>
      <c r="F354" s="4408"/>
      <c r="G354" s="3453"/>
      <c r="H354" s="4408"/>
      <c r="I354" s="3453"/>
      <c r="J354" s="4408"/>
      <c r="L354" s="4408"/>
      <c r="N354" s="4408"/>
      <c r="P354" s="4408"/>
      <c r="R354" s="4408"/>
      <c r="T354" s="4408"/>
      <c r="V354" s="4408"/>
      <c r="X354" s="4408"/>
      <c r="Z354" s="4408"/>
      <c r="AB354" s="4408"/>
      <c r="AD354" s="4408"/>
      <c r="AF354" s="4408"/>
      <c r="AH354" s="4408"/>
      <c r="AR354" s="4408"/>
    </row>
    <row r="355" spans="4:44" s="3380" customFormat="1" x14ac:dyDescent="0.2">
      <c r="D355" s="4408"/>
      <c r="E355" s="3453"/>
      <c r="F355" s="4408"/>
      <c r="G355" s="3453"/>
      <c r="H355" s="4408"/>
      <c r="I355" s="3453"/>
      <c r="J355" s="4408"/>
      <c r="L355" s="4408"/>
      <c r="N355" s="4408"/>
      <c r="P355" s="4408"/>
      <c r="R355" s="4408"/>
      <c r="T355" s="4408"/>
      <c r="V355" s="4408"/>
      <c r="X355" s="4408"/>
      <c r="Z355" s="4408"/>
      <c r="AB355" s="4408"/>
      <c r="AD355" s="4408"/>
      <c r="AF355" s="4408"/>
      <c r="AH355" s="4408"/>
      <c r="AR355" s="4408"/>
    </row>
    <row r="356" spans="4:44" s="3380" customFormat="1" x14ac:dyDescent="0.2">
      <c r="D356" s="4408"/>
      <c r="E356" s="3453"/>
      <c r="F356" s="4408"/>
      <c r="G356" s="3453"/>
      <c r="H356" s="4408"/>
      <c r="I356" s="3453"/>
      <c r="J356" s="4408"/>
      <c r="L356" s="4408"/>
      <c r="N356" s="4408"/>
      <c r="P356" s="4408"/>
      <c r="R356" s="4408"/>
      <c r="T356" s="4408"/>
      <c r="V356" s="4408"/>
      <c r="X356" s="4408"/>
      <c r="Z356" s="4408"/>
      <c r="AB356" s="4408"/>
      <c r="AD356" s="4408"/>
      <c r="AF356" s="4408"/>
      <c r="AH356" s="4408"/>
      <c r="AR356" s="4408"/>
    </row>
    <row r="357" spans="4:44" s="3380" customFormat="1" x14ac:dyDescent="0.2">
      <c r="D357" s="4408"/>
      <c r="E357" s="3453"/>
      <c r="F357" s="4408"/>
      <c r="G357" s="3453"/>
      <c r="H357" s="4408"/>
      <c r="I357" s="3453"/>
      <c r="J357" s="4408"/>
      <c r="L357" s="4408"/>
      <c r="N357" s="4408"/>
      <c r="P357" s="4408"/>
      <c r="R357" s="4408"/>
      <c r="T357" s="4408"/>
      <c r="V357" s="4408"/>
      <c r="X357" s="4408"/>
      <c r="Z357" s="4408"/>
      <c r="AB357" s="4408"/>
      <c r="AD357" s="4408"/>
      <c r="AF357" s="4408"/>
      <c r="AH357" s="4408"/>
      <c r="AR357" s="4408"/>
    </row>
    <row r="358" spans="4:44" s="3380" customFormat="1" x14ac:dyDescent="0.2">
      <c r="D358" s="4408"/>
      <c r="E358" s="3453"/>
      <c r="F358" s="4408"/>
      <c r="G358" s="3453"/>
      <c r="H358" s="4408"/>
      <c r="I358" s="3453"/>
      <c r="J358" s="4408"/>
      <c r="L358" s="4408"/>
      <c r="N358" s="4408"/>
      <c r="P358" s="4408"/>
      <c r="R358" s="4408"/>
      <c r="T358" s="4408"/>
      <c r="V358" s="4408"/>
      <c r="X358" s="4408"/>
      <c r="Z358" s="4408"/>
      <c r="AB358" s="4408"/>
      <c r="AD358" s="4408"/>
      <c r="AF358" s="4408"/>
      <c r="AH358" s="4408"/>
      <c r="AR358" s="4408"/>
    </row>
    <row r="359" spans="4:44" s="3380" customFormat="1" x14ac:dyDescent="0.2">
      <c r="D359" s="4408"/>
      <c r="E359" s="3453"/>
      <c r="F359" s="4408"/>
      <c r="G359" s="3453"/>
      <c r="H359" s="4408"/>
      <c r="I359" s="3453"/>
      <c r="J359" s="4408"/>
      <c r="L359" s="4408"/>
      <c r="N359" s="4408"/>
      <c r="P359" s="4408"/>
      <c r="R359" s="4408"/>
      <c r="T359" s="4408"/>
      <c r="V359" s="4408"/>
      <c r="X359" s="4408"/>
      <c r="Z359" s="4408"/>
      <c r="AF359" s="4408"/>
      <c r="AH359" s="4408"/>
      <c r="AR359" s="4408"/>
    </row>
    <row r="360" spans="4:44" s="3380" customFormat="1" x14ac:dyDescent="0.2">
      <c r="D360" s="4408"/>
      <c r="E360" s="3453"/>
      <c r="F360" s="4408"/>
      <c r="G360" s="3453"/>
      <c r="H360" s="4408"/>
      <c r="I360" s="3453"/>
      <c r="J360" s="4408"/>
      <c r="L360" s="4408"/>
      <c r="N360" s="4408"/>
      <c r="P360" s="4408"/>
      <c r="R360" s="4408"/>
      <c r="T360" s="4408"/>
      <c r="V360" s="4408"/>
      <c r="X360" s="4408"/>
      <c r="Z360" s="4408"/>
      <c r="AF360" s="4408"/>
      <c r="AH360" s="4408"/>
      <c r="AR360" s="4408"/>
    </row>
    <row r="361" spans="4:44" s="3380" customFormat="1" x14ac:dyDescent="0.2">
      <c r="D361" s="4408"/>
      <c r="E361" s="3453"/>
      <c r="F361" s="4408"/>
      <c r="G361" s="3453"/>
      <c r="H361" s="4408"/>
      <c r="I361" s="3453"/>
      <c r="J361" s="4408"/>
      <c r="L361" s="4408"/>
      <c r="N361" s="4408"/>
      <c r="P361" s="4408"/>
      <c r="R361" s="4408"/>
      <c r="T361" s="4408"/>
      <c r="V361" s="4408"/>
      <c r="X361" s="4408"/>
      <c r="Z361" s="4408"/>
      <c r="AF361" s="4408"/>
      <c r="AH361" s="4408"/>
      <c r="AR361" s="4408"/>
    </row>
    <row r="362" spans="4:44" s="3380" customFormat="1" x14ac:dyDescent="0.2">
      <c r="D362" s="4408"/>
      <c r="E362" s="3453"/>
      <c r="F362" s="4408"/>
      <c r="G362" s="3453"/>
      <c r="H362" s="4408"/>
      <c r="I362" s="3453"/>
      <c r="J362" s="4408"/>
      <c r="L362" s="4408"/>
      <c r="N362" s="4408"/>
      <c r="P362" s="4408"/>
      <c r="R362" s="4408"/>
      <c r="T362" s="4408"/>
      <c r="V362" s="4408"/>
      <c r="X362" s="4408"/>
      <c r="Z362" s="4408"/>
      <c r="AF362" s="4408"/>
      <c r="AH362" s="4408"/>
      <c r="AR362" s="4408"/>
    </row>
    <row r="363" spans="4:44" s="3380" customFormat="1" x14ac:dyDescent="0.2">
      <c r="D363" s="4408"/>
      <c r="E363" s="3453"/>
      <c r="F363" s="4408"/>
      <c r="G363" s="3453"/>
      <c r="H363" s="4408"/>
      <c r="I363" s="3453"/>
      <c r="J363" s="4408"/>
      <c r="L363" s="4408"/>
      <c r="N363" s="4408"/>
      <c r="P363" s="4408"/>
      <c r="R363" s="4408"/>
      <c r="T363" s="4408"/>
      <c r="V363" s="4408"/>
      <c r="X363" s="4408"/>
      <c r="Z363" s="4408"/>
      <c r="AF363" s="4408"/>
      <c r="AH363" s="4408"/>
      <c r="AR363" s="4408"/>
    </row>
    <row r="364" spans="4:44" s="3380" customFormat="1" x14ac:dyDescent="0.2">
      <c r="D364" s="4408"/>
      <c r="E364" s="3453"/>
      <c r="F364" s="4408"/>
      <c r="G364" s="3453"/>
      <c r="H364" s="4408"/>
      <c r="I364" s="3453"/>
      <c r="J364" s="4408"/>
      <c r="L364" s="4408"/>
      <c r="N364" s="4408"/>
      <c r="P364" s="4408"/>
      <c r="R364" s="4408"/>
      <c r="T364" s="4408"/>
      <c r="V364" s="4408"/>
      <c r="X364" s="4408"/>
      <c r="Z364" s="4408"/>
      <c r="AF364" s="4408"/>
      <c r="AH364" s="4408"/>
      <c r="AR364" s="4408"/>
    </row>
    <row r="365" spans="4:44" s="3380" customFormat="1" x14ac:dyDescent="0.2">
      <c r="D365" s="4408"/>
      <c r="E365" s="3453"/>
      <c r="F365" s="4408"/>
      <c r="G365" s="3453"/>
      <c r="H365" s="4408"/>
      <c r="I365" s="3453"/>
      <c r="J365" s="4408"/>
      <c r="L365" s="4408"/>
      <c r="N365" s="4408"/>
      <c r="P365" s="4408"/>
      <c r="R365" s="4408"/>
      <c r="T365" s="4408"/>
      <c r="V365" s="4408"/>
      <c r="X365" s="4408"/>
      <c r="Z365" s="4408"/>
      <c r="AF365" s="4408"/>
      <c r="AH365" s="4408"/>
      <c r="AR365" s="4408"/>
    </row>
    <row r="366" spans="4:44" s="3380" customFormat="1" x14ac:dyDescent="0.2">
      <c r="D366" s="4408"/>
      <c r="E366" s="3453"/>
      <c r="F366" s="4408"/>
      <c r="G366" s="3453"/>
      <c r="H366" s="4408"/>
      <c r="I366" s="3453"/>
      <c r="J366" s="4408"/>
      <c r="L366" s="4408"/>
      <c r="N366" s="4408"/>
      <c r="P366" s="4408"/>
      <c r="R366" s="4408"/>
      <c r="T366" s="4408"/>
      <c r="V366" s="4408"/>
      <c r="X366" s="4408"/>
      <c r="Z366" s="4408"/>
      <c r="AF366" s="4408"/>
      <c r="AH366" s="4408"/>
      <c r="AR366" s="4408"/>
    </row>
    <row r="367" spans="4:44" s="3380" customFormat="1" x14ac:dyDescent="0.2">
      <c r="D367" s="4408"/>
      <c r="E367" s="3453"/>
      <c r="F367" s="4408"/>
      <c r="G367" s="3453"/>
      <c r="H367" s="4408"/>
      <c r="I367" s="3453"/>
      <c r="J367" s="4408"/>
      <c r="L367" s="4408"/>
      <c r="N367" s="4408"/>
      <c r="P367" s="4408"/>
      <c r="R367" s="4408"/>
      <c r="T367" s="4408"/>
      <c r="V367" s="4408"/>
      <c r="X367" s="4408"/>
      <c r="Z367" s="4408"/>
      <c r="AF367" s="4408"/>
      <c r="AH367" s="4408"/>
      <c r="AR367" s="4408"/>
    </row>
    <row r="368" spans="4:44" s="3380" customFormat="1" x14ac:dyDescent="0.2">
      <c r="D368" s="4408"/>
      <c r="E368" s="3453"/>
      <c r="F368" s="4408"/>
      <c r="G368" s="3453"/>
      <c r="H368" s="4408"/>
      <c r="I368" s="3453"/>
      <c r="J368" s="4408"/>
      <c r="L368" s="4408"/>
      <c r="N368" s="4408"/>
      <c r="P368" s="4408"/>
      <c r="R368" s="4408"/>
      <c r="T368" s="4408"/>
      <c r="V368" s="4408"/>
      <c r="X368" s="4408"/>
      <c r="Z368" s="4408"/>
      <c r="AF368" s="4408"/>
      <c r="AH368" s="4408"/>
      <c r="AR368" s="4408"/>
    </row>
    <row r="369" spans="4:44" s="3380" customFormat="1" x14ac:dyDescent="0.2">
      <c r="D369" s="4408"/>
      <c r="E369" s="3453"/>
      <c r="F369" s="4408"/>
      <c r="G369" s="3453"/>
      <c r="H369" s="4408"/>
      <c r="I369" s="3453"/>
      <c r="J369" s="4408"/>
      <c r="L369" s="4408"/>
      <c r="N369" s="4408"/>
      <c r="P369" s="4408"/>
      <c r="R369" s="4408"/>
      <c r="T369" s="4408"/>
      <c r="V369" s="4408"/>
      <c r="X369" s="4408"/>
      <c r="Z369" s="4408"/>
      <c r="AF369" s="4408"/>
      <c r="AH369" s="4408"/>
      <c r="AR369" s="4408"/>
    </row>
    <row r="370" spans="4:44" s="3380" customFormat="1" x14ac:dyDescent="0.2">
      <c r="D370" s="4408"/>
      <c r="E370" s="3453"/>
      <c r="F370" s="4408"/>
      <c r="G370" s="3453"/>
      <c r="H370" s="4408"/>
      <c r="I370" s="3453"/>
      <c r="J370" s="4408"/>
      <c r="L370" s="4408"/>
      <c r="N370" s="4408"/>
      <c r="P370" s="4408"/>
      <c r="R370" s="4408"/>
      <c r="T370" s="4408"/>
      <c r="V370" s="4408"/>
      <c r="X370" s="4408"/>
      <c r="Z370" s="4408"/>
      <c r="AF370" s="4408"/>
      <c r="AH370" s="4408"/>
      <c r="AR370" s="4408"/>
    </row>
    <row r="371" spans="4:44" s="3380" customFormat="1" x14ac:dyDescent="0.2">
      <c r="D371" s="4408"/>
      <c r="E371" s="3453"/>
      <c r="F371" s="4408"/>
      <c r="G371" s="3453"/>
      <c r="H371" s="4408"/>
      <c r="I371" s="3453"/>
      <c r="J371" s="4408"/>
      <c r="L371" s="4408"/>
      <c r="N371" s="4408"/>
      <c r="P371" s="4408"/>
      <c r="R371" s="4408"/>
      <c r="T371" s="4408"/>
      <c r="V371" s="4408"/>
      <c r="X371" s="4408"/>
      <c r="Z371" s="4408"/>
      <c r="AF371" s="4408"/>
      <c r="AH371" s="4408"/>
      <c r="AR371" s="4408"/>
    </row>
    <row r="372" spans="4:44" s="3380" customFormat="1" x14ac:dyDescent="0.2">
      <c r="D372" s="4408"/>
      <c r="E372" s="3453"/>
      <c r="F372" s="4408"/>
      <c r="G372" s="3453"/>
      <c r="H372" s="4408"/>
      <c r="I372" s="3453"/>
      <c r="J372" s="4408"/>
      <c r="L372" s="4408"/>
      <c r="N372" s="4408"/>
      <c r="P372" s="4408"/>
      <c r="R372" s="4408"/>
      <c r="T372" s="4408"/>
      <c r="V372" s="4408"/>
      <c r="X372" s="4408"/>
      <c r="Z372" s="4408"/>
      <c r="AF372" s="4408"/>
      <c r="AH372" s="4408"/>
      <c r="AR372" s="4408"/>
    </row>
    <row r="373" spans="4:44" s="3380" customFormat="1" x14ac:dyDescent="0.2">
      <c r="D373" s="4408"/>
      <c r="E373" s="3453"/>
      <c r="F373" s="4408"/>
      <c r="G373" s="3453"/>
      <c r="H373" s="4408"/>
      <c r="I373" s="3453"/>
      <c r="J373" s="4408"/>
      <c r="L373" s="4408"/>
      <c r="N373" s="4408"/>
      <c r="P373" s="4408"/>
      <c r="R373" s="4408"/>
      <c r="T373" s="4408"/>
      <c r="V373" s="4408"/>
      <c r="X373" s="4408"/>
      <c r="Z373" s="4408"/>
      <c r="AF373" s="4408"/>
      <c r="AH373" s="4408"/>
      <c r="AR373" s="4408"/>
    </row>
    <row r="374" spans="4:44" s="3380" customFormat="1" x14ac:dyDescent="0.2">
      <c r="D374" s="4408"/>
      <c r="E374" s="3453"/>
      <c r="F374" s="4408"/>
      <c r="G374" s="3453"/>
      <c r="H374" s="4408"/>
      <c r="I374" s="3453"/>
      <c r="J374" s="4408"/>
      <c r="L374" s="4408"/>
      <c r="N374" s="4408"/>
      <c r="P374" s="4408"/>
      <c r="R374" s="4408"/>
      <c r="T374" s="4408"/>
      <c r="V374" s="4408"/>
      <c r="X374" s="4408"/>
      <c r="Z374" s="4408"/>
      <c r="AF374" s="4408"/>
      <c r="AH374" s="4408"/>
      <c r="AR374" s="4408"/>
    </row>
    <row r="375" spans="4:44" s="3380" customFormat="1" x14ac:dyDescent="0.2">
      <c r="D375" s="4408"/>
      <c r="E375" s="3453"/>
      <c r="F375" s="4408"/>
      <c r="G375" s="3453"/>
      <c r="H375" s="4408"/>
      <c r="I375" s="3453"/>
      <c r="J375" s="4408"/>
      <c r="L375" s="4408"/>
      <c r="N375" s="4408"/>
      <c r="P375" s="4408"/>
      <c r="R375" s="4408"/>
      <c r="T375" s="4408"/>
      <c r="V375" s="4408"/>
      <c r="X375" s="4408"/>
      <c r="Z375" s="4408"/>
      <c r="AF375" s="4408"/>
      <c r="AH375" s="4408"/>
      <c r="AR375" s="4408"/>
    </row>
    <row r="376" spans="4:44" s="3380" customFormat="1" x14ac:dyDescent="0.2">
      <c r="D376" s="4408"/>
      <c r="E376" s="3453"/>
      <c r="F376" s="4408"/>
      <c r="G376" s="3453"/>
      <c r="H376" s="4408"/>
      <c r="I376" s="3453"/>
      <c r="J376" s="4408"/>
      <c r="L376" s="4408"/>
      <c r="N376" s="4408"/>
      <c r="P376" s="4408"/>
      <c r="R376" s="4408"/>
      <c r="T376" s="4408"/>
      <c r="V376" s="4408"/>
      <c r="X376" s="4408"/>
      <c r="Z376" s="4408"/>
      <c r="AF376" s="4408"/>
      <c r="AH376" s="4408"/>
      <c r="AR376" s="4408"/>
    </row>
    <row r="377" spans="4:44" s="3380" customFormat="1" x14ac:dyDescent="0.2">
      <c r="D377" s="4408"/>
      <c r="E377" s="3453"/>
      <c r="F377" s="4408"/>
      <c r="G377" s="3453"/>
      <c r="H377" s="4408"/>
      <c r="I377" s="3453"/>
      <c r="J377" s="4408"/>
      <c r="L377" s="4408"/>
      <c r="N377" s="4408"/>
      <c r="P377" s="4408"/>
      <c r="R377" s="4408"/>
      <c r="T377" s="4408"/>
      <c r="V377" s="4408"/>
      <c r="X377" s="4408"/>
      <c r="Z377" s="4408"/>
      <c r="AF377" s="4408"/>
      <c r="AH377" s="4408"/>
      <c r="AR377" s="4408"/>
    </row>
    <row r="378" spans="4:44" s="3380" customFormat="1" x14ac:dyDescent="0.2">
      <c r="D378" s="4408"/>
      <c r="E378" s="3453"/>
      <c r="F378" s="4408"/>
      <c r="G378" s="3453"/>
      <c r="H378" s="4408"/>
      <c r="I378" s="3453"/>
      <c r="J378" s="4408"/>
      <c r="L378" s="4408"/>
      <c r="N378" s="4408"/>
      <c r="P378" s="4408"/>
      <c r="R378" s="4408"/>
      <c r="T378" s="4408"/>
      <c r="V378" s="4408"/>
      <c r="X378" s="4408"/>
      <c r="Z378" s="4408"/>
      <c r="AF378" s="4408"/>
      <c r="AH378" s="4408"/>
      <c r="AR378" s="4408"/>
    </row>
    <row r="379" spans="4:44" s="3380" customFormat="1" x14ac:dyDescent="0.2">
      <c r="D379" s="4408"/>
      <c r="E379" s="3453"/>
      <c r="F379" s="4408"/>
      <c r="G379" s="3453"/>
      <c r="H379" s="4408"/>
      <c r="I379" s="3453"/>
      <c r="J379" s="4408"/>
      <c r="L379" s="4408"/>
      <c r="N379" s="4408"/>
      <c r="P379" s="4408"/>
      <c r="R379" s="4408"/>
      <c r="T379" s="4408"/>
      <c r="V379" s="4408"/>
      <c r="X379" s="4408"/>
      <c r="Z379" s="4408"/>
      <c r="AF379" s="4408"/>
      <c r="AH379" s="4408"/>
      <c r="AR379" s="4408"/>
    </row>
    <row r="380" spans="4:44" s="3380" customFormat="1" x14ac:dyDescent="0.2">
      <c r="D380" s="4408"/>
      <c r="E380" s="3453"/>
      <c r="F380" s="4408"/>
      <c r="G380" s="3453"/>
      <c r="H380" s="4408"/>
      <c r="I380" s="3453"/>
      <c r="J380" s="4408"/>
      <c r="L380" s="4408"/>
      <c r="N380" s="4408"/>
      <c r="P380" s="4408"/>
      <c r="R380" s="4408"/>
      <c r="T380" s="4408"/>
      <c r="V380" s="4408"/>
      <c r="X380" s="4408"/>
      <c r="Z380" s="4408"/>
      <c r="AF380" s="4408"/>
      <c r="AH380" s="4408"/>
      <c r="AR380" s="4408"/>
    </row>
    <row r="381" spans="4:44" s="3380" customFormat="1" x14ac:dyDescent="0.2">
      <c r="D381" s="4408"/>
      <c r="E381" s="3453"/>
      <c r="F381" s="4408"/>
      <c r="G381" s="3453"/>
      <c r="H381" s="4408"/>
      <c r="I381" s="3453"/>
      <c r="J381" s="4408"/>
      <c r="L381" s="4408"/>
      <c r="N381" s="4408"/>
      <c r="P381" s="4408"/>
      <c r="R381" s="4408"/>
      <c r="T381" s="4408"/>
      <c r="V381" s="4408"/>
      <c r="X381" s="4408"/>
      <c r="Z381" s="4408"/>
      <c r="AF381" s="4408"/>
      <c r="AH381" s="4408"/>
      <c r="AR381" s="4408"/>
    </row>
    <row r="382" spans="4:44" s="3380" customFormat="1" x14ac:dyDescent="0.2">
      <c r="D382" s="4408"/>
      <c r="E382" s="3453"/>
      <c r="F382" s="4408"/>
      <c r="G382" s="3453"/>
      <c r="H382" s="4408"/>
      <c r="I382" s="3453"/>
      <c r="J382" s="4408"/>
      <c r="L382" s="4408"/>
      <c r="N382" s="4408"/>
      <c r="P382" s="4408"/>
      <c r="R382" s="4408"/>
      <c r="T382" s="4408"/>
      <c r="V382" s="4408"/>
      <c r="X382" s="4408"/>
      <c r="Z382" s="4408"/>
      <c r="AF382" s="4408"/>
      <c r="AH382" s="4408"/>
      <c r="AR382" s="4408"/>
    </row>
    <row r="383" spans="4:44" s="3380" customFormat="1" x14ac:dyDescent="0.2">
      <c r="D383" s="4408"/>
      <c r="E383" s="3453"/>
      <c r="F383" s="4408"/>
      <c r="G383" s="3453"/>
      <c r="H383" s="4408"/>
      <c r="I383" s="3453"/>
      <c r="J383" s="4408"/>
      <c r="L383" s="4408"/>
      <c r="N383" s="4408"/>
      <c r="P383" s="4408"/>
      <c r="R383" s="4408"/>
      <c r="T383" s="4408"/>
      <c r="V383" s="4408"/>
      <c r="X383" s="4408"/>
      <c r="Z383" s="4408"/>
      <c r="AF383" s="4408"/>
      <c r="AH383" s="4408"/>
      <c r="AR383" s="4408"/>
    </row>
    <row r="384" spans="4:44" s="3380" customFormat="1" x14ac:dyDescent="0.2">
      <c r="D384" s="4408"/>
      <c r="E384" s="3453"/>
      <c r="F384" s="4408"/>
      <c r="G384" s="3453"/>
      <c r="H384" s="4408"/>
      <c r="I384" s="3453"/>
      <c r="J384" s="4408"/>
      <c r="L384" s="4408"/>
      <c r="N384" s="4408"/>
      <c r="P384" s="4408"/>
      <c r="R384" s="4408"/>
      <c r="T384" s="4408"/>
      <c r="V384" s="4408"/>
      <c r="X384" s="4408"/>
      <c r="Z384" s="4408"/>
      <c r="AF384" s="4408"/>
      <c r="AH384" s="4408"/>
      <c r="AR384" s="4408"/>
    </row>
    <row r="385" spans="4:44" s="3380" customFormat="1" x14ac:dyDescent="0.2">
      <c r="D385" s="4408"/>
      <c r="E385" s="3453"/>
      <c r="F385" s="4408"/>
      <c r="G385" s="3453"/>
      <c r="H385" s="4408"/>
      <c r="I385" s="3453"/>
      <c r="J385" s="4408"/>
      <c r="L385" s="4408"/>
      <c r="N385" s="4408"/>
      <c r="P385" s="4408"/>
      <c r="R385" s="4408"/>
      <c r="T385" s="4408"/>
      <c r="V385" s="4408"/>
      <c r="X385" s="4408"/>
      <c r="Z385" s="4408"/>
      <c r="AF385" s="4408"/>
      <c r="AH385" s="4408"/>
      <c r="AR385" s="4408"/>
    </row>
    <row r="386" spans="4:44" s="3380" customFormat="1" x14ac:dyDescent="0.2">
      <c r="D386" s="4408"/>
      <c r="E386" s="3453"/>
      <c r="F386" s="4408"/>
      <c r="G386" s="3453"/>
      <c r="H386" s="4408"/>
      <c r="I386" s="3453"/>
      <c r="J386" s="4408"/>
      <c r="L386" s="4408"/>
      <c r="N386" s="4408"/>
      <c r="P386" s="4408"/>
      <c r="R386" s="4408"/>
      <c r="T386" s="4408"/>
      <c r="V386" s="4408"/>
      <c r="X386" s="4408"/>
      <c r="Z386" s="4408"/>
      <c r="AF386" s="4408"/>
      <c r="AH386" s="4408"/>
      <c r="AR386" s="4408"/>
    </row>
    <row r="387" spans="4:44" s="3380" customFormat="1" x14ac:dyDescent="0.2">
      <c r="D387" s="4408"/>
      <c r="E387" s="3453"/>
      <c r="F387" s="4408"/>
      <c r="G387" s="3453"/>
      <c r="H387" s="4408"/>
      <c r="I387" s="3453"/>
      <c r="J387" s="4408"/>
      <c r="L387" s="4408"/>
      <c r="N387" s="4408"/>
      <c r="P387" s="4408"/>
      <c r="R387" s="4408"/>
      <c r="T387" s="4408"/>
      <c r="V387" s="4408"/>
      <c r="X387" s="4408"/>
      <c r="Z387" s="4408"/>
      <c r="AF387" s="4408"/>
      <c r="AH387" s="4408"/>
      <c r="AR387" s="4408"/>
    </row>
    <row r="388" spans="4:44" s="3380" customFormat="1" x14ac:dyDescent="0.2">
      <c r="D388" s="4408"/>
      <c r="E388" s="3453"/>
      <c r="F388" s="4408"/>
      <c r="G388" s="3453"/>
      <c r="H388" s="4408"/>
      <c r="I388" s="3453"/>
      <c r="J388" s="4408"/>
      <c r="L388" s="4408"/>
      <c r="N388" s="4408"/>
      <c r="P388" s="4408"/>
      <c r="R388" s="4408"/>
      <c r="T388" s="4408"/>
      <c r="V388" s="4408"/>
      <c r="X388" s="4408"/>
      <c r="Z388" s="4408"/>
      <c r="AF388" s="4408"/>
      <c r="AH388" s="4408"/>
      <c r="AR388" s="4408"/>
    </row>
    <row r="389" spans="4:44" s="3380" customFormat="1" x14ac:dyDescent="0.2">
      <c r="D389" s="4408"/>
      <c r="E389" s="3453"/>
      <c r="F389" s="4408"/>
      <c r="G389" s="3453"/>
      <c r="H389" s="4408"/>
      <c r="I389" s="3453"/>
      <c r="J389" s="4408"/>
      <c r="L389" s="4408"/>
      <c r="N389" s="4408"/>
      <c r="P389" s="4408"/>
      <c r="R389" s="4408"/>
      <c r="T389" s="4408"/>
      <c r="V389" s="4408"/>
      <c r="X389" s="4408"/>
      <c r="Z389" s="4408"/>
      <c r="AF389" s="4408"/>
      <c r="AH389" s="4408"/>
      <c r="AR389" s="4408"/>
    </row>
    <row r="390" spans="4:44" s="3380" customFormat="1" x14ac:dyDescent="0.2">
      <c r="D390" s="4408"/>
      <c r="E390" s="3453"/>
      <c r="F390" s="4408"/>
      <c r="G390" s="3453"/>
      <c r="H390" s="4408"/>
      <c r="I390" s="3453"/>
      <c r="J390" s="4408"/>
      <c r="L390" s="4408"/>
      <c r="N390" s="4408"/>
      <c r="P390" s="4408"/>
      <c r="R390" s="4408"/>
      <c r="T390" s="4408"/>
      <c r="V390" s="4408"/>
      <c r="X390" s="4408"/>
      <c r="Z390" s="4408"/>
      <c r="AF390" s="4408"/>
      <c r="AH390" s="4408"/>
      <c r="AR390" s="4408"/>
    </row>
    <row r="391" spans="4:44" s="3380" customFormat="1" x14ac:dyDescent="0.2">
      <c r="D391" s="4408"/>
      <c r="E391" s="3453"/>
      <c r="F391" s="4408"/>
      <c r="G391" s="3453"/>
      <c r="H391" s="4408"/>
      <c r="I391" s="3453"/>
      <c r="J391" s="4408"/>
      <c r="L391" s="4408"/>
      <c r="N391" s="4408"/>
      <c r="P391" s="4408"/>
      <c r="R391" s="4408"/>
      <c r="T391" s="4408"/>
      <c r="V391" s="4408"/>
      <c r="X391" s="4408"/>
      <c r="Z391" s="4408"/>
      <c r="AF391" s="4408"/>
      <c r="AH391" s="4408"/>
      <c r="AR391" s="4408"/>
    </row>
    <row r="392" spans="4:44" s="3380" customFormat="1" x14ac:dyDescent="0.2">
      <c r="D392" s="4408"/>
      <c r="E392" s="3453"/>
      <c r="F392" s="4408"/>
      <c r="G392" s="3453"/>
      <c r="H392" s="4408"/>
      <c r="I392" s="3453"/>
      <c r="J392" s="4408"/>
      <c r="L392" s="4408"/>
      <c r="N392" s="4408"/>
      <c r="P392" s="4408"/>
      <c r="R392" s="4408"/>
      <c r="T392" s="4408"/>
      <c r="V392" s="4408"/>
      <c r="X392" s="4408"/>
      <c r="Z392" s="4408"/>
      <c r="AF392" s="4408"/>
      <c r="AH392" s="4408"/>
      <c r="AR392" s="4408"/>
    </row>
    <row r="393" spans="4:44" s="3380" customFormat="1" x14ac:dyDescent="0.2">
      <c r="D393" s="4408"/>
      <c r="E393" s="3453"/>
      <c r="F393" s="4408"/>
      <c r="G393" s="3453"/>
      <c r="H393" s="4408"/>
      <c r="I393" s="3453"/>
      <c r="J393" s="4408"/>
      <c r="L393" s="4408"/>
      <c r="N393" s="4408"/>
      <c r="P393" s="4408"/>
      <c r="R393" s="4408"/>
      <c r="T393" s="4408"/>
      <c r="V393" s="4408"/>
      <c r="X393" s="4408"/>
      <c r="Z393" s="4408"/>
      <c r="AF393" s="4408"/>
      <c r="AH393" s="4408"/>
      <c r="AR393" s="4408"/>
    </row>
    <row r="394" spans="4:44" s="3380" customFormat="1" x14ac:dyDescent="0.2">
      <c r="D394" s="4408"/>
      <c r="E394" s="3453"/>
      <c r="F394" s="4408"/>
      <c r="G394" s="3453"/>
      <c r="H394" s="4408"/>
      <c r="I394" s="3453"/>
      <c r="J394" s="4408"/>
      <c r="L394" s="4408"/>
      <c r="N394" s="4408"/>
      <c r="P394" s="4408"/>
      <c r="R394" s="4408"/>
      <c r="T394" s="4408"/>
      <c r="V394" s="4408"/>
      <c r="X394" s="4408"/>
      <c r="Z394" s="4408"/>
      <c r="AF394" s="4408"/>
      <c r="AH394" s="4408"/>
      <c r="AR394" s="4408"/>
    </row>
    <row r="395" spans="4:44" s="3380" customFormat="1" x14ac:dyDescent="0.2">
      <c r="D395" s="4408"/>
      <c r="E395" s="3453"/>
      <c r="F395" s="4408"/>
      <c r="G395" s="3453"/>
      <c r="H395" s="4408"/>
      <c r="I395" s="3453"/>
      <c r="J395" s="4408"/>
      <c r="L395" s="4408"/>
      <c r="N395" s="4408"/>
      <c r="P395" s="4408"/>
      <c r="R395" s="4408"/>
      <c r="T395" s="4408"/>
      <c r="V395" s="4408"/>
      <c r="X395" s="4408"/>
      <c r="Z395" s="4408"/>
      <c r="AF395" s="4408"/>
      <c r="AH395" s="4408"/>
      <c r="AR395" s="4408"/>
    </row>
    <row r="396" spans="4:44" s="3380" customFormat="1" x14ac:dyDescent="0.2">
      <c r="D396" s="4408"/>
      <c r="E396" s="3453"/>
      <c r="F396" s="4408"/>
      <c r="G396" s="3453"/>
      <c r="H396" s="4408"/>
      <c r="I396" s="3453"/>
      <c r="J396" s="4408"/>
      <c r="L396" s="4408"/>
      <c r="N396" s="4408"/>
      <c r="P396" s="4408"/>
      <c r="R396" s="4408"/>
      <c r="T396" s="4408"/>
      <c r="V396" s="4408"/>
      <c r="X396" s="4408"/>
      <c r="Z396" s="4408"/>
      <c r="AF396" s="4408"/>
      <c r="AH396" s="4408"/>
      <c r="AR396" s="4408"/>
    </row>
    <row r="397" spans="4:44" s="3380" customFormat="1" x14ac:dyDescent="0.2">
      <c r="D397" s="4408"/>
      <c r="E397" s="3453"/>
      <c r="F397" s="4408"/>
      <c r="G397" s="3453"/>
      <c r="H397" s="4408"/>
      <c r="I397" s="3453"/>
      <c r="J397" s="4408"/>
      <c r="L397" s="4408"/>
      <c r="N397" s="4408"/>
      <c r="P397" s="4408"/>
      <c r="R397" s="4408"/>
      <c r="T397" s="4408"/>
      <c r="V397" s="4408"/>
      <c r="X397" s="4408"/>
      <c r="Z397" s="4408"/>
      <c r="AF397" s="4408"/>
      <c r="AH397" s="4408"/>
      <c r="AR397" s="4408"/>
    </row>
    <row r="398" spans="4:44" s="3380" customFormat="1" x14ac:dyDescent="0.2">
      <c r="D398" s="4408"/>
      <c r="E398" s="3453"/>
      <c r="F398" s="4408"/>
      <c r="G398" s="3453"/>
      <c r="H398" s="4408"/>
      <c r="I398" s="3453"/>
      <c r="J398" s="4408"/>
      <c r="L398" s="4408"/>
      <c r="N398" s="4408"/>
      <c r="P398" s="4408"/>
      <c r="R398" s="4408"/>
      <c r="T398" s="4408"/>
      <c r="V398" s="4408"/>
      <c r="X398" s="4408"/>
      <c r="Z398" s="4408"/>
      <c r="AF398" s="4408"/>
      <c r="AH398" s="4408"/>
      <c r="AR398" s="4408"/>
    </row>
    <row r="399" spans="4:44" s="3380" customFormat="1" x14ac:dyDescent="0.2">
      <c r="D399" s="4408"/>
      <c r="E399" s="3453"/>
      <c r="F399" s="4408"/>
      <c r="G399" s="3453"/>
      <c r="H399" s="4408"/>
      <c r="I399" s="3453"/>
      <c r="J399" s="4408"/>
      <c r="L399" s="4408"/>
      <c r="N399" s="4408"/>
      <c r="P399" s="4408"/>
      <c r="R399" s="4408"/>
      <c r="T399" s="4408"/>
      <c r="V399" s="4408"/>
      <c r="X399" s="4408"/>
      <c r="Z399" s="4408"/>
      <c r="AF399" s="4408"/>
      <c r="AH399" s="4408"/>
      <c r="AR399" s="4408"/>
    </row>
    <row r="400" spans="4:44" s="3380" customFormat="1" x14ac:dyDescent="0.2">
      <c r="D400" s="4408"/>
      <c r="E400" s="3453"/>
      <c r="F400" s="4408"/>
      <c r="G400" s="3453"/>
      <c r="H400" s="4408"/>
      <c r="I400" s="3453"/>
      <c r="J400" s="4408"/>
      <c r="L400" s="4408"/>
      <c r="N400" s="4408"/>
      <c r="P400" s="4408"/>
      <c r="R400" s="4408"/>
      <c r="T400" s="4408"/>
      <c r="V400" s="4408"/>
      <c r="X400" s="4408"/>
      <c r="Z400" s="4408"/>
      <c r="AF400" s="4408"/>
      <c r="AH400" s="4408"/>
      <c r="AR400" s="4408"/>
    </row>
    <row r="401" spans="4:44" s="3380" customFormat="1" x14ac:dyDescent="0.2">
      <c r="D401" s="4408"/>
      <c r="E401" s="3453"/>
      <c r="F401" s="4408"/>
      <c r="G401" s="3453"/>
      <c r="H401" s="4408"/>
      <c r="I401" s="3453"/>
      <c r="J401" s="4408"/>
      <c r="L401" s="4408"/>
      <c r="N401" s="4408"/>
      <c r="P401" s="4408"/>
      <c r="R401" s="4408"/>
      <c r="T401" s="4408"/>
      <c r="V401" s="4408"/>
      <c r="X401" s="4408"/>
      <c r="Z401" s="4408"/>
      <c r="AF401" s="4408"/>
      <c r="AH401" s="4408"/>
      <c r="AR401" s="4408"/>
    </row>
    <row r="402" spans="4:44" s="3380" customFormat="1" x14ac:dyDescent="0.2">
      <c r="D402" s="4408"/>
      <c r="E402" s="3453"/>
      <c r="F402" s="4408"/>
      <c r="G402" s="3453"/>
      <c r="H402" s="4408"/>
      <c r="I402" s="3453"/>
      <c r="J402" s="4408"/>
      <c r="L402" s="4408"/>
      <c r="N402" s="4408"/>
      <c r="P402" s="4408"/>
      <c r="R402" s="4408"/>
      <c r="T402" s="4408"/>
      <c r="V402" s="4408"/>
      <c r="X402" s="4408"/>
      <c r="Z402" s="4408"/>
      <c r="AF402" s="4408"/>
      <c r="AH402" s="4408"/>
      <c r="AR402" s="4408"/>
    </row>
    <row r="403" spans="4:44" s="3380" customFormat="1" x14ac:dyDescent="0.2">
      <c r="D403" s="4408"/>
      <c r="E403" s="3453"/>
      <c r="F403" s="4408"/>
      <c r="G403" s="3453"/>
      <c r="H403" s="4408"/>
      <c r="I403" s="3453"/>
      <c r="J403" s="4408"/>
      <c r="L403" s="4408"/>
      <c r="N403" s="4408"/>
      <c r="P403" s="4408"/>
      <c r="R403" s="4408"/>
      <c r="T403" s="4408"/>
      <c r="V403" s="4408"/>
      <c r="X403" s="4408"/>
      <c r="Z403" s="4408"/>
      <c r="AF403" s="4408"/>
      <c r="AH403" s="4408"/>
      <c r="AR403" s="4408"/>
    </row>
    <row r="404" spans="4:44" s="3380" customFormat="1" x14ac:dyDescent="0.2">
      <c r="D404" s="4408"/>
      <c r="E404" s="3453"/>
      <c r="F404" s="4408"/>
      <c r="G404" s="3453"/>
      <c r="H404" s="4408"/>
      <c r="I404" s="3453"/>
      <c r="J404" s="4408"/>
      <c r="L404" s="4408"/>
      <c r="N404" s="4408"/>
      <c r="P404" s="4408"/>
      <c r="R404" s="4408"/>
      <c r="T404" s="4408"/>
      <c r="V404" s="4408"/>
      <c r="X404" s="4408"/>
      <c r="Z404" s="4408"/>
      <c r="AF404" s="4408"/>
      <c r="AH404" s="4408"/>
      <c r="AR404" s="4408"/>
    </row>
    <row r="405" spans="4:44" s="3380" customFormat="1" x14ac:dyDescent="0.2">
      <c r="D405" s="4408"/>
      <c r="E405" s="3453"/>
      <c r="F405" s="4408"/>
      <c r="G405" s="3453"/>
      <c r="H405" s="4408"/>
      <c r="I405" s="3453"/>
      <c r="J405" s="4408"/>
      <c r="L405" s="4408"/>
      <c r="N405" s="4408"/>
      <c r="P405" s="4408"/>
      <c r="R405" s="4408"/>
      <c r="T405" s="4408"/>
      <c r="V405" s="4408"/>
      <c r="X405" s="4408"/>
      <c r="Z405" s="4408"/>
      <c r="AF405" s="4408"/>
      <c r="AH405" s="4408"/>
      <c r="AR405" s="4408"/>
    </row>
    <row r="406" spans="4:44" s="3380" customFormat="1" x14ac:dyDescent="0.2">
      <c r="D406" s="4408"/>
      <c r="E406" s="3453"/>
      <c r="F406" s="4408"/>
      <c r="G406" s="3453"/>
      <c r="H406" s="4408"/>
      <c r="I406" s="3453"/>
      <c r="J406" s="4408"/>
      <c r="L406" s="4408"/>
      <c r="N406" s="4408"/>
      <c r="P406" s="4408"/>
      <c r="R406" s="4408"/>
      <c r="T406" s="4408"/>
      <c r="V406" s="4408"/>
      <c r="X406" s="4408"/>
      <c r="Z406" s="4408"/>
      <c r="AF406" s="4408"/>
      <c r="AH406" s="4408"/>
      <c r="AR406" s="4408"/>
    </row>
    <row r="407" spans="4:44" s="3380" customFormat="1" x14ac:dyDescent="0.2">
      <c r="D407" s="4408"/>
      <c r="E407" s="3453"/>
      <c r="F407" s="4408"/>
      <c r="G407" s="3453"/>
      <c r="H407" s="4408"/>
      <c r="I407" s="3453"/>
      <c r="J407" s="4408"/>
      <c r="L407" s="4408"/>
      <c r="N407" s="4408"/>
      <c r="P407" s="4408"/>
      <c r="R407" s="4408"/>
      <c r="T407" s="4408"/>
      <c r="V407" s="4408"/>
      <c r="X407" s="4408"/>
      <c r="Z407" s="4408"/>
      <c r="AF407" s="4408"/>
      <c r="AH407" s="4408"/>
      <c r="AR407" s="4408"/>
    </row>
    <row r="408" spans="4:44" s="3380" customFormat="1" x14ac:dyDescent="0.2">
      <c r="D408" s="4408"/>
      <c r="E408" s="3453"/>
      <c r="F408" s="4408"/>
      <c r="G408" s="3453"/>
      <c r="H408" s="4408"/>
      <c r="I408" s="3453"/>
      <c r="J408" s="4408"/>
      <c r="L408" s="4408"/>
      <c r="N408" s="4408"/>
      <c r="P408" s="4408"/>
      <c r="R408" s="4408"/>
      <c r="T408" s="4408"/>
      <c r="V408" s="4408"/>
      <c r="X408" s="4408"/>
      <c r="Z408" s="4408"/>
      <c r="AF408" s="4408"/>
      <c r="AH408" s="4408"/>
      <c r="AR408" s="4408"/>
    </row>
    <row r="409" spans="4:44" s="3380" customFormat="1" x14ac:dyDescent="0.2">
      <c r="D409" s="4408"/>
      <c r="E409" s="3453"/>
      <c r="F409" s="4408"/>
      <c r="G409" s="3453"/>
      <c r="H409" s="4408"/>
      <c r="I409" s="3453"/>
      <c r="J409" s="4408"/>
      <c r="L409" s="4408"/>
      <c r="N409" s="4408"/>
      <c r="P409" s="4408"/>
      <c r="R409" s="4408"/>
      <c r="T409" s="4408"/>
      <c r="V409" s="4408"/>
      <c r="X409" s="4408"/>
      <c r="Z409" s="4408"/>
      <c r="AF409" s="4408"/>
      <c r="AH409" s="4408"/>
      <c r="AR409" s="4408"/>
    </row>
    <row r="410" spans="4:44" s="3380" customFormat="1" x14ac:dyDescent="0.2">
      <c r="D410" s="4408"/>
      <c r="E410" s="3453"/>
      <c r="F410" s="4408"/>
      <c r="G410" s="3453"/>
      <c r="H410" s="4408"/>
      <c r="I410" s="3453"/>
      <c r="J410" s="4408"/>
      <c r="L410" s="4408"/>
      <c r="N410" s="4408"/>
      <c r="P410" s="4408"/>
      <c r="R410" s="4408"/>
      <c r="T410" s="4408"/>
      <c r="V410" s="4408"/>
      <c r="X410" s="4408"/>
      <c r="Z410" s="4408"/>
      <c r="AF410" s="4408"/>
      <c r="AH410" s="4408"/>
      <c r="AR410" s="4408"/>
    </row>
    <row r="411" spans="4:44" s="3380" customFormat="1" x14ac:dyDescent="0.2">
      <c r="D411" s="4408"/>
      <c r="E411" s="3453"/>
      <c r="F411" s="4408"/>
      <c r="G411" s="3453"/>
      <c r="H411" s="4408"/>
      <c r="I411" s="3453"/>
      <c r="J411" s="4408"/>
      <c r="L411" s="4408"/>
      <c r="N411" s="4408"/>
      <c r="P411" s="4408"/>
      <c r="R411" s="4408"/>
      <c r="T411" s="4408"/>
      <c r="V411" s="4408"/>
      <c r="X411" s="4408"/>
      <c r="Z411" s="4408"/>
      <c r="AF411" s="4408"/>
      <c r="AH411" s="4408"/>
      <c r="AR411" s="4408"/>
    </row>
    <row r="412" spans="4:44" s="3380" customFormat="1" x14ac:dyDescent="0.2">
      <c r="D412" s="4408"/>
      <c r="E412" s="3453"/>
      <c r="F412" s="4408"/>
      <c r="G412" s="3453"/>
      <c r="H412" s="4408"/>
      <c r="I412" s="3453"/>
      <c r="J412" s="4408"/>
      <c r="L412" s="4408"/>
      <c r="N412" s="4408"/>
      <c r="P412" s="4408"/>
      <c r="R412" s="4408"/>
      <c r="T412" s="4408"/>
      <c r="V412" s="4408"/>
      <c r="X412" s="4408"/>
      <c r="Z412" s="4408"/>
      <c r="AF412" s="4408"/>
      <c r="AH412" s="4408"/>
      <c r="AR412" s="4408"/>
    </row>
    <row r="413" spans="4:44" s="3380" customFormat="1" x14ac:dyDescent="0.2">
      <c r="D413" s="4408"/>
      <c r="E413" s="3453"/>
      <c r="F413" s="4408"/>
      <c r="G413" s="3453"/>
      <c r="H413" s="4408"/>
      <c r="I413" s="3453"/>
      <c r="J413" s="4408"/>
      <c r="L413" s="4408"/>
      <c r="N413" s="4408"/>
      <c r="P413" s="4408"/>
      <c r="R413" s="4408"/>
      <c r="T413" s="4408"/>
      <c r="V413" s="4408"/>
      <c r="X413" s="4408"/>
      <c r="Z413" s="4408"/>
      <c r="AF413" s="4408"/>
      <c r="AH413" s="4408"/>
      <c r="AR413" s="4408"/>
    </row>
    <row r="414" spans="4:44" s="3380" customFormat="1" x14ac:dyDescent="0.2">
      <c r="D414" s="4408"/>
      <c r="E414" s="3453"/>
      <c r="F414" s="4408"/>
      <c r="G414" s="3453"/>
      <c r="H414" s="4408"/>
      <c r="I414" s="3453"/>
      <c r="J414" s="4408"/>
      <c r="L414" s="4408"/>
      <c r="N414" s="4408"/>
      <c r="P414" s="4408"/>
      <c r="R414" s="4408"/>
      <c r="T414" s="4408"/>
      <c r="V414" s="4408"/>
      <c r="X414" s="4408"/>
      <c r="Z414" s="4408"/>
      <c r="AF414" s="4408"/>
      <c r="AH414" s="4408"/>
      <c r="AR414" s="4408"/>
    </row>
    <row r="415" spans="4:44" s="3380" customFormat="1" x14ac:dyDescent="0.2">
      <c r="D415" s="4408"/>
      <c r="E415" s="3453"/>
      <c r="F415" s="4408"/>
      <c r="G415" s="3453"/>
      <c r="H415" s="4408"/>
      <c r="I415" s="3453"/>
      <c r="J415" s="4408"/>
      <c r="L415" s="4408"/>
      <c r="N415" s="4408"/>
      <c r="P415" s="4408"/>
      <c r="R415" s="4408"/>
      <c r="T415" s="4408"/>
      <c r="V415" s="4408"/>
      <c r="X415" s="4408"/>
      <c r="Z415" s="4408"/>
      <c r="AF415" s="4408"/>
      <c r="AH415" s="4408"/>
      <c r="AR415" s="4408"/>
    </row>
    <row r="416" spans="4:44" s="3380" customFormat="1" x14ac:dyDescent="0.2">
      <c r="D416" s="4408"/>
      <c r="E416" s="3453"/>
      <c r="F416" s="4408"/>
      <c r="G416" s="3453"/>
      <c r="H416" s="4408"/>
      <c r="I416" s="3453"/>
      <c r="J416" s="4408"/>
      <c r="L416" s="4408"/>
      <c r="N416" s="4408"/>
      <c r="P416" s="4408"/>
      <c r="R416" s="4408"/>
      <c r="T416" s="4408"/>
      <c r="V416" s="4408"/>
      <c r="X416" s="4408"/>
      <c r="Z416" s="4408"/>
      <c r="AF416" s="4408"/>
      <c r="AH416" s="4408"/>
      <c r="AR416" s="4408"/>
    </row>
    <row r="417" spans="4:44" s="3380" customFormat="1" x14ac:dyDescent="0.2">
      <c r="D417" s="4408"/>
      <c r="E417" s="3453"/>
      <c r="F417" s="4408"/>
      <c r="G417" s="3453"/>
      <c r="H417" s="4408"/>
      <c r="I417" s="3453"/>
      <c r="J417" s="4408"/>
      <c r="L417" s="4408"/>
      <c r="N417" s="4408"/>
      <c r="P417" s="4408"/>
      <c r="R417" s="4408"/>
      <c r="T417" s="4408"/>
      <c r="V417" s="4408"/>
      <c r="X417" s="4408"/>
      <c r="Z417" s="4408"/>
      <c r="AF417" s="4408"/>
      <c r="AH417" s="4408"/>
      <c r="AR417" s="4408"/>
    </row>
    <row r="418" spans="4:44" s="3380" customFormat="1" x14ac:dyDescent="0.2">
      <c r="D418" s="4408"/>
      <c r="E418" s="3453"/>
      <c r="F418" s="4408"/>
      <c r="G418" s="3453"/>
      <c r="H418" s="4408"/>
      <c r="I418" s="3453"/>
      <c r="J418" s="4408"/>
      <c r="L418" s="4408"/>
      <c r="N418" s="4408"/>
      <c r="P418" s="4408"/>
      <c r="R418" s="4408"/>
      <c r="T418" s="4408"/>
      <c r="V418" s="4408"/>
      <c r="X418" s="4408"/>
      <c r="Z418" s="4408"/>
      <c r="AF418" s="4408"/>
      <c r="AH418" s="4408"/>
      <c r="AR418" s="4408"/>
    </row>
    <row r="419" spans="4:44" s="3380" customFormat="1" x14ac:dyDescent="0.2">
      <c r="D419" s="4408"/>
      <c r="E419" s="3453"/>
      <c r="F419" s="4408"/>
      <c r="G419" s="3453"/>
      <c r="H419" s="4408"/>
      <c r="I419" s="3453"/>
      <c r="J419" s="4408"/>
      <c r="L419" s="4408"/>
      <c r="N419" s="4408"/>
      <c r="P419" s="4408"/>
      <c r="R419" s="4408"/>
      <c r="T419" s="4408"/>
      <c r="V419" s="4408"/>
      <c r="X419" s="4408"/>
      <c r="Z419" s="4408"/>
      <c r="AF419" s="4408"/>
      <c r="AH419" s="4408"/>
      <c r="AR419" s="4408"/>
    </row>
    <row r="420" spans="4:44" s="3380" customFormat="1" x14ac:dyDescent="0.2">
      <c r="D420" s="4408"/>
      <c r="E420" s="3453"/>
      <c r="F420" s="4408"/>
      <c r="G420" s="3453"/>
      <c r="H420" s="4408"/>
      <c r="I420" s="3453"/>
      <c r="J420" s="4408"/>
      <c r="L420" s="4408"/>
      <c r="N420" s="4408"/>
      <c r="P420" s="4408"/>
      <c r="R420" s="4408"/>
      <c r="T420" s="4408"/>
      <c r="V420" s="4408"/>
      <c r="X420" s="4408"/>
      <c r="Z420" s="4408"/>
      <c r="AF420" s="4408"/>
      <c r="AH420" s="4408"/>
      <c r="AR420" s="4408"/>
    </row>
    <row r="421" spans="4:44" s="3380" customFormat="1" x14ac:dyDescent="0.2">
      <c r="D421" s="4408"/>
      <c r="E421" s="3453"/>
      <c r="F421" s="4408"/>
      <c r="G421" s="3453"/>
      <c r="H421" s="4408"/>
      <c r="I421" s="3453"/>
      <c r="J421" s="4408"/>
      <c r="L421" s="4408"/>
      <c r="N421" s="4408"/>
      <c r="P421" s="4408"/>
      <c r="R421" s="4408"/>
      <c r="T421" s="4408"/>
      <c r="V421" s="4408"/>
      <c r="X421" s="4408"/>
      <c r="Z421" s="4408"/>
      <c r="AF421" s="4408"/>
      <c r="AH421" s="4408"/>
      <c r="AR421" s="4408"/>
    </row>
    <row r="422" spans="4:44" s="3380" customFormat="1" x14ac:dyDescent="0.2">
      <c r="D422" s="4408"/>
      <c r="E422" s="3453"/>
      <c r="F422" s="4408"/>
      <c r="G422" s="3453"/>
      <c r="H422" s="4408"/>
      <c r="I422" s="3453"/>
      <c r="J422" s="4408"/>
      <c r="L422" s="4408"/>
      <c r="N422" s="4408"/>
      <c r="P422" s="4408"/>
      <c r="R422" s="4408"/>
      <c r="T422" s="4408"/>
      <c r="V422" s="4408"/>
      <c r="X422" s="4408"/>
      <c r="Z422" s="4408"/>
      <c r="AF422" s="4408"/>
      <c r="AH422" s="4408"/>
      <c r="AR422" s="4408"/>
    </row>
    <row r="423" spans="4:44" s="3380" customFormat="1" x14ac:dyDescent="0.2">
      <c r="D423" s="4408"/>
      <c r="E423" s="3453"/>
      <c r="F423" s="4408"/>
      <c r="G423" s="3453"/>
      <c r="H423" s="4408"/>
      <c r="I423" s="3453"/>
      <c r="J423" s="4408"/>
      <c r="L423" s="4408"/>
      <c r="N423" s="4408"/>
      <c r="P423" s="4408"/>
      <c r="R423" s="4408"/>
      <c r="T423" s="4408"/>
      <c r="V423" s="4408"/>
      <c r="X423" s="4408"/>
      <c r="Z423" s="4408"/>
      <c r="AF423" s="4408"/>
      <c r="AH423" s="4408"/>
      <c r="AR423" s="4408"/>
    </row>
    <row r="424" spans="4:44" s="3380" customFormat="1" x14ac:dyDescent="0.2">
      <c r="D424" s="4408"/>
      <c r="E424" s="3453"/>
      <c r="F424" s="4408"/>
      <c r="G424" s="3453"/>
      <c r="H424" s="4408"/>
      <c r="I424" s="3453"/>
      <c r="J424" s="4408"/>
      <c r="L424" s="4408"/>
      <c r="N424" s="4408"/>
      <c r="P424" s="4408"/>
      <c r="R424" s="4408"/>
      <c r="T424" s="4408"/>
      <c r="V424" s="4408"/>
      <c r="X424" s="4408"/>
      <c r="Z424" s="4408"/>
      <c r="AF424" s="4408"/>
      <c r="AH424" s="4408"/>
      <c r="AR424" s="4408"/>
    </row>
    <row r="425" spans="4:44" s="3380" customFormat="1" x14ac:dyDescent="0.2">
      <c r="D425" s="4408"/>
      <c r="E425" s="3453"/>
      <c r="F425" s="4408"/>
      <c r="G425" s="3453"/>
      <c r="H425" s="4408"/>
      <c r="I425" s="3453"/>
      <c r="J425" s="4408"/>
      <c r="L425" s="4408"/>
      <c r="N425" s="4408"/>
      <c r="P425" s="4408"/>
      <c r="R425" s="4408"/>
      <c r="T425" s="4408"/>
      <c r="V425" s="4408"/>
      <c r="X425" s="4408"/>
      <c r="Z425" s="4408"/>
      <c r="AF425" s="4408"/>
      <c r="AH425" s="4408"/>
      <c r="AR425" s="4408"/>
    </row>
    <row r="426" spans="4:44" s="3380" customFormat="1" x14ac:dyDescent="0.2">
      <c r="D426" s="4408"/>
      <c r="E426" s="3453"/>
      <c r="F426" s="4408"/>
      <c r="G426" s="3453"/>
      <c r="H426" s="4408"/>
      <c r="I426" s="3453"/>
      <c r="J426" s="4408"/>
      <c r="L426" s="4408"/>
      <c r="N426" s="4408"/>
      <c r="P426" s="4408"/>
      <c r="R426" s="4408"/>
      <c r="T426" s="4408"/>
      <c r="V426" s="4408"/>
      <c r="X426" s="4408"/>
      <c r="Z426" s="4408"/>
      <c r="AF426" s="4408"/>
      <c r="AH426" s="4408"/>
      <c r="AR426" s="4408"/>
    </row>
    <row r="427" spans="4:44" s="3380" customFormat="1" x14ac:dyDescent="0.2">
      <c r="D427" s="4408"/>
      <c r="E427" s="3453"/>
      <c r="F427" s="4408"/>
      <c r="G427" s="3453"/>
      <c r="H427" s="4408"/>
      <c r="I427" s="3453"/>
      <c r="J427" s="4408"/>
      <c r="L427" s="4408"/>
      <c r="N427" s="4408"/>
      <c r="P427" s="4408"/>
      <c r="R427" s="4408"/>
      <c r="T427" s="4408"/>
      <c r="V427" s="4408"/>
      <c r="X427" s="4408"/>
      <c r="Z427" s="4408"/>
      <c r="AF427" s="4408"/>
      <c r="AH427" s="4408"/>
      <c r="AR427" s="4408"/>
    </row>
    <row r="428" spans="4:44" s="3380" customFormat="1" x14ac:dyDescent="0.2">
      <c r="D428" s="4408"/>
      <c r="E428" s="3453"/>
      <c r="F428" s="4408"/>
      <c r="G428" s="3453"/>
      <c r="H428" s="4408"/>
      <c r="I428" s="3453"/>
      <c r="J428" s="4408"/>
      <c r="L428" s="4408"/>
      <c r="N428" s="4408"/>
      <c r="P428" s="4408"/>
      <c r="R428" s="4408"/>
      <c r="T428" s="4408"/>
      <c r="V428" s="4408"/>
      <c r="X428" s="4408"/>
      <c r="Z428" s="4408"/>
      <c r="AF428" s="4408"/>
      <c r="AH428" s="4408"/>
      <c r="AR428" s="4408"/>
    </row>
    <row r="429" spans="4:44" s="3380" customFormat="1" x14ac:dyDescent="0.2">
      <c r="D429" s="4408"/>
      <c r="E429" s="3453"/>
      <c r="F429" s="4408"/>
      <c r="G429" s="3453"/>
      <c r="H429" s="4408"/>
      <c r="I429" s="3453"/>
      <c r="J429" s="4408"/>
      <c r="L429" s="4408"/>
      <c r="N429" s="4408"/>
      <c r="P429" s="4408"/>
      <c r="R429" s="4408"/>
      <c r="T429" s="4408"/>
      <c r="V429" s="4408"/>
      <c r="X429" s="4408"/>
      <c r="Z429" s="4408"/>
      <c r="AF429" s="4408"/>
      <c r="AH429" s="4408"/>
      <c r="AR429" s="4408"/>
    </row>
    <row r="430" spans="4:44" s="3380" customFormat="1" x14ac:dyDescent="0.2">
      <c r="D430" s="4408"/>
      <c r="E430" s="3453"/>
      <c r="F430" s="4408"/>
      <c r="G430" s="3453"/>
      <c r="H430" s="4408"/>
      <c r="I430" s="3453"/>
      <c r="J430" s="4408"/>
      <c r="L430" s="4408"/>
      <c r="N430" s="4408"/>
      <c r="P430" s="4408"/>
      <c r="R430" s="4408"/>
      <c r="T430" s="4408"/>
      <c r="V430" s="4408"/>
      <c r="X430" s="4408"/>
      <c r="Z430" s="4408"/>
      <c r="AF430" s="4408"/>
      <c r="AH430" s="4408"/>
      <c r="AR430" s="4408"/>
    </row>
    <row r="431" spans="4:44" s="3380" customFormat="1" x14ac:dyDescent="0.2">
      <c r="D431" s="4408"/>
      <c r="E431" s="3453"/>
      <c r="F431" s="4408"/>
      <c r="G431" s="3453"/>
      <c r="H431" s="4408"/>
      <c r="I431" s="3453"/>
      <c r="J431" s="4408"/>
      <c r="L431" s="4408"/>
      <c r="N431" s="4408"/>
      <c r="P431" s="4408"/>
      <c r="R431" s="4408"/>
      <c r="T431" s="4408"/>
      <c r="V431" s="4408"/>
      <c r="X431" s="4408"/>
      <c r="Z431" s="4408"/>
      <c r="AF431" s="4408"/>
      <c r="AH431" s="4408"/>
      <c r="AR431" s="4408"/>
    </row>
    <row r="432" spans="4:44" s="3380" customFormat="1" x14ac:dyDescent="0.2">
      <c r="D432" s="4408"/>
      <c r="E432" s="3453"/>
      <c r="F432" s="4408"/>
      <c r="G432" s="3453"/>
      <c r="H432" s="4408"/>
      <c r="I432" s="3453"/>
      <c r="J432" s="4408"/>
      <c r="L432" s="4408"/>
      <c r="N432" s="4408"/>
      <c r="P432" s="4408"/>
      <c r="R432" s="4408"/>
      <c r="T432" s="4408"/>
      <c r="V432" s="4408"/>
      <c r="X432" s="4408"/>
      <c r="Z432" s="4408"/>
      <c r="AF432" s="4408"/>
      <c r="AH432" s="4408"/>
      <c r="AR432" s="4408"/>
    </row>
    <row r="433" spans="4:44" s="3380" customFormat="1" x14ac:dyDescent="0.2">
      <c r="D433" s="4408"/>
      <c r="E433" s="3453"/>
      <c r="F433" s="4408"/>
      <c r="G433" s="3453"/>
      <c r="H433" s="4408"/>
      <c r="I433" s="3453"/>
      <c r="J433" s="4408"/>
      <c r="L433" s="4408"/>
      <c r="N433" s="4408"/>
      <c r="P433" s="4408"/>
      <c r="R433" s="4408"/>
      <c r="T433" s="4408"/>
      <c r="V433" s="4408"/>
      <c r="X433" s="4408"/>
      <c r="Z433" s="4408"/>
      <c r="AF433" s="4408"/>
      <c r="AH433" s="4408"/>
      <c r="AR433" s="4408"/>
    </row>
    <row r="434" spans="4:44" s="3380" customFormat="1" x14ac:dyDescent="0.2">
      <c r="D434" s="4408"/>
      <c r="E434" s="3453"/>
      <c r="F434" s="4408"/>
      <c r="G434" s="3453"/>
      <c r="H434" s="4408"/>
      <c r="I434" s="3453"/>
      <c r="J434" s="4408"/>
      <c r="L434" s="4408"/>
      <c r="N434" s="4408"/>
      <c r="P434" s="4408"/>
      <c r="R434" s="4408"/>
      <c r="T434" s="4408"/>
      <c r="V434" s="4408"/>
      <c r="X434" s="4408"/>
      <c r="Z434" s="4408"/>
      <c r="AF434" s="4408"/>
      <c r="AH434" s="4408"/>
      <c r="AR434" s="4408"/>
    </row>
    <row r="435" spans="4:44" s="3380" customFormat="1" x14ac:dyDescent="0.2">
      <c r="D435" s="4408"/>
      <c r="E435" s="3453"/>
      <c r="F435" s="4408"/>
      <c r="G435" s="3453"/>
      <c r="H435" s="4408"/>
      <c r="I435" s="3453"/>
      <c r="J435" s="4408"/>
      <c r="L435" s="4408"/>
      <c r="N435" s="4408"/>
      <c r="P435" s="4408"/>
      <c r="R435" s="4408"/>
      <c r="T435" s="4408"/>
      <c r="V435" s="4408"/>
      <c r="X435" s="4408"/>
      <c r="Z435" s="4408"/>
      <c r="AF435" s="4408"/>
      <c r="AH435" s="4408"/>
      <c r="AR435" s="4408"/>
    </row>
    <row r="436" spans="4:44" s="3380" customFormat="1" x14ac:dyDescent="0.2">
      <c r="D436" s="4408"/>
      <c r="E436" s="3453"/>
      <c r="F436" s="4408"/>
      <c r="G436" s="3453"/>
      <c r="H436" s="4408"/>
      <c r="I436" s="3453"/>
      <c r="J436" s="4408"/>
      <c r="L436" s="4408"/>
      <c r="N436" s="4408"/>
      <c r="P436" s="4408"/>
      <c r="R436" s="4408"/>
      <c r="T436" s="4408"/>
      <c r="V436" s="4408"/>
      <c r="X436" s="4408"/>
      <c r="Z436" s="4408"/>
      <c r="AF436" s="4408"/>
      <c r="AH436" s="4408"/>
      <c r="AR436" s="4408"/>
    </row>
    <row r="437" spans="4:44" s="3380" customFormat="1" x14ac:dyDescent="0.2">
      <c r="D437" s="4408"/>
      <c r="E437" s="3453"/>
      <c r="F437" s="4408"/>
      <c r="G437" s="3453"/>
      <c r="H437" s="4408"/>
      <c r="I437" s="3453"/>
      <c r="J437" s="4408"/>
      <c r="L437" s="4408"/>
      <c r="N437" s="4408"/>
      <c r="P437" s="4408"/>
      <c r="R437" s="4408"/>
      <c r="T437" s="4408"/>
      <c r="V437" s="4408"/>
      <c r="X437" s="4408"/>
      <c r="Z437" s="4408"/>
      <c r="AF437" s="4408"/>
      <c r="AH437" s="4408"/>
      <c r="AR437" s="4408"/>
    </row>
    <row r="438" spans="4:44" s="3380" customFormat="1" x14ac:dyDescent="0.2">
      <c r="D438" s="4408"/>
      <c r="E438" s="3453"/>
      <c r="F438" s="4408"/>
      <c r="G438" s="3453"/>
      <c r="H438" s="4408"/>
      <c r="I438" s="3453"/>
      <c r="J438" s="4408"/>
      <c r="L438" s="4408"/>
      <c r="N438" s="4408"/>
      <c r="P438" s="4408"/>
      <c r="R438" s="4408"/>
      <c r="T438" s="4408"/>
      <c r="V438" s="4408"/>
      <c r="X438" s="4408"/>
      <c r="Z438" s="4408"/>
      <c r="AF438" s="4408"/>
      <c r="AH438" s="4408"/>
      <c r="AR438" s="4408"/>
    </row>
    <row r="439" spans="4:44" s="3380" customFormat="1" x14ac:dyDescent="0.2">
      <c r="D439" s="4408"/>
      <c r="E439" s="3453"/>
      <c r="F439" s="4408"/>
      <c r="G439" s="3453"/>
      <c r="H439" s="4408"/>
      <c r="I439" s="3453"/>
      <c r="J439" s="4408"/>
      <c r="L439" s="4408"/>
      <c r="N439" s="4408"/>
      <c r="P439" s="4408"/>
      <c r="R439" s="4408"/>
      <c r="T439" s="4408"/>
      <c r="V439" s="4408"/>
      <c r="X439" s="4408"/>
      <c r="Z439" s="4408"/>
      <c r="AF439" s="4408"/>
      <c r="AH439" s="4408"/>
      <c r="AR439" s="4408"/>
    </row>
    <row r="440" spans="4:44" s="3380" customFormat="1" x14ac:dyDescent="0.2">
      <c r="D440" s="4408"/>
      <c r="E440" s="3453"/>
      <c r="F440" s="4408"/>
      <c r="G440" s="3453"/>
      <c r="H440" s="4408"/>
      <c r="I440" s="3453"/>
      <c r="J440" s="4408"/>
      <c r="L440" s="4408"/>
      <c r="N440" s="4408"/>
      <c r="P440" s="4408"/>
      <c r="R440" s="4408"/>
      <c r="T440" s="4408"/>
      <c r="V440" s="4408"/>
      <c r="X440" s="4408"/>
      <c r="Z440" s="4408"/>
      <c r="AF440" s="4408"/>
      <c r="AH440" s="4408"/>
      <c r="AR440" s="4408"/>
    </row>
    <row r="441" spans="4:44" s="3380" customFormat="1" x14ac:dyDescent="0.2">
      <c r="D441" s="4408"/>
      <c r="E441" s="3453"/>
      <c r="F441" s="4408"/>
      <c r="G441" s="3453"/>
      <c r="H441" s="4408"/>
      <c r="I441" s="3453"/>
      <c r="J441" s="4408"/>
      <c r="L441" s="4408"/>
      <c r="N441" s="4408"/>
      <c r="P441" s="4408"/>
      <c r="R441" s="4408"/>
      <c r="T441" s="4408"/>
      <c r="V441" s="4408"/>
      <c r="X441" s="4408"/>
      <c r="Z441" s="4408"/>
      <c r="AF441" s="4408"/>
      <c r="AH441" s="4408"/>
      <c r="AR441" s="4408"/>
    </row>
    <row r="442" spans="4:44" s="3380" customFormat="1" x14ac:dyDescent="0.2">
      <c r="D442" s="4408"/>
      <c r="E442" s="3453"/>
      <c r="F442" s="4408"/>
      <c r="G442" s="3453"/>
      <c r="H442" s="4408"/>
      <c r="I442" s="3453"/>
      <c r="J442" s="4408"/>
      <c r="L442" s="4408"/>
      <c r="N442" s="4408"/>
      <c r="P442" s="4408"/>
      <c r="R442" s="4408"/>
      <c r="T442" s="4408"/>
      <c r="V442" s="4408"/>
      <c r="X442" s="4408"/>
      <c r="Z442" s="4408"/>
      <c r="AF442" s="4408"/>
      <c r="AH442" s="4408"/>
      <c r="AR442" s="4408"/>
    </row>
    <row r="443" spans="4:44" s="3380" customFormat="1" x14ac:dyDescent="0.2">
      <c r="D443" s="4408"/>
      <c r="E443" s="3453"/>
      <c r="F443" s="4408"/>
      <c r="G443" s="3453"/>
      <c r="H443" s="4408"/>
      <c r="I443" s="3453"/>
      <c r="J443" s="4408"/>
      <c r="L443" s="4408"/>
      <c r="N443" s="4408"/>
      <c r="P443" s="4408"/>
      <c r="R443" s="4408"/>
      <c r="T443" s="4408"/>
      <c r="V443" s="4408"/>
      <c r="X443" s="4408"/>
      <c r="Z443" s="4408"/>
      <c r="AF443" s="4408"/>
      <c r="AH443" s="4408"/>
      <c r="AR443" s="4408"/>
    </row>
    <row r="444" spans="4:44" s="3380" customFormat="1" x14ac:dyDescent="0.2">
      <c r="D444" s="4408"/>
      <c r="E444" s="3453"/>
      <c r="F444" s="4408"/>
      <c r="G444" s="3453"/>
      <c r="H444" s="4408"/>
      <c r="I444" s="3453"/>
      <c r="J444" s="4408"/>
      <c r="L444" s="4408"/>
      <c r="N444" s="4408"/>
      <c r="P444" s="4408"/>
      <c r="R444" s="4408"/>
      <c r="T444" s="4408"/>
      <c r="V444" s="4408"/>
      <c r="X444" s="4408"/>
      <c r="Z444" s="4408"/>
      <c r="AF444" s="4408"/>
      <c r="AH444" s="4408"/>
      <c r="AR444" s="4408"/>
    </row>
    <row r="445" spans="4:44" s="3380" customFormat="1" x14ac:dyDescent="0.2">
      <c r="D445" s="4408"/>
      <c r="E445" s="3453"/>
      <c r="F445" s="4408"/>
      <c r="G445" s="3453"/>
      <c r="H445" s="4408"/>
      <c r="I445" s="3453"/>
      <c r="J445" s="4408"/>
      <c r="L445" s="4408"/>
      <c r="N445" s="4408"/>
      <c r="P445" s="4408"/>
      <c r="R445" s="4408"/>
      <c r="T445" s="4408"/>
      <c r="V445" s="4408"/>
      <c r="X445" s="4408"/>
      <c r="Z445" s="4408"/>
      <c r="AF445" s="4408"/>
      <c r="AH445" s="4408"/>
      <c r="AR445" s="4408"/>
    </row>
    <row r="446" spans="4:44" s="3380" customFormat="1" x14ac:dyDescent="0.2">
      <c r="D446" s="4408"/>
      <c r="E446" s="3453"/>
      <c r="F446" s="4408"/>
      <c r="G446" s="3453"/>
      <c r="H446" s="4408"/>
      <c r="I446" s="3453"/>
      <c r="J446" s="4408"/>
      <c r="L446" s="4408"/>
      <c r="N446" s="4408"/>
      <c r="P446" s="4408"/>
      <c r="R446" s="4408"/>
      <c r="T446" s="4408"/>
      <c r="V446" s="4408"/>
      <c r="X446" s="4408"/>
      <c r="Z446" s="4408"/>
      <c r="AF446" s="4408"/>
      <c r="AH446" s="4408"/>
      <c r="AR446" s="4408"/>
    </row>
    <row r="447" spans="4:44" s="3380" customFormat="1" x14ac:dyDescent="0.2">
      <c r="D447" s="4408"/>
      <c r="E447" s="3453"/>
      <c r="F447" s="4408"/>
      <c r="G447" s="3453"/>
      <c r="H447" s="4408"/>
      <c r="I447" s="3453"/>
      <c r="J447" s="4408"/>
      <c r="L447" s="4408"/>
      <c r="N447" s="4408"/>
      <c r="P447" s="4408"/>
      <c r="R447" s="4408"/>
      <c r="T447" s="4408"/>
      <c r="V447" s="4408"/>
      <c r="X447" s="4408"/>
      <c r="Z447" s="4408"/>
      <c r="AF447" s="4408"/>
      <c r="AH447" s="4408"/>
      <c r="AR447" s="4408"/>
    </row>
    <row r="448" spans="4:44" s="3380" customFormat="1" x14ac:dyDescent="0.2">
      <c r="D448" s="4408"/>
      <c r="E448" s="3453"/>
      <c r="F448" s="4408"/>
      <c r="G448" s="3453"/>
      <c r="H448" s="4408"/>
      <c r="I448" s="3453"/>
      <c r="J448" s="4408"/>
      <c r="L448" s="4408"/>
      <c r="N448" s="4408"/>
      <c r="P448" s="4408"/>
      <c r="R448" s="4408"/>
      <c r="T448" s="4408"/>
      <c r="V448" s="4408"/>
      <c r="X448" s="4408"/>
      <c r="Z448" s="4408"/>
      <c r="AF448" s="4408"/>
      <c r="AH448" s="4408"/>
      <c r="AR448" s="4408"/>
    </row>
    <row r="449" spans="4:44" s="3380" customFormat="1" x14ac:dyDescent="0.2">
      <c r="D449" s="4408"/>
      <c r="E449" s="3453"/>
      <c r="F449" s="4408"/>
      <c r="G449" s="3453"/>
      <c r="H449" s="4408"/>
      <c r="I449" s="3453"/>
      <c r="J449" s="4408"/>
      <c r="L449" s="4408"/>
      <c r="N449" s="4408"/>
      <c r="P449" s="4408"/>
      <c r="R449" s="4408"/>
      <c r="T449" s="4408"/>
      <c r="V449" s="4408"/>
      <c r="X449" s="4408"/>
      <c r="Z449" s="4408"/>
      <c r="AF449" s="4408"/>
      <c r="AH449" s="4408"/>
      <c r="AR449" s="4408"/>
    </row>
    <row r="450" spans="4:44" s="3380" customFormat="1" x14ac:dyDescent="0.2">
      <c r="D450" s="4408"/>
      <c r="E450" s="3453"/>
      <c r="F450" s="4408"/>
      <c r="G450" s="3453"/>
      <c r="H450" s="4408"/>
      <c r="I450" s="3453"/>
      <c r="J450" s="4408"/>
      <c r="L450" s="4408"/>
      <c r="N450" s="4408"/>
      <c r="P450" s="4408"/>
      <c r="R450" s="4408"/>
      <c r="T450" s="4408"/>
      <c r="V450" s="4408"/>
      <c r="X450" s="4408"/>
      <c r="Z450" s="4408"/>
      <c r="AF450" s="4408"/>
      <c r="AH450" s="4408"/>
      <c r="AR450" s="4408"/>
    </row>
    <row r="451" spans="4:44" s="3380" customFormat="1" x14ac:dyDescent="0.2">
      <c r="D451" s="4408"/>
      <c r="E451" s="3453"/>
      <c r="F451" s="4408"/>
      <c r="G451" s="3453"/>
      <c r="H451" s="4408"/>
      <c r="I451" s="3453"/>
      <c r="J451" s="4408"/>
      <c r="L451" s="4408"/>
      <c r="N451" s="4408"/>
      <c r="P451" s="4408"/>
      <c r="R451" s="4408"/>
      <c r="T451" s="4408"/>
      <c r="V451" s="4408"/>
      <c r="X451" s="4408"/>
      <c r="Z451" s="4408"/>
      <c r="AF451" s="4408"/>
      <c r="AH451" s="4408"/>
      <c r="AR451" s="4408"/>
    </row>
    <row r="452" spans="4:44" s="3380" customFormat="1" x14ac:dyDescent="0.2">
      <c r="D452" s="4408"/>
      <c r="E452" s="3453"/>
      <c r="F452" s="4408"/>
      <c r="G452" s="3453"/>
      <c r="H452" s="4408"/>
      <c r="I452" s="3453"/>
      <c r="J452" s="4408"/>
      <c r="L452" s="4408"/>
      <c r="N452" s="4408"/>
      <c r="P452" s="4408"/>
      <c r="R452" s="4408"/>
      <c r="T452" s="4408"/>
      <c r="V452" s="4408"/>
      <c r="X452" s="4408"/>
      <c r="Z452" s="4408"/>
      <c r="AF452" s="4408"/>
      <c r="AH452" s="4408"/>
      <c r="AR452" s="4408"/>
    </row>
    <row r="453" spans="4:44" s="3380" customFormat="1" x14ac:dyDescent="0.2">
      <c r="D453" s="4408"/>
      <c r="E453" s="3453"/>
      <c r="F453" s="4408"/>
      <c r="G453" s="3453"/>
      <c r="H453" s="4408"/>
      <c r="I453" s="3453"/>
      <c r="J453" s="4408"/>
      <c r="L453" s="4408"/>
      <c r="N453" s="4408"/>
      <c r="P453" s="4408"/>
      <c r="R453" s="4408"/>
      <c r="T453" s="4408"/>
      <c r="V453" s="4408"/>
      <c r="X453" s="4408"/>
      <c r="Z453" s="4408"/>
      <c r="AF453" s="4408"/>
      <c r="AH453" s="4408"/>
      <c r="AR453" s="4408"/>
    </row>
    <row r="454" spans="4:44" s="3380" customFormat="1" x14ac:dyDescent="0.2">
      <c r="D454" s="4408"/>
      <c r="E454" s="3453"/>
      <c r="F454" s="4408"/>
      <c r="G454" s="3453"/>
      <c r="H454" s="4408"/>
      <c r="I454" s="3453"/>
      <c r="J454" s="4408"/>
      <c r="L454" s="4408"/>
      <c r="N454" s="4408"/>
      <c r="P454" s="4408"/>
      <c r="R454" s="4408"/>
      <c r="T454" s="4408"/>
      <c r="V454" s="4408"/>
      <c r="X454" s="4408"/>
      <c r="Z454" s="4408"/>
      <c r="AF454" s="4408"/>
      <c r="AH454" s="4408"/>
      <c r="AR454" s="4408"/>
    </row>
    <row r="455" spans="4:44" s="3380" customFormat="1" x14ac:dyDescent="0.2">
      <c r="D455" s="4408"/>
      <c r="E455" s="3453"/>
      <c r="F455" s="4408"/>
      <c r="G455" s="3453"/>
      <c r="H455" s="4408"/>
      <c r="I455" s="3453"/>
      <c r="J455" s="4408"/>
      <c r="L455" s="4408"/>
      <c r="N455" s="4408"/>
      <c r="P455" s="4408"/>
      <c r="R455" s="4408"/>
      <c r="T455" s="4408"/>
      <c r="V455" s="4408"/>
      <c r="X455" s="4408"/>
      <c r="Z455" s="4408"/>
      <c r="AF455" s="4408"/>
      <c r="AH455" s="4408"/>
      <c r="AR455" s="4408"/>
    </row>
    <row r="456" spans="4:44" s="3380" customFormat="1" x14ac:dyDescent="0.2">
      <c r="D456" s="4408"/>
      <c r="E456" s="3453"/>
      <c r="F456" s="4408"/>
      <c r="G456" s="3453"/>
      <c r="H456" s="4408"/>
      <c r="I456" s="3453"/>
      <c r="J456" s="4408"/>
      <c r="L456" s="4408"/>
      <c r="N456" s="4408"/>
      <c r="P456" s="4408"/>
      <c r="R456" s="4408"/>
      <c r="T456" s="4408"/>
      <c r="V456" s="4408"/>
      <c r="X456" s="4408"/>
      <c r="Z456" s="4408"/>
    </row>
    <row r="457" spans="4:44" s="3380" customFormat="1" x14ac:dyDescent="0.2">
      <c r="D457" s="4408"/>
      <c r="E457" s="3453"/>
      <c r="F457" s="4408"/>
      <c r="G457" s="3453"/>
      <c r="H457" s="4408"/>
      <c r="I457" s="3453"/>
      <c r="J457" s="4408"/>
      <c r="L457" s="4408"/>
      <c r="N457" s="4408"/>
      <c r="P457" s="4408"/>
      <c r="R457" s="4408"/>
      <c r="T457" s="4408"/>
      <c r="V457" s="4408"/>
      <c r="X457" s="4408"/>
      <c r="Z457" s="4408"/>
    </row>
    <row r="458" spans="4:44" s="3380" customFormat="1" x14ac:dyDescent="0.2">
      <c r="D458" s="4408"/>
      <c r="E458" s="3453"/>
      <c r="F458" s="4408"/>
      <c r="G458" s="3453"/>
      <c r="H458" s="4408"/>
      <c r="I458" s="3453"/>
      <c r="J458" s="4408"/>
      <c r="L458" s="4408"/>
      <c r="N458" s="4408"/>
      <c r="P458" s="4408"/>
      <c r="R458" s="4408"/>
      <c r="T458" s="4408"/>
      <c r="V458" s="4408"/>
      <c r="X458" s="4408"/>
      <c r="Z458" s="4408"/>
    </row>
    <row r="459" spans="4:44" s="3380" customFormat="1" x14ac:dyDescent="0.2">
      <c r="D459" s="4408"/>
      <c r="E459" s="3453"/>
      <c r="F459" s="4408"/>
      <c r="G459" s="3453"/>
      <c r="H459" s="4408"/>
      <c r="I459" s="3453"/>
      <c r="J459" s="4408"/>
      <c r="L459" s="4408"/>
      <c r="N459" s="4408"/>
      <c r="P459" s="4408"/>
      <c r="R459" s="4408"/>
      <c r="T459" s="4408"/>
      <c r="V459" s="4408"/>
      <c r="X459" s="4408"/>
      <c r="Z459" s="4408"/>
    </row>
    <row r="460" spans="4:44" s="3380" customFormat="1" x14ac:dyDescent="0.2">
      <c r="D460" s="4408"/>
      <c r="E460" s="3453"/>
      <c r="F460" s="4408"/>
      <c r="G460" s="3453"/>
      <c r="H460" s="4408"/>
      <c r="I460" s="3453"/>
      <c r="J460" s="4408"/>
      <c r="L460" s="4408"/>
      <c r="N460" s="4408"/>
      <c r="P460" s="4408"/>
      <c r="R460" s="4408"/>
      <c r="T460" s="4408"/>
      <c r="V460" s="4408"/>
      <c r="X460" s="4408"/>
      <c r="Z460" s="4408"/>
    </row>
    <row r="461" spans="4:44" s="3380" customFormat="1" x14ac:dyDescent="0.2">
      <c r="D461" s="4408"/>
      <c r="E461" s="3453"/>
      <c r="F461" s="4408"/>
      <c r="G461" s="3453"/>
      <c r="H461" s="4408"/>
      <c r="I461" s="3453"/>
      <c r="J461" s="4408"/>
      <c r="L461" s="4408"/>
      <c r="N461" s="4408"/>
      <c r="P461" s="4408"/>
      <c r="R461" s="4408"/>
      <c r="T461" s="4408"/>
      <c r="V461" s="4408"/>
      <c r="X461" s="4408"/>
      <c r="Z461" s="4408"/>
    </row>
    <row r="462" spans="4:44" s="3380" customFormat="1" x14ac:dyDescent="0.2">
      <c r="D462" s="4408"/>
      <c r="E462" s="3453"/>
      <c r="F462" s="4408"/>
      <c r="G462" s="3453"/>
      <c r="H462" s="4408"/>
      <c r="I462" s="3453"/>
      <c r="J462" s="4408"/>
      <c r="L462" s="4408"/>
      <c r="N462" s="4408"/>
      <c r="P462" s="4408"/>
      <c r="R462" s="4408"/>
      <c r="T462" s="4408"/>
      <c r="V462" s="4408"/>
      <c r="X462" s="4408"/>
      <c r="Z462" s="4408"/>
    </row>
    <row r="463" spans="4:44" s="3380" customFormat="1" x14ac:dyDescent="0.2">
      <c r="D463" s="4408"/>
      <c r="E463" s="3453"/>
      <c r="F463" s="4408"/>
      <c r="G463" s="3453"/>
      <c r="H463" s="4408"/>
      <c r="I463" s="3453"/>
      <c r="J463" s="4408"/>
      <c r="L463" s="4408"/>
      <c r="N463" s="4408"/>
      <c r="P463" s="4408"/>
      <c r="R463" s="4408"/>
      <c r="T463" s="4408"/>
      <c r="V463" s="4408"/>
      <c r="X463" s="4408"/>
      <c r="Z463" s="4408"/>
    </row>
    <row r="464" spans="4:44" s="3380" customFormat="1" x14ac:dyDescent="0.2">
      <c r="D464" s="4408"/>
      <c r="E464" s="3453"/>
      <c r="F464" s="4408"/>
      <c r="G464" s="3453"/>
      <c r="H464" s="4408"/>
      <c r="I464" s="3453"/>
      <c r="J464" s="4408"/>
      <c r="L464" s="4408"/>
      <c r="N464" s="4408"/>
      <c r="P464" s="4408"/>
      <c r="R464" s="4408"/>
      <c r="T464" s="4408"/>
      <c r="V464" s="4408"/>
      <c r="X464" s="4408"/>
      <c r="Z464" s="4408"/>
    </row>
    <row r="465" spans="4:26" s="3380" customFormat="1" x14ac:dyDescent="0.2">
      <c r="D465" s="4408"/>
      <c r="E465" s="3453"/>
      <c r="F465" s="4408"/>
      <c r="G465" s="3453"/>
      <c r="H465" s="4408"/>
      <c r="I465" s="3453"/>
      <c r="J465" s="4408"/>
      <c r="L465" s="4408"/>
      <c r="N465" s="4408"/>
      <c r="P465" s="4408"/>
      <c r="R465" s="4408"/>
      <c r="T465" s="4408"/>
      <c r="V465" s="4408"/>
      <c r="X465" s="4408"/>
      <c r="Z465" s="4408"/>
    </row>
    <row r="466" spans="4:26" s="3380" customFormat="1" x14ac:dyDescent="0.2">
      <c r="D466" s="4408"/>
      <c r="E466" s="3453"/>
      <c r="F466" s="4408"/>
      <c r="G466" s="3453"/>
      <c r="H466" s="4408"/>
      <c r="I466" s="3453"/>
      <c r="J466" s="4408"/>
      <c r="L466" s="4408"/>
      <c r="N466" s="4408"/>
      <c r="P466" s="4408"/>
      <c r="R466" s="4408"/>
      <c r="T466" s="4408"/>
      <c r="V466" s="4408"/>
      <c r="X466" s="4408"/>
      <c r="Z466" s="4408"/>
    </row>
    <row r="467" spans="4:26" s="3380" customFormat="1" x14ac:dyDescent="0.2">
      <c r="D467" s="4408"/>
      <c r="E467" s="3453"/>
      <c r="F467" s="4408"/>
      <c r="G467" s="3453"/>
      <c r="H467" s="4408"/>
      <c r="I467" s="3453"/>
      <c r="J467" s="4408"/>
      <c r="L467" s="4408"/>
      <c r="N467" s="4408"/>
      <c r="P467" s="4408"/>
      <c r="R467" s="4408"/>
      <c r="T467" s="4408"/>
      <c r="V467" s="4408"/>
      <c r="X467" s="4408"/>
      <c r="Z467" s="4408"/>
    </row>
    <row r="468" spans="4:26" s="3380" customFormat="1" x14ac:dyDescent="0.2">
      <c r="D468" s="4408"/>
      <c r="E468" s="3453"/>
      <c r="F468" s="4408"/>
      <c r="G468" s="3453"/>
      <c r="H468" s="4408"/>
      <c r="I468" s="3453"/>
      <c r="J468" s="4408"/>
      <c r="L468" s="4408"/>
      <c r="N468" s="4408"/>
      <c r="P468" s="4408"/>
      <c r="R468" s="4408"/>
      <c r="T468" s="4408"/>
      <c r="V468" s="4408"/>
      <c r="X468" s="4408"/>
      <c r="Z468" s="4408"/>
    </row>
    <row r="469" spans="4:26" s="3380" customFormat="1" x14ac:dyDescent="0.2">
      <c r="D469" s="4408"/>
      <c r="E469" s="3453"/>
      <c r="F469" s="4408"/>
      <c r="G469" s="3453"/>
      <c r="H469" s="4408"/>
      <c r="I469" s="3453"/>
      <c r="J469" s="4408"/>
      <c r="L469" s="4408"/>
      <c r="N469" s="4408"/>
      <c r="P469" s="4408"/>
      <c r="R469" s="4408"/>
      <c r="T469" s="4408"/>
      <c r="V469" s="4408"/>
      <c r="X469" s="4408"/>
      <c r="Z469" s="4408"/>
    </row>
    <row r="470" spans="4:26" s="3380" customFormat="1" x14ac:dyDescent="0.2">
      <c r="D470" s="4408"/>
      <c r="E470" s="3453"/>
      <c r="F470" s="4408"/>
      <c r="G470" s="3453"/>
      <c r="H470" s="4408"/>
      <c r="I470" s="3453"/>
      <c r="J470" s="4408"/>
      <c r="L470" s="4408"/>
      <c r="N470" s="4408"/>
      <c r="P470" s="4408"/>
      <c r="R470" s="4408"/>
      <c r="T470" s="4408"/>
      <c r="V470" s="4408"/>
      <c r="X470" s="4408"/>
      <c r="Z470" s="4408"/>
    </row>
    <row r="471" spans="4:26" s="3380" customFormat="1" x14ac:dyDescent="0.2">
      <c r="D471" s="4408"/>
      <c r="E471" s="3453"/>
      <c r="F471" s="4408"/>
      <c r="G471" s="3453"/>
      <c r="H471" s="4408"/>
      <c r="I471" s="3453"/>
      <c r="J471" s="4408"/>
      <c r="L471" s="4408"/>
      <c r="N471" s="4408"/>
      <c r="P471" s="4408"/>
      <c r="R471" s="4408"/>
      <c r="T471" s="4408"/>
      <c r="V471" s="4408"/>
      <c r="X471" s="4408"/>
      <c r="Z471" s="4408"/>
    </row>
    <row r="472" spans="4:26" s="3380" customFormat="1" x14ac:dyDescent="0.2">
      <c r="D472" s="4408"/>
      <c r="E472" s="3453"/>
      <c r="F472" s="4408"/>
      <c r="G472" s="3453"/>
      <c r="H472" s="4408"/>
      <c r="I472" s="3453"/>
      <c r="J472" s="4408"/>
      <c r="L472" s="4408"/>
      <c r="N472" s="4408"/>
      <c r="P472" s="4408"/>
      <c r="R472" s="4408"/>
      <c r="T472" s="4408"/>
      <c r="V472" s="4408"/>
      <c r="X472" s="4408"/>
      <c r="Z472" s="4408"/>
    </row>
    <row r="473" spans="4:26" s="3380" customFormat="1" x14ac:dyDescent="0.2">
      <c r="D473" s="4408"/>
      <c r="E473" s="3453"/>
      <c r="F473" s="4408"/>
      <c r="G473" s="3453"/>
      <c r="H473" s="4408"/>
      <c r="I473" s="3453"/>
      <c r="J473" s="4408"/>
      <c r="L473" s="4408"/>
      <c r="N473" s="4408"/>
      <c r="P473" s="4408"/>
      <c r="R473" s="4408"/>
      <c r="T473" s="4408"/>
      <c r="V473" s="4408"/>
      <c r="X473" s="4408"/>
      <c r="Z473" s="4408"/>
    </row>
    <row r="474" spans="4:26" s="3380" customFormat="1" x14ac:dyDescent="0.2">
      <c r="D474" s="4408"/>
      <c r="E474" s="3453"/>
      <c r="F474" s="4408"/>
      <c r="G474" s="3453"/>
      <c r="H474" s="4408"/>
      <c r="I474" s="3453"/>
      <c r="J474" s="4408"/>
      <c r="L474" s="4408"/>
      <c r="N474" s="4408"/>
      <c r="P474" s="4408"/>
      <c r="R474" s="4408"/>
      <c r="T474" s="4408"/>
      <c r="V474" s="4408"/>
      <c r="X474" s="4408"/>
      <c r="Z474" s="4408"/>
    </row>
    <row r="475" spans="4:26" s="3380" customFormat="1" x14ac:dyDescent="0.2">
      <c r="D475" s="4408"/>
      <c r="E475" s="3453"/>
      <c r="F475" s="4408"/>
      <c r="G475" s="3453"/>
      <c r="H475" s="4408"/>
      <c r="I475" s="3453"/>
      <c r="J475" s="4408"/>
      <c r="L475" s="4408"/>
      <c r="N475" s="4408"/>
      <c r="P475" s="4408"/>
      <c r="R475" s="4408"/>
      <c r="T475" s="4408"/>
      <c r="V475" s="4408"/>
      <c r="X475" s="4408"/>
      <c r="Z475" s="4408"/>
    </row>
    <row r="476" spans="4:26" s="3380" customFormat="1" x14ac:dyDescent="0.2">
      <c r="D476" s="4408"/>
      <c r="E476" s="3453"/>
      <c r="F476" s="4408"/>
      <c r="G476" s="3453"/>
      <c r="H476" s="4408"/>
      <c r="I476" s="3453"/>
      <c r="J476" s="4408"/>
      <c r="L476" s="4408"/>
      <c r="N476" s="4408"/>
      <c r="P476" s="4408"/>
      <c r="R476" s="4408"/>
      <c r="T476" s="4408"/>
      <c r="V476" s="4408"/>
      <c r="X476" s="4408"/>
      <c r="Z476" s="4408"/>
    </row>
    <row r="477" spans="4:26" s="3380" customFormat="1" x14ac:dyDescent="0.2">
      <c r="D477" s="4408"/>
      <c r="E477" s="3453"/>
      <c r="F477" s="4408"/>
      <c r="G477" s="3453"/>
      <c r="H477" s="4408"/>
      <c r="I477" s="3453"/>
      <c r="J477" s="4408"/>
      <c r="L477" s="4408"/>
      <c r="N477" s="4408"/>
      <c r="P477" s="4408"/>
      <c r="R477" s="4408"/>
      <c r="T477" s="4408"/>
      <c r="V477" s="4408"/>
      <c r="X477" s="4408"/>
      <c r="Z477" s="4408"/>
    </row>
    <row r="478" spans="4:26" s="3380" customFormat="1" x14ac:dyDescent="0.2">
      <c r="D478" s="4408"/>
      <c r="E478" s="3453"/>
      <c r="F478" s="4408"/>
      <c r="G478" s="3453"/>
      <c r="H478" s="4408"/>
      <c r="I478" s="3453"/>
      <c r="J478" s="4408"/>
      <c r="L478" s="4408"/>
      <c r="N478" s="4408"/>
      <c r="P478" s="4408"/>
      <c r="R478" s="4408"/>
      <c r="T478" s="4408"/>
      <c r="V478" s="4408"/>
      <c r="X478" s="4408"/>
      <c r="Z478" s="4408"/>
    </row>
    <row r="479" spans="4:26" s="3380" customFormat="1" x14ac:dyDescent="0.2">
      <c r="D479" s="4408"/>
      <c r="E479" s="3453"/>
      <c r="F479" s="4408"/>
      <c r="G479" s="3453"/>
      <c r="H479" s="4408"/>
      <c r="I479" s="3453"/>
      <c r="J479" s="4408"/>
      <c r="L479" s="4408"/>
      <c r="N479" s="4408"/>
      <c r="P479" s="4408"/>
      <c r="R479" s="4408"/>
      <c r="T479" s="4408"/>
      <c r="V479" s="4408"/>
      <c r="X479" s="4408"/>
      <c r="Z479" s="4408"/>
    </row>
    <row r="480" spans="4:26" s="3380" customFormat="1" x14ac:dyDescent="0.2">
      <c r="D480" s="4408"/>
      <c r="E480" s="3453"/>
      <c r="F480" s="4408"/>
      <c r="G480" s="3453"/>
      <c r="H480" s="4408"/>
      <c r="I480" s="3453"/>
      <c r="J480" s="4408"/>
      <c r="L480" s="4408"/>
      <c r="N480" s="4408"/>
      <c r="P480" s="4408"/>
      <c r="R480" s="4408"/>
      <c r="T480" s="4408"/>
      <c r="V480" s="4408"/>
      <c r="X480" s="4408"/>
      <c r="Z480" s="4408"/>
    </row>
    <row r="481" spans="4:26" s="3380" customFormat="1" x14ac:dyDescent="0.2">
      <c r="D481" s="4408"/>
      <c r="E481" s="3453"/>
      <c r="F481" s="4408"/>
      <c r="G481" s="3453"/>
      <c r="H481" s="4408"/>
      <c r="I481" s="3453"/>
      <c r="J481" s="4408"/>
      <c r="L481" s="4408"/>
      <c r="N481" s="4408"/>
      <c r="P481" s="4408"/>
      <c r="R481" s="4408"/>
      <c r="T481" s="4408"/>
      <c r="V481" s="4408"/>
      <c r="X481" s="4408"/>
      <c r="Z481" s="4408"/>
    </row>
    <row r="482" spans="4:26" s="3380" customFormat="1" x14ac:dyDescent="0.2">
      <c r="D482" s="4408"/>
      <c r="E482" s="3453"/>
      <c r="F482" s="4408"/>
      <c r="G482" s="3453"/>
      <c r="H482" s="4408"/>
      <c r="I482" s="3453"/>
      <c r="J482" s="4408"/>
      <c r="L482" s="4408"/>
      <c r="N482" s="4408"/>
      <c r="P482" s="4408"/>
      <c r="R482" s="4408"/>
      <c r="T482" s="4408"/>
      <c r="V482" s="4408"/>
      <c r="X482" s="4408"/>
      <c r="Z482" s="4408"/>
    </row>
    <row r="483" spans="4:26" s="3380" customFormat="1" x14ac:dyDescent="0.2">
      <c r="D483" s="4408"/>
      <c r="E483" s="3453"/>
      <c r="F483" s="4408"/>
      <c r="G483" s="3453"/>
      <c r="H483" s="4408"/>
      <c r="I483" s="3453"/>
      <c r="J483" s="4408"/>
      <c r="L483" s="4408"/>
      <c r="N483" s="4408"/>
      <c r="P483" s="4408"/>
      <c r="R483" s="4408"/>
      <c r="T483" s="4408"/>
      <c r="V483" s="4408"/>
      <c r="X483" s="4408"/>
      <c r="Z483" s="4408"/>
    </row>
    <row r="484" spans="4:26" s="3380" customFormat="1" x14ac:dyDescent="0.2">
      <c r="D484" s="4408"/>
      <c r="E484" s="3453"/>
      <c r="F484" s="4408"/>
      <c r="G484" s="3453"/>
      <c r="H484" s="4408"/>
      <c r="I484" s="3453"/>
      <c r="J484" s="4408"/>
      <c r="L484" s="4408"/>
      <c r="N484" s="4408"/>
      <c r="P484" s="4408"/>
      <c r="R484" s="4408"/>
      <c r="T484" s="4408"/>
      <c r="V484" s="4408"/>
      <c r="X484" s="4408"/>
      <c r="Z484" s="4408"/>
    </row>
    <row r="485" spans="4:26" s="3380" customFormat="1" x14ac:dyDescent="0.2">
      <c r="D485" s="4408"/>
      <c r="E485" s="3453"/>
      <c r="F485" s="4408"/>
      <c r="G485" s="3453"/>
      <c r="H485" s="4408"/>
      <c r="I485" s="3453"/>
      <c r="J485" s="4408"/>
      <c r="L485" s="4408"/>
      <c r="N485" s="4408"/>
      <c r="P485" s="4408"/>
      <c r="R485" s="4408"/>
      <c r="T485" s="4408"/>
      <c r="V485" s="4408"/>
      <c r="X485" s="4408"/>
      <c r="Z485" s="4408"/>
    </row>
    <row r="486" spans="4:26" s="3380" customFormat="1" x14ac:dyDescent="0.2">
      <c r="D486" s="4408"/>
      <c r="E486" s="3453"/>
      <c r="F486" s="4408"/>
      <c r="G486" s="3453"/>
      <c r="H486" s="4408"/>
      <c r="I486" s="3453"/>
      <c r="J486" s="4408"/>
      <c r="L486" s="4408"/>
      <c r="N486" s="4408"/>
      <c r="P486" s="4408"/>
      <c r="R486" s="4408"/>
      <c r="T486" s="4408"/>
      <c r="V486" s="4408"/>
      <c r="X486" s="4408"/>
      <c r="Z486" s="4408"/>
    </row>
    <row r="487" spans="4:26" s="3380" customFormat="1" x14ac:dyDescent="0.2">
      <c r="D487" s="4408"/>
      <c r="E487" s="3453"/>
      <c r="F487" s="4408"/>
      <c r="G487" s="3453"/>
      <c r="H487" s="4408"/>
      <c r="I487" s="3453"/>
      <c r="J487" s="4408"/>
      <c r="L487" s="4408"/>
      <c r="N487" s="4408"/>
      <c r="P487" s="4408"/>
      <c r="R487" s="4408"/>
      <c r="T487" s="4408"/>
      <c r="V487" s="4408"/>
      <c r="X487" s="4408"/>
      <c r="Z487" s="4408"/>
    </row>
    <row r="488" spans="4:26" s="3380" customFormat="1" x14ac:dyDescent="0.2">
      <c r="D488" s="4408"/>
      <c r="E488" s="3453"/>
      <c r="F488" s="4408"/>
      <c r="G488" s="3453"/>
      <c r="H488" s="4408"/>
      <c r="I488" s="3453"/>
      <c r="J488" s="4408"/>
      <c r="L488" s="4408"/>
      <c r="N488" s="4408"/>
      <c r="P488" s="4408"/>
      <c r="R488" s="4408"/>
      <c r="T488" s="4408"/>
      <c r="V488" s="4408"/>
      <c r="X488" s="4408"/>
      <c r="Z488" s="4408"/>
    </row>
    <row r="489" spans="4:26" s="3380" customFormat="1" x14ac:dyDescent="0.2">
      <c r="D489" s="4408"/>
      <c r="E489" s="3453"/>
      <c r="F489" s="4408"/>
      <c r="G489" s="3453"/>
      <c r="H489" s="4408"/>
      <c r="I489" s="3453"/>
      <c r="J489" s="4408"/>
      <c r="L489" s="4408"/>
      <c r="N489" s="4408"/>
      <c r="P489" s="4408"/>
      <c r="R489" s="4408"/>
      <c r="T489" s="4408"/>
      <c r="V489" s="4408"/>
      <c r="X489" s="4408"/>
      <c r="Z489" s="4408"/>
    </row>
    <row r="490" spans="4:26" s="3380" customFormat="1" x14ac:dyDescent="0.2">
      <c r="D490" s="4408"/>
      <c r="E490" s="3453"/>
      <c r="F490" s="4408"/>
      <c r="G490" s="3453"/>
      <c r="H490" s="4408"/>
      <c r="I490" s="3453"/>
      <c r="J490" s="4408"/>
      <c r="L490" s="4408"/>
      <c r="N490" s="4408"/>
      <c r="P490" s="4408"/>
      <c r="R490" s="4408"/>
      <c r="T490" s="4408"/>
      <c r="V490" s="4408"/>
      <c r="X490" s="4408"/>
      <c r="Z490" s="4408"/>
    </row>
    <row r="491" spans="4:26" s="3380" customFormat="1" x14ac:dyDescent="0.2">
      <c r="D491" s="4408"/>
      <c r="E491" s="3453"/>
      <c r="F491" s="4408"/>
      <c r="G491" s="3453"/>
      <c r="H491" s="4408"/>
      <c r="I491" s="3453"/>
      <c r="J491" s="4408"/>
      <c r="L491" s="4408"/>
      <c r="N491" s="4408"/>
      <c r="P491" s="4408"/>
      <c r="R491" s="4408"/>
      <c r="T491" s="4408"/>
      <c r="V491" s="4408"/>
      <c r="X491" s="4408"/>
      <c r="Z491" s="4408"/>
    </row>
    <row r="492" spans="4:26" s="3380" customFormat="1" x14ac:dyDescent="0.2">
      <c r="D492" s="4408"/>
      <c r="E492" s="3453"/>
      <c r="F492" s="4408"/>
      <c r="G492" s="3453"/>
      <c r="H492" s="4408"/>
      <c r="I492" s="3453"/>
      <c r="J492" s="4408"/>
      <c r="L492" s="4408"/>
      <c r="N492" s="4408"/>
      <c r="P492" s="4408"/>
      <c r="R492" s="4408"/>
      <c r="T492" s="4408"/>
      <c r="V492" s="4408"/>
      <c r="X492" s="4408"/>
      <c r="Z492" s="4408"/>
    </row>
    <row r="493" spans="4:26" s="3380" customFormat="1" x14ac:dyDescent="0.2">
      <c r="D493" s="4408"/>
      <c r="E493" s="3453"/>
      <c r="F493" s="4408"/>
      <c r="G493" s="3453"/>
      <c r="H493" s="4408"/>
      <c r="I493" s="3453"/>
      <c r="J493" s="4408"/>
      <c r="L493" s="4408"/>
      <c r="N493" s="4408"/>
      <c r="P493" s="4408"/>
      <c r="R493" s="4408"/>
      <c r="T493" s="4408"/>
      <c r="V493" s="4408"/>
      <c r="X493" s="4408"/>
      <c r="Z493" s="4408"/>
    </row>
    <row r="494" spans="4:26" s="3380" customFormat="1" x14ac:dyDescent="0.2">
      <c r="D494" s="4408"/>
      <c r="E494" s="3453"/>
      <c r="F494" s="4408"/>
      <c r="G494" s="3453"/>
      <c r="H494" s="4408"/>
      <c r="I494" s="3453"/>
      <c r="J494" s="4408"/>
      <c r="L494" s="4408"/>
      <c r="N494" s="4408"/>
      <c r="P494" s="4408"/>
      <c r="R494" s="4408"/>
      <c r="T494" s="4408"/>
      <c r="V494" s="4408"/>
      <c r="X494" s="4408"/>
      <c r="Z494" s="4408"/>
    </row>
    <row r="495" spans="4:26" s="3380" customFormat="1" x14ac:dyDescent="0.2">
      <c r="D495" s="4408"/>
      <c r="E495" s="3453"/>
      <c r="F495" s="4408"/>
      <c r="G495" s="3453"/>
      <c r="H495" s="4408"/>
      <c r="I495" s="3453"/>
      <c r="J495" s="4408"/>
      <c r="L495" s="4408"/>
      <c r="N495" s="4408"/>
      <c r="P495" s="4408"/>
      <c r="R495" s="4408"/>
      <c r="T495" s="4408"/>
      <c r="V495" s="4408"/>
      <c r="X495" s="4408"/>
      <c r="Z495" s="4408"/>
    </row>
    <row r="496" spans="4:26" s="3380" customFormat="1" x14ac:dyDescent="0.2">
      <c r="D496" s="4408"/>
      <c r="E496" s="3453"/>
      <c r="F496" s="4408"/>
      <c r="G496" s="3453"/>
      <c r="H496" s="4408"/>
      <c r="I496" s="3453"/>
      <c r="J496" s="4408"/>
      <c r="L496" s="4408"/>
      <c r="N496" s="4408"/>
      <c r="P496" s="4408"/>
      <c r="R496" s="4408"/>
      <c r="T496" s="4408"/>
      <c r="V496" s="4408"/>
      <c r="X496" s="4408"/>
      <c r="Z496" s="4408"/>
    </row>
    <row r="497" spans="4:26" s="3380" customFormat="1" x14ac:dyDescent="0.2">
      <c r="D497" s="4408"/>
      <c r="E497" s="3453"/>
      <c r="F497" s="4408"/>
      <c r="G497" s="3453"/>
      <c r="H497" s="4408"/>
      <c r="I497" s="3453"/>
      <c r="J497" s="4408"/>
      <c r="L497" s="4408"/>
      <c r="N497" s="4408"/>
      <c r="P497" s="4408"/>
      <c r="R497" s="4408"/>
      <c r="T497" s="4408"/>
      <c r="V497" s="4408"/>
      <c r="X497" s="4408"/>
      <c r="Z497" s="4408"/>
    </row>
    <row r="498" spans="4:26" s="3380" customFormat="1" x14ac:dyDescent="0.2">
      <c r="D498" s="4408"/>
      <c r="E498" s="3453"/>
      <c r="F498" s="4408"/>
      <c r="G498" s="3453"/>
      <c r="H498" s="4408"/>
      <c r="I498" s="3453"/>
      <c r="J498" s="4408"/>
      <c r="L498" s="4408"/>
      <c r="N498" s="4408"/>
      <c r="P498" s="4408"/>
      <c r="R498" s="4408"/>
      <c r="T498" s="4408"/>
      <c r="V498" s="4408"/>
      <c r="X498" s="4408"/>
      <c r="Z498" s="4408"/>
    </row>
    <row r="499" spans="4:26" s="3380" customFormat="1" x14ac:dyDescent="0.2">
      <c r="D499" s="4408"/>
      <c r="E499" s="3453"/>
      <c r="F499" s="4408"/>
      <c r="G499" s="3453"/>
      <c r="H499" s="4408"/>
      <c r="I499" s="3453"/>
      <c r="J499" s="4408"/>
      <c r="L499" s="4408"/>
      <c r="N499" s="4408"/>
      <c r="P499" s="4408"/>
      <c r="R499" s="4408"/>
      <c r="T499" s="4408"/>
      <c r="V499" s="4408"/>
      <c r="X499" s="4408"/>
      <c r="Z499" s="4408"/>
    </row>
    <row r="500" spans="4:26" s="3380" customFormat="1" x14ac:dyDescent="0.2">
      <c r="D500" s="4408"/>
      <c r="E500" s="3453"/>
      <c r="F500" s="4408"/>
      <c r="G500" s="3453"/>
      <c r="H500" s="4408"/>
      <c r="I500" s="3453"/>
      <c r="J500" s="4408"/>
      <c r="L500" s="4408"/>
      <c r="N500" s="4408"/>
      <c r="P500" s="4408"/>
      <c r="R500" s="4408"/>
      <c r="T500" s="4408"/>
      <c r="V500" s="4408"/>
      <c r="X500" s="4408"/>
      <c r="Z500" s="4408"/>
    </row>
    <row r="501" spans="4:26" s="3380" customFormat="1" x14ac:dyDescent="0.2">
      <c r="D501" s="4408"/>
      <c r="E501" s="3453"/>
      <c r="F501" s="4408"/>
      <c r="G501" s="3453"/>
      <c r="H501" s="4408"/>
      <c r="I501" s="3453"/>
      <c r="J501" s="4408"/>
      <c r="L501" s="4408"/>
      <c r="N501" s="4408"/>
      <c r="P501" s="4408"/>
      <c r="R501" s="4408"/>
      <c r="T501" s="4408"/>
      <c r="V501" s="4408"/>
      <c r="X501" s="4408"/>
      <c r="Z501" s="4408"/>
    </row>
    <row r="502" spans="4:26" s="3380" customFormat="1" x14ac:dyDescent="0.2">
      <c r="D502" s="4408"/>
      <c r="E502" s="3453"/>
      <c r="F502" s="4408"/>
      <c r="G502" s="3453"/>
      <c r="H502" s="4408"/>
      <c r="I502" s="3453"/>
      <c r="J502" s="4408"/>
      <c r="L502" s="4408"/>
      <c r="N502" s="4408"/>
      <c r="P502" s="4408"/>
      <c r="R502" s="4408"/>
      <c r="T502" s="4408"/>
      <c r="V502" s="4408"/>
      <c r="X502" s="4408"/>
      <c r="Z502" s="4408"/>
    </row>
    <row r="503" spans="4:26" s="3380" customFormat="1" x14ac:dyDescent="0.2">
      <c r="D503" s="4408"/>
      <c r="E503" s="3453"/>
      <c r="F503" s="4408"/>
      <c r="G503" s="3453"/>
      <c r="H503" s="4408"/>
      <c r="I503" s="3453"/>
      <c r="J503" s="4408"/>
      <c r="L503" s="4408"/>
      <c r="N503" s="4408"/>
      <c r="P503" s="4408"/>
      <c r="R503" s="4408"/>
      <c r="T503" s="4408"/>
      <c r="V503" s="4408"/>
      <c r="X503" s="4408"/>
      <c r="Z503" s="4408"/>
    </row>
    <row r="504" spans="4:26" s="3380" customFormat="1" x14ac:dyDescent="0.2">
      <c r="D504" s="4408"/>
      <c r="E504" s="3453"/>
      <c r="F504" s="4408"/>
      <c r="G504" s="3453"/>
      <c r="H504" s="4408"/>
      <c r="I504" s="3453"/>
      <c r="J504" s="4408"/>
      <c r="L504" s="4408"/>
      <c r="N504" s="4408"/>
      <c r="P504" s="4408"/>
      <c r="R504" s="4408"/>
      <c r="T504" s="4408"/>
      <c r="V504" s="4408"/>
      <c r="X504" s="4408"/>
      <c r="Z504" s="4408"/>
    </row>
    <row r="505" spans="4:26" s="3380" customFormat="1" x14ac:dyDescent="0.2">
      <c r="D505" s="4408"/>
      <c r="E505" s="3453"/>
      <c r="F505" s="4408"/>
      <c r="G505" s="3453"/>
      <c r="H505" s="4408"/>
      <c r="I505" s="3453"/>
      <c r="J505" s="4408"/>
      <c r="L505" s="4408"/>
      <c r="N505" s="4408"/>
      <c r="P505" s="4408"/>
      <c r="R505" s="4408"/>
      <c r="T505" s="4408"/>
      <c r="V505" s="4408"/>
      <c r="X505" s="4408"/>
      <c r="Z505" s="4408"/>
    </row>
    <row r="506" spans="4:26" s="3380" customFormat="1" x14ac:dyDescent="0.2">
      <c r="D506" s="4408"/>
      <c r="E506" s="3453"/>
      <c r="F506" s="4408"/>
      <c r="G506" s="3453"/>
      <c r="H506" s="4408"/>
      <c r="I506" s="3453"/>
      <c r="J506" s="4408"/>
      <c r="L506" s="4408"/>
      <c r="N506" s="4408"/>
      <c r="P506" s="4408"/>
      <c r="R506" s="4408"/>
      <c r="T506" s="4408"/>
      <c r="V506" s="4408"/>
      <c r="X506" s="4408"/>
      <c r="Z506" s="4408"/>
    </row>
    <row r="507" spans="4:26" s="3380" customFormat="1" x14ac:dyDescent="0.2">
      <c r="D507" s="4408"/>
      <c r="E507" s="3453"/>
      <c r="F507" s="4408"/>
      <c r="G507" s="3453"/>
      <c r="H507" s="4408"/>
      <c r="I507" s="3453"/>
      <c r="J507" s="4408"/>
      <c r="L507" s="4408"/>
      <c r="N507" s="4408"/>
      <c r="P507" s="4408"/>
      <c r="R507" s="4408"/>
      <c r="T507" s="4408"/>
      <c r="V507" s="4408"/>
      <c r="X507" s="4408"/>
      <c r="Z507" s="4408"/>
    </row>
    <row r="508" spans="4:26" s="3380" customFormat="1" x14ac:dyDescent="0.2">
      <c r="D508" s="4408"/>
      <c r="E508" s="3453"/>
      <c r="F508" s="4408"/>
      <c r="G508" s="3453"/>
      <c r="H508" s="4408"/>
      <c r="I508" s="3453"/>
      <c r="J508" s="4408"/>
      <c r="L508" s="4408"/>
      <c r="N508" s="4408"/>
      <c r="P508" s="4408"/>
      <c r="R508" s="4408"/>
      <c r="T508" s="4408"/>
      <c r="V508" s="4408"/>
      <c r="X508" s="4408"/>
      <c r="Z508" s="4408"/>
    </row>
    <row r="509" spans="4:26" s="3380" customFormat="1" x14ac:dyDescent="0.2">
      <c r="D509" s="4408"/>
      <c r="E509" s="3453"/>
      <c r="F509" s="4408"/>
      <c r="G509" s="3453"/>
      <c r="H509" s="4408"/>
      <c r="I509" s="3453"/>
      <c r="J509" s="4408"/>
      <c r="L509" s="4408"/>
      <c r="N509" s="4408"/>
      <c r="P509" s="4408"/>
      <c r="R509" s="4408"/>
      <c r="T509" s="4408"/>
      <c r="V509" s="4408"/>
      <c r="X509" s="4408"/>
      <c r="Z509" s="4408"/>
    </row>
    <row r="510" spans="4:26" s="3380" customFormat="1" x14ac:dyDescent="0.2">
      <c r="D510" s="4408"/>
      <c r="E510" s="3453"/>
      <c r="F510" s="4408"/>
      <c r="G510" s="3453"/>
      <c r="H510" s="4408"/>
      <c r="I510" s="3453"/>
      <c r="J510" s="4408"/>
      <c r="L510" s="4408"/>
      <c r="N510" s="4408"/>
      <c r="P510" s="4408"/>
      <c r="R510" s="4408"/>
      <c r="T510" s="4408"/>
      <c r="V510" s="4408"/>
      <c r="X510" s="4408"/>
      <c r="Z510" s="4408"/>
    </row>
    <row r="511" spans="4:26" s="3380" customFormat="1" x14ac:dyDescent="0.2">
      <c r="D511" s="4408"/>
      <c r="E511" s="3453"/>
      <c r="F511" s="4408"/>
      <c r="G511" s="3453"/>
      <c r="H511" s="4408"/>
      <c r="I511" s="3453"/>
      <c r="J511" s="4408"/>
      <c r="L511" s="4408"/>
      <c r="N511" s="4408"/>
      <c r="P511" s="4408"/>
      <c r="R511" s="4408"/>
      <c r="T511" s="4408"/>
      <c r="V511" s="4408"/>
      <c r="X511" s="4408"/>
      <c r="Z511" s="4408"/>
    </row>
    <row r="512" spans="4:26" s="3380" customFormat="1" x14ac:dyDescent="0.2">
      <c r="D512" s="4408"/>
      <c r="E512" s="3453"/>
      <c r="F512" s="4408"/>
      <c r="G512" s="3453"/>
      <c r="H512" s="4408"/>
      <c r="I512" s="3453"/>
      <c r="J512" s="4408"/>
      <c r="L512" s="4408"/>
      <c r="N512" s="4408"/>
      <c r="P512" s="4408"/>
      <c r="R512" s="4408"/>
      <c r="T512" s="4408"/>
      <c r="V512" s="4408"/>
      <c r="X512" s="4408"/>
      <c r="Z512" s="4408"/>
    </row>
    <row r="513" spans="4:26" s="3380" customFormat="1" x14ac:dyDescent="0.2">
      <c r="D513" s="4408"/>
      <c r="E513" s="3453"/>
      <c r="F513" s="4408"/>
      <c r="G513" s="3453"/>
      <c r="H513" s="4408"/>
      <c r="I513" s="3453"/>
      <c r="J513" s="4408"/>
      <c r="L513" s="4408"/>
      <c r="N513" s="4408"/>
      <c r="P513" s="4408"/>
      <c r="R513" s="4408"/>
      <c r="T513" s="4408"/>
      <c r="V513" s="4408"/>
      <c r="X513" s="4408"/>
      <c r="Z513" s="4408"/>
    </row>
    <row r="514" spans="4:26" s="3380" customFormat="1" x14ac:dyDescent="0.2">
      <c r="D514" s="4408"/>
      <c r="E514" s="3453"/>
      <c r="F514" s="4408"/>
      <c r="G514" s="3453"/>
      <c r="H514" s="4408"/>
      <c r="I514" s="3453"/>
      <c r="J514" s="4408"/>
      <c r="L514" s="4408"/>
      <c r="N514" s="4408"/>
      <c r="P514" s="4408"/>
      <c r="R514" s="4408"/>
      <c r="T514" s="4408"/>
      <c r="V514" s="4408"/>
      <c r="X514" s="4408"/>
      <c r="Z514" s="4408"/>
    </row>
    <row r="515" spans="4:26" s="3380" customFormat="1" x14ac:dyDescent="0.2">
      <c r="D515" s="4408"/>
      <c r="E515" s="3453"/>
      <c r="F515" s="4408"/>
      <c r="G515" s="3453"/>
      <c r="H515" s="4408"/>
      <c r="I515" s="3453"/>
      <c r="J515" s="4408"/>
      <c r="L515" s="4408"/>
      <c r="N515" s="4408"/>
      <c r="P515" s="4408"/>
      <c r="R515" s="4408"/>
      <c r="T515" s="4408"/>
      <c r="V515" s="4408"/>
      <c r="X515" s="4408"/>
      <c r="Z515" s="4408"/>
    </row>
    <row r="516" spans="4:26" s="3380" customFormat="1" x14ac:dyDescent="0.2">
      <c r="D516" s="4408"/>
      <c r="E516" s="3453"/>
      <c r="F516" s="4408"/>
      <c r="G516" s="3453"/>
      <c r="H516" s="4408"/>
      <c r="I516" s="3453"/>
      <c r="J516" s="4408"/>
      <c r="L516" s="4408"/>
      <c r="N516" s="4408"/>
      <c r="P516" s="4408"/>
      <c r="R516" s="4408"/>
      <c r="T516" s="4408"/>
      <c r="V516" s="4408"/>
      <c r="X516" s="4408"/>
      <c r="Z516" s="4408"/>
    </row>
    <row r="517" spans="4:26" s="3380" customFormat="1" x14ac:dyDescent="0.2">
      <c r="D517" s="4408"/>
      <c r="E517" s="3453"/>
      <c r="F517" s="4408"/>
      <c r="G517" s="3453"/>
      <c r="H517" s="4408"/>
      <c r="I517" s="3453"/>
      <c r="J517" s="4408"/>
      <c r="L517" s="4408"/>
      <c r="N517" s="4408"/>
      <c r="P517" s="4408"/>
      <c r="R517" s="4408"/>
      <c r="T517" s="4408"/>
      <c r="V517" s="4408"/>
      <c r="X517" s="4408"/>
      <c r="Z517" s="4408"/>
    </row>
    <row r="518" spans="4:26" s="3380" customFormat="1" x14ac:dyDescent="0.2">
      <c r="D518" s="4408"/>
      <c r="E518" s="3453"/>
      <c r="F518" s="4408"/>
      <c r="G518" s="3453"/>
      <c r="H518" s="4408"/>
      <c r="I518" s="3453"/>
      <c r="J518" s="4408"/>
      <c r="L518" s="4408"/>
      <c r="N518" s="4408"/>
      <c r="P518" s="4408"/>
      <c r="R518" s="4408"/>
      <c r="T518" s="4408"/>
      <c r="V518" s="4408"/>
      <c r="X518" s="4408"/>
      <c r="Z518" s="4408"/>
    </row>
    <row r="519" spans="4:26" s="3380" customFormat="1" x14ac:dyDescent="0.2">
      <c r="D519" s="4408"/>
      <c r="E519" s="3453"/>
      <c r="F519" s="4408"/>
      <c r="G519" s="3453"/>
      <c r="H519" s="4408"/>
      <c r="I519" s="3453"/>
      <c r="J519" s="4408"/>
      <c r="L519" s="4408"/>
      <c r="N519" s="4408"/>
      <c r="P519" s="4408"/>
      <c r="R519" s="4408"/>
      <c r="T519" s="4408"/>
      <c r="V519" s="4408"/>
      <c r="X519" s="4408"/>
      <c r="Z519" s="4408"/>
    </row>
    <row r="520" spans="4:26" s="3380" customFormat="1" x14ac:dyDescent="0.2">
      <c r="D520" s="4408"/>
      <c r="E520" s="3453"/>
      <c r="F520" s="4408"/>
      <c r="G520" s="3453"/>
      <c r="H520" s="4408"/>
      <c r="I520" s="3453"/>
      <c r="J520" s="4408"/>
      <c r="L520" s="4408"/>
      <c r="N520" s="4408"/>
      <c r="P520" s="4408"/>
      <c r="R520" s="4408"/>
      <c r="T520" s="4408"/>
      <c r="V520" s="4408"/>
      <c r="X520" s="4408"/>
      <c r="Z520" s="4408"/>
    </row>
    <row r="521" spans="4:26" s="3380" customFormat="1" x14ac:dyDescent="0.2">
      <c r="D521" s="4408"/>
      <c r="E521" s="3453"/>
      <c r="F521" s="4408"/>
      <c r="G521" s="3453"/>
      <c r="H521" s="4408"/>
      <c r="I521" s="3453"/>
      <c r="J521" s="4408"/>
      <c r="L521" s="4408"/>
      <c r="N521" s="4408"/>
      <c r="P521" s="4408"/>
      <c r="R521" s="4408"/>
      <c r="T521" s="4408"/>
      <c r="V521" s="4408"/>
      <c r="X521" s="4408"/>
      <c r="Z521" s="4408"/>
    </row>
    <row r="522" spans="4:26" s="3380" customFormat="1" x14ac:dyDescent="0.2">
      <c r="D522" s="4408"/>
      <c r="E522" s="3453"/>
      <c r="F522" s="4408"/>
      <c r="G522" s="3453"/>
      <c r="H522" s="4408"/>
      <c r="I522" s="3453"/>
      <c r="J522" s="4408"/>
      <c r="L522" s="4408"/>
      <c r="N522" s="4408"/>
      <c r="P522" s="4408"/>
      <c r="R522" s="4408"/>
      <c r="T522" s="4408"/>
      <c r="V522" s="4408"/>
      <c r="X522" s="4408"/>
      <c r="Z522" s="4408"/>
    </row>
    <row r="523" spans="4:26" s="3380" customFormat="1" x14ac:dyDescent="0.2">
      <c r="D523" s="4408"/>
      <c r="E523" s="3453"/>
      <c r="F523" s="4408"/>
      <c r="G523" s="3453"/>
      <c r="H523" s="4408"/>
      <c r="I523" s="3453"/>
      <c r="J523" s="4408"/>
      <c r="L523" s="4408"/>
      <c r="N523" s="4408"/>
      <c r="P523" s="4408"/>
      <c r="R523" s="4408"/>
      <c r="T523" s="4408"/>
      <c r="V523" s="4408"/>
      <c r="X523" s="4408"/>
      <c r="Z523" s="4408"/>
    </row>
    <row r="524" spans="4:26" s="3380" customFormat="1" x14ac:dyDescent="0.2">
      <c r="D524" s="4408"/>
      <c r="E524" s="3453"/>
      <c r="F524" s="4408"/>
      <c r="G524" s="3453"/>
      <c r="H524" s="4408"/>
      <c r="I524" s="3453"/>
      <c r="J524" s="4408"/>
      <c r="L524" s="4408"/>
      <c r="N524" s="4408"/>
      <c r="P524" s="4408"/>
      <c r="R524" s="4408"/>
      <c r="T524" s="4408"/>
      <c r="V524" s="4408"/>
      <c r="X524" s="4408"/>
      <c r="Z524" s="4408"/>
    </row>
    <row r="525" spans="4:26" s="3380" customFormat="1" x14ac:dyDescent="0.2">
      <c r="D525" s="4408"/>
      <c r="E525" s="3453"/>
      <c r="F525" s="4408"/>
      <c r="G525" s="3453"/>
      <c r="H525" s="4408"/>
      <c r="I525" s="3453"/>
      <c r="J525" s="4408"/>
      <c r="L525" s="4408"/>
      <c r="N525" s="4408"/>
      <c r="P525" s="4408"/>
      <c r="R525" s="4408"/>
      <c r="T525" s="4408"/>
      <c r="V525" s="4408"/>
      <c r="X525" s="4408"/>
      <c r="Z525" s="4408"/>
    </row>
    <row r="526" spans="4:26" s="3380" customFormat="1" x14ac:dyDescent="0.2">
      <c r="D526" s="4408"/>
      <c r="E526" s="3453"/>
      <c r="F526" s="4408"/>
      <c r="G526" s="3453"/>
      <c r="H526" s="4408"/>
      <c r="I526" s="3453"/>
      <c r="J526" s="4408"/>
      <c r="L526" s="4408"/>
      <c r="N526" s="4408"/>
      <c r="P526" s="4408"/>
      <c r="R526" s="4408"/>
      <c r="T526" s="4408"/>
      <c r="V526" s="4408"/>
      <c r="X526" s="4408"/>
      <c r="Z526" s="4408"/>
    </row>
    <row r="527" spans="4:26" s="3380" customFormat="1" x14ac:dyDescent="0.2">
      <c r="D527" s="4408"/>
      <c r="E527" s="3453"/>
      <c r="F527" s="4408"/>
      <c r="G527" s="3453"/>
      <c r="H527" s="4408"/>
      <c r="I527" s="3453"/>
      <c r="J527" s="4408"/>
      <c r="L527" s="4408"/>
      <c r="N527" s="4408"/>
      <c r="P527" s="4408"/>
      <c r="R527" s="4408"/>
      <c r="T527" s="4408"/>
      <c r="V527" s="4408"/>
      <c r="X527" s="4408"/>
      <c r="Z527" s="4408"/>
    </row>
    <row r="528" spans="4:26" s="3380" customFormat="1" x14ac:dyDescent="0.2">
      <c r="D528" s="4408"/>
      <c r="E528" s="3453"/>
      <c r="F528" s="4408"/>
      <c r="G528" s="3453"/>
      <c r="H528" s="4408"/>
      <c r="I528" s="3453"/>
      <c r="J528" s="4408"/>
      <c r="L528" s="4408"/>
      <c r="N528" s="4408"/>
      <c r="P528" s="4408"/>
      <c r="R528" s="4408"/>
      <c r="T528" s="4408"/>
      <c r="V528" s="4408"/>
      <c r="X528" s="4408"/>
      <c r="Z528" s="4408"/>
    </row>
    <row r="529" spans="4:26" s="3380" customFormat="1" x14ac:dyDescent="0.2">
      <c r="D529" s="4408"/>
      <c r="E529" s="3453"/>
      <c r="F529" s="4408"/>
      <c r="G529" s="3453"/>
      <c r="H529" s="4408"/>
      <c r="I529" s="3453"/>
      <c r="J529" s="4408"/>
      <c r="L529" s="4408"/>
      <c r="N529" s="4408"/>
      <c r="P529" s="4408"/>
      <c r="R529" s="4408"/>
      <c r="T529" s="4408"/>
      <c r="V529" s="4408"/>
      <c r="X529" s="4408"/>
      <c r="Z529" s="4408"/>
    </row>
    <row r="530" spans="4:26" s="3380" customFormat="1" x14ac:dyDescent="0.2">
      <c r="D530" s="4408"/>
      <c r="E530" s="3453"/>
      <c r="F530" s="4408"/>
      <c r="G530" s="3453"/>
      <c r="H530" s="4408"/>
      <c r="I530" s="3453"/>
      <c r="J530" s="4408"/>
      <c r="L530" s="4408"/>
      <c r="N530" s="4408"/>
      <c r="P530" s="4408"/>
      <c r="R530" s="4408"/>
      <c r="T530" s="4408"/>
      <c r="V530" s="4408"/>
      <c r="X530" s="4408"/>
      <c r="Z530" s="4408"/>
    </row>
    <row r="531" spans="4:26" s="3380" customFormat="1" x14ac:dyDescent="0.2">
      <c r="D531" s="4408"/>
      <c r="E531" s="3453"/>
      <c r="F531" s="4408"/>
      <c r="G531" s="3453"/>
      <c r="H531" s="4408"/>
      <c r="I531" s="3453"/>
      <c r="J531" s="4408"/>
      <c r="L531" s="4408"/>
      <c r="N531" s="4408"/>
      <c r="P531" s="4408"/>
      <c r="R531" s="4408"/>
      <c r="T531" s="4408"/>
      <c r="V531" s="4408"/>
      <c r="X531" s="4408"/>
      <c r="Z531" s="4408"/>
    </row>
    <row r="532" spans="4:26" s="3380" customFormat="1" x14ac:dyDescent="0.2">
      <c r="D532" s="4408"/>
      <c r="E532" s="3453"/>
      <c r="F532" s="4408"/>
      <c r="G532" s="3453"/>
      <c r="H532" s="4408"/>
      <c r="I532" s="3453"/>
      <c r="J532" s="4408"/>
      <c r="L532" s="4408"/>
      <c r="N532" s="4408"/>
      <c r="P532" s="4408"/>
      <c r="R532" s="4408"/>
      <c r="T532" s="4408"/>
      <c r="V532" s="4408"/>
      <c r="X532" s="4408"/>
      <c r="Z532" s="4408"/>
    </row>
    <row r="533" spans="4:26" s="3380" customFormat="1" x14ac:dyDescent="0.2">
      <c r="D533" s="4408"/>
      <c r="E533" s="3453"/>
      <c r="F533" s="4408"/>
      <c r="G533" s="3453"/>
      <c r="H533" s="4408"/>
      <c r="I533" s="3453"/>
      <c r="J533" s="4408"/>
      <c r="L533" s="4408"/>
      <c r="N533" s="4408"/>
      <c r="P533" s="4408"/>
      <c r="R533" s="4408"/>
      <c r="T533" s="4408"/>
      <c r="V533" s="4408"/>
      <c r="X533" s="4408"/>
      <c r="Z533" s="4408"/>
    </row>
    <row r="534" spans="4:26" s="3380" customFormat="1" x14ac:dyDescent="0.2">
      <c r="D534" s="4408"/>
      <c r="E534" s="3453"/>
      <c r="F534" s="4408"/>
      <c r="G534" s="3453"/>
      <c r="H534" s="4408"/>
      <c r="I534" s="3453"/>
      <c r="J534" s="4408"/>
      <c r="L534" s="4408"/>
      <c r="N534" s="4408"/>
      <c r="P534" s="4408"/>
      <c r="R534" s="4408"/>
      <c r="T534" s="4408"/>
      <c r="V534" s="4408"/>
      <c r="X534" s="4408"/>
      <c r="Z534" s="4408"/>
    </row>
    <row r="535" spans="4:26" s="3380" customFormat="1" x14ac:dyDescent="0.2">
      <c r="D535" s="4408"/>
      <c r="E535" s="3453"/>
      <c r="F535" s="4408"/>
      <c r="G535" s="3453"/>
      <c r="H535" s="4408"/>
      <c r="I535" s="3453"/>
      <c r="J535" s="4408"/>
      <c r="L535" s="4408"/>
      <c r="N535" s="4408"/>
      <c r="P535" s="4408"/>
      <c r="R535" s="4408"/>
      <c r="T535" s="4408"/>
      <c r="V535" s="4408"/>
      <c r="X535" s="4408"/>
      <c r="Z535" s="4408"/>
    </row>
    <row r="536" spans="4:26" s="3380" customFormat="1" x14ac:dyDescent="0.2">
      <c r="D536" s="4408"/>
      <c r="E536" s="3453"/>
      <c r="F536" s="4408"/>
      <c r="G536" s="3453"/>
      <c r="H536" s="4408"/>
      <c r="I536" s="3453"/>
      <c r="J536" s="4408"/>
      <c r="L536" s="4408"/>
      <c r="N536" s="4408"/>
      <c r="P536" s="4408"/>
      <c r="R536" s="4408"/>
      <c r="T536" s="4408"/>
      <c r="V536" s="4408"/>
      <c r="X536" s="4408"/>
      <c r="Z536" s="4408"/>
    </row>
    <row r="537" spans="4:26" s="3380" customFormat="1" x14ac:dyDescent="0.2">
      <c r="D537" s="4408"/>
      <c r="E537" s="3453"/>
      <c r="F537" s="4408"/>
      <c r="G537" s="3453"/>
      <c r="H537" s="4408"/>
      <c r="I537" s="3453"/>
      <c r="J537" s="4408"/>
      <c r="L537" s="4408"/>
      <c r="N537" s="4408"/>
      <c r="P537" s="4408"/>
      <c r="R537" s="4408"/>
      <c r="T537" s="4408"/>
      <c r="V537" s="4408"/>
      <c r="X537" s="4408"/>
      <c r="Z537" s="4408"/>
    </row>
    <row r="538" spans="4:26" s="3380" customFormat="1" x14ac:dyDescent="0.2">
      <c r="D538" s="4408"/>
      <c r="E538" s="3453"/>
      <c r="F538" s="4408"/>
      <c r="G538" s="3453"/>
      <c r="H538" s="4408"/>
      <c r="I538" s="3453"/>
      <c r="J538" s="4408"/>
      <c r="L538" s="4408"/>
      <c r="N538" s="4408"/>
      <c r="P538" s="4408"/>
      <c r="R538" s="4408"/>
      <c r="T538" s="4408"/>
      <c r="V538" s="4408"/>
      <c r="X538" s="4408"/>
      <c r="Z538" s="4408"/>
    </row>
    <row r="539" spans="4:26" s="3380" customFormat="1" x14ac:dyDescent="0.2">
      <c r="D539" s="4408"/>
      <c r="E539" s="3453"/>
      <c r="F539" s="4408"/>
      <c r="G539" s="3453"/>
      <c r="H539" s="4408"/>
      <c r="I539" s="3453"/>
      <c r="J539" s="4408"/>
      <c r="L539" s="4408"/>
      <c r="N539" s="4408"/>
      <c r="P539" s="4408"/>
      <c r="R539" s="4408"/>
      <c r="T539" s="4408"/>
      <c r="V539" s="4408"/>
      <c r="X539" s="4408"/>
      <c r="Z539" s="4408"/>
    </row>
    <row r="540" spans="4:26" s="3380" customFormat="1" x14ac:dyDescent="0.2">
      <c r="D540" s="4408"/>
      <c r="E540" s="3453"/>
      <c r="F540" s="4408"/>
      <c r="G540" s="3453"/>
      <c r="H540" s="4408"/>
      <c r="I540" s="3453"/>
      <c r="J540" s="4408"/>
      <c r="L540" s="4408"/>
      <c r="N540" s="4408"/>
      <c r="P540" s="4408"/>
      <c r="R540" s="4408"/>
      <c r="T540" s="4408"/>
      <c r="V540" s="4408"/>
      <c r="X540" s="4408"/>
      <c r="Z540" s="4408"/>
    </row>
    <row r="541" spans="4:26" s="3380" customFormat="1" x14ac:dyDescent="0.2">
      <c r="D541" s="4408"/>
      <c r="E541" s="3453"/>
      <c r="F541" s="4408"/>
      <c r="G541" s="3453"/>
      <c r="H541" s="4408"/>
      <c r="I541" s="3453"/>
      <c r="J541" s="4408"/>
      <c r="L541" s="4408"/>
      <c r="N541" s="4408"/>
      <c r="P541" s="4408"/>
      <c r="R541" s="4408"/>
      <c r="T541" s="4408"/>
      <c r="V541" s="4408"/>
      <c r="X541" s="4408"/>
      <c r="Z541" s="4408"/>
    </row>
    <row r="542" spans="4:26" s="3380" customFormat="1" x14ac:dyDescent="0.2">
      <c r="D542" s="4408"/>
      <c r="E542" s="3453"/>
      <c r="F542" s="4408"/>
      <c r="G542" s="3453"/>
      <c r="H542" s="4408"/>
      <c r="I542" s="3453"/>
      <c r="J542" s="4408"/>
      <c r="L542" s="4408"/>
      <c r="N542" s="4408"/>
      <c r="P542" s="4408"/>
      <c r="R542" s="4408"/>
      <c r="T542" s="4408"/>
      <c r="V542" s="4408"/>
      <c r="X542" s="4408"/>
      <c r="Z542" s="4408"/>
    </row>
    <row r="543" spans="4:26" s="3380" customFormat="1" x14ac:dyDescent="0.2">
      <c r="D543" s="4408"/>
      <c r="E543" s="3453"/>
      <c r="F543" s="4408"/>
      <c r="G543" s="3453"/>
      <c r="H543" s="4408"/>
      <c r="I543" s="3453"/>
      <c r="J543" s="4408"/>
      <c r="L543" s="4408"/>
      <c r="N543" s="4408"/>
      <c r="P543" s="4408"/>
      <c r="R543" s="4408"/>
      <c r="T543" s="4408"/>
      <c r="V543" s="4408"/>
      <c r="X543" s="4408"/>
      <c r="Z543" s="4408"/>
    </row>
    <row r="544" spans="4:26" s="3380" customFormat="1" x14ac:dyDescent="0.2">
      <c r="D544" s="4408"/>
      <c r="E544" s="3453"/>
      <c r="F544" s="4408"/>
      <c r="G544" s="3453"/>
      <c r="H544" s="4408"/>
      <c r="I544" s="3453"/>
      <c r="J544" s="4408"/>
      <c r="L544" s="4408"/>
      <c r="N544" s="4408"/>
      <c r="P544" s="4408"/>
      <c r="R544" s="4408"/>
      <c r="T544" s="4408"/>
      <c r="V544" s="4408"/>
      <c r="X544" s="4408"/>
      <c r="Z544" s="4408"/>
    </row>
    <row r="545" spans="4:26" s="3380" customFormat="1" x14ac:dyDescent="0.2">
      <c r="D545" s="4408"/>
      <c r="E545" s="3453"/>
      <c r="F545" s="4408"/>
      <c r="G545" s="3453"/>
      <c r="H545" s="4408"/>
      <c r="I545" s="3453"/>
      <c r="J545" s="4408"/>
      <c r="L545" s="4408"/>
      <c r="N545" s="4408"/>
      <c r="P545" s="4408"/>
      <c r="R545" s="4408"/>
      <c r="T545" s="4408"/>
      <c r="V545" s="4408"/>
      <c r="X545" s="4408"/>
      <c r="Z545" s="4408"/>
    </row>
    <row r="546" spans="4:26" s="3380" customFormat="1" x14ac:dyDescent="0.2">
      <c r="D546" s="4408"/>
      <c r="E546" s="3453"/>
      <c r="F546" s="4408"/>
      <c r="G546" s="3453"/>
      <c r="H546" s="4408"/>
      <c r="I546" s="3453"/>
      <c r="J546" s="4408"/>
      <c r="L546" s="4408"/>
      <c r="N546" s="4408"/>
      <c r="P546" s="4408"/>
      <c r="R546" s="4408"/>
      <c r="T546" s="4408"/>
      <c r="V546" s="4408"/>
      <c r="X546" s="4408"/>
      <c r="Z546" s="4408"/>
    </row>
    <row r="547" spans="4:26" s="3380" customFormat="1" x14ac:dyDescent="0.2">
      <c r="D547" s="4408"/>
      <c r="E547" s="3453"/>
      <c r="F547" s="4408"/>
      <c r="G547" s="3453"/>
      <c r="H547" s="4408"/>
      <c r="I547" s="3453"/>
      <c r="J547" s="4408"/>
      <c r="L547" s="4408"/>
      <c r="N547" s="4408"/>
      <c r="P547" s="4408"/>
      <c r="R547" s="4408"/>
      <c r="T547" s="4408"/>
      <c r="V547" s="4408"/>
      <c r="X547" s="4408"/>
      <c r="Z547" s="4408"/>
    </row>
    <row r="548" spans="4:26" s="3380" customFormat="1" x14ac:dyDescent="0.2">
      <c r="D548" s="4408"/>
      <c r="E548" s="3453"/>
      <c r="F548" s="4408"/>
      <c r="G548" s="3453"/>
      <c r="H548" s="4408"/>
      <c r="I548" s="3453"/>
      <c r="J548" s="4408"/>
      <c r="L548" s="4408"/>
      <c r="N548" s="4408"/>
      <c r="P548" s="4408"/>
      <c r="R548" s="4408"/>
      <c r="T548" s="4408"/>
      <c r="V548" s="4408"/>
      <c r="X548" s="4408"/>
      <c r="Z548" s="4408"/>
    </row>
    <row r="549" spans="4:26" s="3380" customFormat="1" x14ac:dyDescent="0.2">
      <c r="D549" s="4408"/>
      <c r="E549" s="3453"/>
      <c r="F549" s="4408"/>
      <c r="G549" s="3453"/>
      <c r="H549" s="4408"/>
      <c r="I549" s="3453"/>
      <c r="J549" s="4408"/>
      <c r="L549" s="4408"/>
      <c r="N549" s="4408"/>
      <c r="P549" s="4408"/>
      <c r="R549" s="4408"/>
      <c r="T549" s="4408"/>
      <c r="V549" s="4408"/>
      <c r="X549" s="4408"/>
      <c r="Z549" s="4408"/>
    </row>
    <row r="550" spans="4:26" s="3380" customFormat="1" x14ac:dyDescent="0.2">
      <c r="D550" s="4408"/>
      <c r="E550" s="3453"/>
      <c r="F550" s="4408"/>
      <c r="G550" s="3453"/>
      <c r="H550" s="4408"/>
      <c r="I550" s="3453"/>
      <c r="J550" s="4408"/>
      <c r="L550" s="4408"/>
      <c r="N550" s="4408"/>
      <c r="P550" s="4408"/>
      <c r="R550" s="4408"/>
      <c r="T550" s="4408"/>
      <c r="V550" s="4408"/>
      <c r="X550" s="4408"/>
      <c r="Z550" s="4408"/>
    </row>
    <row r="551" spans="4:26" s="3380" customFormat="1" x14ac:dyDescent="0.2">
      <c r="D551" s="4408"/>
      <c r="E551" s="3453"/>
      <c r="F551" s="4408"/>
      <c r="G551" s="3453"/>
      <c r="H551" s="4408"/>
      <c r="I551" s="3453"/>
      <c r="J551" s="4408"/>
      <c r="L551" s="4408"/>
      <c r="N551" s="4408"/>
      <c r="P551" s="4408"/>
      <c r="R551" s="4408"/>
      <c r="T551" s="4408"/>
      <c r="V551" s="4408"/>
      <c r="X551" s="4408"/>
      <c r="Z551" s="4408"/>
    </row>
    <row r="552" spans="4:26" s="3380" customFormat="1" x14ac:dyDescent="0.2">
      <c r="D552" s="4408"/>
      <c r="E552" s="3453"/>
      <c r="F552" s="4408"/>
      <c r="G552" s="3453"/>
      <c r="H552" s="4408"/>
      <c r="I552" s="3453"/>
      <c r="J552" s="4408"/>
      <c r="L552" s="4408"/>
      <c r="N552" s="4408"/>
      <c r="P552" s="4408"/>
      <c r="R552" s="4408"/>
      <c r="T552" s="4408"/>
      <c r="V552" s="4408"/>
      <c r="X552" s="4408"/>
      <c r="Z552" s="4408"/>
    </row>
    <row r="553" spans="4:26" s="3380" customFormat="1" x14ac:dyDescent="0.2">
      <c r="D553" s="4408"/>
      <c r="E553" s="3453"/>
      <c r="F553" s="4408"/>
      <c r="G553" s="3453"/>
      <c r="H553" s="4408"/>
      <c r="I553" s="3453"/>
      <c r="J553" s="4408"/>
      <c r="L553" s="4408"/>
      <c r="N553" s="4408"/>
      <c r="P553" s="4408"/>
      <c r="R553" s="4408"/>
      <c r="T553" s="4408"/>
      <c r="V553" s="4408"/>
      <c r="X553" s="4408"/>
      <c r="Z553" s="4408"/>
    </row>
    <row r="554" spans="4:26" s="3380" customFormat="1" x14ac:dyDescent="0.2">
      <c r="D554" s="4408"/>
      <c r="E554" s="3453"/>
      <c r="F554" s="4408"/>
      <c r="G554" s="3453"/>
      <c r="H554" s="4408"/>
      <c r="I554" s="3453"/>
      <c r="J554" s="4408"/>
      <c r="L554" s="4408"/>
      <c r="N554" s="4408"/>
      <c r="P554" s="4408"/>
      <c r="R554" s="4408"/>
      <c r="T554" s="4408"/>
      <c r="V554" s="4408"/>
      <c r="X554" s="4408"/>
      <c r="Z554" s="4408"/>
    </row>
    <row r="555" spans="4:26" s="3380" customFormat="1" x14ac:dyDescent="0.2">
      <c r="D555" s="4408"/>
      <c r="E555" s="3453"/>
      <c r="F555" s="4408"/>
      <c r="G555" s="3453"/>
      <c r="H555" s="4408"/>
      <c r="I555" s="3453"/>
      <c r="J555" s="4408"/>
      <c r="L555" s="4408"/>
      <c r="N555" s="4408"/>
      <c r="P555" s="4408"/>
      <c r="R555" s="4408"/>
      <c r="T555" s="4408"/>
      <c r="V555" s="4408"/>
      <c r="X555" s="4408"/>
      <c r="Z555" s="4408"/>
    </row>
    <row r="556" spans="4:26" s="3380" customFormat="1" x14ac:dyDescent="0.2">
      <c r="D556" s="4408"/>
      <c r="E556" s="3453"/>
      <c r="F556" s="4408"/>
      <c r="G556" s="3453"/>
      <c r="H556" s="4408"/>
      <c r="I556" s="3453"/>
      <c r="J556" s="4408"/>
      <c r="L556" s="4408"/>
      <c r="N556" s="4408"/>
      <c r="P556" s="4408"/>
      <c r="R556" s="4408"/>
      <c r="T556" s="4408"/>
      <c r="V556" s="4408"/>
      <c r="X556" s="4408"/>
      <c r="Z556" s="4408"/>
    </row>
    <row r="557" spans="4:26" s="3380" customFormat="1" x14ac:dyDescent="0.2">
      <c r="D557" s="4408"/>
      <c r="E557" s="3453"/>
      <c r="F557" s="4408"/>
      <c r="G557" s="3453"/>
      <c r="H557" s="4408"/>
      <c r="I557" s="3453"/>
      <c r="J557" s="4408"/>
      <c r="L557" s="4408"/>
      <c r="N557" s="4408"/>
      <c r="P557" s="4408"/>
      <c r="R557" s="4408"/>
      <c r="T557" s="4408"/>
      <c r="V557" s="4408"/>
      <c r="X557" s="4408"/>
      <c r="Z557" s="4408"/>
    </row>
    <row r="558" spans="4:26" s="3380" customFormat="1" x14ac:dyDescent="0.2">
      <c r="D558" s="4408"/>
      <c r="E558" s="3453"/>
      <c r="F558" s="4408"/>
      <c r="G558" s="3453"/>
      <c r="H558" s="4408"/>
      <c r="I558" s="3453"/>
      <c r="J558" s="4408"/>
      <c r="L558" s="4408"/>
      <c r="N558" s="4408"/>
      <c r="P558" s="4408"/>
      <c r="R558" s="4408"/>
      <c r="T558" s="4408"/>
      <c r="V558" s="4408"/>
      <c r="X558" s="4408"/>
      <c r="Z558" s="4408"/>
    </row>
    <row r="559" spans="4:26" s="3380" customFormat="1" x14ac:dyDescent="0.2">
      <c r="D559" s="4408"/>
      <c r="E559" s="3453"/>
      <c r="F559" s="4408"/>
      <c r="G559" s="3453"/>
      <c r="H559" s="4408"/>
      <c r="I559" s="3453"/>
      <c r="J559" s="4408"/>
      <c r="L559" s="4408"/>
      <c r="N559" s="4408"/>
      <c r="P559" s="4408"/>
      <c r="R559" s="4408"/>
      <c r="T559" s="4408"/>
      <c r="V559" s="4408"/>
      <c r="X559" s="4408"/>
      <c r="Z559" s="4408"/>
    </row>
    <row r="560" spans="4:26" s="3380" customFormat="1" x14ac:dyDescent="0.2">
      <c r="D560" s="4408"/>
      <c r="E560" s="3453"/>
      <c r="F560" s="4408"/>
      <c r="G560" s="3453"/>
      <c r="H560" s="4408"/>
      <c r="I560" s="3453"/>
      <c r="J560" s="4408"/>
      <c r="L560" s="4408"/>
      <c r="N560" s="4408"/>
      <c r="P560" s="4408"/>
      <c r="R560" s="4408"/>
      <c r="T560" s="4408"/>
      <c r="V560" s="4408"/>
      <c r="X560" s="4408"/>
      <c r="Z560" s="4408"/>
    </row>
    <row r="561" spans="4:26" s="3380" customFormat="1" x14ac:dyDescent="0.2">
      <c r="D561" s="4408"/>
      <c r="E561" s="3453"/>
      <c r="F561" s="4408"/>
      <c r="G561" s="3453"/>
      <c r="H561" s="4408"/>
      <c r="I561" s="3453"/>
      <c r="J561" s="4408"/>
      <c r="L561" s="4408"/>
      <c r="N561" s="4408"/>
      <c r="P561" s="4408"/>
      <c r="R561" s="4408"/>
      <c r="T561" s="4408"/>
      <c r="V561" s="4408"/>
      <c r="X561" s="4408"/>
      <c r="Z561" s="4408"/>
    </row>
    <row r="562" spans="4:26" s="3380" customFormat="1" x14ac:dyDescent="0.2">
      <c r="D562" s="4408"/>
      <c r="E562" s="3453"/>
      <c r="F562" s="4408"/>
      <c r="G562" s="3453"/>
      <c r="H562" s="4408"/>
      <c r="I562" s="3453"/>
      <c r="J562" s="4408"/>
      <c r="L562" s="4408"/>
      <c r="N562" s="4408"/>
      <c r="P562" s="4408"/>
      <c r="R562" s="4408"/>
      <c r="T562" s="4408"/>
      <c r="V562" s="4408"/>
      <c r="X562" s="4408"/>
      <c r="Z562" s="4408"/>
    </row>
    <row r="563" spans="4:26" s="3380" customFormat="1" x14ac:dyDescent="0.2">
      <c r="D563" s="4408"/>
      <c r="E563" s="3453"/>
      <c r="F563" s="4408"/>
      <c r="G563" s="3453"/>
      <c r="H563" s="4408"/>
      <c r="I563" s="3453"/>
      <c r="J563" s="4408"/>
      <c r="L563" s="4408"/>
      <c r="N563" s="4408"/>
      <c r="P563" s="4408"/>
      <c r="R563" s="4408"/>
      <c r="T563" s="4408"/>
      <c r="V563" s="4408"/>
      <c r="X563" s="4408"/>
      <c r="Z563" s="4408"/>
    </row>
    <row r="564" spans="4:26" s="3380" customFormat="1" x14ac:dyDescent="0.2">
      <c r="D564" s="4408"/>
      <c r="E564" s="3453"/>
      <c r="F564" s="4408"/>
      <c r="G564" s="3453"/>
      <c r="H564" s="4408"/>
      <c r="I564" s="3453"/>
      <c r="J564" s="4408"/>
      <c r="L564" s="4408"/>
      <c r="N564" s="4408"/>
      <c r="P564" s="4408"/>
      <c r="R564" s="4408"/>
      <c r="T564" s="4408"/>
      <c r="V564" s="4408"/>
      <c r="X564" s="4408"/>
      <c r="Z564" s="4408"/>
    </row>
    <row r="565" spans="4:26" s="3380" customFormat="1" x14ac:dyDescent="0.2">
      <c r="D565" s="4408"/>
      <c r="E565" s="3453"/>
      <c r="F565" s="4408"/>
      <c r="G565" s="3453"/>
      <c r="H565" s="4408"/>
      <c r="I565" s="3453"/>
      <c r="J565" s="4408"/>
      <c r="L565" s="4408"/>
      <c r="N565" s="4408"/>
      <c r="P565" s="4408"/>
      <c r="R565" s="4408"/>
      <c r="T565" s="4408"/>
      <c r="V565" s="4408"/>
      <c r="X565" s="4408"/>
      <c r="Z565" s="4408"/>
    </row>
    <row r="566" spans="4:26" s="3380" customFormat="1" x14ac:dyDescent="0.2">
      <c r="D566" s="4408"/>
      <c r="E566" s="3453"/>
      <c r="F566" s="4408"/>
      <c r="G566" s="3453"/>
      <c r="H566" s="4408"/>
      <c r="I566" s="3453"/>
      <c r="J566" s="4408"/>
      <c r="L566" s="4408"/>
      <c r="N566" s="4408"/>
      <c r="P566" s="4408"/>
      <c r="R566" s="4408"/>
      <c r="T566" s="4408"/>
      <c r="V566" s="4408"/>
      <c r="X566" s="4408"/>
      <c r="Z566" s="4408"/>
    </row>
    <row r="567" spans="4:26" s="3380" customFormat="1" x14ac:dyDescent="0.2">
      <c r="D567" s="4408"/>
      <c r="E567" s="3453"/>
      <c r="F567" s="4408"/>
      <c r="G567" s="3453"/>
      <c r="H567" s="4408"/>
      <c r="I567" s="3453"/>
      <c r="J567" s="4408"/>
      <c r="L567" s="4408"/>
      <c r="N567" s="4408"/>
      <c r="P567" s="4408"/>
      <c r="R567" s="4408"/>
      <c r="T567" s="4408"/>
      <c r="V567" s="4408"/>
      <c r="X567" s="4408"/>
      <c r="Z567" s="4408"/>
    </row>
    <row r="568" spans="4:26" s="3380" customFormat="1" x14ac:dyDescent="0.2">
      <c r="D568" s="4408"/>
      <c r="E568" s="3453"/>
      <c r="F568" s="4408"/>
      <c r="G568" s="3453"/>
      <c r="H568" s="4408"/>
      <c r="I568" s="3453"/>
      <c r="J568" s="4408"/>
      <c r="L568" s="4408"/>
      <c r="N568" s="4408"/>
      <c r="P568" s="4408"/>
      <c r="R568" s="4408"/>
      <c r="T568" s="4408"/>
      <c r="V568" s="4408"/>
      <c r="X568" s="4408"/>
      <c r="Z568" s="4408"/>
    </row>
    <row r="569" spans="4:26" s="3380" customFormat="1" x14ac:dyDescent="0.2">
      <c r="D569" s="4408"/>
      <c r="E569" s="3453"/>
      <c r="F569" s="4408"/>
      <c r="G569" s="3453"/>
      <c r="H569" s="4408"/>
      <c r="I569" s="3453"/>
      <c r="J569" s="4408"/>
      <c r="L569" s="4408"/>
      <c r="N569" s="4408"/>
      <c r="P569" s="4408"/>
      <c r="R569" s="4408"/>
      <c r="T569" s="4408"/>
      <c r="V569" s="4408"/>
      <c r="X569" s="4408"/>
      <c r="Z569" s="4408"/>
    </row>
    <row r="570" spans="4:26" s="3380" customFormat="1" x14ac:dyDescent="0.2">
      <c r="D570" s="4408"/>
      <c r="E570" s="3453"/>
      <c r="F570" s="4408"/>
      <c r="G570" s="3453"/>
      <c r="H570" s="4408"/>
      <c r="I570" s="3453"/>
      <c r="J570" s="4408"/>
      <c r="L570" s="4408"/>
      <c r="N570" s="4408"/>
      <c r="P570" s="4408"/>
      <c r="R570" s="4408"/>
      <c r="T570" s="4408"/>
      <c r="V570" s="4408"/>
      <c r="X570" s="4408"/>
      <c r="Z570" s="4408"/>
    </row>
    <row r="571" spans="4:26" s="3380" customFormat="1" x14ac:dyDescent="0.2">
      <c r="D571" s="4408"/>
      <c r="E571" s="3453"/>
      <c r="F571" s="4408"/>
      <c r="G571" s="3453"/>
      <c r="H571" s="4408"/>
      <c r="I571" s="3453"/>
      <c r="J571" s="4408"/>
      <c r="L571" s="4408"/>
      <c r="N571" s="4408"/>
      <c r="P571" s="4408"/>
      <c r="R571" s="4408"/>
      <c r="T571" s="4408"/>
      <c r="V571" s="4408"/>
      <c r="X571" s="4408"/>
      <c r="Z571" s="4408"/>
    </row>
    <row r="572" spans="4:26" s="3380" customFormat="1" x14ac:dyDescent="0.2">
      <c r="D572" s="4408"/>
      <c r="E572" s="3453"/>
      <c r="F572" s="4408"/>
      <c r="G572" s="3453"/>
      <c r="H572" s="4408"/>
      <c r="I572" s="3453"/>
      <c r="J572" s="4408"/>
      <c r="L572" s="4408"/>
      <c r="N572" s="4408"/>
      <c r="P572" s="4408"/>
      <c r="R572" s="4408"/>
      <c r="T572" s="4408"/>
      <c r="V572" s="4408"/>
      <c r="X572" s="4408"/>
      <c r="Z572" s="4408"/>
    </row>
    <row r="573" spans="4:26" s="3380" customFormat="1" x14ac:dyDescent="0.2">
      <c r="D573" s="4408"/>
      <c r="E573" s="3453"/>
      <c r="F573" s="4408"/>
      <c r="G573" s="3453"/>
      <c r="H573" s="4408"/>
      <c r="I573" s="3453"/>
      <c r="J573" s="4408"/>
      <c r="L573" s="4408"/>
      <c r="N573" s="4408"/>
      <c r="P573" s="4408"/>
      <c r="R573" s="4408"/>
      <c r="T573" s="4408"/>
      <c r="V573" s="4408"/>
      <c r="X573" s="4408"/>
      <c r="Z573" s="4408"/>
    </row>
    <row r="574" spans="4:26" s="3380" customFormat="1" x14ac:dyDescent="0.2">
      <c r="D574" s="4408"/>
      <c r="E574" s="3453"/>
      <c r="F574" s="4408"/>
      <c r="G574" s="3453"/>
      <c r="H574" s="4408"/>
      <c r="I574" s="3453"/>
      <c r="J574" s="4408"/>
      <c r="L574" s="4408"/>
      <c r="N574" s="4408"/>
      <c r="P574" s="4408"/>
      <c r="R574" s="4408"/>
      <c r="T574" s="4408"/>
      <c r="V574" s="4408"/>
      <c r="X574" s="4408"/>
      <c r="Z574" s="4408"/>
    </row>
    <row r="575" spans="4:26" s="3380" customFormat="1" x14ac:dyDescent="0.2">
      <c r="D575" s="4408"/>
      <c r="E575" s="3453"/>
      <c r="F575" s="4408"/>
      <c r="G575" s="3453"/>
      <c r="H575" s="4408"/>
      <c r="I575" s="3453"/>
      <c r="J575" s="4408"/>
      <c r="L575" s="4408"/>
      <c r="N575" s="4408"/>
      <c r="P575" s="4408"/>
      <c r="R575" s="4408"/>
      <c r="T575" s="4408"/>
      <c r="V575" s="4408"/>
      <c r="X575" s="4408"/>
      <c r="Z575" s="4408"/>
    </row>
    <row r="576" spans="4:26" s="3380" customFormat="1" x14ac:dyDescent="0.2">
      <c r="D576" s="4408"/>
      <c r="E576" s="3453"/>
      <c r="F576" s="4408"/>
      <c r="G576" s="3453"/>
      <c r="H576" s="4408"/>
      <c r="I576" s="3453"/>
      <c r="J576" s="4408"/>
      <c r="L576" s="4408"/>
      <c r="N576" s="4408"/>
      <c r="P576" s="4408"/>
      <c r="R576" s="4408"/>
      <c r="T576" s="4408"/>
      <c r="V576" s="4408"/>
      <c r="X576" s="4408"/>
      <c r="Z576" s="4408"/>
    </row>
    <row r="577" spans="4:26" s="3380" customFormat="1" x14ac:dyDescent="0.2">
      <c r="D577" s="4408"/>
      <c r="E577" s="3453"/>
      <c r="F577" s="4408"/>
      <c r="G577" s="3453"/>
      <c r="H577" s="4408"/>
      <c r="I577" s="3453"/>
      <c r="J577" s="4408"/>
      <c r="L577" s="4408"/>
      <c r="N577" s="4408"/>
      <c r="P577" s="4408"/>
      <c r="R577" s="4408"/>
      <c r="T577" s="4408"/>
      <c r="V577" s="4408"/>
      <c r="X577" s="4408"/>
      <c r="Z577" s="4408"/>
    </row>
    <row r="578" spans="4:26" s="3380" customFormat="1" x14ac:dyDescent="0.2">
      <c r="D578" s="4408"/>
      <c r="E578" s="3453"/>
      <c r="F578" s="4408"/>
      <c r="G578" s="3453"/>
      <c r="H578" s="4408"/>
      <c r="I578" s="3453"/>
      <c r="J578" s="4408"/>
      <c r="L578" s="4408"/>
      <c r="N578" s="4408"/>
      <c r="P578" s="4408"/>
      <c r="R578" s="4408"/>
      <c r="T578" s="4408"/>
      <c r="V578" s="4408"/>
      <c r="X578" s="4408"/>
      <c r="Z578" s="4408"/>
    </row>
    <row r="579" spans="4:26" s="3380" customFormat="1" x14ac:dyDescent="0.2">
      <c r="D579" s="4408"/>
      <c r="E579" s="3453"/>
      <c r="F579" s="4408"/>
      <c r="G579" s="3453"/>
      <c r="H579" s="4408"/>
      <c r="I579" s="3453"/>
      <c r="J579" s="4408"/>
      <c r="L579" s="4408"/>
      <c r="N579" s="4408"/>
      <c r="P579" s="4408"/>
      <c r="R579" s="4408"/>
      <c r="T579" s="4408"/>
      <c r="V579" s="4408"/>
      <c r="X579" s="4408"/>
      <c r="Z579" s="4408"/>
    </row>
    <row r="580" spans="4:26" s="3380" customFormat="1" x14ac:dyDescent="0.2">
      <c r="D580" s="4408"/>
      <c r="E580" s="3453"/>
      <c r="F580" s="4408"/>
      <c r="G580" s="3453"/>
      <c r="H580" s="4408"/>
      <c r="I580" s="3453"/>
      <c r="J580" s="4408"/>
      <c r="L580" s="4408"/>
      <c r="N580" s="4408"/>
      <c r="P580" s="4408"/>
      <c r="R580" s="4408"/>
      <c r="T580" s="4408"/>
      <c r="V580" s="4408"/>
      <c r="X580" s="4408"/>
      <c r="Z580" s="4408"/>
    </row>
    <row r="581" spans="4:26" s="3380" customFormat="1" x14ac:dyDescent="0.2">
      <c r="D581" s="4408"/>
      <c r="E581" s="3453"/>
      <c r="F581" s="4408"/>
      <c r="G581" s="3453"/>
      <c r="H581" s="4408"/>
      <c r="I581" s="3453"/>
      <c r="J581" s="4408"/>
      <c r="L581" s="4408"/>
      <c r="N581" s="4408"/>
      <c r="P581" s="4408"/>
      <c r="R581" s="4408"/>
      <c r="T581" s="4408"/>
      <c r="V581" s="4408"/>
      <c r="X581" s="4408"/>
      <c r="Z581" s="4408"/>
    </row>
    <row r="582" spans="4:26" s="3380" customFormat="1" x14ac:dyDescent="0.2">
      <c r="D582" s="4408"/>
      <c r="E582" s="3453"/>
      <c r="F582" s="4408"/>
      <c r="G582" s="3453"/>
      <c r="H582" s="4408"/>
      <c r="I582" s="3453"/>
      <c r="J582" s="4408"/>
      <c r="L582" s="4408"/>
      <c r="N582" s="4408"/>
      <c r="P582" s="4408"/>
      <c r="R582" s="4408"/>
      <c r="T582" s="4408"/>
      <c r="V582" s="4408"/>
      <c r="X582" s="4408"/>
      <c r="Z582" s="4408"/>
    </row>
    <row r="583" spans="4:26" s="3380" customFormat="1" x14ac:dyDescent="0.2">
      <c r="D583" s="4408"/>
      <c r="E583" s="3453"/>
      <c r="F583" s="4408"/>
      <c r="G583" s="3453"/>
      <c r="H583" s="4408"/>
      <c r="I583" s="3453"/>
      <c r="J583" s="4408"/>
      <c r="L583" s="4408"/>
      <c r="N583" s="4408"/>
      <c r="P583" s="4408"/>
      <c r="R583" s="4408"/>
      <c r="T583" s="4408"/>
      <c r="V583" s="4408"/>
      <c r="X583" s="4408"/>
      <c r="Z583" s="4408"/>
    </row>
    <row r="584" spans="4:26" s="3380" customFormat="1" x14ac:dyDescent="0.2">
      <c r="D584" s="4408"/>
      <c r="E584" s="3453"/>
      <c r="F584" s="4408"/>
      <c r="G584" s="3453"/>
      <c r="H584" s="4408"/>
      <c r="I584" s="3453"/>
      <c r="J584" s="4408"/>
      <c r="L584" s="4408"/>
      <c r="N584" s="4408"/>
      <c r="P584" s="4408"/>
      <c r="R584" s="4408"/>
      <c r="T584" s="4408"/>
      <c r="V584" s="4408"/>
      <c r="X584" s="4408"/>
      <c r="Z584" s="4408"/>
    </row>
    <row r="585" spans="4:26" s="3380" customFormat="1" x14ac:dyDescent="0.2">
      <c r="D585" s="4408"/>
      <c r="E585" s="3453"/>
      <c r="F585" s="4408"/>
      <c r="G585" s="3453"/>
      <c r="H585" s="4408"/>
      <c r="I585" s="3453"/>
      <c r="J585" s="4408"/>
      <c r="L585" s="4408"/>
      <c r="N585" s="4408"/>
      <c r="P585" s="4408"/>
      <c r="R585" s="4408"/>
      <c r="T585" s="4408"/>
      <c r="V585" s="4408"/>
      <c r="X585" s="4408"/>
      <c r="Z585" s="4408"/>
    </row>
    <row r="586" spans="4:26" s="3380" customFormat="1" x14ac:dyDescent="0.2">
      <c r="D586" s="4408"/>
      <c r="E586" s="3453"/>
      <c r="F586" s="4408"/>
      <c r="G586" s="3453"/>
      <c r="H586" s="4408"/>
      <c r="I586" s="3453"/>
      <c r="J586" s="4408"/>
      <c r="L586" s="4408"/>
      <c r="N586" s="4408"/>
      <c r="P586" s="4408"/>
      <c r="R586" s="4408"/>
      <c r="T586" s="4408"/>
      <c r="V586" s="4408"/>
      <c r="X586" s="4408"/>
      <c r="Z586" s="4408"/>
    </row>
    <row r="587" spans="4:26" s="3380" customFormat="1" x14ac:dyDescent="0.2">
      <c r="D587" s="4408"/>
      <c r="E587" s="3453"/>
      <c r="F587" s="4408"/>
      <c r="G587" s="3453"/>
      <c r="H587" s="4408"/>
      <c r="I587" s="3453"/>
      <c r="J587" s="4408"/>
      <c r="L587" s="4408"/>
      <c r="N587" s="4408"/>
      <c r="P587" s="4408"/>
      <c r="R587" s="4408"/>
      <c r="T587" s="4408"/>
      <c r="V587" s="4408"/>
      <c r="X587" s="4408"/>
      <c r="Z587" s="4408"/>
    </row>
    <row r="588" spans="4:26" s="3380" customFormat="1" x14ac:dyDescent="0.2">
      <c r="D588" s="4408"/>
      <c r="E588" s="3453"/>
      <c r="F588" s="4408"/>
      <c r="G588" s="3453"/>
      <c r="H588" s="4408"/>
      <c r="I588" s="3453"/>
      <c r="J588" s="4408"/>
      <c r="L588" s="4408"/>
      <c r="N588" s="4408"/>
      <c r="P588" s="4408"/>
      <c r="R588" s="4408"/>
      <c r="T588" s="4408"/>
      <c r="V588" s="4408"/>
      <c r="X588" s="4408"/>
      <c r="Z588" s="4408"/>
    </row>
    <row r="589" spans="4:26" s="3380" customFormat="1" x14ac:dyDescent="0.2">
      <c r="D589" s="4408"/>
      <c r="E589" s="3453"/>
      <c r="F589" s="4408"/>
      <c r="G589" s="3453"/>
      <c r="H589" s="4408"/>
      <c r="I589" s="3453"/>
      <c r="J589" s="4408"/>
      <c r="L589" s="4408"/>
      <c r="N589" s="4408"/>
      <c r="P589" s="4408"/>
      <c r="R589" s="4408"/>
      <c r="T589" s="4408"/>
      <c r="V589" s="4408"/>
      <c r="X589" s="4408"/>
      <c r="Z589" s="4408"/>
    </row>
    <row r="590" spans="4:26" s="3380" customFormat="1" x14ac:dyDescent="0.2">
      <c r="D590" s="4408"/>
      <c r="E590" s="3453"/>
      <c r="F590" s="4408"/>
      <c r="G590" s="3453"/>
      <c r="H590" s="4408"/>
      <c r="I590" s="3453"/>
      <c r="J590" s="4408"/>
      <c r="L590" s="4408"/>
      <c r="N590" s="4408"/>
      <c r="P590" s="4408"/>
      <c r="R590" s="4408"/>
      <c r="T590" s="4408"/>
      <c r="V590" s="4408"/>
      <c r="X590" s="4408"/>
      <c r="Z590" s="4408"/>
    </row>
    <row r="591" spans="4:26" s="3380" customFormat="1" x14ac:dyDescent="0.2">
      <c r="D591" s="4408"/>
      <c r="E591" s="3453"/>
      <c r="F591" s="4408"/>
      <c r="G591" s="3453"/>
      <c r="H591" s="4408"/>
      <c r="I591" s="3453"/>
      <c r="J591" s="4408"/>
      <c r="L591" s="4408"/>
      <c r="N591" s="4408"/>
      <c r="P591" s="4408"/>
      <c r="R591" s="4408"/>
      <c r="T591" s="4408"/>
      <c r="V591" s="4408"/>
      <c r="X591" s="4408"/>
      <c r="Z591" s="4408"/>
    </row>
    <row r="592" spans="4:26" s="3380" customFormat="1" x14ac:dyDescent="0.2">
      <c r="D592" s="4408"/>
      <c r="E592" s="3453"/>
      <c r="F592" s="4408"/>
      <c r="G592" s="3453"/>
      <c r="H592" s="4408"/>
      <c r="I592" s="3453"/>
      <c r="J592" s="4408"/>
      <c r="L592" s="4408"/>
      <c r="N592" s="4408"/>
      <c r="P592" s="4408"/>
      <c r="R592" s="4408"/>
      <c r="T592" s="4408"/>
      <c r="V592" s="4408"/>
      <c r="X592" s="4408"/>
      <c r="Z592" s="4408"/>
    </row>
    <row r="593" spans="4:26" s="3380" customFormat="1" x14ac:dyDescent="0.2">
      <c r="D593" s="4408"/>
      <c r="E593" s="3453"/>
      <c r="F593" s="4408"/>
      <c r="G593" s="3453"/>
      <c r="H593" s="4408"/>
      <c r="I593" s="3453"/>
      <c r="J593" s="4408"/>
      <c r="L593" s="4408"/>
      <c r="N593" s="4408"/>
      <c r="P593" s="4408"/>
      <c r="R593" s="4408"/>
      <c r="T593" s="4408"/>
      <c r="V593" s="4408"/>
      <c r="X593" s="4408"/>
      <c r="Z593" s="4408"/>
    </row>
    <row r="594" spans="4:26" s="3380" customFormat="1" x14ac:dyDescent="0.2">
      <c r="D594" s="4408"/>
      <c r="E594" s="3453"/>
      <c r="F594" s="4408"/>
      <c r="G594" s="3453"/>
      <c r="H594" s="4408"/>
      <c r="I594" s="3453"/>
      <c r="J594" s="4408"/>
      <c r="L594" s="4408"/>
      <c r="N594" s="4408"/>
      <c r="P594" s="4408"/>
      <c r="R594" s="4408"/>
      <c r="T594" s="4408"/>
      <c r="V594" s="4408"/>
      <c r="X594" s="4408"/>
      <c r="Z594" s="4408"/>
    </row>
    <row r="595" spans="4:26" s="3380" customFormat="1" x14ac:dyDescent="0.2">
      <c r="D595" s="4408"/>
      <c r="E595" s="3453"/>
      <c r="F595" s="4408"/>
      <c r="G595" s="3453"/>
      <c r="H595" s="4408"/>
      <c r="I595" s="3453"/>
      <c r="J595" s="4408"/>
      <c r="L595" s="4408"/>
      <c r="N595" s="4408"/>
      <c r="P595" s="4408"/>
      <c r="R595" s="4408"/>
      <c r="T595" s="4408"/>
      <c r="V595" s="4408"/>
      <c r="X595" s="4408"/>
      <c r="Z595" s="4408"/>
    </row>
    <row r="596" spans="4:26" s="3380" customFormat="1" x14ac:dyDescent="0.2">
      <c r="D596" s="4408"/>
      <c r="E596" s="3453"/>
      <c r="F596" s="4408"/>
      <c r="G596" s="3453"/>
      <c r="H596" s="4408"/>
      <c r="I596" s="3453"/>
      <c r="J596" s="4408"/>
      <c r="L596" s="4408"/>
      <c r="N596" s="4408"/>
      <c r="P596" s="4408"/>
      <c r="R596" s="4408"/>
      <c r="T596" s="4408"/>
      <c r="V596" s="4408"/>
      <c r="X596" s="4408"/>
      <c r="Z596" s="4408"/>
    </row>
    <row r="597" spans="4:26" s="3380" customFormat="1" x14ac:dyDescent="0.2">
      <c r="D597" s="4408"/>
      <c r="E597" s="3453"/>
      <c r="F597" s="4408"/>
      <c r="G597" s="3453"/>
      <c r="H597" s="4408"/>
      <c r="I597" s="3453"/>
      <c r="J597" s="4408"/>
      <c r="L597" s="4408"/>
      <c r="N597" s="4408"/>
      <c r="P597" s="4408"/>
      <c r="R597" s="4408"/>
      <c r="T597" s="4408"/>
      <c r="V597" s="4408"/>
      <c r="X597" s="4408"/>
      <c r="Z597" s="4408"/>
    </row>
    <row r="598" spans="4:26" s="3380" customFormat="1" x14ac:dyDescent="0.2">
      <c r="D598" s="4408"/>
      <c r="E598" s="3453"/>
      <c r="F598" s="4408"/>
      <c r="G598" s="3453"/>
      <c r="H598" s="4408"/>
      <c r="I598" s="3453"/>
      <c r="J598" s="4408"/>
      <c r="L598" s="4408"/>
      <c r="N598" s="4408"/>
      <c r="P598" s="4408"/>
      <c r="R598" s="4408"/>
      <c r="T598" s="4408"/>
      <c r="V598" s="4408"/>
      <c r="X598" s="4408"/>
      <c r="Z598" s="4408"/>
    </row>
    <row r="599" spans="4:26" s="3380" customFormat="1" x14ac:dyDescent="0.2">
      <c r="D599" s="4408"/>
      <c r="E599" s="3453"/>
      <c r="F599" s="4408"/>
      <c r="G599" s="3453"/>
      <c r="H599" s="4408"/>
      <c r="I599" s="3453"/>
      <c r="J599" s="4408"/>
      <c r="L599" s="4408"/>
      <c r="N599" s="4408"/>
      <c r="P599" s="4408"/>
      <c r="R599" s="4408"/>
      <c r="T599" s="4408"/>
      <c r="V599" s="4408"/>
      <c r="X599" s="4408"/>
      <c r="Z599" s="4408"/>
    </row>
    <row r="600" spans="4:26" s="3380" customFormat="1" x14ac:dyDescent="0.2">
      <c r="D600" s="4408"/>
      <c r="E600" s="3453"/>
      <c r="F600" s="4408"/>
      <c r="G600" s="3453"/>
      <c r="H600" s="4408"/>
      <c r="I600" s="3453"/>
      <c r="J600" s="4408"/>
      <c r="L600" s="4408"/>
      <c r="N600" s="4408"/>
      <c r="P600" s="4408"/>
      <c r="R600" s="4408"/>
      <c r="T600" s="4408"/>
      <c r="V600" s="4408"/>
      <c r="X600" s="4408"/>
      <c r="Z600" s="4408"/>
    </row>
    <row r="601" spans="4:26" s="3380" customFormat="1" x14ac:dyDescent="0.2">
      <c r="D601" s="4408"/>
      <c r="E601" s="3453"/>
      <c r="F601" s="4408"/>
      <c r="G601" s="3453"/>
      <c r="H601" s="4408"/>
      <c r="I601" s="3453"/>
      <c r="J601" s="4408"/>
      <c r="L601" s="4408"/>
      <c r="N601" s="4408"/>
      <c r="P601" s="4408"/>
      <c r="R601" s="4408"/>
      <c r="T601" s="4408"/>
      <c r="V601" s="4408"/>
      <c r="X601" s="4408"/>
      <c r="Z601" s="4408"/>
    </row>
    <row r="602" spans="4:26" s="3380" customFormat="1" x14ac:dyDescent="0.2">
      <c r="D602" s="4408"/>
      <c r="E602" s="3453"/>
      <c r="F602" s="4408"/>
      <c r="G602" s="3453"/>
      <c r="H602" s="4408"/>
      <c r="I602" s="3453"/>
      <c r="J602" s="4408"/>
      <c r="L602" s="4408"/>
      <c r="N602" s="4408"/>
      <c r="P602" s="4408"/>
      <c r="R602" s="4408"/>
      <c r="T602" s="4408"/>
      <c r="V602" s="4408"/>
      <c r="X602" s="4408"/>
      <c r="Z602" s="4408"/>
    </row>
    <row r="603" spans="4:26" s="3380" customFormat="1" x14ac:dyDescent="0.2">
      <c r="D603" s="4408"/>
      <c r="E603" s="3453"/>
      <c r="F603" s="4408"/>
      <c r="G603" s="3453"/>
      <c r="H603" s="4408"/>
      <c r="I603" s="3453"/>
      <c r="J603" s="4408"/>
      <c r="L603" s="4408"/>
      <c r="N603" s="4408"/>
      <c r="P603" s="4408"/>
      <c r="R603" s="4408"/>
      <c r="T603" s="4408"/>
      <c r="V603" s="4408"/>
      <c r="X603" s="4408"/>
      <c r="Z603" s="4408"/>
    </row>
    <row r="604" spans="4:26" s="3380" customFormat="1" x14ac:dyDescent="0.2">
      <c r="D604" s="4408"/>
      <c r="E604" s="3453"/>
      <c r="F604" s="4408"/>
      <c r="G604" s="3453"/>
      <c r="H604" s="4408"/>
      <c r="I604" s="3453"/>
      <c r="J604" s="4408"/>
      <c r="L604" s="4408"/>
      <c r="N604" s="4408"/>
      <c r="P604" s="4408"/>
      <c r="R604" s="4408"/>
      <c r="T604" s="4408"/>
      <c r="V604" s="4408"/>
      <c r="X604" s="4408"/>
      <c r="Z604" s="4408"/>
    </row>
    <row r="605" spans="4:26" s="3380" customFormat="1" x14ac:dyDescent="0.2">
      <c r="D605" s="4408"/>
      <c r="E605" s="3453"/>
      <c r="F605" s="4408"/>
      <c r="G605" s="3453"/>
      <c r="H605" s="4408"/>
      <c r="I605" s="3453"/>
      <c r="J605" s="4408"/>
      <c r="L605" s="4408"/>
      <c r="N605" s="4408"/>
      <c r="P605" s="4408"/>
      <c r="R605" s="4408"/>
      <c r="T605" s="4408"/>
      <c r="V605" s="4408"/>
      <c r="X605" s="4408"/>
      <c r="Z605" s="4408"/>
    </row>
    <row r="606" spans="4:26" s="3380" customFormat="1" x14ac:dyDescent="0.2">
      <c r="D606" s="4408"/>
      <c r="E606" s="3453"/>
      <c r="F606" s="4408"/>
      <c r="G606" s="3453"/>
      <c r="H606" s="4408"/>
      <c r="I606" s="3453"/>
      <c r="J606" s="4408"/>
      <c r="L606" s="4408"/>
      <c r="N606" s="4408"/>
      <c r="P606" s="4408"/>
      <c r="R606" s="4408"/>
      <c r="T606" s="4408"/>
      <c r="V606" s="4408"/>
      <c r="X606" s="4408"/>
      <c r="Z606" s="4408"/>
    </row>
    <row r="607" spans="4:26" s="3380" customFormat="1" x14ac:dyDescent="0.2">
      <c r="D607" s="4408"/>
      <c r="E607" s="3453"/>
      <c r="F607" s="4408"/>
      <c r="G607" s="3453"/>
      <c r="H607" s="4408"/>
      <c r="I607" s="3453"/>
      <c r="J607" s="4408"/>
      <c r="L607" s="4408"/>
      <c r="N607" s="4408"/>
      <c r="P607" s="4408"/>
      <c r="R607" s="4408"/>
      <c r="T607" s="4408"/>
      <c r="V607" s="4408"/>
      <c r="X607" s="4408"/>
      <c r="Z607" s="4408"/>
    </row>
    <row r="608" spans="4:26" s="3380" customFormat="1" x14ac:dyDescent="0.2">
      <c r="D608" s="4408"/>
      <c r="E608" s="3453"/>
      <c r="F608" s="4408"/>
      <c r="G608" s="3453"/>
      <c r="H608" s="4408"/>
      <c r="I608" s="3453"/>
      <c r="J608" s="4408"/>
      <c r="L608" s="4408"/>
      <c r="N608" s="4408"/>
      <c r="P608" s="4408"/>
      <c r="R608" s="4408"/>
      <c r="T608" s="4408"/>
      <c r="V608" s="4408"/>
      <c r="X608" s="4408"/>
      <c r="Z608" s="4408"/>
    </row>
    <row r="609" spans="4:26" s="3380" customFormat="1" x14ac:dyDescent="0.2">
      <c r="D609" s="4408"/>
      <c r="E609" s="3453"/>
      <c r="F609" s="4408"/>
      <c r="G609" s="3453"/>
      <c r="H609" s="4408"/>
      <c r="I609" s="3453"/>
      <c r="J609" s="4408"/>
      <c r="L609" s="4408"/>
      <c r="N609" s="4408"/>
      <c r="P609" s="4408"/>
      <c r="R609" s="4408"/>
      <c r="T609" s="4408"/>
      <c r="V609" s="4408"/>
      <c r="X609" s="4408"/>
      <c r="Z609" s="4408"/>
    </row>
    <row r="610" spans="4:26" s="3380" customFormat="1" x14ac:dyDescent="0.2">
      <c r="D610" s="4408"/>
      <c r="E610" s="3453"/>
      <c r="F610" s="4408"/>
      <c r="G610" s="3453"/>
      <c r="H610" s="4408"/>
      <c r="I610" s="3453"/>
      <c r="J610" s="4408"/>
      <c r="L610" s="4408"/>
      <c r="N610" s="4408"/>
      <c r="P610" s="4408"/>
      <c r="R610" s="4408"/>
      <c r="T610" s="4408"/>
      <c r="V610" s="4408"/>
      <c r="X610" s="4408"/>
      <c r="Z610" s="4408"/>
    </row>
    <row r="611" spans="4:26" s="3380" customFormat="1" x14ac:dyDescent="0.2">
      <c r="D611" s="4408"/>
      <c r="E611" s="3453"/>
      <c r="F611" s="4408"/>
      <c r="G611" s="3453"/>
      <c r="H611" s="4408"/>
      <c r="I611" s="3453"/>
      <c r="J611" s="4408"/>
      <c r="L611" s="4408"/>
      <c r="N611" s="4408"/>
      <c r="P611" s="4408"/>
      <c r="R611" s="4408"/>
      <c r="T611" s="4408"/>
      <c r="V611" s="4408"/>
      <c r="X611" s="4408"/>
      <c r="Z611" s="4408"/>
    </row>
    <row r="612" spans="4:26" s="3380" customFormat="1" x14ac:dyDescent="0.2">
      <c r="D612" s="4408"/>
      <c r="E612" s="3453"/>
      <c r="F612" s="4408"/>
      <c r="G612" s="3453"/>
      <c r="H612" s="4408"/>
      <c r="I612" s="3453"/>
      <c r="J612" s="4408"/>
      <c r="L612" s="4408"/>
      <c r="N612" s="4408"/>
      <c r="P612" s="4408"/>
      <c r="R612" s="4408"/>
      <c r="T612" s="4408"/>
      <c r="V612" s="4408"/>
      <c r="X612" s="4408"/>
      <c r="Z612" s="4408"/>
    </row>
    <row r="613" spans="4:26" s="3380" customFormat="1" x14ac:dyDescent="0.2">
      <c r="D613" s="4408"/>
      <c r="E613" s="3453"/>
      <c r="F613" s="4408"/>
      <c r="G613" s="3453"/>
      <c r="H613" s="4408"/>
      <c r="I613" s="3453"/>
      <c r="J613" s="4408"/>
      <c r="L613" s="4408"/>
      <c r="N613" s="4408"/>
      <c r="P613" s="4408"/>
      <c r="R613" s="4408"/>
      <c r="T613" s="4408"/>
      <c r="V613" s="4408"/>
      <c r="X613" s="4408"/>
      <c r="Z613" s="4408"/>
    </row>
    <row r="614" spans="4:26" s="3380" customFormat="1" x14ac:dyDescent="0.2">
      <c r="D614" s="4408"/>
      <c r="E614" s="3453"/>
      <c r="F614" s="4408"/>
      <c r="G614" s="3453"/>
      <c r="H614" s="4408"/>
      <c r="I614" s="3453"/>
      <c r="J614" s="4408"/>
      <c r="L614" s="4408"/>
      <c r="N614" s="4408"/>
      <c r="P614" s="4408"/>
      <c r="R614" s="4408"/>
      <c r="T614" s="4408"/>
      <c r="V614" s="4408"/>
      <c r="X614" s="4408"/>
      <c r="Z614" s="4408"/>
    </row>
    <row r="615" spans="4:26" s="3380" customFormat="1" x14ac:dyDescent="0.2">
      <c r="D615" s="4408"/>
      <c r="E615" s="3453"/>
      <c r="F615" s="4408"/>
      <c r="G615" s="3453"/>
      <c r="H615" s="4408"/>
      <c r="I615" s="3453"/>
      <c r="J615" s="4408"/>
      <c r="L615" s="4408"/>
      <c r="N615" s="4408"/>
      <c r="P615" s="4408"/>
      <c r="R615" s="4408"/>
      <c r="T615" s="4408"/>
      <c r="V615" s="4408"/>
      <c r="X615" s="4408"/>
      <c r="Z615" s="4408"/>
    </row>
    <row r="616" spans="4:26" s="3380" customFormat="1" x14ac:dyDescent="0.2">
      <c r="D616" s="4408"/>
      <c r="E616" s="3453"/>
      <c r="F616" s="4408"/>
      <c r="G616" s="3453"/>
      <c r="H616" s="4408"/>
      <c r="I616" s="3453"/>
      <c r="J616" s="4408"/>
      <c r="L616" s="4408"/>
      <c r="N616" s="4408"/>
      <c r="P616" s="4408"/>
      <c r="R616" s="4408"/>
      <c r="T616" s="4408"/>
      <c r="V616" s="4408"/>
      <c r="X616" s="4408"/>
      <c r="Z616" s="4408"/>
    </row>
    <row r="617" spans="4:26" s="3380" customFormat="1" x14ac:dyDescent="0.2">
      <c r="D617" s="4408"/>
      <c r="E617" s="3453"/>
      <c r="F617" s="4408"/>
      <c r="G617" s="3453"/>
      <c r="H617" s="4408"/>
      <c r="I617" s="3453"/>
      <c r="J617" s="4408"/>
      <c r="L617" s="4408"/>
      <c r="N617" s="4408"/>
      <c r="P617" s="4408"/>
      <c r="R617" s="4408"/>
      <c r="T617" s="4408"/>
      <c r="V617" s="4408"/>
      <c r="X617" s="4408"/>
      <c r="Z617" s="4408"/>
    </row>
    <row r="618" spans="4:26" s="3380" customFormat="1" x14ac:dyDescent="0.2">
      <c r="D618" s="4408"/>
      <c r="E618" s="3453"/>
      <c r="F618" s="4408"/>
      <c r="G618" s="3453"/>
      <c r="H618" s="4408"/>
      <c r="I618" s="3453"/>
      <c r="J618" s="4408"/>
      <c r="L618" s="4408"/>
      <c r="N618" s="4408"/>
      <c r="P618" s="4408"/>
      <c r="R618" s="4408"/>
      <c r="T618" s="4408"/>
      <c r="V618" s="4408"/>
      <c r="X618" s="4408"/>
      <c r="Z618" s="4408"/>
    </row>
    <row r="619" spans="4:26" s="3380" customFormat="1" x14ac:dyDescent="0.2">
      <c r="D619" s="4408"/>
      <c r="E619" s="3453"/>
      <c r="F619" s="4408"/>
      <c r="G619" s="3453"/>
      <c r="H619" s="4408"/>
      <c r="I619" s="3453"/>
      <c r="J619" s="4408"/>
      <c r="L619" s="4408"/>
      <c r="N619" s="4408"/>
      <c r="P619" s="4408"/>
      <c r="R619" s="4408"/>
      <c r="T619" s="4408"/>
      <c r="V619" s="4408"/>
      <c r="X619" s="4408"/>
      <c r="Z619" s="4408"/>
    </row>
    <row r="620" spans="4:26" s="3380" customFormat="1" x14ac:dyDescent="0.2">
      <c r="D620" s="4408"/>
      <c r="E620" s="3453"/>
      <c r="F620" s="4408"/>
      <c r="G620" s="3453"/>
      <c r="H620" s="4408"/>
      <c r="I620" s="3453"/>
      <c r="J620" s="4408"/>
      <c r="L620" s="4408"/>
      <c r="N620" s="4408"/>
      <c r="P620" s="4408"/>
      <c r="R620" s="4408"/>
      <c r="T620" s="4408"/>
      <c r="V620" s="4408"/>
      <c r="X620" s="4408"/>
      <c r="Z620" s="4408"/>
    </row>
    <row r="621" spans="4:26" s="3380" customFormat="1" x14ac:dyDescent="0.2">
      <c r="D621" s="4408"/>
      <c r="E621" s="3453"/>
      <c r="F621" s="4408"/>
      <c r="G621" s="3453"/>
      <c r="H621" s="4408"/>
      <c r="I621" s="3453"/>
      <c r="J621" s="4408"/>
      <c r="L621" s="4408"/>
      <c r="N621" s="4408"/>
      <c r="P621" s="4408"/>
      <c r="R621" s="4408"/>
      <c r="T621" s="4408"/>
      <c r="V621" s="4408"/>
      <c r="X621" s="4408"/>
      <c r="Z621" s="4408"/>
    </row>
    <row r="622" spans="4:26" s="3380" customFormat="1" x14ac:dyDescent="0.2">
      <c r="D622" s="4408"/>
      <c r="E622" s="3453"/>
      <c r="F622" s="4408"/>
      <c r="G622" s="3453"/>
      <c r="H622" s="4408"/>
      <c r="I622" s="3453"/>
      <c r="J622" s="4408"/>
      <c r="L622" s="4408"/>
      <c r="N622" s="4408"/>
      <c r="P622" s="4408"/>
      <c r="R622" s="4408"/>
      <c r="T622" s="4408"/>
      <c r="V622" s="4408"/>
      <c r="X622" s="4408"/>
      <c r="Z622" s="4408"/>
    </row>
    <row r="623" spans="4:26" s="3380" customFormat="1" x14ac:dyDescent="0.2">
      <c r="D623" s="4408"/>
      <c r="E623" s="3453"/>
      <c r="F623" s="4408"/>
      <c r="G623" s="3453"/>
      <c r="H623" s="4408"/>
      <c r="I623" s="3453"/>
      <c r="J623" s="4408"/>
      <c r="L623" s="4408"/>
      <c r="N623" s="4408"/>
      <c r="P623" s="4408"/>
      <c r="R623" s="4408"/>
      <c r="T623" s="4408"/>
      <c r="V623" s="4408"/>
      <c r="X623" s="4408"/>
      <c r="Z623" s="4408"/>
    </row>
    <row r="624" spans="4:26" s="3380" customFormat="1" x14ac:dyDescent="0.2">
      <c r="D624" s="4408"/>
      <c r="E624" s="3453"/>
      <c r="F624" s="4408"/>
      <c r="G624" s="3453"/>
      <c r="H624" s="4408"/>
      <c r="I624" s="3453"/>
      <c r="J624" s="4408"/>
      <c r="L624" s="4408"/>
      <c r="N624" s="4408"/>
      <c r="P624" s="4408"/>
      <c r="R624" s="4408"/>
      <c r="T624" s="4408"/>
      <c r="V624" s="4408"/>
      <c r="X624" s="4408"/>
      <c r="Z624" s="4408"/>
    </row>
    <row r="625" spans="4:26" s="3380" customFormat="1" x14ac:dyDescent="0.2">
      <c r="D625" s="4408"/>
      <c r="E625" s="3453"/>
      <c r="F625" s="4408"/>
      <c r="G625" s="3453"/>
      <c r="H625" s="4408"/>
      <c r="I625" s="3453"/>
      <c r="J625" s="4408"/>
      <c r="L625" s="4408"/>
      <c r="N625" s="4408"/>
      <c r="P625" s="4408"/>
      <c r="R625" s="4408"/>
      <c r="T625" s="4408"/>
      <c r="V625" s="4408"/>
      <c r="X625" s="4408"/>
      <c r="Z625" s="4408"/>
    </row>
    <row r="626" spans="4:26" s="3380" customFormat="1" x14ac:dyDescent="0.2">
      <c r="D626" s="4408"/>
      <c r="E626" s="3453"/>
      <c r="F626" s="4408"/>
      <c r="G626" s="3453"/>
      <c r="H626" s="4408"/>
      <c r="I626" s="3453"/>
      <c r="J626" s="4408"/>
      <c r="L626" s="4408"/>
      <c r="N626" s="4408"/>
      <c r="P626" s="4408"/>
      <c r="R626" s="4408"/>
      <c r="T626" s="4408"/>
      <c r="V626" s="4408"/>
      <c r="X626" s="4408"/>
      <c r="Z626" s="4408"/>
    </row>
  </sheetData>
  <mergeCells count="722">
    <mergeCell ref="AR250:AR283"/>
    <mergeCell ref="AR320:AR322"/>
    <mergeCell ref="AR324:AR325"/>
    <mergeCell ref="AR147:AR169"/>
    <mergeCell ref="AR197:AR199"/>
    <mergeCell ref="AR206:AR210"/>
    <mergeCell ref="AR212:AR215"/>
    <mergeCell ref="AR216:AR220"/>
    <mergeCell ref="AR222:AR224"/>
    <mergeCell ref="AR228:AR230"/>
    <mergeCell ref="AR232:AR236"/>
    <mergeCell ref="AR240:AR245"/>
    <mergeCell ref="AP232:AP236"/>
    <mergeCell ref="AP240:AP245"/>
    <mergeCell ref="AP250:AP283"/>
    <mergeCell ref="AP320:AP322"/>
    <mergeCell ref="AP324:AP325"/>
    <mergeCell ref="AR3:AS3"/>
    <mergeCell ref="AR8:AR10"/>
    <mergeCell ref="AR14:AR16"/>
    <mergeCell ref="AR20:AR22"/>
    <mergeCell ref="AR26:AR28"/>
    <mergeCell ref="AR33:AR36"/>
    <mergeCell ref="AR47:AR49"/>
    <mergeCell ref="AR51:AR53"/>
    <mergeCell ref="AR55:AR57"/>
    <mergeCell ref="AR59:AR61"/>
    <mergeCell ref="AR63:AR65"/>
    <mergeCell ref="AR76:AR81"/>
    <mergeCell ref="AR86:AR100"/>
    <mergeCell ref="AR101:AR102"/>
    <mergeCell ref="AR106:AR120"/>
    <mergeCell ref="AR122:AR124"/>
    <mergeCell ref="AR125:AR131"/>
    <mergeCell ref="AR133:AR143"/>
    <mergeCell ref="AP59:AP61"/>
    <mergeCell ref="AP63:AP65"/>
    <mergeCell ref="AP147:AP169"/>
    <mergeCell ref="AP197:AP199"/>
    <mergeCell ref="AP206:AP210"/>
    <mergeCell ref="AP212:AP215"/>
    <mergeCell ref="AP216:AP220"/>
    <mergeCell ref="AP222:AP224"/>
    <mergeCell ref="AP228:AP230"/>
    <mergeCell ref="AP3:AQ3"/>
    <mergeCell ref="AP8:AP10"/>
    <mergeCell ref="AP14:AP16"/>
    <mergeCell ref="AP20:AP22"/>
    <mergeCell ref="AP26:AP28"/>
    <mergeCell ref="AP33:AP36"/>
    <mergeCell ref="AP47:AP49"/>
    <mergeCell ref="AP51:AP53"/>
    <mergeCell ref="AP55:AP57"/>
    <mergeCell ref="AF320:AF322"/>
    <mergeCell ref="AH320:AH322"/>
    <mergeCell ref="AF324:AF325"/>
    <mergeCell ref="AH324:AH325"/>
    <mergeCell ref="AF222:AF224"/>
    <mergeCell ref="AH222:AH224"/>
    <mergeCell ref="AF228:AF230"/>
    <mergeCell ref="AH228:AH230"/>
    <mergeCell ref="AF232:AF236"/>
    <mergeCell ref="AH232:AH236"/>
    <mergeCell ref="AF240:AF245"/>
    <mergeCell ref="AH240:AH245"/>
    <mergeCell ref="AF250:AF283"/>
    <mergeCell ref="AH250:AH283"/>
    <mergeCell ref="AF147:AF169"/>
    <mergeCell ref="AH147:AH169"/>
    <mergeCell ref="AF197:AF199"/>
    <mergeCell ref="AH197:AH199"/>
    <mergeCell ref="AF206:AF210"/>
    <mergeCell ref="AH206:AH210"/>
    <mergeCell ref="AF212:AF215"/>
    <mergeCell ref="AH212:AH215"/>
    <mergeCell ref="AF216:AF220"/>
    <mergeCell ref="AH216:AH220"/>
    <mergeCell ref="AF63:AF65"/>
    <mergeCell ref="AH63:AH65"/>
    <mergeCell ref="AH76:AH81"/>
    <mergeCell ref="AH86:AH100"/>
    <mergeCell ref="AH101:AH102"/>
    <mergeCell ref="AH106:AH120"/>
    <mergeCell ref="AH122:AH124"/>
    <mergeCell ref="AH125:AH131"/>
    <mergeCell ref="AH133:AH143"/>
    <mergeCell ref="AF33:AF36"/>
    <mergeCell ref="AH33:AH36"/>
    <mergeCell ref="AF47:AF49"/>
    <mergeCell ref="AH47:AH49"/>
    <mergeCell ref="AF51:AF53"/>
    <mergeCell ref="AH51:AH53"/>
    <mergeCell ref="AF55:AF57"/>
    <mergeCell ref="AH55:AH57"/>
    <mergeCell ref="AF59:AF61"/>
    <mergeCell ref="AH59:AH61"/>
    <mergeCell ref="AF3:AG3"/>
    <mergeCell ref="AH3:AI3"/>
    <mergeCell ref="AF8:AF10"/>
    <mergeCell ref="AH8:AH10"/>
    <mergeCell ref="AF14:AF16"/>
    <mergeCell ref="AH14:AH16"/>
    <mergeCell ref="AF20:AF22"/>
    <mergeCell ref="AH20:AH22"/>
    <mergeCell ref="AF26:AF28"/>
    <mergeCell ref="AH26:AH28"/>
    <mergeCell ref="AB250:AB283"/>
    <mergeCell ref="AD250:AD283"/>
    <mergeCell ref="AB320:AB322"/>
    <mergeCell ref="AD320:AD322"/>
    <mergeCell ref="AB324:AB325"/>
    <mergeCell ref="AD324:AD325"/>
    <mergeCell ref="AB222:AB224"/>
    <mergeCell ref="AD222:AD224"/>
    <mergeCell ref="AB228:AB230"/>
    <mergeCell ref="AD228:AD230"/>
    <mergeCell ref="AB232:AB236"/>
    <mergeCell ref="AD232:AD236"/>
    <mergeCell ref="AB240:AB245"/>
    <mergeCell ref="AD240:AD245"/>
    <mergeCell ref="AB212:AB215"/>
    <mergeCell ref="AD212:AD215"/>
    <mergeCell ref="AB216:AB220"/>
    <mergeCell ref="AD216:AD220"/>
    <mergeCell ref="AD122:AD124"/>
    <mergeCell ref="AD125:AD131"/>
    <mergeCell ref="AD133:AD143"/>
    <mergeCell ref="AB147:AB169"/>
    <mergeCell ref="AD147:AD169"/>
    <mergeCell ref="AD51:AD53"/>
    <mergeCell ref="AB55:AB57"/>
    <mergeCell ref="AD55:AD57"/>
    <mergeCell ref="AB59:AB61"/>
    <mergeCell ref="AD59:AD61"/>
    <mergeCell ref="AB197:AB199"/>
    <mergeCell ref="AD197:AD199"/>
    <mergeCell ref="AB206:AB210"/>
    <mergeCell ref="AD206:AD210"/>
    <mergeCell ref="H133:H143"/>
    <mergeCell ref="H55:H57"/>
    <mergeCell ref="J55:J57"/>
    <mergeCell ref="AB3:AC3"/>
    <mergeCell ref="AD3:AE3"/>
    <mergeCell ref="AB8:AB10"/>
    <mergeCell ref="AD8:AD10"/>
    <mergeCell ref="AB14:AB16"/>
    <mergeCell ref="AD14:AD16"/>
    <mergeCell ref="AB20:AB22"/>
    <mergeCell ref="AD20:AD22"/>
    <mergeCell ref="AB26:AB28"/>
    <mergeCell ref="AD26:AD28"/>
    <mergeCell ref="AB63:AB65"/>
    <mergeCell ref="AD63:AD65"/>
    <mergeCell ref="AD76:AD81"/>
    <mergeCell ref="AD86:AD100"/>
    <mergeCell ref="AD101:AD102"/>
    <mergeCell ref="AD106:AD120"/>
    <mergeCell ref="AB33:AB36"/>
    <mergeCell ref="AD33:AD36"/>
    <mergeCell ref="AB47:AB49"/>
    <mergeCell ref="AD47:AD49"/>
    <mergeCell ref="AB51:AB53"/>
    <mergeCell ref="P76:P81"/>
    <mergeCell ref="P106:P120"/>
    <mergeCell ref="H106:H120"/>
    <mergeCell ref="L106:L120"/>
    <mergeCell ref="L101:L102"/>
    <mergeCell ref="H86:H100"/>
    <mergeCell ref="L86:L100"/>
    <mergeCell ref="H101:H102"/>
    <mergeCell ref="P86:P100"/>
    <mergeCell ref="H147:H169"/>
    <mergeCell ref="F147:F169"/>
    <mergeCell ref="P20:P22"/>
    <mergeCell ref="P33:P36"/>
    <mergeCell ref="N51:N53"/>
    <mergeCell ref="P51:P53"/>
    <mergeCell ref="P47:P49"/>
    <mergeCell ref="N47:N49"/>
    <mergeCell ref="P122:P124"/>
    <mergeCell ref="J63:J65"/>
    <mergeCell ref="L63:L65"/>
    <mergeCell ref="N63:N65"/>
    <mergeCell ref="P147:P169"/>
    <mergeCell ref="L147:L169"/>
    <mergeCell ref="N147:N169"/>
    <mergeCell ref="P55:P57"/>
    <mergeCell ref="P101:P102"/>
    <mergeCell ref="P125:P131"/>
    <mergeCell ref="P133:P143"/>
    <mergeCell ref="J147:J169"/>
    <mergeCell ref="H125:H131"/>
    <mergeCell ref="L125:L131"/>
    <mergeCell ref="H76:H81"/>
    <mergeCell ref="L76:L81"/>
    <mergeCell ref="P14:P16"/>
    <mergeCell ref="L133:L143"/>
    <mergeCell ref="B3:B4"/>
    <mergeCell ref="C3:C4"/>
    <mergeCell ref="D3:E3"/>
    <mergeCell ref="F3:G3"/>
    <mergeCell ref="H3:I3"/>
    <mergeCell ref="J3:K3"/>
    <mergeCell ref="L51:L53"/>
    <mergeCell ref="L47:L49"/>
    <mergeCell ref="D51:D53"/>
    <mergeCell ref="F26:F28"/>
    <mergeCell ref="H26:H28"/>
    <mergeCell ref="J26:J28"/>
    <mergeCell ref="D8:D10"/>
    <mergeCell ref="L3:M3"/>
    <mergeCell ref="D55:D57"/>
    <mergeCell ref="F55:F57"/>
    <mergeCell ref="N3:O3"/>
    <mergeCell ref="P3:Q3"/>
    <mergeCell ref="N8:N10"/>
    <mergeCell ref="P8:P10"/>
    <mergeCell ref="D14:D16"/>
    <mergeCell ref="F14:F16"/>
    <mergeCell ref="H14:H16"/>
    <mergeCell ref="J14:J16"/>
    <mergeCell ref="L14:L16"/>
    <mergeCell ref="N14:N16"/>
    <mergeCell ref="F8:F10"/>
    <mergeCell ref="H8:H10"/>
    <mergeCell ref="J8:J10"/>
    <mergeCell ref="L8:L10"/>
    <mergeCell ref="D147:D169"/>
    <mergeCell ref="H122:H124"/>
    <mergeCell ref="L122:L124"/>
    <mergeCell ref="N55:N57"/>
    <mergeCell ref="N26:N28"/>
    <mergeCell ref="J20:J22"/>
    <mergeCell ref="L20:L22"/>
    <mergeCell ref="N20:N22"/>
    <mergeCell ref="N33:N36"/>
    <mergeCell ref="D47:D49"/>
    <mergeCell ref="D33:D36"/>
    <mergeCell ref="F33:F36"/>
    <mergeCell ref="H33:H36"/>
    <mergeCell ref="J33:J36"/>
    <mergeCell ref="L33:L36"/>
    <mergeCell ref="J51:J53"/>
    <mergeCell ref="D20:D22"/>
    <mergeCell ref="F20:F22"/>
    <mergeCell ref="H20:H22"/>
    <mergeCell ref="D26:D28"/>
    <mergeCell ref="H47:H49"/>
    <mergeCell ref="F47:F49"/>
    <mergeCell ref="P26:P28"/>
    <mergeCell ref="D59:D61"/>
    <mergeCell ref="F59:F61"/>
    <mergeCell ref="N59:N61"/>
    <mergeCell ref="P59:P61"/>
    <mergeCell ref="H59:H61"/>
    <mergeCell ref="J59:J61"/>
    <mergeCell ref="L59:L61"/>
    <mergeCell ref="L55:L57"/>
    <mergeCell ref="L26:L28"/>
    <mergeCell ref="J47:J49"/>
    <mergeCell ref="F51:F53"/>
    <mergeCell ref="H51:H53"/>
    <mergeCell ref="D63:D65"/>
    <mergeCell ref="F63:F65"/>
    <mergeCell ref="H63:H65"/>
    <mergeCell ref="P63:P65"/>
    <mergeCell ref="N232:N236"/>
    <mergeCell ref="H250:H283"/>
    <mergeCell ref="J250:J283"/>
    <mergeCell ref="L240:L245"/>
    <mergeCell ref="L197:L199"/>
    <mergeCell ref="N197:N199"/>
    <mergeCell ref="N228:N230"/>
    <mergeCell ref="P228:P230"/>
    <mergeCell ref="P212:P215"/>
    <mergeCell ref="H228:H230"/>
    <mergeCell ref="D197:D199"/>
    <mergeCell ref="F212:F215"/>
    <mergeCell ref="F197:F199"/>
    <mergeCell ref="N206:N210"/>
    <mergeCell ref="H197:H199"/>
    <mergeCell ref="P216:P220"/>
    <mergeCell ref="N212:N215"/>
    <mergeCell ref="P197:P199"/>
    <mergeCell ref="P222:P224"/>
    <mergeCell ref="P206:P210"/>
    <mergeCell ref="P324:P325"/>
    <mergeCell ref="L324:L325"/>
    <mergeCell ref="N324:N325"/>
    <mergeCell ref="H232:H236"/>
    <mergeCell ref="J232:J236"/>
    <mergeCell ref="L232:L236"/>
    <mergeCell ref="P320:P322"/>
    <mergeCell ref="P250:P283"/>
    <mergeCell ref="L250:L283"/>
    <mergeCell ref="N250:N283"/>
    <mergeCell ref="N240:N245"/>
    <mergeCell ref="P240:P245"/>
    <mergeCell ref="P232:P236"/>
    <mergeCell ref="J197:J199"/>
    <mergeCell ref="N222:N224"/>
    <mergeCell ref="N216:N220"/>
    <mergeCell ref="H212:H215"/>
    <mergeCell ref="F216:F220"/>
    <mergeCell ref="L222:L224"/>
    <mergeCell ref="J228:J230"/>
    <mergeCell ref="F206:F210"/>
    <mergeCell ref="J206:J210"/>
    <mergeCell ref="H206:H210"/>
    <mergeCell ref="L206:L210"/>
    <mergeCell ref="H222:H224"/>
    <mergeCell ref="F222:F224"/>
    <mergeCell ref="L212:L215"/>
    <mergeCell ref="J212:J215"/>
    <mergeCell ref="J222:J224"/>
    <mergeCell ref="L216:L220"/>
    <mergeCell ref="H216:H220"/>
    <mergeCell ref="J216:J220"/>
    <mergeCell ref="D324:D325"/>
    <mergeCell ref="F324:F325"/>
    <mergeCell ref="H320:H322"/>
    <mergeCell ref="J320:J322"/>
    <mergeCell ref="L320:L322"/>
    <mergeCell ref="N320:N322"/>
    <mergeCell ref="L228:L230"/>
    <mergeCell ref="H324:H325"/>
    <mergeCell ref="J324:J325"/>
    <mergeCell ref="D320:D322"/>
    <mergeCell ref="D250:D283"/>
    <mergeCell ref="F250:F283"/>
    <mergeCell ref="F232:F236"/>
    <mergeCell ref="F228:F230"/>
    <mergeCell ref="D240:D245"/>
    <mergeCell ref="F240:F245"/>
    <mergeCell ref="H240:H245"/>
    <mergeCell ref="J240:J245"/>
    <mergeCell ref="F320:F322"/>
    <mergeCell ref="R3:S3"/>
    <mergeCell ref="T3:U3"/>
    <mergeCell ref="R8:R10"/>
    <mergeCell ref="T8:T10"/>
    <mergeCell ref="R14:R16"/>
    <mergeCell ref="T14:T16"/>
    <mergeCell ref="R20:R22"/>
    <mergeCell ref="T20:T22"/>
    <mergeCell ref="R26:R28"/>
    <mergeCell ref="T26:T28"/>
    <mergeCell ref="R33:R36"/>
    <mergeCell ref="T33:T36"/>
    <mergeCell ref="R47:R49"/>
    <mergeCell ref="T47:T49"/>
    <mergeCell ref="R51:R53"/>
    <mergeCell ref="T51:T53"/>
    <mergeCell ref="R55:R57"/>
    <mergeCell ref="T55:T57"/>
    <mergeCell ref="R59:R61"/>
    <mergeCell ref="T59:T61"/>
    <mergeCell ref="R63:R65"/>
    <mergeCell ref="T63:T65"/>
    <mergeCell ref="T76:T81"/>
    <mergeCell ref="T86:T100"/>
    <mergeCell ref="T101:T102"/>
    <mergeCell ref="T106:T120"/>
    <mergeCell ref="T122:T124"/>
    <mergeCell ref="T125:T131"/>
    <mergeCell ref="T133:T143"/>
    <mergeCell ref="R147:R169"/>
    <mergeCell ref="T147:T169"/>
    <mergeCell ref="R197:R199"/>
    <mergeCell ref="T197:T199"/>
    <mergeCell ref="R206:R210"/>
    <mergeCell ref="T206:T210"/>
    <mergeCell ref="R212:R215"/>
    <mergeCell ref="T212:T215"/>
    <mergeCell ref="R216:R220"/>
    <mergeCell ref="T216:T220"/>
    <mergeCell ref="R250:R283"/>
    <mergeCell ref="T250:T283"/>
    <mergeCell ref="R320:R322"/>
    <mergeCell ref="T320:T322"/>
    <mergeCell ref="R324:R325"/>
    <mergeCell ref="T324:T325"/>
    <mergeCell ref="R222:R224"/>
    <mergeCell ref="T222:T224"/>
    <mergeCell ref="R228:R230"/>
    <mergeCell ref="T228:T230"/>
    <mergeCell ref="R232:R236"/>
    <mergeCell ref="T232:T236"/>
    <mergeCell ref="R240:R245"/>
    <mergeCell ref="T240:T245"/>
    <mergeCell ref="V3:W3"/>
    <mergeCell ref="Z3:AA3"/>
    <mergeCell ref="V8:V10"/>
    <mergeCell ref="Z8:Z10"/>
    <mergeCell ref="V14:V16"/>
    <mergeCell ref="Z14:Z16"/>
    <mergeCell ref="V20:V22"/>
    <mergeCell ref="Z20:Z22"/>
    <mergeCell ref="V26:V28"/>
    <mergeCell ref="Z26:Z28"/>
    <mergeCell ref="X3:Y3"/>
    <mergeCell ref="X8:X10"/>
    <mergeCell ref="X14:X16"/>
    <mergeCell ref="X20:X22"/>
    <mergeCell ref="X26:X28"/>
    <mergeCell ref="V33:V36"/>
    <mergeCell ref="Z33:Z36"/>
    <mergeCell ref="V47:V49"/>
    <mergeCell ref="Z47:Z49"/>
    <mergeCell ref="V51:V53"/>
    <mergeCell ref="Z51:Z53"/>
    <mergeCell ref="V55:V57"/>
    <mergeCell ref="Z55:Z57"/>
    <mergeCell ref="V59:V61"/>
    <mergeCell ref="Z59:Z61"/>
    <mergeCell ref="X59:X61"/>
    <mergeCell ref="X33:X36"/>
    <mergeCell ref="X47:X49"/>
    <mergeCell ref="X51:X53"/>
    <mergeCell ref="X55:X57"/>
    <mergeCell ref="V63:V65"/>
    <mergeCell ref="Z63:Z65"/>
    <mergeCell ref="Z76:Z81"/>
    <mergeCell ref="Z86:Z100"/>
    <mergeCell ref="Z101:Z102"/>
    <mergeCell ref="Z106:Z120"/>
    <mergeCell ref="X63:X65"/>
    <mergeCell ref="X76:X81"/>
    <mergeCell ref="X86:X100"/>
    <mergeCell ref="X101:X102"/>
    <mergeCell ref="X106:X120"/>
    <mergeCell ref="Z122:Z124"/>
    <mergeCell ref="Z125:Z131"/>
    <mergeCell ref="Z133:Z143"/>
    <mergeCell ref="V147:V169"/>
    <mergeCell ref="Z147:Z169"/>
    <mergeCell ref="X125:X131"/>
    <mergeCell ref="X133:X143"/>
    <mergeCell ref="X147:X169"/>
    <mergeCell ref="X122:X124"/>
    <mergeCell ref="V228:V230"/>
    <mergeCell ref="Z228:Z230"/>
    <mergeCell ref="V232:V236"/>
    <mergeCell ref="Z232:Z236"/>
    <mergeCell ref="V240:V245"/>
    <mergeCell ref="Z240:Z245"/>
    <mergeCell ref="X222:X224"/>
    <mergeCell ref="X228:X230"/>
    <mergeCell ref="X232:X236"/>
    <mergeCell ref="X240:X245"/>
    <mergeCell ref="V222:V224"/>
    <mergeCell ref="Z222:Z224"/>
    <mergeCell ref="V197:V199"/>
    <mergeCell ref="Z197:Z199"/>
    <mergeCell ref="V206:V210"/>
    <mergeCell ref="Z206:Z210"/>
    <mergeCell ref="V212:V215"/>
    <mergeCell ref="Z212:Z215"/>
    <mergeCell ref="V216:V220"/>
    <mergeCell ref="Z216:Z220"/>
    <mergeCell ref="X197:X199"/>
    <mergeCell ref="X206:X210"/>
    <mergeCell ref="X212:X215"/>
    <mergeCell ref="X216:X220"/>
    <mergeCell ref="X250:X283"/>
    <mergeCell ref="X320:X322"/>
    <mergeCell ref="X324:X325"/>
    <mergeCell ref="V250:V283"/>
    <mergeCell ref="Z250:Z283"/>
    <mergeCell ref="V320:V322"/>
    <mergeCell ref="Z320:Z322"/>
    <mergeCell ref="V324:V325"/>
    <mergeCell ref="Z324:Z325"/>
    <mergeCell ref="AJ3:AK3"/>
    <mergeCell ref="AL3:AM3"/>
    <mergeCell ref="AN3:AO3"/>
    <mergeCell ref="AJ8:AJ10"/>
    <mergeCell ref="AL8:AL10"/>
    <mergeCell ref="AN8:AN10"/>
    <mergeCell ref="AJ14:AJ16"/>
    <mergeCell ref="AL14:AL16"/>
    <mergeCell ref="AN14:AN16"/>
    <mergeCell ref="AJ20:AJ22"/>
    <mergeCell ref="AL20:AL22"/>
    <mergeCell ref="AN20:AN22"/>
    <mergeCell ref="AJ26:AJ28"/>
    <mergeCell ref="AL26:AL28"/>
    <mergeCell ref="AN26:AN28"/>
    <mergeCell ref="AJ33:AJ36"/>
    <mergeCell ref="AL33:AL36"/>
    <mergeCell ref="AN33:AN36"/>
    <mergeCell ref="AJ47:AJ49"/>
    <mergeCell ref="AL47:AL49"/>
    <mergeCell ref="AN47:AN49"/>
    <mergeCell ref="AJ51:AJ53"/>
    <mergeCell ref="AL51:AL53"/>
    <mergeCell ref="AN51:AN53"/>
    <mergeCell ref="AJ55:AJ57"/>
    <mergeCell ref="AL55:AL57"/>
    <mergeCell ref="AN55:AN57"/>
    <mergeCell ref="AJ59:AJ61"/>
    <mergeCell ref="AL59:AL61"/>
    <mergeCell ref="AN59:AN61"/>
    <mergeCell ref="AJ63:AJ65"/>
    <mergeCell ref="AL63:AL65"/>
    <mergeCell ref="AN63:AN65"/>
    <mergeCell ref="AL76:AL81"/>
    <mergeCell ref="AN76:AN81"/>
    <mergeCell ref="AL86:AL100"/>
    <mergeCell ref="AN86:AN100"/>
    <mergeCell ref="AL101:AL102"/>
    <mergeCell ref="AN101:AN102"/>
    <mergeCell ref="AL106:AL120"/>
    <mergeCell ref="AN106:AN120"/>
    <mergeCell ref="AL122:AL124"/>
    <mergeCell ref="AN122:AN124"/>
    <mergeCell ref="AL125:AL131"/>
    <mergeCell ref="AN125:AN131"/>
    <mergeCell ref="AL133:AL143"/>
    <mergeCell ref="AN133:AN143"/>
    <mergeCell ref="AJ147:AJ169"/>
    <mergeCell ref="AL147:AL169"/>
    <mergeCell ref="AN147:AN169"/>
    <mergeCell ref="AJ197:AJ199"/>
    <mergeCell ref="AL197:AL199"/>
    <mergeCell ref="AN197:AN199"/>
    <mergeCell ref="AJ206:AJ210"/>
    <mergeCell ref="AL206:AL210"/>
    <mergeCell ref="AN206:AN210"/>
    <mergeCell ref="AJ212:AJ215"/>
    <mergeCell ref="AL212:AL215"/>
    <mergeCell ref="AN212:AN215"/>
    <mergeCell ref="AJ216:AJ220"/>
    <mergeCell ref="AL216:AL220"/>
    <mergeCell ref="AN216:AN220"/>
    <mergeCell ref="AJ222:AJ224"/>
    <mergeCell ref="AL222:AL224"/>
    <mergeCell ref="AN222:AN224"/>
    <mergeCell ref="AJ228:AJ230"/>
    <mergeCell ref="AL228:AL230"/>
    <mergeCell ref="AN228:AN230"/>
    <mergeCell ref="AJ232:AJ236"/>
    <mergeCell ref="AL232:AL236"/>
    <mergeCell ref="AN232:AN236"/>
    <mergeCell ref="AJ240:AJ245"/>
    <mergeCell ref="AL240:AL245"/>
    <mergeCell ref="AN240:AN245"/>
    <mergeCell ref="AJ324:AJ325"/>
    <mergeCell ref="AL324:AL325"/>
    <mergeCell ref="AN324:AN325"/>
    <mergeCell ref="AJ250:AJ283"/>
    <mergeCell ref="AL250:AL283"/>
    <mergeCell ref="AN250:AN283"/>
    <mergeCell ref="AJ320:AJ322"/>
    <mergeCell ref="AL320:AL322"/>
    <mergeCell ref="AN320:AN322"/>
    <mergeCell ref="AT3:AU3"/>
    <mergeCell ref="AV3:AW3"/>
    <mergeCell ref="AT8:AT10"/>
    <mergeCell ref="AV8:AV10"/>
    <mergeCell ref="AT14:AT16"/>
    <mergeCell ref="AV14:AV16"/>
    <mergeCell ref="AT20:AT22"/>
    <mergeCell ref="AV20:AV22"/>
    <mergeCell ref="AT26:AT28"/>
    <mergeCell ref="AV26:AV28"/>
    <mergeCell ref="AT33:AT36"/>
    <mergeCell ref="AV33:AV36"/>
    <mergeCell ref="AT47:AT49"/>
    <mergeCell ref="AV47:AV49"/>
    <mergeCell ref="AT51:AT53"/>
    <mergeCell ref="AV51:AV53"/>
    <mergeCell ref="AT55:AT57"/>
    <mergeCell ref="AV55:AV57"/>
    <mergeCell ref="AT59:AT61"/>
    <mergeCell ref="AV59:AV61"/>
    <mergeCell ref="AT63:AT65"/>
    <mergeCell ref="AV63:AV65"/>
    <mergeCell ref="AV76:AV81"/>
    <mergeCell ref="AV86:AV100"/>
    <mergeCell ref="AV101:AV102"/>
    <mergeCell ref="AV106:AV120"/>
    <mergeCell ref="AV122:AV124"/>
    <mergeCell ref="AV125:AV131"/>
    <mergeCell ref="AV133:AV143"/>
    <mergeCell ref="AT147:AT169"/>
    <mergeCell ref="AV147:AV169"/>
    <mergeCell ref="AT197:AT199"/>
    <mergeCell ref="AV197:AV199"/>
    <mergeCell ref="AT206:AT210"/>
    <mergeCell ref="AV206:AV210"/>
    <mergeCell ref="AT212:AT215"/>
    <mergeCell ref="AV212:AV215"/>
    <mergeCell ref="AT216:AT220"/>
    <mergeCell ref="AV216:AV220"/>
    <mergeCell ref="AT320:AT322"/>
    <mergeCell ref="AV320:AV322"/>
    <mergeCell ref="AT324:AT325"/>
    <mergeCell ref="AV324:AV325"/>
    <mergeCell ref="AT222:AT224"/>
    <mergeCell ref="AV222:AV224"/>
    <mergeCell ref="AT228:AT230"/>
    <mergeCell ref="AV228:AV230"/>
    <mergeCell ref="AT232:AT236"/>
    <mergeCell ref="AV232:AV236"/>
    <mergeCell ref="AT240:AT245"/>
    <mergeCell ref="AV240:AV245"/>
    <mergeCell ref="AT250:AT283"/>
    <mergeCell ref="AV250:AV283"/>
    <mergeCell ref="AX3:AY3"/>
    <mergeCell ref="AX8:AX10"/>
    <mergeCell ref="AX14:AX16"/>
    <mergeCell ref="AX20:AX22"/>
    <mergeCell ref="AX26:AX28"/>
    <mergeCell ref="AX33:AX36"/>
    <mergeCell ref="AX47:AX49"/>
    <mergeCell ref="AX51:AX53"/>
    <mergeCell ref="AX55:AX57"/>
    <mergeCell ref="AX59:AX61"/>
    <mergeCell ref="AX63:AX65"/>
    <mergeCell ref="AX147:AX169"/>
    <mergeCell ref="AX197:AX199"/>
    <mergeCell ref="AX206:AX210"/>
    <mergeCell ref="AX212:AX215"/>
    <mergeCell ref="AX216:AX220"/>
    <mergeCell ref="AX222:AX224"/>
    <mergeCell ref="AX228:AX230"/>
    <mergeCell ref="AX232:AX236"/>
    <mergeCell ref="AX240:AX245"/>
    <mergeCell ref="AX250:AX283"/>
    <mergeCell ref="AX320:AX322"/>
    <mergeCell ref="AX324:AX325"/>
    <mergeCell ref="AZ3:BA3"/>
    <mergeCell ref="BD3:BE3"/>
    <mergeCell ref="AZ8:AZ10"/>
    <mergeCell ref="BD8:BD10"/>
    <mergeCell ref="AZ14:AZ16"/>
    <mergeCell ref="BD14:BD16"/>
    <mergeCell ref="AZ20:AZ22"/>
    <mergeCell ref="BD20:BD22"/>
    <mergeCell ref="AZ26:AZ28"/>
    <mergeCell ref="BD26:BD28"/>
    <mergeCell ref="AZ33:AZ36"/>
    <mergeCell ref="BD33:BD36"/>
    <mergeCell ref="AZ47:AZ49"/>
    <mergeCell ref="BD47:BD49"/>
    <mergeCell ref="AZ51:AZ53"/>
    <mergeCell ref="BD51:BD53"/>
    <mergeCell ref="AZ55:AZ57"/>
    <mergeCell ref="BD55:BD57"/>
    <mergeCell ref="AZ59:AZ61"/>
    <mergeCell ref="BD59:BD61"/>
    <mergeCell ref="AZ63:AZ65"/>
    <mergeCell ref="BD63:BD65"/>
    <mergeCell ref="AZ76:AZ81"/>
    <mergeCell ref="BD76:BD81"/>
    <mergeCell ref="AZ86:AZ100"/>
    <mergeCell ref="BD86:BD100"/>
    <mergeCell ref="AZ101:AZ102"/>
    <mergeCell ref="BD101:BD102"/>
    <mergeCell ref="BB59:BB61"/>
    <mergeCell ref="BB63:BB65"/>
    <mergeCell ref="BB76:BB81"/>
    <mergeCell ref="BB86:BB100"/>
    <mergeCell ref="BB101:BB102"/>
    <mergeCell ref="AZ106:AZ120"/>
    <mergeCell ref="BD106:BD120"/>
    <mergeCell ref="AZ122:AZ124"/>
    <mergeCell ref="BD122:BD124"/>
    <mergeCell ref="AZ125:AZ131"/>
    <mergeCell ref="BD125:BD131"/>
    <mergeCell ref="AZ133:AZ143"/>
    <mergeCell ref="BD133:BD143"/>
    <mergeCell ref="AZ147:AZ169"/>
    <mergeCell ref="BD147:BD169"/>
    <mergeCell ref="BB133:BB143"/>
    <mergeCell ref="BB147:BB169"/>
    <mergeCell ref="BB106:BB120"/>
    <mergeCell ref="BB122:BB124"/>
    <mergeCell ref="BB125:BB131"/>
    <mergeCell ref="AZ222:AZ224"/>
    <mergeCell ref="BB216:BB220"/>
    <mergeCell ref="BB222:BB224"/>
    <mergeCell ref="BB212:BB215"/>
    <mergeCell ref="AZ228:AZ230"/>
    <mergeCell ref="AZ232:AZ236"/>
    <mergeCell ref="BB197:BB199"/>
    <mergeCell ref="BB206:BB210"/>
    <mergeCell ref="AZ240:AZ245"/>
    <mergeCell ref="BB3:BC3"/>
    <mergeCell ref="BB8:BB10"/>
    <mergeCell ref="BB14:BB16"/>
    <mergeCell ref="BB20:BB22"/>
    <mergeCell ref="BB26:BB28"/>
    <mergeCell ref="BB33:BB36"/>
    <mergeCell ref="BB47:BB49"/>
    <mergeCell ref="BB51:BB53"/>
    <mergeCell ref="BB55:BB57"/>
    <mergeCell ref="BD240:BD245"/>
    <mergeCell ref="AZ250:AZ283"/>
    <mergeCell ref="BD250:BD283"/>
    <mergeCell ref="BB324:BB325"/>
    <mergeCell ref="AZ324:AZ325"/>
    <mergeCell ref="BD324:BD325"/>
    <mergeCell ref="BD320:BD322"/>
    <mergeCell ref="BD197:BD199"/>
    <mergeCell ref="BD206:BD210"/>
    <mergeCell ref="BD212:BD215"/>
    <mergeCell ref="BD216:BD220"/>
    <mergeCell ref="BD222:BD224"/>
    <mergeCell ref="BD228:BD230"/>
    <mergeCell ref="BD232:BD236"/>
    <mergeCell ref="AZ320:AZ322"/>
    <mergeCell ref="BB228:BB230"/>
    <mergeCell ref="BB232:BB236"/>
    <mergeCell ref="BB240:BB245"/>
    <mergeCell ref="BB250:BB283"/>
    <mergeCell ref="BB320:BB322"/>
    <mergeCell ref="AZ197:AZ199"/>
    <mergeCell ref="AZ206:AZ210"/>
    <mergeCell ref="AZ212:AZ215"/>
    <mergeCell ref="AZ216:AZ220"/>
  </mergeCells>
  <printOptions horizontalCentered="1" verticalCentered="1"/>
  <pageMargins left="0" right="0" top="0" bottom="0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AI153"/>
  <sheetViews>
    <sheetView workbookViewId="0">
      <pane xSplit="4" topLeftCell="AC1" activePane="topRight" state="frozen"/>
      <selection pane="topRight" activeCell="AB91" sqref="AB91"/>
    </sheetView>
  </sheetViews>
  <sheetFormatPr baseColWidth="10" defaultColWidth="8.83203125" defaultRowHeight="15" x14ac:dyDescent="0.2"/>
  <cols>
    <col min="3" max="3" width="59" style="5215" bestFit="1" customWidth="1"/>
    <col min="4" max="4" width="15" customWidth="1"/>
    <col min="5" max="6" width="9.1640625" bestFit="1" customWidth="1"/>
    <col min="7" max="9" width="10.6640625" bestFit="1" customWidth="1"/>
    <col min="10" max="10" width="9.1640625" bestFit="1" customWidth="1"/>
    <col min="11" max="12" width="10.6640625" bestFit="1" customWidth="1"/>
    <col min="13" max="13" width="10.6640625" customWidth="1"/>
    <col min="14" max="14" width="10.6640625" bestFit="1" customWidth="1"/>
    <col min="15" max="15" width="10.6640625" style="7129" customWidth="1"/>
    <col min="16" max="16" width="10.6640625" bestFit="1" customWidth="1"/>
    <col min="17" max="17" width="9.83203125" bestFit="1" customWidth="1"/>
    <col min="18" max="18" width="10.6640625" bestFit="1" customWidth="1"/>
    <col min="19" max="19" width="11.33203125" customWidth="1"/>
    <col min="20" max="20" width="12.83203125" customWidth="1"/>
    <col min="21" max="22" width="10.6640625" bestFit="1" customWidth="1"/>
    <col min="23" max="23" width="13.1640625" customWidth="1"/>
    <col min="24" max="24" width="10.6640625" bestFit="1" customWidth="1"/>
    <col min="25" max="25" width="13" customWidth="1"/>
    <col min="26" max="26" width="10.83203125" customWidth="1"/>
    <col min="27" max="27" width="16" customWidth="1"/>
    <col min="28" max="28" width="10.83203125" style="8260" customWidth="1"/>
    <col min="29" max="29" width="12.1640625" customWidth="1"/>
    <col min="30" max="30" width="12.1640625" style="8260" customWidth="1"/>
    <col min="31" max="31" width="14.33203125" customWidth="1"/>
  </cols>
  <sheetData>
    <row r="1" spans="3:31" x14ac:dyDescent="0.2">
      <c r="N1" s="1673">
        <f>+N7+N8</f>
        <v>2569.6799999999998</v>
      </c>
    </row>
    <row r="2" spans="3:31" ht="16" thickBot="1" x14ac:dyDescent="0.25"/>
    <row r="3" spans="3:31" ht="16" thickBot="1" x14ac:dyDescent="0.25">
      <c r="C3" s="8640" t="s">
        <v>657</v>
      </c>
      <c r="D3" s="8642" t="s">
        <v>658</v>
      </c>
      <c r="E3" s="6323" t="s">
        <v>1859</v>
      </c>
      <c r="F3" s="6323" t="s">
        <v>1862</v>
      </c>
      <c r="G3" s="5441" t="s">
        <v>1698</v>
      </c>
      <c r="H3" s="6323" t="s">
        <v>1863</v>
      </c>
      <c r="I3" s="5795" t="s">
        <v>1568</v>
      </c>
      <c r="J3" s="6323" t="s">
        <v>1864</v>
      </c>
      <c r="K3" s="5441" t="s">
        <v>1631</v>
      </c>
      <c r="L3" s="6323" t="s">
        <v>2160</v>
      </c>
      <c r="M3" s="5441" t="s">
        <v>2178</v>
      </c>
      <c r="N3" s="7131" t="s">
        <v>2227</v>
      </c>
      <c r="O3" s="5795" t="s">
        <v>1717</v>
      </c>
      <c r="P3" s="7199" t="s">
        <v>1697</v>
      </c>
      <c r="Q3" s="7329" t="s">
        <v>2265</v>
      </c>
      <c r="R3" s="5441" t="s">
        <v>101</v>
      </c>
      <c r="S3" s="7616" t="s">
        <v>2423</v>
      </c>
      <c r="T3" s="5441" t="s">
        <v>2432</v>
      </c>
      <c r="U3" s="7693" t="s">
        <v>2449</v>
      </c>
      <c r="V3" s="5795" t="s">
        <v>1756</v>
      </c>
      <c r="W3" s="5441" t="s">
        <v>2448</v>
      </c>
      <c r="X3" s="8023" t="s">
        <v>2533</v>
      </c>
      <c r="Y3" s="5441" t="s">
        <v>2534</v>
      </c>
      <c r="Z3" s="8218" t="s">
        <v>2577</v>
      </c>
      <c r="AA3" s="5441" t="s">
        <v>113</v>
      </c>
      <c r="AB3" s="8273" t="s">
        <v>2600</v>
      </c>
      <c r="AC3" s="5795" t="s">
        <v>1757</v>
      </c>
      <c r="AD3" s="5795" t="s">
        <v>1842</v>
      </c>
      <c r="AE3" s="7199" t="s">
        <v>1865</v>
      </c>
    </row>
    <row r="4" spans="3:31" ht="16" thickBot="1" x14ac:dyDescent="0.25">
      <c r="C4" s="8832"/>
      <c r="D4" s="8833"/>
      <c r="E4" s="5216" t="s">
        <v>660</v>
      </c>
      <c r="F4" s="5442" t="s">
        <v>660</v>
      </c>
      <c r="G4" s="6373" t="s">
        <v>660</v>
      </c>
      <c r="H4" s="5442" t="s">
        <v>660</v>
      </c>
      <c r="I4" s="6376" t="s">
        <v>660</v>
      </c>
      <c r="J4" s="5442" t="s">
        <v>660</v>
      </c>
      <c r="K4" s="6373" t="s">
        <v>660</v>
      </c>
      <c r="L4" s="5442" t="s">
        <v>660</v>
      </c>
      <c r="M4" s="6373" t="s">
        <v>660</v>
      </c>
      <c r="N4" s="5442" t="s">
        <v>660</v>
      </c>
      <c r="O4" s="6376" t="s">
        <v>660</v>
      </c>
      <c r="P4" s="7200" t="s">
        <v>660</v>
      </c>
      <c r="Q4" s="5442" t="s">
        <v>660</v>
      </c>
      <c r="R4" s="6373" t="s">
        <v>660</v>
      </c>
      <c r="S4" s="5442" t="s">
        <v>660</v>
      </c>
      <c r="T4" s="6373" t="s">
        <v>660</v>
      </c>
      <c r="U4" s="5442" t="s">
        <v>660</v>
      </c>
      <c r="V4" s="6376" t="s">
        <v>660</v>
      </c>
      <c r="W4" s="6373" t="s">
        <v>660</v>
      </c>
      <c r="X4" s="5442" t="s">
        <v>660</v>
      </c>
      <c r="Y4" s="6373" t="s">
        <v>660</v>
      </c>
      <c r="Z4" s="5442" t="s">
        <v>660</v>
      </c>
      <c r="AA4" s="6373" t="s">
        <v>660</v>
      </c>
      <c r="AB4" s="5442" t="s">
        <v>660</v>
      </c>
      <c r="AC4" s="6376" t="s">
        <v>660</v>
      </c>
      <c r="AD4" s="6376" t="s">
        <v>660</v>
      </c>
      <c r="AE4" s="7200" t="s">
        <v>660</v>
      </c>
    </row>
    <row r="5" spans="3:31" ht="25" x14ac:dyDescent="0.2">
      <c r="C5" s="7892" t="s">
        <v>1886</v>
      </c>
      <c r="D5" s="5218"/>
      <c r="E5" s="5427"/>
      <c r="F5" s="5957"/>
      <c r="G5" s="6385"/>
      <c r="H5" s="6386"/>
      <c r="I5" s="6385"/>
      <c r="J5" s="6386"/>
      <c r="K5" s="6385"/>
      <c r="L5" s="6386"/>
      <c r="M5" s="6385"/>
      <c r="N5" s="6386"/>
      <c r="O5" s="6385"/>
      <c r="P5" s="6385"/>
      <c r="Q5" s="6386"/>
      <c r="R5" s="6385"/>
      <c r="S5" s="6386"/>
      <c r="T5" s="6385"/>
      <c r="U5" s="6386"/>
      <c r="V5" s="6385"/>
      <c r="W5" s="6385"/>
      <c r="X5" s="6386"/>
      <c r="Y5" s="6385"/>
      <c r="Z5" s="6386"/>
      <c r="AA5" s="6385"/>
      <c r="AB5" s="6386"/>
      <c r="AC5" s="6385"/>
      <c r="AD5" s="6385"/>
      <c r="AE5" s="6385"/>
    </row>
    <row r="6" spans="3:31" x14ac:dyDescent="0.2">
      <c r="C6" s="5219" t="s">
        <v>1887</v>
      </c>
      <c r="D6" s="3835"/>
      <c r="E6" s="3918"/>
      <c r="F6" s="3184"/>
      <c r="G6" s="5910"/>
      <c r="H6" s="6371"/>
      <c r="I6" s="5910"/>
      <c r="J6" s="6371"/>
      <c r="K6" s="5910"/>
      <c r="L6" s="6371"/>
      <c r="M6" s="5910"/>
      <c r="N6" s="6371"/>
      <c r="O6" s="5910"/>
      <c r="P6" s="5910"/>
      <c r="Q6" s="6371"/>
      <c r="R6" s="5910"/>
      <c r="S6" s="6371"/>
      <c r="T6" s="5910"/>
      <c r="U6" s="6371"/>
      <c r="V6" s="5910"/>
      <c r="W6" s="5910"/>
      <c r="X6" s="6371"/>
      <c r="Y6" s="5910"/>
      <c r="Z6" s="6371"/>
      <c r="AA6" s="5910"/>
      <c r="AB6" s="6371"/>
      <c r="AC6" s="5910"/>
      <c r="AD6" s="5910"/>
      <c r="AE6" s="5910"/>
    </row>
    <row r="7" spans="3:31" s="5727" customFormat="1" x14ac:dyDescent="0.2">
      <c r="C7" s="5220" t="s">
        <v>2101</v>
      </c>
      <c r="D7" s="3835" t="s">
        <v>863</v>
      </c>
      <c r="E7" s="1675">
        <v>0</v>
      </c>
      <c r="F7" s="1675">
        <v>778.07999999999993</v>
      </c>
      <c r="G7" s="5901">
        <f>+E7+F7</f>
        <v>778.07999999999993</v>
      </c>
      <c r="H7" s="2840">
        <v>3969.8999999999996</v>
      </c>
      <c r="I7" s="6271">
        <f>+G7+H7</f>
        <v>4747.9799999999996</v>
      </c>
      <c r="J7" s="2840">
        <v>1565.5</v>
      </c>
      <c r="K7" s="5901">
        <f>+I7+J7</f>
        <v>6313.48</v>
      </c>
      <c r="L7" s="2840">
        <v>2139.64</v>
      </c>
      <c r="M7" s="5901">
        <f>+K7+L7</f>
        <v>8453.119999999999</v>
      </c>
      <c r="N7" s="2840">
        <v>1570.5</v>
      </c>
      <c r="O7" s="6271">
        <f>+J7+L7+N7</f>
        <v>5275.6399999999994</v>
      </c>
      <c r="P7" s="7072">
        <f>+M7+N7</f>
        <v>10023.619999999999</v>
      </c>
      <c r="Q7" s="2840">
        <v>2050.12</v>
      </c>
      <c r="R7" s="5901">
        <f>+P7+Q7</f>
        <v>12073.739999999998</v>
      </c>
      <c r="S7" s="2840">
        <v>1222.4000000000001</v>
      </c>
      <c r="T7" s="5901">
        <f>+R7+S7</f>
        <v>13296.139999999998</v>
      </c>
      <c r="U7" s="2840">
        <v>1883.8800000000006</v>
      </c>
      <c r="V7" s="6271">
        <f>+Q7+S7+U7</f>
        <v>5156.4000000000005</v>
      </c>
      <c r="W7" s="5901">
        <f>+T7+U7</f>
        <v>15180.019999999999</v>
      </c>
      <c r="X7" s="2840">
        <v>0</v>
      </c>
      <c r="Y7" s="5901">
        <f>+W7+X7</f>
        <v>15180.019999999999</v>
      </c>
      <c r="Z7" s="2840">
        <v>234.21</v>
      </c>
      <c r="AA7" s="5901">
        <f>+Y7+Z7</f>
        <v>15414.229999999998</v>
      </c>
      <c r="AB7" s="2840">
        <v>4878.4399999999996</v>
      </c>
      <c r="AC7" s="6271">
        <f>+X7+Z7+AB7</f>
        <v>5112.6499999999996</v>
      </c>
      <c r="AD7" s="6271">
        <f>+AC7+V7</f>
        <v>10269.049999999999</v>
      </c>
      <c r="AE7" s="7072">
        <f>+AA7+AB7</f>
        <v>20292.669999999998</v>
      </c>
    </row>
    <row r="8" spans="3:31" s="5727" customFormat="1" x14ac:dyDescent="0.2">
      <c r="C8" s="5220" t="s">
        <v>2102</v>
      </c>
      <c r="D8" s="3835" t="s">
        <v>863</v>
      </c>
      <c r="E8" s="1675">
        <v>0</v>
      </c>
      <c r="F8" s="1675">
        <v>1348.31</v>
      </c>
      <c r="G8" s="5901">
        <f>+E8+F8</f>
        <v>1348.31</v>
      </c>
      <c r="H8" s="2840">
        <v>1007.8200000000003</v>
      </c>
      <c r="I8" s="6271">
        <f>+G8+H8</f>
        <v>2356.13</v>
      </c>
      <c r="J8" s="2840">
        <v>497.71000000000004</v>
      </c>
      <c r="K8" s="5901">
        <f>+I8+J8</f>
        <v>2853.84</v>
      </c>
      <c r="L8" s="2840">
        <v>497.87</v>
      </c>
      <c r="M8" s="5901">
        <f>+K8+L8</f>
        <v>3351.71</v>
      </c>
      <c r="N8" s="2840">
        <v>999.18</v>
      </c>
      <c r="O8" s="6271">
        <f t="shared" ref="O8:O95" si="0">+J8+L8+N8</f>
        <v>1994.76</v>
      </c>
      <c r="P8" s="7072">
        <f>+M8+N8</f>
        <v>4350.8900000000003</v>
      </c>
      <c r="Q8" s="2840">
        <v>494.03000000000009</v>
      </c>
      <c r="R8" s="5901">
        <f>+P8+Q8</f>
        <v>4844.92</v>
      </c>
      <c r="S8" s="2840">
        <v>1763.9299999999998</v>
      </c>
      <c r="T8" s="5901">
        <f>+R8+S8</f>
        <v>6608.85</v>
      </c>
      <c r="U8" s="2840">
        <v>380.43</v>
      </c>
      <c r="V8" s="6271">
        <f t="shared" ref="V8:V9" si="1">+Q8+S8+U8</f>
        <v>2638.39</v>
      </c>
      <c r="W8" s="5901">
        <f>+T8+U8</f>
        <v>6989.2800000000007</v>
      </c>
      <c r="X8" s="2840">
        <v>249.85999999999999</v>
      </c>
      <c r="Y8" s="5901">
        <f>+W8+X8</f>
        <v>7239.14</v>
      </c>
      <c r="Z8" s="2840">
        <v>379.18</v>
      </c>
      <c r="AA8" s="5901">
        <f>+Y8+Z8</f>
        <v>7618.3200000000006</v>
      </c>
      <c r="AB8" s="2840">
        <v>197.17</v>
      </c>
      <c r="AC8" s="6271">
        <f t="shared" ref="AC8:AC9" si="2">+X8+Z8+AB8</f>
        <v>826.20999999999992</v>
      </c>
      <c r="AD8" s="6271">
        <f t="shared" ref="AD8:AD71" si="3">+AC8+V8</f>
        <v>3464.6</v>
      </c>
      <c r="AE8" s="7072">
        <f>+AA8+AB8</f>
        <v>7815.4900000000007</v>
      </c>
    </row>
    <row r="9" spans="3:31" s="6415" customFormat="1" x14ac:dyDescent="0.2">
      <c r="C9" s="5220" t="s">
        <v>2204</v>
      </c>
      <c r="D9" s="3835" t="s">
        <v>863</v>
      </c>
      <c r="E9" s="1675">
        <v>0</v>
      </c>
      <c r="F9" s="1675">
        <v>0</v>
      </c>
      <c r="G9" s="5901">
        <f>+E9+F9</f>
        <v>0</v>
      </c>
      <c r="H9" s="2840">
        <v>0</v>
      </c>
      <c r="I9" s="6271">
        <f>+G9+H9</f>
        <v>0</v>
      </c>
      <c r="J9" s="2840">
        <v>0</v>
      </c>
      <c r="K9" s="5901">
        <f>+I9+J9</f>
        <v>0</v>
      </c>
      <c r="L9" s="2840">
        <v>119.1</v>
      </c>
      <c r="M9" s="5901">
        <f>+K9+L9</f>
        <v>119.1</v>
      </c>
      <c r="N9" s="2840">
        <v>0</v>
      </c>
      <c r="O9" s="6271">
        <f t="shared" si="0"/>
        <v>119.1</v>
      </c>
      <c r="P9" s="7072">
        <f>+M9+N9</f>
        <v>119.1</v>
      </c>
      <c r="Q9" s="2840">
        <v>0</v>
      </c>
      <c r="R9" s="5901">
        <f>+P9+Q9</f>
        <v>119.1</v>
      </c>
      <c r="S9" s="2840">
        <v>0</v>
      </c>
      <c r="T9" s="5901">
        <f>+R9+S9</f>
        <v>119.1</v>
      </c>
      <c r="U9" s="2840">
        <v>173.8</v>
      </c>
      <c r="V9" s="6271">
        <f t="shared" si="1"/>
        <v>173.8</v>
      </c>
      <c r="W9" s="5901">
        <f>+T9+U9</f>
        <v>292.89999999999998</v>
      </c>
      <c r="X9" s="2840">
        <v>41.08</v>
      </c>
      <c r="Y9" s="5901">
        <f>+W9+X9</f>
        <v>333.97999999999996</v>
      </c>
      <c r="Z9" s="2840">
        <v>0</v>
      </c>
      <c r="AA9" s="5901">
        <f>+Y9+Z9</f>
        <v>333.97999999999996</v>
      </c>
      <c r="AB9" s="2840">
        <v>0</v>
      </c>
      <c r="AC9" s="6271">
        <f t="shared" si="2"/>
        <v>41.08</v>
      </c>
      <c r="AD9" s="6271">
        <f t="shared" si="3"/>
        <v>214.88</v>
      </c>
      <c r="AE9" s="7072">
        <f>+AA9+AB9</f>
        <v>333.97999999999996</v>
      </c>
    </row>
    <row r="10" spans="3:31" s="3380" customFormat="1" x14ac:dyDescent="0.2">
      <c r="C10" s="6378" t="s">
        <v>1888</v>
      </c>
      <c r="D10" s="4419"/>
      <c r="E10" s="3184"/>
      <c r="F10" s="3184"/>
      <c r="G10" s="5910"/>
      <c r="H10" s="6371"/>
      <c r="I10" s="5910"/>
      <c r="J10" s="6371"/>
      <c r="K10" s="5910"/>
      <c r="L10" s="6371"/>
      <c r="M10" s="5910"/>
      <c r="N10" s="6371"/>
      <c r="O10" s="5910"/>
      <c r="P10" s="5910"/>
      <c r="Q10" s="6371"/>
      <c r="R10" s="5910"/>
      <c r="S10" s="6371"/>
      <c r="T10" s="5910"/>
      <c r="U10" s="6371"/>
      <c r="V10" s="5910"/>
      <c r="W10" s="5910"/>
      <c r="X10" s="6371"/>
      <c r="Y10" s="5910"/>
      <c r="Z10" s="6371"/>
      <c r="AA10" s="5910"/>
      <c r="AB10" s="6371"/>
      <c r="AC10" s="5910"/>
      <c r="AD10" s="5910">
        <f t="shared" si="3"/>
        <v>0</v>
      </c>
      <c r="AE10" s="5910"/>
    </row>
    <row r="11" spans="3:31" x14ac:dyDescent="0.2">
      <c r="C11" s="1609" t="s">
        <v>851</v>
      </c>
      <c r="D11" s="3835" t="s">
        <v>863</v>
      </c>
      <c r="E11" s="1675">
        <v>298.44</v>
      </c>
      <c r="F11" s="1675">
        <v>1229.23</v>
      </c>
      <c r="G11" s="5901">
        <f t="shared" ref="G11:G18" si="4">+E11+F11</f>
        <v>1527.67</v>
      </c>
      <c r="H11" s="2840">
        <v>1109.1200000000001</v>
      </c>
      <c r="I11" s="6271">
        <f t="shared" ref="I11:I18" si="5">+G11+H11</f>
        <v>2636.79</v>
      </c>
      <c r="J11" s="2840">
        <v>706.71000000000015</v>
      </c>
      <c r="K11" s="5901">
        <f t="shared" ref="K11:K18" si="6">+I11+J11</f>
        <v>3343.5</v>
      </c>
      <c r="L11" s="2840">
        <v>573.67999999999995</v>
      </c>
      <c r="M11" s="5901">
        <f t="shared" ref="M11:M18" si="7">+K11+L11</f>
        <v>3917.18</v>
      </c>
      <c r="N11" s="2840">
        <v>734.28000000000009</v>
      </c>
      <c r="O11" s="6271">
        <f t="shared" ref="O11:O18" si="8">+J11+L11+N11</f>
        <v>2014.67</v>
      </c>
      <c r="P11" s="7072">
        <f t="shared" ref="P11:P18" si="9">+M11+N11</f>
        <v>4651.46</v>
      </c>
      <c r="Q11" s="2840">
        <v>912.15000000000009</v>
      </c>
      <c r="R11" s="5901">
        <f t="shared" ref="R11:R18" si="10">+P11+Q11</f>
        <v>5563.6100000000006</v>
      </c>
      <c r="S11" s="2840">
        <v>1106.24</v>
      </c>
      <c r="T11" s="5901">
        <f t="shared" ref="T11:T18" si="11">+R11+S11</f>
        <v>6669.85</v>
      </c>
      <c r="U11" s="2840">
        <v>1490.8399999999995</v>
      </c>
      <c r="V11" s="6271">
        <f t="shared" ref="V11:V18" si="12">+Q11+S11+U11</f>
        <v>3509.2299999999996</v>
      </c>
      <c r="W11" s="5901">
        <f t="shared" ref="W11:W18" si="13">+T11+U11</f>
        <v>8160.69</v>
      </c>
      <c r="X11" s="2840">
        <v>988.96000000000026</v>
      </c>
      <c r="Y11" s="5901">
        <f t="shared" ref="Y11:Y18" si="14">+W11+X11</f>
        <v>9149.65</v>
      </c>
      <c r="Z11" s="2840">
        <v>690.26</v>
      </c>
      <c r="AA11" s="5901">
        <f t="shared" ref="AA11:AA18" si="15">+Y11+Z11</f>
        <v>9839.91</v>
      </c>
      <c r="AB11" s="2840">
        <v>674.57</v>
      </c>
      <c r="AC11" s="6271">
        <f t="shared" ref="AC11:AC18" si="16">+X11+Z11+AB11</f>
        <v>2353.7900000000004</v>
      </c>
      <c r="AD11" s="6271">
        <f t="shared" si="3"/>
        <v>5863.02</v>
      </c>
      <c r="AE11" s="7072">
        <f t="shared" ref="AE11:AE18" si="17">+AA11+AB11</f>
        <v>10514.48</v>
      </c>
    </row>
    <row r="12" spans="3:31" s="5438" customFormat="1" x14ac:dyDescent="0.2">
      <c r="C12" s="1609" t="s">
        <v>1940</v>
      </c>
      <c r="D12" s="3835" t="s">
        <v>863</v>
      </c>
      <c r="E12" s="1675">
        <v>0</v>
      </c>
      <c r="F12" s="1675">
        <v>66.8</v>
      </c>
      <c r="G12" s="5901">
        <f t="shared" si="4"/>
        <v>66.8</v>
      </c>
      <c r="H12" s="2840">
        <v>29.490000000000002</v>
      </c>
      <c r="I12" s="6271">
        <f t="shared" si="5"/>
        <v>96.289999999999992</v>
      </c>
      <c r="J12" s="2840">
        <v>19.670000000000002</v>
      </c>
      <c r="K12" s="5901">
        <f t="shared" si="6"/>
        <v>115.96</v>
      </c>
      <c r="L12" s="2840">
        <v>39.840000000000003</v>
      </c>
      <c r="M12" s="5901">
        <f t="shared" si="7"/>
        <v>155.80000000000001</v>
      </c>
      <c r="N12" s="2840">
        <v>59.429999999999993</v>
      </c>
      <c r="O12" s="6271">
        <f t="shared" si="8"/>
        <v>118.94</v>
      </c>
      <c r="P12" s="7072">
        <f t="shared" si="9"/>
        <v>215.23000000000002</v>
      </c>
      <c r="Q12" s="2840">
        <v>9.8699999999999992</v>
      </c>
      <c r="R12" s="5901">
        <f t="shared" si="10"/>
        <v>225.10000000000002</v>
      </c>
      <c r="S12" s="2840">
        <v>59.39</v>
      </c>
      <c r="T12" s="5901">
        <f t="shared" si="11"/>
        <v>284.49</v>
      </c>
      <c r="U12" s="2840">
        <v>78.98</v>
      </c>
      <c r="V12" s="6271">
        <f t="shared" si="12"/>
        <v>148.24</v>
      </c>
      <c r="W12" s="5901">
        <f t="shared" si="13"/>
        <v>363.47</v>
      </c>
      <c r="X12" s="2840">
        <v>69.14</v>
      </c>
      <c r="Y12" s="5901">
        <f t="shared" si="14"/>
        <v>432.61</v>
      </c>
      <c r="Z12" s="2840">
        <v>39.64</v>
      </c>
      <c r="AA12" s="5901">
        <f t="shared" si="15"/>
        <v>472.25</v>
      </c>
      <c r="AB12" s="2840">
        <v>49.34</v>
      </c>
      <c r="AC12" s="6271">
        <f t="shared" si="16"/>
        <v>158.12</v>
      </c>
      <c r="AD12" s="6271">
        <f t="shared" si="3"/>
        <v>306.36</v>
      </c>
      <c r="AE12" s="7072">
        <f t="shared" si="17"/>
        <v>521.59</v>
      </c>
    </row>
    <row r="13" spans="3:31" s="5727" customFormat="1" x14ac:dyDescent="0.2">
      <c r="C13" s="1609" t="s">
        <v>2089</v>
      </c>
      <c r="D13" s="3835" t="s">
        <v>863</v>
      </c>
      <c r="E13" s="1675">
        <v>0</v>
      </c>
      <c r="F13" s="1675">
        <v>0</v>
      </c>
      <c r="G13" s="5901">
        <f t="shared" si="4"/>
        <v>0</v>
      </c>
      <c r="H13" s="2840">
        <v>88.359999999999985</v>
      </c>
      <c r="I13" s="6271">
        <f t="shared" si="5"/>
        <v>88.359999999999985</v>
      </c>
      <c r="J13" s="2840">
        <v>19.649999999999999</v>
      </c>
      <c r="K13" s="5901">
        <f t="shared" si="6"/>
        <v>108.00999999999999</v>
      </c>
      <c r="L13" s="2840">
        <v>9.7899999999999991</v>
      </c>
      <c r="M13" s="5901">
        <f t="shared" si="7"/>
        <v>117.79999999999998</v>
      </c>
      <c r="N13" s="2840">
        <v>29.67</v>
      </c>
      <c r="O13" s="6271">
        <f t="shared" si="8"/>
        <v>59.11</v>
      </c>
      <c r="P13" s="7072">
        <f t="shared" si="9"/>
        <v>147.46999999999997</v>
      </c>
      <c r="Q13" s="2840">
        <v>69.040000000000006</v>
      </c>
      <c r="R13" s="5901">
        <f t="shared" si="10"/>
        <v>216.51</v>
      </c>
      <c r="S13" s="2840">
        <v>19.869999999999997</v>
      </c>
      <c r="T13" s="5901">
        <f t="shared" si="11"/>
        <v>236.38</v>
      </c>
      <c r="U13" s="2840">
        <v>69.12</v>
      </c>
      <c r="V13" s="6271">
        <f t="shared" si="12"/>
        <v>158.03</v>
      </c>
      <c r="W13" s="5901">
        <f t="shared" si="13"/>
        <v>305.5</v>
      </c>
      <c r="X13" s="2840">
        <v>39.33</v>
      </c>
      <c r="Y13" s="5901">
        <f t="shared" si="14"/>
        <v>344.83</v>
      </c>
      <c r="Z13" s="2840">
        <v>59.15</v>
      </c>
      <c r="AA13" s="5901">
        <f t="shared" si="15"/>
        <v>403.97999999999996</v>
      </c>
      <c r="AB13" s="2840">
        <v>19.440000000000001</v>
      </c>
      <c r="AC13" s="6271">
        <f t="shared" si="16"/>
        <v>117.91999999999999</v>
      </c>
      <c r="AD13" s="6271">
        <f t="shared" si="3"/>
        <v>275.95</v>
      </c>
      <c r="AE13" s="7072">
        <f t="shared" si="17"/>
        <v>423.41999999999996</v>
      </c>
    </row>
    <row r="14" spans="3:31" x14ac:dyDescent="0.2">
      <c r="C14" s="1609" t="s">
        <v>1889</v>
      </c>
      <c r="D14" s="3835" t="s">
        <v>863</v>
      </c>
      <c r="E14" s="1675">
        <v>2951.9100000000008</v>
      </c>
      <c r="F14" s="1675">
        <v>4722.0300000000016</v>
      </c>
      <c r="G14" s="5901">
        <f t="shared" si="4"/>
        <v>7673.9400000000023</v>
      </c>
      <c r="H14" s="2840">
        <v>4246.2199999999993</v>
      </c>
      <c r="I14" s="6271">
        <f t="shared" si="5"/>
        <v>11920.160000000002</v>
      </c>
      <c r="J14" s="2840">
        <v>4469.45</v>
      </c>
      <c r="K14" s="5901">
        <f t="shared" si="6"/>
        <v>16389.61</v>
      </c>
      <c r="L14" s="2840">
        <v>2964.3100000000018</v>
      </c>
      <c r="M14" s="5901">
        <f t="shared" si="7"/>
        <v>19353.920000000002</v>
      </c>
      <c r="N14" s="2840">
        <v>5277.0299999999988</v>
      </c>
      <c r="O14" s="6271">
        <f t="shared" si="8"/>
        <v>12710.79</v>
      </c>
      <c r="P14" s="7072">
        <f t="shared" si="9"/>
        <v>24630.95</v>
      </c>
      <c r="Q14" s="2840">
        <v>4013.5600000000018</v>
      </c>
      <c r="R14" s="5901">
        <f t="shared" si="10"/>
        <v>28644.510000000002</v>
      </c>
      <c r="S14" s="2840">
        <v>3334.9899999999971</v>
      </c>
      <c r="T14" s="5901">
        <f t="shared" si="11"/>
        <v>31979.5</v>
      </c>
      <c r="U14" s="2840">
        <v>4865.0100000000011</v>
      </c>
      <c r="V14" s="6271">
        <f t="shared" si="12"/>
        <v>12213.560000000001</v>
      </c>
      <c r="W14" s="5901">
        <f t="shared" si="13"/>
        <v>36844.51</v>
      </c>
      <c r="X14" s="2840">
        <v>4114.5599999999995</v>
      </c>
      <c r="Y14" s="5901">
        <f t="shared" si="14"/>
        <v>40959.07</v>
      </c>
      <c r="Z14" s="2840">
        <v>4072.9</v>
      </c>
      <c r="AA14" s="5901">
        <f t="shared" si="15"/>
        <v>45031.97</v>
      </c>
      <c r="AB14" s="2840">
        <v>4389.55</v>
      </c>
      <c r="AC14" s="6271">
        <f t="shared" si="16"/>
        <v>12577.009999999998</v>
      </c>
      <c r="AD14" s="6271">
        <f t="shared" si="3"/>
        <v>24790.57</v>
      </c>
      <c r="AE14" s="7072">
        <f t="shared" si="17"/>
        <v>49421.520000000004</v>
      </c>
    </row>
    <row r="15" spans="3:31" s="5985" customFormat="1" x14ac:dyDescent="0.2">
      <c r="C15" s="1609" t="s">
        <v>2090</v>
      </c>
      <c r="D15" s="3835" t="s">
        <v>863</v>
      </c>
      <c r="E15" s="1646">
        <v>0</v>
      </c>
      <c r="F15" s="1646">
        <v>0</v>
      </c>
      <c r="G15" s="5901">
        <f t="shared" si="4"/>
        <v>0</v>
      </c>
      <c r="H15" s="1646">
        <v>9.6999999999999993</v>
      </c>
      <c r="I15" s="6271">
        <f t="shared" si="5"/>
        <v>9.6999999999999993</v>
      </c>
      <c r="J15" s="2840">
        <v>0</v>
      </c>
      <c r="K15" s="5901">
        <f t="shared" si="6"/>
        <v>9.6999999999999993</v>
      </c>
      <c r="L15" s="2840">
        <v>0</v>
      </c>
      <c r="M15" s="5901">
        <f t="shared" si="7"/>
        <v>9.6999999999999993</v>
      </c>
      <c r="N15" s="2840">
        <v>9.94</v>
      </c>
      <c r="O15" s="6271">
        <f t="shared" si="8"/>
        <v>9.94</v>
      </c>
      <c r="P15" s="7072">
        <f t="shared" si="9"/>
        <v>19.64</v>
      </c>
      <c r="Q15" s="2840">
        <v>0</v>
      </c>
      <c r="R15" s="5901">
        <f t="shared" si="10"/>
        <v>19.64</v>
      </c>
      <c r="S15" s="2840">
        <v>9.68</v>
      </c>
      <c r="T15" s="5901">
        <f t="shared" si="11"/>
        <v>29.32</v>
      </c>
      <c r="U15" s="2840">
        <v>0</v>
      </c>
      <c r="V15" s="6271">
        <f t="shared" si="12"/>
        <v>9.68</v>
      </c>
      <c r="W15" s="5901">
        <f t="shared" si="13"/>
        <v>29.32</v>
      </c>
      <c r="X15" s="2840">
        <v>9.76</v>
      </c>
      <c r="Y15" s="5901">
        <f t="shared" si="14"/>
        <v>39.08</v>
      </c>
      <c r="Z15" s="2840">
        <v>9.73</v>
      </c>
      <c r="AA15" s="5901">
        <f t="shared" si="15"/>
        <v>48.81</v>
      </c>
      <c r="AB15" s="2840">
        <v>0</v>
      </c>
      <c r="AC15" s="6271">
        <f t="shared" si="16"/>
        <v>19.490000000000002</v>
      </c>
      <c r="AD15" s="6271">
        <f t="shared" si="3"/>
        <v>29.17</v>
      </c>
      <c r="AE15" s="7072">
        <f t="shared" si="17"/>
        <v>48.81</v>
      </c>
    </row>
    <row r="16" spans="3:31" s="5727" customFormat="1" x14ac:dyDescent="0.2">
      <c r="C16" s="1609" t="s">
        <v>2139</v>
      </c>
      <c r="D16" s="3835" t="s">
        <v>863</v>
      </c>
      <c r="E16" s="1646">
        <v>0</v>
      </c>
      <c r="F16" s="1646">
        <v>0</v>
      </c>
      <c r="G16" s="5901">
        <f t="shared" si="4"/>
        <v>0</v>
      </c>
      <c r="H16" s="2840">
        <v>0</v>
      </c>
      <c r="I16" s="6271">
        <f t="shared" si="5"/>
        <v>0</v>
      </c>
      <c r="J16" s="1646">
        <v>14.36</v>
      </c>
      <c r="K16" s="5901">
        <f t="shared" si="6"/>
        <v>14.36</v>
      </c>
      <c r="L16" s="2840">
        <v>0</v>
      </c>
      <c r="M16" s="5901">
        <f t="shared" si="7"/>
        <v>14.36</v>
      </c>
      <c r="N16" s="2840">
        <v>0</v>
      </c>
      <c r="O16" s="6271">
        <f t="shared" si="8"/>
        <v>14.36</v>
      </c>
      <c r="P16" s="7072">
        <f t="shared" si="9"/>
        <v>14.36</v>
      </c>
      <c r="Q16" s="2840">
        <v>12.89</v>
      </c>
      <c r="R16" s="5901">
        <f t="shared" si="10"/>
        <v>27.25</v>
      </c>
      <c r="S16" s="2840">
        <v>0</v>
      </c>
      <c r="T16" s="5901">
        <f t="shared" si="11"/>
        <v>27.25</v>
      </c>
      <c r="U16" s="2840">
        <v>14.83</v>
      </c>
      <c r="V16" s="6271">
        <f t="shared" si="12"/>
        <v>27.72</v>
      </c>
      <c r="W16" s="5901">
        <f t="shared" si="13"/>
        <v>42.08</v>
      </c>
      <c r="X16" s="2840">
        <v>12.28</v>
      </c>
      <c r="Y16" s="5901">
        <f t="shared" si="14"/>
        <v>54.36</v>
      </c>
      <c r="Z16" s="2840">
        <v>14.67</v>
      </c>
      <c r="AA16" s="5901">
        <f t="shared" si="15"/>
        <v>69.03</v>
      </c>
      <c r="AB16" s="2840">
        <v>13.99</v>
      </c>
      <c r="AC16" s="6271">
        <f t="shared" si="16"/>
        <v>40.94</v>
      </c>
      <c r="AD16" s="6271">
        <f t="shared" si="3"/>
        <v>68.66</v>
      </c>
      <c r="AE16" s="7072">
        <f t="shared" si="17"/>
        <v>83.02</v>
      </c>
    </row>
    <row r="17" spans="3:31" s="5985" customFormat="1" x14ac:dyDescent="0.2">
      <c r="C17" s="1609" t="s">
        <v>2091</v>
      </c>
      <c r="D17" s="3835" t="s">
        <v>863</v>
      </c>
      <c r="E17" s="1646">
        <v>0</v>
      </c>
      <c r="F17" s="1646">
        <v>0</v>
      </c>
      <c r="G17" s="5901">
        <f t="shared" si="4"/>
        <v>0</v>
      </c>
      <c r="H17" s="1646">
        <v>9.65</v>
      </c>
      <c r="I17" s="6271">
        <f t="shared" si="5"/>
        <v>9.65</v>
      </c>
      <c r="J17" s="2840">
        <v>9.76</v>
      </c>
      <c r="K17" s="5901">
        <f t="shared" si="6"/>
        <v>19.41</v>
      </c>
      <c r="L17" s="2840">
        <v>0</v>
      </c>
      <c r="M17" s="5901">
        <f t="shared" si="7"/>
        <v>19.41</v>
      </c>
      <c r="N17" s="2840">
        <v>0</v>
      </c>
      <c r="O17" s="6271">
        <f t="shared" si="8"/>
        <v>9.76</v>
      </c>
      <c r="P17" s="7072">
        <f t="shared" si="9"/>
        <v>19.41</v>
      </c>
      <c r="Q17" s="2840">
        <v>0</v>
      </c>
      <c r="R17" s="5901">
        <f t="shared" si="10"/>
        <v>19.41</v>
      </c>
      <c r="S17" s="2840">
        <v>9.82</v>
      </c>
      <c r="T17" s="5901">
        <f t="shared" si="11"/>
        <v>29.23</v>
      </c>
      <c r="U17" s="2840">
        <v>0</v>
      </c>
      <c r="V17" s="6271">
        <f t="shared" si="12"/>
        <v>9.82</v>
      </c>
      <c r="W17" s="5901">
        <f t="shared" si="13"/>
        <v>29.23</v>
      </c>
      <c r="X17" s="2840">
        <v>9.8000000000000007</v>
      </c>
      <c r="Y17" s="5901">
        <f t="shared" si="14"/>
        <v>39.03</v>
      </c>
      <c r="Z17" s="2840">
        <v>0</v>
      </c>
      <c r="AA17" s="5901">
        <f t="shared" si="15"/>
        <v>39.03</v>
      </c>
      <c r="AB17" s="2840">
        <v>9.75</v>
      </c>
      <c r="AC17" s="6271">
        <f t="shared" si="16"/>
        <v>19.55</v>
      </c>
      <c r="AD17" s="6271">
        <f t="shared" si="3"/>
        <v>29.37</v>
      </c>
      <c r="AE17" s="7072">
        <f t="shared" si="17"/>
        <v>48.78</v>
      </c>
    </row>
    <row r="18" spans="3:31" s="5727" customFormat="1" x14ac:dyDescent="0.2">
      <c r="C18" s="1609" t="s">
        <v>2140</v>
      </c>
      <c r="D18" s="3835" t="s">
        <v>863</v>
      </c>
      <c r="E18" s="1646">
        <v>0</v>
      </c>
      <c r="F18" s="1646">
        <v>0</v>
      </c>
      <c r="G18" s="5901">
        <f t="shared" si="4"/>
        <v>0</v>
      </c>
      <c r="H18" s="2840">
        <v>0</v>
      </c>
      <c r="I18" s="6271">
        <f t="shared" si="5"/>
        <v>0</v>
      </c>
      <c r="J18" s="2840">
        <v>14.96</v>
      </c>
      <c r="K18" s="5901">
        <f t="shared" si="6"/>
        <v>14.96</v>
      </c>
      <c r="L18" s="2840">
        <v>14.91</v>
      </c>
      <c r="M18" s="5901">
        <f t="shared" si="7"/>
        <v>29.87</v>
      </c>
      <c r="N18" s="2840">
        <v>0</v>
      </c>
      <c r="O18" s="6271">
        <f t="shared" si="8"/>
        <v>29.87</v>
      </c>
      <c r="P18" s="7072">
        <f t="shared" si="9"/>
        <v>29.87</v>
      </c>
      <c r="Q18" s="2840">
        <v>14.91</v>
      </c>
      <c r="R18" s="5901">
        <f t="shared" si="10"/>
        <v>44.78</v>
      </c>
      <c r="S18" s="2840">
        <v>0</v>
      </c>
      <c r="T18" s="5901">
        <f t="shared" si="11"/>
        <v>44.78</v>
      </c>
      <c r="U18" s="2840">
        <v>14.93</v>
      </c>
      <c r="V18" s="6271">
        <f t="shared" si="12"/>
        <v>29.84</v>
      </c>
      <c r="W18" s="5901">
        <f t="shared" si="13"/>
        <v>59.71</v>
      </c>
      <c r="X18" s="2840">
        <v>0</v>
      </c>
      <c r="Y18" s="5901">
        <f t="shared" si="14"/>
        <v>59.71</v>
      </c>
      <c r="Z18" s="2840">
        <v>0</v>
      </c>
      <c r="AA18" s="5901">
        <f t="shared" si="15"/>
        <v>59.71</v>
      </c>
      <c r="AB18" s="2840">
        <v>14.59</v>
      </c>
      <c r="AC18" s="6271">
        <f t="shared" si="16"/>
        <v>14.59</v>
      </c>
      <c r="AD18" s="6271">
        <f t="shared" si="3"/>
        <v>44.43</v>
      </c>
      <c r="AE18" s="7072">
        <f t="shared" si="17"/>
        <v>74.3</v>
      </c>
    </row>
    <row r="19" spans="3:31" s="3380" customFormat="1" x14ac:dyDescent="0.2">
      <c r="C19" s="6378" t="s">
        <v>1941</v>
      </c>
      <c r="D19" s="4419"/>
      <c r="E19" s="3184"/>
      <c r="F19" s="3184"/>
      <c r="G19" s="5910"/>
      <c r="H19" s="6371"/>
      <c r="I19" s="5910"/>
      <c r="J19" s="6371"/>
      <c r="K19" s="5910"/>
      <c r="L19" s="6371"/>
      <c r="M19" s="5910"/>
      <c r="N19" s="6371"/>
      <c r="O19" s="5910"/>
      <c r="P19" s="5910"/>
      <c r="Q19" s="6371"/>
      <c r="R19" s="5910"/>
      <c r="S19" s="6371"/>
      <c r="T19" s="5910"/>
      <c r="U19" s="6371"/>
      <c r="V19" s="5910"/>
      <c r="W19" s="5910"/>
      <c r="X19" s="6371"/>
      <c r="Y19" s="5910"/>
      <c r="Z19" s="6371"/>
      <c r="AA19" s="5910"/>
      <c r="AB19" s="6371"/>
      <c r="AC19" s="5910"/>
      <c r="AD19" s="5910">
        <f t="shared" si="3"/>
        <v>0</v>
      </c>
      <c r="AE19" s="5910"/>
    </row>
    <row r="20" spans="3:31" s="5438" customFormat="1" x14ac:dyDescent="0.2">
      <c r="C20" s="1609" t="s">
        <v>1942</v>
      </c>
      <c r="D20" s="3835" t="s">
        <v>863</v>
      </c>
      <c r="E20" s="1675">
        <v>0</v>
      </c>
      <c r="F20" s="1675">
        <v>1998.9000000000005</v>
      </c>
      <c r="G20" s="5901">
        <f>+E20+F20</f>
        <v>1998.9000000000005</v>
      </c>
      <c r="H20" s="2840">
        <v>998.89</v>
      </c>
      <c r="I20" s="6271">
        <f>+G20+H20</f>
        <v>2997.7900000000004</v>
      </c>
      <c r="J20" s="2840">
        <v>77.59</v>
      </c>
      <c r="K20" s="5901">
        <f>+I20+J20</f>
        <v>3075.3800000000006</v>
      </c>
      <c r="L20" s="2840">
        <v>2190.2699999999995</v>
      </c>
      <c r="M20" s="5901">
        <f>+K20+L20</f>
        <v>5265.65</v>
      </c>
      <c r="N20" s="2840">
        <v>550.91000000000008</v>
      </c>
      <c r="O20" s="6271">
        <f t="shared" si="0"/>
        <v>2818.7699999999995</v>
      </c>
      <c r="P20" s="7072">
        <f>+M20+N20</f>
        <v>5816.5599999999995</v>
      </c>
      <c r="Q20" s="2840">
        <v>171.89</v>
      </c>
      <c r="R20" s="5901">
        <f>+P20+Q20</f>
        <v>5988.45</v>
      </c>
      <c r="S20" s="2840">
        <v>605.16</v>
      </c>
      <c r="T20" s="5901">
        <f>+R20+S20</f>
        <v>6593.61</v>
      </c>
      <c r="U20" s="2840">
        <v>2390.8699999999994</v>
      </c>
      <c r="V20" s="6271">
        <f t="shared" ref="V20" si="18">+Q20+S20+U20</f>
        <v>3167.9199999999992</v>
      </c>
      <c r="W20" s="5901">
        <f>+T20+U20</f>
        <v>8984.48</v>
      </c>
      <c r="X20" s="2840">
        <v>324.54000000000002</v>
      </c>
      <c r="Y20" s="5901">
        <f>+W20+X20</f>
        <v>9309.02</v>
      </c>
      <c r="Z20" s="2840">
        <v>868.01</v>
      </c>
      <c r="AA20" s="5901">
        <f>+Y20+Z20</f>
        <v>10177.030000000001</v>
      </c>
      <c r="AB20" s="2840">
        <v>1324.44</v>
      </c>
      <c r="AC20" s="6271">
        <f t="shared" ref="AC20" si="19">+X20+Z20+AB20</f>
        <v>2516.9899999999998</v>
      </c>
      <c r="AD20" s="6271">
        <f t="shared" si="3"/>
        <v>5684.9099999999989</v>
      </c>
      <c r="AE20" s="7072">
        <f>+AA20+AB20</f>
        <v>11501.470000000001</v>
      </c>
    </row>
    <row r="21" spans="3:31" s="3380" customFormat="1" x14ac:dyDescent="0.2">
      <c r="C21" s="6378" t="s">
        <v>1775</v>
      </c>
      <c r="D21" s="4419"/>
      <c r="E21" s="3184"/>
      <c r="F21" s="3184"/>
      <c r="G21" s="5910"/>
      <c r="H21" s="6371"/>
      <c r="I21" s="5910"/>
      <c r="J21" s="6371"/>
      <c r="K21" s="5910"/>
      <c r="L21" s="6371"/>
      <c r="M21" s="5910"/>
      <c r="N21" s="6371"/>
      <c r="O21" s="5910"/>
      <c r="P21" s="5910"/>
      <c r="Q21" s="6371"/>
      <c r="R21" s="5910"/>
      <c r="S21" s="6371"/>
      <c r="T21" s="5910"/>
      <c r="U21" s="6371"/>
      <c r="V21" s="5910"/>
      <c r="W21" s="5910"/>
      <c r="X21" s="6371"/>
      <c r="Y21" s="5910"/>
      <c r="Z21" s="6371"/>
      <c r="AA21" s="5910"/>
      <c r="AB21" s="6371"/>
      <c r="AC21" s="5910"/>
      <c r="AD21" s="5910">
        <f t="shared" si="3"/>
        <v>0</v>
      </c>
      <c r="AE21" s="5910"/>
    </row>
    <row r="22" spans="3:31" s="5985" customFormat="1" x14ac:dyDescent="0.2">
      <c r="C22" s="1609" t="s">
        <v>2142</v>
      </c>
      <c r="D22" s="3835" t="s">
        <v>863</v>
      </c>
      <c r="E22" s="1675">
        <v>0</v>
      </c>
      <c r="F22" s="1675">
        <v>0</v>
      </c>
      <c r="G22" s="5901">
        <f t="shared" ref="G22:G30" si="20">+E22+F22</f>
        <v>0</v>
      </c>
      <c r="H22" s="2840">
        <v>0</v>
      </c>
      <c r="I22" s="6271">
        <f t="shared" ref="I22:I30" si="21">+G22+H22</f>
        <v>0</v>
      </c>
      <c r="J22" s="2840">
        <v>216.38000000000002</v>
      </c>
      <c r="K22" s="5901">
        <f t="shared" ref="K22:K30" si="22">+I22+J22</f>
        <v>216.38000000000002</v>
      </c>
      <c r="L22" s="2840">
        <v>282.37000000000006</v>
      </c>
      <c r="M22" s="5901">
        <f t="shared" ref="M22:M30" si="23">+K22+L22</f>
        <v>498.75000000000011</v>
      </c>
      <c r="N22" s="2840">
        <v>0</v>
      </c>
      <c r="O22" s="6271">
        <f t="shared" ref="O22:O30" si="24">+J22+L22+N22</f>
        <v>498.75000000000011</v>
      </c>
      <c r="P22" s="7072">
        <f t="shared" ref="P22:P30" si="25">+M22+N22</f>
        <v>498.75000000000011</v>
      </c>
      <c r="Q22" s="2840">
        <v>0</v>
      </c>
      <c r="R22" s="5901">
        <f t="shared" ref="R22:R30" si="26">+P22+Q22</f>
        <v>498.75000000000011</v>
      </c>
      <c r="S22" s="2840">
        <v>0</v>
      </c>
      <c r="T22" s="5901">
        <f t="shared" ref="T22:T30" si="27">+R22+S22</f>
        <v>498.75000000000011</v>
      </c>
      <c r="U22" s="2840">
        <v>0</v>
      </c>
      <c r="V22" s="6271">
        <f t="shared" ref="V22:V30" si="28">+Q22+S22+U22</f>
        <v>0</v>
      </c>
      <c r="W22" s="5901">
        <f t="shared" ref="W22:W30" si="29">+T22+U22</f>
        <v>498.75000000000011</v>
      </c>
      <c r="X22" s="2840">
        <v>176.48000000000002</v>
      </c>
      <c r="Y22" s="5901">
        <f t="shared" ref="Y22:Y30" si="30">+W22+X22</f>
        <v>675.23000000000013</v>
      </c>
      <c r="Z22" s="2840">
        <v>0</v>
      </c>
      <c r="AA22" s="5901">
        <f t="shared" ref="AA22:AA27" si="31">+Y22+Z22</f>
        <v>675.23000000000013</v>
      </c>
      <c r="AB22" s="2840"/>
      <c r="AC22" s="6271">
        <f t="shared" ref="AC22:AC25" si="32">+X22+Z22+AB22</f>
        <v>176.48000000000002</v>
      </c>
      <c r="AD22" s="6271">
        <f t="shared" si="3"/>
        <v>176.48000000000002</v>
      </c>
      <c r="AE22" s="7072">
        <f t="shared" ref="AE22:AE25" si="33">+AA22+AB22</f>
        <v>675.23000000000013</v>
      </c>
    </row>
    <row r="23" spans="3:31" s="6435" customFormat="1" x14ac:dyDescent="0.2">
      <c r="C23" s="1609" t="s">
        <v>2212</v>
      </c>
      <c r="D23" s="3835" t="s">
        <v>863</v>
      </c>
      <c r="E23" s="1675">
        <v>0</v>
      </c>
      <c r="F23" s="1675">
        <v>0</v>
      </c>
      <c r="G23" s="5901">
        <f t="shared" si="20"/>
        <v>0</v>
      </c>
      <c r="H23" s="2840">
        <v>0</v>
      </c>
      <c r="I23" s="6271">
        <f t="shared" si="21"/>
        <v>0</v>
      </c>
      <c r="J23" s="2840">
        <v>0</v>
      </c>
      <c r="K23" s="5901">
        <f t="shared" si="22"/>
        <v>0</v>
      </c>
      <c r="L23" s="2840">
        <v>79.8</v>
      </c>
      <c r="M23" s="5901">
        <f t="shared" si="23"/>
        <v>79.8</v>
      </c>
      <c r="N23" s="2840">
        <v>19</v>
      </c>
      <c r="O23" s="6271">
        <f t="shared" si="24"/>
        <v>98.8</v>
      </c>
      <c r="P23" s="7072">
        <f t="shared" si="25"/>
        <v>98.8</v>
      </c>
      <c r="Q23" s="2840">
        <v>0</v>
      </c>
      <c r="R23" s="5901">
        <f t="shared" si="26"/>
        <v>98.8</v>
      </c>
      <c r="S23" s="2840">
        <v>61.769999999999996</v>
      </c>
      <c r="T23" s="5901">
        <f t="shared" si="27"/>
        <v>160.57</v>
      </c>
      <c r="U23" s="2840">
        <v>115.85000000000001</v>
      </c>
      <c r="V23" s="6271">
        <f t="shared" si="28"/>
        <v>177.62</v>
      </c>
      <c r="W23" s="5901">
        <f t="shared" si="29"/>
        <v>276.42</v>
      </c>
      <c r="X23" s="2840">
        <v>3987.0700000000011</v>
      </c>
      <c r="Y23" s="5901">
        <f t="shared" si="30"/>
        <v>4263.4900000000007</v>
      </c>
      <c r="Z23" s="2840">
        <v>13.12</v>
      </c>
      <c r="AA23" s="5901">
        <f t="shared" si="31"/>
        <v>4276.6100000000006</v>
      </c>
      <c r="AB23" s="2840">
        <v>57.5</v>
      </c>
      <c r="AC23" s="6271">
        <f t="shared" si="32"/>
        <v>4057.690000000001</v>
      </c>
      <c r="AD23" s="6271">
        <f t="shared" si="3"/>
        <v>4235.3100000000013</v>
      </c>
      <c r="AE23" s="7072">
        <f t="shared" si="33"/>
        <v>4334.1100000000006</v>
      </c>
    </row>
    <row r="24" spans="3:31" s="5985" customFormat="1" x14ac:dyDescent="0.2">
      <c r="C24" s="1609" t="s">
        <v>2143</v>
      </c>
      <c r="D24" s="3835" t="s">
        <v>863</v>
      </c>
      <c r="E24" s="1675">
        <v>0</v>
      </c>
      <c r="F24" s="1675">
        <v>0</v>
      </c>
      <c r="G24" s="5901">
        <f t="shared" si="20"/>
        <v>0</v>
      </c>
      <c r="H24" s="2840">
        <v>0</v>
      </c>
      <c r="I24" s="6271">
        <f t="shared" si="21"/>
        <v>0</v>
      </c>
      <c r="J24" s="2840">
        <v>28.64</v>
      </c>
      <c r="K24" s="5901">
        <f t="shared" si="22"/>
        <v>28.64</v>
      </c>
      <c r="L24" s="2840">
        <v>20.5</v>
      </c>
      <c r="M24" s="5901">
        <f t="shared" si="23"/>
        <v>49.14</v>
      </c>
      <c r="N24" s="2840">
        <v>101.59</v>
      </c>
      <c r="O24" s="6271">
        <f t="shared" si="24"/>
        <v>150.73000000000002</v>
      </c>
      <c r="P24" s="7072">
        <f t="shared" si="25"/>
        <v>150.73000000000002</v>
      </c>
      <c r="Q24" s="2840">
        <v>0</v>
      </c>
      <c r="R24" s="5901">
        <f t="shared" si="26"/>
        <v>150.73000000000002</v>
      </c>
      <c r="S24" s="2840">
        <v>1396.0399999999997</v>
      </c>
      <c r="T24" s="5901">
        <f t="shared" si="27"/>
        <v>1546.7699999999998</v>
      </c>
      <c r="U24" s="2840">
        <v>2832.650000000001</v>
      </c>
      <c r="V24" s="6271">
        <f t="shared" si="28"/>
        <v>4228.6900000000005</v>
      </c>
      <c r="W24" s="5901">
        <f t="shared" si="29"/>
        <v>4379.420000000001</v>
      </c>
      <c r="X24" s="2840">
        <v>1886.76</v>
      </c>
      <c r="Y24" s="5901">
        <f t="shared" si="30"/>
        <v>6266.1800000000012</v>
      </c>
      <c r="Z24" s="2840">
        <v>3773.02</v>
      </c>
      <c r="AA24" s="5901">
        <f t="shared" si="31"/>
        <v>10039.200000000001</v>
      </c>
      <c r="AB24" s="2840">
        <v>3116.47</v>
      </c>
      <c r="AC24" s="6271">
        <f t="shared" si="32"/>
        <v>8776.25</v>
      </c>
      <c r="AD24" s="6271">
        <f t="shared" si="3"/>
        <v>13004.94</v>
      </c>
      <c r="AE24" s="7072">
        <f t="shared" si="33"/>
        <v>13155.67</v>
      </c>
    </row>
    <row r="25" spans="3:31" s="7129" customFormat="1" x14ac:dyDescent="0.2">
      <c r="C25" s="1609" t="s">
        <v>2248</v>
      </c>
      <c r="D25" s="3835" t="s">
        <v>863</v>
      </c>
      <c r="E25" s="1675">
        <v>0</v>
      </c>
      <c r="F25" s="1675">
        <v>0</v>
      </c>
      <c r="G25" s="5901">
        <f t="shared" si="20"/>
        <v>0</v>
      </c>
      <c r="H25" s="2840">
        <v>0</v>
      </c>
      <c r="I25" s="6271">
        <f t="shared" si="21"/>
        <v>0</v>
      </c>
      <c r="J25" s="2840">
        <v>0</v>
      </c>
      <c r="K25" s="5901">
        <f t="shared" si="22"/>
        <v>0</v>
      </c>
      <c r="L25" s="2840">
        <v>0</v>
      </c>
      <c r="M25" s="5901">
        <f t="shared" si="23"/>
        <v>0</v>
      </c>
      <c r="N25" s="2840">
        <v>54.86</v>
      </c>
      <c r="O25" s="6271">
        <f t="shared" si="24"/>
        <v>54.86</v>
      </c>
      <c r="P25" s="7072">
        <f t="shared" si="25"/>
        <v>54.86</v>
      </c>
      <c r="Q25" s="2840">
        <v>880.08999999999992</v>
      </c>
      <c r="R25" s="5901">
        <f t="shared" si="26"/>
        <v>934.94999999999993</v>
      </c>
      <c r="S25" s="2840">
        <v>962.61999999999989</v>
      </c>
      <c r="T25" s="5901">
        <f t="shared" si="27"/>
        <v>1897.5699999999997</v>
      </c>
      <c r="U25" s="2840">
        <v>1465.79</v>
      </c>
      <c r="V25" s="6271">
        <f t="shared" si="28"/>
        <v>3308.5</v>
      </c>
      <c r="W25" s="5901">
        <f t="shared" si="29"/>
        <v>3363.3599999999997</v>
      </c>
      <c r="X25" s="2840">
        <v>74.42</v>
      </c>
      <c r="Y25" s="5901">
        <f t="shared" si="30"/>
        <v>3437.7799999999997</v>
      </c>
      <c r="Z25" s="2840">
        <v>1720.11</v>
      </c>
      <c r="AA25" s="5901">
        <f t="shared" si="31"/>
        <v>5157.8899999999994</v>
      </c>
      <c r="AB25" s="2840">
        <v>1339.68</v>
      </c>
      <c r="AC25" s="6271">
        <f t="shared" si="32"/>
        <v>3134.21</v>
      </c>
      <c r="AD25" s="6271">
        <f t="shared" si="3"/>
        <v>6442.71</v>
      </c>
      <c r="AE25" s="7072">
        <f t="shared" si="33"/>
        <v>6497.57</v>
      </c>
    </row>
    <row r="26" spans="3:31" s="8212" customFormat="1" x14ac:dyDescent="0.2">
      <c r="C26" s="1609" t="s">
        <v>2588</v>
      </c>
      <c r="D26" s="3835"/>
      <c r="E26" s="1675"/>
      <c r="F26" s="1675"/>
      <c r="G26" s="5901"/>
      <c r="H26" s="2840"/>
      <c r="I26" s="6271"/>
      <c r="J26" s="2840"/>
      <c r="K26" s="5901"/>
      <c r="L26" s="2840"/>
      <c r="M26" s="5901"/>
      <c r="N26" s="2840"/>
      <c r="O26" s="6271"/>
      <c r="P26" s="7072"/>
      <c r="Q26" s="2840"/>
      <c r="R26" s="5901"/>
      <c r="S26" s="2840"/>
      <c r="T26" s="5901"/>
      <c r="U26" s="2840"/>
      <c r="V26" s="6271"/>
      <c r="W26" s="5901"/>
      <c r="X26" s="2840"/>
      <c r="Y26" s="5901"/>
      <c r="Z26" s="2840">
        <v>47.34</v>
      </c>
      <c r="AA26" s="5901">
        <f t="shared" si="31"/>
        <v>47.34</v>
      </c>
      <c r="AB26" s="2840">
        <v>23.01</v>
      </c>
      <c r="AC26" s="6271"/>
      <c r="AD26" s="6271">
        <f t="shared" si="3"/>
        <v>0</v>
      </c>
      <c r="AE26" s="7072"/>
    </row>
    <row r="27" spans="3:31" s="8125" customFormat="1" x14ac:dyDescent="0.2">
      <c r="C27" s="1609" t="s">
        <v>2566</v>
      </c>
      <c r="D27" s="3835" t="s">
        <v>863</v>
      </c>
      <c r="E27" s="1675"/>
      <c r="F27" s="1675"/>
      <c r="G27" s="5901"/>
      <c r="H27" s="2840"/>
      <c r="I27" s="6271"/>
      <c r="J27" s="2840"/>
      <c r="K27" s="5901"/>
      <c r="L27" s="2840"/>
      <c r="M27" s="5901"/>
      <c r="N27" s="2840"/>
      <c r="O27" s="6271"/>
      <c r="P27" s="7072"/>
      <c r="Q27" s="2840"/>
      <c r="R27" s="5901"/>
      <c r="S27" s="2840"/>
      <c r="T27" s="5901"/>
      <c r="U27" s="2840"/>
      <c r="V27" s="6271"/>
      <c r="W27" s="5901"/>
      <c r="X27" s="2840"/>
      <c r="Y27" s="5901"/>
      <c r="Z27" s="2840">
        <v>85.86</v>
      </c>
      <c r="AA27" s="5901">
        <f t="shared" si="31"/>
        <v>85.86</v>
      </c>
      <c r="AB27" s="2840">
        <v>85.55</v>
      </c>
      <c r="AC27" s="6271"/>
      <c r="AD27" s="6271">
        <f t="shared" si="3"/>
        <v>0</v>
      </c>
      <c r="AE27" s="7072"/>
    </row>
    <row r="28" spans="3:31" s="5438" customFormat="1" x14ac:dyDescent="0.2">
      <c r="C28" s="1609" t="s">
        <v>1943</v>
      </c>
      <c r="D28" s="3835" t="s">
        <v>863</v>
      </c>
      <c r="E28" s="1675">
        <v>0</v>
      </c>
      <c r="F28" s="1675">
        <v>51.6</v>
      </c>
      <c r="G28" s="5901">
        <f t="shared" si="20"/>
        <v>51.6</v>
      </c>
      <c r="H28" s="2840">
        <v>41.27</v>
      </c>
      <c r="I28" s="6271">
        <f t="shared" si="21"/>
        <v>92.87</v>
      </c>
      <c r="J28" s="2840">
        <v>205.67000000000002</v>
      </c>
      <c r="K28" s="5901">
        <f t="shared" si="22"/>
        <v>298.54000000000002</v>
      </c>
      <c r="L28" s="2840">
        <v>53.06</v>
      </c>
      <c r="M28" s="5901">
        <f t="shared" si="23"/>
        <v>351.6</v>
      </c>
      <c r="N28" s="2840">
        <v>100</v>
      </c>
      <c r="O28" s="6271">
        <f t="shared" si="24"/>
        <v>358.73</v>
      </c>
      <c r="P28" s="7072">
        <f t="shared" si="25"/>
        <v>451.6</v>
      </c>
      <c r="Q28" s="2840">
        <v>0</v>
      </c>
      <c r="R28" s="5901">
        <f t="shared" si="26"/>
        <v>451.6</v>
      </c>
      <c r="S28" s="2840">
        <v>0</v>
      </c>
      <c r="T28" s="5901">
        <f t="shared" si="27"/>
        <v>451.6</v>
      </c>
      <c r="U28" s="2840">
        <v>0</v>
      </c>
      <c r="V28" s="6271">
        <f t="shared" si="28"/>
        <v>0</v>
      </c>
      <c r="W28" s="5901">
        <f t="shared" si="29"/>
        <v>451.6</v>
      </c>
      <c r="X28" s="2840"/>
      <c r="Y28" s="5901">
        <f t="shared" si="30"/>
        <v>451.6</v>
      </c>
      <c r="Z28" s="2840"/>
      <c r="AA28" s="5901">
        <f t="shared" ref="AA28:AA30" si="34">+Y28+Z28</f>
        <v>451.6</v>
      </c>
      <c r="AB28" s="2840"/>
      <c r="AC28" s="6271">
        <f t="shared" ref="AC28:AC30" si="35">+X28+Z28+AB28</f>
        <v>0</v>
      </c>
      <c r="AD28" s="6271">
        <f t="shared" si="3"/>
        <v>0</v>
      </c>
      <c r="AE28" s="7072">
        <f t="shared" ref="AE28:AE30" si="36">+AA28+AB28</f>
        <v>451.6</v>
      </c>
    </row>
    <row r="29" spans="3:31" s="5438" customFormat="1" x14ac:dyDescent="0.2">
      <c r="C29" s="1609" t="s">
        <v>1944</v>
      </c>
      <c r="D29" s="3835" t="s">
        <v>863</v>
      </c>
      <c r="E29" s="1675">
        <v>0</v>
      </c>
      <c r="F29" s="1675">
        <v>108.32000000000001</v>
      </c>
      <c r="G29" s="5901">
        <f t="shared" si="20"/>
        <v>108.32000000000001</v>
      </c>
      <c r="H29" s="2840">
        <v>129.82</v>
      </c>
      <c r="I29" s="6271">
        <f t="shared" si="21"/>
        <v>238.14</v>
      </c>
      <c r="J29" s="2840">
        <v>21.98</v>
      </c>
      <c r="K29" s="5901">
        <f t="shared" si="22"/>
        <v>260.12</v>
      </c>
      <c r="L29" s="2840">
        <v>0</v>
      </c>
      <c r="M29" s="5901">
        <f t="shared" si="23"/>
        <v>260.12</v>
      </c>
      <c r="N29" s="2840">
        <v>0</v>
      </c>
      <c r="O29" s="6271">
        <f t="shared" si="24"/>
        <v>21.98</v>
      </c>
      <c r="P29" s="7072">
        <f t="shared" si="25"/>
        <v>260.12</v>
      </c>
      <c r="Q29" s="2840">
        <v>0</v>
      </c>
      <c r="R29" s="5901">
        <f t="shared" si="26"/>
        <v>260.12</v>
      </c>
      <c r="S29" s="2840">
        <v>0</v>
      </c>
      <c r="T29" s="5901">
        <f t="shared" si="27"/>
        <v>260.12</v>
      </c>
      <c r="U29" s="2840">
        <v>0</v>
      </c>
      <c r="V29" s="6271">
        <f t="shared" si="28"/>
        <v>0</v>
      </c>
      <c r="W29" s="5901">
        <f t="shared" si="29"/>
        <v>260.12</v>
      </c>
      <c r="X29" s="2840"/>
      <c r="Y29" s="5901">
        <f t="shared" si="30"/>
        <v>260.12</v>
      </c>
      <c r="Z29" s="2840"/>
      <c r="AA29" s="5901">
        <f t="shared" si="34"/>
        <v>260.12</v>
      </c>
      <c r="AB29" s="2840"/>
      <c r="AC29" s="6271">
        <f t="shared" si="35"/>
        <v>0</v>
      </c>
      <c r="AD29" s="6271">
        <f t="shared" si="3"/>
        <v>0</v>
      </c>
      <c r="AE29" s="7072">
        <f t="shared" si="36"/>
        <v>260.12</v>
      </c>
    </row>
    <row r="30" spans="3:31" s="5438" customFormat="1" x14ac:dyDescent="0.2">
      <c r="C30" s="1609" t="s">
        <v>1945</v>
      </c>
      <c r="D30" s="3835" t="s">
        <v>863</v>
      </c>
      <c r="E30" s="1675">
        <v>0</v>
      </c>
      <c r="F30" s="1675">
        <v>690.07999999999981</v>
      </c>
      <c r="G30" s="5901">
        <f t="shared" si="20"/>
        <v>690.07999999999981</v>
      </c>
      <c r="H30" s="2840">
        <v>696.51999999999987</v>
      </c>
      <c r="I30" s="6271">
        <f t="shared" si="21"/>
        <v>1386.5999999999997</v>
      </c>
      <c r="J30" s="2840">
        <v>417.81</v>
      </c>
      <c r="K30" s="5901">
        <f t="shared" si="22"/>
        <v>1804.4099999999996</v>
      </c>
      <c r="L30" s="2840">
        <v>570.0300000000002</v>
      </c>
      <c r="M30" s="5901">
        <f t="shared" si="23"/>
        <v>2374.4399999999996</v>
      </c>
      <c r="N30" s="2840">
        <v>59.95</v>
      </c>
      <c r="O30" s="6271">
        <f t="shared" si="24"/>
        <v>1047.7900000000002</v>
      </c>
      <c r="P30" s="7072">
        <f t="shared" si="25"/>
        <v>2434.3899999999994</v>
      </c>
      <c r="Q30" s="2840">
        <v>138.44999999999999</v>
      </c>
      <c r="R30" s="5901">
        <f t="shared" si="26"/>
        <v>2572.8399999999992</v>
      </c>
      <c r="S30" s="2840">
        <v>0</v>
      </c>
      <c r="T30" s="5901">
        <f t="shared" si="27"/>
        <v>2572.8399999999992</v>
      </c>
      <c r="U30" s="2840">
        <v>0</v>
      </c>
      <c r="V30" s="6271">
        <f t="shared" si="28"/>
        <v>138.44999999999999</v>
      </c>
      <c r="W30" s="5901">
        <f t="shared" si="29"/>
        <v>2572.8399999999992</v>
      </c>
      <c r="X30" s="2840"/>
      <c r="Y30" s="5901">
        <f t="shared" si="30"/>
        <v>2572.8399999999992</v>
      </c>
      <c r="Z30" s="2840"/>
      <c r="AA30" s="5901">
        <f t="shared" si="34"/>
        <v>2572.8399999999992</v>
      </c>
      <c r="AB30" s="2840"/>
      <c r="AC30" s="6271">
        <f t="shared" si="35"/>
        <v>0</v>
      </c>
      <c r="AD30" s="6271">
        <f t="shared" si="3"/>
        <v>138.44999999999999</v>
      </c>
      <c r="AE30" s="7072">
        <f t="shared" si="36"/>
        <v>2572.8399999999992</v>
      </c>
    </row>
    <row r="31" spans="3:31" s="3380" customFormat="1" x14ac:dyDescent="0.2">
      <c r="C31" s="6378" t="s">
        <v>1946</v>
      </c>
      <c r="D31" s="4419"/>
      <c r="E31" s="3184"/>
      <c r="F31" s="3184"/>
      <c r="G31" s="5910"/>
      <c r="H31" s="6371"/>
      <c r="I31" s="5910"/>
      <c r="J31" s="6371"/>
      <c r="K31" s="5910"/>
      <c r="L31" s="6371"/>
      <c r="M31" s="5910"/>
      <c r="N31" s="6371"/>
      <c r="O31" s="5910"/>
      <c r="P31" s="5910"/>
      <c r="Q31" s="6371"/>
      <c r="R31" s="5910"/>
      <c r="S31" s="6371"/>
      <c r="T31" s="5910"/>
      <c r="U31" s="6371"/>
      <c r="V31" s="5910"/>
      <c r="W31" s="5910"/>
      <c r="X31" s="6371"/>
      <c r="Y31" s="5910"/>
      <c r="Z31" s="6371"/>
      <c r="AA31" s="5910"/>
      <c r="AB31" s="6371"/>
      <c r="AC31" s="5910"/>
      <c r="AD31" s="5910">
        <f t="shared" si="3"/>
        <v>0</v>
      </c>
      <c r="AE31" s="5910"/>
    </row>
    <row r="32" spans="3:31" s="3380" customFormat="1" x14ac:dyDescent="0.2">
      <c r="C32" s="1609" t="s">
        <v>2213</v>
      </c>
      <c r="D32" s="3835" t="s">
        <v>863</v>
      </c>
      <c r="E32" s="3184">
        <v>0</v>
      </c>
      <c r="F32" s="3184">
        <v>0</v>
      </c>
      <c r="G32" s="5901">
        <f>+E32+F32</f>
        <v>0</v>
      </c>
      <c r="H32" s="6371">
        <v>0</v>
      </c>
      <c r="I32" s="6271">
        <f>+G32+H32</f>
        <v>0</v>
      </c>
      <c r="J32" s="6371">
        <v>0</v>
      </c>
      <c r="K32" s="5901">
        <f>+I32+J32</f>
        <v>0</v>
      </c>
      <c r="L32" s="6371">
        <v>1291.1799999999998</v>
      </c>
      <c r="M32" s="5901">
        <f>+K32+L32</f>
        <v>1291.1799999999998</v>
      </c>
      <c r="N32" s="6371">
        <v>3132.9900000000002</v>
      </c>
      <c r="O32" s="6271">
        <f t="shared" ref="O32:O38" si="37">+J32+L32+N32</f>
        <v>4424.17</v>
      </c>
      <c r="P32" s="7072">
        <f t="shared" ref="P32:P38" si="38">+M32+N32</f>
        <v>4424.17</v>
      </c>
      <c r="Q32" s="6371">
        <v>0</v>
      </c>
      <c r="R32" s="5901">
        <f t="shared" ref="R32:R38" si="39">+P32+Q32</f>
        <v>4424.17</v>
      </c>
      <c r="S32" s="6371">
        <v>0</v>
      </c>
      <c r="T32" s="5901">
        <f t="shared" ref="T32:T38" si="40">+R32+S32</f>
        <v>4424.17</v>
      </c>
      <c r="U32" s="6371">
        <v>227.39</v>
      </c>
      <c r="V32" s="6271">
        <f t="shared" ref="V32:V38" si="41">+Q32+S32+U32</f>
        <v>227.39</v>
      </c>
      <c r="W32" s="5901">
        <f t="shared" ref="W32:W38" si="42">+T32+U32</f>
        <v>4651.5600000000004</v>
      </c>
      <c r="X32" s="6371"/>
      <c r="Y32" s="5901">
        <f t="shared" ref="Y32:Y38" si="43">+W32+X32</f>
        <v>4651.5600000000004</v>
      </c>
      <c r="Z32" s="6371"/>
      <c r="AA32" s="5901">
        <f t="shared" ref="AA32:AA38" si="44">+Y32+Z32</f>
        <v>4651.5600000000004</v>
      </c>
      <c r="AB32" s="6371"/>
      <c r="AC32" s="6271">
        <f t="shared" ref="AC32:AC38" si="45">+X32+Z32+AB32</f>
        <v>0</v>
      </c>
      <c r="AD32" s="6271">
        <f t="shared" si="3"/>
        <v>227.39</v>
      </c>
      <c r="AE32" s="7072">
        <f t="shared" ref="AE32:AE38" si="46">+AA32+AB32</f>
        <v>4651.5600000000004</v>
      </c>
    </row>
    <row r="33" spans="1:31" s="3380" customFormat="1" x14ac:dyDescent="0.2">
      <c r="C33" s="1609" t="s">
        <v>2461</v>
      </c>
      <c r="D33" s="3835" t="s">
        <v>863</v>
      </c>
      <c r="E33" s="3184"/>
      <c r="F33" s="3184"/>
      <c r="G33" s="5901"/>
      <c r="H33" s="6371"/>
      <c r="I33" s="6271"/>
      <c r="J33" s="6371"/>
      <c r="K33" s="5901"/>
      <c r="L33" s="6371"/>
      <c r="M33" s="5901"/>
      <c r="N33" s="6371"/>
      <c r="O33" s="6271">
        <f t="shared" si="37"/>
        <v>0</v>
      </c>
      <c r="P33" s="7072">
        <f t="shared" si="38"/>
        <v>0</v>
      </c>
      <c r="Q33" s="6371"/>
      <c r="R33" s="5901">
        <f t="shared" si="39"/>
        <v>0</v>
      </c>
      <c r="S33" s="6371"/>
      <c r="T33" s="5901">
        <f t="shared" si="40"/>
        <v>0</v>
      </c>
      <c r="U33" s="6371">
        <v>15</v>
      </c>
      <c r="V33" s="6271">
        <f t="shared" si="41"/>
        <v>15</v>
      </c>
      <c r="W33" s="5901">
        <f t="shared" si="42"/>
        <v>15</v>
      </c>
      <c r="X33" s="6371"/>
      <c r="Y33" s="5901">
        <f t="shared" si="43"/>
        <v>15</v>
      </c>
      <c r="Z33" s="6371"/>
      <c r="AA33" s="5901">
        <f t="shared" si="44"/>
        <v>15</v>
      </c>
      <c r="AB33" s="6371">
        <v>11.79</v>
      </c>
      <c r="AC33" s="6271">
        <f t="shared" si="45"/>
        <v>11.79</v>
      </c>
      <c r="AD33" s="6271">
        <f t="shared" si="3"/>
        <v>26.79</v>
      </c>
      <c r="AE33" s="7072">
        <f t="shared" si="46"/>
        <v>26.79</v>
      </c>
    </row>
    <row r="34" spans="1:31" s="5985" customFormat="1" x14ac:dyDescent="0.2">
      <c r="C34" s="1609" t="s">
        <v>2144</v>
      </c>
      <c r="D34" s="3835" t="s">
        <v>863</v>
      </c>
      <c r="E34" s="1675">
        <v>0</v>
      </c>
      <c r="F34" s="1675">
        <v>0</v>
      </c>
      <c r="G34" s="5901">
        <f>+E34+F34</f>
        <v>0</v>
      </c>
      <c r="H34" s="2840">
        <v>0</v>
      </c>
      <c r="I34" s="6271">
        <f>+G34+H34</f>
        <v>0</v>
      </c>
      <c r="J34" s="2840">
        <v>101.46000000000001</v>
      </c>
      <c r="K34" s="5901">
        <f>+I34+J34</f>
        <v>101.46000000000001</v>
      </c>
      <c r="L34" s="2840">
        <v>27.6</v>
      </c>
      <c r="M34" s="5901">
        <f>+K34+L34</f>
        <v>129.06</v>
      </c>
      <c r="N34" s="2840">
        <v>0</v>
      </c>
      <c r="O34" s="6271">
        <f t="shared" si="37"/>
        <v>129.06</v>
      </c>
      <c r="P34" s="7072">
        <f t="shared" si="38"/>
        <v>129.06</v>
      </c>
      <c r="Q34" s="2840">
        <v>0</v>
      </c>
      <c r="R34" s="5901">
        <f t="shared" si="39"/>
        <v>129.06</v>
      </c>
      <c r="S34" s="2840">
        <v>0</v>
      </c>
      <c r="T34" s="5901">
        <f t="shared" si="40"/>
        <v>129.06</v>
      </c>
      <c r="U34" s="2840">
        <v>0</v>
      </c>
      <c r="V34" s="6271">
        <f t="shared" si="41"/>
        <v>0</v>
      </c>
      <c r="W34" s="5901">
        <f t="shared" si="42"/>
        <v>129.06</v>
      </c>
      <c r="X34" s="2840">
        <v>16.88</v>
      </c>
      <c r="Y34" s="5901">
        <f t="shared" si="43"/>
        <v>145.94</v>
      </c>
      <c r="Z34" s="2840"/>
      <c r="AA34" s="5901">
        <f t="shared" si="44"/>
        <v>145.94</v>
      </c>
      <c r="AB34" s="2840"/>
      <c r="AC34" s="6271">
        <f t="shared" si="45"/>
        <v>16.88</v>
      </c>
      <c r="AD34" s="6271">
        <f t="shared" si="3"/>
        <v>16.88</v>
      </c>
      <c r="AE34" s="7072">
        <f t="shared" si="46"/>
        <v>145.94</v>
      </c>
    </row>
    <row r="35" spans="1:31" s="7468" customFormat="1" x14ac:dyDescent="0.2">
      <c r="C35" s="1609" t="s">
        <v>2338</v>
      </c>
      <c r="D35" s="3835" t="s">
        <v>863</v>
      </c>
      <c r="E35" s="1675"/>
      <c r="F35" s="1675"/>
      <c r="G35" s="5901">
        <f>+E35+F35</f>
        <v>0</v>
      </c>
      <c r="H35" s="2840"/>
      <c r="I35" s="6271">
        <f>+G35+H35</f>
        <v>0</v>
      </c>
      <c r="J35" s="2840"/>
      <c r="K35" s="5901">
        <f>+I35+J35</f>
        <v>0</v>
      </c>
      <c r="L35" s="2840"/>
      <c r="M35" s="5901">
        <f>+K35+L35</f>
        <v>0</v>
      </c>
      <c r="N35" s="2840"/>
      <c r="O35" s="6271">
        <f t="shared" si="37"/>
        <v>0</v>
      </c>
      <c r="P35" s="7072">
        <f t="shared" si="38"/>
        <v>0</v>
      </c>
      <c r="Q35" s="2840">
        <v>109.9</v>
      </c>
      <c r="R35" s="5901">
        <f t="shared" si="39"/>
        <v>109.9</v>
      </c>
      <c r="S35" s="2840">
        <v>90.69</v>
      </c>
      <c r="T35" s="5901">
        <f t="shared" si="40"/>
        <v>200.59</v>
      </c>
      <c r="U35" s="2840">
        <v>35.299999999999997</v>
      </c>
      <c r="V35" s="6271">
        <f t="shared" si="41"/>
        <v>235.89</v>
      </c>
      <c r="W35" s="5901">
        <f t="shared" si="42"/>
        <v>235.89</v>
      </c>
      <c r="X35" s="2840"/>
      <c r="Y35" s="5901">
        <f t="shared" si="43"/>
        <v>235.89</v>
      </c>
      <c r="Z35" s="2840">
        <v>35.450000000000003</v>
      </c>
      <c r="AA35" s="5901">
        <f t="shared" si="44"/>
        <v>271.33999999999997</v>
      </c>
      <c r="AB35" s="2840">
        <v>16.36</v>
      </c>
      <c r="AC35" s="6271">
        <f t="shared" si="45"/>
        <v>51.81</v>
      </c>
      <c r="AD35" s="6271">
        <f t="shared" si="3"/>
        <v>287.7</v>
      </c>
      <c r="AE35" s="7072">
        <f t="shared" si="46"/>
        <v>287.7</v>
      </c>
    </row>
    <row r="36" spans="1:31" s="6435" customFormat="1" x14ac:dyDescent="0.2">
      <c r="C36" s="1609" t="s">
        <v>2214</v>
      </c>
      <c r="D36" s="3835" t="s">
        <v>863</v>
      </c>
      <c r="E36" s="1675">
        <v>0</v>
      </c>
      <c r="F36" s="1675">
        <v>0</v>
      </c>
      <c r="G36" s="5901">
        <f>+E36+F36</f>
        <v>0</v>
      </c>
      <c r="H36" s="2840">
        <v>0</v>
      </c>
      <c r="I36" s="6271">
        <f>+G36+H36</f>
        <v>0</v>
      </c>
      <c r="J36" s="2840">
        <v>0</v>
      </c>
      <c r="K36" s="5901">
        <f>+I36+J36</f>
        <v>0</v>
      </c>
      <c r="L36" s="2840">
        <v>34.83</v>
      </c>
      <c r="M36" s="5901">
        <f>+K36+L36</f>
        <v>34.83</v>
      </c>
      <c r="N36" s="2840">
        <v>14.52</v>
      </c>
      <c r="O36" s="6271">
        <f t="shared" si="37"/>
        <v>49.349999999999994</v>
      </c>
      <c r="P36" s="7072">
        <f t="shared" si="38"/>
        <v>49.349999999999994</v>
      </c>
      <c r="Q36" s="2840">
        <v>0</v>
      </c>
      <c r="R36" s="5901">
        <f t="shared" si="39"/>
        <v>49.349999999999994</v>
      </c>
      <c r="S36" s="2840">
        <v>0</v>
      </c>
      <c r="T36" s="5901">
        <f t="shared" si="40"/>
        <v>49.349999999999994</v>
      </c>
      <c r="U36" s="2840">
        <v>250</v>
      </c>
      <c r="V36" s="6271">
        <f t="shared" si="41"/>
        <v>250</v>
      </c>
      <c r="W36" s="5901">
        <f t="shared" si="42"/>
        <v>299.35000000000002</v>
      </c>
      <c r="X36" s="2840"/>
      <c r="Y36" s="5901">
        <f t="shared" si="43"/>
        <v>299.35000000000002</v>
      </c>
      <c r="Z36" s="2840"/>
      <c r="AA36" s="5901">
        <f t="shared" si="44"/>
        <v>299.35000000000002</v>
      </c>
      <c r="AB36" s="2840"/>
      <c r="AC36" s="6271">
        <f t="shared" si="45"/>
        <v>0</v>
      </c>
      <c r="AD36" s="6271">
        <f t="shared" si="3"/>
        <v>250</v>
      </c>
      <c r="AE36" s="7072">
        <f t="shared" si="46"/>
        <v>299.35000000000002</v>
      </c>
    </row>
    <row r="37" spans="1:31" s="7468" customFormat="1" x14ac:dyDescent="0.2">
      <c r="C37" s="1609" t="s">
        <v>2337</v>
      </c>
      <c r="D37" s="3835" t="s">
        <v>863</v>
      </c>
      <c r="E37" s="1675"/>
      <c r="F37" s="1675"/>
      <c r="G37" s="5901">
        <f>+E37+F37</f>
        <v>0</v>
      </c>
      <c r="H37" s="2840"/>
      <c r="I37" s="6271">
        <f>+G37+H37</f>
        <v>0</v>
      </c>
      <c r="J37" s="2840"/>
      <c r="K37" s="5901">
        <f>+I37+J37</f>
        <v>0</v>
      </c>
      <c r="L37" s="2840"/>
      <c r="M37" s="5901">
        <f>+K37+L37</f>
        <v>0</v>
      </c>
      <c r="N37" s="2840"/>
      <c r="O37" s="6271">
        <f t="shared" si="37"/>
        <v>0</v>
      </c>
      <c r="P37" s="7072">
        <f t="shared" si="38"/>
        <v>0</v>
      </c>
      <c r="Q37" s="2840">
        <v>999.11999999999978</v>
      </c>
      <c r="R37" s="5901">
        <f t="shared" si="39"/>
        <v>999.11999999999978</v>
      </c>
      <c r="S37" s="2840">
        <v>999.98</v>
      </c>
      <c r="T37" s="5901">
        <f t="shared" si="40"/>
        <v>1999.1</v>
      </c>
      <c r="U37" s="2840">
        <v>0</v>
      </c>
      <c r="V37" s="6271">
        <f t="shared" si="41"/>
        <v>1999.1</v>
      </c>
      <c r="W37" s="5901">
        <f t="shared" si="42"/>
        <v>1999.1</v>
      </c>
      <c r="X37" s="2840"/>
      <c r="Y37" s="5901">
        <f t="shared" si="43"/>
        <v>1999.1</v>
      </c>
      <c r="Z37" s="2840"/>
      <c r="AA37" s="5901">
        <f t="shared" si="44"/>
        <v>1999.1</v>
      </c>
      <c r="AB37" s="2840"/>
      <c r="AC37" s="6271">
        <f t="shared" si="45"/>
        <v>0</v>
      </c>
      <c r="AD37" s="6271">
        <f t="shared" si="3"/>
        <v>1999.1</v>
      </c>
      <c r="AE37" s="7072">
        <f t="shared" si="46"/>
        <v>1999.1</v>
      </c>
    </row>
    <row r="38" spans="1:31" s="5438" customFormat="1" x14ac:dyDescent="0.2">
      <c r="C38" s="1609" t="s">
        <v>1947</v>
      </c>
      <c r="D38" s="3835" t="s">
        <v>863</v>
      </c>
      <c r="E38" s="1675">
        <v>0</v>
      </c>
      <c r="F38" s="1675">
        <v>4059.4499999999989</v>
      </c>
      <c r="G38" s="5901">
        <f>+E38+F38</f>
        <v>4059.4499999999989</v>
      </c>
      <c r="H38" s="2840">
        <v>3123.7100000000019</v>
      </c>
      <c r="I38" s="6271">
        <f>+G38+H38</f>
        <v>7183.1600000000008</v>
      </c>
      <c r="J38" s="2840">
        <v>2966.5499999999993</v>
      </c>
      <c r="K38" s="5901">
        <f>+I38+J38</f>
        <v>10149.709999999999</v>
      </c>
      <c r="L38" s="2840">
        <v>1521.069999999999</v>
      </c>
      <c r="M38" s="5901">
        <f>+K38+L38</f>
        <v>11670.779999999999</v>
      </c>
      <c r="N38" s="2840">
        <v>0</v>
      </c>
      <c r="O38" s="6271">
        <f t="shared" si="37"/>
        <v>4487.6199999999981</v>
      </c>
      <c r="P38" s="7072">
        <f t="shared" si="38"/>
        <v>11670.779999999999</v>
      </c>
      <c r="Q38" s="2840">
        <v>2455.9500000000007</v>
      </c>
      <c r="R38" s="5901">
        <f t="shared" si="39"/>
        <v>14126.73</v>
      </c>
      <c r="S38" s="2840">
        <v>1774.5500000000002</v>
      </c>
      <c r="T38" s="5901">
        <f t="shared" si="40"/>
        <v>15901.279999999999</v>
      </c>
      <c r="U38" s="2840">
        <v>3257.06</v>
      </c>
      <c r="V38" s="6271">
        <f t="shared" si="41"/>
        <v>7487.5600000000013</v>
      </c>
      <c r="W38" s="5901">
        <f t="shared" si="42"/>
        <v>19158.34</v>
      </c>
      <c r="X38" s="2840">
        <v>1615.1499999999994</v>
      </c>
      <c r="Y38" s="5901">
        <f t="shared" si="43"/>
        <v>20773.489999999998</v>
      </c>
      <c r="Z38" s="2840">
        <v>2379.75</v>
      </c>
      <c r="AA38" s="5901">
        <f t="shared" si="44"/>
        <v>23153.239999999998</v>
      </c>
      <c r="AB38" s="2840">
        <v>3197.55</v>
      </c>
      <c r="AC38" s="6271">
        <f t="shared" si="45"/>
        <v>7192.45</v>
      </c>
      <c r="AD38" s="6271">
        <f t="shared" si="3"/>
        <v>14680.010000000002</v>
      </c>
      <c r="AE38" s="7072">
        <f t="shared" si="46"/>
        <v>26350.789999999997</v>
      </c>
    </row>
    <row r="39" spans="1:31" s="3380" customFormat="1" x14ac:dyDescent="0.2">
      <c r="C39" s="6378" t="s">
        <v>1948</v>
      </c>
      <c r="D39" s="4419"/>
      <c r="E39" s="3184"/>
      <c r="F39" s="3184"/>
      <c r="G39" s="5910"/>
      <c r="H39" s="6371"/>
      <c r="I39" s="5910"/>
      <c r="J39" s="6371"/>
      <c r="K39" s="5910"/>
      <c r="L39" s="6371"/>
      <c r="M39" s="5910"/>
      <c r="N39" s="6371"/>
      <c r="O39" s="5910"/>
      <c r="P39" s="5910"/>
      <c r="Q39" s="6371"/>
      <c r="R39" s="5910"/>
      <c r="S39" s="6371"/>
      <c r="T39" s="5910"/>
      <c r="U39" s="6371"/>
      <c r="V39" s="5910"/>
      <c r="W39" s="5910"/>
      <c r="X39" s="6371"/>
      <c r="Y39" s="5910"/>
      <c r="Z39" s="6371"/>
      <c r="AA39" s="5910"/>
      <c r="AB39" s="6371"/>
      <c r="AC39" s="5910"/>
      <c r="AD39" s="5910">
        <f t="shared" si="3"/>
        <v>0</v>
      </c>
      <c r="AE39" s="5910"/>
    </row>
    <row r="40" spans="1:31" s="5438" customFormat="1" x14ac:dyDescent="0.2">
      <c r="C40" s="1609" t="s">
        <v>1802</v>
      </c>
      <c r="D40" s="3835" t="s">
        <v>863</v>
      </c>
      <c r="E40" s="1675">
        <v>0</v>
      </c>
      <c r="F40" s="1675">
        <v>2733.4900000000002</v>
      </c>
      <c r="G40" s="5901">
        <f>+E40+F40</f>
        <v>2733.4900000000002</v>
      </c>
      <c r="H40" s="2840">
        <v>4148.5399999999991</v>
      </c>
      <c r="I40" s="6271">
        <f>+G40+H40</f>
        <v>6882.0299999999988</v>
      </c>
      <c r="J40" s="2840">
        <v>1079.5699999999997</v>
      </c>
      <c r="K40" s="5901">
        <f>+I40+J40</f>
        <v>7961.5999999999985</v>
      </c>
      <c r="L40" s="2840">
        <v>1041.7499999999998</v>
      </c>
      <c r="M40" s="5901">
        <f>+K40+L40</f>
        <v>9003.3499999999985</v>
      </c>
      <c r="N40" s="2840">
        <v>0</v>
      </c>
      <c r="O40" s="6271">
        <f t="shared" si="0"/>
        <v>2121.3199999999997</v>
      </c>
      <c r="P40" s="7072">
        <f>+M40+N40</f>
        <v>9003.3499999999985</v>
      </c>
      <c r="Q40" s="2840">
        <v>0</v>
      </c>
      <c r="R40" s="5901">
        <f>+P40+Q40</f>
        <v>9003.3499999999985</v>
      </c>
      <c r="S40" s="2840">
        <v>0</v>
      </c>
      <c r="T40" s="5901">
        <f>+R40+S40</f>
        <v>9003.3499999999985</v>
      </c>
      <c r="U40" s="2840">
        <v>0</v>
      </c>
      <c r="V40" s="6271">
        <f t="shared" ref="V40" si="47">+Q40+S40+U40</f>
        <v>0</v>
      </c>
      <c r="W40" s="5901">
        <f>+T40+U40</f>
        <v>9003.3499999999985</v>
      </c>
      <c r="X40" s="2840"/>
      <c r="Y40" s="5901">
        <f>+W40+X40</f>
        <v>9003.3499999999985</v>
      </c>
      <c r="Z40" s="2840"/>
      <c r="AA40" s="5901">
        <f>+Y40+Z40</f>
        <v>9003.3499999999985</v>
      </c>
      <c r="AB40" s="2840"/>
      <c r="AC40" s="6271">
        <f t="shared" ref="AC40" si="48">+X40+Z40+AB40</f>
        <v>0</v>
      </c>
      <c r="AD40" s="6271">
        <f t="shared" si="3"/>
        <v>0</v>
      </c>
      <c r="AE40" s="7072">
        <f>+AA40+AB40</f>
        <v>9003.3499999999985</v>
      </c>
    </row>
    <row r="41" spans="1:31" s="3380" customFormat="1" x14ac:dyDescent="0.2">
      <c r="C41" s="6378" t="s">
        <v>1949</v>
      </c>
      <c r="D41" s="4419"/>
      <c r="E41" s="3184"/>
      <c r="F41" s="3184"/>
      <c r="G41" s="5910"/>
      <c r="H41" s="6371"/>
      <c r="I41" s="5910"/>
      <c r="J41" s="6371"/>
      <c r="K41" s="5910"/>
      <c r="L41" s="6371"/>
      <c r="M41" s="5910"/>
      <c r="N41" s="6371"/>
      <c r="O41" s="5910"/>
      <c r="P41" s="5910"/>
      <c r="Q41" s="6371"/>
      <c r="R41" s="5910"/>
      <c r="S41" s="6371"/>
      <c r="T41" s="5910"/>
      <c r="U41" s="6371"/>
      <c r="V41" s="5910"/>
      <c r="W41" s="5910"/>
      <c r="X41" s="6371"/>
      <c r="Y41" s="5910"/>
      <c r="Z41" s="6371"/>
      <c r="AA41" s="5910"/>
      <c r="AB41" s="6371"/>
      <c r="AC41" s="5910"/>
      <c r="AD41" s="5910">
        <f t="shared" si="3"/>
        <v>0</v>
      </c>
      <c r="AE41" s="5910"/>
    </row>
    <row r="42" spans="1:31" s="3380" customFormat="1" x14ac:dyDescent="0.2">
      <c r="A42" s="7634"/>
      <c r="B42" s="7634"/>
      <c r="C42" s="1609" t="s">
        <v>2437</v>
      </c>
      <c r="D42" s="3835" t="s">
        <v>863</v>
      </c>
      <c r="E42" s="1675"/>
      <c r="F42" s="1675"/>
      <c r="G42" s="5901"/>
      <c r="H42" s="2840"/>
      <c r="I42" s="6271"/>
      <c r="J42" s="2840"/>
      <c r="K42" s="5901"/>
      <c r="L42" s="2840"/>
      <c r="M42" s="5901"/>
      <c r="N42" s="2840"/>
      <c r="O42" s="6271">
        <f t="shared" ref="O42" si="49">+J42+L42+N42</f>
        <v>0</v>
      </c>
      <c r="P42" s="7072">
        <f>+M42+N42</f>
        <v>0</v>
      </c>
      <c r="Q42" s="2840"/>
      <c r="R42" s="5901">
        <f>+P42+Q42</f>
        <v>0</v>
      </c>
      <c r="S42" s="2840">
        <v>50</v>
      </c>
      <c r="T42" s="5901">
        <f>+R42+S42</f>
        <v>50</v>
      </c>
      <c r="U42" s="2840">
        <v>49.129999999999995</v>
      </c>
      <c r="V42" s="6271">
        <f t="shared" ref="V42" si="50">+Q42+S42+U42</f>
        <v>99.13</v>
      </c>
      <c r="W42" s="5901">
        <f>+T42+U42</f>
        <v>99.13</v>
      </c>
      <c r="X42" s="2840">
        <v>24.8</v>
      </c>
      <c r="Y42" s="5901">
        <f>+W42+X42</f>
        <v>123.92999999999999</v>
      </c>
      <c r="Z42" s="2840"/>
      <c r="AA42" s="5901">
        <f>+Y42+Z42</f>
        <v>123.92999999999999</v>
      </c>
      <c r="AB42" s="2840"/>
      <c r="AC42" s="6271">
        <f t="shared" ref="AC42:AC45" si="51">+X42+Z42+AB42</f>
        <v>24.8</v>
      </c>
      <c r="AD42" s="6271">
        <f t="shared" si="3"/>
        <v>123.92999999999999</v>
      </c>
      <c r="AE42" s="7072">
        <f>+AA42+AB42</f>
        <v>123.92999999999999</v>
      </c>
    </row>
    <row r="43" spans="1:31" s="5438" customFormat="1" x14ac:dyDescent="0.2">
      <c r="C43" s="1609" t="s">
        <v>1640</v>
      </c>
      <c r="D43" s="3835" t="s">
        <v>863</v>
      </c>
      <c r="E43" s="1675">
        <v>0</v>
      </c>
      <c r="F43" s="1675">
        <v>90.239999999999981</v>
      </c>
      <c r="G43" s="5901">
        <f>+E43+F43</f>
        <v>90.239999999999981</v>
      </c>
      <c r="H43" s="2840">
        <v>73.5</v>
      </c>
      <c r="I43" s="6271">
        <f>+G43+H43</f>
        <v>163.73999999999998</v>
      </c>
      <c r="J43" s="2840">
        <v>70.39</v>
      </c>
      <c r="K43" s="5901">
        <f>+I43+J43</f>
        <v>234.13</v>
      </c>
      <c r="L43" s="2840">
        <v>69.5</v>
      </c>
      <c r="M43" s="5901">
        <f>+K43+L43</f>
        <v>303.63</v>
      </c>
      <c r="N43" s="2840">
        <v>114.47000000000001</v>
      </c>
      <c r="O43" s="6271">
        <f t="shared" si="0"/>
        <v>254.36</v>
      </c>
      <c r="P43" s="7072">
        <f>+M43+N43</f>
        <v>418.1</v>
      </c>
      <c r="Q43" s="2840">
        <v>38.89</v>
      </c>
      <c r="R43" s="5901">
        <f>+P43+Q43</f>
        <v>456.99</v>
      </c>
      <c r="S43" s="2840">
        <v>86.93</v>
      </c>
      <c r="T43" s="5901">
        <f>+R43+S43</f>
        <v>543.92000000000007</v>
      </c>
      <c r="U43" s="2840">
        <v>64.98</v>
      </c>
      <c r="V43" s="6271">
        <f t="shared" ref="V43:V45" si="52">+Q43+S43+U43</f>
        <v>190.8</v>
      </c>
      <c r="W43" s="5901">
        <f>+T43+U43</f>
        <v>608.90000000000009</v>
      </c>
      <c r="X43" s="2840">
        <v>47.760000000000005</v>
      </c>
      <c r="Y43" s="5901">
        <f>+W43+X43</f>
        <v>656.66000000000008</v>
      </c>
      <c r="Z43" s="2840">
        <v>26.76</v>
      </c>
      <c r="AA43" s="5901">
        <f>+Y43+Z43</f>
        <v>683.42000000000007</v>
      </c>
      <c r="AB43" s="2840"/>
      <c r="AC43" s="6271">
        <f t="shared" si="51"/>
        <v>74.52000000000001</v>
      </c>
      <c r="AD43" s="6271">
        <f t="shared" si="3"/>
        <v>265.32000000000005</v>
      </c>
      <c r="AE43" s="7072">
        <f>+AA43+AB43</f>
        <v>683.42000000000007</v>
      </c>
    </row>
    <row r="44" spans="1:31" s="6435" customFormat="1" x14ac:dyDescent="0.2">
      <c r="C44" s="6378" t="s">
        <v>2211</v>
      </c>
      <c r="D44" s="3835" t="s">
        <v>863</v>
      </c>
      <c r="E44" s="1675">
        <v>0</v>
      </c>
      <c r="F44" s="1675">
        <v>0</v>
      </c>
      <c r="G44" s="5901">
        <f t="shared" ref="G44:G48" si="53">+E44+F44</f>
        <v>0</v>
      </c>
      <c r="H44" s="2840">
        <v>0</v>
      </c>
      <c r="I44" s="6271">
        <f t="shared" ref="I44:I48" si="54">+G44+H44</f>
        <v>0</v>
      </c>
      <c r="J44" s="2840">
        <v>0</v>
      </c>
      <c r="K44" s="5901">
        <f t="shared" ref="K44:K48" si="55">+I44+J44</f>
        <v>0</v>
      </c>
      <c r="L44" s="2840">
        <v>242.64999999999998</v>
      </c>
      <c r="M44" s="5901">
        <f t="shared" ref="M44:M48" si="56">+K44+L44</f>
        <v>242.64999999999998</v>
      </c>
      <c r="N44" s="2840">
        <v>69.459999999999994</v>
      </c>
      <c r="O44" s="6271">
        <f t="shared" si="0"/>
        <v>312.10999999999996</v>
      </c>
      <c r="P44" s="7072">
        <f t="shared" ref="P44:P48" si="57">+M44+N44</f>
        <v>312.10999999999996</v>
      </c>
      <c r="Q44" s="2840">
        <v>0</v>
      </c>
      <c r="R44" s="5901">
        <f t="shared" ref="R44:R45" si="58">+P44+Q44</f>
        <v>312.10999999999996</v>
      </c>
      <c r="S44" s="2840">
        <v>0</v>
      </c>
      <c r="T44" s="5901">
        <f t="shared" ref="T44:T45" si="59">+R44+S44</f>
        <v>312.10999999999996</v>
      </c>
      <c r="U44" s="2840">
        <v>0</v>
      </c>
      <c r="V44" s="6271">
        <f t="shared" si="52"/>
        <v>0</v>
      </c>
      <c r="W44" s="5901">
        <f t="shared" ref="W44:W45" si="60">+T44+U44</f>
        <v>312.10999999999996</v>
      </c>
      <c r="X44" s="2840"/>
      <c r="Y44" s="5901">
        <f t="shared" ref="Y44:Y45" si="61">+W44+X44</f>
        <v>312.10999999999996</v>
      </c>
      <c r="Z44" s="2840">
        <v>0</v>
      </c>
      <c r="AA44" s="5901">
        <f t="shared" ref="AA44:AA45" si="62">+Y44+Z44</f>
        <v>312.10999999999996</v>
      </c>
      <c r="AB44" s="2840">
        <v>0</v>
      </c>
      <c r="AC44" s="6271">
        <f t="shared" si="51"/>
        <v>0</v>
      </c>
      <c r="AD44" s="6271">
        <f t="shared" si="3"/>
        <v>0</v>
      </c>
      <c r="AE44" s="7072">
        <f t="shared" ref="AE44:AE45" si="63">+AA44+AB44</f>
        <v>312.10999999999996</v>
      </c>
    </row>
    <row r="45" spans="1:31" s="7129" customFormat="1" x14ac:dyDescent="0.2">
      <c r="C45" s="6378" t="s">
        <v>2252</v>
      </c>
      <c r="D45" s="3835" t="s">
        <v>863</v>
      </c>
      <c r="E45" s="1675">
        <v>0</v>
      </c>
      <c r="F45" s="1675">
        <v>0</v>
      </c>
      <c r="G45" s="5901">
        <f t="shared" si="53"/>
        <v>0</v>
      </c>
      <c r="H45" s="2840">
        <v>0</v>
      </c>
      <c r="I45" s="6271">
        <f t="shared" si="54"/>
        <v>0</v>
      </c>
      <c r="J45" s="2840">
        <v>0</v>
      </c>
      <c r="K45" s="5901">
        <f t="shared" si="55"/>
        <v>0</v>
      </c>
      <c r="L45" s="2840">
        <v>0</v>
      </c>
      <c r="M45" s="5901">
        <f t="shared" si="56"/>
        <v>0</v>
      </c>
      <c r="N45" s="2840">
        <v>98.86</v>
      </c>
      <c r="O45" s="6271">
        <f t="shared" ref="O45" si="64">+J45+L45+N45</f>
        <v>98.86</v>
      </c>
      <c r="P45" s="7072">
        <f t="shared" ref="P45" si="65">+M45+N45</f>
        <v>98.86</v>
      </c>
      <c r="Q45" s="2840">
        <v>0</v>
      </c>
      <c r="R45" s="5901">
        <f t="shared" si="58"/>
        <v>98.86</v>
      </c>
      <c r="S45" s="2840">
        <v>0</v>
      </c>
      <c r="T45" s="5901">
        <f t="shared" si="59"/>
        <v>98.86</v>
      </c>
      <c r="U45" s="2840">
        <v>0</v>
      </c>
      <c r="V45" s="6271">
        <f t="shared" si="52"/>
        <v>0</v>
      </c>
      <c r="W45" s="5901">
        <f t="shared" si="60"/>
        <v>98.86</v>
      </c>
      <c r="X45" s="2840"/>
      <c r="Y45" s="5901">
        <f t="shared" si="61"/>
        <v>98.86</v>
      </c>
      <c r="Z45" s="2840">
        <v>0</v>
      </c>
      <c r="AA45" s="5901">
        <f t="shared" si="62"/>
        <v>98.86</v>
      </c>
      <c r="AB45" s="2840">
        <v>0</v>
      </c>
      <c r="AC45" s="6271">
        <f t="shared" si="51"/>
        <v>0</v>
      </c>
      <c r="AD45" s="6271">
        <f t="shared" si="3"/>
        <v>0</v>
      </c>
      <c r="AE45" s="7072">
        <f t="shared" si="63"/>
        <v>98.86</v>
      </c>
    </row>
    <row r="46" spans="1:31" s="3380" customFormat="1" x14ac:dyDescent="0.2">
      <c r="C46" s="6378" t="s">
        <v>2250</v>
      </c>
      <c r="D46" s="4419"/>
      <c r="E46" s="3184"/>
      <c r="F46" s="3184"/>
      <c r="G46" s="5910"/>
      <c r="H46" s="6371"/>
      <c r="I46" s="5910"/>
      <c r="J46" s="6371"/>
      <c r="K46" s="5910"/>
      <c r="L46" s="6371"/>
      <c r="M46" s="5910"/>
      <c r="N46" s="6371"/>
      <c r="O46" s="5910"/>
      <c r="P46" s="5910"/>
      <c r="Q46" s="6371"/>
      <c r="R46" s="5910"/>
      <c r="S46" s="6371"/>
      <c r="T46" s="5910"/>
      <c r="U46" s="6371"/>
      <c r="V46" s="5910"/>
      <c r="W46" s="5910"/>
      <c r="X46" s="6371"/>
      <c r="Y46" s="5910"/>
      <c r="Z46" s="6371"/>
      <c r="AA46" s="5910"/>
      <c r="AB46" s="6371"/>
      <c r="AC46" s="5910"/>
      <c r="AD46" s="5910">
        <f t="shared" si="3"/>
        <v>0</v>
      </c>
      <c r="AE46" s="5910"/>
    </row>
    <row r="47" spans="1:31" s="7129" customFormat="1" x14ac:dyDescent="0.2">
      <c r="C47" s="7202" t="s">
        <v>1574</v>
      </c>
      <c r="D47" s="3835" t="s">
        <v>863</v>
      </c>
      <c r="E47" s="1675">
        <v>0</v>
      </c>
      <c r="F47" s="1675">
        <v>0</v>
      </c>
      <c r="G47" s="5901">
        <f t="shared" si="53"/>
        <v>0</v>
      </c>
      <c r="H47" s="2840">
        <v>0</v>
      </c>
      <c r="I47" s="6271">
        <f t="shared" si="54"/>
        <v>0</v>
      </c>
      <c r="J47" s="2840">
        <v>0</v>
      </c>
      <c r="K47" s="5901">
        <f t="shared" si="55"/>
        <v>0</v>
      </c>
      <c r="L47" s="2840">
        <v>0</v>
      </c>
      <c r="M47" s="5901">
        <f t="shared" si="56"/>
        <v>0</v>
      </c>
      <c r="N47" s="2840">
        <v>1929.98</v>
      </c>
      <c r="O47" s="6271">
        <f t="shared" ref="O47" si="66">+J47+L47+N47</f>
        <v>1929.98</v>
      </c>
      <c r="P47" s="7072">
        <f t="shared" ref="P47" si="67">+M47+N47</f>
        <v>1929.98</v>
      </c>
      <c r="Q47" s="2840">
        <v>0</v>
      </c>
      <c r="R47" s="5901">
        <f t="shared" ref="R47:R48" si="68">+P47+Q47</f>
        <v>1929.98</v>
      </c>
      <c r="S47" s="2840">
        <v>46.120000000000005</v>
      </c>
      <c r="T47" s="5901">
        <f t="shared" ref="T47:T48" si="69">+R47+S47</f>
        <v>1976.1</v>
      </c>
      <c r="U47" s="2840">
        <v>184.87999999999997</v>
      </c>
      <c r="V47" s="6271">
        <f t="shared" ref="V47:V48" si="70">+Q47+S47+U47</f>
        <v>230.99999999999997</v>
      </c>
      <c r="W47" s="5901">
        <f t="shared" ref="W47:W48" si="71">+T47+U47</f>
        <v>2160.98</v>
      </c>
      <c r="X47" s="2840"/>
      <c r="Y47" s="5901">
        <f t="shared" ref="Y47:Y48" si="72">+W47+X47</f>
        <v>2160.98</v>
      </c>
      <c r="Z47" s="2840"/>
      <c r="AA47" s="5901">
        <f t="shared" ref="AA47:AA48" si="73">+Y47+Z47</f>
        <v>2160.98</v>
      </c>
      <c r="AB47" s="2840">
        <v>0</v>
      </c>
      <c r="AC47" s="6271">
        <f t="shared" ref="AC47:AC48" si="74">+X47+Z47+AB47</f>
        <v>0</v>
      </c>
      <c r="AD47" s="6271">
        <f t="shared" si="3"/>
        <v>230.99999999999997</v>
      </c>
      <c r="AE47" s="7072">
        <f t="shared" ref="AE47:AE48" si="75">+AA47+AB47</f>
        <v>2160.98</v>
      </c>
    </row>
    <row r="48" spans="1:31" s="6435" customFormat="1" x14ac:dyDescent="0.2">
      <c r="C48" s="7202" t="s">
        <v>2251</v>
      </c>
      <c r="D48" s="3835" t="s">
        <v>863</v>
      </c>
      <c r="E48" s="1675">
        <v>0</v>
      </c>
      <c r="F48" s="1675">
        <v>0</v>
      </c>
      <c r="G48" s="5901">
        <f t="shared" si="53"/>
        <v>0</v>
      </c>
      <c r="H48" s="2840">
        <v>0</v>
      </c>
      <c r="I48" s="6271">
        <f t="shared" si="54"/>
        <v>0</v>
      </c>
      <c r="J48" s="2840">
        <v>0</v>
      </c>
      <c r="K48" s="5901">
        <f t="shared" si="55"/>
        <v>0</v>
      </c>
      <c r="L48" s="2840">
        <v>109.38000000000001</v>
      </c>
      <c r="M48" s="5901">
        <f t="shared" si="56"/>
        <v>109.38000000000001</v>
      </c>
      <c r="N48" s="2840">
        <v>879.56000000000006</v>
      </c>
      <c r="O48" s="6271">
        <f t="shared" si="0"/>
        <v>988.94</v>
      </c>
      <c r="P48" s="7072">
        <f t="shared" si="57"/>
        <v>988.94</v>
      </c>
      <c r="Q48" s="2840">
        <v>0</v>
      </c>
      <c r="R48" s="5901">
        <f t="shared" si="68"/>
        <v>988.94</v>
      </c>
      <c r="S48" s="2840">
        <v>0</v>
      </c>
      <c r="T48" s="5901">
        <f t="shared" si="69"/>
        <v>988.94</v>
      </c>
      <c r="U48" s="2840">
        <v>0</v>
      </c>
      <c r="V48" s="6271">
        <f t="shared" si="70"/>
        <v>0</v>
      </c>
      <c r="W48" s="5901">
        <f t="shared" si="71"/>
        <v>988.94</v>
      </c>
      <c r="X48" s="2840"/>
      <c r="Y48" s="5901">
        <f t="shared" si="72"/>
        <v>988.94</v>
      </c>
      <c r="Z48" s="2840"/>
      <c r="AA48" s="5901">
        <f t="shared" si="73"/>
        <v>988.94</v>
      </c>
      <c r="AB48" s="2840">
        <v>0</v>
      </c>
      <c r="AC48" s="6271">
        <f t="shared" si="74"/>
        <v>0</v>
      </c>
      <c r="AD48" s="6271">
        <f t="shared" si="3"/>
        <v>0</v>
      </c>
      <c r="AE48" s="7072">
        <f t="shared" si="75"/>
        <v>988.94</v>
      </c>
    </row>
    <row r="49" spans="3:31" s="3380" customFormat="1" x14ac:dyDescent="0.2">
      <c r="C49" s="6378" t="s">
        <v>1850</v>
      </c>
      <c r="D49" s="4419"/>
      <c r="E49" s="3184"/>
      <c r="F49" s="3184"/>
      <c r="G49" s="5910"/>
      <c r="H49" s="6371"/>
      <c r="I49" s="5910"/>
      <c r="J49" s="6371"/>
      <c r="K49" s="5910"/>
      <c r="L49" s="6371"/>
      <c r="M49" s="5910"/>
      <c r="N49" s="6371"/>
      <c r="O49" s="5910"/>
      <c r="P49" s="5910"/>
      <c r="Q49" s="6371"/>
      <c r="R49" s="5910"/>
      <c r="S49" s="6371"/>
      <c r="T49" s="5910"/>
      <c r="U49" s="6371"/>
      <c r="V49" s="5910"/>
      <c r="W49" s="5910"/>
      <c r="X49" s="6371"/>
      <c r="Y49" s="5910"/>
      <c r="Z49" s="6371"/>
      <c r="AA49" s="5910"/>
      <c r="AB49" s="6371"/>
      <c r="AC49" s="5910"/>
      <c r="AD49" s="5910">
        <f t="shared" si="3"/>
        <v>0</v>
      </c>
      <c r="AE49" s="5910"/>
    </row>
    <row r="50" spans="3:31" s="5438" customFormat="1" x14ac:dyDescent="0.2">
      <c r="C50" s="1609" t="s">
        <v>1783</v>
      </c>
      <c r="D50" s="3835" t="s">
        <v>863</v>
      </c>
      <c r="E50" s="1675">
        <v>0</v>
      </c>
      <c r="F50" s="1675">
        <v>32.19</v>
      </c>
      <c r="G50" s="5901">
        <f>+E50+F50</f>
        <v>32.19</v>
      </c>
      <c r="H50" s="2840">
        <v>2513.3599999999992</v>
      </c>
      <c r="I50" s="6271">
        <f>+G50+H50</f>
        <v>2545.5499999999993</v>
      </c>
      <c r="J50" s="2840">
        <v>0</v>
      </c>
      <c r="K50" s="5901">
        <f>+I50+J50</f>
        <v>2545.5499999999993</v>
      </c>
      <c r="L50" s="2840">
        <v>1999.37</v>
      </c>
      <c r="M50" s="5901">
        <f>+K50+L50</f>
        <v>4544.9199999999992</v>
      </c>
      <c r="N50" s="2840">
        <v>0</v>
      </c>
      <c r="O50" s="6271">
        <f>+J50+L50+N50</f>
        <v>1999.37</v>
      </c>
      <c r="P50" s="7072">
        <f>+M50+N50</f>
        <v>4544.9199999999992</v>
      </c>
      <c r="Q50" s="2840">
        <v>0</v>
      </c>
      <c r="R50" s="5901">
        <f>+P50+Q50</f>
        <v>4544.9199999999992</v>
      </c>
      <c r="S50" s="2840">
        <v>0</v>
      </c>
      <c r="T50" s="5901">
        <f t="shared" ref="T50:T57" si="76">+R50+S50</f>
        <v>4544.9199999999992</v>
      </c>
      <c r="U50" s="2840">
        <v>0</v>
      </c>
      <c r="V50" s="6271">
        <f t="shared" ref="V50:V57" si="77">+Q50+S50+U50</f>
        <v>0</v>
      </c>
      <c r="W50" s="5901">
        <f t="shared" ref="W50:W57" si="78">+T50+U50</f>
        <v>4544.9199999999992</v>
      </c>
      <c r="X50" s="2840"/>
      <c r="Y50" s="5901">
        <f t="shared" ref="Y50:Y57" si="79">+W50+X50</f>
        <v>4544.9199999999992</v>
      </c>
      <c r="Z50" s="2840">
        <v>1197.71</v>
      </c>
      <c r="AA50" s="5901">
        <f t="shared" ref="AA50:AA57" si="80">+Y50+Z50</f>
        <v>5742.6299999999992</v>
      </c>
      <c r="AB50" s="2840">
        <v>1273.27</v>
      </c>
      <c r="AC50" s="6271">
        <f>+X50+Z50+AB50</f>
        <v>2470.98</v>
      </c>
      <c r="AD50" s="6271">
        <f t="shared" si="3"/>
        <v>2470.98</v>
      </c>
      <c r="AE50" s="7072">
        <f>+AA50+AB50</f>
        <v>7015.9</v>
      </c>
    </row>
    <row r="51" spans="3:31" s="5727" customFormat="1" x14ac:dyDescent="0.2">
      <c r="C51" s="1609" t="s">
        <v>2095</v>
      </c>
      <c r="D51" s="3835" t="s">
        <v>863</v>
      </c>
      <c r="E51" s="1646">
        <v>0</v>
      </c>
      <c r="F51" s="1646">
        <v>0</v>
      </c>
      <c r="G51" s="5901">
        <f>+E51+F51</f>
        <v>0</v>
      </c>
      <c r="H51" s="2840">
        <v>253.12000000000003</v>
      </c>
      <c r="I51" s="6271">
        <f>+G51+H51</f>
        <v>253.12000000000003</v>
      </c>
      <c r="J51" s="2840">
        <v>1722.2699999999998</v>
      </c>
      <c r="K51" s="5901">
        <f>+I51+J51</f>
        <v>1975.3899999999999</v>
      </c>
      <c r="L51" s="2840">
        <v>737.12000000000012</v>
      </c>
      <c r="M51" s="5901">
        <f>+K51+L51</f>
        <v>2712.51</v>
      </c>
      <c r="N51" s="2840">
        <v>740.36000000000013</v>
      </c>
      <c r="O51" s="6271">
        <f>+J51+L51+N51</f>
        <v>3199.75</v>
      </c>
      <c r="P51" s="7072">
        <f t="shared" ref="P51:P53" si="81">+M51+N51</f>
        <v>3452.8700000000003</v>
      </c>
      <c r="Q51" s="2840">
        <v>588.46</v>
      </c>
      <c r="R51" s="5901">
        <f t="shared" ref="R51:R53" si="82">+P51+Q51</f>
        <v>4041.3300000000004</v>
      </c>
      <c r="S51" s="2840">
        <v>0</v>
      </c>
      <c r="T51" s="5901">
        <f t="shared" si="76"/>
        <v>4041.3300000000004</v>
      </c>
      <c r="U51" s="2840">
        <v>13.24</v>
      </c>
      <c r="V51" s="6271">
        <f t="shared" si="77"/>
        <v>601.70000000000005</v>
      </c>
      <c r="W51" s="5901">
        <f t="shared" si="78"/>
        <v>4054.57</v>
      </c>
      <c r="X51" s="2840"/>
      <c r="Y51" s="5901">
        <f t="shared" si="79"/>
        <v>4054.57</v>
      </c>
      <c r="Z51" s="2840">
        <v>24.57</v>
      </c>
      <c r="AA51" s="5901">
        <f t="shared" si="80"/>
        <v>4079.1400000000003</v>
      </c>
      <c r="AB51" s="2840"/>
      <c r="AC51" s="6271">
        <f>+X51+Z51+AB51</f>
        <v>24.57</v>
      </c>
      <c r="AD51" s="6271">
        <f t="shared" si="3"/>
        <v>626.2700000000001</v>
      </c>
      <c r="AE51" s="7072">
        <f t="shared" ref="AE51:AE53" si="83">+AA51+AB51</f>
        <v>4079.1400000000003</v>
      </c>
    </row>
    <row r="52" spans="3:31" s="7634" customFormat="1" x14ac:dyDescent="0.2">
      <c r="C52" s="1609" t="s">
        <v>2438</v>
      </c>
      <c r="D52" s="3835" t="s">
        <v>863</v>
      </c>
      <c r="E52" s="1646"/>
      <c r="F52" s="1646"/>
      <c r="G52" s="5901"/>
      <c r="H52" s="2840"/>
      <c r="I52" s="6271"/>
      <c r="J52" s="2840"/>
      <c r="K52" s="5901"/>
      <c r="L52" s="2840"/>
      <c r="M52" s="5901"/>
      <c r="N52" s="2840"/>
      <c r="O52" s="6271"/>
      <c r="P52" s="7072">
        <f t="shared" si="81"/>
        <v>0</v>
      </c>
      <c r="Q52" s="2840"/>
      <c r="R52" s="5901">
        <f t="shared" si="82"/>
        <v>0</v>
      </c>
      <c r="S52" s="2840">
        <v>25.99</v>
      </c>
      <c r="T52" s="5901">
        <f t="shared" si="76"/>
        <v>25.99</v>
      </c>
      <c r="U52" s="2840">
        <v>0</v>
      </c>
      <c r="V52" s="6271">
        <f t="shared" si="77"/>
        <v>25.99</v>
      </c>
      <c r="W52" s="5901">
        <f t="shared" si="78"/>
        <v>25.99</v>
      </c>
      <c r="X52" s="2840"/>
      <c r="Y52" s="5901">
        <f t="shared" si="79"/>
        <v>25.99</v>
      </c>
      <c r="Z52" s="2840"/>
      <c r="AA52" s="5901">
        <f t="shared" si="80"/>
        <v>25.99</v>
      </c>
      <c r="AB52" s="2840"/>
      <c r="AC52" s="6271"/>
      <c r="AD52" s="6271">
        <f t="shared" si="3"/>
        <v>25.99</v>
      </c>
      <c r="AE52" s="7072">
        <f t="shared" si="83"/>
        <v>25.99</v>
      </c>
    </row>
    <row r="53" spans="3:31" s="5727" customFormat="1" x14ac:dyDescent="0.2">
      <c r="C53" s="1609" t="s">
        <v>2096</v>
      </c>
      <c r="D53" s="3835" t="s">
        <v>863</v>
      </c>
      <c r="E53" s="1646">
        <v>0</v>
      </c>
      <c r="F53" s="1646">
        <v>0</v>
      </c>
      <c r="G53" s="5901">
        <f>+E53+F53</f>
        <v>0</v>
      </c>
      <c r="H53" s="2840">
        <v>104.78999999999999</v>
      </c>
      <c r="I53" s="6271">
        <f>+G53+H53</f>
        <v>104.78999999999999</v>
      </c>
      <c r="J53" s="2840">
        <v>0</v>
      </c>
      <c r="K53" s="5901">
        <f>+I53+J53</f>
        <v>104.78999999999999</v>
      </c>
      <c r="L53" s="2840">
        <v>473.25999999999993</v>
      </c>
      <c r="M53" s="5901">
        <f>+K53+L53</f>
        <v>578.04999999999995</v>
      </c>
      <c r="N53" s="2840">
        <v>216.73999999999998</v>
      </c>
      <c r="O53" s="6271">
        <f>+J53+L53+N53</f>
        <v>689.99999999999989</v>
      </c>
      <c r="P53" s="7072">
        <f t="shared" si="81"/>
        <v>794.79</v>
      </c>
      <c r="Q53" s="2840">
        <v>362.64</v>
      </c>
      <c r="R53" s="5901">
        <f t="shared" si="82"/>
        <v>1157.4299999999998</v>
      </c>
      <c r="S53" s="2840">
        <v>701.8</v>
      </c>
      <c r="T53" s="5901">
        <f t="shared" si="76"/>
        <v>1859.2299999999998</v>
      </c>
      <c r="U53" s="2840">
        <v>1067.0300000000002</v>
      </c>
      <c r="V53" s="6271">
        <f t="shared" si="77"/>
        <v>2131.4700000000003</v>
      </c>
      <c r="W53" s="5901">
        <f t="shared" si="78"/>
        <v>2926.26</v>
      </c>
      <c r="X53" s="2840">
        <v>420.87000000000006</v>
      </c>
      <c r="Y53" s="5901">
        <f t="shared" si="79"/>
        <v>3347.13</v>
      </c>
      <c r="Z53" s="2840">
        <v>146</v>
      </c>
      <c r="AA53" s="5901">
        <f t="shared" si="80"/>
        <v>3493.13</v>
      </c>
      <c r="AB53" s="2840">
        <v>151.86000000000001</v>
      </c>
      <c r="AC53" s="6271">
        <f>+X53+Z53+AB53</f>
        <v>718.73000000000013</v>
      </c>
      <c r="AD53" s="6271">
        <f t="shared" si="3"/>
        <v>2850.2000000000003</v>
      </c>
      <c r="AE53" s="7072">
        <f t="shared" si="83"/>
        <v>3644.9900000000002</v>
      </c>
    </row>
    <row r="54" spans="3:31" s="8125" customFormat="1" x14ac:dyDescent="0.2">
      <c r="C54" s="1609" t="s">
        <v>2568</v>
      </c>
      <c r="D54" s="3835" t="s">
        <v>863</v>
      </c>
      <c r="E54" s="1646"/>
      <c r="F54" s="1646"/>
      <c r="G54" s="5901"/>
      <c r="H54" s="2840"/>
      <c r="I54" s="6271"/>
      <c r="J54" s="2840"/>
      <c r="K54" s="5901"/>
      <c r="L54" s="2840"/>
      <c r="M54" s="5901"/>
      <c r="N54" s="2840"/>
      <c r="O54" s="6271"/>
      <c r="P54" s="7072"/>
      <c r="Q54" s="2840"/>
      <c r="R54" s="5901"/>
      <c r="S54" s="2840"/>
      <c r="T54" s="5901"/>
      <c r="U54" s="2840"/>
      <c r="V54" s="6271"/>
      <c r="W54" s="5901"/>
      <c r="X54" s="2840">
        <v>119.79</v>
      </c>
      <c r="Y54" s="5901">
        <f t="shared" si="79"/>
        <v>119.79</v>
      </c>
      <c r="Z54" s="2840"/>
      <c r="AA54" s="5901">
        <f t="shared" si="80"/>
        <v>119.79</v>
      </c>
      <c r="AB54" s="2840">
        <v>47.17</v>
      </c>
      <c r="AC54" s="6271"/>
      <c r="AD54" s="6271">
        <f t="shared" si="3"/>
        <v>0</v>
      </c>
      <c r="AE54" s="7072"/>
    </row>
    <row r="55" spans="3:31" s="7129" customFormat="1" x14ac:dyDescent="0.2">
      <c r="C55" s="1609" t="s">
        <v>2247</v>
      </c>
      <c r="D55" s="3835" t="s">
        <v>863</v>
      </c>
      <c r="E55" s="1646">
        <v>0</v>
      </c>
      <c r="F55" s="1646">
        <v>0</v>
      </c>
      <c r="G55" s="5901">
        <f>+E55+F55</f>
        <v>0</v>
      </c>
      <c r="H55" s="2840">
        <v>0</v>
      </c>
      <c r="I55" s="6271">
        <f>+G55+H55</f>
        <v>0</v>
      </c>
      <c r="J55" s="2840">
        <v>0</v>
      </c>
      <c r="K55" s="5901">
        <f>+I55+J55</f>
        <v>0</v>
      </c>
      <c r="L55" s="2840">
        <v>0</v>
      </c>
      <c r="M55" s="5901">
        <f>+K55+L55</f>
        <v>0</v>
      </c>
      <c r="N55" s="2840">
        <v>393.18000000000006</v>
      </c>
      <c r="O55" s="6271">
        <f>+J55+L55+N55</f>
        <v>393.18000000000006</v>
      </c>
      <c r="P55" s="7072">
        <f>+M55+N55</f>
        <v>393.18000000000006</v>
      </c>
      <c r="Q55" s="2840">
        <v>408.96999999999997</v>
      </c>
      <c r="R55" s="5901">
        <f>+P55+Q55</f>
        <v>802.15000000000009</v>
      </c>
      <c r="S55" s="2840">
        <v>137.89000000000001</v>
      </c>
      <c r="T55" s="5901">
        <f t="shared" si="76"/>
        <v>940.04000000000008</v>
      </c>
      <c r="U55" s="2840">
        <v>31.65</v>
      </c>
      <c r="V55" s="6271">
        <f t="shared" si="77"/>
        <v>578.51</v>
      </c>
      <c r="W55" s="5901">
        <f t="shared" si="78"/>
        <v>971.69</v>
      </c>
      <c r="X55" s="2840"/>
      <c r="Y55" s="5901">
        <f t="shared" si="79"/>
        <v>971.69</v>
      </c>
      <c r="Z55" s="2840">
        <v>362.06</v>
      </c>
      <c r="AA55" s="5901">
        <f t="shared" si="80"/>
        <v>1333.75</v>
      </c>
      <c r="AB55" s="2840">
        <v>76.25</v>
      </c>
      <c r="AC55" s="6271">
        <f>+X55+Z55+AB55</f>
        <v>438.31</v>
      </c>
      <c r="AD55" s="6271">
        <f t="shared" si="3"/>
        <v>1016.8199999999999</v>
      </c>
      <c r="AE55" s="7072">
        <f>+AA55+AB55</f>
        <v>1410</v>
      </c>
    </row>
    <row r="56" spans="3:31" s="5985" customFormat="1" x14ac:dyDescent="0.2">
      <c r="C56" s="1609" t="s">
        <v>2097</v>
      </c>
      <c r="D56" s="3835" t="s">
        <v>863</v>
      </c>
      <c r="E56" s="1646">
        <v>0</v>
      </c>
      <c r="F56" s="1646">
        <v>0</v>
      </c>
      <c r="G56" s="5901">
        <f>+E56+F56</f>
        <v>0</v>
      </c>
      <c r="H56" s="2840">
        <v>32.71</v>
      </c>
      <c r="I56" s="6271">
        <f>+G56+H56</f>
        <v>32.71</v>
      </c>
      <c r="J56" s="2840">
        <v>53.07</v>
      </c>
      <c r="K56" s="5901">
        <f>+I56+J56</f>
        <v>85.78</v>
      </c>
      <c r="L56" s="2840">
        <v>109.22999999999999</v>
      </c>
      <c r="M56" s="5901">
        <f>+K56+L56</f>
        <v>195.01</v>
      </c>
      <c r="N56" s="2840">
        <v>181.26999999999998</v>
      </c>
      <c r="O56" s="6271">
        <f>+J56+L56+N56</f>
        <v>343.56999999999994</v>
      </c>
      <c r="P56" s="7072">
        <f>+M56+N56</f>
        <v>376.28</v>
      </c>
      <c r="Q56" s="2840">
        <v>187.60999999999999</v>
      </c>
      <c r="R56" s="5901">
        <f>+P56+Q56</f>
        <v>563.89</v>
      </c>
      <c r="S56" s="2840">
        <v>0</v>
      </c>
      <c r="T56" s="5901">
        <f t="shared" si="76"/>
        <v>563.89</v>
      </c>
      <c r="U56" s="2840">
        <v>104.84</v>
      </c>
      <c r="V56" s="6271">
        <f t="shared" si="77"/>
        <v>292.45</v>
      </c>
      <c r="W56" s="5901">
        <f t="shared" si="78"/>
        <v>668.73</v>
      </c>
      <c r="X56" s="2840">
        <v>92</v>
      </c>
      <c r="Y56" s="5901">
        <f t="shared" si="79"/>
        <v>760.73</v>
      </c>
      <c r="Z56" s="2840"/>
      <c r="AA56" s="5901">
        <f t="shared" si="80"/>
        <v>760.73</v>
      </c>
      <c r="AB56" s="2840">
        <v>255.25</v>
      </c>
      <c r="AC56" s="6271">
        <f>+X56+Z56+AB56</f>
        <v>347.25</v>
      </c>
      <c r="AD56" s="6271">
        <f t="shared" si="3"/>
        <v>639.70000000000005</v>
      </c>
      <c r="AE56" s="7072">
        <f>+AA56+AB56</f>
        <v>1015.98</v>
      </c>
    </row>
    <row r="57" spans="3:31" s="5727" customFormat="1" x14ac:dyDescent="0.2">
      <c r="C57" s="1609" t="s">
        <v>2145</v>
      </c>
      <c r="D57" s="3835" t="s">
        <v>863</v>
      </c>
      <c r="E57" s="1646">
        <v>0</v>
      </c>
      <c r="F57" s="1646">
        <v>0</v>
      </c>
      <c r="G57" s="5901">
        <f>+E57+F57</f>
        <v>0</v>
      </c>
      <c r="H57" s="2840">
        <v>0</v>
      </c>
      <c r="I57" s="6271">
        <f>+G57+H57</f>
        <v>0</v>
      </c>
      <c r="J57" s="2840">
        <v>17.64</v>
      </c>
      <c r="K57" s="5901">
        <f>+I57+J57</f>
        <v>17.64</v>
      </c>
      <c r="L57" s="2840">
        <v>685.54000000000008</v>
      </c>
      <c r="M57" s="5901">
        <f>+K57+L57</f>
        <v>703.18000000000006</v>
      </c>
      <c r="N57" s="2840">
        <v>296.82</v>
      </c>
      <c r="O57" s="6271">
        <f>+J57+L57+N57</f>
        <v>1000</v>
      </c>
      <c r="P57" s="7072">
        <f>+M57+N57</f>
        <v>1000</v>
      </c>
      <c r="Q57" s="2840">
        <v>0</v>
      </c>
      <c r="R57" s="5901">
        <f>+P57+Q57</f>
        <v>1000</v>
      </c>
      <c r="S57" s="2840">
        <v>0</v>
      </c>
      <c r="T57" s="5901">
        <f t="shared" si="76"/>
        <v>1000</v>
      </c>
      <c r="U57" s="2840">
        <v>0</v>
      </c>
      <c r="V57" s="6271">
        <f t="shared" si="77"/>
        <v>0</v>
      </c>
      <c r="W57" s="5901">
        <f t="shared" si="78"/>
        <v>1000</v>
      </c>
      <c r="X57" s="2840"/>
      <c r="Y57" s="5901">
        <f t="shared" si="79"/>
        <v>1000</v>
      </c>
      <c r="Z57" s="2840"/>
      <c r="AA57" s="5901">
        <f t="shared" si="80"/>
        <v>1000</v>
      </c>
      <c r="AB57" s="2840"/>
      <c r="AC57" s="6271">
        <f>+X57+Z57+AB57</f>
        <v>0</v>
      </c>
      <c r="AD57" s="6271">
        <f t="shared" si="3"/>
        <v>0</v>
      </c>
      <c r="AE57" s="7072">
        <f>+AA57+AB57</f>
        <v>1000</v>
      </c>
    </row>
    <row r="58" spans="3:31" s="3380" customFormat="1" ht="18" x14ac:dyDescent="0.2">
      <c r="C58" s="6378" t="s">
        <v>1890</v>
      </c>
      <c r="D58" s="4419"/>
      <c r="E58" s="6379"/>
      <c r="F58" s="6379"/>
      <c r="G58" s="5910"/>
      <c r="H58" s="6380"/>
      <c r="I58" s="5910"/>
      <c r="J58" s="6380"/>
      <c r="K58" s="5910"/>
      <c r="L58" s="6380"/>
      <c r="M58" s="5910"/>
      <c r="N58" s="6380"/>
      <c r="O58" s="5910"/>
      <c r="P58" s="5910"/>
      <c r="Q58" s="6380"/>
      <c r="R58" s="5910"/>
      <c r="S58" s="6380"/>
      <c r="T58" s="5910"/>
      <c r="U58" s="6380"/>
      <c r="V58" s="5910"/>
      <c r="W58" s="5910"/>
      <c r="X58" s="6380"/>
      <c r="Y58" s="5910"/>
      <c r="Z58" s="6380"/>
      <c r="AA58" s="5910"/>
      <c r="AB58" s="6380"/>
      <c r="AC58" s="5910"/>
      <c r="AD58" s="5910">
        <f t="shared" si="3"/>
        <v>0</v>
      </c>
      <c r="AE58" s="5910"/>
    </row>
    <row r="59" spans="3:31" s="5727" customFormat="1" ht="18" x14ac:dyDescent="0.2">
      <c r="C59" s="1609" t="s">
        <v>2092</v>
      </c>
      <c r="D59" s="3835" t="s">
        <v>863</v>
      </c>
      <c r="E59" s="4451">
        <v>0</v>
      </c>
      <c r="F59" s="4451">
        <v>0</v>
      </c>
      <c r="G59" s="5901">
        <f t="shared" ref="G59:G82" si="84">+E59+F59</f>
        <v>0</v>
      </c>
      <c r="H59" s="2840">
        <v>1001.18</v>
      </c>
      <c r="I59" s="6271">
        <f t="shared" ref="I59:I82" si="85">+G59+H59</f>
        <v>1001.18</v>
      </c>
      <c r="J59" s="2840">
        <v>447.70999999999992</v>
      </c>
      <c r="K59" s="5901">
        <f t="shared" ref="K59:K82" si="86">+I59+J59</f>
        <v>1448.8899999999999</v>
      </c>
      <c r="L59" s="2840">
        <v>0</v>
      </c>
      <c r="M59" s="5901">
        <f t="shared" ref="M59:M82" si="87">+K59+L59</f>
        <v>1448.8899999999999</v>
      </c>
      <c r="N59" s="2840">
        <v>997.68999999999994</v>
      </c>
      <c r="O59" s="6271">
        <f t="shared" si="0"/>
        <v>1445.3999999999999</v>
      </c>
      <c r="P59" s="7072">
        <f t="shared" ref="P59:P82" si="88">+M59+N59</f>
        <v>2446.58</v>
      </c>
      <c r="Q59" s="2840">
        <v>0</v>
      </c>
      <c r="R59" s="5901">
        <f t="shared" ref="R59:R82" si="89">+P59+Q59</f>
        <v>2446.58</v>
      </c>
      <c r="S59" s="2840">
        <v>128.5</v>
      </c>
      <c r="T59" s="5901">
        <f t="shared" ref="T59:T82" si="90">+R59+S59</f>
        <v>2575.08</v>
      </c>
      <c r="U59" s="2840">
        <v>871.22999999999979</v>
      </c>
      <c r="V59" s="6271">
        <f t="shared" ref="V59:V82" si="91">+Q59+S59+U59</f>
        <v>999.72999999999979</v>
      </c>
      <c r="W59" s="5901">
        <f t="shared" ref="W59:W82" si="92">+T59+U59</f>
        <v>3446.3099999999995</v>
      </c>
      <c r="X59" s="2840"/>
      <c r="Y59" s="5901">
        <f t="shared" ref="Y59:Y82" si="93">+W59+X59</f>
        <v>3446.3099999999995</v>
      </c>
      <c r="Z59" s="2840"/>
      <c r="AA59" s="5901">
        <f t="shared" ref="AA59:AA68" si="94">+Y59+Z59</f>
        <v>3446.3099999999995</v>
      </c>
      <c r="AB59" s="2840">
        <v>965.9</v>
      </c>
      <c r="AC59" s="6271">
        <f t="shared" ref="AC59:AC67" si="95">+X59+Z59+AB59</f>
        <v>965.9</v>
      </c>
      <c r="AD59" s="6271">
        <f t="shared" si="3"/>
        <v>1965.6299999999997</v>
      </c>
      <c r="AE59" s="7072">
        <f t="shared" ref="AE59:AE67" si="96">+AA59+AB59</f>
        <v>4412.2099999999991</v>
      </c>
    </row>
    <row r="60" spans="3:31" s="5438" customFormat="1" x14ac:dyDescent="0.2">
      <c r="C60" s="1609" t="s">
        <v>1799</v>
      </c>
      <c r="D60" s="3835" t="s">
        <v>863</v>
      </c>
      <c r="E60" s="1675">
        <v>0</v>
      </c>
      <c r="F60" s="1675">
        <v>535.69999999999993</v>
      </c>
      <c r="G60" s="5901">
        <f t="shared" ref="G60:G69" si="97">+E60+F60</f>
        <v>535.69999999999993</v>
      </c>
      <c r="H60" s="2840">
        <v>1445.8599999999997</v>
      </c>
      <c r="I60" s="6271">
        <f t="shared" ref="I60:I69" si="98">+G60+H60</f>
        <v>1981.5599999999995</v>
      </c>
      <c r="J60" s="2840">
        <v>1334.7100000000003</v>
      </c>
      <c r="K60" s="5901">
        <f t="shared" ref="K60:K79" si="99">+I60+J60</f>
        <v>3316.2699999999995</v>
      </c>
      <c r="L60" s="2840">
        <v>824.28</v>
      </c>
      <c r="M60" s="5901">
        <f t="shared" ref="M60:M79" si="100">+K60+L60</f>
        <v>4140.5499999999993</v>
      </c>
      <c r="N60" s="2840">
        <v>184.73</v>
      </c>
      <c r="O60" s="6271">
        <f t="shared" ref="O60:O79" si="101">+J60+L60+N60</f>
        <v>2343.7200000000003</v>
      </c>
      <c r="P60" s="7072">
        <f t="shared" ref="P60:P79" si="102">+M60+N60</f>
        <v>4325.2799999999988</v>
      </c>
      <c r="Q60" s="2840">
        <v>97.75</v>
      </c>
      <c r="R60" s="5901">
        <f t="shared" ref="R60:R79" si="103">+P60+Q60</f>
        <v>4423.0299999999988</v>
      </c>
      <c r="S60" s="2840">
        <v>110.9</v>
      </c>
      <c r="T60" s="5901">
        <f t="shared" ref="T60:T79" si="104">+R60+S60</f>
        <v>4533.9299999999985</v>
      </c>
      <c r="U60" s="2840">
        <v>228.9</v>
      </c>
      <c r="V60" s="6271">
        <f t="shared" ref="V60:V79" si="105">+Q60+S60+U60</f>
        <v>437.55</v>
      </c>
      <c r="W60" s="5901">
        <f t="shared" ref="W60:W79" si="106">+T60+U60</f>
        <v>4762.8299999999981</v>
      </c>
      <c r="X60" s="2840"/>
      <c r="Y60" s="5901">
        <f t="shared" si="93"/>
        <v>4762.8299999999981</v>
      </c>
      <c r="Z60" s="2840"/>
      <c r="AA60" s="5901">
        <f t="shared" si="94"/>
        <v>4762.8299999999981</v>
      </c>
      <c r="AB60" s="2840"/>
      <c r="AC60" s="6271">
        <f t="shared" si="95"/>
        <v>0</v>
      </c>
      <c r="AD60" s="6271">
        <f t="shared" si="3"/>
        <v>437.55</v>
      </c>
      <c r="AE60" s="7072">
        <f t="shared" si="96"/>
        <v>4762.8299999999981</v>
      </c>
    </row>
    <row r="61" spans="3:31" s="5985" customFormat="1" x14ac:dyDescent="0.2">
      <c r="C61" s="1609" t="s">
        <v>1781</v>
      </c>
      <c r="D61" s="3835" t="s">
        <v>863</v>
      </c>
      <c r="E61" s="1675">
        <v>0</v>
      </c>
      <c r="F61" s="1675">
        <v>0</v>
      </c>
      <c r="G61" s="5901">
        <f t="shared" si="97"/>
        <v>0</v>
      </c>
      <c r="H61" s="2840">
        <v>0</v>
      </c>
      <c r="I61" s="6271">
        <f t="shared" si="98"/>
        <v>0</v>
      </c>
      <c r="J61" s="2840">
        <v>498.91000000000008</v>
      </c>
      <c r="K61" s="5901">
        <f t="shared" si="99"/>
        <v>498.91000000000008</v>
      </c>
      <c r="L61" s="2840">
        <v>0</v>
      </c>
      <c r="M61" s="5901">
        <f t="shared" si="100"/>
        <v>498.91000000000008</v>
      </c>
      <c r="N61" s="2840">
        <v>0</v>
      </c>
      <c r="O61" s="6271">
        <f t="shared" si="101"/>
        <v>498.91000000000008</v>
      </c>
      <c r="P61" s="7072">
        <f t="shared" si="102"/>
        <v>498.91000000000008</v>
      </c>
      <c r="Q61" s="2840">
        <v>0</v>
      </c>
      <c r="R61" s="5901">
        <f t="shared" si="103"/>
        <v>498.91000000000008</v>
      </c>
      <c r="S61" s="2840">
        <v>0</v>
      </c>
      <c r="T61" s="5901">
        <f t="shared" si="104"/>
        <v>498.91000000000008</v>
      </c>
      <c r="U61" s="2840">
        <v>0</v>
      </c>
      <c r="V61" s="6271">
        <f t="shared" si="105"/>
        <v>0</v>
      </c>
      <c r="W61" s="5901">
        <f t="shared" si="106"/>
        <v>498.91000000000008</v>
      </c>
      <c r="X61" s="2840"/>
      <c r="Y61" s="5901">
        <f t="shared" si="93"/>
        <v>498.91000000000008</v>
      </c>
      <c r="Z61" s="2840"/>
      <c r="AA61" s="5901">
        <f t="shared" si="94"/>
        <v>498.91000000000008</v>
      </c>
      <c r="AB61" s="2840"/>
      <c r="AC61" s="6271">
        <f t="shared" si="95"/>
        <v>0</v>
      </c>
      <c r="AD61" s="6271">
        <f t="shared" si="3"/>
        <v>0</v>
      </c>
      <c r="AE61" s="7072">
        <f t="shared" si="96"/>
        <v>498.91000000000008</v>
      </c>
    </row>
    <row r="62" spans="3:31" s="5727" customFormat="1" x14ac:dyDescent="0.2">
      <c r="C62" s="1609" t="s">
        <v>1782</v>
      </c>
      <c r="D62" s="3835" t="s">
        <v>863</v>
      </c>
      <c r="E62" s="1675">
        <v>0</v>
      </c>
      <c r="F62" s="1675">
        <v>0</v>
      </c>
      <c r="G62" s="5901">
        <f t="shared" si="97"/>
        <v>0</v>
      </c>
      <c r="H62" s="2840">
        <v>12.94</v>
      </c>
      <c r="I62" s="6271">
        <f t="shared" si="98"/>
        <v>12.94</v>
      </c>
      <c r="J62" s="2840">
        <v>7.0499999999999989</v>
      </c>
      <c r="K62" s="5901">
        <f t="shared" si="99"/>
        <v>19.989999999999998</v>
      </c>
      <c r="L62" s="2840">
        <v>0</v>
      </c>
      <c r="M62" s="5901">
        <f t="shared" si="100"/>
        <v>19.989999999999998</v>
      </c>
      <c r="N62" s="2840">
        <v>0</v>
      </c>
      <c r="O62" s="6271">
        <f t="shared" si="101"/>
        <v>7.0499999999999989</v>
      </c>
      <c r="P62" s="7072">
        <f t="shared" si="102"/>
        <v>19.989999999999998</v>
      </c>
      <c r="Q62" s="2840">
        <v>0</v>
      </c>
      <c r="R62" s="5901">
        <f t="shared" si="103"/>
        <v>19.989999999999998</v>
      </c>
      <c r="S62" s="2840">
        <v>0</v>
      </c>
      <c r="T62" s="5901">
        <f t="shared" si="104"/>
        <v>19.989999999999998</v>
      </c>
      <c r="U62" s="2840">
        <v>0</v>
      </c>
      <c r="V62" s="6271">
        <f t="shared" si="105"/>
        <v>0</v>
      </c>
      <c r="W62" s="5901">
        <f t="shared" si="106"/>
        <v>19.989999999999998</v>
      </c>
      <c r="X62" s="2840">
        <v>5.8</v>
      </c>
      <c r="Y62" s="5901">
        <f t="shared" si="93"/>
        <v>25.79</v>
      </c>
      <c r="Z62" s="2840">
        <v>25.03</v>
      </c>
      <c r="AA62" s="5901">
        <f t="shared" si="94"/>
        <v>50.82</v>
      </c>
      <c r="AB62" s="2840">
        <v>8.82</v>
      </c>
      <c r="AC62" s="6271">
        <f t="shared" si="95"/>
        <v>39.650000000000006</v>
      </c>
      <c r="AD62" s="6271">
        <f t="shared" si="3"/>
        <v>39.650000000000006</v>
      </c>
      <c r="AE62" s="7072">
        <f t="shared" si="96"/>
        <v>59.64</v>
      </c>
    </row>
    <row r="63" spans="3:31" x14ac:dyDescent="0.2">
      <c r="C63" s="1609" t="s">
        <v>1849</v>
      </c>
      <c r="D63" s="3835" t="s">
        <v>863</v>
      </c>
      <c r="E63" s="1675">
        <v>48.66</v>
      </c>
      <c r="F63" s="1675">
        <v>508.74000000000007</v>
      </c>
      <c r="G63" s="5901">
        <f t="shared" si="97"/>
        <v>557.40000000000009</v>
      </c>
      <c r="H63" s="2840">
        <v>828.00999999999988</v>
      </c>
      <c r="I63" s="6271">
        <f t="shared" si="98"/>
        <v>1385.4099999999999</v>
      </c>
      <c r="J63" s="2840">
        <v>959.01</v>
      </c>
      <c r="K63" s="5901">
        <f t="shared" si="99"/>
        <v>2344.42</v>
      </c>
      <c r="L63" s="2840">
        <v>724.8900000000001</v>
      </c>
      <c r="M63" s="5901">
        <f t="shared" si="100"/>
        <v>3069.3100000000004</v>
      </c>
      <c r="N63" s="2840">
        <v>842.01</v>
      </c>
      <c r="O63" s="6271">
        <f t="shared" si="101"/>
        <v>2525.91</v>
      </c>
      <c r="P63" s="7072">
        <f t="shared" si="102"/>
        <v>3911.3200000000006</v>
      </c>
      <c r="Q63" s="2840">
        <v>1108.19</v>
      </c>
      <c r="R63" s="5901">
        <f t="shared" si="103"/>
        <v>5019.51</v>
      </c>
      <c r="S63" s="2840">
        <v>1005.4800000000005</v>
      </c>
      <c r="T63" s="5901">
        <f t="shared" si="104"/>
        <v>6024.9900000000007</v>
      </c>
      <c r="U63" s="2840">
        <v>798.02</v>
      </c>
      <c r="V63" s="6271">
        <f t="shared" si="105"/>
        <v>2911.6900000000005</v>
      </c>
      <c r="W63" s="5901">
        <f t="shared" si="106"/>
        <v>6823.01</v>
      </c>
      <c r="X63" s="2840">
        <v>907.62000000000035</v>
      </c>
      <c r="Y63" s="5901">
        <f t="shared" si="93"/>
        <v>7730.630000000001</v>
      </c>
      <c r="Z63" s="2840">
        <v>718.37</v>
      </c>
      <c r="AA63" s="5901">
        <f t="shared" si="94"/>
        <v>8449.0000000000018</v>
      </c>
      <c r="AB63" s="2840">
        <v>982.45</v>
      </c>
      <c r="AC63" s="6271">
        <f t="shared" si="95"/>
        <v>2608.4400000000005</v>
      </c>
      <c r="AD63" s="6271">
        <f t="shared" si="3"/>
        <v>5520.130000000001</v>
      </c>
      <c r="AE63" s="7072">
        <f t="shared" si="96"/>
        <v>9431.4500000000025</v>
      </c>
    </row>
    <row r="64" spans="3:31" s="7129" customFormat="1" x14ac:dyDescent="0.2">
      <c r="C64" s="1609" t="s">
        <v>2249</v>
      </c>
      <c r="D64" s="3835" t="s">
        <v>863</v>
      </c>
      <c r="E64" s="1675">
        <v>0</v>
      </c>
      <c r="F64" s="1675">
        <v>0</v>
      </c>
      <c r="G64" s="5901">
        <f t="shared" si="97"/>
        <v>0</v>
      </c>
      <c r="H64" s="2840">
        <v>0</v>
      </c>
      <c r="I64" s="6271">
        <f t="shared" si="98"/>
        <v>0</v>
      </c>
      <c r="J64" s="2840">
        <v>0</v>
      </c>
      <c r="K64" s="5901">
        <f t="shared" si="99"/>
        <v>0</v>
      </c>
      <c r="L64" s="2840">
        <v>0</v>
      </c>
      <c r="M64" s="5901">
        <f t="shared" si="100"/>
        <v>0</v>
      </c>
      <c r="N64" s="2840">
        <v>59.640000000000008</v>
      </c>
      <c r="O64" s="6271">
        <f t="shared" si="101"/>
        <v>59.640000000000008</v>
      </c>
      <c r="P64" s="7072">
        <f t="shared" si="102"/>
        <v>59.640000000000008</v>
      </c>
      <c r="Q64" s="2840">
        <v>136.51999999999998</v>
      </c>
      <c r="R64" s="5901">
        <f t="shared" si="103"/>
        <v>196.16</v>
      </c>
      <c r="S64" s="2840">
        <v>15.26</v>
      </c>
      <c r="T64" s="5901">
        <f t="shared" si="104"/>
        <v>211.42</v>
      </c>
      <c r="U64" s="2840">
        <v>44.66</v>
      </c>
      <c r="V64" s="6271">
        <f t="shared" si="105"/>
        <v>196.43999999999997</v>
      </c>
      <c r="W64" s="5901">
        <f t="shared" si="106"/>
        <v>256.08</v>
      </c>
      <c r="X64" s="2840">
        <v>22.419999999999998</v>
      </c>
      <c r="Y64" s="5901">
        <f t="shared" si="93"/>
        <v>278.5</v>
      </c>
      <c r="Z64" s="2840"/>
      <c r="AA64" s="5901">
        <f t="shared" si="94"/>
        <v>278.5</v>
      </c>
      <c r="AB64" s="2840">
        <v>27.17</v>
      </c>
      <c r="AC64" s="6271">
        <f t="shared" si="95"/>
        <v>49.59</v>
      </c>
      <c r="AD64" s="6271">
        <f t="shared" si="3"/>
        <v>246.02999999999997</v>
      </c>
      <c r="AE64" s="7072">
        <f t="shared" si="96"/>
        <v>305.67</v>
      </c>
    </row>
    <row r="65" spans="3:31" s="5727" customFormat="1" x14ac:dyDescent="0.2">
      <c r="C65" s="1609" t="s">
        <v>1891</v>
      </c>
      <c r="D65" s="3835" t="s">
        <v>863</v>
      </c>
      <c r="E65" s="1675">
        <v>31.5</v>
      </c>
      <c r="F65" s="1675">
        <v>0</v>
      </c>
      <c r="G65" s="5901">
        <f t="shared" si="97"/>
        <v>31.5</v>
      </c>
      <c r="H65" s="2840">
        <v>501.65</v>
      </c>
      <c r="I65" s="6271">
        <f t="shared" si="98"/>
        <v>533.15</v>
      </c>
      <c r="J65" s="2840">
        <v>380.12</v>
      </c>
      <c r="K65" s="5901">
        <f t="shared" si="99"/>
        <v>913.27</v>
      </c>
      <c r="L65" s="2840">
        <v>330.60999999999996</v>
      </c>
      <c r="M65" s="5901">
        <f t="shared" si="100"/>
        <v>1243.8799999999999</v>
      </c>
      <c r="N65" s="2840">
        <v>92.87</v>
      </c>
      <c r="O65" s="6271">
        <f t="shared" si="101"/>
        <v>803.6</v>
      </c>
      <c r="P65" s="7072">
        <f t="shared" si="102"/>
        <v>1336.75</v>
      </c>
      <c r="Q65" s="2840">
        <v>34.58</v>
      </c>
      <c r="R65" s="5901">
        <f t="shared" si="103"/>
        <v>1371.33</v>
      </c>
      <c r="S65" s="2840">
        <v>0</v>
      </c>
      <c r="T65" s="5901">
        <f t="shared" si="104"/>
        <v>1371.33</v>
      </c>
      <c r="U65" s="2840">
        <v>0</v>
      </c>
      <c r="V65" s="6271">
        <f t="shared" si="105"/>
        <v>34.58</v>
      </c>
      <c r="W65" s="5901">
        <f t="shared" si="106"/>
        <v>1371.33</v>
      </c>
      <c r="X65" s="2840"/>
      <c r="Y65" s="5901">
        <f t="shared" si="93"/>
        <v>1371.33</v>
      </c>
      <c r="Z65" s="2840"/>
      <c r="AA65" s="5901">
        <f t="shared" si="94"/>
        <v>1371.33</v>
      </c>
      <c r="AB65" s="2840">
        <v>109.37</v>
      </c>
      <c r="AC65" s="6271">
        <f t="shared" si="95"/>
        <v>109.37</v>
      </c>
      <c r="AD65" s="6271">
        <f t="shared" si="3"/>
        <v>143.94999999999999</v>
      </c>
      <c r="AE65" s="7072">
        <f t="shared" si="96"/>
        <v>1480.6999999999998</v>
      </c>
    </row>
    <row r="66" spans="3:31" s="7468" customFormat="1" x14ac:dyDescent="0.2">
      <c r="C66" s="1609" t="s">
        <v>1776</v>
      </c>
      <c r="D66" s="3835" t="s">
        <v>863</v>
      </c>
      <c r="E66" s="1675">
        <v>0</v>
      </c>
      <c r="F66" s="1675">
        <v>0</v>
      </c>
      <c r="G66" s="5901">
        <f t="shared" si="97"/>
        <v>0</v>
      </c>
      <c r="H66" s="2840">
        <v>0</v>
      </c>
      <c r="I66" s="6271">
        <f t="shared" si="98"/>
        <v>0</v>
      </c>
      <c r="J66" s="2840">
        <v>0</v>
      </c>
      <c r="K66" s="5901">
        <f t="shared" si="99"/>
        <v>0</v>
      </c>
      <c r="L66" s="2840">
        <v>130</v>
      </c>
      <c r="M66" s="5901">
        <f t="shared" si="100"/>
        <v>130</v>
      </c>
      <c r="N66" s="2840">
        <v>0</v>
      </c>
      <c r="O66" s="6271">
        <f t="shared" si="101"/>
        <v>130</v>
      </c>
      <c r="P66" s="7072">
        <f t="shared" si="102"/>
        <v>130</v>
      </c>
      <c r="Q66" s="2840">
        <v>69</v>
      </c>
      <c r="R66" s="5901">
        <f t="shared" si="103"/>
        <v>199</v>
      </c>
      <c r="S66" s="2840">
        <v>0</v>
      </c>
      <c r="T66" s="5901">
        <f t="shared" si="104"/>
        <v>199</v>
      </c>
      <c r="U66" s="2840">
        <v>80</v>
      </c>
      <c r="V66" s="6271">
        <f t="shared" si="105"/>
        <v>149</v>
      </c>
      <c r="W66" s="5901">
        <f t="shared" si="106"/>
        <v>279</v>
      </c>
      <c r="X66" s="2840"/>
      <c r="Y66" s="5901">
        <f t="shared" si="93"/>
        <v>279</v>
      </c>
      <c r="Z66" s="2840"/>
      <c r="AA66" s="5901">
        <f t="shared" si="94"/>
        <v>279</v>
      </c>
      <c r="AB66" s="2840">
        <v>93</v>
      </c>
      <c r="AC66" s="6271">
        <f t="shared" si="95"/>
        <v>93</v>
      </c>
      <c r="AD66" s="6271">
        <f t="shared" si="3"/>
        <v>242</v>
      </c>
      <c r="AE66" s="7072">
        <f t="shared" si="96"/>
        <v>372</v>
      </c>
    </row>
    <row r="67" spans="3:31" s="5985" customFormat="1" x14ac:dyDescent="0.2">
      <c r="C67" s="1609" t="s">
        <v>2093</v>
      </c>
      <c r="D67" s="3835" t="s">
        <v>863</v>
      </c>
      <c r="E67" s="1675">
        <v>0</v>
      </c>
      <c r="F67" s="1675">
        <v>0</v>
      </c>
      <c r="G67" s="5901">
        <f t="shared" si="97"/>
        <v>0</v>
      </c>
      <c r="H67" s="2840">
        <v>200</v>
      </c>
      <c r="I67" s="6271">
        <f t="shared" si="98"/>
        <v>200</v>
      </c>
      <c r="J67" s="2840">
        <v>0</v>
      </c>
      <c r="K67" s="5901">
        <f t="shared" si="99"/>
        <v>200</v>
      </c>
      <c r="L67" s="2840">
        <v>250</v>
      </c>
      <c r="M67" s="5901">
        <f t="shared" si="100"/>
        <v>450</v>
      </c>
      <c r="N67" s="2840">
        <v>220</v>
      </c>
      <c r="O67" s="6271">
        <f t="shared" si="101"/>
        <v>470</v>
      </c>
      <c r="P67" s="7072">
        <f t="shared" si="102"/>
        <v>670</v>
      </c>
      <c r="Q67" s="2840">
        <v>0</v>
      </c>
      <c r="R67" s="5901">
        <f t="shared" si="103"/>
        <v>670</v>
      </c>
      <c r="S67" s="2840">
        <v>0</v>
      </c>
      <c r="T67" s="5901">
        <f t="shared" si="104"/>
        <v>670</v>
      </c>
      <c r="U67" s="2840">
        <v>130</v>
      </c>
      <c r="V67" s="6271">
        <f t="shared" si="105"/>
        <v>130</v>
      </c>
      <c r="W67" s="5901">
        <f t="shared" si="106"/>
        <v>800</v>
      </c>
      <c r="X67" s="2840"/>
      <c r="Y67" s="5901">
        <f t="shared" si="93"/>
        <v>800</v>
      </c>
      <c r="Z67" s="2840"/>
      <c r="AA67" s="5901">
        <f t="shared" si="94"/>
        <v>800</v>
      </c>
      <c r="AB67" s="2840">
        <v>300</v>
      </c>
      <c r="AC67" s="6271">
        <f t="shared" si="95"/>
        <v>300</v>
      </c>
      <c r="AD67" s="6271">
        <f t="shared" si="3"/>
        <v>430</v>
      </c>
      <c r="AE67" s="7072">
        <f t="shared" si="96"/>
        <v>1100</v>
      </c>
    </row>
    <row r="68" spans="3:31" s="8125" customFormat="1" x14ac:dyDescent="0.2">
      <c r="C68" s="1609" t="s">
        <v>2567</v>
      </c>
      <c r="D68" s="3835" t="s">
        <v>863</v>
      </c>
      <c r="E68" s="1675"/>
      <c r="F68" s="1675"/>
      <c r="G68" s="5901"/>
      <c r="H68" s="2840"/>
      <c r="I68" s="6271"/>
      <c r="J68" s="2840"/>
      <c r="K68" s="5901"/>
      <c r="L68" s="2840"/>
      <c r="M68" s="5901"/>
      <c r="N68" s="2840"/>
      <c r="O68" s="6271"/>
      <c r="P68" s="7072"/>
      <c r="Q68" s="2840"/>
      <c r="R68" s="5901"/>
      <c r="S68" s="2840"/>
      <c r="T68" s="5901"/>
      <c r="U68" s="2840"/>
      <c r="V68" s="6271"/>
      <c r="W68" s="5901"/>
      <c r="X68" s="2840">
        <v>59.83</v>
      </c>
      <c r="Y68" s="5901">
        <f t="shared" si="93"/>
        <v>59.83</v>
      </c>
      <c r="Z68" s="2840"/>
      <c r="AA68" s="5901">
        <f t="shared" si="94"/>
        <v>59.83</v>
      </c>
      <c r="AB68" s="2840"/>
      <c r="AC68" s="6271"/>
      <c r="AD68" s="6271">
        <f t="shared" si="3"/>
        <v>0</v>
      </c>
      <c r="AE68" s="7072"/>
    </row>
    <row r="69" spans="3:31" s="6435" customFormat="1" x14ac:dyDescent="0.2">
      <c r="C69" s="1609" t="s">
        <v>1798</v>
      </c>
      <c r="D69" s="3835" t="s">
        <v>863</v>
      </c>
      <c r="E69" s="1675">
        <v>0</v>
      </c>
      <c r="F69" s="1675">
        <v>0</v>
      </c>
      <c r="G69" s="5901">
        <f t="shared" si="97"/>
        <v>0</v>
      </c>
      <c r="H69" s="2840">
        <v>0</v>
      </c>
      <c r="I69" s="6271">
        <f t="shared" si="98"/>
        <v>0</v>
      </c>
      <c r="J69" s="2840">
        <v>0</v>
      </c>
      <c r="K69" s="5901">
        <f t="shared" si="99"/>
        <v>0</v>
      </c>
      <c r="L69" s="2840">
        <v>64.759999999999991</v>
      </c>
      <c r="M69" s="5901">
        <f t="shared" si="100"/>
        <v>64.759999999999991</v>
      </c>
      <c r="N69" s="2840">
        <v>0</v>
      </c>
      <c r="O69" s="6271">
        <f t="shared" si="101"/>
        <v>64.759999999999991</v>
      </c>
      <c r="P69" s="7072">
        <f t="shared" si="102"/>
        <v>64.759999999999991</v>
      </c>
      <c r="Q69" s="2840">
        <v>53.57</v>
      </c>
      <c r="R69" s="5901">
        <f t="shared" si="103"/>
        <v>118.32999999999998</v>
      </c>
      <c r="S69" s="2840">
        <v>55.86</v>
      </c>
      <c r="T69" s="5901">
        <f t="shared" si="104"/>
        <v>174.19</v>
      </c>
      <c r="U69" s="2840">
        <v>0</v>
      </c>
      <c r="V69" s="6271">
        <f t="shared" si="105"/>
        <v>109.43</v>
      </c>
      <c r="W69" s="5901">
        <f t="shared" si="106"/>
        <v>174.19</v>
      </c>
      <c r="X69" s="2840">
        <v>14.23</v>
      </c>
      <c r="Y69" s="5901">
        <f t="shared" si="93"/>
        <v>188.42</v>
      </c>
      <c r="Z69" s="2840">
        <v>117.62</v>
      </c>
      <c r="AA69" s="5901">
        <f t="shared" ref="AA69:AA82" si="107">+Y69+Z69</f>
        <v>306.03999999999996</v>
      </c>
      <c r="AB69" s="2840"/>
      <c r="AC69" s="6271">
        <f t="shared" ref="AC69:AC79" si="108">+X69+Z69+AB69</f>
        <v>131.85</v>
      </c>
      <c r="AD69" s="6271">
        <f t="shared" si="3"/>
        <v>241.28</v>
      </c>
      <c r="AE69" s="7072">
        <f t="shared" ref="AE69:AE79" si="109">+AA69+AB69</f>
        <v>306.03999999999996</v>
      </c>
    </row>
    <row r="70" spans="3:31" s="6435" customFormat="1" x14ac:dyDescent="0.2">
      <c r="C70" s="1609" t="s">
        <v>2436</v>
      </c>
      <c r="D70" s="3835" t="s">
        <v>863</v>
      </c>
      <c r="E70" s="1675"/>
      <c r="F70" s="1675"/>
      <c r="G70" s="5901"/>
      <c r="H70" s="2840"/>
      <c r="I70" s="6271"/>
      <c r="J70" s="2840"/>
      <c r="K70" s="5901">
        <f t="shared" si="99"/>
        <v>0</v>
      </c>
      <c r="L70" s="2840"/>
      <c r="M70" s="5901">
        <f t="shared" si="100"/>
        <v>0</v>
      </c>
      <c r="N70" s="2840"/>
      <c r="O70" s="6271">
        <f t="shared" si="101"/>
        <v>0</v>
      </c>
      <c r="P70" s="7072">
        <f t="shared" si="102"/>
        <v>0</v>
      </c>
      <c r="Q70" s="2840"/>
      <c r="R70" s="5901">
        <f t="shared" si="103"/>
        <v>0</v>
      </c>
      <c r="S70" s="2840">
        <v>9.99</v>
      </c>
      <c r="T70" s="5901">
        <f t="shared" si="104"/>
        <v>9.99</v>
      </c>
      <c r="U70" s="2840">
        <v>0</v>
      </c>
      <c r="V70" s="6271">
        <f t="shared" si="105"/>
        <v>9.99</v>
      </c>
      <c r="W70" s="5901">
        <f t="shared" si="106"/>
        <v>9.99</v>
      </c>
      <c r="X70" s="2840"/>
      <c r="Y70" s="5901">
        <f t="shared" si="93"/>
        <v>9.99</v>
      </c>
      <c r="Z70" s="2840">
        <v>11.52</v>
      </c>
      <c r="AA70" s="5901">
        <f t="shared" si="107"/>
        <v>21.509999999999998</v>
      </c>
      <c r="AB70" s="2840"/>
      <c r="AC70" s="6271">
        <f t="shared" si="108"/>
        <v>11.52</v>
      </c>
      <c r="AD70" s="6271">
        <f t="shared" si="3"/>
        <v>21.509999999999998</v>
      </c>
      <c r="AE70" s="7072">
        <f t="shared" si="109"/>
        <v>21.509999999999998</v>
      </c>
    </row>
    <row r="71" spans="3:31" s="6435" customFormat="1" x14ac:dyDescent="0.2">
      <c r="C71" s="1609" t="s">
        <v>2215</v>
      </c>
      <c r="D71" s="3835" t="s">
        <v>863</v>
      </c>
      <c r="E71" s="1675">
        <v>0</v>
      </c>
      <c r="F71" s="1675">
        <v>0</v>
      </c>
      <c r="G71" s="5901">
        <f t="shared" ref="G71:G79" si="110">+E71+F71</f>
        <v>0</v>
      </c>
      <c r="H71" s="2840">
        <v>0</v>
      </c>
      <c r="I71" s="6271">
        <f t="shared" ref="I71:I79" si="111">+G71+H71</f>
        <v>0</v>
      </c>
      <c r="J71" s="2840">
        <v>0</v>
      </c>
      <c r="K71" s="5901">
        <f t="shared" si="99"/>
        <v>0</v>
      </c>
      <c r="L71" s="2840">
        <v>690</v>
      </c>
      <c r="M71" s="5901">
        <f t="shared" si="100"/>
        <v>690</v>
      </c>
      <c r="N71" s="2840">
        <v>0</v>
      </c>
      <c r="O71" s="6271">
        <f t="shared" si="101"/>
        <v>690</v>
      </c>
      <c r="P71" s="7072">
        <f t="shared" si="102"/>
        <v>690</v>
      </c>
      <c r="Q71" s="2840">
        <v>0</v>
      </c>
      <c r="R71" s="5901">
        <f t="shared" si="103"/>
        <v>690</v>
      </c>
      <c r="S71" s="2840">
        <v>0</v>
      </c>
      <c r="T71" s="5901">
        <f t="shared" si="104"/>
        <v>690</v>
      </c>
      <c r="U71" s="2840">
        <v>316</v>
      </c>
      <c r="V71" s="6271">
        <f t="shared" si="105"/>
        <v>316</v>
      </c>
      <c r="W71" s="5901">
        <f t="shared" si="106"/>
        <v>1006</v>
      </c>
      <c r="X71" s="2840">
        <v>507</v>
      </c>
      <c r="Y71" s="5901">
        <f t="shared" si="93"/>
        <v>1513</v>
      </c>
      <c r="Z71" s="2840"/>
      <c r="AA71" s="5901">
        <f t="shared" si="107"/>
        <v>1513</v>
      </c>
      <c r="AB71" s="2840"/>
      <c r="AC71" s="6271">
        <f t="shared" si="108"/>
        <v>507</v>
      </c>
      <c r="AD71" s="6271">
        <f t="shared" si="3"/>
        <v>823</v>
      </c>
      <c r="AE71" s="7072">
        <f t="shared" si="109"/>
        <v>1513</v>
      </c>
    </row>
    <row r="72" spans="3:31" s="7634" customFormat="1" x14ac:dyDescent="0.2">
      <c r="C72" s="1609" t="s">
        <v>2339</v>
      </c>
      <c r="D72" s="3835" t="s">
        <v>863</v>
      </c>
      <c r="E72" s="1675"/>
      <c r="F72" s="1675"/>
      <c r="G72" s="5901">
        <f t="shared" si="110"/>
        <v>0</v>
      </c>
      <c r="H72" s="2840"/>
      <c r="I72" s="6271">
        <f t="shared" si="111"/>
        <v>0</v>
      </c>
      <c r="J72" s="2840"/>
      <c r="K72" s="5901">
        <f t="shared" si="99"/>
        <v>0</v>
      </c>
      <c r="L72" s="2840"/>
      <c r="M72" s="5901">
        <f t="shared" si="100"/>
        <v>0</v>
      </c>
      <c r="N72" s="2840"/>
      <c r="O72" s="6271">
        <f t="shared" si="101"/>
        <v>0</v>
      </c>
      <c r="P72" s="7072">
        <f t="shared" si="102"/>
        <v>0</v>
      </c>
      <c r="Q72" s="2840">
        <v>11.9</v>
      </c>
      <c r="R72" s="5901">
        <f t="shared" si="103"/>
        <v>11.9</v>
      </c>
      <c r="S72" s="2840">
        <v>0</v>
      </c>
      <c r="T72" s="5901">
        <f t="shared" si="104"/>
        <v>11.9</v>
      </c>
      <c r="U72" s="2840">
        <v>0</v>
      </c>
      <c r="V72" s="6271">
        <f t="shared" si="105"/>
        <v>11.9</v>
      </c>
      <c r="W72" s="5901">
        <f t="shared" si="106"/>
        <v>11.9</v>
      </c>
      <c r="X72" s="2840"/>
      <c r="Y72" s="5901">
        <f t="shared" si="93"/>
        <v>11.9</v>
      </c>
      <c r="Z72" s="2840">
        <v>11.7</v>
      </c>
      <c r="AA72" s="5901">
        <f t="shared" si="107"/>
        <v>23.6</v>
      </c>
      <c r="AB72" s="2840"/>
      <c r="AC72" s="6271">
        <f t="shared" si="108"/>
        <v>11.7</v>
      </c>
      <c r="AD72" s="6271">
        <f t="shared" ref="AD72:AD138" si="112">+AC72+V72</f>
        <v>23.6</v>
      </c>
      <c r="AE72" s="7072">
        <f t="shared" si="109"/>
        <v>23.6</v>
      </c>
    </row>
    <row r="73" spans="3:31" s="7129" customFormat="1" x14ac:dyDescent="0.2">
      <c r="C73" s="1609" t="s">
        <v>1778</v>
      </c>
      <c r="D73" s="3835" t="s">
        <v>863</v>
      </c>
      <c r="E73" s="1675">
        <v>0</v>
      </c>
      <c r="F73" s="1675">
        <v>0</v>
      </c>
      <c r="G73" s="5901">
        <f t="shared" si="110"/>
        <v>0</v>
      </c>
      <c r="H73" s="2840">
        <v>1100</v>
      </c>
      <c r="I73" s="6271">
        <f t="shared" si="111"/>
        <v>1100</v>
      </c>
      <c r="J73" s="2840">
        <v>0</v>
      </c>
      <c r="K73" s="5901">
        <f t="shared" si="99"/>
        <v>1100</v>
      </c>
      <c r="L73" s="2840">
        <v>660</v>
      </c>
      <c r="M73" s="5901">
        <f t="shared" si="100"/>
        <v>1760</v>
      </c>
      <c r="N73" s="2840">
        <v>500</v>
      </c>
      <c r="O73" s="6271">
        <f t="shared" si="101"/>
        <v>1160</v>
      </c>
      <c r="P73" s="7072">
        <f t="shared" si="102"/>
        <v>2260</v>
      </c>
      <c r="Q73" s="2840">
        <v>0</v>
      </c>
      <c r="R73" s="5901">
        <f t="shared" si="103"/>
        <v>2260</v>
      </c>
      <c r="S73" s="2840">
        <v>0</v>
      </c>
      <c r="T73" s="5901">
        <f t="shared" si="104"/>
        <v>2260</v>
      </c>
      <c r="U73" s="2840">
        <v>450</v>
      </c>
      <c r="V73" s="6271">
        <f t="shared" si="105"/>
        <v>450</v>
      </c>
      <c r="W73" s="5901">
        <f t="shared" si="106"/>
        <v>2710</v>
      </c>
      <c r="X73" s="2840"/>
      <c r="Y73" s="5901">
        <f t="shared" si="93"/>
        <v>2710</v>
      </c>
      <c r="Z73" s="2840">
        <v>200</v>
      </c>
      <c r="AA73" s="5901">
        <f t="shared" si="107"/>
        <v>2910</v>
      </c>
      <c r="AB73" s="2840"/>
      <c r="AC73" s="6271">
        <f t="shared" si="108"/>
        <v>200</v>
      </c>
      <c r="AD73" s="6271">
        <f t="shared" si="112"/>
        <v>650</v>
      </c>
      <c r="AE73" s="7072">
        <f t="shared" si="109"/>
        <v>2910</v>
      </c>
    </row>
    <row r="74" spans="3:31" s="7468" customFormat="1" x14ac:dyDescent="0.2">
      <c r="C74" s="1609" t="s">
        <v>2094</v>
      </c>
      <c r="D74" s="3835" t="s">
        <v>863</v>
      </c>
      <c r="E74" s="1675">
        <v>0</v>
      </c>
      <c r="F74" s="1675">
        <v>0</v>
      </c>
      <c r="G74" s="5901">
        <f t="shared" si="110"/>
        <v>0</v>
      </c>
      <c r="H74" s="2840">
        <v>150</v>
      </c>
      <c r="I74" s="6271">
        <f t="shared" si="111"/>
        <v>150</v>
      </c>
      <c r="J74" s="2840">
        <v>0</v>
      </c>
      <c r="K74" s="5901">
        <f t="shared" si="99"/>
        <v>150</v>
      </c>
      <c r="L74" s="2840">
        <v>0</v>
      </c>
      <c r="M74" s="5901">
        <f t="shared" si="100"/>
        <v>150</v>
      </c>
      <c r="N74" s="2840">
        <v>0</v>
      </c>
      <c r="O74" s="6271">
        <f t="shared" si="101"/>
        <v>0</v>
      </c>
      <c r="P74" s="7072">
        <f t="shared" si="102"/>
        <v>150</v>
      </c>
      <c r="Q74" s="2840">
        <v>0</v>
      </c>
      <c r="R74" s="5901">
        <f t="shared" si="103"/>
        <v>150</v>
      </c>
      <c r="S74" s="2840">
        <v>0</v>
      </c>
      <c r="T74" s="5901">
        <f t="shared" si="104"/>
        <v>150</v>
      </c>
      <c r="U74" s="2840">
        <v>0</v>
      </c>
      <c r="V74" s="6271">
        <f t="shared" si="105"/>
        <v>0</v>
      </c>
      <c r="W74" s="5901">
        <f t="shared" si="106"/>
        <v>150</v>
      </c>
      <c r="X74" s="2840"/>
      <c r="Y74" s="5901">
        <f t="shared" si="93"/>
        <v>150</v>
      </c>
      <c r="Z74" s="2840">
        <v>100</v>
      </c>
      <c r="AA74" s="5901">
        <f t="shared" si="107"/>
        <v>250</v>
      </c>
      <c r="AB74" s="2840"/>
      <c r="AC74" s="6271">
        <f t="shared" si="108"/>
        <v>100</v>
      </c>
      <c r="AD74" s="6271">
        <f t="shared" si="112"/>
        <v>100</v>
      </c>
      <c r="AE74" s="7072">
        <f t="shared" si="109"/>
        <v>250</v>
      </c>
    </row>
    <row r="75" spans="3:31" s="5727" customFormat="1" x14ac:dyDescent="0.2">
      <c r="C75" s="1609" t="s">
        <v>1803</v>
      </c>
      <c r="D75" s="3835" t="s">
        <v>863</v>
      </c>
      <c r="E75" s="1675">
        <v>0</v>
      </c>
      <c r="F75" s="1675">
        <v>0</v>
      </c>
      <c r="G75" s="5901">
        <f t="shared" si="110"/>
        <v>0</v>
      </c>
      <c r="H75" s="2840">
        <v>0</v>
      </c>
      <c r="I75" s="6271">
        <f t="shared" si="111"/>
        <v>0</v>
      </c>
      <c r="J75" s="2840">
        <v>3.25</v>
      </c>
      <c r="K75" s="5901">
        <f t="shared" si="99"/>
        <v>3.25</v>
      </c>
      <c r="L75" s="2840">
        <v>0</v>
      </c>
      <c r="M75" s="5901">
        <f t="shared" si="100"/>
        <v>3.25</v>
      </c>
      <c r="N75" s="2840">
        <v>10.91</v>
      </c>
      <c r="O75" s="6271">
        <f t="shared" si="101"/>
        <v>14.16</v>
      </c>
      <c r="P75" s="7072">
        <f t="shared" si="102"/>
        <v>14.16</v>
      </c>
      <c r="Q75" s="2840">
        <v>8.41</v>
      </c>
      <c r="R75" s="5901">
        <f t="shared" si="103"/>
        <v>22.57</v>
      </c>
      <c r="S75" s="2840">
        <v>25.14</v>
      </c>
      <c r="T75" s="5901">
        <f t="shared" si="104"/>
        <v>47.71</v>
      </c>
      <c r="U75" s="2840">
        <v>44.73</v>
      </c>
      <c r="V75" s="6271">
        <f t="shared" si="105"/>
        <v>78.28</v>
      </c>
      <c r="W75" s="5901">
        <f t="shared" si="106"/>
        <v>92.44</v>
      </c>
      <c r="X75" s="2840"/>
      <c r="Y75" s="5901">
        <f t="shared" si="93"/>
        <v>92.44</v>
      </c>
      <c r="Z75" s="2840"/>
      <c r="AA75" s="5901">
        <f t="shared" si="107"/>
        <v>92.44</v>
      </c>
      <c r="AB75" s="2840">
        <v>5.61</v>
      </c>
      <c r="AC75" s="6271">
        <f t="shared" si="108"/>
        <v>5.61</v>
      </c>
      <c r="AD75" s="6271">
        <f t="shared" si="112"/>
        <v>83.89</v>
      </c>
      <c r="AE75" s="7072">
        <f t="shared" si="109"/>
        <v>98.05</v>
      </c>
    </row>
    <row r="76" spans="3:31" s="6435" customFormat="1" x14ac:dyDescent="0.2">
      <c r="C76" s="1609" t="s">
        <v>2216</v>
      </c>
      <c r="D76" s="3835" t="s">
        <v>863</v>
      </c>
      <c r="E76" s="1675">
        <v>0</v>
      </c>
      <c r="F76" s="1675">
        <v>0</v>
      </c>
      <c r="G76" s="5901">
        <f t="shared" si="110"/>
        <v>0</v>
      </c>
      <c r="H76" s="2840">
        <v>0</v>
      </c>
      <c r="I76" s="6271">
        <f t="shared" si="111"/>
        <v>0</v>
      </c>
      <c r="J76" s="2840">
        <v>0</v>
      </c>
      <c r="K76" s="5901">
        <f t="shared" si="99"/>
        <v>0</v>
      </c>
      <c r="L76" s="2840">
        <v>150</v>
      </c>
      <c r="M76" s="5901">
        <f t="shared" si="100"/>
        <v>150</v>
      </c>
      <c r="N76" s="2840">
        <v>0</v>
      </c>
      <c r="O76" s="6271">
        <f t="shared" si="101"/>
        <v>150</v>
      </c>
      <c r="P76" s="7072">
        <f t="shared" si="102"/>
        <v>150</v>
      </c>
      <c r="Q76" s="2840">
        <v>0</v>
      </c>
      <c r="R76" s="5901">
        <f t="shared" si="103"/>
        <v>150</v>
      </c>
      <c r="S76" s="2840">
        <v>0</v>
      </c>
      <c r="T76" s="5901">
        <f t="shared" si="104"/>
        <v>150</v>
      </c>
      <c r="U76" s="2840">
        <v>0</v>
      </c>
      <c r="V76" s="6271">
        <f t="shared" si="105"/>
        <v>0</v>
      </c>
      <c r="W76" s="5901">
        <f t="shared" si="106"/>
        <v>150</v>
      </c>
      <c r="X76" s="2840"/>
      <c r="Y76" s="5901">
        <f t="shared" si="93"/>
        <v>150</v>
      </c>
      <c r="Z76" s="2840">
        <v>41.63</v>
      </c>
      <c r="AA76" s="5901">
        <f t="shared" si="107"/>
        <v>191.63</v>
      </c>
      <c r="AB76" s="2840"/>
      <c r="AC76" s="6271">
        <f t="shared" si="108"/>
        <v>41.63</v>
      </c>
      <c r="AD76" s="6271">
        <f t="shared" si="112"/>
        <v>41.63</v>
      </c>
      <c r="AE76" s="7072">
        <f t="shared" si="109"/>
        <v>191.63</v>
      </c>
    </row>
    <row r="77" spans="3:31" s="5727" customFormat="1" x14ac:dyDescent="0.2">
      <c r="C77" s="1609" t="s">
        <v>1779</v>
      </c>
      <c r="D77" s="3835" t="s">
        <v>863</v>
      </c>
      <c r="E77" s="1675">
        <v>0</v>
      </c>
      <c r="F77" s="1675">
        <v>0</v>
      </c>
      <c r="G77" s="5901">
        <f t="shared" si="110"/>
        <v>0</v>
      </c>
      <c r="H77" s="2840">
        <v>0</v>
      </c>
      <c r="I77" s="6271">
        <f t="shared" si="111"/>
        <v>0</v>
      </c>
      <c r="J77" s="2840">
        <v>0</v>
      </c>
      <c r="K77" s="5901">
        <f t="shared" si="99"/>
        <v>0</v>
      </c>
      <c r="L77" s="2840">
        <v>0</v>
      </c>
      <c r="M77" s="5901">
        <f t="shared" si="100"/>
        <v>0</v>
      </c>
      <c r="N77" s="2840">
        <v>12.77</v>
      </c>
      <c r="O77" s="6271">
        <f t="shared" si="101"/>
        <v>12.77</v>
      </c>
      <c r="P77" s="7072">
        <f t="shared" si="102"/>
        <v>12.77</v>
      </c>
      <c r="Q77" s="2840">
        <v>0</v>
      </c>
      <c r="R77" s="5901">
        <f t="shared" si="103"/>
        <v>12.77</v>
      </c>
      <c r="S77" s="2840">
        <v>0</v>
      </c>
      <c r="T77" s="5901">
        <f t="shared" si="104"/>
        <v>12.77</v>
      </c>
      <c r="U77" s="2840">
        <v>0</v>
      </c>
      <c r="V77" s="6271">
        <f t="shared" si="105"/>
        <v>0</v>
      </c>
      <c r="W77" s="5901">
        <f t="shared" si="106"/>
        <v>12.77</v>
      </c>
      <c r="X77" s="2840">
        <v>26.75</v>
      </c>
      <c r="Y77" s="5901">
        <f t="shared" si="93"/>
        <v>39.519999999999996</v>
      </c>
      <c r="Z77" s="2840">
        <v>24.63</v>
      </c>
      <c r="AA77" s="5901">
        <f t="shared" si="107"/>
        <v>64.149999999999991</v>
      </c>
      <c r="AB77" s="2840"/>
      <c r="AC77" s="6271">
        <f t="shared" si="108"/>
        <v>51.379999999999995</v>
      </c>
      <c r="AD77" s="6271">
        <f t="shared" si="112"/>
        <v>51.379999999999995</v>
      </c>
      <c r="AE77" s="7072">
        <f t="shared" si="109"/>
        <v>64.149999999999991</v>
      </c>
    </row>
    <row r="78" spans="3:31" s="5727" customFormat="1" x14ac:dyDescent="0.2">
      <c r="C78" s="1609" t="s">
        <v>2340</v>
      </c>
      <c r="D78" s="3835" t="s">
        <v>863</v>
      </c>
      <c r="E78" s="1675"/>
      <c r="F78" s="1675"/>
      <c r="G78" s="5901">
        <f t="shared" si="110"/>
        <v>0</v>
      </c>
      <c r="H78" s="2840"/>
      <c r="I78" s="6271">
        <f t="shared" si="111"/>
        <v>0</v>
      </c>
      <c r="J78" s="2840"/>
      <c r="K78" s="5901">
        <f t="shared" si="99"/>
        <v>0</v>
      </c>
      <c r="L78" s="2840"/>
      <c r="M78" s="5901">
        <f t="shared" si="100"/>
        <v>0</v>
      </c>
      <c r="N78" s="2840"/>
      <c r="O78" s="6271">
        <f t="shared" si="101"/>
        <v>0</v>
      </c>
      <c r="P78" s="7072">
        <f t="shared" si="102"/>
        <v>0</v>
      </c>
      <c r="Q78" s="2840">
        <v>20.67</v>
      </c>
      <c r="R78" s="5901">
        <f t="shared" si="103"/>
        <v>20.67</v>
      </c>
      <c r="S78" s="2840">
        <v>0</v>
      </c>
      <c r="T78" s="5901">
        <f t="shared" si="104"/>
        <v>20.67</v>
      </c>
      <c r="U78" s="2840">
        <v>0</v>
      </c>
      <c r="V78" s="6271">
        <f t="shared" si="105"/>
        <v>20.67</v>
      </c>
      <c r="W78" s="5901">
        <f t="shared" si="106"/>
        <v>20.67</v>
      </c>
      <c r="X78" s="2840"/>
      <c r="Y78" s="5901">
        <f t="shared" si="93"/>
        <v>20.67</v>
      </c>
      <c r="Z78" s="2840"/>
      <c r="AA78" s="5901">
        <f t="shared" si="107"/>
        <v>20.67</v>
      </c>
      <c r="AB78" s="2840"/>
      <c r="AC78" s="6271">
        <f t="shared" si="108"/>
        <v>0</v>
      </c>
      <c r="AD78" s="6271">
        <f t="shared" si="112"/>
        <v>20.67</v>
      </c>
      <c r="AE78" s="7072">
        <f t="shared" si="109"/>
        <v>20.67</v>
      </c>
    </row>
    <row r="79" spans="3:31" s="5438" customFormat="1" x14ac:dyDescent="0.2">
      <c r="C79" s="1609" t="s">
        <v>1780</v>
      </c>
      <c r="D79" s="3835" t="s">
        <v>863</v>
      </c>
      <c r="E79" s="1675">
        <v>0</v>
      </c>
      <c r="F79" s="1675">
        <v>652.55000000000007</v>
      </c>
      <c r="G79" s="5901">
        <f t="shared" si="110"/>
        <v>652.55000000000007</v>
      </c>
      <c r="H79" s="2840">
        <v>2306.73</v>
      </c>
      <c r="I79" s="6271">
        <f t="shared" si="111"/>
        <v>2959.28</v>
      </c>
      <c r="J79" s="2840">
        <v>364.88000000000011</v>
      </c>
      <c r="K79" s="5901">
        <f t="shared" si="99"/>
        <v>3324.1600000000003</v>
      </c>
      <c r="L79" s="2840">
        <v>152.92999999999998</v>
      </c>
      <c r="M79" s="5901">
        <f t="shared" si="100"/>
        <v>3477.09</v>
      </c>
      <c r="N79" s="2840">
        <v>628.63</v>
      </c>
      <c r="O79" s="6271">
        <f t="shared" si="101"/>
        <v>1146.44</v>
      </c>
      <c r="P79" s="7072">
        <f t="shared" si="102"/>
        <v>4105.72</v>
      </c>
      <c r="Q79" s="2840">
        <v>710.93000000000018</v>
      </c>
      <c r="R79" s="5901">
        <f t="shared" si="103"/>
        <v>4816.6500000000005</v>
      </c>
      <c r="S79" s="2840">
        <v>620.73</v>
      </c>
      <c r="T79" s="5901">
        <f t="shared" si="104"/>
        <v>5437.380000000001</v>
      </c>
      <c r="U79" s="2840">
        <v>1404.47</v>
      </c>
      <c r="V79" s="6271">
        <f t="shared" si="105"/>
        <v>2736.13</v>
      </c>
      <c r="W79" s="5901">
        <f t="shared" si="106"/>
        <v>6841.8500000000013</v>
      </c>
      <c r="X79" s="2840">
        <v>636.56999999999982</v>
      </c>
      <c r="Y79" s="5901">
        <f t="shared" si="93"/>
        <v>7478.420000000001</v>
      </c>
      <c r="Z79" s="2840">
        <v>693.31</v>
      </c>
      <c r="AA79" s="5901">
        <f t="shared" si="107"/>
        <v>8171.7300000000014</v>
      </c>
      <c r="AB79" s="2840">
        <v>652.55999999999995</v>
      </c>
      <c r="AC79" s="6271">
        <f t="shared" si="108"/>
        <v>1982.4399999999996</v>
      </c>
      <c r="AD79" s="6271">
        <f t="shared" si="112"/>
        <v>4718.57</v>
      </c>
      <c r="AE79" s="7072">
        <f t="shared" si="109"/>
        <v>8824.2900000000009</v>
      </c>
    </row>
    <row r="80" spans="3:31" s="8212" customFormat="1" x14ac:dyDescent="0.2">
      <c r="C80" s="1609" t="s">
        <v>2590</v>
      </c>
      <c r="D80" s="3835" t="s">
        <v>863</v>
      </c>
      <c r="E80" s="1675"/>
      <c r="F80" s="1675"/>
      <c r="G80" s="5901"/>
      <c r="H80" s="2840"/>
      <c r="I80" s="6271"/>
      <c r="J80" s="2840"/>
      <c r="K80" s="5901"/>
      <c r="L80" s="2840"/>
      <c r="M80" s="5901"/>
      <c r="N80" s="2840"/>
      <c r="O80" s="6271"/>
      <c r="P80" s="7072"/>
      <c r="Q80" s="2840"/>
      <c r="R80" s="5901"/>
      <c r="S80" s="2840"/>
      <c r="T80" s="5901"/>
      <c r="U80" s="2840"/>
      <c r="V80" s="6271"/>
      <c r="W80" s="5901"/>
      <c r="X80" s="2840"/>
      <c r="Y80" s="5901"/>
      <c r="Z80" s="2840">
        <v>9.9700000000000006</v>
      </c>
      <c r="AA80" s="5901">
        <f t="shared" si="107"/>
        <v>9.9700000000000006</v>
      </c>
      <c r="AB80" s="2840"/>
      <c r="AC80" s="6271"/>
      <c r="AD80" s="6271">
        <f t="shared" si="112"/>
        <v>0</v>
      </c>
      <c r="AE80" s="7072"/>
    </row>
    <row r="81" spans="3:31" s="8212" customFormat="1" x14ac:dyDescent="0.2">
      <c r="C81" s="1609" t="s">
        <v>2589</v>
      </c>
      <c r="D81" s="3835" t="s">
        <v>863</v>
      </c>
      <c r="E81" s="1675"/>
      <c r="F81" s="1675"/>
      <c r="G81" s="5901"/>
      <c r="H81" s="2840"/>
      <c r="I81" s="6271"/>
      <c r="J81" s="2840"/>
      <c r="K81" s="5901"/>
      <c r="L81" s="2840"/>
      <c r="M81" s="5901"/>
      <c r="N81" s="2840"/>
      <c r="O81" s="6271"/>
      <c r="P81" s="7072"/>
      <c r="Q81" s="2840"/>
      <c r="R81" s="5901"/>
      <c r="S81" s="2840"/>
      <c r="T81" s="5901"/>
      <c r="U81" s="2840"/>
      <c r="V81" s="6271"/>
      <c r="W81" s="5901"/>
      <c r="X81" s="2840"/>
      <c r="Y81" s="5901">
        <f t="shared" si="93"/>
        <v>0</v>
      </c>
      <c r="Z81" s="2840">
        <v>7.98</v>
      </c>
      <c r="AA81" s="5901">
        <f t="shared" si="107"/>
        <v>7.98</v>
      </c>
      <c r="AB81" s="2840"/>
      <c r="AC81" s="6271"/>
      <c r="AD81" s="6271">
        <f t="shared" si="112"/>
        <v>0</v>
      </c>
      <c r="AE81" s="7072"/>
    </row>
    <row r="82" spans="3:31" s="3380" customFormat="1" x14ac:dyDescent="0.2">
      <c r="C82" s="6381" t="s">
        <v>2098</v>
      </c>
      <c r="D82" s="4419" t="s">
        <v>863</v>
      </c>
      <c r="E82" s="3184">
        <v>0</v>
      </c>
      <c r="F82" s="3184">
        <v>0</v>
      </c>
      <c r="G82" s="5901">
        <f t="shared" si="84"/>
        <v>0</v>
      </c>
      <c r="H82" s="2840">
        <v>0</v>
      </c>
      <c r="I82" s="6271">
        <f t="shared" si="85"/>
        <v>0</v>
      </c>
      <c r="J82" s="2840">
        <v>563.91000000000008</v>
      </c>
      <c r="K82" s="5901">
        <f t="shared" si="86"/>
        <v>563.91000000000008</v>
      </c>
      <c r="L82" s="2840">
        <v>1826.8699999999997</v>
      </c>
      <c r="M82" s="5901">
        <f t="shared" si="87"/>
        <v>2390.7799999999997</v>
      </c>
      <c r="N82" s="2840">
        <v>1233.0100000000002</v>
      </c>
      <c r="O82" s="6271">
        <f t="shared" si="0"/>
        <v>3623.79</v>
      </c>
      <c r="P82" s="7072">
        <f t="shared" si="88"/>
        <v>3623.79</v>
      </c>
      <c r="Q82" s="2840">
        <v>1759.6599999999999</v>
      </c>
      <c r="R82" s="5901">
        <f t="shared" si="89"/>
        <v>5383.45</v>
      </c>
      <c r="S82" s="2840">
        <v>5101.0199999999986</v>
      </c>
      <c r="T82" s="5901">
        <f t="shared" si="90"/>
        <v>10484.469999999998</v>
      </c>
      <c r="U82" s="2840">
        <v>2879.4299999999989</v>
      </c>
      <c r="V82" s="6271">
        <f t="shared" si="91"/>
        <v>9740.1099999999969</v>
      </c>
      <c r="W82" s="5901">
        <f t="shared" si="92"/>
        <v>13363.899999999996</v>
      </c>
      <c r="X82" s="2840">
        <v>2182.9199999999996</v>
      </c>
      <c r="Y82" s="5901">
        <f t="shared" si="93"/>
        <v>15546.819999999996</v>
      </c>
      <c r="Z82" s="2840">
        <v>2441.11</v>
      </c>
      <c r="AA82" s="5901">
        <f t="shared" si="107"/>
        <v>17987.929999999997</v>
      </c>
      <c r="AB82" s="2840"/>
      <c r="AC82" s="6271">
        <f t="shared" ref="AC82" si="113">+X82+Z82+AB82</f>
        <v>4624.03</v>
      </c>
      <c r="AD82" s="6271">
        <f t="shared" si="112"/>
        <v>14364.139999999996</v>
      </c>
      <c r="AE82" s="7072">
        <f t="shared" ref="AE82" si="114">+AA82+AB82</f>
        <v>17987.929999999997</v>
      </c>
    </row>
    <row r="83" spans="3:31" s="3380" customFormat="1" x14ac:dyDescent="0.2">
      <c r="C83" s="5908" t="s">
        <v>2099</v>
      </c>
      <c r="D83" s="4419"/>
      <c r="E83" s="3184"/>
      <c r="F83" s="3184"/>
      <c r="G83" s="5910"/>
      <c r="H83" s="6371"/>
      <c r="I83" s="5910"/>
      <c r="J83" s="6371"/>
      <c r="K83" s="5910"/>
      <c r="L83" s="6371"/>
      <c r="M83" s="5910"/>
      <c r="N83" s="6371"/>
      <c r="O83" s="5910"/>
      <c r="P83" s="5910"/>
      <c r="Q83" s="6371"/>
      <c r="R83" s="5910"/>
      <c r="S83" s="6371"/>
      <c r="T83" s="5910"/>
      <c r="U83" s="6371"/>
      <c r="V83" s="5910"/>
      <c r="W83" s="5910"/>
      <c r="X83" s="6371"/>
      <c r="Y83" s="5910"/>
      <c r="Z83" s="6371"/>
      <c r="AA83" s="5910"/>
      <c r="AB83" s="6371"/>
      <c r="AC83" s="5910"/>
      <c r="AD83" s="5910">
        <f t="shared" si="112"/>
        <v>0</v>
      </c>
      <c r="AE83" s="5910"/>
    </row>
    <row r="84" spans="3:31" s="5727" customFormat="1" x14ac:dyDescent="0.2">
      <c r="C84" s="5418" t="s">
        <v>2100</v>
      </c>
      <c r="D84" s="3835" t="s">
        <v>863</v>
      </c>
      <c r="E84" s="1675">
        <v>0</v>
      </c>
      <c r="F84" s="1675">
        <v>0</v>
      </c>
      <c r="G84" s="5901">
        <f>+E84+F84</f>
        <v>0</v>
      </c>
      <c r="H84" s="2840">
        <v>1308.1389999999999</v>
      </c>
      <c r="I84" s="6271">
        <f>+G84+H84</f>
        <v>1308.1389999999999</v>
      </c>
      <c r="J84" s="2840">
        <v>82.99</v>
      </c>
      <c r="K84" s="5901">
        <f>+I84+J84</f>
        <v>1391.1289999999999</v>
      </c>
      <c r="L84" s="2840">
        <v>59.68</v>
      </c>
      <c r="M84" s="5901">
        <f>+K84+L84</f>
        <v>1450.809</v>
      </c>
      <c r="N84" s="2840">
        <v>73.89</v>
      </c>
      <c r="O84" s="6271">
        <f t="shared" si="0"/>
        <v>216.56</v>
      </c>
      <c r="P84" s="7072">
        <f>+M84+N84</f>
        <v>1524.6990000000001</v>
      </c>
      <c r="Q84" s="2840">
        <v>74.790000000000006</v>
      </c>
      <c r="R84" s="5901">
        <f>+P84+Q84</f>
        <v>1599.489</v>
      </c>
      <c r="S84" s="2840">
        <v>39.19</v>
      </c>
      <c r="T84" s="5901">
        <f>+R84+S84</f>
        <v>1638.6790000000001</v>
      </c>
      <c r="U84" s="2840">
        <v>60.89</v>
      </c>
      <c r="V84" s="6271">
        <f t="shared" ref="V84:V86" si="115">+Q84+S84+U84</f>
        <v>174.87</v>
      </c>
      <c r="W84" s="5901">
        <f>+T84+U84</f>
        <v>1699.5690000000002</v>
      </c>
      <c r="X84" s="2840">
        <v>64.67</v>
      </c>
      <c r="Y84" s="5901">
        <f>+W84+X84</f>
        <v>1764.2390000000003</v>
      </c>
      <c r="Z84" s="2840">
        <v>63.48</v>
      </c>
      <c r="AA84" s="5901">
        <f>+Y84+Z84</f>
        <v>1827.7190000000003</v>
      </c>
      <c r="AB84" s="2840">
        <v>57.65</v>
      </c>
      <c r="AC84" s="6271">
        <f t="shared" ref="AC84" si="116">+X84+Z84+AB84</f>
        <v>185.8</v>
      </c>
      <c r="AD84" s="6271">
        <f t="shared" si="112"/>
        <v>360.67</v>
      </c>
      <c r="AE84" s="7072">
        <f>+AA84+AB84</f>
        <v>1885.3690000000004</v>
      </c>
    </row>
    <row r="85" spans="3:31" s="3380" customFormat="1" ht="16" x14ac:dyDescent="0.2">
      <c r="C85" s="5908" t="s">
        <v>1882</v>
      </c>
      <c r="D85" s="6382"/>
      <c r="E85" s="6383"/>
      <c r="F85" s="6383"/>
      <c r="G85" s="5910"/>
      <c r="H85" s="6384"/>
      <c r="I85" s="5910"/>
      <c r="J85" s="6384"/>
      <c r="K85" s="5910"/>
      <c r="L85" s="6384"/>
      <c r="M85" s="5910"/>
      <c r="N85" s="6384"/>
      <c r="O85" s="5910"/>
      <c r="P85" s="5910"/>
      <c r="Q85" s="6384"/>
      <c r="R85" s="5910"/>
      <c r="S85" s="6384"/>
      <c r="T85" s="5910"/>
      <c r="U85" s="6384"/>
      <c r="V85" s="5910"/>
      <c r="W85" s="5910"/>
      <c r="X85" s="6384"/>
      <c r="Y85" s="5910"/>
      <c r="Z85" s="6384"/>
      <c r="AA85" s="5910"/>
      <c r="AB85" s="6384"/>
      <c r="AC85" s="5910"/>
      <c r="AD85" s="5910">
        <f t="shared" si="112"/>
        <v>0</v>
      </c>
      <c r="AE85" s="5910"/>
    </row>
    <row r="86" spans="3:31" s="3380" customFormat="1" ht="16" x14ac:dyDescent="0.2">
      <c r="C86" s="6381" t="s">
        <v>2101</v>
      </c>
      <c r="D86" s="3835" t="s">
        <v>863</v>
      </c>
      <c r="E86" s="6383"/>
      <c r="F86" s="6383"/>
      <c r="G86" s="5910"/>
      <c r="H86" s="6384"/>
      <c r="I86" s="5910"/>
      <c r="J86" s="6384"/>
      <c r="K86" s="5910"/>
      <c r="L86" s="6384"/>
      <c r="M86" s="5910"/>
      <c r="N86" s="6384"/>
      <c r="O86" s="5910"/>
      <c r="P86" s="5910"/>
      <c r="Q86" s="6384"/>
      <c r="R86" s="5901">
        <f>+P86+Q86</f>
        <v>0</v>
      </c>
      <c r="S86" s="6384"/>
      <c r="T86" s="5901">
        <f>+R86+S86</f>
        <v>0</v>
      </c>
      <c r="U86" s="6384"/>
      <c r="V86" s="6271">
        <f t="shared" si="115"/>
        <v>0</v>
      </c>
      <c r="W86" s="5901">
        <f>+T86+U86</f>
        <v>0</v>
      </c>
      <c r="X86" s="8135">
        <v>3265.38</v>
      </c>
      <c r="Y86" s="5901">
        <f>+W86+X86</f>
        <v>3265.38</v>
      </c>
      <c r="Z86" s="8135">
        <v>0</v>
      </c>
      <c r="AA86" s="5901">
        <f>+Y86+Z86</f>
        <v>3265.38</v>
      </c>
      <c r="AB86" s="8135"/>
      <c r="AC86" s="5910"/>
      <c r="AD86" s="5910">
        <f t="shared" si="112"/>
        <v>0</v>
      </c>
      <c r="AE86" s="5910"/>
    </row>
    <row r="87" spans="3:31" s="5727" customFormat="1" ht="16" x14ac:dyDescent="0.2">
      <c r="C87" s="5188" t="s">
        <v>2098</v>
      </c>
      <c r="D87" s="5217" t="s">
        <v>863</v>
      </c>
      <c r="E87" s="7209">
        <v>0</v>
      </c>
      <c r="F87" s="7209">
        <v>0</v>
      </c>
      <c r="G87" s="5901">
        <f>+E87+F87</f>
        <v>0</v>
      </c>
      <c r="H87" s="6369">
        <v>7691</v>
      </c>
      <c r="I87" s="6271">
        <f>+G87+H87</f>
        <v>7691</v>
      </c>
      <c r="J87" s="2840">
        <v>5738.4800000000005</v>
      </c>
      <c r="K87" s="5901">
        <f>+I87+J87</f>
        <v>13429.48</v>
      </c>
      <c r="L87" s="2840">
        <v>5927.82</v>
      </c>
      <c r="M87" s="5901">
        <f>+K87+L87</f>
        <v>19357.3</v>
      </c>
      <c r="N87" s="2840">
        <v>4724.68</v>
      </c>
      <c r="O87" s="6271">
        <f t="shared" si="0"/>
        <v>16390.98</v>
      </c>
      <c r="P87" s="7072">
        <f>+M87+N87</f>
        <v>24081.98</v>
      </c>
      <c r="Q87" s="2840">
        <v>2750.96</v>
      </c>
      <c r="R87" s="5901">
        <f>+P87+Q87</f>
        <v>26832.94</v>
      </c>
      <c r="S87" s="2840">
        <v>3955.12</v>
      </c>
      <c r="T87" s="5901">
        <f>+R87+S87</f>
        <v>30788.059999999998</v>
      </c>
      <c r="U87" s="2840">
        <v>5932.14</v>
      </c>
      <c r="V87" s="6271">
        <f t="shared" ref="V87" si="117">+Q87+S87+U87</f>
        <v>12638.220000000001</v>
      </c>
      <c r="W87" s="5901">
        <f>+T87+U87</f>
        <v>36720.199999999997</v>
      </c>
      <c r="X87" s="2840">
        <v>0</v>
      </c>
      <c r="Y87" s="5901">
        <f>+W87+X87</f>
        <v>36720.199999999997</v>
      </c>
      <c r="Z87" s="2840">
        <v>1976.86</v>
      </c>
      <c r="AA87" s="5901">
        <f>+Y87+Z87</f>
        <v>38697.06</v>
      </c>
      <c r="AB87" s="2840"/>
      <c r="AC87" s="6271">
        <f t="shared" ref="AC87" si="118">+X87+Z87+AB87</f>
        <v>1976.86</v>
      </c>
      <c r="AD87" s="6271">
        <f t="shared" si="112"/>
        <v>14615.080000000002</v>
      </c>
      <c r="AE87" s="7072">
        <f>+AA87+AB87</f>
        <v>38697.06</v>
      </c>
    </row>
    <row r="88" spans="3:31" s="5985" customFormat="1" ht="38" x14ac:dyDescent="0.2">
      <c r="C88" s="7203" t="s">
        <v>2161</v>
      </c>
      <c r="D88" s="7204" t="s">
        <v>863</v>
      </c>
      <c r="E88" s="7205">
        <f>+E82+E87</f>
        <v>0</v>
      </c>
      <c r="F88" s="7205">
        <f t="shared" ref="F88:K88" si="119">+F82+F87</f>
        <v>0</v>
      </c>
      <c r="G88" s="7206">
        <f t="shared" si="119"/>
        <v>0</v>
      </c>
      <c r="H88" s="7207">
        <f t="shared" si="119"/>
        <v>7691</v>
      </c>
      <c r="I88" s="7206">
        <f t="shared" si="119"/>
        <v>7691</v>
      </c>
      <c r="J88" s="7207">
        <f t="shared" si="119"/>
        <v>6302.39</v>
      </c>
      <c r="K88" s="7206">
        <f t="shared" si="119"/>
        <v>13993.39</v>
      </c>
      <c r="L88" s="7207">
        <f t="shared" ref="L88:M88" si="120">+L82+L87</f>
        <v>7754.69</v>
      </c>
      <c r="M88" s="7206">
        <f t="shared" si="120"/>
        <v>21748.079999999998</v>
      </c>
      <c r="N88" s="7207">
        <f>+N82+N87</f>
        <v>5957.6900000000005</v>
      </c>
      <c r="O88" s="7206">
        <f t="shared" ref="O88:T88" si="121">+O82+O87</f>
        <v>20014.77</v>
      </c>
      <c r="P88" s="7206">
        <f t="shared" si="121"/>
        <v>27705.77</v>
      </c>
      <c r="Q88" s="7207">
        <f t="shared" si="121"/>
        <v>4510.62</v>
      </c>
      <c r="R88" s="7206">
        <f t="shared" si="121"/>
        <v>32216.39</v>
      </c>
      <c r="S88" s="7207">
        <f t="shared" si="121"/>
        <v>9056.14</v>
      </c>
      <c r="T88" s="7206">
        <f t="shared" si="121"/>
        <v>41272.53</v>
      </c>
      <c r="U88" s="7207">
        <f>+U82+U87</f>
        <v>8811.57</v>
      </c>
      <c r="V88" s="7206">
        <f t="shared" ref="V88:W88" si="122">+V82+V87</f>
        <v>22378.329999999998</v>
      </c>
      <c r="W88" s="7206">
        <f t="shared" si="122"/>
        <v>50084.099999999991</v>
      </c>
      <c r="X88" s="7207">
        <f>+X82+X87</f>
        <v>2182.9199999999996</v>
      </c>
      <c r="Y88" s="7206">
        <f>+Y82+Y87</f>
        <v>52267.01999999999</v>
      </c>
      <c r="Z88" s="7207">
        <f>+Z82+Z87</f>
        <v>4417.97</v>
      </c>
      <c r="AA88" s="7206">
        <f>+AA82+AA87</f>
        <v>56684.989999999991</v>
      </c>
      <c r="AB88" s="7207">
        <f>+AB82+AB87</f>
        <v>0</v>
      </c>
      <c r="AC88" s="7206">
        <f t="shared" ref="AC88:AE88" si="123">+AC82+AC87</f>
        <v>6600.8899999999994</v>
      </c>
      <c r="AD88" s="7206">
        <f t="shared" si="112"/>
        <v>28979.219999999998</v>
      </c>
      <c r="AE88" s="7206">
        <f t="shared" si="123"/>
        <v>56684.989999999991</v>
      </c>
    </row>
    <row r="89" spans="3:31" s="8125" customFormat="1" ht="38" x14ac:dyDescent="0.2">
      <c r="C89" s="7203" t="s">
        <v>2569</v>
      </c>
      <c r="D89" s="7204" t="s">
        <v>863</v>
      </c>
      <c r="E89" s="7205">
        <f>+E86+E7</f>
        <v>0</v>
      </c>
      <c r="F89" s="7205">
        <f>+F86+F7</f>
        <v>778.07999999999993</v>
      </c>
      <c r="G89" s="7206">
        <f>+E89+F89</f>
        <v>778.07999999999993</v>
      </c>
      <c r="H89" s="7207">
        <f>+H86+H7</f>
        <v>3969.8999999999996</v>
      </c>
      <c r="I89" s="7206">
        <f>+G89+H89</f>
        <v>4747.9799999999996</v>
      </c>
      <c r="J89" s="7207">
        <f>+J86+J7</f>
        <v>1565.5</v>
      </c>
      <c r="K89" s="7206">
        <f>+I89+J89</f>
        <v>6313.48</v>
      </c>
      <c r="L89" s="7207">
        <f>+L86+L7</f>
        <v>2139.64</v>
      </c>
      <c r="M89" s="7206">
        <f>+K89+L89</f>
        <v>8453.119999999999</v>
      </c>
      <c r="N89" s="7207">
        <f>+N86+N7</f>
        <v>1570.5</v>
      </c>
      <c r="O89" s="7206">
        <f t="shared" ref="O89" si="124">+J89+L89+N89</f>
        <v>5275.6399999999994</v>
      </c>
      <c r="P89" s="7206">
        <f>+M89+N89</f>
        <v>10023.619999999999</v>
      </c>
      <c r="Q89" s="7207">
        <f>+Q86+Q7</f>
        <v>2050.12</v>
      </c>
      <c r="R89" s="7206">
        <f>+P89+Q89</f>
        <v>12073.739999999998</v>
      </c>
      <c r="S89" s="7207">
        <f>+S86+S7</f>
        <v>1222.4000000000001</v>
      </c>
      <c r="T89" s="7206">
        <f>+R89+S89</f>
        <v>13296.139999999998</v>
      </c>
      <c r="U89" s="7207">
        <f>+U86+U7</f>
        <v>1883.8800000000006</v>
      </c>
      <c r="V89" s="7206">
        <f t="shared" ref="V89" si="125">+Q89+S89+U89</f>
        <v>5156.4000000000005</v>
      </c>
      <c r="W89" s="7206">
        <f>+T89+U89</f>
        <v>15180.019999999999</v>
      </c>
      <c r="X89" s="7207">
        <f>+X86+X7</f>
        <v>3265.38</v>
      </c>
      <c r="Y89" s="7206">
        <f>+W89+X89</f>
        <v>18445.399999999998</v>
      </c>
      <c r="Z89" s="7207">
        <f>+Z86+Z7</f>
        <v>234.21</v>
      </c>
      <c r="AA89" s="7206">
        <f>+Y89+Z89</f>
        <v>18679.609999999997</v>
      </c>
      <c r="AB89" s="7207">
        <f>+AB86+AB7</f>
        <v>4878.4399999999996</v>
      </c>
      <c r="AC89" s="7206">
        <f t="shared" ref="AC89" si="126">+X89+Z89+AB89</f>
        <v>8378.0299999999988</v>
      </c>
      <c r="AD89" s="7206">
        <f t="shared" si="112"/>
        <v>13534.43</v>
      </c>
      <c r="AE89" s="7206">
        <f>+AA89+AB89</f>
        <v>23558.049999999996</v>
      </c>
    </row>
    <row r="90" spans="3:31" s="8212" customFormat="1" ht="20" x14ac:dyDescent="0.2">
      <c r="C90" s="7203" t="s">
        <v>1892</v>
      </c>
      <c r="D90" s="7204"/>
      <c r="E90" s="7205"/>
      <c r="F90" s="7205"/>
      <c r="G90" s="7206"/>
      <c r="H90" s="7207"/>
      <c r="I90" s="7206"/>
      <c r="J90" s="7207"/>
      <c r="K90" s="7206"/>
      <c r="L90" s="7207"/>
      <c r="M90" s="7206"/>
      <c r="N90" s="7207"/>
      <c r="O90" s="7206"/>
      <c r="P90" s="7206"/>
      <c r="Q90" s="7207"/>
      <c r="R90" s="7206"/>
      <c r="S90" s="7207"/>
      <c r="T90" s="7206"/>
      <c r="U90" s="7207"/>
      <c r="V90" s="7206"/>
      <c r="W90" s="7206"/>
      <c r="X90" s="7207"/>
      <c r="Y90" s="7206"/>
      <c r="Z90" s="7207"/>
      <c r="AA90" s="7206"/>
      <c r="AB90" s="7207"/>
      <c r="AC90" s="7206"/>
      <c r="AD90" s="7206">
        <f t="shared" si="112"/>
        <v>0</v>
      </c>
      <c r="AE90" s="7206"/>
    </row>
    <row r="91" spans="3:31" s="8212" customFormat="1" ht="18" x14ac:dyDescent="0.2">
      <c r="C91" s="1609" t="s">
        <v>98</v>
      </c>
      <c r="D91" s="5217" t="s">
        <v>863</v>
      </c>
      <c r="E91" s="5796">
        <f>+E93-E92</f>
        <v>19751.66</v>
      </c>
      <c r="F91" s="5796">
        <f t="shared" ref="F91:AA91" si="127">+F93-F92</f>
        <v>69551.360000000001</v>
      </c>
      <c r="G91" s="5796">
        <f t="shared" si="127"/>
        <v>89303.02</v>
      </c>
      <c r="H91" s="5796">
        <f t="shared" si="127"/>
        <v>77900.91</v>
      </c>
      <c r="I91" s="5796">
        <f t="shared" si="127"/>
        <v>167203.93</v>
      </c>
      <c r="J91" s="5796">
        <f t="shared" si="127"/>
        <v>73503.63</v>
      </c>
      <c r="K91" s="5796">
        <f t="shared" si="127"/>
        <v>240707.56</v>
      </c>
      <c r="L91" s="5796">
        <f t="shared" si="127"/>
        <v>77428.87000000001</v>
      </c>
      <c r="M91" s="5796">
        <f t="shared" si="127"/>
        <v>318136.43</v>
      </c>
      <c r="N91" s="5796">
        <f t="shared" si="127"/>
        <v>46883.219999999994</v>
      </c>
      <c r="O91" s="5796">
        <f t="shared" si="127"/>
        <v>197815.72</v>
      </c>
      <c r="P91" s="5796">
        <f t="shared" si="127"/>
        <v>365019.64999999997</v>
      </c>
      <c r="Q91" s="5796">
        <f t="shared" si="127"/>
        <v>28974.929999999997</v>
      </c>
      <c r="R91" s="5796">
        <f t="shared" si="127"/>
        <v>393994.57999999996</v>
      </c>
      <c r="S91" s="5796">
        <f t="shared" si="127"/>
        <v>70613.84</v>
      </c>
      <c r="T91" s="5796">
        <f t="shared" si="127"/>
        <v>464608.41999999993</v>
      </c>
      <c r="U91" s="5796">
        <f t="shared" si="127"/>
        <v>70626.11</v>
      </c>
      <c r="V91" s="5796">
        <f t="shared" si="127"/>
        <v>170214.88</v>
      </c>
      <c r="W91" s="5796">
        <f t="shared" si="127"/>
        <v>535234.52999999991</v>
      </c>
      <c r="X91" s="5796">
        <f t="shared" si="127"/>
        <v>74386.92</v>
      </c>
      <c r="Y91" s="5796">
        <f t="shared" si="127"/>
        <v>609621.44999999995</v>
      </c>
      <c r="Z91" s="5796">
        <f t="shared" si="127"/>
        <v>85014.55</v>
      </c>
      <c r="AA91" s="5796">
        <f t="shared" si="127"/>
        <v>694635.99999999988</v>
      </c>
      <c r="AB91" s="5796">
        <v>104578.25</v>
      </c>
      <c r="AC91" s="5796">
        <f t="shared" ref="AC91:AE91" si="128">+AC93-AC92</f>
        <v>263979.72000000003</v>
      </c>
      <c r="AD91" s="5796">
        <f t="shared" si="112"/>
        <v>434194.60000000003</v>
      </c>
      <c r="AE91" s="5796">
        <f t="shared" si="128"/>
        <v>799214.24999999988</v>
      </c>
    </row>
    <row r="92" spans="3:31" s="8212" customFormat="1" ht="16" x14ac:dyDescent="0.2">
      <c r="C92" s="1609" t="s">
        <v>99</v>
      </c>
      <c r="D92" s="5217" t="s">
        <v>863</v>
      </c>
      <c r="E92" s="3184">
        <v>0</v>
      </c>
      <c r="F92" s="3184">
        <v>0</v>
      </c>
      <c r="G92" s="5901">
        <f>+E92+F92</f>
        <v>0</v>
      </c>
      <c r="H92" s="6371">
        <v>0</v>
      </c>
      <c r="I92" s="6271">
        <f>+G92+H92</f>
        <v>0</v>
      </c>
      <c r="J92" s="6371">
        <v>0</v>
      </c>
      <c r="K92" s="5901">
        <f>+I92+J92</f>
        <v>0</v>
      </c>
      <c r="L92" s="6371">
        <v>0</v>
      </c>
      <c r="M92" s="5901">
        <f>+K92+L92</f>
        <v>0</v>
      </c>
      <c r="N92" s="6371">
        <v>0</v>
      </c>
      <c r="O92" s="6271">
        <f t="shared" ref="O92" si="129">+J92+L92+N92</f>
        <v>0</v>
      </c>
      <c r="P92" s="7072">
        <f>+M92+N92</f>
        <v>0</v>
      </c>
      <c r="Q92" s="6371">
        <v>0</v>
      </c>
      <c r="R92" s="5901">
        <f>+P92+Q92</f>
        <v>0</v>
      </c>
      <c r="S92" s="6371">
        <v>0</v>
      </c>
      <c r="T92" s="5901">
        <f>+R92+S92</f>
        <v>0</v>
      </c>
      <c r="U92" s="6371">
        <v>0</v>
      </c>
      <c r="V92" s="6271">
        <f t="shared" ref="V92" si="130">+Q92+S92+U92</f>
        <v>0</v>
      </c>
      <c r="W92" s="5901">
        <f>+T92+U92</f>
        <v>0</v>
      </c>
      <c r="X92" s="6371">
        <v>0</v>
      </c>
      <c r="Y92" s="5901">
        <f>+W92+X92</f>
        <v>0</v>
      </c>
      <c r="Z92" s="6371">
        <v>248.04</v>
      </c>
      <c r="AA92" s="5901">
        <f>+Y92+Z92</f>
        <v>248.04</v>
      </c>
      <c r="AB92" s="6371">
        <v>0</v>
      </c>
      <c r="AC92" s="6271">
        <f t="shared" ref="AC92:AC95" si="131">+X92+Z92+AB92</f>
        <v>248.04</v>
      </c>
      <c r="AD92" s="6271">
        <f t="shared" si="112"/>
        <v>248.04</v>
      </c>
      <c r="AE92" s="7072">
        <f>+AA92+AB92</f>
        <v>248.04</v>
      </c>
    </row>
    <row r="93" spans="3:31" ht="18" x14ac:dyDescent="0.2">
      <c r="C93" s="5188" t="s">
        <v>1892</v>
      </c>
      <c r="D93" s="5217" t="s">
        <v>863</v>
      </c>
      <c r="E93" s="5796">
        <f>+E94+E95</f>
        <v>19751.66</v>
      </c>
      <c r="F93" s="5796">
        <f>+F94+F95</f>
        <v>69551.360000000001</v>
      </c>
      <c r="G93" s="6374">
        <f>+E93+F93</f>
        <v>89303.02</v>
      </c>
      <c r="H93" s="6370">
        <f>+H94+H95</f>
        <v>77900.91</v>
      </c>
      <c r="I93" s="6377">
        <f>+G93+H93</f>
        <v>167203.93</v>
      </c>
      <c r="J93" s="6370">
        <f>+J94+J95</f>
        <v>73503.63</v>
      </c>
      <c r="K93" s="6374">
        <f>+I93+J93</f>
        <v>240707.56</v>
      </c>
      <c r="L93" s="6370">
        <f>+L94+L95</f>
        <v>77428.87000000001</v>
      </c>
      <c r="M93" s="6374">
        <f>+K93+L93</f>
        <v>318136.43</v>
      </c>
      <c r="N93" s="6370">
        <f>+N94+N95</f>
        <v>46883.219999999994</v>
      </c>
      <c r="O93" s="6377">
        <f t="shared" si="0"/>
        <v>197815.72</v>
      </c>
      <c r="P93" s="7201">
        <f>+M93+N93</f>
        <v>365019.64999999997</v>
      </c>
      <c r="Q93" s="6370">
        <f>+Q94+Q95</f>
        <v>28974.929999999997</v>
      </c>
      <c r="R93" s="6374">
        <f>+P93+Q93</f>
        <v>393994.57999999996</v>
      </c>
      <c r="S93" s="6370">
        <f>+S94+S95</f>
        <v>70613.84</v>
      </c>
      <c r="T93" s="6374">
        <f>+R93+S93</f>
        <v>464608.41999999993</v>
      </c>
      <c r="U93" s="6370">
        <f>+U94+U95</f>
        <v>70626.11</v>
      </c>
      <c r="V93" s="6377">
        <f t="shared" ref="V93:V95" si="132">+Q93+S93+U93</f>
        <v>170214.88</v>
      </c>
      <c r="W93" s="6374">
        <f>+T93+U93</f>
        <v>535234.52999999991</v>
      </c>
      <c r="X93" s="6370">
        <f>+X94+X95</f>
        <v>74386.92</v>
      </c>
      <c r="Y93" s="6374">
        <f>+W93+X93</f>
        <v>609621.44999999995</v>
      </c>
      <c r="Z93" s="6370">
        <f>+Z94+Z95</f>
        <v>85262.59</v>
      </c>
      <c r="AA93" s="6374">
        <f>+Y93+Z93</f>
        <v>694884.03999999992</v>
      </c>
      <c r="AB93" s="6370">
        <f>+AB94+AB95</f>
        <v>104578.25</v>
      </c>
      <c r="AC93" s="6377">
        <f t="shared" si="131"/>
        <v>264227.76</v>
      </c>
      <c r="AD93" s="6377">
        <f t="shared" si="112"/>
        <v>434442.64</v>
      </c>
      <c r="AE93" s="7201">
        <f>+AA93+AB93</f>
        <v>799462.28999999992</v>
      </c>
    </row>
    <row r="94" spans="3:31" s="5413" customFormat="1" ht="16" x14ac:dyDescent="0.2">
      <c r="C94" s="5418" t="s">
        <v>502</v>
      </c>
      <c r="D94" s="5217" t="s">
        <v>863</v>
      </c>
      <c r="E94" s="3184">
        <v>19751.66</v>
      </c>
      <c r="F94" s="3184">
        <v>62282.520000000004</v>
      </c>
      <c r="G94" s="5901">
        <f>+E94+F94</f>
        <v>82034.180000000008</v>
      </c>
      <c r="H94" s="6371">
        <v>70484.41</v>
      </c>
      <c r="I94" s="6271">
        <f>+G94+H94</f>
        <v>152518.59000000003</v>
      </c>
      <c r="J94" s="6371">
        <v>69714.63</v>
      </c>
      <c r="K94" s="5901">
        <f>+I94+J94</f>
        <v>222233.22000000003</v>
      </c>
      <c r="L94" s="6371">
        <v>66353.350000000006</v>
      </c>
      <c r="M94" s="5901">
        <f>+K94+L94</f>
        <v>288586.57000000007</v>
      </c>
      <c r="N94" s="6371">
        <v>43119.799999999996</v>
      </c>
      <c r="O94" s="6271">
        <f t="shared" si="0"/>
        <v>179187.78</v>
      </c>
      <c r="P94" s="7072">
        <f>+M94+N94</f>
        <v>331706.37000000005</v>
      </c>
      <c r="Q94" s="6371">
        <v>28974.929999999997</v>
      </c>
      <c r="R94" s="5901">
        <f>+P94+Q94</f>
        <v>360681.30000000005</v>
      </c>
      <c r="S94" s="6371">
        <v>70613.84</v>
      </c>
      <c r="T94" s="5901">
        <f>+R94+S94</f>
        <v>431295.14</v>
      </c>
      <c r="U94" s="6371">
        <v>66811.11</v>
      </c>
      <c r="V94" s="6271">
        <f t="shared" si="132"/>
        <v>166399.88</v>
      </c>
      <c r="W94" s="5901">
        <f>+T94+U94</f>
        <v>498106.25</v>
      </c>
      <c r="X94" s="6371">
        <v>66878.09</v>
      </c>
      <c r="Y94" s="5901">
        <f>+W94+X94</f>
        <v>564984.34</v>
      </c>
      <c r="Z94" s="6371">
        <v>77754.19</v>
      </c>
      <c r="AA94" s="5901">
        <f>+Y94+Z94</f>
        <v>642738.53</v>
      </c>
      <c r="AB94" s="6371">
        <f>+AB91</f>
        <v>104578.25</v>
      </c>
      <c r="AC94" s="6271">
        <f t="shared" si="131"/>
        <v>249210.53</v>
      </c>
      <c r="AD94" s="6271">
        <f t="shared" si="112"/>
        <v>415610.41000000003</v>
      </c>
      <c r="AE94" s="7072">
        <f>+AA94+AB94</f>
        <v>747316.78</v>
      </c>
    </row>
    <row r="95" spans="3:31" s="5413" customFormat="1" ht="17" thickBot="1" x14ac:dyDescent="0.25">
      <c r="C95" s="5419" t="s">
        <v>503</v>
      </c>
      <c r="D95" s="5221" t="s">
        <v>863</v>
      </c>
      <c r="E95" s="3185">
        <v>0</v>
      </c>
      <c r="F95" s="3185">
        <v>7268.84</v>
      </c>
      <c r="G95" s="5901">
        <f>+E95+F95</f>
        <v>7268.84</v>
      </c>
      <c r="H95" s="6372">
        <v>7416.5</v>
      </c>
      <c r="I95" s="6271">
        <f>+G95+H95</f>
        <v>14685.34</v>
      </c>
      <c r="J95" s="6372">
        <v>3789</v>
      </c>
      <c r="K95" s="5901">
        <f>+I95+J95</f>
        <v>18474.34</v>
      </c>
      <c r="L95" s="6372">
        <v>11075.52</v>
      </c>
      <c r="M95" s="5901">
        <f>+K95+L95</f>
        <v>29549.86</v>
      </c>
      <c r="N95" s="6372">
        <v>3763.42</v>
      </c>
      <c r="O95" s="6271">
        <f t="shared" si="0"/>
        <v>18627.940000000002</v>
      </c>
      <c r="P95" s="7072">
        <f>+M95+N95</f>
        <v>33313.279999999999</v>
      </c>
      <c r="Q95" s="6372">
        <v>0</v>
      </c>
      <c r="R95" s="5901">
        <f>+P95+Q95</f>
        <v>33313.279999999999</v>
      </c>
      <c r="S95" s="6372">
        <v>0</v>
      </c>
      <c r="T95" s="5901">
        <f>+R95+S95</f>
        <v>33313.279999999999</v>
      </c>
      <c r="U95" s="6372">
        <v>3815</v>
      </c>
      <c r="V95" s="6271">
        <f t="shared" si="132"/>
        <v>3815</v>
      </c>
      <c r="W95" s="5901">
        <f>+T95+U95</f>
        <v>37128.28</v>
      </c>
      <c r="X95" s="6372">
        <v>7508.83</v>
      </c>
      <c r="Y95" s="5901">
        <f>+W95+X95</f>
        <v>44637.11</v>
      </c>
      <c r="Z95" s="6372">
        <v>7508.4</v>
      </c>
      <c r="AA95" s="5901">
        <f>+Y95+Z95</f>
        <v>52145.51</v>
      </c>
      <c r="AB95" s="6372">
        <v>0</v>
      </c>
      <c r="AC95" s="6271">
        <f t="shared" si="131"/>
        <v>15017.23</v>
      </c>
      <c r="AD95" s="6271">
        <f t="shared" si="112"/>
        <v>18832.23</v>
      </c>
      <c r="AE95" s="7072">
        <f>+AA95+AB95</f>
        <v>52145.51</v>
      </c>
    </row>
    <row r="96" spans="3:31" ht="26" thickBot="1" x14ac:dyDescent="0.25">
      <c r="C96" s="7892" t="s">
        <v>1893</v>
      </c>
      <c r="D96" s="5420" t="s">
        <v>863</v>
      </c>
      <c r="E96" s="6375">
        <f t="shared" ref="E96:M96" si="133">+SUM(E7:E93)-E88</f>
        <v>42833.83</v>
      </c>
      <c r="F96" s="6375">
        <f t="shared" si="133"/>
        <v>159486.51</v>
      </c>
      <c r="G96" s="6375">
        <f t="shared" si="133"/>
        <v>202320.34000000003</v>
      </c>
      <c r="H96" s="6375">
        <f t="shared" si="133"/>
        <v>198903.71900000001</v>
      </c>
      <c r="I96" s="6375">
        <f t="shared" si="133"/>
        <v>401224.05900000001</v>
      </c>
      <c r="J96" s="6375">
        <f t="shared" si="133"/>
        <v>173250.57</v>
      </c>
      <c r="K96" s="6375">
        <f t="shared" si="133"/>
        <v>574474.62900000007</v>
      </c>
      <c r="L96" s="6375">
        <f t="shared" si="133"/>
        <v>186686.87</v>
      </c>
      <c r="M96" s="6375">
        <f t="shared" si="133"/>
        <v>761161.49899999995</v>
      </c>
      <c r="N96" s="6375">
        <f>+SUM(N7:N93)-N88</f>
        <v>122552.31999999998</v>
      </c>
      <c r="O96" s="6375">
        <f t="shared" ref="O96:P96" si="134">+SUM(O7:O93)-O88</f>
        <v>482489.76</v>
      </c>
      <c r="P96" s="6375">
        <f t="shared" si="134"/>
        <v>883713.8189999999</v>
      </c>
      <c r="Q96" s="6375">
        <f t="shared" ref="Q96:R96" si="135">+SUM(Q7:Q93)-Q88</f>
        <v>80755.45</v>
      </c>
      <c r="R96" s="6375">
        <f t="shared" si="135"/>
        <v>964469.26899999985</v>
      </c>
      <c r="S96" s="6375">
        <f>+SUM(S7:S93)-S88</f>
        <v>167983.13</v>
      </c>
      <c r="T96" s="6375">
        <f t="shared" ref="T96" si="136">+SUM(T7:T93)-T88</f>
        <v>1132452.3989999997</v>
      </c>
      <c r="U96" s="6375">
        <f>+SUM(U7:U93)-U88</f>
        <v>177454.05</v>
      </c>
      <c r="V96" s="6375">
        <f t="shared" ref="V96:W96" si="137">+SUM(V7:V93)-V88</f>
        <v>426192.63</v>
      </c>
      <c r="W96" s="6375">
        <f t="shared" si="137"/>
        <v>1309906.4489999996</v>
      </c>
      <c r="X96" s="6375">
        <f>+SUM(X7:X93)-X88-X89</f>
        <v>170788.31999999998</v>
      </c>
      <c r="Y96" s="6375">
        <f t="shared" ref="Y96:AA96" si="138">+SUM(Y7:Y93)-Y88</f>
        <v>1483960.149</v>
      </c>
      <c r="Z96" s="6375">
        <f>+SUM(Z7:Z93)-Z88-Z89</f>
        <v>193147.89</v>
      </c>
      <c r="AA96" s="6375">
        <f t="shared" si="138"/>
        <v>1677342.2490000001</v>
      </c>
      <c r="AB96" s="6375">
        <f>+SUM(AB7:AB93)-AB88-AB89</f>
        <v>233582.02</v>
      </c>
      <c r="AC96" s="6375">
        <f t="shared" ref="AC96:AE96" si="139">+SUM(AC7:AC93)-AC88</f>
        <v>602144.38</v>
      </c>
      <c r="AD96" s="6375">
        <f t="shared" si="112"/>
        <v>1028337.01</v>
      </c>
      <c r="AE96" s="6375">
        <f t="shared" si="139"/>
        <v>1912050.8290000001</v>
      </c>
    </row>
    <row r="97" spans="3:31" s="3380" customFormat="1" ht="19" thickBot="1" x14ac:dyDescent="0.25">
      <c r="C97" s="5911"/>
      <c r="D97" s="5912"/>
      <c r="E97" s="5913"/>
      <c r="F97" s="5914"/>
      <c r="G97" s="5913"/>
      <c r="H97" s="5914"/>
      <c r="I97" s="5913"/>
      <c r="J97" s="5914"/>
      <c r="K97" s="5913"/>
      <c r="L97" s="5914"/>
      <c r="M97" s="5913"/>
      <c r="N97" s="5914"/>
      <c r="O97" s="5913"/>
      <c r="P97" s="5913"/>
      <c r="Q97" s="5914"/>
      <c r="R97" s="5913"/>
      <c r="S97" s="5914"/>
      <c r="T97" s="5913"/>
      <c r="U97" s="5914"/>
      <c r="V97" s="5913"/>
      <c r="W97" s="5913"/>
      <c r="X97" s="5914"/>
      <c r="Y97" s="5913"/>
      <c r="Z97" s="5914"/>
      <c r="AA97" s="5913"/>
      <c r="AB97" s="5914"/>
      <c r="AC97" s="5913"/>
      <c r="AD97" s="5913">
        <f t="shared" si="112"/>
        <v>0</v>
      </c>
      <c r="AE97" s="5913"/>
    </row>
    <row r="98" spans="3:31" s="3380" customFormat="1" ht="25" x14ac:dyDescent="0.2">
      <c r="C98" s="7892" t="s">
        <v>1883</v>
      </c>
      <c r="D98" s="5915"/>
      <c r="E98" s="5916"/>
      <c r="F98" s="5917"/>
      <c r="G98" s="5916"/>
      <c r="H98" s="5917"/>
      <c r="I98" s="5916"/>
      <c r="J98" s="5917"/>
      <c r="K98" s="5916"/>
      <c r="L98" s="5917"/>
      <c r="M98" s="5916"/>
      <c r="N98" s="5917"/>
      <c r="O98" s="5916"/>
      <c r="P98" s="5916"/>
      <c r="Q98" s="5917"/>
      <c r="R98" s="5916"/>
      <c r="S98" s="5917"/>
      <c r="T98" s="5916"/>
      <c r="U98" s="5917"/>
      <c r="V98" s="5916"/>
      <c r="W98" s="5916"/>
      <c r="X98" s="5917"/>
      <c r="Y98" s="5916"/>
      <c r="Z98" s="5917"/>
      <c r="AA98" s="5916"/>
      <c r="AB98" s="5917"/>
      <c r="AC98" s="5916"/>
      <c r="AD98" s="5916">
        <f t="shared" si="112"/>
        <v>0</v>
      </c>
      <c r="AE98" s="5916"/>
    </row>
    <row r="99" spans="3:31" s="3380" customFormat="1" ht="18" x14ac:dyDescent="0.2">
      <c r="C99" s="5902" t="s">
        <v>1887</v>
      </c>
      <c r="D99" s="5903"/>
      <c r="E99" s="5904"/>
      <c r="F99" s="5905"/>
      <c r="G99" s="5906"/>
      <c r="H99" s="5905"/>
      <c r="I99" s="5906"/>
      <c r="J99" s="5905"/>
      <c r="K99" s="5907"/>
      <c r="L99" s="5905"/>
      <c r="M99" s="5907"/>
      <c r="N99" s="5905"/>
      <c r="O99" s="5906"/>
      <c r="P99" s="5907"/>
      <c r="Q99" s="5905"/>
      <c r="R99" s="5907"/>
      <c r="S99" s="5905"/>
      <c r="T99" s="5907"/>
      <c r="U99" s="5905"/>
      <c r="V99" s="5906"/>
      <c r="W99" s="5907"/>
      <c r="X99" s="5905"/>
      <c r="Y99" s="5907"/>
      <c r="Z99" s="5905"/>
      <c r="AA99" s="5907"/>
      <c r="AB99" s="5905"/>
      <c r="AC99" s="5906"/>
      <c r="AD99" s="5906">
        <f t="shared" si="112"/>
        <v>0</v>
      </c>
      <c r="AE99" s="5907"/>
    </row>
    <row r="100" spans="3:31" x14ac:dyDescent="0.2">
      <c r="C100" s="5186" t="s">
        <v>1705</v>
      </c>
      <c r="D100" s="3835" t="s">
        <v>863</v>
      </c>
      <c r="E100" s="1646">
        <v>0</v>
      </c>
      <c r="F100" s="1675">
        <v>7.66</v>
      </c>
      <c r="G100" s="1905">
        <f>+E100+F100</f>
        <v>7.66</v>
      </c>
      <c r="H100" s="1675">
        <v>0</v>
      </c>
      <c r="I100" s="2015">
        <f>+G100+H100</f>
        <v>7.66</v>
      </c>
      <c r="J100" s="1675">
        <v>0</v>
      </c>
      <c r="K100" s="5901">
        <f>+I100+J100</f>
        <v>7.66</v>
      </c>
      <c r="L100" s="1675">
        <v>0</v>
      </c>
      <c r="M100" s="5901">
        <f>+K100+L100</f>
        <v>7.66</v>
      </c>
      <c r="N100" s="1675">
        <v>0</v>
      </c>
      <c r="O100" s="6271">
        <f>+J100+L100+N100</f>
        <v>0</v>
      </c>
      <c r="P100" s="7072">
        <f>+M100+N100</f>
        <v>7.66</v>
      </c>
      <c r="Q100" s="1675">
        <v>0</v>
      </c>
      <c r="R100" s="5901">
        <f>+P100+Q100</f>
        <v>7.66</v>
      </c>
      <c r="S100" s="1675">
        <v>0</v>
      </c>
      <c r="T100" s="5901">
        <f>+R100+S100</f>
        <v>7.66</v>
      </c>
      <c r="U100" s="1675">
        <v>0</v>
      </c>
      <c r="V100" s="6271">
        <f t="shared" ref="V100:V127" si="140">+Q100+S100+U100</f>
        <v>0</v>
      </c>
      <c r="W100" s="5901">
        <f t="shared" ref="W100:W127" si="141">+T100+U100</f>
        <v>7.66</v>
      </c>
      <c r="X100" s="1675">
        <v>0</v>
      </c>
      <c r="Y100" s="5901">
        <f>+W100+X100</f>
        <v>7.66</v>
      </c>
      <c r="Z100" s="1675"/>
      <c r="AA100" s="5901">
        <f>+Y100+Z100</f>
        <v>7.66</v>
      </c>
      <c r="AB100" s="1675"/>
      <c r="AC100" s="6271">
        <f>+X100+Z100+AB100</f>
        <v>0</v>
      </c>
      <c r="AD100" s="6271">
        <f t="shared" si="112"/>
        <v>0</v>
      </c>
      <c r="AE100" s="7072">
        <f>+AA100+AB100</f>
        <v>7.66</v>
      </c>
    </row>
    <row r="101" spans="3:31" s="8404" customFormat="1" x14ac:dyDescent="0.2">
      <c r="C101" s="5186" t="s">
        <v>2623</v>
      </c>
      <c r="D101" s="3835"/>
      <c r="E101" s="3138"/>
      <c r="F101" s="1675"/>
      <c r="G101" s="1905"/>
      <c r="H101" s="1675"/>
      <c r="I101" s="2015"/>
      <c r="J101" s="1675"/>
      <c r="K101" s="5901"/>
      <c r="L101" s="1675"/>
      <c r="M101" s="5901"/>
      <c r="N101" s="1675"/>
      <c r="O101" s="6271"/>
      <c r="P101" s="7072"/>
      <c r="Q101" s="1675"/>
      <c r="R101" s="5901"/>
      <c r="S101" s="1675"/>
      <c r="T101" s="5901"/>
      <c r="U101" s="1675"/>
      <c r="V101" s="6271"/>
      <c r="W101" s="5901"/>
      <c r="X101" s="1675"/>
      <c r="Y101" s="5901"/>
      <c r="Z101" s="1675"/>
      <c r="AA101" s="5901"/>
      <c r="AB101" s="1675">
        <v>14.96</v>
      </c>
      <c r="AC101" s="6271">
        <f>+X101+Z101+AB101</f>
        <v>14.96</v>
      </c>
      <c r="AD101" s="6271">
        <f t="shared" si="112"/>
        <v>14.96</v>
      </c>
      <c r="AE101" s="7072">
        <f t="shared" ref="AE101:AE134" si="142">+AA101+AB101</f>
        <v>14.96</v>
      </c>
    </row>
    <row r="102" spans="3:31" s="7129" customFormat="1" x14ac:dyDescent="0.2">
      <c r="C102" s="5186" t="s">
        <v>2253</v>
      </c>
      <c r="D102" s="3835" t="s">
        <v>863</v>
      </c>
      <c r="E102" s="3138">
        <v>0</v>
      </c>
      <c r="F102" s="1675">
        <v>0</v>
      </c>
      <c r="G102" s="1905">
        <f t="shared" ref="G102:G127" si="143">+E102+F102</f>
        <v>0</v>
      </c>
      <c r="H102" s="1675">
        <v>0</v>
      </c>
      <c r="I102" s="2015">
        <f t="shared" ref="I102:I127" si="144">+G102+H102</f>
        <v>0</v>
      </c>
      <c r="J102" s="1675">
        <v>0</v>
      </c>
      <c r="K102" s="5901">
        <f t="shared" ref="K102:K127" si="145">+I102+J102</f>
        <v>0</v>
      </c>
      <c r="L102" s="1675">
        <v>0</v>
      </c>
      <c r="M102" s="5901">
        <f t="shared" ref="M102:M127" si="146">+K102+L102</f>
        <v>0</v>
      </c>
      <c r="N102" s="1675">
        <v>96.509999999999991</v>
      </c>
      <c r="O102" s="6271">
        <f t="shared" ref="O102:O127" si="147">+J102+L102+N102</f>
        <v>96.509999999999991</v>
      </c>
      <c r="P102" s="7072">
        <f t="shared" ref="P102:P127" si="148">+M102+N102</f>
        <v>96.509999999999991</v>
      </c>
      <c r="Q102" s="1675">
        <v>0</v>
      </c>
      <c r="R102" s="5901">
        <f t="shared" ref="R102:R127" si="149">+P102+Q102</f>
        <v>96.509999999999991</v>
      </c>
      <c r="S102" s="1675">
        <v>0</v>
      </c>
      <c r="T102" s="5901">
        <f t="shared" ref="T102:T127" si="150">+R102+S102</f>
        <v>96.509999999999991</v>
      </c>
      <c r="U102" s="1675">
        <v>0</v>
      </c>
      <c r="V102" s="6271">
        <f t="shared" si="140"/>
        <v>0</v>
      </c>
      <c r="W102" s="5901">
        <f t="shared" si="141"/>
        <v>96.509999999999991</v>
      </c>
      <c r="X102" s="1675">
        <v>0</v>
      </c>
      <c r="Y102" s="5901">
        <f t="shared" ref="Y102:Y127" si="151">+W102+X102</f>
        <v>96.509999999999991</v>
      </c>
      <c r="Z102" s="1675"/>
      <c r="AA102" s="5901">
        <f t="shared" ref="AA102:AA134" si="152">+Y102+Z102</f>
        <v>96.509999999999991</v>
      </c>
      <c r="AB102" s="1675"/>
      <c r="AC102" s="6271">
        <f t="shared" ref="AC102:AC108" si="153">+X102+Z102+AB102</f>
        <v>0</v>
      </c>
      <c r="AD102" s="6271">
        <f t="shared" si="112"/>
        <v>0</v>
      </c>
      <c r="AE102" s="7072">
        <f t="shared" si="142"/>
        <v>96.509999999999991</v>
      </c>
    </row>
    <row r="103" spans="3:31" s="5727" customFormat="1" x14ac:dyDescent="0.2">
      <c r="C103" s="5186" t="s">
        <v>1725</v>
      </c>
      <c r="D103" s="3835" t="s">
        <v>863</v>
      </c>
      <c r="E103" s="3138">
        <v>0</v>
      </c>
      <c r="F103" s="1675">
        <v>0</v>
      </c>
      <c r="G103" s="1905">
        <f t="shared" si="143"/>
        <v>0</v>
      </c>
      <c r="H103" s="1675">
        <v>0</v>
      </c>
      <c r="I103" s="2015">
        <f t="shared" si="144"/>
        <v>0</v>
      </c>
      <c r="J103" s="1675">
        <v>0</v>
      </c>
      <c r="K103" s="5901">
        <f t="shared" si="145"/>
        <v>0</v>
      </c>
      <c r="L103" s="1675">
        <v>0</v>
      </c>
      <c r="M103" s="5901">
        <f t="shared" si="146"/>
        <v>0</v>
      </c>
      <c r="N103" s="1675">
        <v>200</v>
      </c>
      <c r="O103" s="6271">
        <f t="shared" si="147"/>
        <v>200</v>
      </c>
      <c r="P103" s="7072">
        <f t="shared" si="148"/>
        <v>200</v>
      </c>
      <c r="Q103" s="1675">
        <v>200</v>
      </c>
      <c r="R103" s="5901">
        <f t="shared" si="149"/>
        <v>400</v>
      </c>
      <c r="S103" s="1675">
        <v>0</v>
      </c>
      <c r="T103" s="5901">
        <f t="shared" si="150"/>
        <v>400</v>
      </c>
      <c r="U103" s="1675">
        <v>0</v>
      </c>
      <c r="V103" s="6271">
        <f t="shared" si="140"/>
        <v>200</v>
      </c>
      <c r="W103" s="5901">
        <f t="shared" si="141"/>
        <v>400</v>
      </c>
      <c r="X103" s="1675">
        <v>0</v>
      </c>
      <c r="Y103" s="5901">
        <f t="shared" si="151"/>
        <v>400</v>
      </c>
      <c r="Z103" s="1675"/>
      <c r="AA103" s="5901">
        <f t="shared" si="152"/>
        <v>400</v>
      </c>
      <c r="AB103" s="1675"/>
      <c r="AC103" s="6271">
        <f t="shared" si="153"/>
        <v>0</v>
      </c>
      <c r="AD103" s="6271">
        <f t="shared" si="112"/>
        <v>200</v>
      </c>
      <c r="AE103" s="7072">
        <f t="shared" si="142"/>
        <v>400</v>
      </c>
    </row>
    <row r="104" spans="3:31" s="7129" customFormat="1" x14ac:dyDescent="0.2">
      <c r="C104" s="5186" t="s">
        <v>2440</v>
      </c>
      <c r="D104" s="3835" t="s">
        <v>863</v>
      </c>
      <c r="E104" s="3138"/>
      <c r="F104" s="1675"/>
      <c r="G104" s="1905">
        <f t="shared" si="143"/>
        <v>0</v>
      </c>
      <c r="H104" s="1675"/>
      <c r="I104" s="2015">
        <f t="shared" si="144"/>
        <v>0</v>
      </c>
      <c r="J104" s="1675"/>
      <c r="K104" s="5901">
        <f t="shared" si="145"/>
        <v>0</v>
      </c>
      <c r="L104" s="1675"/>
      <c r="M104" s="5901">
        <f t="shared" si="146"/>
        <v>0</v>
      </c>
      <c r="N104" s="1675"/>
      <c r="O104" s="6271">
        <f t="shared" si="147"/>
        <v>0</v>
      </c>
      <c r="P104" s="7072">
        <f t="shared" si="148"/>
        <v>0</v>
      </c>
      <c r="Q104" s="1675"/>
      <c r="R104" s="5901">
        <f t="shared" si="149"/>
        <v>0</v>
      </c>
      <c r="S104" s="1675">
        <v>150</v>
      </c>
      <c r="T104" s="5901">
        <f t="shared" si="150"/>
        <v>150</v>
      </c>
      <c r="U104" s="1675">
        <v>0</v>
      </c>
      <c r="V104" s="6271">
        <f t="shared" si="140"/>
        <v>150</v>
      </c>
      <c r="W104" s="5901">
        <f t="shared" si="141"/>
        <v>150</v>
      </c>
      <c r="X104" s="1675">
        <v>0</v>
      </c>
      <c r="Y104" s="5901">
        <f t="shared" si="151"/>
        <v>150</v>
      </c>
      <c r="Z104" s="1675"/>
      <c r="AA104" s="5901">
        <f t="shared" si="152"/>
        <v>150</v>
      </c>
      <c r="AB104" s="1675"/>
      <c r="AC104" s="6271">
        <f t="shared" si="153"/>
        <v>0</v>
      </c>
      <c r="AD104" s="6271">
        <f t="shared" si="112"/>
        <v>150</v>
      </c>
      <c r="AE104" s="7072">
        <f t="shared" si="142"/>
        <v>150</v>
      </c>
    </row>
    <row r="105" spans="3:31" s="7634" customFormat="1" x14ac:dyDescent="0.2">
      <c r="C105" s="5186" t="s">
        <v>2210</v>
      </c>
      <c r="D105" s="3835" t="s">
        <v>863</v>
      </c>
      <c r="E105" s="3138">
        <v>0</v>
      </c>
      <c r="F105" s="1675">
        <v>0</v>
      </c>
      <c r="G105" s="1905">
        <f t="shared" si="143"/>
        <v>0</v>
      </c>
      <c r="H105" s="1675">
        <v>0</v>
      </c>
      <c r="I105" s="2015">
        <f t="shared" si="144"/>
        <v>0</v>
      </c>
      <c r="J105" s="1675">
        <v>0</v>
      </c>
      <c r="K105" s="5901">
        <f t="shared" si="145"/>
        <v>0</v>
      </c>
      <c r="L105" s="1675">
        <v>1092.3899999999999</v>
      </c>
      <c r="M105" s="5901">
        <f t="shared" si="146"/>
        <v>1092.3899999999999</v>
      </c>
      <c r="N105" s="1675">
        <v>0</v>
      </c>
      <c r="O105" s="6271">
        <f t="shared" si="147"/>
        <v>1092.3899999999999</v>
      </c>
      <c r="P105" s="7072">
        <f t="shared" si="148"/>
        <v>1092.3899999999999</v>
      </c>
      <c r="Q105" s="1675">
        <v>0</v>
      </c>
      <c r="R105" s="5901">
        <f t="shared" si="149"/>
        <v>1092.3899999999999</v>
      </c>
      <c r="S105" s="1675">
        <v>0</v>
      </c>
      <c r="T105" s="5901">
        <f t="shared" si="150"/>
        <v>1092.3899999999999</v>
      </c>
      <c r="U105" s="1675">
        <v>0</v>
      </c>
      <c r="V105" s="6271">
        <f t="shared" si="140"/>
        <v>0</v>
      </c>
      <c r="W105" s="5901">
        <f t="shared" si="141"/>
        <v>1092.3899999999999</v>
      </c>
      <c r="X105" s="1675">
        <v>0</v>
      </c>
      <c r="Y105" s="5901">
        <f t="shared" si="151"/>
        <v>1092.3899999999999</v>
      </c>
      <c r="Z105" s="1675"/>
      <c r="AA105" s="5901">
        <f t="shared" si="152"/>
        <v>1092.3899999999999</v>
      </c>
      <c r="AB105" s="1675"/>
      <c r="AC105" s="6271">
        <f t="shared" si="153"/>
        <v>0</v>
      </c>
      <c r="AD105" s="6271">
        <f t="shared" si="112"/>
        <v>0</v>
      </c>
      <c r="AE105" s="7072">
        <f t="shared" si="142"/>
        <v>1092.3899999999999</v>
      </c>
    </row>
    <row r="106" spans="3:31" s="7129" customFormat="1" x14ac:dyDescent="0.2">
      <c r="C106" s="5186" t="s">
        <v>2254</v>
      </c>
      <c r="D106" s="3835" t="s">
        <v>863</v>
      </c>
      <c r="E106" s="3138">
        <v>0</v>
      </c>
      <c r="F106" s="1675">
        <v>0</v>
      </c>
      <c r="G106" s="1905">
        <f t="shared" si="143"/>
        <v>0</v>
      </c>
      <c r="H106" s="1675">
        <v>0</v>
      </c>
      <c r="I106" s="2015">
        <f t="shared" si="144"/>
        <v>0</v>
      </c>
      <c r="J106" s="1675">
        <v>0</v>
      </c>
      <c r="K106" s="5901">
        <f t="shared" si="145"/>
        <v>0</v>
      </c>
      <c r="L106" s="1675">
        <v>0</v>
      </c>
      <c r="M106" s="5901">
        <f t="shared" si="146"/>
        <v>0</v>
      </c>
      <c r="N106" s="1675">
        <v>190.24000000000004</v>
      </c>
      <c r="O106" s="6271">
        <f t="shared" si="147"/>
        <v>190.24000000000004</v>
      </c>
      <c r="P106" s="7072">
        <f t="shared" si="148"/>
        <v>190.24000000000004</v>
      </c>
      <c r="Q106" s="1675">
        <v>0</v>
      </c>
      <c r="R106" s="5901">
        <f t="shared" si="149"/>
        <v>190.24000000000004</v>
      </c>
      <c r="S106" s="1675">
        <v>0</v>
      </c>
      <c r="T106" s="5901">
        <f t="shared" si="150"/>
        <v>190.24000000000004</v>
      </c>
      <c r="U106" s="1675">
        <v>0</v>
      </c>
      <c r="V106" s="6271">
        <f t="shared" si="140"/>
        <v>0</v>
      </c>
      <c r="W106" s="5901">
        <f t="shared" si="141"/>
        <v>190.24000000000004</v>
      </c>
      <c r="X106" s="1675">
        <v>0</v>
      </c>
      <c r="Y106" s="5901">
        <f t="shared" si="151"/>
        <v>190.24000000000004</v>
      </c>
      <c r="Z106" s="1675"/>
      <c r="AA106" s="5901">
        <f t="shared" si="152"/>
        <v>190.24000000000004</v>
      </c>
      <c r="AB106" s="1675"/>
      <c r="AC106" s="6271">
        <f t="shared" si="153"/>
        <v>0</v>
      </c>
      <c r="AD106" s="6271">
        <f t="shared" si="112"/>
        <v>0</v>
      </c>
      <c r="AE106" s="7072">
        <f t="shared" si="142"/>
        <v>190.24000000000004</v>
      </c>
    </row>
    <row r="107" spans="3:31" s="5985" customFormat="1" x14ac:dyDescent="0.2">
      <c r="C107" s="5186" t="s">
        <v>2439</v>
      </c>
      <c r="D107" s="3835" t="s">
        <v>863</v>
      </c>
      <c r="E107" s="3138"/>
      <c r="F107" s="1675"/>
      <c r="G107" s="1905">
        <f t="shared" si="143"/>
        <v>0</v>
      </c>
      <c r="H107" s="1675"/>
      <c r="I107" s="2015">
        <f t="shared" si="144"/>
        <v>0</v>
      </c>
      <c r="J107" s="1675"/>
      <c r="K107" s="5901">
        <f t="shared" si="145"/>
        <v>0</v>
      </c>
      <c r="L107" s="1675"/>
      <c r="M107" s="5901">
        <f t="shared" si="146"/>
        <v>0</v>
      </c>
      <c r="N107" s="1675"/>
      <c r="O107" s="6271">
        <f t="shared" si="147"/>
        <v>0</v>
      </c>
      <c r="P107" s="7072">
        <f t="shared" si="148"/>
        <v>0</v>
      </c>
      <c r="Q107" s="1675"/>
      <c r="R107" s="5901">
        <f t="shared" si="149"/>
        <v>0</v>
      </c>
      <c r="S107" s="1675">
        <v>2.95</v>
      </c>
      <c r="T107" s="5901">
        <f t="shared" si="150"/>
        <v>2.95</v>
      </c>
      <c r="U107" s="1675">
        <v>0</v>
      </c>
      <c r="V107" s="6271">
        <f t="shared" si="140"/>
        <v>2.95</v>
      </c>
      <c r="W107" s="5901">
        <f t="shared" si="141"/>
        <v>2.95</v>
      </c>
      <c r="X107" s="1675">
        <v>0</v>
      </c>
      <c r="Y107" s="5901">
        <f t="shared" si="151"/>
        <v>2.95</v>
      </c>
      <c r="Z107" s="1675"/>
      <c r="AA107" s="5901">
        <f t="shared" si="152"/>
        <v>2.95</v>
      </c>
      <c r="AB107" s="1675"/>
      <c r="AC107" s="6271">
        <f t="shared" si="153"/>
        <v>0</v>
      </c>
      <c r="AD107" s="6271">
        <f t="shared" si="112"/>
        <v>2.95</v>
      </c>
      <c r="AE107" s="7072">
        <f t="shared" si="142"/>
        <v>2.95</v>
      </c>
    </row>
    <row r="108" spans="3:31" s="7468" customFormat="1" x14ac:dyDescent="0.2">
      <c r="C108" s="5186" t="s">
        <v>2141</v>
      </c>
      <c r="D108" s="3835" t="s">
        <v>863</v>
      </c>
      <c r="E108" s="3138">
        <v>0</v>
      </c>
      <c r="F108" s="1675">
        <v>0</v>
      </c>
      <c r="G108" s="1905">
        <f t="shared" si="143"/>
        <v>0</v>
      </c>
      <c r="H108" s="1675">
        <v>0</v>
      </c>
      <c r="I108" s="2015">
        <f t="shared" si="144"/>
        <v>0</v>
      </c>
      <c r="J108" s="1675">
        <v>9.6</v>
      </c>
      <c r="K108" s="5901">
        <f t="shared" si="145"/>
        <v>9.6</v>
      </c>
      <c r="L108" s="1675">
        <v>0</v>
      </c>
      <c r="M108" s="5901">
        <f t="shared" si="146"/>
        <v>9.6</v>
      </c>
      <c r="N108" s="1675">
        <v>0</v>
      </c>
      <c r="O108" s="6271">
        <f t="shared" si="147"/>
        <v>9.6</v>
      </c>
      <c r="P108" s="7072">
        <f t="shared" si="148"/>
        <v>9.6</v>
      </c>
      <c r="Q108" s="1675">
        <v>0</v>
      </c>
      <c r="R108" s="5901">
        <f t="shared" si="149"/>
        <v>9.6</v>
      </c>
      <c r="S108" s="1675">
        <v>0</v>
      </c>
      <c r="T108" s="5901">
        <f t="shared" si="150"/>
        <v>9.6</v>
      </c>
      <c r="U108" s="1675">
        <v>0</v>
      </c>
      <c r="V108" s="6271">
        <f t="shared" si="140"/>
        <v>0</v>
      </c>
      <c r="W108" s="5901">
        <f t="shared" si="141"/>
        <v>9.6</v>
      </c>
      <c r="X108" s="1675">
        <v>0</v>
      </c>
      <c r="Y108" s="5901">
        <f t="shared" si="151"/>
        <v>9.6</v>
      </c>
      <c r="Z108" s="1675"/>
      <c r="AA108" s="5901">
        <f t="shared" si="152"/>
        <v>9.6</v>
      </c>
      <c r="AB108" s="1675"/>
      <c r="AC108" s="6271">
        <f t="shared" si="153"/>
        <v>0</v>
      </c>
      <c r="AD108" s="6271">
        <f t="shared" si="112"/>
        <v>0</v>
      </c>
      <c r="AE108" s="7072">
        <f t="shared" si="142"/>
        <v>9.6</v>
      </c>
    </row>
    <row r="109" spans="3:31" s="8125" customFormat="1" x14ac:dyDescent="0.2">
      <c r="C109" s="5186" t="s">
        <v>2571</v>
      </c>
      <c r="D109" s="3835" t="s">
        <v>863</v>
      </c>
      <c r="E109" s="3138"/>
      <c r="F109" s="1675"/>
      <c r="G109" s="1905"/>
      <c r="H109" s="1675"/>
      <c r="I109" s="2015"/>
      <c r="J109" s="1675"/>
      <c r="K109" s="5901"/>
      <c r="L109" s="1675"/>
      <c r="M109" s="5901"/>
      <c r="N109" s="1675"/>
      <c r="O109" s="6271"/>
      <c r="P109" s="7072"/>
      <c r="Q109" s="1675"/>
      <c r="R109" s="5901"/>
      <c r="S109" s="1675"/>
      <c r="T109" s="5901"/>
      <c r="U109" s="1675"/>
      <c r="V109" s="6271"/>
      <c r="W109" s="5901"/>
      <c r="X109" s="1675">
        <v>19.48</v>
      </c>
      <c r="Y109" s="5901">
        <f t="shared" si="151"/>
        <v>19.48</v>
      </c>
      <c r="Z109" s="1675"/>
      <c r="AA109" s="5901">
        <f t="shared" si="152"/>
        <v>19.48</v>
      </c>
      <c r="AB109" s="1675"/>
      <c r="AC109" s="6271"/>
      <c r="AD109" s="6271">
        <f t="shared" si="112"/>
        <v>0</v>
      </c>
      <c r="AE109" s="7072">
        <f t="shared" si="142"/>
        <v>19.48</v>
      </c>
    </row>
    <row r="110" spans="3:31" s="5438" customFormat="1" x14ac:dyDescent="0.2">
      <c r="C110" s="5186" t="s">
        <v>2341</v>
      </c>
      <c r="D110" s="3835" t="s">
        <v>863</v>
      </c>
      <c r="E110" s="3138"/>
      <c r="F110" s="1675"/>
      <c r="G110" s="1905">
        <f t="shared" si="143"/>
        <v>0</v>
      </c>
      <c r="H110" s="1675"/>
      <c r="I110" s="2015">
        <f t="shared" si="144"/>
        <v>0</v>
      </c>
      <c r="J110" s="1675"/>
      <c r="K110" s="5901">
        <f t="shared" si="145"/>
        <v>0</v>
      </c>
      <c r="L110" s="1675"/>
      <c r="M110" s="5901">
        <f t="shared" si="146"/>
        <v>0</v>
      </c>
      <c r="N110" s="1675"/>
      <c r="O110" s="6271">
        <f t="shared" si="147"/>
        <v>0</v>
      </c>
      <c r="P110" s="7072">
        <f t="shared" si="148"/>
        <v>0</v>
      </c>
      <c r="Q110" s="1675">
        <v>2</v>
      </c>
      <c r="R110" s="5901">
        <f t="shared" si="149"/>
        <v>2</v>
      </c>
      <c r="S110" s="1675">
        <v>0</v>
      </c>
      <c r="T110" s="5901">
        <f t="shared" si="150"/>
        <v>2</v>
      </c>
      <c r="U110" s="1675">
        <v>0</v>
      </c>
      <c r="V110" s="6271">
        <f t="shared" si="140"/>
        <v>2</v>
      </c>
      <c r="W110" s="5901">
        <f t="shared" si="141"/>
        <v>2</v>
      </c>
      <c r="X110" s="1675">
        <v>0</v>
      </c>
      <c r="Y110" s="5901">
        <f t="shared" si="151"/>
        <v>2</v>
      </c>
      <c r="Z110" s="1675"/>
      <c r="AA110" s="5901">
        <f t="shared" si="152"/>
        <v>2</v>
      </c>
      <c r="AB110" s="1675"/>
      <c r="AC110" s="6271">
        <f t="shared" ref="AC110:AC112" si="154">+X110+Z110+AB110</f>
        <v>0</v>
      </c>
      <c r="AD110" s="6271">
        <f t="shared" si="112"/>
        <v>2</v>
      </c>
      <c r="AE110" s="7072">
        <f t="shared" si="142"/>
        <v>2</v>
      </c>
    </row>
    <row r="111" spans="3:31" s="5985" customFormat="1" ht="16" x14ac:dyDescent="0.2">
      <c r="C111" s="5186" t="s">
        <v>2342</v>
      </c>
      <c r="D111" s="3835" t="s">
        <v>863</v>
      </c>
      <c r="E111" s="7880"/>
      <c r="F111" s="1675"/>
      <c r="G111" s="1905">
        <f t="shared" si="143"/>
        <v>0</v>
      </c>
      <c r="H111" s="1675"/>
      <c r="I111" s="2015">
        <f t="shared" si="144"/>
        <v>0</v>
      </c>
      <c r="J111" s="1675"/>
      <c r="K111" s="5901">
        <f t="shared" si="145"/>
        <v>0</v>
      </c>
      <c r="L111" s="1675"/>
      <c r="M111" s="5901">
        <f t="shared" si="146"/>
        <v>0</v>
      </c>
      <c r="N111" s="1675"/>
      <c r="O111" s="6271">
        <f t="shared" si="147"/>
        <v>0</v>
      </c>
      <c r="P111" s="7072">
        <f t="shared" si="148"/>
        <v>0</v>
      </c>
      <c r="Q111" s="1675">
        <v>7.66</v>
      </c>
      <c r="R111" s="5901">
        <f t="shared" si="149"/>
        <v>7.66</v>
      </c>
      <c r="S111" s="1675">
        <v>0</v>
      </c>
      <c r="T111" s="5901">
        <f t="shared" si="150"/>
        <v>7.66</v>
      </c>
      <c r="U111" s="1675">
        <v>14.96</v>
      </c>
      <c r="V111" s="6271">
        <f t="shared" si="140"/>
        <v>22.62</v>
      </c>
      <c r="W111" s="5901">
        <f t="shared" si="141"/>
        <v>22.62</v>
      </c>
      <c r="X111" s="1675">
        <v>0</v>
      </c>
      <c r="Y111" s="5901">
        <f t="shared" si="151"/>
        <v>22.62</v>
      </c>
      <c r="Z111" s="1675"/>
      <c r="AA111" s="5901">
        <f t="shared" si="152"/>
        <v>22.62</v>
      </c>
      <c r="AB111" s="1675"/>
      <c r="AC111" s="6271">
        <f t="shared" si="154"/>
        <v>0</v>
      </c>
      <c r="AD111" s="6271">
        <f t="shared" si="112"/>
        <v>22.62</v>
      </c>
      <c r="AE111" s="7072">
        <f t="shared" si="142"/>
        <v>22.62</v>
      </c>
    </row>
    <row r="112" spans="3:31" s="7468" customFormat="1" x14ac:dyDescent="0.2">
      <c r="C112" s="5186" t="s">
        <v>1783</v>
      </c>
      <c r="D112" s="3835" t="s">
        <v>863</v>
      </c>
      <c r="E112" s="1646">
        <v>0</v>
      </c>
      <c r="F112" s="1675">
        <v>0</v>
      </c>
      <c r="G112" s="1905">
        <f t="shared" si="143"/>
        <v>0</v>
      </c>
      <c r="H112" s="1675">
        <v>0</v>
      </c>
      <c r="I112" s="2015">
        <f t="shared" si="144"/>
        <v>0</v>
      </c>
      <c r="J112" s="1675">
        <v>1891.8300000000004</v>
      </c>
      <c r="K112" s="5901">
        <f t="shared" si="145"/>
        <v>1891.8300000000004</v>
      </c>
      <c r="L112" s="1675">
        <v>1391.63</v>
      </c>
      <c r="M112" s="5901">
        <f t="shared" si="146"/>
        <v>3283.4600000000005</v>
      </c>
      <c r="N112" s="1675">
        <v>1601.9200000000003</v>
      </c>
      <c r="O112" s="6271">
        <f t="shared" si="147"/>
        <v>4885.380000000001</v>
      </c>
      <c r="P112" s="7072">
        <f t="shared" si="148"/>
        <v>4885.380000000001</v>
      </c>
      <c r="Q112" s="1675">
        <v>1207.8499999999995</v>
      </c>
      <c r="R112" s="5901">
        <f t="shared" si="149"/>
        <v>6093.2300000000005</v>
      </c>
      <c r="S112" s="1675">
        <v>1487.2199999999998</v>
      </c>
      <c r="T112" s="5901">
        <f t="shared" si="150"/>
        <v>7580.4500000000007</v>
      </c>
      <c r="U112" s="1675">
        <v>1491.3399999999995</v>
      </c>
      <c r="V112" s="6271">
        <f t="shared" si="140"/>
        <v>4186.4099999999989</v>
      </c>
      <c r="W112" s="5901">
        <f t="shared" si="141"/>
        <v>9071.7900000000009</v>
      </c>
      <c r="X112" s="1675">
        <v>1495.2599999999995</v>
      </c>
      <c r="Y112" s="5901">
        <f t="shared" si="151"/>
        <v>10567.050000000001</v>
      </c>
      <c r="Z112" s="1675">
        <v>2187.9</v>
      </c>
      <c r="AA112" s="5901">
        <f t="shared" si="152"/>
        <v>12754.95</v>
      </c>
      <c r="AB112" s="1675">
        <v>1498.66</v>
      </c>
      <c r="AC112" s="6271">
        <f t="shared" si="154"/>
        <v>5181.82</v>
      </c>
      <c r="AD112" s="6271">
        <f t="shared" si="112"/>
        <v>9368.23</v>
      </c>
      <c r="AE112" s="7072">
        <f t="shared" si="142"/>
        <v>14253.61</v>
      </c>
    </row>
    <row r="113" spans="3:31" s="8125" customFormat="1" x14ac:dyDescent="0.2">
      <c r="C113" s="5186" t="s">
        <v>2570</v>
      </c>
      <c r="D113" s="3835" t="s">
        <v>863</v>
      </c>
      <c r="E113" s="1646"/>
      <c r="F113" s="1675"/>
      <c r="G113" s="1905"/>
      <c r="H113" s="1675"/>
      <c r="I113" s="2015"/>
      <c r="J113" s="1675"/>
      <c r="K113" s="5901"/>
      <c r="L113" s="1675"/>
      <c r="M113" s="5901"/>
      <c r="N113" s="1675"/>
      <c r="O113" s="6271"/>
      <c r="P113" s="7072"/>
      <c r="Q113" s="1675"/>
      <c r="R113" s="5901"/>
      <c r="S113" s="1675"/>
      <c r="T113" s="5901"/>
      <c r="U113" s="1675"/>
      <c r="V113" s="6271"/>
      <c r="W113" s="5901"/>
      <c r="X113" s="1675">
        <v>500</v>
      </c>
      <c r="Y113" s="5901">
        <f t="shared" si="151"/>
        <v>500</v>
      </c>
      <c r="Z113" s="1675">
        <v>500</v>
      </c>
      <c r="AA113" s="5901">
        <f t="shared" si="152"/>
        <v>1000</v>
      </c>
      <c r="AB113" s="1675"/>
      <c r="AC113" s="6271"/>
      <c r="AD113" s="6271">
        <f t="shared" si="112"/>
        <v>0</v>
      </c>
      <c r="AE113" s="7072">
        <f t="shared" si="142"/>
        <v>1000</v>
      </c>
    </row>
    <row r="114" spans="3:31" s="5438" customFormat="1" ht="16" x14ac:dyDescent="0.2">
      <c r="C114" s="5186" t="s">
        <v>1726</v>
      </c>
      <c r="D114" s="3835" t="s">
        <v>863</v>
      </c>
      <c r="E114" s="7880">
        <v>0</v>
      </c>
      <c r="F114" s="1675">
        <v>0</v>
      </c>
      <c r="G114" s="1905">
        <f t="shared" si="143"/>
        <v>0</v>
      </c>
      <c r="H114" s="1675">
        <v>0</v>
      </c>
      <c r="I114" s="2015">
        <f t="shared" si="144"/>
        <v>0</v>
      </c>
      <c r="J114" s="1675">
        <v>39.909999999999997</v>
      </c>
      <c r="K114" s="5901">
        <f t="shared" si="145"/>
        <v>39.909999999999997</v>
      </c>
      <c r="L114" s="1675">
        <v>0</v>
      </c>
      <c r="M114" s="5901">
        <f t="shared" si="146"/>
        <v>39.909999999999997</v>
      </c>
      <c r="N114" s="1675">
        <v>95.97</v>
      </c>
      <c r="O114" s="6271">
        <f t="shared" si="147"/>
        <v>135.88</v>
      </c>
      <c r="P114" s="7072">
        <f t="shared" si="148"/>
        <v>135.88</v>
      </c>
      <c r="Q114" s="1675">
        <v>13.74</v>
      </c>
      <c r="R114" s="5901">
        <f t="shared" si="149"/>
        <v>149.62</v>
      </c>
      <c r="S114" s="1675">
        <v>0</v>
      </c>
      <c r="T114" s="5901">
        <f t="shared" si="150"/>
        <v>149.62</v>
      </c>
      <c r="U114" s="1675">
        <v>121.18</v>
      </c>
      <c r="V114" s="6271">
        <f t="shared" si="140"/>
        <v>134.92000000000002</v>
      </c>
      <c r="W114" s="5901">
        <f t="shared" si="141"/>
        <v>270.8</v>
      </c>
      <c r="X114" s="1675">
        <v>52.65</v>
      </c>
      <c r="Y114" s="5901">
        <f t="shared" si="151"/>
        <v>323.45</v>
      </c>
      <c r="Z114" s="1675">
        <v>48.1</v>
      </c>
      <c r="AA114" s="5901">
        <f t="shared" si="152"/>
        <v>371.55</v>
      </c>
      <c r="AB114" s="1675">
        <v>23.85</v>
      </c>
      <c r="AC114" s="6271">
        <f t="shared" ref="AC114:AC134" si="155">+X114+Z114+AB114</f>
        <v>124.6</v>
      </c>
      <c r="AD114" s="6271">
        <f t="shared" si="112"/>
        <v>259.52</v>
      </c>
      <c r="AE114" s="7072">
        <f t="shared" si="142"/>
        <v>395.40000000000003</v>
      </c>
    </row>
    <row r="115" spans="3:31" s="7634" customFormat="1" x14ac:dyDescent="0.2">
      <c r="C115" s="5186" t="s">
        <v>2255</v>
      </c>
      <c r="D115" s="3835" t="s">
        <v>863</v>
      </c>
      <c r="E115" s="1646">
        <v>0</v>
      </c>
      <c r="F115" s="1675">
        <v>0</v>
      </c>
      <c r="G115" s="1905">
        <f t="shared" si="143"/>
        <v>0</v>
      </c>
      <c r="H115" s="1675">
        <v>0</v>
      </c>
      <c r="I115" s="2015">
        <f t="shared" si="144"/>
        <v>0</v>
      </c>
      <c r="J115" s="1675">
        <v>0</v>
      </c>
      <c r="K115" s="5901">
        <f t="shared" si="145"/>
        <v>0</v>
      </c>
      <c r="L115" s="1675">
        <v>0</v>
      </c>
      <c r="M115" s="5901">
        <f t="shared" si="146"/>
        <v>0</v>
      </c>
      <c r="N115" s="1675">
        <v>2</v>
      </c>
      <c r="O115" s="6271">
        <f t="shared" si="147"/>
        <v>2</v>
      </c>
      <c r="P115" s="7072">
        <f t="shared" si="148"/>
        <v>2</v>
      </c>
      <c r="Q115" s="1675">
        <v>0</v>
      </c>
      <c r="R115" s="5901">
        <f t="shared" si="149"/>
        <v>2</v>
      </c>
      <c r="S115" s="1675">
        <v>0</v>
      </c>
      <c r="T115" s="5901">
        <f t="shared" si="150"/>
        <v>2</v>
      </c>
      <c r="U115" s="1675">
        <v>0</v>
      </c>
      <c r="V115" s="6271">
        <f t="shared" si="140"/>
        <v>0</v>
      </c>
      <c r="W115" s="5901">
        <f t="shared" si="141"/>
        <v>2</v>
      </c>
      <c r="X115" s="1675">
        <v>0</v>
      </c>
      <c r="Y115" s="5901">
        <f t="shared" si="151"/>
        <v>2</v>
      </c>
      <c r="Z115" s="1675"/>
      <c r="AA115" s="5901">
        <f t="shared" si="152"/>
        <v>2</v>
      </c>
      <c r="AB115" s="1675"/>
      <c r="AC115" s="6271">
        <f t="shared" si="155"/>
        <v>0</v>
      </c>
      <c r="AD115" s="6271">
        <f t="shared" si="112"/>
        <v>0</v>
      </c>
      <c r="AE115" s="7072">
        <f t="shared" si="142"/>
        <v>2</v>
      </c>
    </row>
    <row r="116" spans="3:31" s="7634" customFormat="1" x14ac:dyDescent="0.2">
      <c r="C116" s="5186" t="s">
        <v>2256</v>
      </c>
      <c r="D116" s="3835" t="s">
        <v>863</v>
      </c>
      <c r="E116" s="1646">
        <v>0</v>
      </c>
      <c r="F116" s="1675">
        <v>0</v>
      </c>
      <c r="G116" s="1905">
        <f t="shared" si="143"/>
        <v>0</v>
      </c>
      <c r="H116" s="1675">
        <v>0</v>
      </c>
      <c r="I116" s="2015">
        <f t="shared" si="144"/>
        <v>0</v>
      </c>
      <c r="J116" s="1675">
        <v>0</v>
      </c>
      <c r="K116" s="5901">
        <f t="shared" si="145"/>
        <v>0</v>
      </c>
      <c r="L116" s="1675">
        <v>0</v>
      </c>
      <c r="M116" s="5901">
        <f t="shared" si="146"/>
        <v>0</v>
      </c>
      <c r="N116" s="1675">
        <v>5</v>
      </c>
      <c r="O116" s="6271">
        <f t="shared" si="147"/>
        <v>5</v>
      </c>
      <c r="P116" s="7072">
        <f t="shared" si="148"/>
        <v>5</v>
      </c>
      <c r="Q116" s="1675">
        <v>0</v>
      </c>
      <c r="R116" s="5901">
        <f t="shared" si="149"/>
        <v>5</v>
      </c>
      <c r="S116" s="1675">
        <v>0</v>
      </c>
      <c r="T116" s="5901">
        <f t="shared" si="150"/>
        <v>5</v>
      </c>
      <c r="U116" s="1675">
        <v>0</v>
      </c>
      <c r="V116" s="6271">
        <f t="shared" si="140"/>
        <v>0</v>
      </c>
      <c r="W116" s="5901">
        <f t="shared" si="141"/>
        <v>5</v>
      </c>
      <c r="X116" s="1675">
        <v>0</v>
      </c>
      <c r="Y116" s="5901">
        <f t="shared" si="151"/>
        <v>5</v>
      </c>
      <c r="Z116" s="1675"/>
      <c r="AA116" s="5901">
        <f t="shared" si="152"/>
        <v>5</v>
      </c>
      <c r="AB116" s="1675"/>
      <c r="AC116" s="6271">
        <f t="shared" si="155"/>
        <v>0</v>
      </c>
      <c r="AD116" s="6271">
        <f t="shared" si="112"/>
        <v>0</v>
      </c>
      <c r="AE116" s="7072">
        <f t="shared" si="142"/>
        <v>5</v>
      </c>
    </row>
    <row r="117" spans="3:31" s="7864" customFormat="1" x14ac:dyDescent="0.2">
      <c r="C117" s="5186" t="s">
        <v>1673</v>
      </c>
      <c r="D117" s="3835" t="s">
        <v>863</v>
      </c>
      <c r="E117" s="1646">
        <v>0</v>
      </c>
      <c r="F117" s="1675">
        <v>12.96</v>
      </c>
      <c r="G117" s="1905">
        <f t="shared" si="143"/>
        <v>12.96</v>
      </c>
      <c r="H117" s="1675">
        <v>0</v>
      </c>
      <c r="I117" s="2015">
        <f t="shared" si="144"/>
        <v>12.96</v>
      </c>
      <c r="J117" s="1675">
        <v>0</v>
      </c>
      <c r="K117" s="5901">
        <f t="shared" si="145"/>
        <v>12.96</v>
      </c>
      <c r="L117" s="1675">
        <v>0</v>
      </c>
      <c r="M117" s="5901">
        <f t="shared" si="146"/>
        <v>12.96</v>
      </c>
      <c r="N117" s="1675">
        <v>14.04</v>
      </c>
      <c r="O117" s="6271">
        <f t="shared" si="147"/>
        <v>14.04</v>
      </c>
      <c r="P117" s="7072">
        <f t="shared" si="148"/>
        <v>27</v>
      </c>
      <c r="Q117" s="1675">
        <v>0</v>
      </c>
      <c r="R117" s="5901">
        <f t="shared" si="149"/>
        <v>27</v>
      </c>
      <c r="S117" s="1675">
        <v>0</v>
      </c>
      <c r="T117" s="5901">
        <f t="shared" si="150"/>
        <v>27</v>
      </c>
      <c r="U117" s="1675">
        <v>0</v>
      </c>
      <c r="V117" s="6271">
        <f t="shared" si="140"/>
        <v>0</v>
      </c>
      <c r="W117" s="5901">
        <f t="shared" si="141"/>
        <v>27</v>
      </c>
      <c r="X117" s="1675">
        <v>0</v>
      </c>
      <c r="Y117" s="5901">
        <f t="shared" si="151"/>
        <v>27</v>
      </c>
      <c r="Z117" s="1675"/>
      <c r="AA117" s="5901">
        <f t="shared" si="152"/>
        <v>27</v>
      </c>
      <c r="AB117" s="1675"/>
      <c r="AC117" s="6271">
        <f t="shared" si="155"/>
        <v>0</v>
      </c>
      <c r="AD117" s="6271">
        <f t="shared" si="112"/>
        <v>0</v>
      </c>
      <c r="AE117" s="7072">
        <f t="shared" si="142"/>
        <v>27</v>
      </c>
    </row>
    <row r="118" spans="3:31" s="7468" customFormat="1" x14ac:dyDescent="0.2">
      <c r="C118" s="5186" t="s">
        <v>1639</v>
      </c>
      <c r="D118" s="3835" t="s">
        <v>863</v>
      </c>
      <c r="E118" s="1646">
        <v>49.19</v>
      </c>
      <c r="F118" s="1675">
        <v>0</v>
      </c>
      <c r="G118" s="1905">
        <f t="shared" si="143"/>
        <v>49.19</v>
      </c>
      <c r="H118" s="1675">
        <v>0</v>
      </c>
      <c r="I118" s="2015">
        <f t="shared" si="144"/>
        <v>49.19</v>
      </c>
      <c r="J118" s="1675">
        <v>0</v>
      </c>
      <c r="K118" s="5901">
        <f t="shared" si="145"/>
        <v>49.19</v>
      </c>
      <c r="L118" s="1675">
        <v>0</v>
      </c>
      <c r="M118" s="5901">
        <f t="shared" si="146"/>
        <v>49.19</v>
      </c>
      <c r="N118" s="1675">
        <v>0</v>
      </c>
      <c r="O118" s="6271">
        <f t="shared" si="147"/>
        <v>0</v>
      </c>
      <c r="P118" s="7072">
        <f t="shared" si="148"/>
        <v>49.19</v>
      </c>
      <c r="Q118" s="1675">
        <v>24.77</v>
      </c>
      <c r="R118" s="5901">
        <f t="shared" si="149"/>
        <v>73.959999999999994</v>
      </c>
      <c r="S118" s="1675">
        <v>0</v>
      </c>
      <c r="T118" s="5901">
        <f t="shared" si="150"/>
        <v>73.959999999999994</v>
      </c>
      <c r="U118" s="1675">
        <v>0</v>
      </c>
      <c r="V118" s="6271">
        <f t="shared" si="140"/>
        <v>24.77</v>
      </c>
      <c r="W118" s="5901">
        <f t="shared" si="141"/>
        <v>73.959999999999994</v>
      </c>
      <c r="X118" s="1675">
        <v>0</v>
      </c>
      <c r="Y118" s="5901">
        <f t="shared" si="151"/>
        <v>73.959999999999994</v>
      </c>
      <c r="Z118" s="1675">
        <v>18.78</v>
      </c>
      <c r="AA118" s="5901">
        <f t="shared" si="152"/>
        <v>92.74</v>
      </c>
      <c r="AB118" s="1675"/>
      <c r="AC118" s="6271">
        <f t="shared" si="155"/>
        <v>18.78</v>
      </c>
      <c r="AD118" s="6271">
        <f t="shared" si="112"/>
        <v>43.55</v>
      </c>
      <c r="AE118" s="7072">
        <f t="shared" si="142"/>
        <v>92.74</v>
      </c>
    </row>
    <row r="119" spans="3:31" s="5438" customFormat="1" x14ac:dyDescent="0.2">
      <c r="C119" s="5186" t="s">
        <v>2462</v>
      </c>
      <c r="D119" s="3835" t="s">
        <v>863</v>
      </c>
      <c r="E119" s="1646"/>
      <c r="F119" s="1675"/>
      <c r="G119" s="1905">
        <f t="shared" si="143"/>
        <v>0</v>
      </c>
      <c r="H119" s="1675"/>
      <c r="I119" s="2015">
        <f t="shared" si="144"/>
        <v>0</v>
      </c>
      <c r="J119" s="1675"/>
      <c r="K119" s="5901">
        <f t="shared" si="145"/>
        <v>0</v>
      </c>
      <c r="L119" s="1675"/>
      <c r="M119" s="5901">
        <f t="shared" si="146"/>
        <v>0</v>
      </c>
      <c r="N119" s="1675"/>
      <c r="O119" s="6271">
        <f t="shared" si="147"/>
        <v>0</v>
      </c>
      <c r="P119" s="7072">
        <f t="shared" si="148"/>
        <v>0</v>
      </c>
      <c r="Q119" s="1675"/>
      <c r="R119" s="5901">
        <f t="shared" si="149"/>
        <v>0</v>
      </c>
      <c r="S119" s="1675"/>
      <c r="T119" s="5901">
        <f t="shared" si="150"/>
        <v>0</v>
      </c>
      <c r="U119" s="1675">
        <v>2</v>
      </c>
      <c r="V119" s="6271">
        <f t="shared" si="140"/>
        <v>2</v>
      </c>
      <c r="W119" s="5901">
        <f t="shared" si="141"/>
        <v>2</v>
      </c>
      <c r="X119" s="1675">
        <v>1</v>
      </c>
      <c r="Y119" s="5901">
        <f t="shared" si="151"/>
        <v>3</v>
      </c>
      <c r="Z119" s="1675"/>
      <c r="AA119" s="5901">
        <f t="shared" si="152"/>
        <v>3</v>
      </c>
      <c r="AB119" s="1675"/>
      <c r="AC119" s="6271">
        <f t="shared" si="155"/>
        <v>1</v>
      </c>
      <c r="AD119" s="6271">
        <f t="shared" si="112"/>
        <v>3</v>
      </c>
      <c r="AE119" s="7072">
        <f t="shared" si="142"/>
        <v>3</v>
      </c>
    </row>
    <row r="120" spans="3:31" s="7864" customFormat="1" x14ac:dyDescent="0.2">
      <c r="C120" s="5186" t="s">
        <v>1939</v>
      </c>
      <c r="D120" s="3835" t="s">
        <v>863</v>
      </c>
      <c r="E120" s="1646">
        <v>0</v>
      </c>
      <c r="F120" s="1675">
        <v>10</v>
      </c>
      <c r="G120" s="1905">
        <f t="shared" si="143"/>
        <v>10</v>
      </c>
      <c r="H120" s="1675">
        <v>0</v>
      </c>
      <c r="I120" s="2015">
        <f t="shared" si="144"/>
        <v>10</v>
      </c>
      <c r="J120" s="1675">
        <v>0</v>
      </c>
      <c r="K120" s="5901">
        <f t="shared" si="145"/>
        <v>10</v>
      </c>
      <c r="L120" s="1675">
        <v>0</v>
      </c>
      <c r="M120" s="5901">
        <f t="shared" si="146"/>
        <v>10</v>
      </c>
      <c r="N120" s="1675">
        <v>0</v>
      </c>
      <c r="O120" s="6271">
        <f t="shared" si="147"/>
        <v>0</v>
      </c>
      <c r="P120" s="7072">
        <f t="shared" si="148"/>
        <v>10</v>
      </c>
      <c r="Q120" s="1675">
        <v>0</v>
      </c>
      <c r="R120" s="5901">
        <f t="shared" si="149"/>
        <v>10</v>
      </c>
      <c r="S120" s="1675">
        <v>0</v>
      </c>
      <c r="T120" s="5901">
        <f t="shared" si="150"/>
        <v>10</v>
      </c>
      <c r="U120" s="1675">
        <v>0</v>
      </c>
      <c r="V120" s="6271">
        <f t="shared" si="140"/>
        <v>0</v>
      </c>
      <c r="W120" s="5901">
        <f t="shared" si="141"/>
        <v>10</v>
      </c>
      <c r="X120" s="1675">
        <v>0</v>
      </c>
      <c r="Y120" s="5901">
        <f t="shared" si="151"/>
        <v>10</v>
      </c>
      <c r="Z120" s="1675"/>
      <c r="AA120" s="5901">
        <f t="shared" si="152"/>
        <v>10</v>
      </c>
      <c r="AB120" s="1675"/>
      <c r="AC120" s="6271">
        <f t="shared" si="155"/>
        <v>0</v>
      </c>
      <c r="AD120" s="6271">
        <f t="shared" si="112"/>
        <v>0</v>
      </c>
      <c r="AE120" s="7072">
        <f t="shared" si="142"/>
        <v>10</v>
      </c>
    </row>
    <row r="121" spans="3:31" s="7129" customFormat="1" x14ac:dyDescent="0.2">
      <c r="C121" s="5186" t="s">
        <v>1849</v>
      </c>
      <c r="D121" s="3835" t="s">
        <v>863</v>
      </c>
      <c r="E121" s="1646">
        <v>0</v>
      </c>
      <c r="F121" s="1675">
        <v>58.510000000000005</v>
      </c>
      <c r="G121" s="1905">
        <f t="shared" si="143"/>
        <v>58.510000000000005</v>
      </c>
      <c r="H121" s="1675">
        <v>87.1</v>
      </c>
      <c r="I121" s="2015">
        <f t="shared" si="144"/>
        <v>145.61000000000001</v>
      </c>
      <c r="J121" s="1675">
        <v>68.099999999999994</v>
      </c>
      <c r="K121" s="5901">
        <f t="shared" si="145"/>
        <v>213.71</v>
      </c>
      <c r="L121" s="1675">
        <v>77.449999999999989</v>
      </c>
      <c r="M121" s="5901">
        <f t="shared" si="146"/>
        <v>291.15999999999997</v>
      </c>
      <c r="N121" s="1675">
        <v>58.78</v>
      </c>
      <c r="O121" s="6271">
        <f t="shared" si="147"/>
        <v>204.32999999999998</v>
      </c>
      <c r="P121" s="7072">
        <f t="shared" si="148"/>
        <v>349.93999999999994</v>
      </c>
      <c r="Q121" s="1675">
        <v>39.450000000000003</v>
      </c>
      <c r="R121" s="5901">
        <f t="shared" si="149"/>
        <v>389.38999999999993</v>
      </c>
      <c r="S121" s="1675">
        <v>0</v>
      </c>
      <c r="T121" s="5901">
        <f t="shared" si="150"/>
        <v>389.38999999999993</v>
      </c>
      <c r="U121" s="1675">
        <v>0</v>
      </c>
      <c r="V121" s="6271">
        <f t="shared" si="140"/>
        <v>39.450000000000003</v>
      </c>
      <c r="W121" s="5901">
        <f t="shared" si="141"/>
        <v>389.38999999999993</v>
      </c>
      <c r="X121" s="1675">
        <v>0</v>
      </c>
      <c r="Y121" s="5901">
        <f t="shared" si="151"/>
        <v>389.38999999999993</v>
      </c>
      <c r="Z121" s="1675"/>
      <c r="AA121" s="5901">
        <f t="shared" si="152"/>
        <v>389.38999999999993</v>
      </c>
      <c r="AB121" s="1675"/>
      <c r="AC121" s="6271">
        <f t="shared" si="155"/>
        <v>0</v>
      </c>
      <c r="AD121" s="6271">
        <f t="shared" si="112"/>
        <v>39.450000000000003</v>
      </c>
      <c r="AE121" s="7072">
        <f t="shared" si="142"/>
        <v>389.38999999999993</v>
      </c>
    </row>
    <row r="122" spans="3:31" s="7129" customFormat="1" x14ac:dyDescent="0.2">
      <c r="C122" s="5186" t="s">
        <v>2463</v>
      </c>
      <c r="D122" s="3835" t="s">
        <v>863</v>
      </c>
      <c r="E122" s="1646"/>
      <c r="F122" s="1675"/>
      <c r="G122" s="1905">
        <f t="shared" si="143"/>
        <v>0</v>
      </c>
      <c r="H122" s="1675"/>
      <c r="I122" s="2015">
        <f t="shared" si="144"/>
        <v>0</v>
      </c>
      <c r="J122" s="1675"/>
      <c r="K122" s="5901">
        <f t="shared" si="145"/>
        <v>0</v>
      </c>
      <c r="L122" s="1675"/>
      <c r="M122" s="5901">
        <f t="shared" si="146"/>
        <v>0</v>
      </c>
      <c r="N122" s="1675"/>
      <c r="O122" s="6271">
        <f t="shared" si="147"/>
        <v>0</v>
      </c>
      <c r="P122" s="7072">
        <f t="shared" si="148"/>
        <v>0</v>
      </c>
      <c r="Q122" s="1675"/>
      <c r="R122" s="5901">
        <f t="shared" si="149"/>
        <v>0</v>
      </c>
      <c r="S122" s="1675"/>
      <c r="T122" s="5901">
        <f t="shared" si="150"/>
        <v>0</v>
      </c>
      <c r="U122" s="1675">
        <v>50</v>
      </c>
      <c r="V122" s="6271">
        <f t="shared" si="140"/>
        <v>50</v>
      </c>
      <c r="W122" s="5901">
        <f t="shared" si="141"/>
        <v>50</v>
      </c>
      <c r="X122" s="1675">
        <v>0</v>
      </c>
      <c r="Y122" s="5901">
        <f t="shared" si="151"/>
        <v>50</v>
      </c>
      <c r="Z122" s="1675"/>
      <c r="AA122" s="5901">
        <f t="shared" si="152"/>
        <v>50</v>
      </c>
      <c r="AB122" s="1675"/>
      <c r="AC122" s="6271">
        <f t="shared" si="155"/>
        <v>0</v>
      </c>
      <c r="AD122" s="6271">
        <f t="shared" si="112"/>
        <v>50</v>
      </c>
      <c r="AE122" s="7072">
        <f t="shared" si="142"/>
        <v>50</v>
      </c>
    </row>
    <row r="123" spans="3:31" s="5985" customFormat="1" x14ac:dyDescent="0.2">
      <c r="C123" s="5186" t="s">
        <v>1884</v>
      </c>
      <c r="D123" s="3835" t="s">
        <v>863</v>
      </c>
      <c r="E123" s="1646">
        <v>4</v>
      </c>
      <c r="F123" s="1675">
        <v>0</v>
      </c>
      <c r="G123" s="1905">
        <f t="shared" si="143"/>
        <v>4</v>
      </c>
      <c r="H123" s="1675">
        <v>0</v>
      </c>
      <c r="I123" s="2015">
        <f t="shared" si="144"/>
        <v>4</v>
      </c>
      <c r="J123" s="1675">
        <v>0</v>
      </c>
      <c r="K123" s="5901">
        <f t="shared" si="145"/>
        <v>4</v>
      </c>
      <c r="L123" s="1675">
        <v>0</v>
      </c>
      <c r="M123" s="5901">
        <f t="shared" si="146"/>
        <v>4</v>
      </c>
      <c r="N123" s="1675">
        <v>0</v>
      </c>
      <c r="O123" s="6271">
        <f t="shared" si="147"/>
        <v>0</v>
      </c>
      <c r="P123" s="7072">
        <f t="shared" si="148"/>
        <v>4</v>
      </c>
      <c r="Q123" s="1675">
        <v>0</v>
      </c>
      <c r="R123" s="5901">
        <f t="shared" si="149"/>
        <v>4</v>
      </c>
      <c r="S123" s="1675">
        <v>0</v>
      </c>
      <c r="T123" s="5901">
        <f t="shared" si="150"/>
        <v>4</v>
      </c>
      <c r="U123" s="1675">
        <v>0</v>
      </c>
      <c r="V123" s="6271">
        <f t="shared" si="140"/>
        <v>0</v>
      </c>
      <c r="W123" s="5901">
        <f t="shared" si="141"/>
        <v>4</v>
      </c>
      <c r="X123" s="1675">
        <v>0</v>
      </c>
      <c r="Y123" s="5901">
        <f t="shared" si="151"/>
        <v>4</v>
      </c>
      <c r="Z123" s="1675"/>
      <c r="AA123" s="5901">
        <f t="shared" si="152"/>
        <v>4</v>
      </c>
      <c r="AB123" s="1675"/>
      <c r="AC123" s="6271">
        <f t="shared" si="155"/>
        <v>0</v>
      </c>
      <c r="AD123" s="6271">
        <f t="shared" si="112"/>
        <v>0</v>
      </c>
      <c r="AE123" s="7072">
        <f t="shared" si="142"/>
        <v>4</v>
      </c>
    </row>
    <row r="124" spans="3:31" s="5438" customFormat="1" x14ac:dyDescent="0.2">
      <c r="C124" s="5186" t="s">
        <v>2441</v>
      </c>
      <c r="D124" s="3835" t="s">
        <v>863</v>
      </c>
      <c r="E124" s="1646"/>
      <c r="F124" s="1675"/>
      <c r="G124" s="1905">
        <f t="shared" si="143"/>
        <v>0</v>
      </c>
      <c r="H124" s="1675"/>
      <c r="I124" s="2015">
        <f t="shared" si="144"/>
        <v>0</v>
      </c>
      <c r="J124" s="1675"/>
      <c r="K124" s="5901">
        <f t="shared" si="145"/>
        <v>0</v>
      </c>
      <c r="L124" s="1675"/>
      <c r="M124" s="5901">
        <f t="shared" si="146"/>
        <v>0</v>
      </c>
      <c r="N124" s="1675"/>
      <c r="O124" s="6271">
        <f t="shared" si="147"/>
        <v>0</v>
      </c>
      <c r="P124" s="7072">
        <f t="shared" si="148"/>
        <v>0</v>
      </c>
      <c r="Q124" s="1675"/>
      <c r="R124" s="5901">
        <f t="shared" si="149"/>
        <v>0</v>
      </c>
      <c r="S124" s="1675">
        <v>49.31</v>
      </c>
      <c r="T124" s="5901">
        <f t="shared" si="150"/>
        <v>49.31</v>
      </c>
      <c r="U124" s="1675">
        <v>0</v>
      </c>
      <c r="V124" s="6271">
        <f t="shared" si="140"/>
        <v>49.31</v>
      </c>
      <c r="W124" s="5901">
        <f t="shared" si="141"/>
        <v>49.31</v>
      </c>
      <c r="X124" s="1675">
        <v>0</v>
      </c>
      <c r="Y124" s="5901">
        <f t="shared" si="151"/>
        <v>49.31</v>
      </c>
      <c r="Z124" s="1675"/>
      <c r="AA124" s="5901">
        <f t="shared" si="152"/>
        <v>49.31</v>
      </c>
      <c r="AB124" s="1675"/>
      <c r="AC124" s="6271">
        <f t="shared" si="155"/>
        <v>0</v>
      </c>
      <c r="AD124" s="6271">
        <f t="shared" si="112"/>
        <v>49.31</v>
      </c>
      <c r="AE124" s="7072">
        <f t="shared" si="142"/>
        <v>49.31</v>
      </c>
    </row>
    <row r="125" spans="3:31" ht="16" x14ac:dyDescent="0.2">
      <c r="C125" s="5186" t="s">
        <v>1885</v>
      </c>
      <c r="D125" s="3835" t="s">
        <v>863</v>
      </c>
      <c r="E125" s="7880">
        <v>2</v>
      </c>
      <c r="F125" s="1675">
        <v>0</v>
      </c>
      <c r="G125" s="1905">
        <f t="shared" si="143"/>
        <v>2</v>
      </c>
      <c r="H125" s="1675">
        <v>0</v>
      </c>
      <c r="I125" s="2015">
        <f t="shared" si="144"/>
        <v>2</v>
      </c>
      <c r="J125" s="1675">
        <v>0</v>
      </c>
      <c r="K125" s="5901">
        <f t="shared" si="145"/>
        <v>2</v>
      </c>
      <c r="L125" s="1675">
        <v>0</v>
      </c>
      <c r="M125" s="5901">
        <f t="shared" si="146"/>
        <v>2</v>
      </c>
      <c r="N125" s="1675">
        <v>0</v>
      </c>
      <c r="O125" s="6271">
        <f t="shared" si="147"/>
        <v>0</v>
      </c>
      <c r="P125" s="7072">
        <f t="shared" si="148"/>
        <v>2</v>
      </c>
      <c r="Q125" s="1675">
        <v>0</v>
      </c>
      <c r="R125" s="5901">
        <f t="shared" si="149"/>
        <v>2</v>
      </c>
      <c r="S125" s="1675">
        <v>0</v>
      </c>
      <c r="T125" s="5901">
        <f t="shared" si="150"/>
        <v>2</v>
      </c>
      <c r="U125" s="1675">
        <v>0</v>
      </c>
      <c r="V125" s="6271">
        <f t="shared" si="140"/>
        <v>0</v>
      </c>
      <c r="W125" s="5901">
        <f t="shared" si="141"/>
        <v>2</v>
      </c>
      <c r="X125" s="1675">
        <v>0</v>
      </c>
      <c r="Y125" s="5901">
        <f t="shared" si="151"/>
        <v>2</v>
      </c>
      <c r="Z125" s="1675"/>
      <c r="AA125" s="5901">
        <f t="shared" si="152"/>
        <v>2</v>
      </c>
      <c r="AB125" s="1675"/>
      <c r="AC125" s="6271">
        <f t="shared" si="155"/>
        <v>0</v>
      </c>
      <c r="AD125" s="6271">
        <f t="shared" si="112"/>
        <v>0</v>
      </c>
      <c r="AE125" s="7072">
        <f t="shared" si="142"/>
        <v>2</v>
      </c>
    </row>
    <row r="126" spans="3:31" x14ac:dyDescent="0.2">
      <c r="C126" s="5186" t="s">
        <v>1772</v>
      </c>
      <c r="D126" s="3835" t="s">
        <v>863</v>
      </c>
      <c r="E126" s="1646">
        <v>32</v>
      </c>
      <c r="F126" s="1675">
        <v>0</v>
      </c>
      <c r="G126" s="1905">
        <f t="shared" si="143"/>
        <v>32</v>
      </c>
      <c r="H126" s="1675">
        <v>0</v>
      </c>
      <c r="I126" s="2015">
        <f t="shared" si="144"/>
        <v>32</v>
      </c>
      <c r="J126" s="1675">
        <v>0</v>
      </c>
      <c r="K126" s="5901">
        <f t="shared" si="145"/>
        <v>32</v>
      </c>
      <c r="L126" s="1675">
        <v>0</v>
      </c>
      <c r="M126" s="5901">
        <f t="shared" si="146"/>
        <v>32</v>
      </c>
      <c r="N126" s="1675">
        <v>0</v>
      </c>
      <c r="O126" s="6271">
        <f t="shared" si="147"/>
        <v>0</v>
      </c>
      <c r="P126" s="7072">
        <f t="shared" si="148"/>
        <v>32</v>
      </c>
      <c r="Q126" s="1675">
        <v>0</v>
      </c>
      <c r="R126" s="5901">
        <f t="shared" si="149"/>
        <v>32</v>
      </c>
      <c r="S126" s="1675">
        <v>0</v>
      </c>
      <c r="T126" s="5901">
        <f t="shared" si="150"/>
        <v>32</v>
      </c>
      <c r="U126" s="1675">
        <v>0</v>
      </c>
      <c r="V126" s="6271">
        <f t="shared" si="140"/>
        <v>0</v>
      </c>
      <c r="W126" s="5901">
        <f t="shared" si="141"/>
        <v>32</v>
      </c>
      <c r="X126" s="1675">
        <v>0</v>
      </c>
      <c r="Y126" s="5901">
        <f t="shared" si="151"/>
        <v>32</v>
      </c>
      <c r="Z126" s="1675"/>
      <c r="AA126" s="5901">
        <f t="shared" si="152"/>
        <v>32</v>
      </c>
      <c r="AB126" s="1675"/>
      <c r="AC126" s="6271">
        <f t="shared" si="155"/>
        <v>0</v>
      </c>
      <c r="AD126" s="6271">
        <f t="shared" si="112"/>
        <v>0</v>
      </c>
      <c r="AE126" s="7072">
        <f t="shared" si="142"/>
        <v>32</v>
      </c>
    </row>
    <row r="127" spans="3:31" s="3380" customFormat="1" ht="13.5" customHeight="1" x14ac:dyDescent="0.2">
      <c r="C127" s="5186" t="s">
        <v>1727</v>
      </c>
      <c r="D127" s="3835" t="s">
        <v>863</v>
      </c>
      <c r="E127" s="1646"/>
      <c r="F127" s="1675"/>
      <c r="G127" s="1905">
        <f t="shared" si="143"/>
        <v>0</v>
      </c>
      <c r="H127" s="1675"/>
      <c r="I127" s="2015">
        <f t="shared" si="144"/>
        <v>0</v>
      </c>
      <c r="J127" s="1675"/>
      <c r="K127" s="5901">
        <f t="shared" si="145"/>
        <v>0</v>
      </c>
      <c r="L127" s="1675"/>
      <c r="M127" s="5901">
        <f t="shared" si="146"/>
        <v>0</v>
      </c>
      <c r="N127" s="1675"/>
      <c r="O127" s="6271">
        <f t="shared" si="147"/>
        <v>0</v>
      </c>
      <c r="P127" s="7072">
        <f t="shared" si="148"/>
        <v>0</v>
      </c>
      <c r="Q127" s="1675">
        <v>14.64</v>
      </c>
      <c r="R127" s="5901">
        <f t="shared" si="149"/>
        <v>14.64</v>
      </c>
      <c r="S127" s="1675">
        <v>0</v>
      </c>
      <c r="T127" s="5901">
        <f t="shared" si="150"/>
        <v>14.64</v>
      </c>
      <c r="U127" s="1675">
        <v>0</v>
      </c>
      <c r="V127" s="6271">
        <f t="shared" si="140"/>
        <v>14.64</v>
      </c>
      <c r="W127" s="5901">
        <f t="shared" si="141"/>
        <v>14.64</v>
      </c>
      <c r="X127" s="1675">
        <v>98.2</v>
      </c>
      <c r="Y127" s="5901">
        <f t="shared" si="151"/>
        <v>112.84</v>
      </c>
      <c r="Z127" s="1675"/>
      <c r="AA127" s="5901">
        <f t="shared" si="152"/>
        <v>112.84</v>
      </c>
      <c r="AB127" s="1675"/>
      <c r="AC127" s="6271">
        <f t="shared" si="155"/>
        <v>98.2</v>
      </c>
      <c r="AD127" s="6271">
        <f t="shared" si="112"/>
        <v>112.84</v>
      </c>
      <c r="AE127" s="7072">
        <f t="shared" si="142"/>
        <v>112.84</v>
      </c>
    </row>
    <row r="128" spans="3:31" s="3380" customFormat="1" ht="13.5" customHeight="1" x14ac:dyDescent="0.2">
      <c r="C128" s="5186" t="s">
        <v>2594</v>
      </c>
      <c r="D128" s="3835" t="s">
        <v>863</v>
      </c>
      <c r="E128" s="1646"/>
      <c r="F128" s="1675"/>
      <c r="G128" s="1905"/>
      <c r="H128" s="1675"/>
      <c r="I128" s="2015"/>
      <c r="J128" s="1675"/>
      <c r="K128" s="5901"/>
      <c r="L128" s="1675"/>
      <c r="M128" s="5901"/>
      <c r="N128" s="1675"/>
      <c r="O128" s="6271"/>
      <c r="P128" s="7072"/>
      <c r="Q128" s="1675"/>
      <c r="R128" s="5901"/>
      <c r="S128" s="1675"/>
      <c r="T128" s="5901"/>
      <c r="U128" s="1675"/>
      <c r="V128" s="6271"/>
      <c r="W128" s="5901"/>
      <c r="X128" s="1675"/>
      <c r="Y128" s="5901"/>
      <c r="Z128" s="1675">
        <v>3.95</v>
      </c>
      <c r="AA128" s="5901">
        <f t="shared" si="152"/>
        <v>3.95</v>
      </c>
      <c r="AB128" s="1675"/>
      <c r="AC128" s="6271">
        <f t="shared" si="155"/>
        <v>3.95</v>
      </c>
      <c r="AD128" s="6271">
        <f t="shared" si="112"/>
        <v>3.95</v>
      </c>
      <c r="AE128" s="7072">
        <f t="shared" si="142"/>
        <v>3.95</v>
      </c>
    </row>
    <row r="129" spans="3:35" s="3380" customFormat="1" ht="13.5" customHeight="1" x14ac:dyDescent="0.2">
      <c r="C129" s="5186" t="s">
        <v>2593</v>
      </c>
      <c r="D129" s="3835" t="s">
        <v>863</v>
      </c>
      <c r="E129" s="1646"/>
      <c r="F129" s="1675"/>
      <c r="G129" s="1905"/>
      <c r="H129" s="1675"/>
      <c r="I129" s="2015"/>
      <c r="J129" s="1675"/>
      <c r="K129" s="5901"/>
      <c r="L129" s="1675"/>
      <c r="M129" s="5901"/>
      <c r="N129" s="1675"/>
      <c r="O129" s="6271"/>
      <c r="P129" s="7072"/>
      <c r="Q129" s="1675"/>
      <c r="R129" s="5901"/>
      <c r="S129" s="1675"/>
      <c r="T129" s="5901"/>
      <c r="U129" s="1675"/>
      <c r="V129" s="6271"/>
      <c r="W129" s="5901"/>
      <c r="X129" s="1675"/>
      <c r="Y129" s="5901"/>
      <c r="Z129" s="1675">
        <v>2</v>
      </c>
      <c r="AA129" s="5901">
        <f t="shared" si="152"/>
        <v>2</v>
      </c>
      <c r="AB129" s="1675"/>
      <c r="AC129" s="6271">
        <f t="shared" si="155"/>
        <v>2</v>
      </c>
      <c r="AD129" s="6271">
        <f t="shared" si="112"/>
        <v>2</v>
      </c>
      <c r="AE129" s="7072">
        <f t="shared" si="142"/>
        <v>2</v>
      </c>
    </row>
    <row r="130" spans="3:35" s="3380" customFormat="1" ht="13.5" customHeight="1" x14ac:dyDescent="0.2">
      <c r="C130" s="5186" t="s">
        <v>2592</v>
      </c>
      <c r="D130" s="3835" t="s">
        <v>863</v>
      </c>
      <c r="E130" s="1646"/>
      <c r="F130" s="1675"/>
      <c r="G130" s="1905"/>
      <c r="H130" s="1675"/>
      <c r="I130" s="2015"/>
      <c r="J130" s="1675"/>
      <c r="K130" s="5901"/>
      <c r="L130" s="1675"/>
      <c r="M130" s="5901"/>
      <c r="N130" s="1675"/>
      <c r="O130" s="6271"/>
      <c r="P130" s="7072"/>
      <c r="Q130" s="1675"/>
      <c r="R130" s="5901"/>
      <c r="S130" s="1675"/>
      <c r="T130" s="5901"/>
      <c r="U130" s="1675"/>
      <c r="V130" s="6271"/>
      <c r="W130" s="5901"/>
      <c r="X130" s="1675"/>
      <c r="Y130" s="5901"/>
      <c r="Z130" s="1675">
        <v>0.8</v>
      </c>
      <c r="AA130" s="5901">
        <f t="shared" si="152"/>
        <v>0.8</v>
      </c>
      <c r="AB130" s="1675"/>
      <c r="AC130" s="6271">
        <f t="shared" si="155"/>
        <v>0.8</v>
      </c>
      <c r="AD130" s="6271">
        <f t="shared" si="112"/>
        <v>0.8</v>
      </c>
      <c r="AE130" s="7072">
        <f t="shared" si="142"/>
        <v>0.8</v>
      </c>
    </row>
    <row r="131" spans="3:35" s="3380" customFormat="1" ht="13.5" customHeight="1" x14ac:dyDescent="0.2">
      <c r="C131" s="5186" t="s">
        <v>2595</v>
      </c>
      <c r="D131" s="3835" t="s">
        <v>863</v>
      </c>
      <c r="E131" s="3835"/>
      <c r="F131" s="3835"/>
      <c r="G131" s="3835"/>
      <c r="H131" s="3835"/>
      <c r="I131" s="3835"/>
      <c r="J131" s="3835"/>
      <c r="K131" s="3835"/>
      <c r="L131" s="3835"/>
      <c r="M131" s="3835"/>
      <c r="N131" s="3835"/>
      <c r="O131" s="3835"/>
      <c r="P131" s="3835"/>
      <c r="Q131" s="3835"/>
      <c r="R131" s="3835"/>
      <c r="S131" s="3835"/>
      <c r="T131" s="3835"/>
      <c r="U131" s="3835"/>
      <c r="V131" s="3835"/>
      <c r="W131" s="5901"/>
      <c r="X131" s="1675"/>
      <c r="Y131" s="5901"/>
      <c r="Z131" s="1675">
        <v>2930</v>
      </c>
      <c r="AA131" s="5901">
        <f t="shared" si="152"/>
        <v>2930</v>
      </c>
      <c r="AB131" s="1675"/>
      <c r="AC131" s="6271">
        <f t="shared" si="155"/>
        <v>2930</v>
      </c>
      <c r="AD131" s="6271">
        <f t="shared" si="112"/>
        <v>2930</v>
      </c>
      <c r="AE131" s="7072">
        <f t="shared" si="142"/>
        <v>2930</v>
      </c>
    </row>
    <row r="132" spans="3:35" s="3380" customFormat="1" ht="13.5" customHeight="1" x14ac:dyDescent="0.2">
      <c r="C132" s="5186" t="s">
        <v>2625</v>
      </c>
      <c r="D132" s="3835"/>
      <c r="E132" s="8418"/>
      <c r="F132" s="8418"/>
      <c r="G132" s="8419"/>
      <c r="H132" s="8418"/>
      <c r="I132" s="8419"/>
      <c r="J132" s="8418"/>
      <c r="K132" s="7450"/>
      <c r="L132" s="8418"/>
      <c r="M132" s="7450"/>
      <c r="N132" s="8418"/>
      <c r="O132" s="7450"/>
      <c r="P132" s="7450"/>
      <c r="Q132" s="8418"/>
      <c r="R132" s="7450"/>
      <c r="S132" s="8418"/>
      <c r="T132" s="7450"/>
      <c r="U132" s="8418"/>
      <c r="V132" s="7450"/>
      <c r="W132" s="5901"/>
      <c r="X132" s="1675"/>
      <c r="Y132" s="5901"/>
      <c r="Z132" s="1675"/>
      <c r="AA132" s="5901"/>
      <c r="AB132" s="1675">
        <v>490.26</v>
      </c>
      <c r="AC132" s="6271">
        <f t="shared" si="155"/>
        <v>490.26</v>
      </c>
      <c r="AD132" s="6271">
        <f t="shared" si="112"/>
        <v>490.26</v>
      </c>
      <c r="AE132" s="7072"/>
    </row>
    <row r="133" spans="3:35" s="3380" customFormat="1" ht="13.5" customHeight="1" x14ac:dyDescent="0.2">
      <c r="C133" s="5186" t="s">
        <v>2624</v>
      </c>
      <c r="D133" s="3835" t="s">
        <v>863</v>
      </c>
      <c r="E133" s="1646"/>
      <c r="F133" s="1675"/>
      <c r="G133" s="1905"/>
      <c r="H133" s="1675"/>
      <c r="I133" s="2015"/>
      <c r="J133" s="1675"/>
      <c r="K133" s="5901"/>
      <c r="L133" s="1675"/>
      <c r="M133" s="5901"/>
      <c r="N133" s="1675"/>
      <c r="O133" s="6271"/>
      <c r="P133" s="7072"/>
      <c r="Q133" s="1675"/>
      <c r="R133" s="5901"/>
      <c r="S133" s="1675"/>
      <c r="T133" s="5901"/>
      <c r="U133" s="1675"/>
      <c r="V133" s="6271"/>
      <c r="W133" s="5901"/>
      <c r="X133" s="1675"/>
      <c r="Y133" s="5901"/>
      <c r="Z133" s="1675"/>
      <c r="AA133" s="5901"/>
      <c r="AB133" s="1675">
        <v>2500</v>
      </c>
      <c r="AC133" s="6271">
        <f t="shared" si="155"/>
        <v>2500</v>
      </c>
      <c r="AD133" s="6271">
        <f t="shared" si="112"/>
        <v>2500</v>
      </c>
      <c r="AE133" s="7072"/>
    </row>
    <row r="134" spans="3:35" s="3380" customFormat="1" ht="13.5" customHeight="1" x14ac:dyDescent="0.2">
      <c r="C134" s="5186" t="s">
        <v>2591</v>
      </c>
      <c r="D134" s="3835" t="s">
        <v>863</v>
      </c>
      <c r="E134" s="1646"/>
      <c r="F134" s="1675"/>
      <c r="G134" s="1905"/>
      <c r="H134" s="1675"/>
      <c r="I134" s="2015"/>
      <c r="J134" s="1675"/>
      <c r="K134" s="5901"/>
      <c r="L134" s="1675"/>
      <c r="M134" s="5901"/>
      <c r="N134" s="1675"/>
      <c r="O134" s="6271"/>
      <c r="P134" s="7072"/>
      <c r="Q134" s="1675"/>
      <c r="R134" s="5901"/>
      <c r="S134" s="1675"/>
      <c r="T134" s="5901"/>
      <c r="U134" s="1675"/>
      <c r="V134" s="6271"/>
      <c r="W134" s="5901"/>
      <c r="X134" s="1675"/>
      <c r="Y134" s="5901"/>
      <c r="Z134" s="1675">
        <v>1</v>
      </c>
      <c r="AA134" s="5901">
        <f t="shared" si="152"/>
        <v>1</v>
      </c>
      <c r="AB134" s="1675"/>
      <c r="AC134" s="6271">
        <f t="shared" si="155"/>
        <v>1</v>
      </c>
      <c r="AD134" s="6271">
        <f t="shared" si="112"/>
        <v>1</v>
      </c>
      <c r="AE134" s="7072">
        <f t="shared" si="142"/>
        <v>1</v>
      </c>
    </row>
    <row r="135" spans="3:35" x14ac:dyDescent="0.2">
      <c r="C135" s="5908" t="s">
        <v>1882</v>
      </c>
      <c r="D135" s="4420"/>
      <c r="E135" s="5909"/>
      <c r="F135" s="3185"/>
      <c r="G135" s="3743"/>
      <c r="H135" s="3185"/>
      <c r="I135" s="3743"/>
      <c r="J135" s="3185"/>
      <c r="K135" s="5910"/>
      <c r="L135" s="3185"/>
      <c r="M135" s="5910"/>
      <c r="N135" s="3185"/>
      <c r="O135" s="3743"/>
      <c r="P135" s="5910"/>
      <c r="Q135" s="3185"/>
      <c r="R135" s="5910"/>
      <c r="S135" s="3185"/>
      <c r="T135" s="5910"/>
      <c r="U135" s="3185"/>
      <c r="V135" s="3743"/>
      <c r="W135" s="5910"/>
      <c r="X135" s="3185"/>
      <c r="Y135" s="5910"/>
      <c r="Z135" s="3185"/>
      <c r="AA135" s="5910"/>
      <c r="AB135" s="3185"/>
      <c r="AC135" s="3743"/>
      <c r="AD135" s="3743">
        <f t="shared" si="112"/>
        <v>0</v>
      </c>
      <c r="AE135" s="5910"/>
    </row>
    <row r="136" spans="3:35" s="7498" customFormat="1" ht="19" x14ac:dyDescent="0.25">
      <c r="C136" s="7495" t="s">
        <v>196</v>
      </c>
      <c r="D136" s="5344" t="s">
        <v>863</v>
      </c>
      <c r="E136" s="7208">
        <f>+E138+E139+E140</f>
        <v>0</v>
      </c>
      <c r="F136" s="7208">
        <f>+F138+F139+F140</f>
        <v>0</v>
      </c>
      <c r="G136" s="7496">
        <f t="shared" ref="G136:G148" si="156">+E136+F136</f>
        <v>0</v>
      </c>
      <c r="H136" s="7208">
        <f>+H138+H139+H140</f>
        <v>0</v>
      </c>
      <c r="I136" s="7496">
        <f t="shared" ref="I136:I148" si="157">+G136+H136</f>
        <v>0</v>
      </c>
      <c r="J136" s="7208">
        <f>+J138+J139+J140</f>
        <v>0</v>
      </c>
      <c r="K136" s="7497">
        <f t="shared" ref="K136:M148" si="158">+I136+J136</f>
        <v>0</v>
      </c>
      <c r="L136" s="7208">
        <f>+L138+L139+L140</f>
        <v>0</v>
      </c>
      <c r="M136" s="7497">
        <f>+K136+L136</f>
        <v>0</v>
      </c>
      <c r="N136" s="7208">
        <f>+N138+N139+N140</f>
        <v>50599.009999999995</v>
      </c>
      <c r="O136" s="7497">
        <f>+J136+L136+N136</f>
        <v>50599.009999999995</v>
      </c>
      <c r="P136" s="7497">
        <f>+M136+N136</f>
        <v>50599.009999999995</v>
      </c>
      <c r="Q136" s="7208">
        <f>+Q138+Q139+Q140</f>
        <v>100128.26000000001</v>
      </c>
      <c r="R136" s="7497">
        <f t="shared" ref="R136:R148" si="159">+P136+Q136</f>
        <v>150727.27000000002</v>
      </c>
      <c r="S136" s="7208">
        <f>+S138+S139+S140</f>
        <v>72979.83</v>
      </c>
      <c r="T136" s="7497">
        <f>+R136+S136</f>
        <v>223707.10000000003</v>
      </c>
      <c r="U136" s="7208">
        <f>+U138+U139+U140</f>
        <v>34248.629999999997</v>
      </c>
      <c r="V136" s="7497">
        <f>+Q136+S136+U136</f>
        <v>207356.72000000003</v>
      </c>
      <c r="W136" s="7497">
        <f>+T136+U136</f>
        <v>257955.73000000004</v>
      </c>
      <c r="X136" s="7208">
        <f>+X138+X139+X140</f>
        <v>20516.04</v>
      </c>
      <c r="Y136" s="7497">
        <f>+W136+X136</f>
        <v>278471.77</v>
      </c>
      <c r="Z136" s="7208">
        <f>+Z138+Z139+Z140+Z137</f>
        <v>39286.689999999995</v>
      </c>
      <c r="AA136" s="7497">
        <f>+Y136+Z136</f>
        <v>317758.46000000002</v>
      </c>
      <c r="AB136" s="7208">
        <f>+AB138+AB139+AB140+AB137</f>
        <v>15031.279999999999</v>
      </c>
      <c r="AC136" s="7497">
        <f>+X136+Z136+AB136</f>
        <v>74834.009999999995</v>
      </c>
      <c r="AD136" s="7497">
        <f t="shared" si="112"/>
        <v>282190.73000000004</v>
      </c>
      <c r="AE136" s="7497">
        <f>+AA136+AB136</f>
        <v>332789.74</v>
      </c>
    </row>
    <row r="137" spans="3:35" s="7498" customFormat="1" ht="19" x14ac:dyDescent="0.25">
      <c r="C137" s="1609" t="s">
        <v>2596</v>
      </c>
      <c r="D137" s="3835" t="s">
        <v>863</v>
      </c>
      <c r="E137" s="7208"/>
      <c r="F137" s="8255"/>
      <c r="G137" s="7496"/>
      <c r="H137" s="8255"/>
      <c r="I137" s="7496"/>
      <c r="J137" s="8255"/>
      <c r="K137" s="7497"/>
      <c r="L137" s="8255"/>
      <c r="M137" s="7497"/>
      <c r="N137" s="8255"/>
      <c r="O137" s="7497"/>
      <c r="P137" s="7497"/>
      <c r="Q137" s="8255"/>
      <c r="R137" s="7497"/>
      <c r="S137" s="8255"/>
      <c r="T137" s="7497"/>
      <c r="U137" s="8255"/>
      <c r="V137" s="7497"/>
      <c r="W137" s="7497"/>
      <c r="X137" s="8255"/>
      <c r="Y137" s="7497"/>
      <c r="Z137" s="3185">
        <v>11757.88</v>
      </c>
      <c r="AA137" s="7497">
        <f>+Y137+Z137</f>
        <v>11757.88</v>
      </c>
      <c r="AB137" s="3185">
        <v>7566.38</v>
      </c>
      <c r="AC137" s="7497">
        <f>+X137+Z137+AB137</f>
        <v>19324.259999999998</v>
      </c>
      <c r="AD137" s="7497">
        <f t="shared" si="112"/>
        <v>19324.259999999998</v>
      </c>
      <c r="AE137" s="7497">
        <f>+AA137+AB137</f>
        <v>19324.259999999998</v>
      </c>
    </row>
    <row r="138" spans="3:35" s="7129" customFormat="1" x14ac:dyDescent="0.2">
      <c r="C138" s="1609" t="s">
        <v>2257</v>
      </c>
      <c r="D138" s="3835" t="s">
        <v>863</v>
      </c>
      <c r="E138" s="5909">
        <v>0</v>
      </c>
      <c r="F138" s="3185">
        <v>0</v>
      </c>
      <c r="G138" s="1905">
        <f t="shared" si="156"/>
        <v>0</v>
      </c>
      <c r="H138" s="3185">
        <v>0</v>
      </c>
      <c r="I138" s="2015">
        <f t="shared" si="157"/>
        <v>0</v>
      </c>
      <c r="J138" s="3185">
        <v>0</v>
      </c>
      <c r="K138" s="5901">
        <f t="shared" si="158"/>
        <v>0</v>
      </c>
      <c r="L138" s="3185">
        <v>0</v>
      </c>
      <c r="M138" s="5901">
        <f t="shared" si="158"/>
        <v>0</v>
      </c>
      <c r="N138" s="3185">
        <v>42777.729999999996</v>
      </c>
      <c r="O138" s="6271">
        <f t="shared" ref="O138:O148" si="160">+J138+L138+N138</f>
        <v>42777.729999999996</v>
      </c>
      <c r="P138" s="7072">
        <f t="shared" ref="P138:P148" si="161">+M138+N138</f>
        <v>42777.729999999996</v>
      </c>
      <c r="Q138" s="3185">
        <v>81489.100000000006</v>
      </c>
      <c r="R138" s="5901">
        <f t="shared" si="159"/>
        <v>124266.83</v>
      </c>
      <c r="S138" s="3185">
        <v>69599.83</v>
      </c>
      <c r="T138" s="5901">
        <f t="shared" ref="T138:T148" si="162">+R138+S138</f>
        <v>193866.66</v>
      </c>
      <c r="U138" s="3185">
        <v>30848.379999999997</v>
      </c>
      <c r="V138" s="6271">
        <f t="shared" ref="V138:V148" si="163">+Q138+S138+U138</f>
        <v>181937.31</v>
      </c>
      <c r="W138" s="5901">
        <f t="shared" ref="W138:W148" si="164">+T138+U138</f>
        <v>224715.04</v>
      </c>
      <c r="X138" s="3185">
        <v>20516.04</v>
      </c>
      <c r="Y138" s="5901">
        <f t="shared" ref="Y138:Y148" si="165">+W138+X138</f>
        <v>245231.08000000002</v>
      </c>
      <c r="Z138" s="3185">
        <v>19751.009999999998</v>
      </c>
      <c r="AA138" s="5901">
        <f>+Y138+Z138</f>
        <v>264982.09000000003</v>
      </c>
      <c r="AB138" s="3185">
        <v>7464.9</v>
      </c>
      <c r="AC138" s="6271">
        <f t="shared" ref="AC138:AC145" si="166">+X138+Z138+AB138</f>
        <v>47731.950000000004</v>
      </c>
      <c r="AD138" s="6271">
        <f t="shared" si="112"/>
        <v>229669.26</v>
      </c>
      <c r="AE138" s="7072">
        <f t="shared" ref="AE138:AE145" si="167">+AA138+AB138</f>
        <v>272446.99000000005</v>
      </c>
    </row>
    <row r="139" spans="3:35" s="7468" customFormat="1" x14ac:dyDescent="0.2">
      <c r="C139" s="1609" t="s">
        <v>2344</v>
      </c>
      <c r="D139" s="3835" t="s">
        <v>863</v>
      </c>
      <c r="E139" s="5909">
        <v>0</v>
      </c>
      <c r="F139" s="3185">
        <v>0</v>
      </c>
      <c r="G139" s="1905">
        <f t="shared" si="156"/>
        <v>0</v>
      </c>
      <c r="H139" s="3185">
        <v>0</v>
      </c>
      <c r="I139" s="2015">
        <f t="shared" si="157"/>
        <v>0</v>
      </c>
      <c r="J139" s="3185">
        <v>0</v>
      </c>
      <c r="K139" s="5901">
        <f t="shared" si="158"/>
        <v>0</v>
      </c>
      <c r="L139" s="3185">
        <v>0</v>
      </c>
      <c r="M139" s="5901">
        <f t="shared" si="158"/>
        <v>0</v>
      </c>
      <c r="N139" s="3185">
        <v>0</v>
      </c>
      <c r="O139" s="6271">
        <f t="shared" si="160"/>
        <v>0</v>
      </c>
      <c r="P139" s="7072">
        <f t="shared" si="161"/>
        <v>0</v>
      </c>
      <c r="Q139" s="3185">
        <v>11418.79</v>
      </c>
      <c r="R139" s="5901">
        <f t="shared" si="159"/>
        <v>11418.79</v>
      </c>
      <c r="S139" s="3185">
        <v>3380</v>
      </c>
      <c r="T139" s="5901">
        <f t="shared" si="162"/>
        <v>14798.79</v>
      </c>
      <c r="U139" s="3185">
        <v>0</v>
      </c>
      <c r="V139" s="6271">
        <f t="shared" si="163"/>
        <v>14798.79</v>
      </c>
      <c r="W139" s="5901">
        <f t="shared" si="164"/>
        <v>14798.79</v>
      </c>
      <c r="X139" s="3185">
        <v>0</v>
      </c>
      <c r="Y139" s="5901">
        <f t="shared" si="165"/>
        <v>14798.79</v>
      </c>
      <c r="Z139" s="3185">
        <v>3883.94</v>
      </c>
      <c r="AA139" s="5901">
        <f t="shared" ref="AA139:AA145" si="168">+Y139+Z139</f>
        <v>18682.73</v>
      </c>
      <c r="AB139" s="3185"/>
      <c r="AC139" s="6271">
        <f t="shared" si="166"/>
        <v>3883.94</v>
      </c>
      <c r="AD139" s="6271">
        <f t="shared" ref="AD139:AD148" si="169">+AC139+V139</f>
        <v>18682.73</v>
      </c>
      <c r="AE139" s="7072">
        <f t="shared" si="167"/>
        <v>18682.73</v>
      </c>
    </row>
    <row r="140" spans="3:35" s="7129" customFormat="1" x14ac:dyDescent="0.2">
      <c r="C140" s="1609" t="s">
        <v>2258</v>
      </c>
      <c r="D140" s="3835" t="s">
        <v>863</v>
      </c>
      <c r="E140" s="5909">
        <v>0</v>
      </c>
      <c r="F140" s="3185">
        <v>0</v>
      </c>
      <c r="G140" s="1905">
        <f t="shared" si="156"/>
        <v>0</v>
      </c>
      <c r="H140" s="3185">
        <v>0</v>
      </c>
      <c r="I140" s="2015">
        <f t="shared" si="157"/>
        <v>0</v>
      </c>
      <c r="J140" s="3185">
        <v>0</v>
      </c>
      <c r="K140" s="5901">
        <f t="shared" si="158"/>
        <v>0</v>
      </c>
      <c r="L140" s="3185">
        <v>0</v>
      </c>
      <c r="M140" s="5901">
        <f t="shared" si="158"/>
        <v>0</v>
      </c>
      <c r="N140" s="3185">
        <v>7821.2800000000007</v>
      </c>
      <c r="O140" s="6271">
        <f t="shared" si="160"/>
        <v>7821.2800000000007</v>
      </c>
      <c r="P140" s="7072">
        <f t="shared" si="161"/>
        <v>7821.2800000000007</v>
      </c>
      <c r="Q140" s="3185">
        <v>7220.37</v>
      </c>
      <c r="R140" s="5901">
        <f t="shared" si="159"/>
        <v>15041.650000000001</v>
      </c>
      <c r="S140" s="3185">
        <v>0</v>
      </c>
      <c r="T140" s="5901">
        <f t="shared" si="162"/>
        <v>15041.650000000001</v>
      </c>
      <c r="U140" s="3185">
        <v>3400.25</v>
      </c>
      <c r="V140" s="6271">
        <f t="shared" si="163"/>
        <v>10620.619999999999</v>
      </c>
      <c r="W140" s="5901">
        <f t="shared" si="164"/>
        <v>18441.900000000001</v>
      </c>
      <c r="X140" s="3185">
        <v>0</v>
      </c>
      <c r="Y140" s="5901">
        <f t="shared" si="165"/>
        <v>18441.900000000001</v>
      </c>
      <c r="Z140" s="3185">
        <v>3893.86</v>
      </c>
      <c r="AA140" s="5901">
        <f t="shared" si="168"/>
        <v>22335.760000000002</v>
      </c>
      <c r="AB140" s="3185"/>
      <c r="AC140" s="6271">
        <f t="shared" si="166"/>
        <v>3893.86</v>
      </c>
      <c r="AD140" s="6271">
        <f t="shared" si="169"/>
        <v>14514.48</v>
      </c>
      <c r="AE140" s="7072">
        <f t="shared" si="167"/>
        <v>22335.760000000002</v>
      </c>
    </row>
    <row r="141" spans="3:35" s="7468" customFormat="1" ht="18" x14ac:dyDescent="0.2">
      <c r="C141" s="7495" t="s">
        <v>849</v>
      </c>
      <c r="D141" s="5344" t="s">
        <v>863</v>
      </c>
      <c r="E141" s="7208">
        <f>+E142+E143</f>
        <v>0</v>
      </c>
      <c r="F141" s="7208">
        <f>+F142+F143</f>
        <v>0</v>
      </c>
      <c r="G141" s="7496">
        <f t="shared" si="156"/>
        <v>0</v>
      </c>
      <c r="H141" s="7208">
        <f>+H142+H143</f>
        <v>0</v>
      </c>
      <c r="I141" s="7496">
        <f t="shared" si="157"/>
        <v>0</v>
      </c>
      <c r="J141" s="7208">
        <f>+J142+J143</f>
        <v>0</v>
      </c>
      <c r="K141" s="7497">
        <f t="shared" si="158"/>
        <v>0</v>
      </c>
      <c r="L141" s="7208">
        <f>+L142+L143</f>
        <v>0</v>
      </c>
      <c r="M141" s="7497">
        <f t="shared" si="158"/>
        <v>0</v>
      </c>
      <c r="N141" s="7208">
        <f>+N142+N143</f>
        <v>0</v>
      </c>
      <c r="O141" s="7497">
        <f t="shared" si="160"/>
        <v>0</v>
      </c>
      <c r="P141" s="7497">
        <f t="shared" si="161"/>
        <v>0</v>
      </c>
      <c r="Q141" s="7208">
        <f>+Q142+Q143</f>
        <v>16883.09</v>
      </c>
      <c r="R141" s="7497">
        <f t="shared" si="159"/>
        <v>16883.09</v>
      </c>
      <c r="S141" s="7208">
        <f>+S142+S143</f>
        <v>8757.6700000000019</v>
      </c>
      <c r="T141" s="7497">
        <f t="shared" si="162"/>
        <v>25640.760000000002</v>
      </c>
      <c r="U141" s="7208">
        <f>+U142+U143</f>
        <v>8045.7699999999995</v>
      </c>
      <c r="V141" s="7497">
        <f t="shared" si="163"/>
        <v>33686.53</v>
      </c>
      <c r="W141" s="7497">
        <f t="shared" si="164"/>
        <v>33686.53</v>
      </c>
      <c r="X141" s="7208">
        <f>+X142+X143</f>
        <v>0</v>
      </c>
      <c r="Y141" s="7497">
        <f t="shared" si="165"/>
        <v>33686.53</v>
      </c>
      <c r="Z141" s="7208">
        <f>+Z142+Z143</f>
        <v>0</v>
      </c>
      <c r="AA141" s="7497">
        <f t="shared" si="168"/>
        <v>33686.53</v>
      </c>
      <c r="AB141" s="7208">
        <f>+AB142+AB143</f>
        <v>0</v>
      </c>
      <c r="AC141" s="7497">
        <f t="shared" si="166"/>
        <v>0</v>
      </c>
      <c r="AD141" s="7497">
        <f t="shared" si="169"/>
        <v>33686.53</v>
      </c>
      <c r="AE141" s="7497">
        <f t="shared" si="167"/>
        <v>33686.53</v>
      </c>
      <c r="AI141" s="7468">
        <f>317+11</f>
        <v>328</v>
      </c>
    </row>
    <row r="142" spans="3:35" s="7468" customFormat="1" x14ac:dyDescent="0.2">
      <c r="C142" s="1609" t="s">
        <v>2344</v>
      </c>
      <c r="D142" s="3835" t="s">
        <v>863</v>
      </c>
      <c r="E142" s="5909">
        <v>0</v>
      </c>
      <c r="F142" s="3185">
        <v>0</v>
      </c>
      <c r="G142" s="1905">
        <f t="shared" si="156"/>
        <v>0</v>
      </c>
      <c r="H142" s="3185">
        <v>0</v>
      </c>
      <c r="I142" s="2015">
        <f t="shared" si="157"/>
        <v>0</v>
      </c>
      <c r="J142" s="3185">
        <v>0</v>
      </c>
      <c r="K142" s="5901">
        <f t="shared" si="158"/>
        <v>0</v>
      </c>
      <c r="L142" s="3185">
        <v>0</v>
      </c>
      <c r="M142" s="5901">
        <f t="shared" si="158"/>
        <v>0</v>
      </c>
      <c r="N142" s="3185">
        <v>0</v>
      </c>
      <c r="O142" s="6271">
        <f t="shared" si="160"/>
        <v>0</v>
      </c>
      <c r="P142" s="7072">
        <f t="shared" si="161"/>
        <v>0</v>
      </c>
      <c r="Q142" s="3185">
        <v>14705.619999999999</v>
      </c>
      <c r="R142" s="5901">
        <f t="shared" si="159"/>
        <v>14705.619999999999</v>
      </c>
      <c r="S142" s="3185">
        <v>8757.6700000000019</v>
      </c>
      <c r="T142" s="5901">
        <f t="shared" si="162"/>
        <v>23463.29</v>
      </c>
      <c r="U142" s="3185">
        <v>8045.7699999999995</v>
      </c>
      <c r="V142" s="6271">
        <f t="shared" si="163"/>
        <v>31509.06</v>
      </c>
      <c r="W142" s="5901">
        <f t="shared" si="164"/>
        <v>31509.06</v>
      </c>
      <c r="X142" s="3185">
        <v>0</v>
      </c>
      <c r="Y142" s="5901">
        <f t="shared" si="165"/>
        <v>31509.06</v>
      </c>
      <c r="Z142" s="3185">
        <v>0</v>
      </c>
      <c r="AA142" s="5901">
        <f t="shared" si="168"/>
        <v>31509.06</v>
      </c>
      <c r="AB142" s="3185">
        <v>0</v>
      </c>
      <c r="AC142" s="6271">
        <f t="shared" si="166"/>
        <v>0</v>
      </c>
      <c r="AD142" s="6271">
        <f t="shared" si="169"/>
        <v>31509.06</v>
      </c>
      <c r="AE142" s="7072">
        <f t="shared" si="167"/>
        <v>31509.06</v>
      </c>
    </row>
    <row r="143" spans="3:35" s="7468" customFormat="1" x14ac:dyDescent="0.2">
      <c r="C143" s="1609" t="s">
        <v>2258</v>
      </c>
      <c r="D143" s="3835" t="s">
        <v>863</v>
      </c>
      <c r="E143" s="5909">
        <v>0</v>
      </c>
      <c r="F143" s="3185">
        <v>0</v>
      </c>
      <c r="G143" s="1905">
        <f t="shared" si="156"/>
        <v>0</v>
      </c>
      <c r="H143" s="3185">
        <v>0</v>
      </c>
      <c r="I143" s="2015">
        <f t="shared" si="157"/>
        <v>0</v>
      </c>
      <c r="J143" s="3185">
        <v>0</v>
      </c>
      <c r="K143" s="5901">
        <f t="shared" si="158"/>
        <v>0</v>
      </c>
      <c r="L143" s="3185">
        <v>0</v>
      </c>
      <c r="M143" s="5901">
        <f t="shared" si="158"/>
        <v>0</v>
      </c>
      <c r="N143" s="3185">
        <v>0</v>
      </c>
      <c r="O143" s="6271">
        <f t="shared" si="160"/>
        <v>0</v>
      </c>
      <c r="P143" s="7072">
        <f t="shared" si="161"/>
        <v>0</v>
      </c>
      <c r="Q143" s="3185">
        <v>2177.4699999999998</v>
      </c>
      <c r="R143" s="5901">
        <f t="shared" si="159"/>
        <v>2177.4699999999998</v>
      </c>
      <c r="S143" s="3185">
        <v>0</v>
      </c>
      <c r="T143" s="5901">
        <f t="shared" si="162"/>
        <v>2177.4699999999998</v>
      </c>
      <c r="U143" s="3185">
        <v>0</v>
      </c>
      <c r="V143" s="6271">
        <f t="shared" si="163"/>
        <v>2177.4699999999998</v>
      </c>
      <c r="W143" s="5901">
        <f t="shared" si="164"/>
        <v>2177.4699999999998</v>
      </c>
      <c r="X143" s="3185">
        <v>0</v>
      </c>
      <c r="Y143" s="5901">
        <f t="shared" si="165"/>
        <v>2177.4699999999998</v>
      </c>
      <c r="Z143" s="3185">
        <v>0</v>
      </c>
      <c r="AA143" s="5901">
        <f t="shared" si="168"/>
        <v>2177.4699999999998</v>
      </c>
      <c r="AB143" s="3185">
        <v>0</v>
      </c>
      <c r="AC143" s="6271">
        <f t="shared" si="166"/>
        <v>0</v>
      </c>
      <c r="AD143" s="6271">
        <f t="shared" si="169"/>
        <v>2177.4699999999998</v>
      </c>
      <c r="AE143" s="7072">
        <f t="shared" si="167"/>
        <v>2177.4699999999998</v>
      </c>
    </row>
    <row r="144" spans="3:35" s="7468" customFormat="1" ht="18" x14ac:dyDescent="0.2">
      <c r="C144" s="7495" t="s">
        <v>1850</v>
      </c>
      <c r="D144" s="5344" t="s">
        <v>863</v>
      </c>
      <c r="E144" s="7208">
        <f>+E145</f>
        <v>0</v>
      </c>
      <c r="F144" s="7208">
        <f>+F145</f>
        <v>0</v>
      </c>
      <c r="G144" s="7496">
        <f t="shared" si="156"/>
        <v>0</v>
      </c>
      <c r="H144" s="7208">
        <f>+H145</f>
        <v>0</v>
      </c>
      <c r="I144" s="7496">
        <f t="shared" si="157"/>
        <v>0</v>
      </c>
      <c r="J144" s="7208">
        <f>+J145</f>
        <v>0</v>
      </c>
      <c r="K144" s="7497">
        <f t="shared" si="158"/>
        <v>0</v>
      </c>
      <c r="L144" s="7208">
        <f>+L145</f>
        <v>0</v>
      </c>
      <c r="M144" s="7497">
        <f t="shared" si="158"/>
        <v>0</v>
      </c>
      <c r="N144" s="7208">
        <f>+N145</f>
        <v>0</v>
      </c>
      <c r="O144" s="7497">
        <f t="shared" si="160"/>
        <v>0</v>
      </c>
      <c r="P144" s="7497">
        <f t="shared" si="161"/>
        <v>0</v>
      </c>
      <c r="Q144" s="7208">
        <f>+Q145</f>
        <v>5114.2200000000012</v>
      </c>
      <c r="R144" s="7497">
        <f t="shared" si="159"/>
        <v>5114.2200000000012</v>
      </c>
      <c r="S144" s="7208">
        <f>+S145</f>
        <v>1999.08</v>
      </c>
      <c r="T144" s="7497">
        <f t="shared" si="162"/>
        <v>7113.3000000000011</v>
      </c>
      <c r="U144" s="7208">
        <f>+U145</f>
        <v>1997.6399999999999</v>
      </c>
      <c r="V144" s="7497">
        <f t="shared" si="163"/>
        <v>9110.94</v>
      </c>
      <c r="W144" s="7497">
        <f t="shared" si="164"/>
        <v>9110.94</v>
      </c>
      <c r="X144" s="7208">
        <f>+X145</f>
        <v>0</v>
      </c>
      <c r="Y144" s="7497">
        <f t="shared" si="165"/>
        <v>9110.94</v>
      </c>
      <c r="Z144" s="7208">
        <f>+Z145</f>
        <v>0</v>
      </c>
      <c r="AA144" s="7497">
        <f t="shared" si="168"/>
        <v>9110.94</v>
      </c>
      <c r="AB144" s="7208">
        <f>+AB145</f>
        <v>0</v>
      </c>
      <c r="AC144" s="7497">
        <f t="shared" si="166"/>
        <v>0</v>
      </c>
      <c r="AD144" s="7497">
        <f t="shared" si="169"/>
        <v>9110.94</v>
      </c>
      <c r="AE144" s="7497">
        <f t="shared" si="167"/>
        <v>9110.94</v>
      </c>
      <c r="AH144" s="1673">
        <f>+AE147+AE148+AE20</f>
        <v>25953.010000000002</v>
      </c>
    </row>
    <row r="145" spans="3:34" s="7468" customFormat="1" x14ac:dyDescent="0.2">
      <c r="C145" s="1609" t="s">
        <v>2345</v>
      </c>
      <c r="D145" s="3835" t="s">
        <v>863</v>
      </c>
      <c r="E145" s="5909"/>
      <c r="F145" s="3185"/>
      <c r="G145" s="1905">
        <f t="shared" si="156"/>
        <v>0</v>
      </c>
      <c r="H145" s="3185"/>
      <c r="I145" s="2015">
        <f t="shared" si="157"/>
        <v>0</v>
      </c>
      <c r="J145" s="3185"/>
      <c r="K145" s="5901">
        <f t="shared" si="158"/>
        <v>0</v>
      </c>
      <c r="L145" s="3185"/>
      <c r="M145" s="5901">
        <f t="shared" si="158"/>
        <v>0</v>
      </c>
      <c r="N145" s="3185"/>
      <c r="O145" s="6271">
        <f t="shared" si="160"/>
        <v>0</v>
      </c>
      <c r="P145" s="7072">
        <f t="shared" si="161"/>
        <v>0</v>
      </c>
      <c r="Q145" s="3185">
        <v>5114.2200000000012</v>
      </c>
      <c r="R145" s="5901">
        <f t="shared" si="159"/>
        <v>5114.2200000000012</v>
      </c>
      <c r="S145" s="3185">
        <v>1999.08</v>
      </c>
      <c r="T145" s="5901">
        <f t="shared" si="162"/>
        <v>7113.3000000000011</v>
      </c>
      <c r="U145" s="3185">
        <v>1997.6399999999999</v>
      </c>
      <c r="V145" s="6271">
        <f t="shared" si="163"/>
        <v>9110.94</v>
      </c>
      <c r="W145" s="5901">
        <f t="shared" si="164"/>
        <v>9110.94</v>
      </c>
      <c r="X145" s="3185">
        <v>0</v>
      </c>
      <c r="Y145" s="5901">
        <f t="shared" si="165"/>
        <v>9110.94</v>
      </c>
      <c r="Z145" s="3185">
        <v>0</v>
      </c>
      <c r="AA145" s="5901">
        <f t="shared" si="168"/>
        <v>9110.94</v>
      </c>
      <c r="AB145" s="3185">
        <v>0</v>
      </c>
      <c r="AC145" s="6271">
        <f t="shared" si="166"/>
        <v>0</v>
      </c>
      <c r="AD145" s="6271">
        <f t="shared" si="169"/>
        <v>9110.94</v>
      </c>
      <c r="AE145" s="7072">
        <f t="shared" si="167"/>
        <v>9110.94</v>
      </c>
      <c r="AH145" s="1673">
        <f>+AH144+1400</f>
        <v>27353.010000000002</v>
      </c>
    </row>
    <row r="146" spans="3:34" s="8125" customFormat="1" ht="18" x14ac:dyDescent="0.2">
      <c r="C146" s="7495" t="s">
        <v>2572</v>
      </c>
      <c r="D146" s="5344" t="s">
        <v>863</v>
      </c>
      <c r="E146" s="7208"/>
      <c r="F146" s="7208"/>
      <c r="G146" s="7496"/>
      <c r="H146" s="7208"/>
      <c r="I146" s="7496"/>
      <c r="J146" s="7208"/>
      <c r="K146" s="7497"/>
      <c r="L146" s="7208"/>
      <c r="M146" s="7497"/>
      <c r="N146" s="7208"/>
      <c r="O146" s="7497"/>
      <c r="P146" s="7497"/>
      <c r="Q146" s="7208"/>
      <c r="R146" s="7497"/>
      <c r="S146" s="7208"/>
      <c r="T146" s="7497"/>
      <c r="U146" s="7208"/>
      <c r="V146" s="7497"/>
      <c r="W146" s="7497"/>
      <c r="X146" s="7208">
        <v>8475.8799999999956</v>
      </c>
      <c r="Y146" s="7497">
        <f>+W146+X146</f>
        <v>8475.8799999999956</v>
      </c>
      <c r="Z146" s="7208">
        <v>0</v>
      </c>
      <c r="AA146" s="7497">
        <f>+Y146+Z146</f>
        <v>8475.8799999999956</v>
      </c>
      <c r="AB146" s="7208">
        <v>0</v>
      </c>
      <c r="AC146" s="7497"/>
      <c r="AD146" s="7497">
        <f t="shared" si="169"/>
        <v>0</v>
      </c>
      <c r="AE146" s="7497"/>
    </row>
    <row r="147" spans="3:34" s="7794" customFormat="1" ht="18" x14ac:dyDescent="0.2">
      <c r="C147" s="7495" t="s">
        <v>2450</v>
      </c>
      <c r="D147" s="5344" t="s">
        <v>863</v>
      </c>
      <c r="E147" s="7208"/>
      <c r="F147" s="7208"/>
      <c r="G147" s="7496">
        <f t="shared" ref="G147" si="170">+E147+F147</f>
        <v>0</v>
      </c>
      <c r="H147" s="7208"/>
      <c r="I147" s="7496">
        <f t="shared" ref="I147" si="171">+G147+H147</f>
        <v>0</v>
      </c>
      <c r="J147" s="7208"/>
      <c r="K147" s="7497">
        <f t="shared" ref="K147" si="172">+I147+J147</f>
        <v>0</v>
      </c>
      <c r="L147" s="7208"/>
      <c r="M147" s="7497">
        <f t="shared" ref="M147" si="173">+K147+L147</f>
        <v>0</v>
      </c>
      <c r="N147" s="7208"/>
      <c r="O147" s="7497">
        <f t="shared" ref="O147" si="174">+J147+L147+N147</f>
        <v>0</v>
      </c>
      <c r="P147" s="7497">
        <f t="shared" ref="P147" si="175">+M147+N147</f>
        <v>0</v>
      </c>
      <c r="Q147" s="7208"/>
      <c r="R147" s="7497">
        <f t="shared" ref="R147" si="176">+P147+Q147</f>
        <v>0</v>
      </c>
      <c r="S147" s="7208"/>
      <c r="T147" s="7497">
        <f t="shared" ref="T147" si="177">+R147+S147</f>
        <v>0</v>
      </c>
      <c r="U147" s="7208">
        <v>5320.9</v>
      </c>
      <c r="V147" s="7497">
        <f t="shared" ref="V147" si="178">+Q147+S147+U147</f>
        <v>5320.9</v>
      </c>
      <c r="W147" s="7497">
        <f t="shared" ref="W147" si="179">+T147+U147</f>
        <v>5320.9</v>
      </c>
      <c r="X147" s="7208">
        <v>0</v>
      </c>
      <c r="Y147" s="7497">
        <f t="shared" si="165"/>
        <v>5320.9</v>
      </c>
      <c r="Z147" s="7208">
        <v>0</v>
      </c>
      <c r="AA147" s="7497">
        <f t="shared" ref="AA147:AA148" si="180">+Y147+Z147</f>
        <v>5320.9</v>
      </c>
      <c r="AB147" s="7208">
        <v>0</v>
      </c>
      <c r="AC147" s="7497">
        <f t="shared" ref="AC147:AC148" si="181">+X147+Z147+AB147</f>
        <v>0</v>
      </c>
      <c r="AD147" s="7497">
        <f t="shared" si="169"/>
        <v>5320.9</v>
      </c>
      <c r="AE147" s="7497">
        <f t="shared" ref="AE147:AE148" si="182">+AA147+AB147</f>
        <v>5320.9</v>
      </c>
    </row>
    <row r="148" spans="3:34" ht="19" thickBot="1" x14ac:dyDescent="0.25">
      <c r="C148" s="7495" t="s">
        <v>2343</v>
      </c>
      <c r="D148" s="5344" t="s">
        <v>863</v>
      </c>
      <c r="E148" s="7208">
        <v>2</v>
      </c>
      <c r="F148" s="7208">
        <v>0</v>
      </c>
      <c r="G148" s="7496">
        <f t="shared" si="156"/>
        <v>2</v>
      </c>
      <c r="H148" s="7208">
        <v>1366.68</v>
      </c>
      <c r="I148" s="7496">
        <f t="shared" si="157"/>
        <v>1368.68</v>
      </c>
      <c r="J148" s="7208">
        <v>0</v>
      </c>
      <c r="K148" s="7497">
        <f t="shared" si="158"/>
        <v>1368.68</v>
      </c>
      <c r="L148" s="7208">
        <v>2398.25</v>
      </c>
      <c r="M148" s="7497">
        <f t="shared" si="158"/>
        <v>3766.9300000000003</v>
      </c>
      <c r="N148" s="7208">
        <v>0</v>
      </c>
      <c r="O148" s="7497">
        <f t="shared" si="160"/>
        <v>2398.25</v>
      </c>
      <c r="P148" s="7497">
        <f t="shared" si="161"/>
        <v>3766.9300000000003</v>
      </c>
      <c r="Q148" s="7208">
        <v>1527.66</v>
      </c>
      <c r="R148" s="7497">
        <f t="shared" si="159"/>
        <v>5294.59</v>
      </c>
      <c r="S148" s="7208">
        <v>0</v>
      </c>
      <c r="T148" s="7497">
        <f t="shared" si="162"/>
        <v>5294.59</v>
      </c>
      <c r="U148" s="7208">
        <v>2053.0300000000002</v>
      </c>
      <c r="V148" s="7497">
        <f t="shared" si="163"/>
        <v>3580.6900000000005</v>
      </c>
      <c r="W148" s="7497">
        <f t="shared" si="164"/>
        <v>7347.6200000000008</v>
      </c>
      <c r="X148" s="7208">
        <v>0</v>
      </c>
      <c r="Y148" s="7497">
        <f t="shared" si="165"/>
        <v>7347.6200000000008</v>
      </c>
      <c r="Z148" s="7208">
        <v>1783.02</v>
      </c>
      <c r="AA148" s="7497">
        <f t="shared" si="180"/>
        <v>9130.6400000000012</v>
      </c>
      <c r="AB148" s="7208"/>
      <c r="AC148" s="7497">
        <f t="shared" si="181"/>
        <v>1783.02</v>
      </c>
      <c r="AD148" s="7497">
        <f t="shared" si="169"/>
        <v>5363.7100000000009</v>
      </c>
      <c r="AE148" s="7497">
        <f t="shared" si="182"/>
        <v>9130.6400000000012</v>
      </c>
    </row>
    <row r="149" spans="3:34" ht="26" thickBot="1" x14ac:dyDescent="0.25">
      <c r="C149" s="7892" t="s">
        <v>1894</v>
      </c>
      <c r="D149" s="5223" t="s">
        <v>863</v>
      </c>
      <c r="E149" s="5222">
        <f t="shared" ref="E149" si="183">+SUM(E100:E127)+E136+E141+E144+E147+E148</f>
        <v>89.19</v>
      </c>
      <c r="F149" s="5222">
        <f t="shared" ref="F149" si="184">+SUM(F100:F127)+F136+F141+F144+F147+F148</f>
        <v>89.13000000000001</v>
      </c>
      <c r="G149" s="5222">
        <f t="shared" ref="G149" si="185">+SUM(G100:G127)+G136+G141+G144+G147+G148</f>
        <v>178.32</v>
      </c>
      <c r="H149" s="5222">
        <f t="shared" ref="H149" si="186">+SUM(H100:H127)+H136+H141+H144+H147+H148</f>
        <v>1453.78</v>
      </c>
      <c r="I149" s="5222">
        <f t="shared" ref="I149" si="187">+SUM(I100:I127)+I136+I141+I144+I147+I148</f>
        <v>1632.1000000000001</v>
      </c>
      <c r="J149" s="5222">
        <f t="shared" ref="J149" si="188">+SUM(J100:J127)+J136+J141+J144+J147+J148</f>
        <v>2009.4400000000003</v>
      </c>
      <c r="K149" s="5222">
        <f t="shared" ref="K149" si="189">+SUM(K100:K127)+K136+K141+K144+K147+K148</f>
        <v>3641.5400000000009</v>
      </c>
      <c r="L149" s="5222">
        <f t="shared" ref="L149" si="190">+SUM(L100:L127)+L136+L141+L144+L147+L148</f>
        <v>4959.7199999999993</v>
      </c>
      <c r="M149" s="5222">
        <f t="shared" ref="M149" si="191">+SUM(M100:M127)+M136+M141+M144+M147+M148</f>
        <v>8601.26</v>
      </c>
      <c r="N149" s="5222">
        <f t="shared" ref="N149" si="192">+SUM(N100:N127)+N136+N141+N144+N147+N148</f>
        <v>52863.469999999994</v>
      </c>
      <c r="O149" s="5222">
        <f t="shared" ref="O149" si="193">+SUM(O100:O127)+O136+O141+O144+O147+O148</f>
        <v>59832.63</v>
      </c>
      <c r="P149" s="5222">
        <f t="shared" ref="P149" si="194">+SUM(P100:P127)+P136+P141+P144+P147+P148</f>
        <v>61464.729999999996</v>
      </c>
      <c r="Q149" s="5222">
        <f t="shared" ref="Q149" si="195">+SUM(Q100:Q127)+Q136+Q141+Q144+Q147+Q148</f>
        <v>125163.34000000001</v>
      </c>
      <c r="R149" s="5222">
        <f t="shared" ref="R149" si="196">+SUM(R100:R127)+R136+R141+R144+R147+R148</f>
        <v>186628.07</v>
      </c>
      <c r="S149" s="5222">
        <f t="shared" ref="S149" si="197">+SUM(S100:S127)+S136+S141+S144+S147+S148</f>
        <v>85426.06</v>
      </c>
      <c r="T149" s="5222">
        <f t="shared" ref="T149" si="198">+SUM(T100:T127)+T136+T141+T144+T147+T148</f>
        <v>272054.13000000006</v>
      </c>
      <c r="U149" s="5222">
        <f>+SUM(U100:U127)+U136+U141+U144+U147+U148</f>
        <v>53345.45</v>
      </c>
      <c r="V149" s="5222">
        <f t="shared" ref="V149:W149" si="199">+SUM(V100:V127)+V136+V141+V144+V147+V148</f>
        <v>263934.85000000003</v>
      </c>
      <c r="W149" s="5222">
        <f t="shared" si="199"/>
        <v>325399.58</v>
      </c>
      <c r="X149" s="5222">
        <f>+SUM(X100:X127)+X136+X141+X144+X147+X148+X146</f>
        <v>31158.509999999995</v>
      </c>
      <c r="Y149" s="5222">
        <f t="shared" ref="Y149:AA149" si="200">+SUM(Y100:Y127)+Y136+Y141+Y144+Y147+Y148</f>
        <v>348082.21</v>
      </c>
      <c r="Z149" s="5222">
        <f>+SUM(Z100:Z134)+Z136+Z141+Z144+Z147+Z148+Z146</f>
        <v>46762.239999999991</v>
      </c>
      <c r="AA149" s="5222">
        <f t="shared" si="200"/>
        <v>391906.7</v>
      </c>
      <c r="AB149" s="5222">
        <f>+SUM(AB100:AB134)+AB136+AB141+AB144+AB147+AB148+AB146</f>
        <v>19559.009999999998</v>
      </c>
      <c r="AC149" s="5222">
        <f t="shared" ref="AC149:AE149" si="201">+SUM(AC100:AC134)+AC136+AC141+AC144+AC147+AC148+AC146</f>
        <v>87984.4</v>
      </c>
      <c r="AD149" s="5222">
        <f t="shared" si="201"/>
        <v>351919.25000000012</v>
      </c>
      <c r="AE149" s="5222">
        <f t="shared" si="201"/>
        <v>411413.2</v>
      </c>
    </row>
    <row r="151" spans="3:34" x14ac:dyDescent="0.2">
      <c r="M151" s="1673"/>
    </row>
    <row r="152" spans="3:34" x14ac:dyDescent="0.2">
      <c r="C152" s="5727"/>
      <c r="D152" s="5727"/>
      <c r="E152" s="5727"/>
      <c r="F152" s="5727"/>
      <c r="G152" s="5727"/>
      <c r="H152" s="1673"/>
      <c r="I152" s="5727"/>
    </row>
    <row r="153" spans="3:34" x14ac:dyDescent="0.2">
      <c r="N153" s="1673"/>
    </row>
  </sheetData>
  <autoFilter ref="C99:C149" xr:uid="{00000000-0009-0000-0000-000005000000}"/>
  <sortState xmlns:xlrd2="http://schemas.microsoft.com/office/spreadsheetml/2017/richdata2" ref="C11:W18">
    <sortCondition ref="C11:C18"/>
  </sortState>
  <mergeCells count="2">
    <mergeCell ref="C3:C4"/>
    <mergeCell ref="D3:D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249977111117893"/>
  </sheetPr>
  <dimension ref="A1:BE350"/>
  <sheetViews>
    <sheetView tabSelected="1" zoomScale="86" zoomScaleNormal="86" workbookViewId="0">
      <pane xSplit="3" ySplit="3" topLeftCell="BD17" activePane="bottomRight" state="frozen"/>
      <selection pane="topRight" activeCell="D1" sqref="D1"/>
      <selection pane="bottomLeft" activeCell="A4" sqref="A4"/>
      <selection pane="bottomRight" activeCell="BE175" sqref="BE175"/>
    </sheetView>
  </sheetViews>
  <sheetFormatPr baseColWidth="10" defaultColWidth="8.83203125" defaultRowHeight="15" x14ac:dyDescent="0.2"/>
  <cols>
    <col min="1" max="1" width="9.1640625" style="3378"/>
    <col min="2" max="2" width="58" customWidth="1"/>
    <col min="3" max="3" width="12.6640625" bestFit="1" customWidth="1"/>
    <col min="4" max="4" width="13.5" style="2100" customWidth="1"/>
    <col min="5" max="5" width="12.5" style="2265" customWidth="1"/>
    <col min="6" max="6" width="12" style="2100" customWidth="1"/>
    <col min="7" max="7" width="10.5" style="2265" customWidth="1"/>
    <col min="8" max="8" width="10.5" style="2100" customWidth="1"/>
    <col min="9" max="9" width="10.5" style="2265" customWidth="1"/>
    <col min="10" max="10" width="10.5" style="2100" customWidth="1"/>
    <col min="11" max="11" width="10.5" style="2265" customWidth="1"/>
    <col min="12" max="12" width="10.5" style="2100" customWidth="1"/>
    <col min="13" max="13" width="10.5" style="2265" customWidth="1"/>
    <col min="14" max="14" width="10.5" style="2100" customWidth="1"/>
    <col min="15" max="15" width="10.5" style="2265" customWidth="1"/>
    <col min="16" max="16" width="10.5" style="2100" customWidth="1"/>
    <col min="17" max="17" width="10.5" style="2265" customWidth="1"/>
    <col min="18" max="18" width="10.5" style="2100" customWidth="1"/>
    <col min="19" max="19" width="10.5" customWidth="1"/>
    <col min="20" max="20" width="12.5" style="2100" customWidth="1"/>
    <col min="21" max="21" width="12.5" bestFit="1" customWidth="1"/>
    <col min="22" max="22" width="12.6640625" bestFit="1" customWidth="1"/>
    <col min="23" max="23" width="10.5" customWidth="1"/>
    <col min="24" max="25" width="12.5" style="6545" customWidth="1"/>
    <col min="26" max="27" width="12.6640625" bestFit="1" customWidth="1"/>
    <col min="28" max="29" width="10.5" customWidth="1"/>
    <col min="30" max="31" width="14.33203125" bestFit="1" customWidth="1"/>
    <col min="32" max="32" width="10.5" customWidth="1"/>
    <col min="33" max="33" width="12.5" bestFit="1" customWidth="1"/>
    <col min="34" max="34" width="12.1640625" customWidth="1"/>
    <col min="35" max="35" width="14.33203125" bestFit="1" customWidth="1"/>
    <col min="36" max="37" width="12.5" bestFit="1" customWidth="1"/>
    <col min="38" max="39" width="12.6640625" bestFit="1" customWidth="1"/>
    <col min="40" max="41" width="14.33203125" bestFit="1" customWidth="1"/>
    <col min="42" max="43" width="12.5" bestFit="1" customWidth="1"/>
    <col min="44" max="44" width="12.1640625" bestFit="1" customWidth="1"/>
    <col min="45" max="45" width="12.33203125" bestFit="1" customWidth="1"/>
    <col min="46" max="46" width="13.5" customWidth="1"/>
    <col min="47" max="47" width="15.1640625" customWidth="1"/>
    <col min="49" max="49" width="14" customWidth="1"/>
    <col min="50" max="51" width="12.5" bestFit="1" customWidth="1"/>
    <col min="52" max="55" width="12.5" style="8260" customWidth="1"/>
    <col min="56" max="57" width="12.6640625" style="8260" bestFit="1" customWidth="1"/>
  </cols>
  <sheetData>
    <row r="1" spans="1:57" s="2265" customFormat="1" ht="23" x14ac:dyDescent="0.25">
      <c r="B1" s="6055" t="s">
        <v>17</v>
      </c>
      <c r="C1" s="1833"/>
      <c r="D1" s="2883"/>
      <c r="E1" s="1833"/>
      <c r="F1" s="2883"/>
      <c r="G1" s="1833" t="s">
        <v>490</v>
      </c>
      <c r="H1" s="2883"/>
      <c r="I1" s="1833"/>
      <c r="J1" s="2883"/>
      <c r="K1" s="1833"/>
      <c r="L1" s="2883"/>
      <c r="M1" s="1833"/>
      <c r="N1" s="2883"/>
      <c r="O1" s="1833"/>
      <c r="P1" s="2883"/>
      <c r="Q1" s="1833"/>
      <c r="R1" s="2100"/>
      <c r="T1" s="2100"/>
    </row>
    <row r="2" spans="1:57" s="2265" customFormat="1" ht="16" thickBot="1" x14ac:dyDescent="0.25">
      <c r="B2" s="1833"/>
      <c r="C2" s="1833"/>
      <c r="D2" s="6387">
        <v>30</v>
      </c>
      <c r="E2" s="1690">
        <v>30</v>
      </c>
      <c r="F2" s="6387">
        <v>31</v>
      </c>
      <c r="G2" s="1690">
        <v>31</v>
      </c>
      <c r="H2" s="6387">
        <f>+D2+F2</f>
        <v>61</v>
      </c>
      <c r="I2" s="1690">
        <f>+E2+G2</f>
        <v>61</v>
      </c>
      <c r="J2" s="6387">
        <v>30</v>
      </c>
      <c r="K2" s="1690">
        <v>30</v>
      </c>
      <c r="L2" s="6387">
        <f>+H2+J2</f>
        <v>91</v>
      </c>
      <c r="M2" s="1690">
        <f>+I2+K2</f>
        <v>91</v>
      </c>
      <c r="N2" s="6387">
        <v>31</v>
      </c>
      <c r="O2" s="1690">
        <v>31</v>
      </c>
      <c r="P2" s="6387">
        <f>+L2+N2</f>
        <v>122</v>
      </c>
      <c r="Q2" s="1690">
        <f>+M2+O2</f>
        <v>122</v>
      </c>
      <c r="R2" s="6387">
        <v>31</v>
      </c>
      <c r="S2" s="1690">
        <v>31</v>
      </c>
      <c r="T2" s="6387">
        <f>+P2+R2</f>
        <v>153</v>
      </c>
      <c r="U2" s="1690">
        <f>+Q2+S2</f>
        <v>153</v>
      </c>
      <c r="V2" s="6387">
        <v>30</v>
      </c>
      <c r="W2" s="1690">
        <v>30</v>
      </c>
      <c r="X2" s="6387">
        <f>+N2+R2+V2</f>
        <v>92</v>
      </c>
      <c r="Y2" s="6387">
        <f>+O2+S2+W2</f>
        <v>92</v>
      </c>
      <c r="Z2" s="6387">
        <f>+T2+V2</f>
        <v>183</v>
      </c>
      <c r="AA2" s="1690">
        <f>+U2+W2</f>
        <v>183</v>
      </c>
      <c r="AB2" s="6387">
        <v>31</v>
      </c>
      <c r="AC2" s="1690">
        <v>31</v>
      </c>
      <c r="AD2" s="6387">
        <f>+Z2+AB2</f>
        <v>214</v>
      </c>
      <c r="AE2" s="1690">
        <f>+AA2+AC2</f>
        <v>214</v>
      </c>
      <c r="AF2" s="6387">
        <v>30</v>
      </c>
      <c r="AG2" s="1690">
        <v>30</v>
      </c>
      <c r="AH2" s="6387">
        <f>+AD2+AF2</f>
        <v>244</v>
      </c>
      <c r="AI2" s="1690">
        <f>+AE2+AG2</f>
        <v>244</v>
      </c>
      <c r="AJ2" s="6387">
        <v>31</v>
      </c>
      <c r="AK2" s="1690">
        <v>31</v>
      </c>
      <c r="AL2" s="6387">
        <f>+AB2+AF2+AJ2</f>
        <v>92</v>
      </c>
      <c r="AM2" s="6387">
        <f>+AC2+AG2+AK2</f>
        <v>92</v>
      </c>
      <c r="AN2" s="6387">
        <f>+AH2+AJ2</f>
        <v>275</v>
      </c>
      <c r="AO2" s="1690">
        <f>+AI2+AK2</f>
        <v>275</v>
      </c>
      <c r="AP2" s="6387">
        <v>31</v>
      </c>
      <c r="AQ2" s="1690">
        <v>31</v>
      </c>
      <c r="AR2" s="6387">
        <f>+AN2+AP2</f>
        <v>306</v>
      </c>
      <c r="AS2" s="1690">
        <f>+AO2+AQ2</f>
        <v>306</v>
      </c>
      <c r="AT2" s="2265">
        <v>28</v>
      </c>
      <c r="AU2" s="2265">
        <v>28</v>
      </c>
      <c r="AV2" s="2265">
        <f>+AR2+AT2</f>
        <v>334</v>
      </c>
      <c r="AW2" s="2265">
        <f>+AS2+AU2</f>
        <v>334</v>
      </c>
      <c r="AX2" s="2265">
        <v>31</v>
      </c>
      <c r="AY2" s="2265">
        <v>31</v>
      </c>
      <c r="AZ2" s="6387">
        <f>+AP2+AT2+AX2</f>
        <v>90</v>
      </c>
      <c r="BA2" s="6387">
        <f>+AQ2+AU2+AY2</f>
        <v>90</v>
      </c>
      <c r="BB2" s="6387">
        <f>+AL2+AZ2</f>
        <v>182</v>
      </c>
      <c r="BC2" s="6387">
        <f>+AM2+BA2</f>
        <v>182</v>
      </c>
      <c r="BD2" s="6387">
        <f>+AV2+AX2</f>
        <v>365</v>
      </c>
      <c r="BE2" s="1690">
        <f>+AW2+AY2</f>
        <v>365</v>
      </c>
    </row>
    <row r="3" spans="1:57" s="2265" customFormat="1" ht="16" thickBot="1" x14ac:dyDescent="0.25">
      <c r="B3" s="8707" t="s">
        <v>657</v>
      </c>
      <c r="C3" s="8835" t="s">
        <v>658</v>
      </c>
      <c r="D3" s="8703" t="s">
        <v>1859</v>
      </c>
      <c r="E3" s="8704"/>
      <c r="F3" s="8644" t="s">
        <v>1862</v>
      </c>
      <c r="G3" s="8644"/>
      <c r="H3" s="8646" t="s">
        <v>52</v>
      </c>
      <c r="I3" s="8647"/>
      <c r="J3" s="8703" t="s">
        <v>1863</v>
      </c>
      <c r="K3" s="8704"/>
      <c r="L3" s="8700" t="s">
        <v>605</v>
      </c>
      <c r="M3" s="8699"/>
      <c r="N3" s="8644" t="s">
        <v>1864</v>
      </c>
      <c r="O3" s="8644"/>
      <c r="P3" s="8646" t="s">
        <v>62</v>
      </c>
      <c r="Q3" s="8647"/>
      <c r="R3" s="8644" t="s">
        <v>2160</v>
      </c>
      <c r="S3" s="8644"/>
      <c r="T3" s="8646" t="s">
        <v>64</v>
      </c>
      <c r="U3" s="8647"/>
      <c r="V3" s="8644" t="s">
        <v>2227</v>
      </c>
      <c r="W3" s="8644"/>
      <c r="X3" s="8698" t="s">
        <v>1717</v>
      </c>
      <c r="Y3" s="8699"/>
      <c r="Z3" s="8701" t="s">
        <v>1697</v>
      </c>
      <c r="AA3" s="8702"/>
      <c r="AB3" s="8579" t="s">
        <v>2265</v>
      </c>
      <c r="AC3" s="8579"/>
      <c r="AD3" s="8605" t="s">
        <v>101</v>
      </c>
      <c r="AE3" s="8606"/>
      <c r="AF3" s="8644" t="s">
        <v>2423</v>
      </c>
      <c r="AG3" s="8644"/>
      <c r="AH3" s="8646" t="s">
        <v>105</v>
      </c>
      <c r="AI3" s="8647"/>
      <c r="AJ3" s="8644" t="s">
        <v>2449</v>
      </c>
      <c r="AK3" s="8644"/>
      <c r="AL3" s="8698" t="s">
        <v>1756</v>
      </c>
      <c r="AM3" s="8699"/>
      <c r="AN3" s="8646" t="s">
        <v>2448</v>
      </c>
      <c r="AO3" s="8647"/>
      <c r="AP3" s="8644" t="s">
        <v>2533</v>
      </c>
      <c r="AQ3" s="8644"/>
      <c r="AR3" s="8646" t="s">
        <v>110</v>
      </c>
      <c r="AS3" s="8647"/>
      <c r="AT3" s="8834">
        <v>44228</v>
      </c>
      <c r="AU3" s="8644"/>
      <c r="AV3" s="8646" t="s">
        <v>113</v>
      </c>
      <c r="AW3" s="8647"/>
      <c r="AX3" s="8834" t="s">
        <v>2600</v>
      </c>
      <c r="AY3" s="8644"/>
      <c r="AZ3" s="8698" t="s">
        <v>1757</v>
      </c>
      <c r="BA3" s="8699"/>
      <c r="BB3" s="8698" t="s">
        <v>1842</v>
      </c>
      <c r="BC3" s="8699"/>
      <c r="BD3" s="8701" t="s">
        <v>1865</v>
      </c>
      <c r="BE3" s="8702"/>
    </row>
    <row r="4" spans="1:57" s="2265" customFormat="1" ht="16" thickBot="1" x14ac:dyDescent="0.25">
      <c r="B4" s="8708"/>
      <c r="C4" s="8836"/>
      <c r="D4" s="3910" t="s">
        <v>659</v>
      </c>
      <c r="E4" s="3833" t="s">
        <v>660</v>
      </c>
      <c r="F4" s="6324" t="s">
        <v>659</v>
      </c>
      <c r="G4" s="3856" t="s">
        <v>660</v>
      </c>
      <c r="H4" s="6325" t="s">
        <v>659</v>
      </c>
      <c r="I4" s="3866" t="s">
        <v>660</v>
      </c>
      <c r="J4" s="6324" t="s">
        <v>659</v>
      </c>
      <c r="K4" s="3856" t="s">
        <v>660</v>
      </c>
      <c r="L4" s="6328" t="s">
        <v>659</v>
      </c>
      <c r="M4" s="3888" t="s">
        <v>660</v>
      </c>
      <c r="N4" s="6324" t="s">
        <v>659</v>
      </c>
      <c r="O4" s="3856" t="s">
        <v>660</v>
      </c>
      <c r="P4" s="6325" t="s">
        <v>659</v>
      </c>
      <c r="Q4" s="3866" t="s">
        <v>660</v>
      </c>
      <c r="R4" s="6324" t="s">
        <v>659</v>
      </c>
      <c r="S4" s="3856" t="s">
        <v>660</v>
      </c>
      <c r="T4" s="6325" t="s">
        <v>659</v>
      </c>
      <c r="U4" s="3866" t="s">
        <v>660</v>
      </c>
      <c r="V4" s="6551" t="s">
        <v>659</v>
      </c>
      <c r="W4" s="3856" t="s">
        <v>660</v>
      </c>
      <c r="X4" s="6558" t="s">
        <v>659</v>
      </c>
      <c r="Y4" s="3888" t="s">
        <v>660</v>
      </c>
      <c r="Z4" s="6623" t="s">
        <v>659</v>
      </c>
      <c r="AA4" s="6624" t="s">
        <v>660</v>
      </c>
      <c r="AB4" s="7330" t="s">
        <v>659</v>
      </c>
      <c r="AC4" s="3856" t="s">
        <v>660</v>
      </c>
      <c r="AD4" s="7331" t="s">
        <v>659</v>
      </c>
      <c r="AE4" s="3866" t="s">
        <v>660</v>
      </c>
      <c r="AF4" s="7560" t="s">
        <v>659</v>
      </c>
      <c r="AG4" s="3856" t="s">
        <v>660</v>
      </c>
      <c r="AH4" s="7561" t="s">
        <v>659</v>
      </c>
      <c r="AI4" s="3866" t="s">
        <v>660</v>
      </c>
      <c r="AJ4" s="7704" t="s">
        <v>659</v>
      </c>
      <c r="AK4" s="3856" t="s">
        <v>660</v>
      </c>
      <c r="AL4" s="7706" t="s">
        <v>659</v>
      </c>
      <c r="AM4" s="3888" t="s">
        <v>660</v>
      </c>
      <c r="AN4" s="7705" t="s">
        <v>659</v>
      </c>
      <c r="AO4" s="3866" t="s">
        <v>660</v>
      </c>
      <c r="AP4" s="8024" t="s">
        <v>659</v>
      </c>
      <c r="AQ4" s="3856" t="s">
        <v>660</v>
      </c>
      <c r="AR4" s="8025" t="s">
        <v>659</v>
      </c>
      <c r="AS4" s="3866" t="s">
        <v>660</v>
      </c>
      <c r="AT4" s="8155" t="s">
        <v>659</v>
      </c>
      <c r="AU4" s="3856" t="s">
        <v>660</v>
      </c>
      <c r="AV4" s="8156" t="s">
        <v>659</v>
      </c>
      <c r="AW4" s="3866" t="s">
        <v>660</v>
      </c>
      <c r="AX4" s="8274" t="s">
        <v>659</v>
      </c>
      <c r="AY4" s="3856" t="s">
        <v>660</v>
      </c>
      <c r="AZ4" s="8286" t="s">
        <v>659</v>
      </c>
      <c r="BA4" s="3888" t="s">
        <v>660</v>
      </c>
      <c r="BB4" s="8286" t="s">
        <v>659</v>
      </c>
      <c r="BC4" s="3888" t="s">
        <v>660</v>
      </c>
      <c r="BD4" s="8285" t="s">
        <v>659</v>
      </c>
      <c r="BE4" s="6624" t="s">
        <v>660</v>
      </c>
    </row>
    <row r="5" spans="1:57" x14ac:dyDescent="0.2">
      <c r="B5" s="1543" t="s">
        <v>72</v>
      </c>
      <c r="C5" s="1544" t="s">
        <v>655</v>
      </c>
      <c r="D5" s="6388">
        <f>+'Maj Prod Summ'!D6</f>
        <v>77.86666666666666</v>
      </c>
      <c r="E5" s="2725">
        <f>+'Maj Prod Summ'!E6</f>
        <v>77.86666666666666</v>
      </c>
      <c r="F5" s="6388">
        <f>+'Maj Prod Summ'!F6</f>
        <v>85.387096774193552</v>
      </c>
      <c r="G5" s="2725">
        <f>+'Maj Prod Summ'!G6</f>
        <v>85.387096774193552</v>
      </c>
      <c r="H5" s="6389">
        <f>+'Maj Prod Summ'!H6</f>
        <v>81.688524590163937</v>
      </c>
      <c r="I5" s="5606">
        <f>+'Maj Prod Summ'!I6</f>
        <v>81.688524590163937</v>
      </c>
      <c r="J5" s="6388">
        <f>+'Maj Prod Summ'!J6</f>
        <v>92.2</v>
      </c>
      <c r="K5" s="2725">
        <f>+'Maj Prod Summ'!K6</f>
        <v>92.2</v>
      </c>
      <c r="L5" s="6390">
        <f>+'Maj Prod Summ'!L6</f>
        <v>85.15384615384616</v>
      </c>
      <c r="M5" s="6391">
        <f>+'Maj Prod Summ'!M6</f>
        <v>85.15384615384616</v>
      </c>
      <c r="N5" s="6388">
        <f>+'Maj Prod Summ'!N6</f>
        <v>99</v>
      </c>
      <c r="O5" s="2725">
        <f>+'Maj Prod Summ'!O6</f>
        <v>97.064516129032256</v>
      </c>
      <c r="P5" s="6389">
        <f>+'Maj Prod Summ'!P6</f>
        <v>88.672131147540981</v>
      </c>
      <c r="Q5" s="5606">
        <f>+'Maj Prod Summ'!Q6</f>
        <v>88.180327868852459</v>
      </c>
      <c r="R5" s="6388">
        <f>+'Maj Prod Summ'!R6</f>
        <v>99</v>
      </c>
      <c r="S5" s="2725">
        <f>+'Maj Prod Summ'!S6</f>
        <v>98.935483870967744</v>
      </c>
      <c r="T5" s="6389">
        <f>+'Maj Prod Summ'!T6</f>
        <v>90.764705882352942</v>
      </c>
      <c r="U5" s="5606">
        <f>+'Maj Prod Summ'!U6</f>
        <v>90.359477124183002</v>
      </c>
      <c r="V5" s="6388">
        <f>+'Maj Prod Summ'!V6</f>
        <v>99</v>
      </c>
      <c r="W5" s="2725">
        <f>+'Maj Prod Summ'!W6</f>
        <v>97.833333333333329</v>
      </c>
      <c r="X5" s="6390">
        <f>+'Maj Prod Summ'!X6</f>
        <v>99</v>
      </c>
      <c r="Y5" s="6391">
        <f>+'Maj Prod Summ'!Y6</f>
        <v>97.945652173913047</v>
      </c>
      <c r="Z5" s="6682">
        <f>+'Maj Prod Summ'!X6</f>
        <v>99</v>
      </c>
      <c r="AA5" s="6683">
        <f>+'Maj Prod Summ'!Y6</f>
        <v>97.945652173913047</v>
      </c>
      <c r="AB5" s="6388">
        <f>+'Maj Prod Summ'!AB6</f>
        <v>99</v>
      </c>
      <c r="AC5" s="2725">
        <f>+'Maj Prod Summ'!AC6</f>
        <v>98.677419354838705</v>
      </c>
      <c r="AD5" s="6389">
        <f>+'Maj Prod Summ'!AD6</f>
        <v>93.112149532710276</v>
      </c>
      <c r="AE5" s="5606">
        <f>+'Maj Prod Summ'!AE6</f>
        <v>92.612149532710276</v>
      </c>
      <c r="AF5" s="6388">
        <f>+'Maj Prod Summ'!AF6</f>
        <v>99</v>
      </c>
      <c r="AG5" s="2725">
        <f>+'Maj Prod Summ'!AG6</f>
        <v>99.36666666666666</v>
      </c>
      <c r="AH5" s="6389">
        <f>+'Maj Prod Summ'!AH6</f>
        <v>93.836065573770497</v>
      </c>
      <c r="AI5" s="5606">
        <f>+'Maj Prod Summ'!AI6</f>
        <v>93.442622950819668</v>
      </c>
      <c r="AJ5" s="6388">
        <f>+'Maj Prod Summ'!AJ6</f>
        <v>99</v>
      </c>
      <c r="AK5" s="2725">
        <f>+'Maj Prod Summ'!AK6</f>
        <v>99.129032258064512</v>
      </c>
      <c r="AL5" s="6390">
        <f>+'Maj Prod Summ'!AL6</f>
        <v>99</v>
      </c>
      <c r="AM5" s="6391">
        <f>+'Maj Prod Summ'!AM6</f>
        <v>99.054347826086953</v>
      </c>
      <c r="AN5" s="6389">
        <f>+'Maj Prod Summ'!AL6</f>
        <v>99</v>
      </c>
      <c r="AO5" s="5606">
        <f>+'Maj Prod Summ'!AM6</f>
        <v>99.054347826086953</v>
      </c>
      <c r="AP5" s="6388">
        <f>+'Maj Prod Summ'!AP6</f>
        <v>99</v>
      </c>
      <c r="AQ5" s="2725">
        <f>+'Maj Prod Summ'!AQ6</f>
        <v>99.129032258064512</v>
      </c>
      <c r="AR5" s="6389">
        <f>+'Maj Prod Summ'!AR6</f>
        <v>94.882352941176464</v>
      </c>
      <c r="AS5" s="5606">
        <f>+'Maj Prod Summ'!AS6</f>
        <v>94.59477124183006</v>
      </c>
      <c r="AT5" s="6388">
        <f>+'Maj Prod Summ'!AT6</f>
        <v>99</v>
      </c>
      <c r="AU5" s="2725">
        <f>+'Maj Prod Summ'!AU6</f>
        <v>99.142857142857139</v>
      </c>
      <c r="AV5" s="6389">
        <f>+'Maj Prod Summ'!AV6</f>
        <v>95.227544910179631</v>
      </c>
      <c r="AW5" s="5606">
        <f>+'Maj Prod Summ'!AW6</f>
        <v>94.976047904191617</v>
      </c>
      <c r="AX5" s="6388">
        <f>+'Maj Prod Summ'!AX6</f>
        <v>99</v>
      </c>
      <c r="AY5" s="2725">
        <f>+'Maj Prod Summ'!AY6</f>
        <v>99.290322580645167</v>
      </c>
      <c r="AZ5" s="6390">
        <f>+'Maj Prod Summ'!AZ6</f>
        <v>99</v>
      </c>
      <c r="BA5" s="6391">
        <f>+'Maj Prod Summ'!BA6</f>
        <v>99.188888888888883</v>
      </c>
      <c r="BB5" s="6390">
        <f>+'Maj Prod Summ'!BB6</f>
        <v>99</v>
      </c>
      <c r="BC5" s="6391">
        <f>+'Maj Prod Summ'!BC6</f>
        <v>99.120879120879124</v>
      </c>
      <c r="BD5" s="6682">
        <f>+'Maj Prod Summ'!BD6</f>
        <v>95.547945205479451</v>
      </c>
      <c r="BE5" s="6683">
        <f>+'Maj Prod Summ'!BE6</f>
        <v>95.342465753424662</v>
      </c>
    </row>
    <row r="6" spans="1:57" ht="16" thickBot="1" x14ac:dyDescent="0.25">
      <c r="B6" s="1546" t="s">
        <v>493</v>
      </c>
      <c r="C6" s="1547" t="s">
        <v>655</v>
      </c>
      <c r="D6" s="6388">
        <f>+'Maj Prod Summ'!D7</f>
        <v>77.766666666666666</v>
      </c>
      <c r="E6" s="2725">
        <f>+'Maj Prod Summ'!E7</f>
        <v>77.766666666666666</v>
      </c>
      <c r="F6" s="6388">
        <f>+'Maj Prod Summ'!F7</f>
        <v>75.129032258064512</v>
      </c>
      <c r="G6" s="2725">
        <f>+'Maj Prod Summ'!G7</f>
        <v>75.129032258064512</v>
      </c>
      <c r="H6" s="6389">
        <f>+'Maj Prod Summ'!H7</f>
        <v>76.426229508196727</v>
      </c>
      <c r="I6" s="5606">
        <f>+'Maj Prod Summ'!I7</f>
        <v>76.426229508196727</v>
      </c>
      <c r="J6" s="6388">
        <f>+'Maj Prod Summ'!J7</f>
        <v>86.5</v>
      </c>
      <c r="K6" s="2725">
        <f>+'Maj Prod Summ'!K7</f>
        <v>86.5</v>
      </c>
      <c r="L6" s="6390">
        <f>+'Maj Prod Summ'!L7</f>
        <v>79.747252747252745</v>
      </c>
      <c r="M6" s="6391">
        <f>+'Maj Prod Summ'!M7</f>
        <v>79.747252747252745</v>
      </c>
      <c r="N6" s="6388">
        <f>+'Maj Prod Summ'!N7</f>
        <v>99</v>
      </c>
      <c r="O6" s="2725">
        <f>+'Maj Prod Summ'!O7</f>
        <v>90.838709677419359</v>
      </c>
      <c r="P6" s="6389">
        <f>+'Maj Prod Summ'!P7</f>
        <v>84.639344262295083</v>
      </c>
      <c r="Q6" s="5606">
        <f>+'Maj Prod Summ'!Q7</f>
        <v>82.56557377049181</v>
      </c>
      <c r="R6" s="6388">
        <f>+'Maj Prod Summ'!R7</f>
        <v>99</v>
      </c>
      <c r="S6" s="2725">
        <f>+'Maj Prod Summ'!S7</f>
        <v>98.935483870967744</v>
      </c>
      <c r="T6" s="6389">
        <f>+'Maj Prod Summ'!T7</f>
        <v>87.549019607843135</v>
      </c>
      <c r="U6" s="5606">
        <f>+'Maj Prod Summ'!U7</f>
        <v>85.882352941176464</v>
      </c>
      <c r="V6" s="6388">
        <f>+'Maj Prod Summ'!V7</f>
        <v>99</v>
      </c>
      <c r="W6" s="2725">
        <f>+'Maj Prod Summ'!W7</f>
        <v>83.6</v>
      </c>
      <c r="X6" s="6390">
        <f>+'Maj Prod Summ'!X7</f>
        <v>99</v>
      </c>
      <c r="Y6" s="6391">
        <f>+'Maj Prod Summ'!Y7</f>
        <v>91.206521739130437</v>
      </c>
      <c r="Z6" s="6682">
        <f>+'Maj Prod Summ'!X7</f>
        <v>99</v>
      </c>
      <c r="AA6" s="6683">
        <f>+'Maj Prod Summ'!Y7</f>
        <v>91.206521739130437</v>
      </c>
      <c r="AB6" s="6388">
        <f>+'Maj Prod Summ'!AB7</f>
        <v>99</v>
      </c>
      <c r="AC6" s="2725">
        <f>+'Maj Prod Summ'!AC7</f>
        <v>92</v>
      </c>
      <c r="AD6" s="6389">
        <f>+'Maj Prod Summ'!AD7</f>
        <v>90.813084112149539</v>
      </c>
      <c r="AE6" s="5606">
        <f>+'Maj Prod Summ'!AE7</f>
        <v>86.44859813084112</v>
      </c>
      <c r="AF6" s="6388">
        <f>+'Maj Prod Summ'!AF7</f>
        <v>99</v>
      </c>
      <c r="AG6" s="2725">
        <f>+'Maj Prod Summ'!AG7</f>
        <v>88.63333333333334</v>
      </c>
      <c r="AH6" s="6389">
        <f>+'Maj Prod Summ'!AH7</f>
        <v>91.819672131147541</v>
      </c>
      <c r="AI6" s="5606">
        <f>+'Maj Prod Summ'!AI7</f>
        <v>86.717213114754102</v>
      </c>
      <c r="AJ6" s="6388">
        <f>+'Maj Prod Summ'!AJ7</f>
        <v>99</v>
      </c>
      <c r="AK6" s="2725">
        <f>+'Maj Prod Summ'!AK7</f>
        <v>98.838709677419359</v>
      </c>
      <c r="AL6" s="6390">
        <f>+'Maj Prod Summ'!AL7</f>
        <v>99</v>
      </c>
      <c r="AM6" s="6391">
        <f>+'Maj Prod Summ'!AM7</f>
        <v>93.206521739130437</v>
      </c>
      <c r="AN6" s="6389">
        <f>+'Maj Prod Summ'!AL7</f>
        <v>99</v>
      </c>
      <c r="AO6" s="5606">
        <f>+'Maj Prod Summ'!AM7</f>
        <v>93.206521739130437</v>
      </c>
      <c r="AP6" s="6388">
        <f>+'Maj Prod Summ'!AP7</f>
        <v>99</v>
      </c>
      <c r="AQ6" s="2725">
        <f>+'Maj Prod Summ'!AQ7</f>
        <v>99</v>
      </c>
      <c r="AR6" s="6389">
        <f>+'Maj Prod Summ'!AR7</f>
        <v>93.274509803921575</v>
      </c>
      <c r="AS6" s="5606">
        <f>+'Maj Prod Summ'!AS7</f>
        <v>89.189542483660134</v>
      </c>
      <c r="AT6" s="6388">
        <f>+'Maj Prod Summ'!AT7</f>
        <v>99</v>
      </c>
      <c r="AU6" s="2725">
        <f>+'Maj Prod Summ'!AU7</f>
        <v>99</v>
      </c>
      <c r="AV6" s="6389">
        <f>+'Maj Prod Summ'!AV7</f>
        <v>93.754491017964085</v>
      </c>
      <c r="AW6" s="5606">
        <f>+'Maj Prod Summ'!AW7</f>
        <v>90.011976047904199</v>
      </c>
      <c r="AX6" s="6388">
        <f>+'Maj Prod Summ'!AX7</f>
        <v>99</v>
      </c>
      <c r="AY6" s="2725">
        <f>+'Maj Prod Summ'!AY7</f>
        <v>99.032258064516128</v>
      </c>
      <c r="AZ6" s="6390">
        <f>+'Maj Prod Summ'!AZ7</f>
        <v>99</v>
      </c>
      <c r="BA6" s="6391">
        <f>+'Maj Prod Summ'!BA7</f>
        <v>99.011111111111106</v>
      </c>
      <c r="BB6" s="6390">
        <f>+'Maj Prod Summ'!BB7</f>
        <v>99</v>
      </c>
      <c r="BC6" s="6391">
        <f>+'Maj Prod Summ'!BC7</f>
        <v>96.07692307692308</v>
      </c>
      <c r="BD6" s="6682">
        <f>+'Maj Prod Summ'!BD7</f>
        <v>94.2</v>
      </c>
      <c r="BE6" s="6683">
        <f>+'Maj Prod Summ'!BE7</f>
        <v>90.778082191780825</v>
      </c>
    </row>
    <row r="7" spans="1:57" ht="16" thickBot="1" x14ac:dyDescent="0.25">
      <c r="A7" s="3378" t="s">
        <v>1024</v>
      </c>
      <c r="B7" s="1549" t="s">
        <v>697</v>
      </c>
      <c r="C7" s="1550" t="s">
        <v>656</v>
      </c>
      <c r="D7" s="2718">
        <f t="shared" ref="D7:M7" si="0">D5+(D6*1.8343023255814)</f>
        <v>220.51424418604688</v>
      </c>
      <c r="E7" s="4199">
        <f t="shared" si="0"/>
        <v>220.51424418604688</v>
      </c>
      <c r="F7" s="2718">
        <f t="shared" ref="F7" si="1">F5+(F6*1.8343023255814)</f>
        <v>223.19645536384132</v>
      </c>
      <c r="G7" s="4199">
        <f t="shared" si="0"/>
        <v>223.19645536384132</v>
      </c>
      <c r="H7" s="6319">
        <f t="shared" si="0"/>
        <v>221.87733511246699</v>
      </c>
      <c r="I7" s="3869">
        <f t="shared" si="0"/>
        <v>221.87733511246699</v>
      </c>
      <c r="J7" s="2718">
        <f t="shared" si="0"/>
        <v>250.86715116279112</v>
      </c>
      <c r="K7" s="4199">
        <f t="shared" si="0"/>
        <v>250.86715116279112</v>
      </c>
      <c r="L7" s="6322">
        <f t="shared" si="0"/>
        <v>231.43441732685955</v>
      </c>
      <c r="M7" s="3891">
        <f t="shared" si="0"/>
        <v>231.43441732685955</v>
      </c>
      <c r="N7" s="2718">
        <f t="shared" ref="N7:Q7" si="2">N5+(N6*1.8343023255814)</f>
        <v>280.5959302325586</v>
      </c>
      <c r="O7" s="4199">
        <f t="shared" si="2"/>
        <v>263.69017254313621</v>
      </c>
      <c r="P7" s="6319">
        <f t="shared" si="2"/>
        <v>243.92627716355355</v>
      </c>
      <c r="Q7" s="3869">
        <f t="shared" si="2"/>
        <v>239.63055184902822</v>
      </c>
      <c r="R7" s="2718">
        <f t="shared" ref="R7:U7" si="3">R5+(R6*1.8343023255814)</f>
        <v>280.5959302325586</v>
      </c>
      <c r="S7" s="4199">
        <f t="shared" si="3"/>
        <v>280.41307201800498</v>
      </c>
      <c r="T7" s="6319">
        <f t="shared" si="3"/>
        <v>251.35607615139116</v>
      </c>
      <c r="U7" s="3869">
        <f t="shared" si="3"/>
        <v>247.89367685058556</v>
      </c>
      <c r="V7" s="2718">
        <f t="shared" ref="V7:AI7" si="4">V5+(V6*1.8343023255814)</f>
        <v>280.5959302325586</v>
      </c>
      <c r="W7" s="4199">
        <f t="shared" si="4"/>
        <v>251.18100775193835</v>
      </c>
      <c r="X7" s="6546">
        <f t="shared" si="4"/>
        <v>280.5959302325586</v>
      </c>
      <c r="Y7" s="3891">
        <f t="shared" si="4"/>
        <v>265.24598710819049</v>
      </c>
      <c r="Z7" s="6549">
        <f t="shared" si="4"/>
        <v>280.5959302325586</v>
      </c>
      <c r="AA7" s="6684">
        <f t="shared" si="4"/>
        <v>265.24598710819049</v>
      </c>
      <c r="AB7" s="2718">
        <f t="shared" si="4"/>
        <v>280.5959302325586</v>
      </c>
      <c r="AC7" s="4199">
        <f t="shared" si="4"/>
        <v>267.43323330832749</v>
      </c>
      <c r="AD7" s="7322">
        <f t="shared" si="4"/>
        <v>259.69080091284548</v>
      </c>
      <c r="AE7" s="3869">
        <f t="shared" si="4"/>
        <v>251.18501412736401</v>
      </c>
      <c r="AF7" s="2718">
        <f t="shared" si="4"/>
        <v>280.5959302325586</v>
      </c>
      <c r="AG7" s="4199">
        <f t="shared" si="4"/>
        <v>261.94699612403144</v>
      </c>
      <c r="AH7" s="7551">
        <f t="shared" si="4"/>
        <v>262.2611036980561</v>
      </c>
      <c r="AI7" s="3869">
        <f t="shared" si="4"/>
        <v>252.50820863515099</v>
      </c>
      <c r="AJ7" s="2718">
        <f t="shared" ref="AJ7:AO7" si="5">AJ5+(AJ6*1.8343023255814)</f>
        <v>280.5959302325586</v>
      </c>
      <c r="AK7" s="4199">
        <f t="shared" si="5"/>
        <v>280.42910727681965</v>
      </c>
      <c r="AL7" s="7703">
        <f t="shared" si="5"/>
        <v>280.5959302325586</v>
      </c>
      <c r="AM7" s="3891">
        <f t="shared" si="5"/>
        <v>270.02328741152724</v>
      </c>
      <c r="AN7" s="7700">
        <f t="shared" si="5"/>
        <v>280.5959302325586</v>
      </c>
      <c r="AO7" s="3869">
        <f t="shared" si="5"/>
        <v>270.02328741152724</v>
      </c>
      <c r="AP7" s="2718">
        <f t="shared" ref="AP7:AS7" si="6">AP5+(AP6*1.8343023255814)</f>
        <v>280.5959302325586</v>
      </c>
      <c r="AQ7" s="4199">
        <f t="shared" si="6"/>
        <v>280.72496249062311</v>
      </c>
      <c r="AR7" s="8016">
        <f t="shared" si="6"/>
        <v>265.97600319197488</v>
      </c>
      <c r="AS7" s="3869">
        <f t="shared" si="6"/>
        <v>258.19535643714892</v>
      </c>
      <c r="AT7" s="2718">
        <f t="shared" ref="AT7:AW7" si="7">AT5+(AT6*1.8343023255814)</f>
        <v>280.5959302325586</v>
      </c>
      <c r="AU7" s="4199">
        <f t="shared" si="7"/>
        <v>280.73878737541577</v>
      </c>
      <c r="AV7" s="8148">
        <f t="shared" si="7"/>
        <v>267.20162581813162</v>
      </c>
      <c r="AW7" s="3869">
        <f t="shared" si="7"/>
        <v>260.08522489903953</v>
      </c>
      <c r="AX7" s="2718">
        <f t="shared" ref="AX7:AY7" si="8">AX5+(AX6*1.8343023255814)</f>
        <v>280.5959302325586</v>
      </c>
      <c r="AY7" s="4199">
        <f t="shared" si="8"/>
        <v>280.94542385596446</v>
      </c>
      <c r="AZ7" s="8271">
        <f>+'Maj Prod Summ'!AZ8</f>
        <v>280.5959302325586</v>
      </c>
      <c r="BA7" s="3891">
        <f>+'Maj Prod Summ'!BA8</f>
        <v>280.80520025839837</v>
      </c>
      <c r="BB7" s="8271">
        <f>+'Maj Prod Summ'!BB8</f>
        <v>280.5959302325586</v>
      </c>
      <c r="BC7" s="3891">
        <f>+'Maj Prod Summ'!BC8</f>
        <v>275.35500255558441</v>
      </c>
      <c r="BD7" s="8281">
        <f>+'Maj Prod Summ'!BD8</f>
        <v>268.33922427524732</v>
      </c>
      <c r="BE7" s="6684">
        <f>+'Maj Prod Summ'!BE8</f>
        <v>261.85691302962772</v>
      </c>
    </row>
    <row r="8" spans="1:57" x14ac:dyDescent="0.2">
      <c r="A8" s="3378" t="s">
        <v>1024</v>
      </c>
      <c r="B8" s="1540" t="s">
        <v>578</v>
      </c>
      <c r="C8" s="1541" t="s">
        <v>661</v>
      </c>
      <c r="D8" s="6338">
        <v>77.430000000000007</v>
      </c>
      <c r="E8" s="2723">
        <v>77.430000000000007</v>
      </c>
      <c r="F8" s="6338">
        <v>77.290000000000006</v>
      </c>
      <c r="G8" s="1860">
        <v>77.290000000000006</v>
      </c>
      <c r="H8" s="3139">
        <f>+((D8*D$2)+(F8*F$2))/H$2</f>
        <v>77.358852459016404</v>
      </c>
      <c r="I8" s="2807">
        <f>+((E8*E$2)+(G8*G$2))/I$2</f>
        <v>77.358852459016404</v>
      </c>
      <c r="J8" s="3741">
        <v>77</v>
      </c>
      <c r="K8" s="1860">
        <v>77.459999999999994</v>
      </c>
      <c r="L8" s="3140">
        <f>+((H8*H$2)+(J8*J$2))/L$2</f>
        <v>77.240549450549452</v>
      </c>
      <c r="M8" s="2888">
        <f>+((I8*I$2)+(K8*K$2))/M$2</f>
        <v>77.392197802197813</v>
      </c>
      <c r="N8" s="3741">
        <v>77</v>
      </c>
      <c r="O8" s="6049">
        <v>77.739999999999995</v>
      </c>
      <c r="P8" s="3139">
        <f>+((L8*L$2)+(N8*N$2))/P$2</f>
        <v>77.179426229508195</v>
      </c>
      <c r="Q8" s="2807">
        <f>+((M8*M$2)+(O8*O$2))/Q$2</f>
        <v>77.480573770491816</v>
      </c>
      <c r="R8" s="3741">
        <v>77</v>
      </c>
      <c r="S8" s="6049">
        <v>77.87</v>
      </c>
      <c r="T8" s="3139">
        <f>+((P8*P$2)+(R8*R$2))/T$2</f>
        <v>77.143071895424839</v>
      </c>
      <c r="U8" s="2807">
        <f>+((Q8*Q$2)+(S8*S$2))/U$2</f>
        <v>77.559477124183019</v>
      </c>
      <c r="V8" s="3741">
        <v>77</v>
      </c>
      <c r="W8" s="6049">
        <v>77.760000000000005</v>
      </c>
      <c r="X8" s="3140">
        <f>+((N8*N$2)+(R8*R$2)+(V8*V$2))/X$2</f>
        <v>77</v>
      </c>
      <c r="Y8" s="2888">
        <f>+((O8*O$2)+(S8*S$2)+(W8*W$2))/Y$2</f>
        <v>77.790326086956526</v>
      </c>
      <c r="Z8" s="6685">
        <f>+((T8*T$2)+(V8*V$2))/Z$2</f>
        <v>77.119617486338811</v>
      </c>
      <c r="AA8" s="6686">
        <f>+((U8*U$2)+(W8*W$2))/AA$2</f>
        <v>77.592349726775964</v>
      </c>
      <c r="AB8" s="3741">
        <v>77</v>
      </c>
      <c r="AC8" s="6049">
        <v>77.77</v>
      </c>
      <c r="AD8" s="3139">
        <f>+((Z8*Z$2)+(AB8*AB$2))/AD$2</f>
        <v>77.102289719626185</v>
      </c>
      <c r="AE8" s="2807">
        <f>+((AA8*AA$2)+(AC8*AC$2))/AE$2</f>
        <v>77.618084112149532</v>
      </c>
      <c r="AF8" s="3741">
        <v>77</v>
      </c>
      <c r="AG8" s="6049">
        <v>77.569999999999993</v>
      </c>
      <c r="AH8" s="3139">
        <f>+((AD8*AD$2)+(AF8*AF$2))/AH$2</f>
        <v>77.089713114754105</v>
      </c>
      <c r="AI8" s="2807">
        <f>+((AE8*AE$2)+(AG8*AG$2))/AI$2</f>
        <v>77.612172131147531</v>
      </c>
      <c r="AJ8" s="3741">
        <v>77</v>
      </c>
      <c r="AK8" s="6049">
        <v>77.64</v>
      </c>
      <c r="AL8" s="3140">
        <f>+((AB8*AB$2)+(AF8*AF$2)+(AJ8*AJ$2))/AL$2</f>
        <v>77</v>
      </c>
      <c r="AM8" s="2888">
        <f>+((AC8*AC$2)+(AG8*AG$2)+(AK8*AK$2))/AM$2</f>
        <v>77.660978260869555</v>
      </c>
      <c r="AN8" s="3139">
        <f>+((AH8*AH$2)+(AJ8*AJ$2))/AN$2</f>
        <v>77.079600000000013</v>
      </c>
      <c r="AO8" s="2807">
        <f>+((AI8*AI$2)+(AK8*AK$2))/AO$2</f>
        <v>77.615309090909093</v>
      </c>
      <c r="AP8" s="3741">
        <v>77</v>
      </c>
      <c r="AQ8" s="6049">
        <v>77.64</v>
      </c>
      <c r="AR8" s="3139">
        <f>+((AN8*AN$2)+(AP8*AP$2))/AR$2</f>
        <v>77.071535947712434</v>
      </c>
      <c r="AS8" s="2807">
        <f>+((AO8*AO$2)+(AQ8*AQ$2))/AS$2</f>
        <v>77.617810457516342</v>
      </c>
      <c r="AT8" s="3741">
        <v>77</v>
      </c>
      <c r="AU8" s="6049">
        <v>77.75</v>
      </c>
      <c r="AV8" s="3139">
        <f>+((AR8*AR$2)+(AT8*AT$2))/AV$2</f>
        <v>77.065538922155696</v>
      </c>
      <c r="AW8" s="2807">
        <f>+((AS8*AS$2)+(AU8*AU$2))/AW$2</f>
        <v>77.628892215568854</v>
      </c>
      <c r="AX8" s="3741">
        <v>77</v>
      </c>
      <c r="AY8" s="6049">
        <v>77.75</v>
      </c>
      <c r="AZ8" s="3140">
        <f>+((AP8*AP$2)+(AT8*AT$2)+(AX8*AX$2))/AZ$2</f>
        <v>77</v>
      </c>
      <c r="BA8" s="2888">
        <f>+((AQ8*AQ$2)+(AU8*AU$2)+(AY8*AY$2))/BA$2</f>
        <v>77.712111111111113</v>
      </c>
      <c r="BB8" s="3140">
        <f>+((AL8*AL$2)+(AZ8*AZ$2))/BB$2</f>
        <v>77</v>
      </c>
      <c r="BC8" s="2888">
        <f t="shared" ref="BC8:BC9" si="9">+((AM8*AM$2)+(BA8*BA$2))/BC$2</f>
        <v>77.68626373626374</v>
      </c>
      <c r="BD8" s="6685">
        <f>+((AV8*AV$2)+(AX8*AX$2))/BD$2</f>
        <v>77.059972602739734</v>
      </c>
      <c r="BE8" s="6686">
        <f>+((AW8*AW$2)+(AY8*AY$2))/BE$2</f>
        <v>77.639178082191762</v>
      </c>
    </row>
    <row r="9" spans="1:57" ht="16" thickBot="1" x14ac:dyDescent="0.25">
      <c r="A9" s="3378" t="s">
        <v>1024</v>
      </c>
      <c r="B9" s="1555" t="s">
        <v>579</v>
      </c>
      <c r="C9" s="1556" t="s">
        <v>661</v>
      </c>
      <c r="D9" s="3368">
        <v>74</v>
      </c>
      <c r="E9" s="2725">
        <v>74</v>
      </c>
      <c r="F9" s="3368">
        <v>74</v>
      </c>
      <c r="G9" s="1862">
        <v>74</v>
      </c>
      <c r="H9" s="3139">
        <f>+((D9*D$2)+(F9*F$2))/H$2</f>
        <v>74</v>
      </c>
      <c r="I9" s="2807">
        <f>+((E9*E$2)+(G9*G$2))/I$2</f>
        <v>74</v>
      </c>
      <c r="J9" s="4887">
        <v>74</v>
      </c>
      <c r="K9" s="1862">
        <v>74</v>
      </c>
      <c r="L9" s="3140">
        <f>+((H9*H$2)+(J9*J$2))/L$2</f>
        <v>74</v>
      </c>
      <c r="M9" s="2888">
        <f>+((I9*I$2)+(K9*K$2))/M$2</f>
        <v>74</v>
      </c>
      <c r="N9" s="4887">
        <v>73</v>
      </c>
      <c r="O9" s="6050">
        <v>73.900000000000006</v>
      </c>
      <c r="P9" s="3139">
        <f>+((L9*L$2)+(N9*N$2))/P$2</f>
        <v>73.745901639344268</v>
      </c>
      <c r="Q9" s="2807">
        <f>+((M9*M$2)+(O9*O$2))/Q$2</f>
        <v>73.974590163934423</v>
      </c>
      <c r="R9" s="4887">
        <v>73</v>
      </c>
      <c r="S9" s="6050">
        <v>74</v>
      </c>
      <c r="T9" s="3139">
        <f>+((P9*P$2)+(R9*R$2))/T$2</f>
        <v>73.59477124183006</v>
      </c>
      <c r="U9" s="2807">
        <f>+((Q9*Q$2)+(S9*S$2))/U$2</f>
        <v>73.979738562091498</v>
      </c>
      <c r="V9" s="4887">
        <v>73</v>
      </c>
      <c r="W9" s="6050">
        <v>73.97</v>
      </c>
      <c r="X9" s="3140">
        <f>+((N9*N$2)+(R9*R$2)+(V9*V$2))/X$2</f>
        <v>73</v>
      </c>
      <c r="Y9" s="2888">
        <f>+((O9*O$2)+(S9*S$2)+(W9*W$2))/Y$2</f>
        <v>73.956521739130437</v>
      </c>
      <c r="Z9" s="6685">
        <f>+((T9*T$2)+(V9*V$2))/Z$2</f>
        <v>73.497267759562845</v>
      </c>
      <c r="AA9" s="6686">
        <f>+((U9*U$2)+(W9*W$2))/AA$2</f>
        <v>73.978142076502735</v>
      </c>
      <c r="AB9" s="4887">
        <v>73</v>
      </c>
      <c r="AC9" s="6050">
        <v>73.97</v>
      </c>
      <c r="AD9" s="3139">
        <f>+((Z9*Z$2)+(AB9*AB$2))/AD$2</f>
        <v>73.425233644859816</v>
      </c>
      <c r="AE9" s="2807">
        <f>+((AA9*AA$2)+(AC9*AC$2))/AE$2</f>
        <v>73.976962616822433</v>
      </c>
      <c r="AF9" s="4887">
        <v>73</v>
      </c>
      <c r="AG9" s="6050">
        <v>74</v>
      </c>
      <c r="AH9" s="3139">
        <f>+((AD9*AD$2)+(AF9*AF$2))/AH$2</f>
        <v>73.372950819672127</v>
      </c>
      <c r="AI9" s="2807">
        <f>+((AE9*AE$2)+(AG9*AG$2))/AI$2</f>
        <v>73.979795081967211</v>
      </c>
      <c r="AJ9" s="4887">
        <v>73</v>
      </c>
      <c r="AK9" s="6050">
        <v>74</v>
      </c>
      <c r="AL9" s="3140">
        <f>+((AB9*AB$2)+(AF9*AF$2)+(AJ9*AJ$2))/AL$2</f>
        <v>73</v>
      </c>
      <c r="AM9" s="2888">
        <f>+((AC9*AC$2)+(AG9*AG$2)+(AK9*AK$2))/AM$2</f>
        <v>73.989891304347822</v>
      </c>
      <c r="AN9" s="3139">
        <f>+((AH9*AH$2)+(AJ9*AJ$2))/AN$2</f>
        <v>73.330909090909088</v>
      </c>
      <c r="AO9" s="2807">
        <f>+((AI9*AI$2)+(AK9*AK$2))/AO$2</f>
        <v>73.982072727272723</v>
      </c>
      <c r="AP9" s="4887">
        <v>73</v>
      </c>
      <c r="AQ9" s="6050">
        <v>74</v>
      </c>
      <c r="AR9" s="3139">
        <f>+((AN9*AN$2)+(AP9*AP$2))/AR$2</f>
        <v>73.297385620915037</v>
      </c>
      <c r="AS9" s="2807">
        <f>+((AO9*AO$2)+(AQ9*AQ$2))/AS$2</f>
        <v>73.983888888888885</v>
      </c>
      <c r="AT9" s="4887">
        <v>73</v>
      </c>
      <c r="AU9" s="6050">
        <v>74</v>
      </c>
      <c r="AV9" s="3139">
        <f>+((AR9*AR$2)+(AT9*AT$2))/AV$2</f>
        <v>73.272455089820355</v>
      </c>
      <c r="AW9" s="2807">
        <f>+((AS9*AS$2)+(AU9*AU$2))/AW$2</f>
        <v>73.985239520958089</v>
      </c>
      <c r="AX9" s="4887">
        <v>73</v>
      </c>
      <c r="AY9" s="6050">
        <v>74</v>
      </c>
      <c r="AZ9" s="3140">
        <f>+((AP9*AP$2)+(AT9*AT$2)+(AX9*AX$2))/AZ$2</f>
        <v>73</v>
      </c>
      <c r="BA9" s="2888">
        <f>+((AQ9*AQ$2)+(AU9*AU$2)+(AY9*AY$2))/BA$2</f>
        <v>74</v>
      </c>
      <c r="BB9" s="3140">
        <f t="shared" ref="BB9" si="10">+((AL9*AL$2)+(AZ9*AZ$2))/BB$2</f>
        <v>73</v>
      </c>
      <c r="BC9" s="2888">
        <f t="shared" si="9"/>
        <v>73.994890109890108</v>
      </c>
      <c r="BD9" s="6685">
        <f>+((AV9*AV$2)+(AX9*AX$2))/BD$2</f>
        <v>73.249315068493146</v>
      </c>
      <c r="BE9" s="6686">
        <f>+((AW9*AW$2)+(AY9*AY$2))/BE$2</f>
        <v>73.986493150684936</v>
      </c>
    </row>
    <row r="10" spans="1:57" s="3380" customFormat="1" ht="16" x14ac:dyDescent="0.2">
      <c r="A10" s="3379" t="s">
        <v>1024</v>
      </c>
      <c r="B10" s="6806" t="s">
        <v>618</v>
      </c>
      <c r="C10" s="6807"/>
      <c r="D10" s="6587"/>
      <c r="E10" s="6786"/>
      <c r="F10" s="6587"/>
      <c r="G10" s="6787"/>
      <c r="H10" s="4751"/>
      <c r="I10" s="4752"/>
      <c r="J10" s="4751"/>
      <c r="K10" s="4752"/>
      <c r="L10" s="4751"/>
      <c r="M10" s="4752"/>
      <c r="N10" s="4751"/>
      <c r="O10" s="4752"/>
      <c r="P10" s="4751"/>
      <c r="Q10" s="4752"/>
      <c r="R10" s="4751"/>
      <c r="S10" s="4752"/>
      <c r="T10" s="4751"/>
      <c r="U10" s="4752"/>
      <c r="V10" s="4751"/>
      <c r="W10" s="4752"/>
      <c r="X10" s="4751"/>
      <c r="Y10" s="4752"/>
      <c r="Z10" s="4751"/>
      <c r="AA10" s="4752"/>
      <c r="AB10" s="4751"/>
      <c r="AC10" s="4752"/>
      <c r="AD10" s="4751"/>
      <c r="AE10" s="4752"/>
      <c r="AF10" s="4751"/>
      <c r="AG10" s="4752"/>
      <c r="AH10" s="4751"/>
      <c r="AI10" s="4752"/>
      <c r="AJ10" s="4751"/>
      <c r="AK10" s="4752"/>
      <c r="AL10" s="4751"/>
      <c r="AM10" s="4752"/>
      <c r="AN10" s="4751"/>
      <c r="AO10" s="4752"/>
      <c r="AP10" s="4751"/>
      <c r="AQ10" s="4752"/>
      <c r="AR10" s="4751"/>
      <c r="AS10" s="4752"/>
      <c r="AT10" s="4751"/>
      <c r="AU10" s="4752"/>
      <c r="AV10" s="4751"/>
      <c r="AW10" s="4752"/>
      <c r="AX10" s="4751"/>
      <c r="AY10" s="4752"/>
      <c r="AZ10" s="4751"/>
      <c r="BA10" s="4752"/>
      <c r="BB10" s="4751"/>
      <c r="BC10" s="4752"/>
      <c r="BD10" s="4751"/>
      <c r="BE10" s="4752"/>
    </row>
    <row r="11" spans="1:57" x14ac:dyDescent="0.2">
      <c r="A11" s="3378" t="s">
        <v>1024</v>
      </c>
      <c r="B11" s="1557" t="s">
        <v>616</v>
      </c>
      <c r="C11" s="1541" t="s">
        <v>662</v>
      </c>
      <c r="D11" s="3065">
        <f t="shared" ref="D11:M11" si="11">+D5/D8</f>
        <v>1.005639502346205</v>
      </c>
      <c r="E11" s="3836">
        <f t="shared" si="11"/>
        <v>1.005639502346205</v>
      </c>
      <c r="F11" s="3065">
        <f t="shared" ref="F11" si="12">+F5/F8</f>
        <v>1.1047625407451616</v>
      </c>
      <c r="G11" s="6022">
        <f t="shared" si="11"/>
        <v>1.1047625407451616</v>
      </c>
      <c r="H11" s="2975">
        <f t="shared" si="11"/>
        <v>1.0559686705983822</v>
      </c>
      <c r="I11" s="2337">
        <f t="shared" si="11"/>
        <v>1.0559686705983822</v>
      </c>
      <c r="J11" s="2801">
        <f t="shared" si="11"/>
        <v>1.1974025974025975</v>
      </c>
      <c r="K11" s="6022">
        <f t="shared" si="11"/>
        <v>1.1902917634908341</v>
      </c>
      <c r="L11" s="3067">
        <f t="shared" si="11"/>
        <v>1.1024500312282595</v>
      </c>
      <c r="M11" s="2252">
        <f t="shared" si="11"/>
        <v>1.1002898040379456</v>
      </c>
      <c r="N11" s="2801">
        <f t="shared" ref="N11:Q11" si="13">+N5/N8</f>
        <v>1.2857142857142858</v>
      </c>
      <c r="O11" s="6022">
        <f t="shared" si="13"/>
        <v>1.2485788027917708</v>
      </c>
      <c r="P11" s="2975">
        <f t="shared" si="13"/>
        <v>1.1489089188595023</v>
      </c>
      <c r="Q11" s="2337">
        <f t="shared" si="13"/>
        <v>1.1380959584792802</v>
      </c>
      <c r="R11" s="2801">
        <f t="shared" ref="R11:U11" si="14">+R5/R8</f>
        <v>1.2857142857142858</v>
      </c>
      <c r="S11" s="6353">
        <f t="shared" si="14"/>
        <v>1.2705211746624854</v>
      </c>
      <c r="T11" s="2975">
        <f t="shared" si="14"/>
        <v>1.1765762453094115</v>
      </c>
      <c r="U11" s="2337">
        <f t="shared" si="14"/>
        <v>1.1650346350260392</v>
      </c>
      <c r="V11" s="2801">
        <f t="shared" ref="V11:AI11" si="15">+V5/V8</f>
        <v>1.2857142857142858</v>
      </c>
      <c r="W11" s="6565">
        <f t="shared" si="15"/>
        <v>1.2581447187928667</v>
      </c>
      <c r="X11" s="3067">
        <f t="shared" si="15"/>
        <v>1.2857142857142858</v>
      </c>
      <c r="Y11" s="2252">
        <f t="shared" si="15"/>
        <v>1.2590981051349013</v>
      </c>
      <c r="Z11" s="6687">
        <f t="shared" si="15"/>
        <v>1.2837200601719418</v>
      </c>
      <c r="AA11" s="6688">
        <f t="shared" si="15"/>
        <v>1.2623106855096755</v>
      </c>
      <c r="AB11" s="2801">
        <f t="shared" si="15"/>
        <v>1.2857142857142858</v>
      </c>
      <c r="AC11" s="7352">
        <f t="shared" si="15"/>
        <v>1.2688365610754624</v>
      </c>
      <c r="AD11" s="2975">
        <f t="shared" si="15"/>
        <v>1.2076444145991274</v>
      </c>
      <c r="AE11" s="2337">
        <f t="shared" si="15"/>
        <v>1.1931774739363057</v>
      </c>
      <c r="AF11" s="2801">
        <f t="shared" si="15"/>
        <v>1.2857142857142858</v>
      </c>
      <c r="AG11" s="7588">
        <f t="shared" si="15"/>
        <v>1.2809935112371622</v>
      </c>
      <c r="AH11" s="2975">
        <f t="shared" si="15"/>
        <v>1.2172319986985569</v>
      </c>
      <c r="AI11" s="2337">
        <f t="shared" si="15"/>
        <v>1.2039686609069793</v>
      </c>
      <c r="AJ11" s="2801">
        <f t="shared" ref="AJ11:AO11" si="16">+AJ5/AJ8</f>
        <v>1.2857142857142858</v>
      </c>
      <c r="AK11" s="7742">
        <f t="shared" si="16"/>
        <v>1.2767778497947515</v>
      </c>
      <c r="AL11" s="3067">
        <f t="shared" si="16"/>
        <v>1.2857142857142858</v>
      </c>
      <c r="AM11" s="2252">
        <f t="shared" si="16"/>
        <v>1.2754712861503665</v>
      </c>
      <c r="AN11" s="2975">
        <f t="shared" si="16"/>
        <v>1.2843865302881694</v>
      </c>
      <c r="AO11" s="2337">
        <f t="shared" si="16"/>
        <v>1.2762217787481436</v>
      </c>
      <c r="AP11" s="2801">
        <f t="shared" ref="AP11:AS11" si="17">+AP5/AP8</f>
        <v>1.2857142857142858</v>
      </c>
      <c r="AQ11" s="8053">
        <f t="shared" si="17"/>
        <v>1.2767778497947515</v>
      </c>
      <c r="AR11" s="2975">
        <f t="shared" si="17"/>
        <v>1.231094615858537</v>
      </c>
      <c r="AS11" s="2337">
        <f t="shared" si="17"/>
        <v>1.2187250668917795</v>
      </c>
      <c r="AT11" s="2801">
        <f t="shared" ref="AT11:AW11" si="18">+AT5/AT8</f>
        <v>1.2857142857142858</v>
      </c>
      <c r="AU11" s="8179">
        <f t="shared" si="18"/>
        <v>1.2751492880110242</v>
      </c>
      <c r="AV11" s="2975">
        <f t="shared" si="18"/>
        <v>1.2356696163037213</v>
      </c>
      <c r="AW11" s="2337">
        <f t="shared" si="18"/>
        <v>1.2234626205981554</v>
      </c>
      <c r="AX11" s="2801">
        <f t="shared" ref="AX11:BE11" si="19">+AX5/AX8</f>
        <v>1.2857142857142858</v>
      </c>
      <c r="AY11" s="8337">
        <f t="shared" si="19"/>
        <v>1.2770459495902915</v>
      </c>
      <c r="AZ11" s="3067">
        <f t="shared" si="19"/>
        <v>1.2857142857142858</v>
      </c>
      <c r="BA11" s="2252">
        <f t="shared" si="19"/>
        <v>1.276363329611143</v>
      </c>
      <c r="BB11" s="3067">
        <f t="shared" ref="BB11:BC11" si="20">+BB5/BB8</f>
        <v>1.2857142857142858</v>
      </c>
      <c r="BC11" s="2252">
        <f t="shared" si="20"/>
        <v>1.2759125533103706</v>
      </c>
      <c r="BD11" s="6687">
        <f t="shared" si="19"/>
        <v>1.2399166775992652</v>
      </c>
      <c r="BE11" s="6688">
        <f t="shared" si="19"/>
        <v>1.2280200294301356</v>
      </c>
    </row>
    <row r="12" spans="1:57" ht="16" thickBot="1" x14ac:dyDescent="0.25">
      <c r="A12" s="3378" t="s">
        <v>1024</v>
      </c>
      <c r="B12" s="1558" t="s">
        <v>617</v>
      </c>
      <c r="C12" s="1547" t="s">
        <v>662</v>
      </c>
      <c r="D12" s="2701">
        <f t="shared" ref="D12:M12" si="21">+D6/D9</f>
        <v>1.0509009009009009</v>
      </c>
      <c r="E12" s="3837">
        <f t="shared" si="21"/>
        <v>1.0509009009009009</v>
      </c>
      <c r="F12" s="2701">
        <f t="shared" ref="F12" si="22">+F6/F9</f>
        <v>1.0152571926765475</v>
      </c>
      <c r="G12" s="3181">
        <f t="shared" si="21"/>
        <v>1.0152571926765475</v>
      </c>
      <c r="H12" s="2982">
        <f t="shared" si="21"/>
        <v>1.0327868852459017</v>
      </c>
      <c r="I12" s="3868">
        <f t="shared" si="21"/>
        <v>1.0327868852459017</v>
      </c>
      <c r="J12" s="2719">
        <f t="shared" si="21"/>
        <v>1.1689189189189189</v>
      </c>
      <c r="K12" s="3181">
        <f t="shared" si="21"/>
        <v>1.1689189189189189</v>
      </c>
      <c r="L12" s="3045">
        <f t="shared" si="21"/>
        <v>1.0776655776655777</v>
      </c>
      <c r="M12" s="3890">
        <f t="shared" si="21"/>
        <v>1.0776655776655777</v>
      </c>
      <c r="N12" s="2719">
        <f t="shared" ref="N12:Q12" si="23">+N6/N9</f>
        <v>1.3561643835616439</v>
      </c>
      <c r="O12" s="3181">
        <f t="shared" si="23"/>
        <v>1.2292112270286786</v>
      </c>
      <c r="P12" s="2982">
        <f t="shared" si="23"/>
        <v>1.1477159053017671</v>
      </c>
      <c r="Q12" s="3868">
        <f t="shared" si="23"/>
        <v>1.1161342507950227</v>
      </c>
      <c r="R12" s="2719">
        <f t="shared" ref="R12:U12" si="24">+R6/R9</f>
        <v>1.3561643835616439</v>
      </c>
      <c r="S12" s="3181">
        <f t="shared" si="24"/>
        <v>1.3369659982563209</v>
      </c>
      <c r="T12" s="2982">
        <f t="shared" si="24"/>
        <v>1.1896092362344584</v>
      </c>
      <c r="U12" s="3868">
        <f t="shared" si="24"/>
        <v>1.1608901925098729</v>
      </c>
      <c r="V12" s="2719">
        <f t="shared" ref="V12:AI12" si="25">+V6/V9</f>
        <v>1.3561643835616439</v>
      </c>
      <c r="W12" s="3181">
        <f t="shared" si="25"/>
        <v>1.1301879140191968</v>
      </c>
      <c r="X12" s="3045">
        <f t="shared" si="25"/>
        <v>1.3561643835616439</v>
      </c>
      <c r="Y12" s="3890">
        <f t="shared" si="25"/>
        <v>1.2332451499118167</v>
      </c>
      <c r="Z12" s="6689">
        <f t="shared" si="25"/>
        <v>1.3469888475836431</v>
      </c>
      <c r="AA12" s="6690">
        <f t="shared" si="25"/>
        <v>1.2328847302600732</v>
      </c>
      <c r="AB12" s="2719">
        <f t="shared" si="25"/>
        <v>1.3561643835616439</v>
      </c>
      <c r="AC12" s="3181">
        <f t="shared" si="25"/>
        <v>1.24374746518859</v>
      </c>
      <c r="AD12" s="2982">
        <f t="shared" si="25"/>
        <v>1.236810284477821</v>
      </c>
      <c r="AE12" s="3868">
        <f t="shared" si="25"/>
        <v>1.1685880992251312</v>
      </c>
      <c r="AF12" s="2719">
        <f t="shared" si="25"/>
        <v>1.3561643835616439</v>
      </c>
      <c r="AG12" s="3181">
        <f t="shared" si="25"/>
        <v>1.1977477477477478</v>
      </c>
      <c r="AH12" s="2982">
        <f t="shared" si="25"/>
        <v>1.2514103781489136</v>
      </c>
      <c r="AI12" s="3868">
        <f t="shared" si="25"/>
        <v>1.1721742810813987</v>
      </c>
      <c r="AJ12" s="2719">
        <f t="shared" ref="AJ12:AO12" si="26">+AJ6/AJ9</f>
        <v>1.3561643835616439</v>
      </c>
      <c r="AK12" s="3181">
        <f t="shared" si="26"/>
        <v>1.3356582388840454</v>
      </c>
      <c r="AL12" s="3045">
        <f t="shared" si="26"/>
        <v>1.3561643835616439</v>
      </c>
      <c r="AM12" s="3890">
        <f t="shared" si="26"/>
        <v>1.2597196738097303</v>
      </c>
      <c r="AN12" s="2982">
        <f t="shared" si="26"/>
        <v>1.3500446295745314</v>
      </c>
      <c r="AO12" s="3868">
        <f t="shared" si="26"/>
        <v>1.2598528035667054</v>
      </c>
      <c r="AP12" s="2719">
        <f t="shared" ref="AP12:AS12" si="27">+AP6/AP9</f>
        <v>1.3561643835616439</v>
      </c>
      <c r="AQ12" s="3181">
        <f t="shared" si="27"/>
        <v>1.3378378378378379</v>
      </c>
      <c r="AR12" s="2982">
        <f t="shared" si="27"/>
        <v>1.2725489321860093</v>
      </c>
      <c r="AS12" s="3868">
        <f t="shared" si="27"/>
        <v>1.2055265521066016</v>
      </c>
      <c r="AT12" s="2719">
        <f t="shared" ref="AT12:AW12" si="28">+AT6/AT9</f>
        <v>1.3561643835616439</v>
      </c>
      <c r="AU12" s="3181">
        <f t="shared" si="28"/>
        <v>1.3378378378378379</v>
      </c>
      <c r="AV12" s="2982">
        <f t="shared" si="28"/>
        <v>1.2795325460711808</v>
      </c>
      <c r="AW12" s="3868">
        <f t="shared" si="28"/>
        <v>1.2166207290902418</v>
      </c>
      <c r="AX12" s="2719">
        <f t="shared" ref="AX12:BE12" si="29">+AX6/AX9</f>
        <v>1.3561643835616439</v>
      </c>
      <c r="AY12" s="3181">
        <f t="shared" si="29"/>
        <v>1.3382737576285963</v>
      </c>
      <c r="AZ12" s="3045">
        <f t="shared" si="29"/>
        <v>1.3561643835616439</v>
      </c>
      <c r="BA12" s="3890">
        <f t="shared" si="29"/>
        <v>1.3379879879879879</v>
      </c>
      <c r="BB12" s="3045">
        <f t="shared" ref="BB12:BC12" si="30">+BB6/BB9</f>
        <v>1.3561643835616439</v>
      </c>
      <c r="BC12" s="3890">
        <f t="shared" si="30"/>
        <v>1.2984264580194504</v>
      </c>
      <c r="BD12" s="6689">
        <f t="shared" si="29"/>
        <v>1.2860188509874328</v>
      </c>
      <c r="BE12" s="6690">
        <f t="shared" si="29"/>
        <v>1.226954790341221</v>
      </c>
    </row>
    <row r="13" spans="1:57" x14ac:dyDescent="0.2">
      <c r="A13" s="3378" t="s">
        <v>1024</v>
      </c>
      <c r="B13" s="1552" t="s">
        <v>652</v>
      </c>
      <c r="C13" s="1553" t="s">
        <v>170</v>
      </c>
      <c r="D13" s="2697">
        <f>(D5)*17.2*D2</f>
        <v>40179.19999999999</v>
      </c>
      <c r="E13" s="1964">
        <f>(E5)*17.2*E2</f>
        <v>40179.19999999999</v>
      </c>
      <c r="F13" s="2676">
        <f>(F5)*17.2*F2</f>
        <v>45528.4</v>
      </c>
      <c r="G13" s="5427">
        <f>G5*17.2*G2</f>
        <v>45528.4</v>
      </c>
      <c r="H13" s="2983">
        <f>+D13+F13</f>
        <v>85707.599999999991</v>
      </c>
      <c r="I13" s="1827">
        <f>+E13+G13</f>
        <v>85707.599999999991</v>
      </c>
      <c r="J13" s="2676">
        <f>(J5)*17.2*J2</f>
        <v>47575.199999999997</v>
      </c>
      <c r="K13" s="2101">
        <f>K5*17.2*K2</f>
        <v>47575.199999999997</v>
      </c>
      <c r="L13" s="5841">
        <f>+H13+J13</f>
        <v>133282.79999999999</v>
      </c>
      <c r="M13" s="2016">
        <f>+I13+K13</f>
        <v>133282.79999999999</v>
      </c>
      <c r="N13" s="2676">
        <f>(N5)*17.2*N2</f>
        <v>52786.799999999996</v>
      </c>
      <c r="O13" s="2101">
        <f>O5*17.2*O2</f>
        <v>51754.8</v>
      </c>
      <c r="P13" s="2983">
        <f>+L13+N13</f>
        <v>186069.59999999998</v>
      </c>
      <c r="Q13" s="1827">
        <f>+M13+O13</f>
        <v>185037.59999999998</v>
      </c>
      <c r="R13" s="2676">
        <f>(R5)*17.2*R2</f>
        <v>52786.799999999996</v>
      </c>
      <c r="S13" s="2101">
        <f>S5*17.2*S2</f>
        <v>52752.4</v>
      </c>
      <c r="T13" s="2983">
        <f>+P13+R13</f>
        <v>238856.39999999997</v>
      </c>
      <c r="U13" s="1827">
        <f>+Q13+S13</f>
        <v>237789.99999999997</v>
      </c>
      <c r="V13" s="2676">
        <f>(V5)*17.2*V2</f>
        <v>51084</v>
      </c>
      <c r="W13" s="2414">
        <f>W5*17.2*W2</f>
        <v>50481.999999999993</v>
      </c>
      <c r="X13" s="6557">
        <f>+N13+R13+V13</f>
        <v>156657.59999999998</v>
      </c>
      <c r="Y13" s="6761">
        <f>+O13+S13+W13</f>
        <v>154989.20000000001</v>
      </c>
      <c r="Z13" s="6757">
        <f>+T13+V13</f>
        <v>289940.39999999997</v>
      </c>
      <c r="AA13" s="6590">
        <f>+U13+W13</f>
        <v>288271.99999999994</v>
      </c>
      <c r="AB13" s="2676">
        <f>(AB5)*17.2*AB2</f>
        <v>52786.799999999996</v>
      </c>
      <c r="AC13" s="2101">
        <f>AC5*17.2*AC2</f>
        <v>52614.799999999996</v>
      </c>
      <c r="AD13" s="2983">
        <f>+Z13+AB13</f>
        <v>342727.19999999995</v>
      </c>
      <c r="AE13" s="1827">
        <f>+AA13+AC13</f>
        <v>340886.79999999993</v>
      </c>
      <c r="AF13" s="2676">
        <f>(AF5)*17.2*AF2</f>
        <v>51084</v>
      </c>
      <c r="AG13" s="2101">
        <f>AG5*17.2*AG2</f>
        <v>51273.2</v>
      </c>
      <c r="AH13" s="2983">
        <f>+AD13+AF13</f>
        <v>393811.19999999995</v>
      </c>
      <c r="AI13" s="1827">
        <f>+AE13+AG13</f>
        <v>392159.99999999994</v>
      </c>
      <c r="AJ13" s="2676">
        <f>(AJ5)*17.2*AJ2</f>
        <v>52786.799999999996</v>
      </c>
      <c r="AK13" s="2414">
        <f>AK5*17.2*AK2</f>
        <v>52855.599999999991</v>
      </c>
      <c r="AL13" s="6557">
        <f>+AB13+AF13+AJ13</f>
        <v>156657.59999999998</v>
      </c>
      <c r="AM13" s="6761">
        <f>+AC13+AG13+AK13</f>
        <v>156743.59999999998</v>
      </c>
      <c r="AN13" s="2983">
        <f>+AH13+AJ13</f>
        <v>446597.99999999994</v>
      </c>
      <c r="AO13" s="1827">
        <f>+AI13+AK13</f>
        <v>445015.59999999992</v>
      </c>
      <c r="AP13" s="2676">
        <f>(AP5)*17.2*AP2</f>
        <v>52786.799999999996</v>
      </c>
      <c r="AQ13" s="2414">
        <f>AQ5*17.2*AQ2</f>
        <v>52855.599999999991</v>
      </c>
      <c r="AR13" s="2983">
        <f>+AN13+AP13</f>
        <v>499384.79999999993</v>
      </c>
      <c r="AS13" s="1827">
        <f>+AO13+AQ13</f>
        <v>497871.1999999999</v>
      </c>
      <c r="AT13" s="2676">
        <f>(AT5)*17.2*AT2</f>
        <v>47678.400000000001</v>
      </c>
      <c r="AU13" s="2414">
        <f>AU5*17.2*AU2</f>
        <v>47747.199999999997</v>
      </c>
      <c r="AV13" s="2983">
        <f>+AR13+AT13</f>
        <v>547063.19999999995</v>
      </c>
      <c r="AW13" s="1827">
        <f>+AS13+AU13</f>
        <v>545618.39999999991</v>
      </c>
      <c r="AX13" s="2676">
        <f>(AX5)*17.2*AX2</f>
        <v>52786.799999999996</v>
      </c>
      <c r="AY13" s="2414">
        <f>AY5*17.2*AY2</f>
        <v>52941.599999999999</v>
      </c>
      <c r="AZ13" s="6557">
        <f>+AP13+AT13+AX13</f>
        <v>153252</v>
      </c>
      <c r="BA13" s="6761">
        <f>+AQ13+AU13+AY13</f>
        <v>153544.4</v>
      </c>
      <c r="BB13" s="6557">
        <f>+AL13+AZ13</f>
        <v>309909.59999999998</v>
      </c>
      <c r="BC13" s="6761">
        <f t="shared" ref="BC13:BC15" si="31">+AM13+BA13</f>
        <v>310288</v>
      </c>
      <c r="BD13" s="6757">
        <f>+AV13+AX13</f>
        <v>599850</v>
      </c>
      <c r="BE13" s="6590">
        <f>+AW13+AY13</f>
        <v>598559.99999999988</v>
      </c>
    </row>
    <row r="14" spans="1:57" ht="16" thickBot="1" x14ac:dyDescent="0.25">
      <c r="A14" s="3378" t="s">
        <v>1024</v>
      </c>
      <c r="B14" s="1555" t="s">
        <v>653</v>
      </c>
      <c r="C14" s="1556" t="s">
        <v>170</v>
      </c>
      <c r="D14" s="2681">
        <f>+D6*31.55*D2</f>
        <v>73606.150000000009</v>
      </c>
      <c r="E14" s="4198">
        <f>+E6*31.55*E2</f>
        <v>73606.150000000009</v>
      </c>
      <c r="F14" s="2681">
        <f>+F6*31.55*F2</f>
        <v>73479.95</v>
      </c>
      <c r="G14" s="1817">
        <f>+G6*31.55*G2</f>
        <v>73479.95</v>
      </c>
      <c r="H14" s="4366">
        <f>+D14+F14</f>
        <v>147086.1</v>
      </c>
      <c r="I14" s="1906">
        <f>+E14+G14</f>
        <v>147086.1</v>
      </c>
      <c r="J14" s="2681">
        <f>+J6*31.55*J2</f>
        <v>81872.250000000015</v>
      </c>
      <c r="K14" s="1817">
        <f>+K6*31.55*K2</f>
        <v>81872.250000000015</v>
      </c>
      <c r="L14" s="3046">
        <f>+H14+J14</f>
        <v>228958.35000000003</v>
      </c>
      <c r="M14" s="2070">
        <f>+I14+K14</f>
        <v>228958.35000000003</v>
      </c>
      <c r="N14" s="2681">
        <f>+N6*31.55*N2</f>
        <v>96826.950000000012</v>
      </c>
      <c r="O14" s="1817">
        <f>+O6*31.55*O2</f>
        <v>88844.800000000003</v>
      </c>
      <c r="P14" s="4366">
        <f>+L14+N14</f>
        <v>325785.30000000005</v>
      </c>
      <c r="Q14" s="1906">
        <f>+M14+O14</f>
        <v>317803.15000000002</v>
      </c>
      <c r="R14" s="2681">
        <f>+R6*31.55*R2</f>
        <v>96826.950000000012</v>
      </c>
      <c r="S14" s="1817">
        <f>+S6*31.55*S2</f>
        <v>96763.85</v>
      </c>
      <c r="T14" s="4366">
        <f>+P14+R14</f>
        <v>422612.25000000006</v>
      </c>
      <c r="U14" s="1906">
        <f>+Q14+S14</f>
        <v>414567</v>
      </c>
      <c r="V14" s="2681">
        <f>+V6*31.55*V2</f>
        <v>93703.500000000015</v>
      </c>
      <c r="W14" s="6756">
        <f>+W6*31.55*W2</f>
        <v>79127.399999999994</v>
      </c>
      <c r="X14" s="6762">
        <f>+N14+R14+V14</f>
        <v>287357.40000000002</v>
      </c>
      <c r="Y14" s="6763">
        <f>+O14+S14+W14</f>
        <v>264736.05000000005</v>
      </c>
      <c r="Z14" s="6758">
        <f>+T14+V14</f>
        <v>516315.75000000006</v>
      </c>
      <c r="AA14" s="6692">
        <f>+U14+W14</f>
        <v>493694.4</v>
      </c>
      <c r="AB14" s="2681">
        <f>+AB6*31.55*AB2</f>
        <v>96826.950000000012</v>
      </c>
      <c r="AC14" s="1817">
        <f>+AC6*31.55*AC2</f>
        <v>89980.599999999991</v>
      </c>
      <c r="AD14" s="4366">
        <f>+Z14+AB14</f>
        <v>613142.70000000007</v>
      </c>
      <c r="AE14" s="1906">
        <f>+AA14+AC14</f>
        <v>583675</v>
      </c>
      <c r="AF14" s="2681">
        <f>+AF6*31.55*AF2</f>
        <v>93703.500000000015</v>
      </c>
      <c r="AG14" s="1817">
        <f>+AG6*31.55*AG2</f>
        <v>83891.450000000012</v>
      </c>
      <c r="AH14" s="4366">
        <f>+AD14+AF14</f>
        <v>706846.20000000007</v>
      </c>
      <c r="AI14" s="1906">
        <f>+AE14+AG14</f>
        <v>667566.44999999995</v>
      </c>
      <c r="AJ14" s="2681">
        <f>+AJ6*31.55*AJ2</f>
        <v>96826.950000000012</v>
      </c>
      <c r="AK14" s="6756">
        <f>+AK6*31.55*AK2</f>
        <v>96669.2</v>
      </c>
      <c r="AL14" s="6762">
        <f>+AB14+AF14+AJ14</f>
        <v>287357.40000000002</v>
      </c>
      <c r="AM14" s="6763">
        <f>+AC14+AG14+AK14</f>
        <v>270541.25</v>
      </c>
      <c r="AN14" s="4366">
        <f>+AH14+AJ14</f>
        <v>803673.15000000014</v>
      </c>
      <c r="AO14" s="1906">
        <f>+AI14+AK14</f>
        <v>764235.64999999991</v>
      </c>
      <c r="AP14" s="2681">
        <f>+AP6*31.55*AP2</f>
        <v>96826.950000000012</v>
      </c>
      <c r="AQ14" s="6756">
        <f>+AQ6*31.55*AQ2</f>
        <v>96826.950000000012</v>
      </c>
      <c r="AR14" s="4366">
        <f>+AN14+AP14</f>
        <v>900500.10000000009</v>
      </c>
      <c r="AS14" s="1906">
        <f>+AO14+AQ14</f>
        <v>861062.59999999986</v>
      </c>
      <c r="AT14" s="2681">
        <f>+AT6*31.55*AT2</f>
        <v>87456.6</v>
      </c>
      <c r="AU14" s="6756">
        <f>+AU6*31.55*AU2</f>
        <v>87456.6</v>
      </c>
      <c r="AV14" s="4366">
        <f>+AR14+AT14</f>
        <v>987956.70000000007</v>
      </c>
      <c r="AW14" s="1906">
        <f>+AS14+AU14</f>
        <v>948519.19999999984</v>
      </c>
      <c r="AX14" s="2681">
        <f>+AX6*31.55*AX2</f>
        <v>96826.950000000012</v>
      </c>
      <c r="AY14" s="6756">
        <f>+AY6*31.55*AY2</f>
        <v>96858.5</v>
      </c>
      <c r="AZ14" s="6762">
        <f>+AP14+AT14+AX14</f>
        <v>281110.5</v>
      </c>
      <c r="BA14" s="6763">
        <f>+AQ14+AU14+AY14</f>
        <v>281142.05000000005</v>
      </c>
      <c r="BB14" s="6762">
        <f t="shared" ref="BB14:BB15" si="32">+AL14+AZ14</f>
        <v>568467.9</v>
      </c>
      <c r="BC14" s="6763">
        <f t="shared" si="31"/>
        <v>551683.30000000005</v>
      </c>
      <c r="BD14" s="6758">
        <f>+AV14+AX14</f>
        <v>1084783.6500000001</v>
      </c>
      <c r="BE14" s="6692">
        <f>+AW14+AY14</f>
        <v>1045377.6999999998</v>
      </c>
    </row>
    <row r="15" spans="1:57" ht="16" thickBot="1" x14ac:dyDescent="0.25">
      <c r="A15" s="3378" t="s">
        <v>1024</v>
      </c>
      <c r="B15" s="1549" t="s">
        <v>654</v>
      </c>
      <c r="C15" s="1550" t="s">
        <v>170</v>
      </c>
      <c r="D15" s="2718">
        <f t="shared" ref="D15:I15" si="33">SUM(D13:D14)</f>
        <v>113785.35</v>
      </c>
      <c r="E15" s="4199">
        <f t="shared" ref="E15" si="34">SUM(E13:E14)</f>
        <v>113785.35</v>
      </c>
      <c r="F15" s="2718">
        <f t="shared" ref="F15" si="35">SUM(F13:F14)</f>
        <v>119008.35</v>
      </c>
      <c r="G15" s="3207">
        <f t="shared" si="33"/>
        <v>119008.35</v>
      </c>
      <c r="H15" s="6319">
        <f t="shared" si="33"/>
        <v>232793.7</v>
      </c>
      <c r="I15" s="3869">
        <f t="shared" si="33"/>
        <v>232793.7</v>
      </c>
      <c r="J15" s="2800">
        <f t="shared" ref="J15:M15" si="36">SUM(J13:J14)</f>
        <v>129447.45000000001</v>
      </c>
      <c r="K15" s="3207">
        <f t="shared" si="36"/>
        <v>129447.45000000001</v>
      </c>
      <c r="L15" s="6322">
        <f t="shared" si="36"/>
        <v>362241.15</v>
      </c>
      <c r="M15" s="3891">
        <f t="shared" si="36"/>
        <v>362241.15</v>
      </c>
      <c r="N15" s="2800">
        <f t="shared" ref="N15:O15" si="37">SUM(N13:N14)</f>
        <v>149613.75</v>
      </c>
      <c r="O15" s="3207">
        <f t="shared" si="37"/>
        <v>140599.6</v>
      </c>
      <c r="P15" s="6319">
        <f t="shared" ref="P15:S15" si="38">SUM(P13:P14)</f>
        <v>511854.9</v>
      </c>
      <c r="Q15" s="3869">
        <f t="shared" si="38"/>
        <v>502840.75</v>
      </c>
      <c r="R15" s="2800">
        <f t="shared" si="38"/>
        <v>149613.75</v>
      </c>
      <c r="S15" s="3207">
        <f t="shared" si="38"/>
        <v>149516.25</v>
      </c>
      <c r="T15" s="6319">
        <f t="shared" ref="T15:Y15" si="39">SUM(T13:T14)</f>
        <v>661468.65</v>
      </c>
      <c r="U15" s="3869">
        <f t="shared" si="39"/>
        <v>652357</v>
      </c>
      <c r="V15" s="2800">
        <f t="shared" si="39"/>
        <v>144787.5</v>
      </c>
      <c r="W15" s="3207">
        <f t="shared" si="39"/>
        <v>129609.4</v>
      </c>
      <c r="X15" s="6759">
        <f t="shared" si="39"/>
        <v>444015</v>
      </c>
      <c r="Y15" s="6760">
        <f t="shared" si="39"/>
        <v>419725.25000000006</v>
      </c>
      <c r="Z15" s="6549">
        <f t="shared" ref="Z15:AM15" si="40">SUM(Z13:Z14)</f>
        <v>806256.15</v>
      </c>
      <c r="AA15" s="6684">
        <f t="shared" si="40"/>
        <v>781966.39999999991</v>
      </c>
      <c r="AB15" s="2800">
        <f t="shared" si="40"/>
        <v>149613.75</v>
      </c>
      <c r="AC15" s="3207">
        <f t="shared" si="40"/>
        <v>142595.4</v>
      </c>
      <c r="AD15" s="7322">
        <f t="shared" si="40"/>
        <v>955869.9</v>
      </c>
      <c r="AE15" s="3869">
        <f t="shared" si="40"/>
        <v>924561.79999999993</v>
      </c>
      <c r="AF15" s="2800">
        <f t="shared" si="40"/>
        <v>144787.5</v>
      </c>
      <c r="AG15" s="3207">
        <f t="shared" si="40"/>
        <v>135164.65000000002</v>
      </c>
      <c r="AH15" s="7551">
        <f t="shared" si="40"/>
        <v>1100657.3999999999</v>
      </c>
      <c r="AI15" s="3869">
        <f t="shared" si="40"/>
        <v>1059726.45</v>
      </c>
      <c r="AJ15" s="2800">
        <f t="shared" si="40"/>
        <v>149613.75</v>
      </c>
      <c r="AK15" s="3207">
        <f t="shared" si="40"/>
        <v>149524.79999999999</v>
      </c>
      <c r="AL15" s="6759">
        <f t="shared" si="40"/>
        <v>444015</v>
      </c>
      <c r="AM15" s="6760">
        <f t="shared" si="40"/>
        <v>427284.85</v>
      </c>
      <c r="AN15" s="7700">
        <f t="shared" ref="AN15:AS15" si="41">SUM(AN13:AN14)</f>
        <v>1250271.1500000001</v>
      </c>
      <c r="AO15" s="3869">
        <f t="shared" si="41"/>
        <v>1209251.2499999998</v>
      </c>
      <c r="AP15" s="2800">
        <f t="shared" si="41"/>
        <v>149613.75</v>
      </c>
      <c r="AQ15" s="3207">
        <f t="shared" si="41"/>
        <v>149682.54999999999</v>
      </c>
      <c r="AR15" s="8016">
        <f t="shared" si="41"/>
        <v>1399884.9</v>
      </c>
      <c r="AS15" s="3869">
        <f t="shared" si="41"/>
        <v>1358933.7999999998</v>
      </c>
      <c r="AT15" s="2800">
        <f t="shared" ref="AT15:AW15" si="42">SUM(AT13:AT14)</f>
        <v>135135</v>
      </c>
      <c r="AU15" s="3207">
        <f t="shared" si="42"/>
        <v>135203.79999999999</v>
      </c>
      <c r="AV15" s="8148">
        <f t="shared" si="42"/>
        <v>1535019.9</v>
      </c>
      <c r="AW15" s="3869">
        <f t="shared" si="42"/>
        <v>1494137.5999999996</v>
      </c>
      <c r="AX15" s="2800">
        <f t="shared" ref="AX15:BE15" si="43">SUM(AX13:AX14)</f>
        <v>149613.75</v>
      </c>
      <c r="AY15" s="3207">
        <f t="shared" si="43"/>
        <v>149800.1</v>
      </c>
      <c r="AZ15" s="6759">
        <f t="shared" si="43"/>
        <v>434362.5</v>
      </c>
      <c r="BA15" s="6760">
        <f t="shared" si="43"/>
        <v>434686.45000000007</v>
      </c>
      <c r="BB15" s="6759">
        <f t="shared" si="32"/>
        <v>878377.5</v>
      </c>
      <c r="BC15" s="6760">
        <f t="shared" si="31"/>
        <v>861971.3</v>
      </c>
      <c r="BD15" s="8281">
        <f t="shared" si="43"/>
        <v>1684633.6500000001</v>
      </c>
      <c r="BE15" s="6684">
        <f t="shared" si="43"/>
        <v>1643937.6999999997</v>
      </c>
    </row>
    <row r="16" spans="1:57" s="3380" customFormat="1" ht="17" thickBot="1" x14ac:dyDescent="0.25">
      <c r="A16" s="3379" t="s">
        <v>1024</v>
      </c>
      <c r="B16" s="6808" t="s">
        <v>1090</v>
      </c>
      <c r="C16" s="6809"/>
      <c r="D16" s="6810"/>
      <c r="E16" s="6811"/>
      <c r="F16" s="6810"/>
      <c r="G16" s="6812"/>
      <c r="H16" s="6813"/>
      <c r="I16" s="6814"/>
      <c r="J16" s="6813"/>
      <c r="K16" s="6814"/>
      <c r="L16" s="6813"/>
      <c r="M16" s="6814"/>
      <c r="N16" s="6813"/>
      <c r="O16" s="6814"/>
      <c r="P16" s="6813"/>
      <c r="Q16" s="6814"/>
      <c r="R16" s="6813"/>
      <c r="S16" s="6814"/>
      <c r="T16" s="6813"/>
      <c r="U16" s="6814"/>
      <c r="V16" s="6813"/>
      <c r="W16" s="6814"/>
      <c r="X16" s="6813"/>
      <c r="Y16" s="6814"/>
      <c r="Z16" s="6813"/>
      <c r="AA16" s="6814"/>
      <c r="AB16" s="6813"/>
      <c r="AC16" s="6814"/>
      <c r="AD16" s="6813"/>
      <c r="AE16" s="6814"/>
      <c r="AF16" s="6813"/>
      <c r="AG16" s="6814"/>
      <c r="AH16" s="6813"/>
      <c r="AI16" s="6814"/>
      <c r="AJ16" s="6813"/>
      <c r="AK16" s="6814"/>
      <c r="AL16" s="6813"/>
      <c r="AM16" s="6814"/>
      <c r="AN16" s="6813"/>
      <c r="AO16" s="6814"/>
      <c r="AP16" s="6813"/>
      <c r="AQ16" s="6814"/>
      <c r="AR16" s="6813"/>
      <c r="AS16" s="6814"/>
      <c r="AT16" s="6813"/>
      <c r="AU16" s="6814"/>
      <c r="AV16" s="6813"/>
      <c r="AW16" s="6814"/>
      <c r="AX16" s="6813"/>
      <c r="AY16" s="6814"/>
      <c r="AZ16" s="6813"/>
      <c r="BA16" s="6814"/>
      <c r="BB16" s="6813"/>
      <c r="BC16" s="6814"/>
      <c r="BD16" s="6813"/>
      <c r="BE16" s="6814"/>
    </row>
    <row r="17" spans="1:57" x14ac:dyDescent="0.2">
      <c r="A17" s="3378" t="s">
        <v>1024</v>
      </c>
      <c r="B17" s="1540" t="s">
        <v>619</v>
      </c>
      <c r="C17" s="1541" t="s">
        <v>170</v>
      </c>
      <c r="D17" s="6320">
        <f>+D13*D33/100</f>
        <v>28527.231999999993</v>
      </c>
      <c r="E17" s="1680">
        <f>+'Maj Prod Summ'!E13</f>
        <v>27936.6</v>
      </c>
      <c r="F17" s="6330">
        <f>+F13*F33/100</f>
        <v>32325.164000000001</v>
      </c>
      <c r="G17" s="1680">
        <f>+'Maj Prod Summ'!G13</f>
        <v>31876</v>
      </c>
      <c r="H17" s="4366">
        <f>+D17+F17</f>
        <v>60852.395999999993</v>
      </c>
      <c r="I17" s="1906">
        <f>+E17+G17</f>
        <v>59812.6</v>
      </c>
      <c r="J17" s="6320">
        <f>+J13*J33/100</f>
        <v>33778.392</v>
      </c>
      <c r="K17" s="1680">
        <f>+'Maj Prod Summ'!K13</f>
        <v>33669.599999999999</v>
      </c>
      <c r="L17" s="3046">
        <f>+H17+J17</f>
        <v>94630.788</v>
      </c>
      <c r="M17" s="2070">
        <f>+I17+K17</f>
        <v>93482.2</v>
      </c>
      <c r="N17" s="6320">
        <f>+N13*N33/100</f>
        <v>37478.627999999997</v>
      </c>
      <c r="O17" s="1680">
        <f>+'Maj Prod Summ'!O13</f>
        <v>36675</v>
      </c>
      <c r="P17" s="4366">
        <f>+L17+N17</f>
        <v>132109.416</v>
      </c>
      <c r="Q17" s="1906">
        <f>+M17+O17</f>
        <v>130157.2</v>
      </c>
      <c r="R17" s="6320">
        <f>+R13*R33/100</f>
        <v>37478.627999999997</v>
      </c>
      <c r="S17" s="1680">
        <f>+'Maj Prod Summ'!S13</f>
        <v>37836</v>
      </c>
      <c r="T17" s="4366">
        <f>+P17+R17</f>
        <v>169588.04399999999</v>
      </c>
      <c r="U17" s="1906">
        <f>+Q17+S17</f>
        <v>167993.2</v>
      </c>
      <c r="V17" s="6550">
        <f>+V13*V33/100</f>
        <v>36269.64</v>
      </c>
      <c r="W17" s="1680">
        <f>+'Maj Prod Summ'!W13</f>
        <v>36979</v>
      </c>
      <c r="X17" s="3046">
        <f>+N17+R17+V17</f>
        <v>111226.89599999999</v>
      </c>
      <c r="Y17" s="2070">
        <f>+O17+S17+W17</f>
        <v>111490</v>
      </c>
      <c r="Z17" s="6691">
        <f>+T17+V17</f>
        <v>205857.68400000001</v>
      </c>
      <c r="AA17" s="6692">
        <f>+U17+W17</f>
        <v>204972.2</v>
      </c>
      <c r="AB17" s="7324">
        <f>+AB13*AB33/100</f>
        <v>37478.627999999997</v>
      </c>
      <c r="AC17" s="1680">
        <f>+'Maj Prod Summ'!AC13</f>
        <v>38591</v>
      </c>
      <c r="AD17" s="4366">
        <f>+Z17+AB17</f>
        <v>243336.31200000001</v>
      </c>
      <c r="AE17" s="1906">
        <f>+AA17+AC17</f>
        <v>243563.2</v>
      </c>
      <c r="AF17" s="7553">
        <f>+AF13*AF33/100</f>
        <v>36269.64</v>
      </c>
      <c r="AG17" s="1680">
        <f>+'Maj Prod Summ'!AG13</f>
        <v>37324</v>
      </c>
      <c r="AH17" s="4366">
        <f>+AD17+AF17</f>
        <v>279605.95199999999</v>
      </c>
      <c r="AI17" s="1906">
        <f>+AE17+AG17</f>
        <v>280887.2</v>
      </c>
      <c r="AJ17" s="7697">
        <f>+AJ13*AJ33/100</f>
        <v>37478.627999999997</v>
      </c>
      <c r="AK17" s="1680">
        <f>+'Maj Prod Summ'!AK13</f>
        <v>38071</v>
      </c>
      <c r="AL17" s="3046">
        <f>+AB17+AF17+AJ17</f>
        <v>111226.89599999999</v>
      </c>
      <c r="AM17" s="2070">
        <f>+AC17+AG17+AK17</f>
        <v>113986</v>
      </c>
      <c r="AN17" s="4366">
        <f>+AH17+AJ17</f>
        <v>317084.57999999996</v>
      </c>
      <c r="AO17" s="1906">
        <f>+AI17+AK17</f>
        <v>318958.2</v>
      </c>
      <c r="AP17" s="8021">
        <f>+AP13*AP33/100</f>
        <v>37478.627999999997</v>
      </c>
      <c r="AQ17" s="1680">
        <f>+'Maj Prod Summ'!AQ13</f>
        <v>38030</v>
      </c>
      <c r="AR17" s="4366">
        <f>+AN17+AP17</f>
        <v>354563.20799999998</v>
      </c>
      <c r="AS17" s="1906">
        <f>+AO17+AQ17</f>
        <v>356988.2</v>
      </c>
      <c r="AT17" s="8144">
        <f>+AT13*AT33/100</f>
        <v>33851.663999999997</v>
      </c>
      <c r="AU17" s="1680">
        <f>+'Maj Prod Summ'!AU13</f>
        <v>34628</v>
      </c>
      <c r="AV17" s="4366">
        <f>+AR17+AT17</f>
        <v>388414.87199999997</v>
      </c>
      <c r="AW17" s="1906">
        <f>+AS17+AU17</f>
        <v>391616.2</v>
      </c>
      <c r="AX17" s="8261">
        <f>+AX13*AX33/100</f>
        <v>37478.627999999997</v>
      </c>
      <c r="AY17" s="1680">
        <f>+'Maj Prod Summ'!AY13</f>
        <v>39306</v>
      </c>
      <c r="AZ17" s="3046">
        <f>+AP17+AT17+AX17</f>
        <v>108808.91999999998</v>
      </c>
      <c r="BA17" s="2070">
        <f>+AQ17+AU17+AY17</f>
        <v>111964</v>
      </c>
      <c r="BB17" s="3046">
        <f t="shared" ref="BB17:BB31" si="44">+AL17+AZ17</f>
        <v>220035.81599999999</v>
      </c>
      <c r="BC17" s="2070">
        <f t="shared" ref="BC17:BC31" si="45">+AM17+BA17</f>
        <v>225950</v>
      </c>
      <c r="BD17" s="6691">
        <f>+AV17+AX17</f>
        <v>425893.5</v>
      </c>
      <c r="BE17" s="6692">
        <f>+AW17+AY17</f>
        <v>430922.2</v>
      </c>
    </row>
    <row r="18" spans="1:57" ht="16" thickBot="1" x14ac:dyDescent="0.25">
      <c r="A18" s="3378" t="s">
        <v>1024</v>
      </c>
      <c r="B18" s="1546" t="s">
        <v>620</v>
      </c>
      <c r="C18" s="1547" t="s">
        <v>170</v>
      </c>
      <c r="D18" s="6320">
        <f>+D14*D33/100</f>
        <v>52260.366500000004</v>
      </c>
      <c r="E18" s="3138">
        <f>+'Maj Prod Summ'!E14</f>
        <v>51175.3</v>
      </c>
      <c r="F18" s="6330">
        <f>+F14*F33/100</f>
        <v>52170.764500000005</v>
      </c>
      <c r="G18" s="3138">
        <f>+'Maj Prod Summ'!G14</f>
        <v>51446</v>
      </c>
      <c r="H18" s="4365">
        <f>+D18+F18</f>
        <v>104431.13100000001</v>
      </c>
      <c r="I18" s="3870">
        <f>+E18+G18</f>
        <v>102621.3</v>
      </c>
      <c r="J18" s="6320">
        <f>+J14*J33/100</f>
        <v>58129.297500000008</v>
      </c>
      <c r="K18" s="3138">
        <f>+'Maj Prod Summ'!K14</f>
        <v>57942.1</v>
      </c>
      <c r="L18" s="3776">
        <f>+H18+J18</f>
        <v>162560.42850000001</v>
      </c>
      <c r="M18" s="3892">
        <f>+I18+K18</f>
        <v>160563.4</v>
      </c>
      <c r="N18" s="6320">
        <f>+N14*N33/100</f>
        <v>68747.134500000015</v>
      </c>
      <c r="O18" s="3138">
        <f>+'Maj Prod Summ'!O14</f>
        <v>62959</v>
      </c>
      <c r="P18" s="4365">
        <f>+L18+N18</f>
        <v>231307.56300000002</v>
      </c>
      <c r="Q18" s="3870">
        <f>+M18+O18</f>
        <v>223522.4</v>
      </c>
      <c r="R18" s="6320">
        <f>+R14*R33/100</f>
        <v>68747.134500000015</v>
      </c>
      <c r="S18" s="3138">
        <f>+'Maj Prod Summ'!S14</f>
        <v>69404</v>
      </c>
      <c r="T18" s="4365">
        <f>+P18+R18</f>
        <v>300054.69750000001</v>
      </c>
      <c r="U18" s="3870">
        <f>+Q18+S18</f>
        <v>292926.40000000002</v>
      </c>
      <c r="V18" s="6550">
        <f>+V14*V33/100</f>
        <v>66529.485000000015</v>
      </c>
      <c r="W18" s="3138">
        <f>+'Maj Prod Summ'!W14</f>
        <v>57963</v>
      </c>
      <c r="X18" s="3046">
        <f>+N18+R18+V18</f>
        <v>204023.75400000004</v>
      </c>
      <c r="Y18" s="2070">
        <f>+O18+S18+W18</f>
        <v>190326</v>
      </c>
      <c r="Z18" s="6693">
        <f>+T18+V18</f>
        <v>366584.1825</v>
      </c>
      <c r="AA18" s="6694">
        <f>+U18+W18</f>
        <v>350889.4</v>
      </c>
      <c r="AB18" s="7324">
        <f>+AB14*AB33/100</f>
        <v>68747.134500000015</v>
      </c>
      <c r="AC18" s="3138">
        <f>+'Maj Prod Summ'!AC14</f>
        <v>65998</v>
      </c>
      <c r="AD18" s="4365">
        <f>+Z18+AB18</f>
        <v>435331.31700000004</v>
      </c>
      <c r="AE18" s="3870">
        <f>+AA18+AC18</f>
        <v>416887.4</v>
      </c>
      <c r="AF18" s="7553">
        <f>+AF14*AF33/100</f>
        <v>66529.485000000015</v>
      </c>
      <c r="AG18" s="3138">
        <f>+'Maj Prod Summ'!AG14</f>
        <v>61068</v>
      </c>
      <c r="AH18" s="4365">
        <f>+AD18+AF18</f>
        <v>501860.80200000003</v>
      </c>
      <c r="AI18" s="3870">
        <f>+AE18+AG18</f>
        <v>477955.4</v>
      </c>
      <c r="AJ18" s="7697">
        <f>+AJ14*AJ33/100</f>
        <v>68747.134500000015</v>
      </c>
      <c r="AK18" s="3138">
        <f>+'Maj Prod Summ'!AK14</f>
        <v>69629</v>
      </c>
      <c r="AL18" s="3046">
        <f>+AB18+AF18+AJ18</f>
        <v>204023.75400000004</v>
      </c>
      <c r="AM18" s="2070">
        <f>+AC18+AG18+AK18</f>
        <v>196695</v>
      </c>
      <c r="AN18" s="4365">
        <f>+AH18+AJ18</f>
        <v>570607.93650000007</v>
      </c>
      <c r="AO18" s="3870">
        <f>+AI18+AK18</f>
        <v>547584.4</v>
      </c>
      <c r="AP18" s="8021">
        <f>+AP14*AP33/100</f>
        <v>68747.134500000015</v>
      </c>
      <c r="AQ18" s="3138">
        <f>+'Maj Prod Summ'!AQ14</f>
        <v>69668</v>
      </c>
      <c r="AR18" s="4365">
        <f>+AN18+AP18</f>
        <v>639355.07100000011</v>
      </c>
      <c r="AS18" s="3870">
        <f>+AO18+AQ18</f>
        <v>617252.4</v>
      </c>
      <c r="AT18" s="8144">
        <f>+AT14*AT33/100</f>
        <v>62094.186000000009</v>
      </c>
      <c r="AU18" s="3138">
        <f>+'Maj Prod Summ'!AU14</f>
        <v>63427</v>
      </c>
      <c r="AV18" s="4365">
        <f>+AR18+AT18</f>
        <v>701449.2570000001</v>
      </c>
      <c r="AW18" s="3870">
        <f>+AS18+AU18</f>
        <v>680679.4</v>
      </c>
      <c r="AX18" s="8261">
        <f>+AX14*AX33/100</f>
        <v>68747.134500000015</v>
      </c>
      <c r="AY18" s="3138">
        <f>+'Maj Prod Summ'!AY14</f>
        <v>71912</v>
      </c>
      <c r="AZ18" s="3046">
        <f>+AP18+AT18+AX18</f>
        <v>199588.45500000005</v>
      </c>
      <c r="BA18" s="2070">
        <f>+AQ18+AU18+AY18</f>
        <v>205007</v>
      </c>
      <c r="BB18" s="3046">
        <f t="shared" si="44"/>
        <v>403612.20900000009</v>
      </c>
      <c r="BC18" s="2070">
        <f t="shared" si="45"/>
        <v>401702</v>
      </c>
      <c r="BD18" s="6693">
        <f>+AV18+AX18</f>
        <v>770196.39150000014</v>
      </c>
      <c r="BE18" s="6694">
        <f>+AW18+AY18</f>
        <v>752591.4</v>
      </c>
    </row>
    <row r="19" spans="1:57" ht="16" thickBot="1" x14ac:dyDescent="0.25">
      <c r="A19" s="3378" t="s">
        <v>1024</v>
      </c>
      <c r="B19" s="1549" t="s">
        <v>273</v>
      </c>
      <c r="C19" s="1550" t="s">
        <v>170</v>
      </c>
      <c r="D19" s="2800">
        <f t="shared" ref="D19" si="46">SUM(D17:D18)</f>
        <v>80787.598499999993</v>
      </c>
      <c r="E19" s="3207">
        <f t="shared" ref="E19:I19" si="47">SUM(E17:E18)</f>
        <v>79111.899999999994</v>
      </c>
      <c r="F19" s="2800">
        <f t="shared" ref="F19" si="48">SUM(F17:F18)</f>
        <v>84495.928500000009</v>
      </c>
      <c r="G19" s="3207">
        <f t="shared" si="47"/>
        <v>83322</v>
      </c>
      <c r="H19" s="6319">
        <f t="shared" si="47"/>
        <v>165283.527</v>
      </c>
      <c r="I19" s="3869">
        <f t="shared" si="47"/>
        <v>162433.9</v>
      </c>
      <c r="J19" s="2800">
        <f t="shared" ref="J19" si="49">SUM(J17:J18)</f>
        <v>91907.689500000008</v>
      </c>
      <c r="K19" s="3207">
        <f t="shared" ref="K19:N19" si="50">SUM(K17:K18)</f>
        <v>91611.7</v>
      </c>
      <c r="L19" s="6322">
        <f t="shared" si="50"/>
        <v>257191.21650000001</v>
      </c>
      <c r="M19" s="3891">
        <f t="shared" si="50"/>
        <v>254045.59999999998</v>
      </c>
      <c r="N19" s="2800">
        <f t="shared" si="50"/>
        <v>106225.76250000001</v>
      </c>
      <c r="O19" s="3207">
        <f t="shared" ref="O19" si="51">SUM(O17:O18)</f>
        <v>99634</v>
      </c>
      <c r="P19" s="6319">
        <f t="shared" ref="P19:S19" si="52">SUM(P17:P18)</f>
        <v>363416.97900000005</v>
      </c>
      <c r="Q19" s="3869">
        <f t="shared" si="52"/>
        <v>353679.6</v>
      </c>
      <c r="R19" s="2800">
        <f t="shared" si="52"/>
        <v>106225.76250000001</v>
      </c>
      <c r="S19" s="3207">
        <f t="shared" si="52"/>
        <v>107240</v>
      </c>
      <c r="T19" s="6319">
        <f t="shared" ref="T19:Y19" si="53">SUM(T17:T18)</f>
        <v>469642.7415</v>
      </c>
      <c r="U19" s="3869">
        <f t="shared" si="53"/>
        <v>460919.60000000003</v>
      </c>
      <c r="V19" s="2800">
        <f t="shared" si="53"/>
        <v>102799.12500000001</v>
      </c>
      <c r="W19" s="3207">
        <f t="shared" si="53"/>
        <v>94942</v>
      </c>
      <c r="X19" s="6546">
        <f t="shared" si="53"/>
        <v>315250.65000000002</v>
      </c>
      <c r="Y19" s="3891">
        <f t="shared" si="53"/>
        <v>301816</v>
      </c>
      <c r="Z19" s="6549">
        <f t="shared" ref="Z19:AM19" si="54">SUM(Z17:Z18)</f>
        <v>572441.8665</v>
      </c>
      <c r="AA19" s="6684">
        <f t="shared" si="54"/>
        <v>555861.60000000009</v>
      </c>
      <c r="AB19" s="2800">
        <f t="shared" si="54"/>
        <v>106225.76250000001</v>
      </c>
      <c r="AC19" s="3207">
        <f t="shared" si="54"/>
        <v>104589</v>
      </c>
      <c r="AD19" s="7322">
        <f t="shared" si="54"/>
        <v>678667.62900000007</v>
      </c>
      <c r="AE19" s="3869">
        <f t="shared" si="54"/>
        <v>660450.60000000009</v>
      </c>
      <c r="AF19" s="2800">
        <f t="shared" si="54"/>
        <v>102799.12500000001</v>
      </c>
      <c r="AG19" s="3207">
        <f t="shared" si="54"/>
        <v>98392</v>
      </c>
      <c r="AH19" s="7551">
        <f t="shared" si="54"/>
        <v>781466.75399999996</v>
      </c>
      <c r="AI19" s="3869">
        <f t="shared" si="54"/>
        <v>758842.60000000009</v>
      </c>
      <c r="AJ19" s="2800">
        <f t="shared" si="54"/>
        <v>106225.76250000001</v>
      </c>
      <c r="AK19" s="3207">
        <f t="shared" si="54"/>
        <v>107700</v>
      </c>
      <c r="AL19" s="7703">
        <f t="shared" si="54"/>
        <v>315250.65000000002</v>
      </c>
      <c r="AM19" s="3891">
        <f t="shared" si="54"/>
        <v>310681</v>
      </c>
      <c r="AN19" s="7700">
        <f t="shared" ref="AN19:AS19" si="55">SUM(AN17:AN18)</f>
        <v>887692.51650000003</v>
      </c>
      <c r="AO19" s="3869">
        <f t="shared" si="55"/>
        <v>866542.60000000009</v>
      </c>
      <c r="AP19" s="2800">
        <f t="shared" si="55"/>
        <v>106225.76250000001</v>
      </c>
      <c r="AQ19" s="3207">
        <f t="shared" si="55"/>
        <v>107698</v>
      </c>
      <c r="AR19" s="8016">
        <f t="shared" si="55"/>
        <v>993918.2790000001</v>
      </c>
      <c r="AS19" s="3869">
        <f t="shared" si="55"/>
        <v>974240.60000000009</v>
      </c>
      <c r="AT19" s="2800">
        <f t="shared" ref="AT19:AW19" si="56">SUM(AT17:AT18)</f>
        <v>95945.85</v>
      </c>
      <c r="AU19" s="3207">
        <f t="shared" si="56"/>
        <v>98055</v>
      </c>
      <c r="AV19" s="8148">
        <f t="shared" si="56"/>
        <v>1089864.1290000002</v>
      </c>
      <c r="AW19" s="3869">
        <f t="shared" si="56"/>
        <v>1072295.6000000001</v>
      </c>
      <c r="AX19" s="2800">
        <f t="shared" ref="AX19:BE19" si="57">SUM(AX17:AX18)</f>
        <v>106225.76250000001</v>
      </c>
      <c r="AY19" s="3207">
        <f t="shared" si="57"/>
        <v>111218</v>
      </c>
      <c r="AZ19" s="8271">
        <f t="shared" si="57"/>
        <v>308397.375</v>
      </c>
      <c r="BA19" s="3891">
        <f t="shared" si="57"/>
        <v>316971</v>
      </c>
      <c r="BB19" s="8271">
        <f t="shared" si="44"/>
        <v>623648.02500000002</v>
      </c>
      <c r="BC19" s="3891">
        <f t="shared" si="45"/>
        <v>627652</v>
      </c>
      <c r="BD19" s="8281">
        <f t="shared" si="57"/>
        <v>1196089.8915000001</v>
      </c>
      <c r="BE19" s="6684">
        <f t="shared" si="57"/>
        <v>1183513.6000000001</v>
      </c>
    </row>
    <row r="20" spans="1:57" x14ac:dyDescent="0.2">
      <c r="A20" s="3378" t="s">
        <v>1024</v>
      </c>
      <c r="B20" s="1540" t="s">
        <v>632</v>
      </c>
      <c r="C20" s="1541" t="s">
        <v>170</v>
      </c>
      <c r="D20" s="6320">
        <f>+D13*D34/100</f>
        <v>0</v>
      </c>
      <c r="E20" s="3834">
        <v>317.39999999999998</v>
      </c>
      <c r="F20" s="6320">
        <f>+F13*F34/100</f>
        <v>0</v>
      </c>
      <c r="G20" s="1683">
        <v>184</v>
      </c>
      <c r="H20" s="4366">
        <f>+D20+F20</f>
        <v>0</v>
      </c>
      <c r="I20" s="1906">
        <f>+E20+G20</f>
        <v>501.4</v>
      </c>
      <c r="J20" s="6320">
        <f>+J13*J34/100</f>
        <v>0</v>
      </c>
      <c r="K20" s="1683">
        <v>149.80000000000001</v>
      </c>
      <c r="L20" s="3046">
        <f>+H20+J20</f>
        <v>0</v>
      </c>
      <c r="M20" s="2070">
        <f>+I20+K20</f>
        <v>651.20000000000005</v>
      </c>
      <c r="N20" s="6320">
        <f>+N13*N34/100</f>
        <v>0</v>
      </c>
      <c r="O20" s="3183">
        <v>427</v>
      </c>
      <c r="P20" s="4366">
        <f>+L20+N20</f>
        <v>0</v>
      </c>
      <c r="Q20" s="1906">
        <f>+M20+O20</f>
        <v>1078.2</v>
      </c>
      <c r="R20" s="6320">
        <f>+R13*R34/100</f>
        <v>0</v>
      </c>
      <c r="S20" s="3183">
        <v>139</v>
      </c>
      <c r="T20" s="4366">
        <f>+P20+R20</f>
        <v>0</v>
      </c>
      <c r="U20" s="1906">
        <f>+Q20+S20</f>
        <v>1217.2</v>
      </c>
      <c r="V20" s="6550">
        <f>+V13*V34/100</f>
        <v>0</v>
      </c>
      <c r="W20" s="3183">
        <v>51</v>
      </c>
      <c r="X20" s="3046">
        <f t="shared" ref="X20:X21" si="58">+N20+R20+V20</f>
        <v>0</v>
      </c>
      <c r="Y20" s="2070">
        <f t="shared" ref="Y20:Y21" si="59">+O20+S20+W20</f>
        <v>617</v>
      </c>
      <c r="Z20" s="6691">
        <f>+T20+V20</f>
        <v>0</v>
      </c>
      <c r="AA20" s="6692">
        <f>+U20+W20</f>
        <v>1268.2</v>
      </c>
      <c r="AB20" s="7324">
        <f>+AB13*AB34/100</f>
        <v>0</v>
      </c>
      <c r="AC20" s="3183">
        <v>64</v>
      </c>
      <c r="AD20" s="4366">
        <f>+Z20+AB20</f>
        <v>0</v>
      </c>
      <c r="AE20" s="1906">
        <f>+AA20+AC20</f>
        <v>1332.2</v>
      </c>
      <c r="AF20" s="7553">
        <f>+AF13*AF34/100</f>
        <v>0</v>
      </c>
      <c r="AG20" s="3183">
        <v>142</v>
      </c>
      <c r="AH20" s="4366">
        <f>+AD20+AF20</f>
        <v>0</v>
      </c>
      <c r="AI20" s="1906">
        <f>+AE20+AG20</f>
        <v>1474.2</v>
      </c>
      <c r="AJ20" s="7697">
        <f>+AJ13*AJ34/100</f>
        <v>0</v>
      </c>
      <c r="AK20" s="3183">
        <v>337</v>
      </c>
      <c r="AL20" s="3046">
        <f t="shared" ref="AL20:AL21" si="60">+AB20+AF20+AJ20</f>
        <v>0</v>
      </c>
      <c r="AM20" s="2070">
        <f t="shared" ref="AM20:AM21" si="61">+AC20+AG20+AK20</f>
        <v>543</v>
      </c>
      <c r="AN20" s="4366">
        <f>+AH20+AJ20</f>
        <v>0</v>
      </c>
      <c r="AO20" s="1906">
        <f>+AI20+AK20</f>
        <v>1811.2</v>
      </c>
      <c r="AP20" s="8021">
        <f>+AP13*AP34/100</f>
        <v>0</v>
      </c>
      <c r="AQ20" s="3183">
        <v>519</v>
      </c>
      <c r="AR20" s="4366">
        <f>+AN20+AP20</f>
        <v>0</v>
      </c>
      <c r="AS20" s="1906">
        <f>+AO20+AQ20</f>
        <v>2330.1999999999998</v>
      </c>
      <c r="AT20" s="8144">
        <f>+AT13*AT34/100</f>
        <v>0</v>
      </c>
      <c r="AU20" s="3183">
        <v>436</v>
      </c>
      <c r="AV20" s="4366">
        <f>+AR20+AT20</f>
        <v>0</v>
      </c>
      <c r="AW20" s="1906">
        <f>+AS20+AU20</f>
        <v>2766.2</v>
      </c>
      <c r="AX20" s="8261">
        <f>+AX13*AX34/100</f>
        <v>0</v>
      </c>
      <c r="AY20" s="3183">
        <v>152</v>
      </c>
      <c r="AZ20" s="3046">
        <f t="shared" ref="AZ20:AZ21" si="62">+AP20+AT20+AX20</f>
        <v>0</v>
      </c>
      <c r="BA20" s="2070">
        <f t="shared" ref="BA20:BA21" si="63">+AQ20+AU20+AY20</f>
        <v>1107</v>
      </c>
      <c r="BB20" s="3046">
        <f t="shared" si="44"/>
        <v>0</v>
      </c>
      <c r="BC20" s="2070">
        <f t="shared" si="45"/>
        <v>1650</v>
      </c>
      <c r="BD20" s="6691">
        <f>+AV20+AX20</f>
        <v>0</v>
      </c>
      <c r="BE20" s="6692">
        <f>+AW20+AY20</f>
        <v>2918.2</v>
      </c>
    </row>
    <row r="21" spans="1:57" ht="16" thickBot="1" x14ac:dyDescent="0.25">
      <c r="A21" s="3378" t="s">
        <v>1024</v>
      </c>
      <c r="B21" s="1546" t="s">
        <v>633</v>
      </c>
      <c r="C21" s="1547" t="s">
        <v>170</v>
      </c>
      <c r="D21" s="6333">
        <f>+D14*D34/100</f>
        <v>0</v>
      </c>
      <c r="E21" s="2818">
        <v>582.6</v>
      </c>
      <c r="F21" s="6333">
        <f>+F14*F34/100</f>
        <v>0</v>
      </c>
      <c r="G21" s="1676">
        <v>297</v>
      </c>
      <c r="H21" s="4365">
        <f>+D21+F21</f>
        <v>0</v>
      </c>
      <c r="I21" s="1906">
        <f>+E21+G21</f>
        <v>879.6</v>
      </c>
      <c r="J21" s="6333">
        <f>+J14*J34/100</f>
        <v>0</v>
      </c>
      <c r="K21" s="1683">
        <v>257.8</v>
      </c>
      <c r="L21" s="3776">
        <f>+H21+J21</f>
        <v>0</v>
      </c>
      <c r="M21" s="2070">
        <f>+I21+K21</f>
        <v>1137.4000000000001</v>
      </c>
      <c r="N21" s="6333">
        <f>+N14*N34/100</f>
        <v>0</v>
      </c>
      <c r="O21" s="3183">
        <v>733</v>
      </c>
      <c r="P21" s="4365">
        <f>+L21+N21</f>
        <v>0</v>
      </c>
      <c r="Q21" s="1906">
        <f>+M21+O21</f>
        <v>1870.4</v>
      </c>
      <c r="R21" s="6333">
        <f>+R14*R34/100</f>
        <v>0</v>
      </c>
      <c r="S21" s="3183">
        <v>255</v>
      </c>
      <c r="T21" s="4365">
        <f>+P21+R21</f>
        <v>0</v>
      </c>
      <c r="U21" s="1906">
        <f>+Q21+S21</f>
        <v>2125.4</v>
      </c>
      <c r="V21" s="6553">
        <f>+V14*V34/100</f>
        <v>0</v>
      </c>
      <c r="W21" s="3183">
        <v>79</v>
      </c>
      <c r="X21" s="3046">
        <f t="shared" si="58"/>
        <v>0</v>
      </c>
      <c r="Y21" s="2070">
        <f t="shared" si="59"/>
        <v>1067</v>
      </c>
      <c r="Z21" s="6693">
        <f>+T21+V21</f>
        <v>0</v>
      </c>
      <c r="AA21" s="6692">
        <f>+U21+W21</f>
        <v>2204.4</v>
      </c>
      <c r="AB21" s="7339">
        <f>+AB14*AB34/100</f>
        <v>0</v>
      </c>
      <c r="AC21" s="3183">
        <v>109</v>
      </c>
      <c r="AD21" s="4365">
        <f>+Z21+AB21</f>
        <v>0</v>
      </c>
      <c r="AE21" s="1906">
        <f>+AA21+AC21</f>
        <v>2313.4</v>
      </c>
      <c r="AF21" s="7585">
        <f>+AF14*AF34/100</f>
        <v>0</v>
      </c>
      <c r="AG21" s="3183">
        <v>232</v>
      </c>
      <c r="AH21" s="4365">
        <f>+AD21+AF21</f>
        <v>0</v>
      </c>
      <c r="AI21" s="1906">
        <f>+AE21+AG21</f>
        <v>2545.4</v>
      </c>
      <c r="AJ21" s="7736">
        <f>+AJ14*AJ34/100</f>
        <v>0</v>
      </c>
      <c r="AK21" s="3183">
        <v>616</v>
      </c>
      <c r="AL21" s="3046">
        <f t="shared" si="60"/>
        <v>0</v>
      </c>
      <c r="AM21" s="2070">
        <f t="shared" si="61"/>
        <v>957</v>
      </c>
      <c r="AN21" s="4365">
        <f>+AH21+AJ21</f>
        <v>0</v>
      </c>
      <c r="AO21" s="1906">
        <f>+AI21+AK21</f>
        <v>3161.4</v>
      </c>
      <c r="AP21" s="8050">
        <f>+AP14*AP34/100</f>
        <v>0</v>
      </c>
      <c r="AQ21" s="3183">
        <v>951</v>
      </c>
      <c r="AR21" s="4365">
        <f>+AN21+AP21</f>
        <v>0</v>
      </c>
      <c r="AS21" s="1906">
        <f>+AO21+AQ21</f>
        <v>4112.3999999999996</v>
      </c>
      <c r="AT21" s="8172">
        <f>+AT14*AT34/100</f>
        <v>0</v>
      </c>
      <c r="AU21" s="3183">
        <v>799</v>
      </c>
      <c r="AV21" s="4365">
        <f>+AR21+AT21</f>
        <v>0</v>
      </c>
      <c r="AW21" s="1906">
        <f>+AS21+AU21</f>
        <v>4911.3999999999996</v>
      </c>
      <c r="AX21" s="8322">
        <f>+AX14*AX34/100</f>
        <v>0</v>
      </c>
      <c r="AY21" s="3183">
        <v>278</v>
      </c>
      <c r="AZ21" s="3046">
        <f t="shared" si="62"/>
        <v>0</v>
      </c>
      <c r="BA21" s="2070">
        <f t="shared" si="63"/>
        <v>2028</v>
      </c>
      <c r="BB21" s="3046">
        <f t="shared" si="44"/>
        <v>0</v>
      </c>
      <c r="BC21" s="2070">
        <f t="shared" si="45"/>
        <v>2985</v>
      </c>
      <c r="BD21" s="6693">
        <f>+AV21+AX21</f>
        <v>0</v>
      </c>
      <c r="BE21" s="6692">
        <f>+AW21+AY21</f>
        <v>5189.3999999999996</v>
      </c>
    </row>
    <row r="22" spans="1:57" ht="16" thickBot="1" x14ac:dyDescent="0.25">
      <c r="A22" s="3378" t="s">
        <v>1024</v>
      </c>
      <c r="B22" s="1549" t="s">
        <v>612</v>
      </c>
      <c r="C22" s="1550" t="s">
        <v>170</v>
      </c>
      <c r="D22" s="2800">
        <f t="shared" ref="D22" si="64">SUM(D20:D21)</f>
        <v>0</v>
      </c>
      <c r="E22" s="3838">
        <f t="shared" ref="E22:J22" si="65">SUM(E20:E21)</f>
        <v>900</v>
      </c>
      <c r="F22" s="2800">
        <f t="shared" si="65"/>
        <v>0</v>
      </c>
      <c r="G22" s="3208">
        <f t="shared" si="65"/>
        <v>481</v>
      </c>
      <c r="H22" s="6319">
        <f t="shared" si="65"/>
        <v>0</v>
      </c>
      <c r="I22" s="3869">
        <f t="shared" si="65"/>
        <v>1381</v>
      </c>
      <c r="J22" s="2800">
        <f t="shared" si="65"/>
        <v>0</v>
      </c>
      <c r="K22" s="3208">
        <f t="shared" ref="K22:N22" si="66">SUM(K20:K21)</f>
        <v>407.6</v>
      </c>
      <c r="L22" s="6322">
        <f t="shared" si="66"/>
        <v>0</v>
      </c>
      <c r="M22" s="3891">
        <f t="shared" si="66"/>
        <v>1788.6000000000001</v>
      </c>
      <c r="N22" s="2800">
        <f t="shared" si="66"/>
        <v>0</v>
      </c>
      <c r="O22" s="6051">
        <f t="shared" ref="O22" si="67">SUM(O20:O21)</f>
        <v>1160</v>
      </c>
      <c r="P22" s="6319">
        <f t="shared" ref="P22:S22" si="68">SUM(P20:P21)</f>
        <v>0</v>
      </c>
      <c r="Q22" s="3869">
        <f t="shared" si="68"/>
        <v>2948.6000000000004</v>
      </c>
      <c r="R22" s="2800">
        <f t="shared" si="68"/>
        <v>0</v>
      </c>
      <c r="S22" s="6051">
        <f t="shared" si="68"/>
        <v>394</v>
      </c>
      <c r="T22" s="6319">
        <f t="shared" ref="T22:Y22" si="69">SUM(T20:T21)</f>
        <v>0</v>
      </c>
      <c r="U22" s="3869">
        <f t="shared" si="69"/>
        <v>3342.6000000000004</v>
      </c>
      <c r="V22" s="2800">
        <f t="shared" si="69"/>
        <v>0</v>
      </c>
      <c r="W22" s="6051">
        <f t="shared" si="69"/>
        <v>130</v>
      </c>
      <c r="X22" s="6546">
        <f t="shared" si="69"/>
        <v>0</v>
      </c>
      <c r="Y22" s="3891">
        <f t="shared" si="69"/>
        <v>1684</v>
      </c>
      <c r="Z22" s="6549">
        <f t="shared" ref="Z22:AM22" si="70">SUM(Z20:Z21)</f>
        <v>0</v>
      </c>
      <c r="AA22" s="6684">
        <f t="shared" si="70"/>
        <v>3472.6000000000004</v>
      </c>
      <c r="AB22" s="2800">
        <f t="shared" si="70"/>
        <v>0</v>
      </c>
      <c r="AC22" s="6051">
        <f t="shared" si="70"/>
        <v>173</v>
      </c>
      <c r="AD22" s="7322">
        <f t="shared" si="70"/>
        <v>0</v>
      </c>
      <c r="AE22" s="3869">
        <f t="shared" si="70"/>
        <v>3645.6000000000004</v>
      </c>
      <c r="AF22" s="2800">
        <f t="shared" si="70"/>
        <v>0</v>
      </c>
      <c r="AG22" s="6051">
        <f t="shared" si="70"/>
        <v>374</v>
      </c>
      <c r="AH22" s="7551">
        <f t="shared" si="70"/>
        <v>0</v>
      </c>
      <c r="AI22" s="3869">
        <f t="shared" si="70"/>
        <v>4019.6000000000004</v>
      </c>
      <c r="AJ22" s="2800">
        <f t="shared" si="70"/>
        <v>0</v>
      </c>
      <c r="AK22" s="6051">
        <f t="shared" si="70"/>
        <v>953</v>
      </c>
      <c r="AL22" s="7703">
        <f t="shared" si="70"/>
        <v>0</v>
      </c>
      <c r="AM22" s="3891">
        <f t="shared" si="70"/>
        <v>1500</v>
      </c>
      <c r="AN22" s="7700">
        <f t="shared" ref="AN22:AS22" si="71">SUM(AN20:AN21)</f>
        <v>0</v>
      </c>
      <c r="AO22" s="3869">
        <f t="shared" si="71"/>
        <v>4972.6000000000004</v>
      </c>
      <c r="AP22" s="2800">
        <f t="shared" si="71"/>
        <v>0</v>
      </c>
      <c r="AQ22" s="6051">
        <f t="shared" si="71"/>
        <v>1470</v>
      </c>
      <c r="AR22" s="8016">
        <f t="shared" si="71"/>
        <v>0</v>
      </c>
      <c r="AS22" s="3869">
        <f t="shared" si="71"/>
        <v>6442.5999999999995</v>
      </c>
      <c r="AT22" s="2800">
        <f t="shared" ref="AT22:AW22" si="72">SUM(AT20:AT21)</f>
        <v>0</v>
      </c>
      <c r="AU22" s="6051">
        <f t="shared" si="72"/>
        <v>1235</v>
      </c>
      <c r="AV22" s="8148">
        <f t="shared" si="72"/>
        <v>0</v>
      </c>
      <c r="AW22" s="3869">
        <f t="shared" si="72"/>
        <v>7677.5999999999995</v>
      </c>
      <c r="AX22" s="2800">
        <f t="shared" ref="AX22:BE22" si="73">SUM(AX20:AX21)</f>
        <v>0</v>
      </c>
      <c r="AY22" s="6051">
        <f t="shared" si="73"/>
        <v>430</v>
      </c>
      <c r="AZ22" s="8271">
        <f t="shared" si="73"/>
        <v>0</v>
      </c>
      <c r="BA22" s="3891">
        <f t="shared" si="73"/>
        <v>3135</v>
      </c>
      <c r="BB22" s="8271">
        <f t="shared" si="44"/>
        <v>0</v>
      </c>
      <c r="BC22" s="3891">
        <f t="shared" si="45"/>
        <v>4635</v>
      </c>
      <c r="BD22" s="8281">
        <f t="shared" si="73"/>
        <v>0</v>
      </c>
      <c r="BE22" s="6684">
        <f t="shared" si="73"/>
        <v>8107.5999999999995</v>
      </c>
    </row>
    <row r="23" spans="1:57" x14ac:dyDescent="0.2">
      <c r="A23" s="3378" t="s">
        <v>1024</v>
      </c>
      <c r="B23" s="1540" t="s">
        <v>634</v>
      </c>
      <c r="C23" s="1541" t="s">
        <v>170</v>
      </c>
      <c r="D23" s="6320">
        <f>+D13*D35/100</f>
        <v>1607.1679999999997</v>
      </c>
      <c r="E23" s="3834">
        <v>1884.4</v>
      </c>
      <c r="F23" s="6320">
        <f>+F13*F35/100</f>
        <v>1821.136</v>
      </c>
      <c r="G23" s="1683">
        <v>2091</v>
      </c>
      <c r="H23" s="6314">
        <f>+D23+F23</f>
        <v>3428.3039999999996</v>
      </c>
      <c r="I23" s="1906">
        <f>+E23+G23</f>
        <v>3975.4</v>
      </c>
      <c r="J23" s="6320">
        <f>+J13*J35/100</f>
        <v>1903.0079999999998</v>
      </c>
      <c r="K23" s="1683">
        <v>1871.5</v>
      </c>
      <c r="L23" s="6315">
        <f>+H23+J23</f>
        <v>5331.3119999999999</v>
      </c>
      <c r="M23" s="2070">
        <f>+I23+K23</f>
        <v>5846.9</v>
      </c>
      <c r="N23" s="6320">
        <f>+N13*N35/100</f>
        <v>2111.4719999999998</v>
      </c>
      <c r="O23" s="3183">
        <v>1715</v>
      </c>
      <c r="P23" s="6314">
        <f>+L23+N23</f>
        <v>7442.7839999999997</v>
      </c>
      <c r="Q23" s="1906">
        <f>+M23+O23</f>
        <v>7561.9</v>
      </c>
      <c r="R23" s="6320">
        <f>+R13*R35/100</f>
        <v>2111.4719999999998</v>
      </c>
      <c r="S23" s="3183">
        <v>1584</v>
      </c>
      <c r="T23" s="6314">
        <f>+P23+R23</f>
        <v>9554.2559999999994</v>
      </c>
      <c r="U23" s="1906">
        <f>+Q23+S23</f>
        <v>9145.9</v>
      </c>
      <c r="V23" s="6550">
        <f>+V13*V35/100</f>
        <v>2043.36</v>
      </c>
      <c r="W23" s="3183">
        <v>832</v>
      </c>
      <c r="X23" s="3046">
        <f t="shared" ref="X23:X24" si="74">+N23+R23+V23</f>
        <v>6266.3039999999992</v>
      </c>
      <c r="Y23" s="2070">
        <f t="shared" ref="Y23:Y24" si="75">+O23+S23+W23</f>
        <v>4131</v>
      </c>
      <c r="Z23" s="6547">
        <f>+T23+V23</f>
        <v>11597.616</v>
      </c>
      <c r="AA23" s="6692">
        <f>+U23+W23</f>
        <v>9977.9</v>
      </c>
      <c r="AB23" s="7324">
        <f>+AB13*AB35/100</f>
        <v>2111.4719999999998</v>
      </c>
      <c r="AC23" s="3183">
        <v>793</v>
      </c>
      <c r="AD23" s="7325">
        <f>+Z23+AB23</f>
        <v>13709.088</v>
      </c>
      <c r="AE23" s="1906">
        <f>+AA23+AC23</f>
        <v>10770.9</v>
      </c>
      <c r="AF23" s="7553">
        <f>+AF13*AF35/100</f>
        <v>2043.36</v>
      </c>
      <c r="AG23" s="3183">
        <v>997</v>
      </c>
      <c r="AH23" s="7554">
        <f>+AD23+AF23</f>
        <v>15752.448</v>
      </c>
      <c r="AI23" s="1906">
        <f>+AE23+AG23</f>
        <v>11767.9</v>
      </c>
      <c r="AJ23" s="7697">
        <f>+AJ13*AJ35/100</f>
        <v>2111.4719999999998</v>
      </c>
      <c r="AK23" s="3183">
        <v>1278</v>
      </c>
      <c r="AL23" s="3046">
        <f t="shared" ref="AL23:AL24" si="76">+AB23+AF23+AJ23</f>
        <v>6266.3039999999992</v>
      </c>
      <c r="AM23" s="2070">
        <f t="shared" ref="AM23:AM24" si="77">+AC23+AG23+AK23</f>
        <v>3068</v>
      </c>
      <c r="AN23" s="7701">
        <f>+AH23+AJ23</f>
        <v>17863.919999999998</v>
      </c>
      <c r="AO23" s="1906">
        <f>+AI23+AK23</f>
        <v>13045.9</v>
      </c>
      <c r="AP23" s="8021">
        <f>+AP13*AP35/100</f>
        <v>2111.4719999999998</v>
      </c>
      <c r="AQ23" s="3183">
        <v>1159</v>
      </c>
      <c r="AR23" s="8017">
        <f>+AN23+AP23</f>
        <v>19975.392</v>
      </c>
      <c r="AS23" s="1906">
        <f>+AO23+AQ23</f>
        <v>14204.9</v>
      </c>
      <c r="AT23" s="8144">
        <f>+AT13*AT35/100</f>
        <v>1907.136</v>
      </c>
      <c r="AU23" s="3183">
        <v>806</v>
      </c>
      <c r="AV23" s="8149">
        <f>+AR23+AT23</f>
        <v>21882.527999999998</v>
      </c>
      <c r="AW23" s="1906">
        <f>+AS23+AU23</f>
        <v>15010.9</v>
      </c>
      <c r="AX23" s="8261">
        <f>+AX13*AX35/100</f>
        <v>2111.4719999999998</v>
      </c>
      <c r="AY23" s="3183">
        <v>317</v>
      </c>
      <c r="AZ23" s="3046">
        <f t="shared" ref="AZ23:AZ24" si="78">+AP23+AT23+AX23</f>
        <v>6130.08</v>
      </c>
      <c r="BA23" s="2070">
        <f t="shared" ref="BA23:BA24" si="79">+AQ23+AU23+AY23</f>
        <v>2282</v>
      </c>
      <c r="BB23" s="3046">
        <f t="shared" si="44"/>
        <v>12396.383999999998</v>
      </c>
      <c r="BC23" s="2070">
        <f t="shared" si="45"/>
        <v>5350</v>
      </c>
      <c r="BD23" s="8280">
        <f>+AV23+AX23</f>
        <v>23994</v>
      </c>
      <c r="BE23" s="6692">
        <f>+AW23+AY23</f>
        <v>15327.9</v>
      </c>
    </row>
    <row r="24" spans="1:57" ht="16" thickBot="1" x14ac:dyDescent="0.25">
      <c r="A24" s="3378" t="s">
        <v>1024</v>
      </c>
      <c r="B24" s="1546" t="s">
        <v>635</v>
      </c>
      <c r="C24" s="1547" t="s">
        <v>170</v>
      </c>
      <c r="D24" s="6333">
        <f>+D14*D35/100</f>
        <v>2944.2460000000005</v>
      </c>
      <c r="E24" s="2818">
        <v>3452.5</v>
      </c>
      <c r="F24" s="6333">
        <f>+F14*F35/100</f>
        <v>2939.1979999999999</v>
      </c>
      <c r="G24" s="1676">
        <v>3374</v>
      </c>
      <c r="H24" s="6334">
        <f>+D24+F24</f>
        <v>5883.4440000000004</v>
      </c>
      <c r="I24" s="3870">
        <f>+E24+G24</f>
        <v>6826.5</v>
      </c>
      <c r="J24" s="6333">
        <f>+J14*J35/100</f>
        <v>3274.8900000000008</v>
      </c>
      <c r="K24" s="1683">
        <v>3220.7</v>
      </c>
      <c r="L24" s="6337">
        <f>+H24+J24</f>
        <v>9158.3340000000007</v>
      </c>
      <c r="M24" s="3892">
        <f>+I24+K24</f>
        <v>10047.200000000001</v>
      </c>
      <c r="N24" s="6333">
        <f>+N14*N35/100</f>
        <v>3873.0780000000004</v>
      </c>
      <c r="O24" s="3183">
        <v>2945</v>
      </c>
      <c r="P24" s="6334">
        <f>+L24+N24</f>
        <v>13031.412</v>
      </c>
      <c r="Q24" s="3870">
        <f>+M24+O24</f>
        <v>12992.2</v>
      </c>
      <c r="R24" s="6333">
        <f>+R14*R35/100</f>
        <v>3873.0780000000004</v>
      </c>
      <c r="S24" s="3183">
        <v>2906</v>
      </c>
      <c r="T24" s="6334">
        <f>+P24+R24</f>
        <v>16904.490000000002</v>
      </c>
      <c r="U24" s="3870">
        <f>+Q24+S24</f>
        <v>15898.2</v>
      </c>
      <c r="V24" s="6553">
        <f>+V14*V35/100</f>
        <v>3748.1400000000008</v>
      </c>
      <c r="W24" s="3183">
        <v>1304</v>
      </c>
      <c r="X24" s="3046">
        <f t="shared" si="74"/>
        <v>11494.296000000002</v>
      </c>
      <c r="Y24" s="2070">
        <f t="shared" si="75"/>
        <v>7155</v>
      </c>
      <c r="Z24" s="6591">
        <f>+T24+V24</f>
        <v>20652.63</v>
      </c>
      <c r="AA24" s="6694">
        <f>+U24+W24</f>
        <v>17202.2</v>
      </c>
      <c r="AB24" s="7339">
        <f>+AB14*AB35/100</f>
        <v>3873.0780000000004</v>
      </c>
      <c r="AC24" s="3183">
        <v>1356</v>
      </c>
      <c r="AD24" s="7327">
        <f>+Z24+AB24</f>
        <v>24525.708000000002</v>
      </c>
      <c r="AE24" s="3870">
        <f>+AA24+AC24</f>
        <v>18558.2</v>
      </c>
      <c r="AF24" s="7585">
        <f>+AF14*AF35/100</f>
        <v>3748.1400000000008</v>
      </c>
      <c r="AG24" s="3183">
        <v>1631</v>
      </c>
      <c r="AH24" s="7558">
        <f>+AD24+AF24</f>
        <v>28273.848000000002</v>
      </c>
      <c r="AI24" s="3870">
        <f>+AE24+AG24</f>
        <v>20189.2</v>
      </c>
      <c r="AJ24" s="7736">
        <f>+AJ14*AJ35/100</f>
        <v>3873.0780000000004</v>
      </c>
      <c r="AK24" s="3183">
        <v>2337</v>
      </c>
      <c r="AL24" s="3046">
        <f t="shared" si="76"/>
        <v>11494.296000000002</v>
      </c>
      <c r="AM24" s="2070">
        <f t="shared" si="77"/>
        <v>5324</v>
      </c>
      <c r="AN24" s="7702">
        <f>+AH24+AJ24</f>
        <v>32146.926000000003</v>
      </c>
      <c r="AO24" s="3870">
        <f>+AI24+AK24</f>
        <v>22526.2</v>
      </c>
      <c r="AP24" s="8050">
        <f>+AP14*AP35/100</f>
        <v>3873.0780000000004</v>
      </c>
      <c r="AQ24" s="3183">
        <v>2122</v>
      </c>
      <c r="AR24" s="8018">
        <f>+AN24+AP24</f>
        <v>36020.004000000001</v>
      </c>
      <c r="AS24" s="3870">
        <f>+AO24+AQ24</f>
        <v>24648.2</v>
      </c>
      <c r="AT24" s="8172">
        <f>+AT14*AT35/100</f>
        <v>3498.2640000000001</v>
      </c>
      <c r="AU24" s="3183">
        <v>1477</v>
      </c>
      <c r="AV24" s="8151">
        <f>+AR24+AT24</f>
        <v>39518.268000000004</v>
      </c>
      <c r="AW24" s="3870">
        <f>+AS24+AU24</f>
        <v>26125.200000000001</v>
      </c>
      <c r="AX24" s="8322">
        <f>+AX14*AX35/100</f>
        <v>3873.0780000000004</v>
      </c>
      <c r="AY24" s="3183">
        <v>579</v>
      </c>
      <c r="AZ24" s="3046">
        <f t="shared" si="78"/>
        <v>11244.420000000002</v>
      </c>
      <c r="BA24" s="2070">
        <f t="shared" si="79"/>
        <v>4178</v>
      </c>
      <c r="BB24" s="3046">
        <f t="shared" si="44"/>
        <v>22738.716000000004</v>
      </c>
      <c r="BC24" s="2070">
        <f t="shared" si="45"/>
        <v>9502</v>
      </c>
      <c r="BD24" s="8278">
        <f>+AV24+AX24</f>
        <v>43391.346000000005</v>
      </c>
      <c r="BE24" s="6694">
        <f>+AW24+AY24</f>
        <v>26704.2</v>
      </c>
    </row>
    <row r="25" spans="1:57" ht="16" thickBot="1" x14ac:dyDescent="0.25">
      <c r="A25" s="3378" t="s">
        <v>1024</v>
      </c>
      <c r="B25" s="1549" t="s">
        <v>613</v>
      </c>
      <c r="C25" s="1550" t="s">
        <v>170</v>
      </c>
      <c r="D25" s="2800">
        <f t="shared" ref="D25" si="80">SUM(D23:D24)</f>
        <v>4551.4140000000007</v>
      </c>
      <c r="E25" s="3838">
        <f t="shared" ref="E25:I25" si="81">SUM(E23:E24)</f>
        <v>5336.9</v>
      </c>
      <c r="F25" s="2800">
        <f t="shared" ref="F25" si="82">SUM(F23:F24)</f>
        <v>4760.3339999999998</v>
      </c>
      <c r="G25" s="3208">
        <f t="shared" si="81"/>
        <v>5465</v>
      </c>
      <c r="H25" s="2979">
        <f t="shared" si="81"/>
        <v>9311.7479999999996</v>
      </c>
      <c r="I25" s="3869">
        <f t="shared" si="81"/>
        <v>10801.9</v>
      </c>
      <c r="J25" s="2800">
        <f t="shared" ref="J25" si="83">SUM(J23:J24)</f>
        <v>5177.898000000001</v>
      </c>
      <c r="K25" s="3208">
        <f t="shared" ref="K25:N25" si="84">SUM(K23:K24)</f>
        <v>5092.2</v>
      </c>
      <c r="L25" s="3091">
        <f t="shared" si="84"/>
        <v>14489.646000000001</v>
      </c>
      <c r="M25" s="3891">
        <f t="shared" si="84"/>
        <v>15894.1</v>
      </c>
      <c r="N25" s="2800">
        <f t="shared" si="84"/>
        <v>5984.55</v>
      </c>
      <c r="O25" s="6051">
        <f t="shared" ref="O25" si="85">SUM(O23:O24)</f>
        <v>4660</v>
      </c>
      <c r="P25" s="2979">
        <f t="shared" ref="P25:S25" si="86">SUM(P23:P24)</f>
        <v>20474.196</v>
      </c>
      <c r="Q25" s="3869">
        <f t="shared" si="86"/>
        <v>20554.099999999999</v>
      </c>
      <c r="R25" s="2800">
        <f t="shared" si="86"/>
        <v>5984.55</v>
      </c>
      <c r="S25" s="6051">
        <f t="shared" si="86"/>
        <v>4490</v>
      </c>
      <c r="T25" s="2979">
        <f t="shared" ref="T25:Y25" si="87">SUM(T23:T24)</f>
        <v>26458.745999999999</v>
      </c>
      <c r="U25" s="3869">
        <f t="shared" si="87"/>
        <v>25044.1</v>
      </c>
      <c r="V25" s="2800">
        <f t="shared" si="87"/>
        <v>5791.5000000000009</v>
      </c>
      <c r="W25" s="6051">
        <f t="shared" si="87"/>
        <v>2136</v>
      </c>
      <c r="X25" s="3091">
        <f t="shared" si="87"/>
        <v>17760.600000000002</v>
      </c>
      <c r="Y25" s="3891">
        <f t="shared" si="87"/>
        <v>11286</v>
      </c>
      <c r="Z25" s="6695">
        <f t="shared" ref="Z25:AM25" si="88">SUM(Z23:Z24)</f>
        <v>32250.245999999999</v>
      </c>
      <c r="AA25" s="6684">
        <f t="shared" si="88"/>
        <v>27180.1</v>
      </c>
      <c r="AB25" s="2800">
        <f t="shared" si="88"/>
        <v>5984.55</v>
      </c>
      <c r="AC25" s="6051">
        <f t="shared" si="88"/>
        <v>2149</v>
      </c>
      <c r="AD25" s="2979">
        <f t="shared" si="88"/>
        <v>38234.796000000002</v>
      </c>
      <c r="AE25" s="3869">
        <f t="shared" si="88"/>
        <v>29329.1</v>
      </c>
      <c r="AF25" s="2800">
        <f t="shared" si="88"/>
        <v>5791.5000000000009</v>
      </c>
      <c r="AG25" s="6051">
        <f t="shared" si="88"/>
        <v>2628</v>
      </c>
      <c r="AH25" s="2979">
        <f t="shared" si="88"/>
        <v>44026.296000000002</v>
      </c>
      <c r="AI25" s="3869">
        <f t="shared" si="88"/>
        <v>31957.1</v>
      </c>
      <c r="AJ25" s="2800">
        <f t="shared" si="88"/>
        <v>5984.55</v>
      </c>
      <c r="AK25" s="6051">
        <f t="shared" si="88"/>
        <v>3615</v>
      </c>
      <c r="AL25" s="3091">
        <f t="shared" si="88"/>
        <v>17760.600000000002</v>
      </c>
      <c r="AM25" s="3891">
        <f t="shared" si="88"/>
        <v>8392</v>
      </c>
      <c r="AN25" s="2979">
        <f t="shared" ref="AN25:AS25" si="89">SUM(AN23:AN24)</f>
        <v>50010.846000000005</v>
      </c>
      <c r="AO25" s="3869">
        <f t="shared" si="89"/>
        <v>35572.1</v>
      </c>
      <c r="AP25" s="2800">
        <f t="shared" si="89"/>
        <v>5984.55</v>
      </c>
      <c r="AQ25" s="6051">
        <f t="shared" si="89"/>
        <v>3281</v>
      </c>
      <c r="AR25" s="2979">
        <f t="shared" si="89"/>
        <v>55995.396000000001</v>
      </c>
      <c r="AS25" s="3869">
        <f t="shared" si="89"/>
        <v>38853.1</v>
      </c>
      <c r="AT25" s="2800">
        <f t="shared" ref="AT25:AW25" si="90">SUM(AT23:AT24)</f>
        <v>5405.4</v>
      </c>
      <c r="AU25" s="6051">
        <f t="shared" si="90"/>
        <v>2283</v>
      </c>
      <c r="AV25" s="2979">
        <f t="shared" si="90"/>
        <v>61400.796000000002</v>
      </c>
      <c r="AW25" s="3869">
        <f t="shared" si="90"/>
        <v>41136.1</v>
      </c>
      <c r="AX25" s="2800">
        <f t="shared" ref="AX25:BE25" si="91">SUM(AX23:AX24)</f>
        <v>5984.55</v>
      </c>
      <c r="AY25" s="6051">
        <f t="shared" si="91"/>
        <v>896</v>
      </c>
      <c r="AZ25" s="3091">
        <f t="shared" si="91"/>
        <v>17374.5</v>
      </c>
      <c r="BA25" s="3891">
        <f t="shared" si="91"/>
        <v>6460</v>
      </c>
      <c r="BB25" s="3091">
        <f t="shared" si="44"/>
        <v>35135.100000000006</v>
      </c>
      <c r="BC25" s="3891">
        <f t="shared" si="45"/>
        <v>14852</v>
      </c>
      <c r="BD25" s="6695">
        <f t="shared" si="91"/>
        <v>67385.346000000005</v>
      </c>
      <c r="BE25" s="6684">
        <f t="shared" si="91"/>
        <v>42032.1</v>
      </c>
    </row>
    <row r="26" spans="1:57" x14ac:dyDescent="0.2">
      <c r="A26" s="3378" t="s">
        <v>1024</v>
      </c>
      <c r="B26" s="1540" t="s">
        <v>636</v>
      </c>
      <c r="C26" s="1541" t="s">
        <v>170</v>
      </c>
      <c r="D26" s="6320">
        <f>+D13*D36/100</f>
        <v>401.79199999999992</v>
      </c>
      <c r="E26" s="3834">
        <v>397.8</v>
      </c>
      <c r="F26" s="6320">
        <f>+F13*F36/100</f>
        <v>455.28399999999999</v>
      </c>
      <c r="G26" s="1683">
        <v>451</v>
      </c>
      <c r="H26" s="6314">
        <f>+D26+F26</f>
        <v>857.07599999999991</v>
      </c>
      <c r="I26" s="1906">
        <f>+E26+G26</f>
        <v>848.8</v>
      </c>
      <c r="J26" s="6320">
        <f>+J13*J36/100</f>
        <v>475.75199999999995</v>
      </c>
      <c r="K26" s="1683">
        <v>466.2</v>
      </c>
      <c r="L26" s="6315">
        <f>+H26+J26</f>
        <v>1332.828</v>
      </c>
      <c r="M26" s="2070">
        <f>+I26+K26</f>
        <v>1315</v>
      </c>
      <c r="N26" s="6320">
        <f>+N13*N36/100</f>
        <v>527.86799999999994</v>
      </c>
      <c r="O26" s="3183">
        <v>516</v>
      </c>
      <c r="P26" s="6314">
        <f>+L26+N26</f>
        <v>1860.6959999999999</v>
      </c>
      <c r="Q26" s="1906">
        <f>+M26+O26</f>
        <v>1831</v>
      </c>
      <c r="R26" s="6320">
        <f>+R13*R36/100</f>
        <v>527.86799999999994</v>
      </c>
      <c r="S26" s="3183">
        <v>532</v>
      </c>
      <c r="T26" s="6314">
        <f>+P26+R26</f>
        <v>2388.5639999999999</v>
      </c>
      <c r="U26" s="1906">
        <f>+Q26+S26</f>
        <v>2363</v>
      </c>
      <c r="V26" s="6550">
        <f>+V13*V36/100</f>
        <v>510.84</v>
      </c>
      <c r="W26" s="3183">
        <v>505</v>
      </c>
      <c r="X26" s="3046">
        <f t="shared" ref="X26:X27" si="92">+N26+R26+V26</f>
        <v>1566.5759999999998</v>
      </c>
      <c r="Y26" s="2070">
        <f t="shared" ref="Y26:Y27" si="93">+O26+S26+W26</f>
        <v>1553</v>
      </c>
      <c r="Z26" s="6547">
        <f>+T26+V26</f>
        <v>2899.404</v>
      </c>
      <c r="AA26" s="6692">
        <f>+U26+W26</f>
        <v>2868</v>
      </c>
      <c r="AB26" s="7324">
        <f>+AB13*AB36/100</f>
        <v>527.86799999999994</v>
      </c>
      <c r="AC26" s="3183">
        <v>540</v>
      </c>
      <c r="AD26" s="7325">
        <f>+Z26+AB26</f>
        <v>3427.2719999999999</v>
      </c>
      <c r="AE26" s="1906">
        <f>+AA26+AC26</f>
        <v>3408</v>
      </c>
      <c r="AF26" s="7553">
        <f>+AF13*AF36/100</f>
        <v>510.84</v>
      </c>
      <c r="AG26" s="3183">
        <v>505</v>
      </c>
      <c r="AH26" s="7554">
        <f>+AD26+AF26</f>
        <v>3938.1120000000001</v>
      </c>
      <c r="AI26" s="1906">
        <f>+AE26+AG26</f>
        <v>3913</v>
      </c>
      <c r="AJ26" s="7697">
        <f>+AJ13*AJ36/100</f>
        <v>527.86799999999994</v>
      </c>
      <c r="AK26" s="3183">
        <v>484</v>
      </c>
      <c r="AL26" s="3046">
        <f t="shared" ref="AL26:AL27" si="94">+AB26+AF26+AJ26</f>
        <v>1566.5759999999998</v>
      </c>
      <c r="AM26" s="2070">
        <f t="shared" ref="AM26:AM27" si="95">+AC26+AG26+AK26</f>
        <v>1529</v>
      </c>
      <c r="AN26" s="7701">
        <f>+AH26+AJ26</f>
        <v>4465.9799999999996</v>
      </c>
      <c r="AO26" s="1906">
        <f>+AI26+AK26</f>
        <v>4397</v>
      </c>
      <c r="AP26" s="8021">
        <f>+AP13*AP36/100</f>
        <v>527.86799999999994</v>
      </c>
      <c r="AQ26" s="3183">
        <v>463</v>
      </c>
      <c r="AR26" s="8017">
        <f>+AN26+AP26</f>
        <v>4993.848</v>
      </c>
      <c r="AS26" s="1906">
        <f>+AO26+AQ26</f>
        <v>4860</v>
      </c>
      <c r="AT26" s="8144">
        <f>+AT13*AT36/100</f>
        <v>476.78399999999999</v>
      </c>
      <c r="AU26" s="3183">
        <v>417</v>
      </c>
      <c r="AV26" s="8149">
        <f>+AR26+AT26</f>
        <v>5470.6319999999996</v>
      </c>
      <c r="AW26" s="1906">
        <f>+AS26+AU26</f>
        <v>5277</v>
      </c>
      <c r="AX26" s="8261">
        <f>+AX13*AX36/100</f>
        <v>527.86799999999994</v>
      </c>
      <c r="AY26" s="3183">
        <v>461</v>
      </c>
      <c r="AZ26" s="3046">
        <f t="shared" ref="AZ26:AZ27" si="96">+AP26+AT26+AX26</f>
        <v>1532.52</v>
      </c>
      <c r="BA26" s="2070">
        <f t="shared" ref="BA26:BA27" si="97">+AQ26+AU26+AY26</f>
        <v>1341</v>
      </c>
      <c r="BB26" s="3046">
        <f t="shared" si="44"/>
        <v>3099.0959999999995</v>
      </c>
      <c r="BC26" s="2070">
        <f t="shared" si="45"/>
        <v>2870</v>
      </c>
      <c r="BD26" s="8280">
        <f>+AV26+AX26</f>
        <v>5998.5</v>
      </c>
      <c r="BE26" s="6692">
        <f>+AW26+AY26</f>
        <v>5738</v>
      </c>
    </row>
    <row r="27" spans="1:57" ht="16" thickBot="1" x14ac:dyDescent="0.25">
      <c r="A27" s="3378" t="s">
        <v>1024</v>
      </c>
      <c r="B27" s="1546" t="s">
        <v>637</v>
      </c>
      <c r="C27" s="1547" t="s">
        <v>170</v>
      </c>
      <c r="D27" s="6333">
        <f>+D14*D36/100</f>
        <v>736.06150000000014</v>
      </c>
      <c r="E27" s="2818">
        <v>730.3</v>
      </c>
      <c r="F27" s="6333">
        <f>+F14*F36/100</f>
        <v>734.79949999999997</v>
      </c>
      <c r="G27" s="1676">
        <v>728</v>
      </c>
      <c r="H27" s="6314">
        <f>+D27+F27</f>
        <v>1470.8610000000001</v>
      </c>
      <c r="I27" s="3870">
        <f>+E27+G27</f>
        <v>1458.3</v>
      </c>
      <c r="J27" s="6333">
        <f>+J14*J36/100</f>
        <v>818.7225000000002</v>
      </c>
      <c r="K27" s="1683">
        <v>802.3</v>
      </c>
      <c r="L27" s="6315">
        <f>+H27+J27</f>
        <v>2289.5835000000002</v>
      </c>
      <c r="M27" s="3892">
        <f>+I27+K27</f>
        <v>2260.6</v>
      </c>
      <c r="N27" s="6333">
        <f>+N14*N36/100</f>
        <v>968.26950000000011</v>
      </c>
      <c r="O27" s="3183">
        <v>886</v>
      </c>
      <c r="P27" s="6314">
        <f>+L27+N27</f>
        <v>3257.8530000000001</v>
      </c>
      <c r="Q27" s="3870">
        <f>+M27+O27</f>
        <v>3146.6</v>
      </c>
      <c r="R27" s="6333">
        <f>+R14*R36/100</f>
        <v>968.26950000000011</v>
      </c>
      <c r="S27" s="3183">
        <v>976</v>
      </c>
      <c r="T27" s="6314">
        <f>+P27+R27</f>
        <v>4226.1225000000004</v>
      </c>
      <c r="U27" s="3870">
        <f>+Q27+S27</f>
        <v>4122.6000000000004</v>
      </c>
      <c r="V27" s="6553">
        <f>+V14*V36/100</f>
        <v>937.0350000000002</v>
      </c>
      <c r="W27" s="3183">
        <v>791</v>
      </c>
      <c r="X27" s="3046">
        <f t="shared" si="92"/>
        <v>2873.5740000000005</v>
      </c>
      <c r="Y27" s="2070">
        <f t="shared" si="93"/>
        <v>2653</v>
      </c>
      <c r="Z27" s="6547">
        <f>+T27+V27</f>
        <v>5163.1575000000003</v>
      </c>
      <c r="AA27" s="6694">
        <f>+U27+W27</f>
        <v>4913.6000000000004</v>
      </c>
      <c r="AB27" s="7339">
        <f>+AB14*AB36/100</f>
        <v>968.26950000000011</v>
      </c>
      <c r="AC27" s="3183">
        <v>923</v>
      </c>
      <c r="AD27" s="7325">
        <f>+Z27+AB27</f>
        <v>6131.4270000000006</v>
      </c>
      <c r="AE27" s="3870">
        <f>+AA27+AC27</f>
        <v>5836.6</v>
      </c>
      <c r="AF27" s="7585">
        <f>+AF14*AF36/100</f>
        <v>937.0350000000002</v>
      </c>
      <c r="AG27" s="3183">
        <v>827</v>
      </c>
      <c r="AH27" s="7554">
        <f>+AD27+AF27</f>
        <v>7068.4620000000004</v>
      </c>
      <c r="AI27" s="3870">
        <f>+AE27+AG27</f>
        <v>6663.6</v>
      </c>
      <c r="AJ27" s="7736">
        <f>+AJ14*AJ36/100</f>
        <v>968.26950000000011</v>
      </c>
      <c r="AK27" s="3183">
        <v>886</v>
      </c>
      <c r="AL27" s="3046">
        <f t="shared" si="94"/>
        <v>2873.5740000000005</v>
      </c>
      <c r="AM27" s="2070">
        <f t="shared" si="95"/>
        <v>2636</v>
      </c>
      <c r="AN27" s="7701">
        <f>+AH27+AJ27</f>
        <v>8036.7315000000008</v>
      </c>
      <c r="AO27" s="3870">
        <f>+AI27+AK27</f>
        <v>7549.6</v>
      </c>
      <c r="AP27" s="8050">
        <f>+AP14*AP36/100</f>
        <v>968.26950000000011</v>
      </c>
      <c r="AQ27" s="3183">
        <v>847</v>
      </c>
      <c r="AR27" s="8017">
        <f>+AN27+AP27</f>
        <v>9005.0010000000002</v>
      </c>
      <c r="AS27" s="3870">
        <f>+AO27+AQ27</f>
        <v>8396.6</v>
      </c>
      <c r="AT27" s="8172">
        <f>+AT14*AT36/100</f>
        <v>874.56600000000003</v>
      </c>
      <c r="AU27" s="3183">
        <v>764</v>
      </c>
      <c r="AV27" s="8149">
        <f>+AR27+AT27</f>
        <v>9879.5670000000009</v>
      </c>
      <c r="AW27" s="3870">
        <f>+AS27+AU27</f>
        <v>9160.6</v>
      </c>
      <c r="AX27" s="8322">
        <f>+AX14*AX36/100</f>
        <v>968.26950000000011</v>
      </c>
      <c r="AY27" s="3183">
        <v>843</v>
      </c>
      <c r="AZ27" s="3046">
        <f t="shared" si="96"/>
        <v>2811.1050000000005</v>
      </c>
      <c r="BA27" s="2070">
        <f t="shared" si="97"/>
        <v>2454</v>
      </c>
      <c r="BB27" s="3046">
        <f t="shared" si="44"/>
        <v>5684.679000000001</v>
      </c>
      <c r="BC27" s="2070">
        <f t="shared" si="45"/>
        <v>5090</v>
      </c>
      <c r="BD27" s="8280">
        <f>+AV27+AX27</f>
        <v>10847.836500000001</v>
      </c>
      <c r="BE27" s="6694">
        <f>+AW27+AY27</f>
        <v>10003.6</v>
      </c>
    </row>
    <row r="28" spans="1:57" ht="16" thickBot="1" x14ac:dyDescent="0.25">
      <c r="A28" s="3378" t="s">
        <v>1024</v>
      </c>
      <c r="B28" s="1549" t="s">
        <v>614</v>
      </c>
      <c r="C28" s="1550" t="s">
        <v>170</v>
      </c>
      <c r="D28" s="2800">
        <f t="shared" ref="D28" si="98">SUM(D26:D27)</f>
        <v>1137.8535000000002</v>
      </c>
      <c r="E28" s="3838">
        <f t="shared" ref="E28:J28" si="99">SUM(E26:E27)</f>
        <v>1128.0999999999999</v>
      </c>
      <c r="F28" s="2800">
        <f t="shared" si="99"/>
        <v>1190.0835</v>
      </c>
      <c r="G28" s="3208">
        <f t="shared" si="99"/>
        <v>1179</v>
      </c>
      <c r="H28" s="2979">
        <f t="shared" si="99"/>
        <v>2327.9369999999999</v>
      </c>
      <c r="I28" s="3869">
        <f t="shared" si="99"/>
        <v>2307.1</v>
      </c>
      <c r="J28" s="2800">
        <f t="shared" si="99"/>
        <v>1294.4745000000003</v>
      </c>
      <c r="K28" s="3208">
        <f t="shared" ref="K28:N28" si="100">SUM(K26:K27)</f>
        <v>1268.5</v>
      </c>
      <c r="L28" s="3091">
        <f t="shared" si="100"/>
        <v>3622.4115000000002</v>
      </c>
      <c r="M28" s="3891">
        <f t="shared" si="100"/>
        <v>3575.6</v>
      </c>
      <c r="N28" s="2800">
        <f t="shared" si="100"/>
        <v>1496.1375</v>
      </c>
      <c r="O28" s="3208">
        <f t="shared" ref="O28" si="101">SUM(O26:O27)</f>
        <v>1402</v>
      </c>
      <c r="P28" s="2979">
        <f t="shared" ref="P28:S28" si="102">SUM(P26:P27)</f>
        <v>5118.549</v>
      </c>
      <c r="Q28" s="3869">
        <f t="shared" si="102"/>
        <v>4977.6000000000004</v>
      </c>
      <c r="R28" s="2800">
        <f t="shared" si="102"/>
        <v>1496.1375</v>
      </c>
      <c r="S28" s="3208">
        <f t="shared" si="102"/>
        <v>1508</v>
      </c>
      <c r="T28" s="2979">
        <f t="shared" ref="T28:Y28" si="103">SUM(T26:T27)</f>
        <v>6614.6864999999998</v>
      </c>
      <c r="U28" s="3869">
        <f t="shared" si="103"/>
        <v>6485.6</v>
      </c>
      <c r="V28" s="2800">
        <f t="shared" si="103"/>
        <v>1447.8750000000002</v>
      </c>
      <c r="W28" s="3208">
        <f t="shared" si="103"/>
        <v>1296</v>
      </c>
      <c r="X28" s="3091">
        <f t="shared" si="103"/>
        <v>4440.1500000000005</v>
      </c>
      <c r="Y28" s="3891">
        <f t="shared" si="103"/>
        <v>4206</v>
      </c>
      <c r="Z28" s="6695">
        <f t="shared" ref="Z28:AM28" si="104">SUM(Z26:Z27)</f>
        <v>8062.5614999999998</v>
      </c>
      <c r="AA28" s="6684">
        <f t="shared" si="104"/>
        <v>7781.6</v>
      </c>
      <c r="AB28" s="2800">
        <f t="shared" si="104"/>
        <v>1496.1375</v>
      </c>
      <c r="AC28" s="3208">
        <f t="shared" si="104"/>
        <v>1463</v>
      </c>
      <c r="AD28" s="2979">
        <f t="shared" si="104"/>
        <v>9558.6990000000005</v>
      </c>
      <c r="AE28" s="3869">
        <f t="shared" si="104"/>
        <v>9244.6</v>
      </c>
      <c r="AF28" s="2800">
        <f t="shared" si="104"/>
        <v>1447.8750000000002</v>
      </c>
      <c r="AG28" s="3208">
        <f t="shared" si="104"/>
        <v>1332</v>
      </c>
      <c r="AH28" s="2979">
        <f t="shared" si="104"/>
        <v>11006.574000000001</v>
      </c>
      <c r="AI28" s="3869">
        <f t="shared" si="104"/>
        <v>10576.6</v>
      </c>
      <c r="AJ28" s="2800">
        <f t="shared" si="104"/>
        <v>1496.1375</v>
      </c>
      <c r="AK28" s="3208">
        <f t="shared" si="104"/>
        <v>1370</v>
      </c>
      <c r="AL28" s="3091">
        <f t="shared" si="104"/>
        <v>4440.1500000000005</v>
      </c>
      <c r="AM28" s="3891">
        <f t="shared" si="104"/>
        <v>4165</v>
      </c>
      <c r="AN28" s="2979">
        <f t="shared" ref="AN28:AS28" si="105">SUM(AN26:AN27)</f>
        <v>12502.711500000001</v>
      </c>
      <c r="AO28" s="3869">
        <f t="shared" si="105"/>
        <v>11946.6</v>
      </c>
      <c r="AP28" s="2800">
        <f t="shared" si="105"/>
        <v>1496.1375</v>
      </c>
      <c r="AQ28" s="3208">
        <f t="shared" si="105"/>
        <v>1310</v>
      </c>
      <c r="AR28" s="2979">
        <f t="shared" si="105"/>
        <v>13998.849</v>
      </c>
      <c r="AS28" s="3869">
        <f t="shared" si="105"/>
        <v>13256.6</v>
      </c>
      <c r="AT28" s="2800">
        <f t="shared" ref="AT28:AW28" si="106">SUM(AT26:AT27)</f>
        <v>1351.35</v>
      </c>
      <c r="AU28" s="3208">
        <f t="shared" si="106"/>
        <v>1181</v>
      </c>
      <c r="AV28" s="2979">
        <f t="shared" si="106"/>
        <v>15350.199000000001</v>
      </c>
      <c r="AW28" s="3869">
        <f t="shared" si="106"/>
        <v>14437.6</v>
      </c>
      <c r="AX28" s="2800">
        <f t="shared" ref="AX28:BE28" si="107">SUM(AX26:AX27)</f>
        <v>1496.1375</v>
      </c>
      <c r="AY28" s="3208">
        <f t="shared" si="107"/>
        <v>1304</v>
      </c>
      <c r="AZ28" s="3091">
        <f t="shared" si="107"/>
        <v>4343.625</v>
      </c>
      <c r="BA28" s="3891">
        <f t="shared" si="107"/>
        <v>3795</v>
      </c>
      <c r="BB28" s="3091">
        <f t="shared" si="44"/>
        <v>8783.7750000000015</v>
      </c>
      <c r="BC28" s="3891">
        <f t="shared" si="45"/>
        <v>7960</v>
      </c>
      <c r="BD28" s="6695">
        <f t="shared" si="107"/>
        <v>16846.336500000001</v>
      </c>
      <c r="BE28" s="6684">
        <f t="shared" si="107"/>
        <v>15741.6</v>
      </c>
    </row>
    <row r="29" spans="1:57" s="3911" customFormat="1" x14ac:dyDescent="0.2">
      <c r="A29" s="3911" t="s">
        <v>1024</v>
      </c>
      <c r="B29" s="1691" t="s">
        <v>638</v>
      </c>
      <c r="C29" s="1692" t="s">
        <v>170</v>
      </c>
      <c r="D29" s="2704">
        <f t="shared" ref="D29" si="108">+D17+D20+D23+D26</f>
        <v>30536.191999999995</v>
      </c>
      <c r="E29" s="3834">
        <f t="shared" ref="E29:G30" si="109">+E17+E20+E23+E26</f>
        <v>30536.2</v>
      </c>
      <c r="F29" s="2704">
        <f t="shared" si="109"/>
        <v>34601.584000000003</v>
      </c>
      <c r="G29" s="2101">
        <f t="shared" si="109"/>
        <v>34602</v>
      </c>
      <c r="H29" s="4366">
        <f>+D29+F29</f>
        <v>65137.775999999998</v>
      </c>
      <c r="I29" s="1906">
        <f>+E29+G29</f>
        <v>65138.2</v>
      </c>
      <c r="J29" s="2704">
        <f t="shared" ref="J29" si="110">+J17+J20+J23+J26</f>
        <v>36157.152000000002</v>
      </c>
      <c r="K29" s="2101">
        <f t="shared" ref="K29" si="111">+K17+K20+K23+K26</f>
        <v>36157.1</v>
      </c>
      <c r="L29" s="3046">
        <f>+H29+J29</f>
        <v>101294.928</v>
      </c>
      <c r="M29" s="2070">
        <f>+I29+K29</f>
        <v>101295.29999999999</v>
      </c>
      <c r="N29" s="2704">
        <f t="shared" ref="N29" si="112">+N17+N20+N23+N26</f>
        <v>40117.968000000001</v>
      </c>
      <c r="O29" s="2101">
        <f t="shared" ref="O29" si="113">+O17+O20+O23+O26</f>
        <v>39333</v>
      </c>
      <c r="P29" s="4366">
        <f>+L29+N29</f>
        <v>141412.89600000001</v>
      </c>
      <c r="Q29" s="1906">
        <f>+M29+O29</f>
        <v>140628.29999999999</v>
      </c>
      <c r="R29" s="2704">
        <f t="shared" ref="R29:S29" si="114">+R17+R20+R23+R26</f>
        <v>40117.968000000001</v>
      </c>
      <c r="S29" s="2101">
        <f t="shared" si="114"/>
        <v>40091</v>
      </c>
      <c r="T29" s="4366">
        <f>+P29+R29</f>
        <v>181530.864</v>
      </c>
      <c r="U29" s="1906">
        <f>+Q29+S29</f>
        <v>180719.3</v>
      </c>
      <c r="V29" s="2704">
        <f t="shared" ref="V29:W29" si="115">+V17+V20+V23+V26</f>
        <v>38823.839999999997</v>
      </c>
      <c r="W29" s="2101">
        <f t="shared" si="115"/>
        <v>38367</v>
      </c>
      <c r="X29" s="3046">
        <f t="shared" ref="X29:X30" si="116">+N29+R29+V29</f>
        <v>119059.776</v>
      </c>
      <c r="Y29" s="2070">
        <f t="shared" ref="Y29:Y30" si="117">+O29+S29+W29</f>
        <v>117791</v>
      </c>
      <c r="Z29" s="6691">
        <f>+T29+V29</f>
        <v>220354.704</v>
      </c>
      <c r="AA29" s="6692">
        <f>+U29+W29</f>
        <v>219086.3</v>
      </c>
      <c r="AB29" s="2704">
        <f t="shared" ref="AB29:AC29" si="118">+AB17+AB20+AB23+AB26</f>
        <v>40117.968000000001</v>
      </c>
      <c r="AC29" s="2101">
        <f t="shared" si="118"/>
        <v>39988</v>
      </c>
      <c r="AD29" s="4366">
        <f>+Z29+AB29</f>
        <v>260472.67199999999</v>
      </c>
      <c r="AE29" s="1906">
        <f>+AA29+AC29</f>
        <v>259074.3</v>
      </c>
      <c r="AF29" s="2704">
        <f t="shared" ref="AF29:AG29" si="119">+AF17+AF20+AF23+AF26</f>
        <v>38823.839999999997</v>
      </c>
      <c r="AG29" s="2101">
        <f t="shared" si="119"/>
        <v>38968</v>
      </c>
      <c r="AH29" s="4366">
        <f>+AD29+AF29</f>
        <v>299296.51199999999</v>
      </c>
      <c r="AI29" s="1906">
        <f>+AE29+AG29</f>
        <v>298042.3</v>
      </c>
      <c r="AJ29" s="2704">
        <f t="shared" ref="AJ29:AK29" si="120">+AJ17+AJ20+AJ23+AJ26</f>
        <v>40117.968000000001</v>
      </c>
      <c r="AK29" s="2101">
        <f t="shared" si="120"/>
        <v>40170</v>
      </c>
      <c r="AL29" s="3046">
        <f t="shared" ref="AL29:AL30" si="121">+AB29+AF29+AJ29</f>
        <v>119059.77599999998</v>
      </c>
      <c r="AM29" s="2070">
        <f t="shared" ref="AM29:AM30" si="122">+AC29+AG29+AK29</f>
        <v>119126</v>
      </c>
      <c r="AN29" s="4366">
        <f>+AH29+AJ29</f>
        <v>339414.48</v>
      </c>
      <c r="AO29" s="1906">
        <f>+AI29+AK29</f>
        <v>338212.3</v>
      </c>
      <c r="AP29" s="2704">
        <f t="shared" ref="AP29:AQ29" si="123">+AP17+AP20+AP23+AP26</f>
        <v>40117.968000000001</v>
      </c>
      <c r="AQ29" s="2101">
        <f t="shared" si="123"/>
        <v>40171</v>
      </c>
      <c r="AR29" s="4366">
        <f>+AN29+AP29</f>
        <v>379532.44799999997</v>
      </c>
      <c r="AS29" s="1906">
        <f>+AO29+AQ29</f>
        <v>378383.3</v>
      </c>
      <c r="AT29" s="2704">
        <f t="shared" ref="AT29:AU29" si="124">+AT17+AT20+AT23+AT26</f>
        <v>36235.583999999995</v>
      </c>
      <c r="AU29" s="2101">
        <f t="shared" si="124"/>
        <v>36287</v>
      </c>
      <c r="AV29" s="4366">
        <f>+AR29+AT29</f>
        <v>415768.03199999995</v>
      </c>
      <c r="AW29" s="1906">
        <f>+AS29+AU29</f>
        <v>414670.3</v>
      </c>
      <c r="AX29" s="2704">
        <f t="shared" ref="AX29:AY29" si="125">+AX17+AX20+AX23+AX26</f>
        <v>40117.968000000001</v>
      </c>
      <c r="AY29" s="2101">
        <f t="shared" si="125"/>
        <v>40236</v>
      </c>
      <c r="AZ29" s="3046">
        <f t="shared" ref="AZ29:AZ30" si="126">+AP29+AT29+AX29</f>
        <v>116471.51999999999</v>
      </c>
      <c r="BA29" s="2070">
        <f t="shared" ref="BA29:BA30" si="127">+AQ29+AU29+AY29</f>
        <v>116694</v>
      </c>
      <c r="BB29" s="3046">
        <f t="shared" si="44"/>
        <v>235531.29599999997</v>
      </c>
      <c r="BC29" s="2070">
        <f t="shared" si="45"/>
        <v>235820</v>
      </c>
      <c r="BD29" s="6691">
        <f>+AV29+AX29</f>
        <v>455885.99999999994</v>
      </c>
      <c r="BE29" s="6692">
        <f>+AW29+AY29</f>
        <v>454906.3</v>
      </c>
    </row>
    <row r="30" spans="1:57" s="3911" customFormat="1" ht="16" thickBot="1" x14ac:dyDescent="0.25">
      <c r="A30" s="3911" t="s">
        <v>1024</v>
      </c>
      <c r="B30" s="1693" t="s">
        <v>639</v>
      </c>
      <c r="C30" s="1694" t="s">
        <v>170</v>
      </c>
      <c r="D30" s="6330">
        <f t="shared" ref="D30" si="128">+D18+D21+D24+D27</f>
        <v>55940.674000000006</v>
      </c>
      <c r="E30" s="2717">
        <f t="shared" si="109"/>
        <v>55940.700000000004</v>
      </c>
      <c r="F30" s="6330">
        <f t="shared" si="109"/>
        <v>55844.762000000002</v>
      </c>
      <c r="G30" s="1680">
        <f t="shared" si="109"/>
        <v>55845</v>
      </c>
      <c r="H30" s="4365">
        <f>+D30+F30</f>
        <v>111785.43600000002</v>
      </c>
      <c r="I30" s="3870">
        <f>+E30+G30</f>
        <v>111785.70000000001</v>
      </c>
      <c r="J30" s="6330">
        <f t="shared" ref="J30" si="129">+J18+J21+J24+J27</f>
        <v>62222.910000000011</v>
      </c>
      <c r="K30" s="1680">
        <f t="shared" ref="K30" si="130">+K18+K21+K24+K27</f>
        <v>62222.9</v>
      </c>
      <c r="L30" s="3776">
        <f>+H30+J30</f>
        <v>174008.34600000002</v>
      </c>
      <c r="M30" s="3892">
        <f>+I30+K30</f>
        <v>174008.6</v>
      </c>
      <c r="N30" s="6330">
        <f t="shared" ref="N30" si="131">+N18+N21+N24+N27</f>
        <v>73588.482000000004</v>
      </c>
      <c r="O30" s="1680">
        <f t="shared" ref="O30" si="132">+O18+O21+O24+O27</f>
        <v>67523</v>
      </c>
      <c r="P30" s="4365">
        <f>+L30+N30</f>
        <v>247596.82800000004</v>
      </c>
      <c r="Q30" s="3870">
        <f>+M30+O30</f>
        <v>241531.6</v>
      </c>
      <c r="R30" s="6330">
        <f t="shared" ref="R30:S30" si="133">+R18+R21+R24+R27</f>
        <v>73588.482000000004</v>
      </c>
      <c r="S30" s="1680">
        <f t="shared" si="133"/>
        <v>73541</v>
      </c>
      <c r="T30" s="4365">
        <f>+P30+R30</f>
        <v>321185.31000000006</v>
      </c>
      <c r="U30" s="3870">
        <f>+Q30+S30</f>
        <v>315072.59999999998</v>
      </c>
      <c r="V30" s="6555">
        <f t="shared" ref="V30:W30" si="134">+V18+V21+V24+V27</f>
        <v>71214.660000000018</v>
      </c>
      <c r="W30" s="1680">
        <f t="shared" si="134"/>
        <v>60137</v>
      </c>
      <c r="X30" s="3046">
        <f t="shared" si="116"/>
        <v>218391.62400000001</v>
      </c>
      <c r="Y30" s="2070">
        <f t="shared" si="117"/>
        <v>201201</v>
      </c>
      <c r="Z30" s="6693">
        <f>+T30+V30</f>
        <v>392399.97000000009</v>
      </c>
      <c r="AA30" s="6694">
        <f>+U30+W30</f>
        <v>375209.6</v>
      </c>
      <c r="AB30" s="7338">
        <f t="shared" ref="AB30:AC30" si="135">+AB18+AB21+AB24+AB27</f>
        <v>73588.482000000004</v>
      </c>
      <c r="AC30" s="1680">
        <f t="shared" si="135"/>
        <v>68386</v>
      </c>
      <c r="AD30" s="4365">
        <f>+Z30+AB30</f>
        <v>465988.45200000011</v>
      </c>
      <c r="AE30" s="3870">
        <f>+AA30+AC30</f>
        <v>443595.6</v>
      </c>
      <c r="AF30" s="7365">
        <f t="shared" ref="AF30:AG30" si="136">+AF18+AF21+AF24+AF27</f>
        <v>71214.660000000018</v>
      </c>
      <c r="AG30" s="1680">
        <f t="shared" si="136"/>
        <v>63758</v>
      </c>
      <c r="AH30" s="4365">
        <f>+AD30+AF30</f>
        <v>537203.11200000008</v>
      </c>
      <c r="AI30" s="3870">
        <f>+AE30+AG30</f>
        <v>507353.59999999998</v>
      </c>
      <c r="AJ30" s="7365">
        <f t="shared" ref="AJ30:AK30" si="137">+AJ18+AJ21+AJ24+AJ27</f>
        <v>73588.482000000004</v>
      </c>
      <c r="AK30" s="1680">
        <f t="shared" si="137"/>
        <v>73468</v>
      </c>
      <c r="AL30" s="3046">
        <f t="shared" si="121"/>
        <v>218391.62400000001</v>
      </c>
      <c r="AM30" s="2070">
        <f t="shared" si="122"/>
        <v>205612</v>
      </c>
      <c r="AN30" s="4365">
        <f>+AH30+AJ30</f>
        <v>610791.59400000004</v>
      </c>
      <c r="AO30" s="3870">
        <f>+AI30+AK30</f>
        <v>580821.6</v>
      </c>
      <c r="AP30" s="7365">
        <f t="shared" ref="AP30:AQ30" si="138">+AP18+AP21+AP24+AP27</f>
        <v>73588.482000000004</v>
      </c>
      <c r="AQ30" s="1680">
        <f t="shared" si="138"/>
        <v>73588</v>
      </c>
      <c r="AR30" s="4365">
        <f>+AN30+AP30</f>
        <v>684380.076</v>
      </c>
      <c r="AS30" s="3870">
        <f>+AO30+AQ30</f>
        <v>654409.6</v>
      </c>
      <c r="AT30" s="7365">
        <f t="shared" ref="AT30:AU30" si="139">+AT18+AT21+AT24+AT27</f>
        <v>66467.016000000018</v>
      </c>
      <c r="AU30" s="1680">
        <f t="shared" si="139"/>
        <v>66467</v>
      </c>
      <c r="AV30" s="4365">
        <f>+AR30+AT30</f>
        <v>750847.09200000006</v>
      </c>
      <c r="AW30" s="3870">
        <f>+AS30+AU30</f>
        <v>720876.6</v>
      </c>
      <c r="AX30" s="7365">
        <f t="shared" ref="AX30:AY30" si="140">+AX18+AX21+AX24+AX27</f>
        <v>73588.482000000004</v>
      </c>
      <c r="AY30" s="1680">
        <f t="shared" si="140"/>
        <v>73612</v>
      </c>
      <c r="AZ30" s="3046">
        <f t="shared" si="126"/>
        <v>213643.98000000004</v>
      </c>
      <c r="BA30" s="2070">
        <f t="shared" si="127"/>
        <v>213667</v>
      </c>
      <c r="BB30" s="3046">
        <f t="shared" si="44"/>
        <v>432035.60400000005</v>
      </c>
      <c r="BC30" s="2070">
        <f t="shared" si="45"/>
        <v>419279</v>
      </c>
      <c r="BD30" s="6693">
        <f>+AV30+AX30</f>
        <v>824435.57400000002</v>
      </c>
      <c r="BE30" s="6694">
        <f>+AW30+AY30</f>
        <v>794488.6</v>
      </c>
    </row>
    <row r="31" spans="1:57" s="3911" customFormat="1" ht="16" thickBot="1" x14ac:dyDescent="0.25">
      <c r="A31" s="3911" t="s">
        <v>1024</v>
      </c>
      <c r="B31" s="1695" t="s">
        <v>615</v>
      </c>
      <c r="C31" s="1696" t="s">
        <v>170</v>
      </c>
      <c r="D31" s="2800">
        <f t="shared" ref="D31" si="141">SUM(D29:D30)</f>
        <v>86476.866000000009</v>
      </c>
      <c r="E31" s="3838">
        <f t="shared" ref="E31:I31" si="142">SUM(E29:E30)</f>
        <v>86476.900000000009</v>
      </c>
      <c r="F31" s="2800">
        <f t="shared" ref="F31" si="143">SUM(F29:F30)</f>
        <v>90446.346000000005</v>
      </c>
      <c r="G31" s="3207">
        <f t="shared" si="142"/>
        <v>90447</v>
      </c>
      <c r="H31" s="6319">
        <f t="shared" si="142"/>
        <v>176923.212</v>
      </c>
      <c r="I31" s="3869">
        <f t="shared" si="142"/>
        <v>176923.90000000002</v>
      </c>
      <c r="J31" s="2800">
        <f t="shared" ref="J31" si="144">SUM(J29:J30)</f>
        <v>98380.062000000005</v>
      </c>
      <c r="K31" s="3207">
        <f t="shared" ref="K31:N31" si="145">SUM(K29:K30)</f>
        <v>98380</v>
      </c>
      <c r="L31" s="6322">
        <f t="shared" si="145"/>
        <v>275303.27400000003</v>
      </c>
      <c r="M31" s="3891">
        <f t="shared" si="145"/>
        <v>275303.90000000002</v>
      </c>
      <c r="N31" s="2800">
        <f t="shared" si="145"/>
        <v>113706.45000000001</v>
      </c>
      <c r="O31" s="3207">
        <f t="shared" ref="O31" si="146">SUM(O29:O30)</f>
        <v>106856</v>
      </c>
      <c r="P31" s="6319">
        <f t="shared" ref="P31:S31" si="147">SUM(P29:P30)</f>
        <v>389009.72400000005</v>
      </c>
      <c r="Q31" s="3869">
        <f t="shared" si="147"/>
        <v>382159.9</v>
      </c>
      <c r="R31" s="2800">
        <f t="shared" si="147"/>
        <v>113706.45000000001</v>
      </c>
      <c r="S31" s="3207">
        <f t="shared" si="147"/>
        <v>113632</v>
      </c>
      <c r="T31" s="6319">
        <f t="shared" ref="T31:Y31" si="148">SUM(T29:T30)</f>
        <v>502716.17400000006</v>
      </c>
      <c r="U31" s="3869">
        <f t="shared" si="148"/>
        <v>495791.89999999997</v>
      </c>
      <c r="V31" s="2800">
        <f t="shared" si="148"/>
        <v>110038.50000000001</v>
      </c>
      <c r="W31" s="3207">
        <f t="shared" si="148"/>
        <v>98504</v>
      </c>
      <c r="X31" s="6546">
        <f t="shared" si="148"/>
        <v>337451.4</v>
      </c>
      <c r="Y31" s="3891">
        <f t="shared" si="148"/>
        <v>318992</v>
      </c>
      <c r="Z31" s="6549">
        <f t="shared" ref="Z31:AM31" si="149">SUM(Z29:Z30)</f>
        <v>612754.67400000012</v>
      </c>
      <c r="AA31" s="6684">
        <f t="shared" si="149"/>
        <v>594295.89999999991</v>
      </c>
      <c r="AB31" s="2800">
        <f t="shared" si="149"/>
        <v>113706.45000000001</v>
      </c>
      <c r="AC31" s="3207">
        <f t="shared" si="149"/>
        <v>108374</v>
      </c>
      <c r="AD31" s="7322">
        <f t="shared" si="149"/>
        <v>726461.12400000007</v>
      </c>
      <c r="AE31" s="3869">
        <f t="shared" si="149"/>
        <v>702669.89999999991</v>
      </c>
      <c r="AF31" s="2800">
        <f t="shared" si="149"/>
        <v>110038.50000000001</v>
      </c>
      <c r="AG31" s="3207">
        <f t="shared" si="149"/>
        <v>102726</v>
      </c>
      <c r="AH31" s="7551">
        <f t="shared" si="149"/>
        <v>836499.62400000007</v>
      </c>
      <c r="AI31" s="3869">
        <f t="shared" si="149"/>
        <v>805395.89999999991</v>
      </c>
      <c r="AJ31" s="2800">
        <f t="shared" si="149"/>
        <v>113706.45000000001</v>
      </c>
      <c r="AK31" s="3207">
        <f t="shared" si="149"/>
        <v>113638</v>
      </c>
      <c r="AL31" s="7703">
        <f t="shared" si="149"/>
        <v>337451.4</v>
      </c>
      <c r="AM31" s="3891">
        <f t="shared" si="149"/>
        <v>324738</v>
      </c>
      <c r="AN31" s="7700">
        <f t="shared" ref="AN31:AS31" si="150">SUM(AN29:AN30)</f>
        <v>950206.07400000002</v>
      </c>
      <c r="AO31" s="3869">
        <f t="shared" si="150"/>
        <v>919033.89999999991</v>
      </c>
      <c r="AP31" s="2800">
        <f t="shared" si="150"/>
        <v>113706.45000000001</v>
      </c>
      <c r="AQ31" s="3207">
        <f t="shared" si="150"/>
        <v>113759</v>
      </c>
      <c r="AR31" s="8016">
        <f t="shared" si="150"/>
        <v>1063912.524</v>
      </c>
      <c r="AS31" s="3869">
        <f t="shared" si="150"/>
        <v>1032792.8999999999</v>
      </c>
      <c r="AT31" s="2800">
        <f t="shared" ref="AT31:AW31" si="151">SUM(AT29:AT30)</f>
        <v>102702.6</v>
      </c>
      <c r="AU31" s="3207">
        <f t="shared" si="151"/>
        <v>102754</v>
      </c>
      <c r="AV31" s="8148">
        <f t="shared" si="151"/>
        <v>1166615.1240000001</v>
      </c>
      <c r="AW31" s="3869">
        <f t="shared" si="151"/>
        <v>1135546.8999999999</v>
      </c>
      <c r="AX31" s="2800">
        <f t="shared" ref="AX31:BE31" si="152">SUM(AX29:AX30)</f>
        <v>113706.45000000001</v>
      </c>
      <c r="AY31" s="3207">
        <f t="shared" si="152"/>
        <v>113848</v>
      </c>
      <c r="AZ31" s="8271">
        <f t="shared" si="152"/>
        <v>330115.5</v>
      </c>
      <c r="BA31" s="3891">
        <f t="shared" si="152"/>
        <v>330361</v>
      </c>
      <c r="BB31" s="8271">
        <f t="shared" si="44"/>
        <v>667566.9</v>
      </c>
      <c r="BC31" s="3891">
        <f t="shared" si="45"/>
        <v>655099</v>
      </c>
      <c r="BD31" s="8281">
        <f t="shared" si="152"/>
        <v>1280321.574</v>
      </c>
      <c r="BE31" s="6684">
        <f t="shared" si="152"/>
        <v>1249394.8999999999</v>
      </c>
    </row>
    <row r="32" spans="1:57" s="3380" customFormat="1" ht="17" thickBot="1" x14ac:dyDescent="0.25">
      <c r="A32" s="3379" t="s">
        <v>1024</v>
      </c>
      <c r="B32" s="6815" t="s">
        <v>961</v>
      </c>
      <c r="C32" s="6816"/>
      <c r="D32" s="6817"/>
      <c r="E32" s="6811"/>
      <c r="F32" s="6817"/>
      <c r="G32" s="6818"/>
      <c r="H32" s="6813"/>
      <c r="I32" s="6814"/>
      <c r="J32" s="6813"/>
      <c r="K32" s="6814"/>
      <c r="L32" s="6813"/>
      <c r="M32" s="6814"/>
      <c r="N32" s="6813"/>
      <c r="O32" s="6814"/>
      <c r="P32" s="6813"/>
      <c r="Q32" s="6814"/>
      <c r="R32" s="6813"/>
      <c r="S32" s="6814"/>
      <c r="T32" s="6813"/>
      <c r="U32" s="6814"/>
      <c r="V32" s="6813"/>
      <c r="W32" s="6814"/>
      <c r="X32" s="6813"/>
      <c r="Y32" s="6814"/>
      <c r="Z32" s="6813"/>
      <c r="AA32" s="6814"/>
      <c r="AB32" s="6813"/>
      <c r="AC32" s="6814"/>
      <c r="AD32" s="6813"/>
      <c r="AE32" s="6814"/>
      <c r="AF32" s="6813"/>
      <c r="AG32" s="6814"/>
      <c r="AH32" s="6813"/>
      <c r="AI32" s="6814"/>
      <c r="AJ32" s="6813"/>
      <c r="AK32" s="6814"/>
      <c r="AL32" s="6813"/>
      <c r="AM32" s="6814"/>
      <c r="AN32" s="6813"/>
      <c r="AO32" s="6814"/>
      <c r="AP32" s="6813"/>
      <c r="AQ32" s="6814"/>
      <c r="AR32" s="6813"/>
      <c r="AS32" s="6814"/>
      <c r="AT32" s="6813"/>
      <c r="AU32" s="6814"/>
      <c r="AV32" s="6813"/>
      <c r="AW32" s="6814"/>
      <c r="AX32" s="6813"/>
      <c r="AY32" s="6814"/>
      <c r="AZ32" s="6813"/>
      <c r="BA32" s="6814"/>
      <c r="BB32" s="6813"/>
      <c r="BC32" s="6814"/>
      <c r="BD32" s="6813"/>
      <c r="BE32" s="6814"/>
    </row>
    <row r="33" spans="1:57" x14ac:dyDescent="0.2">
      <c r="A33" s="3378" t="s">
        <v>1024</v>
      </c>
      <c r="B33" s="1552" t="s">
        <v>102</v>
      </c>
      <c r="C33" s="1553" t="s">
        <v>169</v>
      </c>
      <c r="D33" s="2702">
        <v>71</v>
      </c>
      <c r="E33" s="3840">
        <f t="shared" ref="E33:I33" si="153">+E19/E15*100</f>
        <v>69.527316126373023</v>
      </c>
      <c r="F33" s="2702">
        <v>71</v>
      </c>
      <c r="G33" s="3215">
        <f t="shared" si="153"/>
        <v>70.013574677743193</v>
      </c>
      <c r="H33" s="2791">
        <f t="shared" si="153"/>
        <v>71</v>
      </c>
      <c r="I33" s="3871">
        <f t="shared" si="153"/>
        <v>69.775900292834379</v>
      </c>
      <c r="J33" s="2798">
        <v>71</v>
      </c>
      <c r="K33" s="3215">
        <f t="shared" ref="K33:M33" si="154">+K19/K15*100</f>
        <v>70.771343892830629</v>
      </c>
      <c r="L33" s="2877">
        <f>+L19/L15*100</f>
        <v>71</v>
      </c>
      <c r="M33" s="3893">
        <f t="shared" si="154"/>
        <v>70.131623643531384</v>
      </c>
      <c r="N33" s="2798">
        <v>71</v>
      </c>
      <c r="O33" s="3215">
        <f t="shared" ref="O33:Q33" si="155">+O19/O15*100</f>
        <v>70.863643993297273</v>
      </c>
      <c r="P33" s="2791">
        <f t="shared" si="155"/>
        <v>71.000000000000014</v>
      </c>
      <c r="Q33" s="3871">
        <f t="shared" si="155"/>
        <v>70.336304287192306</v>
      </c>
      <c r="R33" s="2798">
        <v>71</v>
      </c>
      <c r="S33" s="3215">
        <f t="shared" ref="S33:U33" si="156">+S19/S15*100</f>
        <v>71.724645314472511</v>
      </c>
      <c r="T33" s="2791">
        <f t="shared" si="156"/>
        <v>71</v>
      </c>
      <c r="U33" s="3871">
        <f t="shared" si="156"/>
        <v>70.654503592358182</v>
      </c>
      <c r="V33" s="2798">
        <v>71</v>
      </c>
      <c r="W33" s="3215">
        <f t="shared" ref="W33:AA33" si="157">+W19/W15*100</f>
        <v>73.252402989289351</v>
      </c>
      <c r="X33" s="2877">
        <f>+X19/X15*100</f>
        <v>71.000000000000014</v>
      </c>
      <c r="Y33" s="3893">
        <f t="shared" ref="Y33" si="158">+Y19/Y15*100</f>
        <v>71.907992192511642</v>
      </c>
      <c r="Z33" s="6696">
        <f t="shared" si="157"/>
        <v>71</v>
      </c>
      <c r="AA33" s="6697">
        <f t="shared" si="157"/>
        <v>71.085100331676671</v>
      </c>
      <c r="AB33" s="2798">
        <v>71</v>
      </c>
      <c r="AC33" s="3215">
        <f t="shared" ref="AC33:AE33" si="159">+AC19/AC15*100</f>
        <v>73.346685797718578</v>
      </c>
      <c r="AD33" s="2791">
        <f t="shared" si="159"/>
        <v>71.000000000000014</v>
      </c>
      <c r="AE33" s="3871">
        <f t="shared" si="159"/>
        <v>71.433905229482789</v>
      </c>
      <c r="AF33" s="2798">
        <v>71</v>
      </c>
      <c r="AG33" s="3215">
        <f t="shared" ref="AG33:AI33" si="160">+AG19/AG15*100</f>
        <v>72.794181022922771</v>
      </c>
      <c r="AH33" s="2791">
        <f t="shared" si="160"/>
        <v>71.000000000000014</v>
      </c>
      <c r="AI33" s="3871">
        <f t="shared" si="160"/>
        <v>71.607403967316301</v>
      </c>
      <c r="AJ33" s="2798">
        <v>71</v>
      </c>
      <c r="AK33" s="3215">
        <f t="shared" ref="AK33" si="161">+AK19/AK15*100</f>
        <v>72.028185291001904</v>
      </c>
      <c r="AL33" s="2877">
        <f>+AL19/AL15*100</f>
        <v>71.000000000000014</v>
      </c>
      <c r="AM33" s="3893">
        <f t="shared" ref="AM33:AO33" si="162">+AM19/AM15*100</f>
        <v>72.710511500700306</v>
      </c>
      <c r="AN33" s="2791">
        <f t="shared" si="162"/>
        <v>71</v>
      </c>
      <c r="AO33" s="3871">
        <f t="shared" si="162"/>
        <v>71.659433885224459</v>
      </c>
      <c r="AP33" s="2798">
        <v>71</v>
      </c>
      <c r="AQ33" s="3215">
        <f t="shared" ref="AQ33:AS33" si="163">+AQ19/AQ15*100</f>
        <v>71.950938836891808</v>
      </c>
      <c r="AR33" s="2791">
        <f t="shared" si="163"/>
        <v>71.000000000000014</v>
      </c>
      <c r="AS33" s="3871">
        <f t="shared" si="163"/>
        <v>71.69154229587933</v>
      </c>
      <c r="AT33" s="2798">
        <v>71</v>
      </c>
      <c r="AU33" s="2266">
        <f t="shared" ref="AU33:AW33" si="164">+AU19/AU15*100</f>
        <v>72.523849181753775</v>
      </c>
      <c r="AV33" s="2791">
        <f t="shared" si="164"/>
        <v>71.000000000000014</v>
      </c>
      <c r="AW33" s="8254">
        <f t="shared" si="164"/>
        <v>71.766857349684557</v>
      </c>
      <c r="AX33" s="2798">
        <v>71</v>
      </c>
      <c r="AY33" s="2266">
        <f t="shared" ref="AY33" si="165">+AY19/AY15*100</f>
        <v>74.244276205423091</v>
      </c>
      <c r="AZ33" s="2877">
        <f>+AZ19/AZ15*100</f>
        <v>71</v>
      </c>
      <c r="BA33" s="3893">
        <f t="shared" ref="BA33:BE33" si="166">+BA19/BA15*100</f>
        <v>72.919457231758656</v>
      </c>
      <c r="BB33" s="2877">
        <f t="shared" ref="BB33:BB52" si="167">+AL33+AZ33</f>
        <v>142</v>
      </c>
      <c r="BC33" s="3893">
        <f t="shared" ref="BC33:BC52" si="168">+AM33+BA33</f>
        <v>145.62996873245896</v>
      </c>
      <c r="BD33" s="6696">
        <f t="shared" si="166"/>
        <v>71.000000000000014</v>
      </c>
      <c r="BE33" s="6697">
        <f t="shared" si="166"/>
        <v>71.992606532473843</v>
      </c>
    </row>
    <row r="34" spans="1:57" x14ac:dyDescent="0.2">
      <c r="A34" s="3378" t="s">
        <v>1024</v>
      </c>
      <c r="B34" s="1543" t="s">
        <v>13</v>
      </c>
      <c r="C34" s="1544" t="s">
        <v>169</v>
      </c>
      <c r="D34" s="2680">
        <v>0</v>
      </c>
      <c r="E34" s="2723">
        <f t="shared" ref="E34:I34" si="169">+E22/E15*100</f>
        <v>0.79096298425060874</v>
      </c>
      <c r="F34" s="2680">
        <v>0</v>
      </c>
      <c r="G34" s="2559">
        <f t="shared" si="169"/>
        <v>0.40417332061153693</v>
      </c>
      <c r="H34" s="2794">
        <f t="shared" si="169"/>
        <v>0</v>
      </c>
      <c r="I34" s="2807">
        <f t="shared" si="169"/>
        <v>0.59322911229986031</v>
      </c>
      <c r="J34" s="2706">
        <v>0</v>
      </c>
      <c r="K34" s="2559">
        <f t="shared" ref="K34:M34" si="170">+K22/K15*100</f>
        <v>0.31487680908353155</v>
      </c>
      <c r="L34" s="2260">
        <f t="shared" si="170"/>
        <v>0</v>
      </c>
      <c r="M34" s="2888">
        <f t="shared" si="170"/>
        <v>0.49375947486915828</v>
      </c>
      <c r="N34" s="2706">
        <v>0</v>
      </c>
      <c r="O34" s="2559">
        <f t="shared" ref="O34:Q34" si="171">+O22/O15*100</f>
        <v>0.82503790906944263</v>
      </c>
      <c r="P34" s="2794">
        <f t="shared" si="171"/>
        <v>0</v>
      </c>
      <c r="Q34" s="2807">
        <f t="shared" si="171"/>
        <v>0.58638843411159502</v>
      </c>
      <c r="R34" s="2706">
        <v>0</v>
      </c>
      <c r="S34" s="2559">
        <f t="shared" ref="S34:U34" si="172">+S22/S15*100</f>
        <v>0.26351650740304144</v>
      </c>
      <c r="T34" s="2794">
        <f t="shared" si="172"/>
        <v>0</v>
      </c>
      <c r="U34" s="2807">
        <f t="shared" si="172"/>
        <v>0.51238815556512773</v>
      </c>
      <c r="V34" s="2706">
        <v>0</v>
      </c>
      <c r="W34" s="2559">
        <f t="shared" ref="W34:AA34" si="173">+W22/W15*100</f>
        <v>0.10030136703047772</v>
      </c>
      <c r="X34" s="2260">
        <f t="shared" si="173"/>
        <v>0</v>
      </c>
      <c r="Y34" s="2888">
        <f t="shared" si="173"/>
        <v>0.4012148423284041</v>
      </c>
      <c r="Z34" s="6612">
        <f t="shared" si="173"/>
        <v>0</v>
      </c>
      <c r="AA34" s="6686">
        <f t="shared" si="173"/>
        <v>0.44408557707850371</v>
      </c>
      <c r="AB34" s="2706">
        <v>0</v>
      </c>
      <c r="AC34" s="2559">
        <f t="shared" ref="AC34:AE34" si="174">+AC22/AC15*100</f>
        <v>0.12132228669368016</v>
      </c>
      <c r="AD34" s="2794">
        <f t="shared" si="174"/>
        <v>0</v>
      </c>
      <c r="AE34" s="2807">
        <f t="shared" si="174"/>
        <v>0.39430571325789154</v>
      </c>
      <c r="AF34" s="2706">
        <v>0</v>
      </c>
      <c r="AG34" s="2559">
        <f t="shared" ref="AG34:AI34" si="175">+AG22/AG15*100</f>
        <v>0.27669956604777945</v>
      </c>
      <c r="AH34" s="2794">
        <f t="shared" si="175"/>
        <v>0</v>
      </c>
      <c r="AI34" s="2807">
        <f t="shared" si="175"/>
        <v>0.37930543302000252</v>
      </c>
      <c r="AJ34" s="2706">
        <v>0</v>
      </c>
      <c r="AK34" s="2559">
        <f t="shared" ref="AK34:AO34" si="176">+AK22/AK15*100</f>
        <v>0.63735246594544859</v>
      </c>
      <c r="AL34" s="2260">
        <f t="shared" si="176"/>
        <v>0</v>
      </c>
      <c r="AM34" s="2888">
        <f t="shared" si="176"/>
        <v>0.35105386956733903</v>
      </c>
      <c r="AN34" s="2794">
        <f t="shared" si="176"/>
        <v>0</v>
      </c>
      <c r="AO34" s="2807">
        <f t="shared" si="176"/>
        <v>0.41121313705485119</v>
      </c>
      <c r="AP34" s="2706">
        <v>0</v>
      </c>
      <c r="AQ34" s="2559">
        <f t="shared" ref="AQ34:AS34" si="177">+AQ22/AQ15*100</f>
        <v>0.98207840526500934</v>
      </c>
      <c r="AR34" s="2794">
        <f t="shared" si="177"/>
        <v>0</v>
      </c>
      <c r="AS34" s="2807">
        <f t="shared" si="177"/>
        <v>0.47409226262530235</v>
      </c>
      <c r="AT34" s="2706">
        <v>0</v>
      </c>
      <c r="AU34" s="2559">
        <f t="shared" ref="AU34:AW34" si="178">+AU22/AU15*100</f>
        <v>0.91343586496829243</v>
      </c>
      <c r="AV34" s="2794">
        <f t="shared" si="178"/>
        <v>0</v>
      </c>
      <c r="AW34" s="2807">
        <f t="shared" si="178"/>
        <v>0.51384825601069151</v>
      </c>
      <c r="AX34" s="2706">
        <v>0</v>
      </c>
      <c r="AY34" s="2559">
        <f t="shared" ref="AY34:BE34" si="179">+AY22/AY15*100</f>
        <v>0.28704920757729802</v>
      </c>
      <c r="AZ34" s="2260">
        <f t="shared" si="179"/>
        <v>0</v>
      </c>
      <c r="BA34" s="2888">
        <f t="shared" si="179"/>
        <v>0.72120950630046088</v>
      </c>
      <c r="BB34" s="2260">
        <f t="shared" si="167"/>
        <v>0</v>
      </c>
      <c r="BC34" s="2888">
        <f t="shared" si="168"/>
        <v>1.0722633758678</v>
      </c>
      <c r="BD34" s="6612">
        <f t="shared" si="179"/>
        <v>0</v>
      </c>
      <c r="BE34" s="6686">
        <f t="shared" si="179"/>
        <v>0.49318170633838498</v>
      </c>
    </row>
    <row r="35" spans="1:57" x14ac:dyDescent="0.2">
      <c r="A35" s="3378" t="s">
        <v>1024</v>
      </c>
      <c r="B35" s="1543" t="s">
        <v>103</v>
      </c>
      <c r="C35" s="1544" t="s">
        <v>169</v>
      </c>
      <c r="D35" s="2680">
        <v>4</v>
      </c>
      <c r="E35" s="2723">
        <f t="shared" ref="E35:I35" si="180">+E25/E15*100</f>
        <v>4.6903226118300809</v>
      </c>
      <c r="F35" s="2680">
        <v>4</v>
      </c>
      <c r="G35" s="2559">
        <f t="shared" si="180"/>
        <v>4.5921147549730748</v>
      </c>
      <c r="H35" s="2794">
        <f t="shared" si="180"/>
        <v>3.9999999999999996</v>
      </c>
      <c r="I35" s="2807">
        <f t="shared" si="180"/>
        <v>4.6401169791106884</v>
      </c>
      <c r="J35" s="2706">
        <v>4</v>
      </c>
      <c r="K35" s="2559">
        <f t="shared" ref="K35:M35" si="181">+K25/K15*100</f>
        <v>3.933797073638762</v>
      </c>
      <c r="L35" s="2260">
        <f t="shared" si="181"/>
        <v>4</v>
      </c>
      <c r="M35" s="2888">
        <f t="shared" si="181"/>
        <v>4.3877124396275793</v>
      </c>
      <c r="N35" s="2706">
        <v>4</v>
      </c>
      <c r="O35" s="2559">
        <f t="shared" ref="O35:Q35" si="182">+O25/O15*100</f>
        <v>3.3143764278134502</v>
      </c>
      <c r="P35" s="2794">
        <f t="shared" si="182"/>
        <v>4</v>
      </c>
      <c r="Q35" s="2807">
        <f t="shared" si="182"/>
        <v>4.0875963214994009</v>
      </c>
      <c r="R35" s="2706">
        <v>4</v>
      </c>
      <c r="S35" s="2559">
        <f t="shared" ref="S35:U35" si="183">+S25/S15*100</f>
        <v>3.0030180665981119</v>
      </c>
      <c r="T35" s="2794">
        <f t="shared" si="183"/>
        <v>3.9999999999999996</v>
      </c>
      <c r="U35" s="2807">
        <f t="shared" si="183"/>
        <v>3.8390175931276889</v>
      </c>
      <c r="V35" s="2706">
        <v>4</v>
      </c>
      <c r="W35" s="2559">
        <f t="shared" ref="W35:AA35" si="184">+W25/W15*100</f>
        <v>1.6480286152084647</v>
      </c>
      <c r="X35" s="2260">
        <f t="shared" si="184"/>
        <v>4.0000000000000009</v>
      </c>
      <c r="Y35" s="2888">
        <f t="shared" si="184"/>
        <v>2.6889018471011688</v>
      </c>
      <c r="Z35" s="6612">
        <f t="shared" si="184"/>
        <v>4</v>
      </c>
      <c r="AA35" s="6686">
        <f t="shared" si="184"/>
        <v>3.4758654591808553</v>
      </c>
      <c r="AB35" s="2706">
        <v>4</v>
      </c>
      <c r="AC35" s="2559">
        <f t="shared" ref="AC35:AE35" si="185">+AC25/AC15*100</f>
        <v>1.50706123759953</v>
      </c>
      <c r="AD35" s="2794">
        <f t="shared" si="185"/>
        <v>4</v>
      </c>
      <c r="AE35" s="2807">
        <f t="shared" si="185"/>
        <v>3.1722162866776453</v>
      </c>
      <c r="AF35" s="2706">
        <v>4</v>
      </c>
      <c r="AG35" s="2559">
        <f t="shared" ref="AG35:AI35" si="186">+AG25/AG15*100</f>
        <v>1.9442953464533805</v>
      </c>
      <c r="AH35" s="2794">
        <f t="shared" si="186"/>
        <v>4.0000000000000009</v>
      </c>
      <c r="AI35" s="2807">
        <f t="shared" si="186"/>
        <v>3.0155989783967363</v>
      </c>
      <c r="AJ35" s="2706">
        <v>4</v>
      </c>
      <c r="AK35" s="2559">
        <f t="shared" ref="AK35:AO35" si="187">+AK25/AK15*100</f>
        <v>2.4176591441687267</v>
      </c>
      <c r="AL35" s="2260">
        <f t="shared" si="187"/>
        <v>4.0000000000000009</v>
      </c>
      <c r="AM35" s="2888">
        <f t="shared" si="187"/>
        <v>1.9640293822727393</v>
      </c>
      <c r="AN35" s="2794">
        <f t="shared" si="187"/>
        <v>4</v>
      </c>
      <c r="AO35" s="2807">
        <f t="shared" si="187"/>
        <v>2.9416632813073385</v>
      </c>
      <c r="AP35" s="2706">
        <v>4</v>
      </c>
      <c r="AQ35" s="2559">
        <f t="shared" ref="AQ35:AS35" si="188">+AQ25/AQ15*100</f>
        <v>2.1919722773295889</v>
      </c>
      <c r="AR35" s="2794">
        <f t="shared" si="188"/>
        <v>4</v>
      </c>
      <c r="AS35" s="2807">
        <f t="shared" si="188"/>
        <v>2.8590870283747454</v>
      </c>
      <c r="AT35" s="2706">
        <v>4</v>
      </c>
      <c r="AU35" s="2559">
        <f t="shared" ref="AU35:AW35" si="189">+AU25/AU15*100</f>
        <v>1.6885620078725601</v>
      </c>
      <c r="AV35" s="2794">
        <f t="shared" si="189"/>
        <v>4</v>
      </c>
      <c r="AW35" s="2807">
        <f t="shared" si="189"/>
        <v>2.7531667766074563</v>
      </c>
      <c r="AX35" s="2706">
        <v>4</v>
      </c>
      <c r="AY35" s="2559">
        <f t="shared" ref="AY35:BE35" si="190">+AY25/AY15*100</f>
        <v>0.59813044183548614</v>
      </c>
      <c r="AZ35" s="2260">
        <f t="shared" si="190"/>
        <v>4</v>
      </c>
      <c r="BA35" s="2888">
        <f t="shared" si="190"/>
        <v>1.4861286796494344</v>
      </c>
      <c r="BB35" s="2260">
        <f t="shared" si="167"/>
        <v>8</v>
      </c>
      <c r="BC35" s="2888">
        <f t="shared" si="168"/>
        <v>3.4501580619221737</v>
      </c>
      <c r="BD35" s="6612">
        <f t="shared" si="190"/>
        <v>4</v>
      </c>
      <c r="BE35" s="6686">
        <f t="shared" si="190"/>
        <v>2.5567939709637422</v>
      </c>
    </row>
    <row r="36" spans="1:57" ht="16" thickBot="1" x14ac:dyDescent="0.25">
      <c r="A36" s="3378" t="s">
        <v>1024</v>
      </c>
      <c r="B36" s="1546" t="s">
        <v>663</v>
      </c>
      <c r="C36" s="1547" t="s">
        <v>169</v>
      </c>
      <c r="D36" s="2696">
        <v>1</v>
      </c>
      <c r="E36" s="3841">
        <f t="shared" ref="E36:I36" si="191">+E28/E15*100</f>
        <v>0.99142815837012388</v>
      </c>
      <c r="F36" s="2696">
        <v>1</v>
      </c>
      <c r="G36" s="3178">
        <f t="shared" si="191"/>
        <v>0.99068678794387111</v>
      </c>
      <c r="H36" s="2984">
        <f t="shared" si="191"/>
        <v>0.99999999999999989</v>
      </c>
      <c r="I36" s="2808">
        <f t="shared" si="191"/>
        <v>0.99104915639899183</v>
      </c>
      <c r="J36" s="2799">
        <v>1</v>
      </c>
      <c r="K36" s="3178">
        <f t="shared" ref="K36:M36" si="192">+K28/K15*100</f>
        <v>0.97993432856344398</v>
      </c>
      <c r="L36" s="3127">
        <f t="shared" si="192"/>
        <v>1</v>
      </c>
      <c r="M36" s="2889">
        <f t="shared" si="192"/>
        <v>0.98707725502748633</v>
      </c>
      <c r="N36" s="2799">
        <v>1</v>
      </c>
      <c r="O36" s="3178">
        <f t="shared" ref="O36:Q36" si="193">+O28/O15*100</f>
        <v>0.99715788665117111</v>
      </c>
      <c r="P36" s="2984">
        <f t="shared" si="193"/>
        <v>1</v>
      </c>
      <c r="Q36" s="2808">
        <f t="shared" si="193"/>
        <v>0.9898959064077445</v>
      </c>
      <c r="R36" s="2799">
        <v>1</v>
      </c>
      <c r="S36" s="3178">
        <f t="shared" ref="S36:U36" si="194">+S28/S15*100</f>
        <v>1.0085860232583415</v>
      </c>
      <c r="T36" s="2984">
        <f t="shared" si="194"/>
        <v>0.99999999999999989</v>
      </c>
      <c r="U36" s="2808">
        <f t="shared" si="194"/>
        <v>0.99417956732280022</v>
      </c>
      <c r="V36" s="2799">
        <v>1</v>
      </c>
      <c r="W36" s="3178">
        <f t="shared" ref="W36:AA36" si="195">+W28/W15*100</f>
        <v>0.99992747439614726</v>
      </c>
      <c r="X36" s="3127">
        <f t="shared" si="195"/>
        <v>1.0000000000000002</v>
      </c>
      <c r="Y36" s="2889">
        <f t="shared" si="195"/>
        <v>1.0020841014449331</v>
      </c>
      <c r="Z36" s="6698">
        <f t="shared" si="195"/>
        <v>1</v>
      </c>
      <c r="AA36" s="6699">
        <f t="shared" si="195"/>
        <v>0.99513227166793883</v>
      </c>
      <c r="AB36" s="2799">
        <v>1</v>
      </c>
      <c r="AC36" s="3178">
        <f t="shared" ref="AC36:AE36" si="196">+AC28/AC15*100</f>
        <v>1.0259798001899081</v>
      </c>
      <c r="AD36" s="2984">
        <f t="shared" si="196"/>
        <v>1</v>
      </c>
      <c r="AE36" s="2808">
        <f t="shared" si="196"/>
        <v>0.99988989378535875</v>
      </c>
      <c r="AF36" s="2799">
        <v>1</v>
      </c>
      <c r="AG36" s="3178">
        <f t="shared" ref="AG36:AI36" si="197">+AG28/AG15*100</f>
        <v>0.98546476464075461</v>
      </c>
      <c r="AH36" s="2984">
        <f t="shared" si="197"/>
        <v>1.0000000000000002</v>
      </c>
      <c r="AI36" s="2808">
        <f t="shared" si="197"/>
        <v>0.99805001564318796</v>
      </c>
      <c r="AJ36" s="2799">
        <v>1</v>
      </c>
      <c r="AK36" s="3178">
        <f t="shared" ref="AK36:AO36" si="198">+AK28/AK15*100</f>
        <v>0.91623596888275405</v>
      </c>
      <c r="AL36" s="3127">
        <f t="shared" si="198"/>
        <v>1.0000000000000002</v>
      </c>
      <c r="AM36" s="2889">
        <f t="shared" si="198"/>
        <v>0.97475957783197797</v>
      </c>
      <c r="AN36" s="2984">
        <f t="shared" si="198"/>
        <v>1</v>
      </c>
      <c r="AO36" s="2808">
        <f t="shared" si="198"/>
        <v>0.9879336490245515</v>
      </c>
      <c r="AP36" s="2799">
        <v>1</v>
      </c>
      <c r="AQ36" s="3178">
        <f t="shared" ref="AQ36:AS36" si="199">+AQ28/AQ15*100</f>
        <v>0.87518551761711705</v>
      </c>
      <c r="AR36" s="2984">
        <f t="shared" si="199"/>
        <v>1</v>
      </c>
      <c r="AS36" s="2808">
        <f t="shared" si="199"/>
        <v>0.97551477489190441</v>
      </c>
      <c r="AT36" s="2799">
        <v>1</v>
      </c>
      <c r="AU36" s="3178">
        <f t="shared" ref="AU36:AW36" si="200">+AU28/AU15*100</f>
        <v>0.87349615913162215</v>
      </c>
      <c r="AV36" s="2984">
        <f t="shared" si="200"/>
        <v>1</v>
      </c>
      <c r="AW36" s="2808">
        <f t="shared" si="200"/>
        <v>0.9662831589272638</v>
      </c>
      <c r="AX36" s="2799">
        <v>1</v>
      </c>
      <c r="AY36" s="3178">
        <f t="shared" ref="AY36:BE36" si="201">+AY28/AY15*100</f>
        <v>0.87049341088557342</v>
      </c>
      <c r="AZ36" s="3127">
        <f t="shared" si="201"/>
        <v>1</v>
      </c>
      <c r="BA36" s="2889">
        <f t="shared" si="201"/>
        <v>0.87304308657424212</v>
      </c>
      <c r="BB36" s="3127">
        <f t="shared" si="167"/>
        <v>2</v>
      </c>
      <c r="BC36" s="2889">
        <f t="shared" si="168"/>
        <v>1.84780266440622</v>
      </c>
      <c r="BD36" s="6698">
        <f t="shared" si="201"/>
        <v>1</v>
      </c>
      <c r="BE36" s="6699">
        <f t="shared" si="201"/>
        <v>0.95755453506541044</v>
      </c>
    </row>
    <row r="37" spans="1:57" ht="17" thickBot="1" x14ac:dyDescent="0.25">
      <c r="A37" s="3378" t="s">
        <v>1024</v>
      </c>
      <c r="B37" s="1697" t="s">
        <v>664</v>
      </c>
      <c r="C37" s="1561" t="s">
        <v>169</v>
      </c>
      <c r="D37" s="1794">
        <f t="shared" ref="D37:I37" si="202">SUM(D33:D36)</f>
        <v>76</v>
      </c>
      <c r="E37" s="2820">
        <f t="shared" si="202"/>
        <v>76.000029880823845</v>
      </c>
      <c r="F37" s="1794">
        <f t="shared" ref="F37" si="203">SUM(F33:F36)</f>
        <v>76</v>
      </c>
      <c r="G37" s="1681">
        <f t="shared" si="202"/>
        <v>76.000549541271681</v>
      </c>
      <c r="H37" s="2792">
        <f t="shared" si="202"/>
        <v>76</v>
      </c>
      <c r="I37" s="1826">
        <f t="shared" si="202"/>
        <v>76.000295540643918</v>
      </c>
      <c r="J37" s="2685">
        <f t="shared" ref="J37:M37" si="204">SUM(J33:J36)</f>
        <v>76</v>
      </c>
      <c r="K37" s="1681">
        <f t="shared" si="204"/>
        <v>75.99995210411636</v>
      </c>
      <c r="L37" s="2955">
        <f t="shared" si="204"/>
        <v>76</v>
      </c>
      <c r="M37" s="2014">
        <f t="shared" si="204"/>
        <v>76.000172813055613</v>
      </c>
      <c r="N37" s="2685">
        <f t="shared" ref="N37:O37" si="205">SUM(N33:N36)</f>
        <v>76</v>
      </c>
      <c r="O37" s="1681">
        <f t="shared" si="205"/>
        <v>76.000216216831333</v>
      </c>
      <c r="P37" s="2792">
        <f t="shared" ref="P37:S37" si="206">SUM(P33:P36)</f>
        <v>76.000000000000014</v>
      </c>
      <c r="Q37" s="1826">
        <f t="shared" si="206"/>
        <v>76.000184949211047</v>
      </c>
      <c r="R37" s="2685">
        <f t="shared" si="206"/>
        <v>76</v>
      </c>
      <c r="S37" s="1681">
        <f t="shared" si="206"/>
        <v>75.999765911732013</v>
      </c>
      <c r="T37" s="2792">
        <f t="shared" ref="T37:Y37" si="207">SUM(T33:T36)</f>
        <v>76</v>
      </c>
      <c r="U37" s="1826">
        <f t="shared" si="207"/>
        <v>76.000088908373812</v>
      </c>
      <c r="V37" s="2685">
        <f t="shared" si="207"/>
        <v>76</v>
      </c>
      <c r="W37" s="1681">
        <f t="shared" si="207"/>
        <v>76.000660445924439</v>
      </c>
      <c r="X37" s="2955">
        <f t="shared" si="207"/>
        <v>76.000000000000014</v>
      </c>
      <c r="Y37" s="2014">
        <f t="shared" si="207"/>
        <v>76.000192983386142</v>
      </c>
      <c r="Z37" s="6605">
        <f t="shared" ref="Z37:AM37" si="208">SUM(Z33:Z36)</f>
        <v>76</v>
      </c>
      <c r="AA37" s="6597">
        <f t="shared" si="208"/>
        <v>76.000183639603975</v>
      </c>
      <c r="AB37" s="2685">
        <f t="shared" si="208"/>
        <v>76</v>
      </c>
      <c r="AC37" s="1681">
        <f t="shared" si="208"/>
        <v>76.001049122201692</v>
      </c>
      <c r="AD37" s="2792">
        <f t="shared" si="208"/>
        <v>76.000000000000014</v>
      </c>
      <c r="AE37" s="1826">
        <f t="shared" si="208"/>
        <v>76.000317123203686</v>
      </c>
      <c r="AF37" s="2685">
        <f t="shared" si="208"/>
        <v>76</v>
      </c>
      <c r="AG37" s="1681">
        <f t="shared" si="208"/>
        <v>76.000640700064693</v>
      </c>
      <c r="AH37" s="2792">
        <f t="shared" si="208"/>
        <v>76.000000000000014</v>
      </c>
      <c r="AI37" s="1826">
        <f t="shared" si="208"/>
        <v>76.000358394376235</v>
      </c>
      <c r="AJ37" s="2685">
        <f t="shared" si="208"/>
        <v>76</v>
      </c>
      <c r="AK37" s="1681">
        <f t="shared" si="208"/>
        <v>75.999432869998842</v>
      </c>
      <c r="AL37" s="2955">
        <f t="shared" si="208"/>
        <v>76.000000000000014</v>
      </c>
      <c r="AM37" s="2014">
        <f t="shared" si="208"/>
        <v>76.00035433037236</v>
      </c>
      <c r="AN37" s="2792">
        <f t="shared" ref="AN37:AS37" si="209">SUM(AN33:AN36)</f>
        <v>76</v>
      </c>
      <c r="AO37" s="1826">
        <f t="shared" si="209"/>
        <v>76.000243952611214</v>
      </c>
      <c r="AP37" s="2685">
        <f t="shared" si="209"/>
        <v>76</v>
      </c>
      <c r="AQ37" s="1681">
        <f t="shared" si="209"/>
        <v>76.000175037103517</v>
      </c>
      <c r="AR37" s="2792">
        <f t="shared" si="209"/>
        <v>76.000000000000014</v>
      </c>
      <c r="AS37" s="1826">
        <f t="shared" si="209"/>
        <v>76.000236361771286</v>
      </c>
      <c r="AT37" s="2685">
        <f t="shared" ref="AT37:AW37" si="210">SUM(AT33:AT36)</f>
        <v>76</v>
      </c>
      <c r="AU37" s="1681">
        <f t="shared" si="210"/>
        <v>75.999343213726249</v>
      </c>
      <c r="AV37" s="2792">
        <f t="shared" si="210"/>
        <v>76.000000000000014</v>
      </c>
      <c r="AW37" s="1826">
        <f t="shared" si="210"/>
        <v>76.000155541229972</v>
      </c>
      <c r="AX37" s="2685">
        <f t="shared" ref="AX37:BE37" si="211">SUM(AX33:AX36)</f>
        <v>76</v>
      </c>
      <c r="AY37" s="1681">
        <f t="shared" si="211"/>
        <v>75.99994926572144</v>
      </c>
      <c r="AZ37" s="2955">
        <f t="shared" si="211"/>
        <v>76</v>
      </c>
      <c r="BA37" s="2014">
        <f t="shared" si="211"/>
        <v>75.999838504282792</v>
      </c>
      <c r="BB37" s="2955">
        <f t="shared" si="167"/>
        <v>152</v>
      </c>
      <c r="BC37" s="2014">
        <f t="shared" si="168"/>
        <v>152.00019283465514</v>
      </c>
      <c r="BD37" s="6605">
        <f t="shared" si="211"/>
        <v>76.000000000000014</v>
      </c>
      <c r="BE37" s="6597">
        <f t="shared" si="211"/>
        <v>76.000136744841384</v>
      </c>
    </row>
    <row r="38" spans="1:57" s="3380" customFormat="1" ht="16" x14ac:dyDescent="0.2">
      <c r="A38" s="3379" t="s">
        <v>1024</v>
      </c>
      <c r="B38" s="6806" t="s">
        <v>665</v>
      </c>
      <c r="C38" s="6807"/>
      <c r="D38" s="6587"/>
      <c r="E38" s="6786"/>
      <c r="F38" s="6587"/>
      <c r="G38" s="6787"/>
      <c r="H38" s="4751"/>
      <c r="I38" s="4752"/>
      <c r="J38" s="4751"/>
      <c r="K38" s="4752"/>
      <c r="L38" s="4751"/>
      <c r="M38" s="4752"/>
      <c r="N38" s="4751"/>
      <c r="O38" s="4752"/>
      <c r="P38" s="4751"/>
      <c r="Q38" s="4752"/>
      <c r="R38" s="4751"/>
      <c r="S38" s="4752"/>
      <c r="T38" s="4751"/>
      <c r="U38" s="4752"/>
      <c r="V38" s="4751"/>
      <c r="W38" s="4752"/>
      <c r="X38" s="4751"/>
      <c r="Y38" s="4752"/>
      <c r="Z38" s="4751"/>
      <c r="AA38" s="4752"/>
      <c r="AB38" s="4751"/>
      <c r="AC38" s="4752"/>
      <c r="AD38" s="4751"/>
      <c r="AE38" s="4752"/>
      <c r="AF38" s="4751"/>
      <c r="AG38" s="4752"/>
      <c r="AH38" s="4751"/>
      <c r="AI38" s="4752"/>
      <c r="AJ38" s="4751"/>
      <c r="AK38" s="4752"/>
      <c r="AL38" s="4751"/>
      <c r="AM38" s="4752"/>
      <c r="AN38" s="4751"/>
      <c r="AO38" s="4752"/>
      <c r="AP38" s="4751"/>
      <c r="AQ38" s="4752"/>
      <c r="AR38" s="4751"/>
      <c r="AS38" s="4752"/>
      <c r="AT38" s="4751"/>
      <c r="AU38" s="4752"/>
      <c r="AV38" s="4751"/>
      <c r="AW38" s="4752"/>
      <c r="AX38" s="4751"/>
      <c r="AY38" s="4752"/>
      <c r="AZ38" s="4751"/>
      <c r="BA38" s="4752"/>
      <c r="BB38" s="4751"/>
      <c r="BC38" s="4752"/>
      <c r="BD38" s="4751"/>
      <c r="BE38" s="4752"/>
    </row>
    <row r="39" spans="1:57" x14ac:dyDescent="0.2">
      <c r="B39" s="1559" t="s">
        <v>666</v>
      </c>
      <c r="C39" s="1544" t="s">
        <v>170</v>
      </c>
      <c r="D39" s="3174">
        <v>1204</v>
      </c>
      <c r="E39" s="2750">
        <v>1204</v>
      </c>
      <c r="F39" s="3174">
        <v>1363.8</v>
      </c>
      <c r="G39" s="1675">
        <v>1363.8</v>
      </c>
      <c r="H39" s="4809">
        <f>+D39+F39</f>
        <v>2567.8000000000002</v>
      </c>
      <c r="I39" s="1823">
        <f>+E39+G39</f>
        <v>2567.8000000000002</v>
      </c>
      <c r="J39" s="4811">
        <v>1428.5</v>
      </c>
      <c r="K39" s="1675">
        <v>1428.5</v>
      </c>
      <c r="L39" s="4792">
        <f>+H39+J39</f>
        <v>3996.3</v>
      </c>
      <c r="M39" s="2011">
        <f>+I39+K39</f>
        <v>3996.3</v>
      </c>
      <c r="N39" s="4811">
        <v>1583.6039999999998</v>
      </c>
      <c r="O39" s="3184">
        <v>1554.8</v>
      </c>
      <c r="P39" s="4809">
        <f>+L39+N39</f>
        <v>5579.9040000000005</v>
      </c>
      <c r="Q39" s="1823">
        <f>+M39+O39</f>
        <v>5551.1</v>
      </c>
      <c r="R39" s="4811">
        <v>1583.6039999999998</v>
      </c>
      <c r="S39" s="3184">
        <v>1587.5</v>
      </c>
      <c r="T39" s="4809">
        <f>+P39+R39</f>
        <v>7163.5079999999998</v>
      </c>
      <c r="U39" s="1823">
        <f>+Q39+S39</f>
        <v>7138.6</v>
      </c>
      <c r="V39" s="4811">
        <v>1532.52</v>
      </c>
      <c r="W39" s="3184">
        <v>1524.3</v>
      </c>
      <c r="X39" s="3046">
        <f t="shared" ref="X39:X40" si="212">+N39+R39+V39</f>
        <v>4699.7279999999992</v>
      </c>
      <c r="Y39" s="2070">
        <f t="shared" ref="Y39:Y40" si="213">+O39+S39+W39</f>
        <v>4666.6000000000004</v>
      </c>
      <c r="Z39" s="6519">
        <f>+T39+V39</f>
        <v>8696.0280000000002</v>
      </c>
      <c r="AA39" s="6531">
        <f>+U39+W39</f>
        <v>8662.9</v>
      </c>
      <c r="AB39" s="4811">
        <v>1583.6039999999998</v>
      </c>
      <c r="AC39" s="3184">
        <v>1591</v>
      </c>
      <c r="AD39" s="4809">
        <f>+Z39+AB39</f>
        <v>10279.632</v>
      </c>
      <c r="AE39" s="1823">
        <f>+AA39+AC39</f>
        <v>10253.9</v>
      </c>
      <c r="AF39" s="4811">
        <v>1532.52</v>
      </c>
      <c r="AG39" s="3184">
        <v>1538.1</v>
      </c>
      <c r="AH39" s="4809">
        <f>+AD39+AF39</f>
        <v>11812.152</v>
      </c>
      <c r="AI39" s="1823">
        <f>+AE39+AG39</f>
        <v>11792</v>
      </c>
      <c r="AJ39" s="4811">
        <v>1583.6039999999998</v>
      </c>
      <c r="AK39" s="3184">
        <v>1584.2</v>
      </c>
      <c r="AL39" s="3046">
        <f t="shared" ref="AL39:AL40" si="214">+AB39+AF39+AJ39</f>
        <v>4699.7279999999992</v>
      </c>
      <c r="AM39" s="2070">
        <f t="shared" ref="AM39:AM40" si="215">+AC39+AG39+AK39</f>
        <v>4713.3</v>
      </c>
      <c r="AN39" s="4809">
        <f>+AH39+AJ39</f>
        <v>13395.755999999999</v>
      </c>
      <c r="AO39" s="1823">
        <f>+AI39+AK39</f>
        <v>13376.2</v>
      </c>
      <c r="AP39" s="4811">
        <v>1583.6039999999998</v>
      </c>
      <c r="AQ39" s="3184">
        <v>1559.4</v>
      </c>
      <c r="AR39" s="4809">
        <f>+AN39+AP39</f>
        <v>14979.359999999999</v>
      </c>
      <c r="AS39" s="1823">
        <f>+AO39+AQ39</f>
        <v>14935.6</v>
      </c>
      <c r="AT39" s="4811">
        <v>1430</v>
      </c>
      <c r="AU39" s="3184">
        <v>1385.2</v>
      </c>
      <c r="AV39" s="4809">
        <f>+AR39+AT39</f>
        <v>16409.36</v>
      </c>
      <c r="AW39" s="1823">
        <f>+AS39+AU39</f>
        <v>16320.800000000001</v>
      </c>
      <c r="AX39" s="4811">
        <v>1584</v>
      </c>
      <c r="AY39" s="3184">
        <v>1535.7</v>
      </c>
      <c r="AZ39" s="3046">
        <f t="shared" ref="AZ39:AZ40" si="216">+AP39+AT39+AX39</f>
        <v>4597.6039999999994</v>
      </c>
      <c r="BA39" s="2070">
        <f t="shared" ref="BA39:BA40" si="217">+AQ39+AU39+AY39</f>
        <v>4480.3</v>
      </c>
      <c r="BB39" s="3046">
        <f t="shared" si="167"/>
        <v>9297.3319999999985</v>
      </c>
      <c r="BC39" s="2070">
        <f t="shared" si="168"/>
        <v>9193.6</v>
      </c>
      <c r="BD39" s="6519">
        <f>+AV39+AX39</f>
        <v>17993.36</v>
      </c>
      <c r="BE39" s="6531">
        <f>+AW39+AY39</f>
        <v>17856.5</v>
      </c>
    </row>
    <row r="40" spans="1:57" ht="16" thickBot="1" x14ac:dyDescent="0.25">
      <c r="B40" s="1558" t="s">
        <v>667</v>
      </c>
      <c r="C40" s="1547" t="s">
        <v>170</v>
      </c>
      <c r="D40" s="6321">
        <v>2131.1999999999998</v>
      </c>
      <c r="E40" s="2816">
        <v>2131.1999999999998</v>
      </c>
      <c r="F40" s="6321">
        <v>2204.4</v>
      </c>
      <c r="G40" s="1676">
        <v>2204.4</v>
      </c>
      <c r="H40" s="4809">
        <f>+D40+F40</f>
        <v>4335.6000000000004</v>
      </c>
      <c r="I40" s="1823">
        <f>+E40+G40</f>
        <v>4335.6000000000004</v>
      </c>
      <c r="J40" s="4810">
        <v>2292.4229999999998</v>
      </c>
      <c r="K40" s="1675">
        <v>2456.17</v>
      </c>
      <c r="L40" s="4792">
        <f>+H40+J40</f>
        <v>6628.0230000000001</v>
      </c>
      <c r="M40" s="2011">
        <f>+I40+K40</f>
        <v>6791.77</v>
      </c>
      <c r="N40" s="4810">
        <v>2711.1546000000003</v>
      </c>
      <c r="O40" s="3184">
        <v>2665.34</v>
      </c>
      <c r="P40" s="4809">
        <f>+L40+N40</f>
        <v>9339.1776000000009</v>
      </c>
      <c r="Q40" s="1823">
        <f>+M40+O40</f>
        <v>9457.11</v>
      </c>
      <c r="R40" s="4810">
        <v>2711.1546000000003</v>
      </c>
      <c r="S40" s="3184">
        <v>2902.92</v>
      </c>
      <c r="T40" s="4809">
        <f>+P40+R40</f>
        <v>12050.332200000001</v>
      </c>
      <c r="U40" s="1823">
        <f>+Q40+S40</f>
        <v>12360.03</v>
      </c>
      <c r="V40" s="4810">
        <v>2623.6979999999999</v>
      </c>
      <c r="W40" s="3184">
        <v>2373.8200000000002</v>
      </c>
      <c r="X40" s="3046">
        <f t="shared" si="212"/>
        <v>8046.0072</v>
      </c>
      <c r="Y40" s="2070">
        <f t="shared" si="213"/>
        <v>7942.08</v>
      </c>
      <c r="Z40" s="6519">
        <f>+T40+V40</f>
        <v>14674.030200000001</v>
      </c>
      <c r="AA40" s="6531">
        <f>+U40+W40</f>
        <v>14733.85</v>
      </c>
      <c r="AB40" s="4810">
        <v>2711.1546000000003</v>
      </c>
      <c r="AC40" s="3184">
        <v>2695.14</v>
      </c>
      <c r="AD40" s="4809">
        <f>+Z40+AB40</f>
        <v>17385.184800000003</v>
      </c>
      <c r="AE40" s="1823">
        <f>+AA40+AC40</f>
        <v>17428.990000000002</v>
      </c>
      <c r="AF40" s="4810">
        <v>2623.6979999999999</v>
      </c>
      <c r="AG40" s="3184">
        <v>2516.7399999999998</v>
      </c>
      <c r="AH40" s="4809">
        <f>+AD40+AF40</f>
        <v>20008.882800000003</v>
      </c>
      <c r="AI40" s="1823">
        <f>+AE40+AG40</f>
        <v>19945.730000000003</v>
      </c>
      <c r="AJ40" s="4810">
        <v>2711.1546000000003</v>
      </c>
      <c r="AK40" s="3184">
        <v>2900.08</v>
      </c>
      <c r="AL40" s="3046">
        <f t="shared" si="214"/>
        <v>8046.0072</v>
      </c>
      <c r="AM40" s="2070">
        <f t="shared" si="215"/>
        <v>8111.9599999999991</v>
      </c>
      <c r="AN40" s="4809">
        <f>+AH40+AJ40</f>
        <v>22720.037400000005</v>
      </c>
      <c r="AO40" s="1823">
        <f>+AI40+AK40</f>
        <v>22845.810000000005</v>
      </c>
      <c r="AP40" s="4810">
        <v>2711.1546000000003</v>
      </c>
      <c r="AQ40" s="3184">
        <v>2904.81</v>
      </c>
      <c r="AR40" s="4809">
        <f>+AN40+AP40</f>
        <v>25431.192000000006</v>
      </c>
      <c r="AS40" s="1823">
        <f>+AO40+AQ40</f>
        <v>25750.620000000006</v>
      </c>
      <c r="AT40" s="4810">
        <v>2449</v>
      </c>
      <c r="AU40" s="3184">
        <v>2619.54</v>
      </c>
      <c r="AV40" s="4809">
        <f>+AR40+AT40</f>
        <v>27880.192000000006</v>
      </c>
      <c r="AW40" s="1823">
        <f>+AS40+AU40</f>
        <v>28370.160000000007</v>
      </c>
      <c r="AX40" s="4810">
        <v>2711</v>
      </c>
      <c r="AY40" s="3184">
        <v>2905.76</v>
      </c>
      <c r="AZ40" s="3046">
        <f t="shared" si="216"/>
        <v>7871.1545999999998</v>
      </c>
      <c r="BA40" s="2070">
        <f t="shared" si="217"/>
        <v>8430.11</v>
      </c>
      <c r="BB40" s="3046">
        <f t="shared" si="167"/>
        <v>15917.1618</v>
      </c>
      <c r="BC40" s="2070">
        <f t="shared" si="168"/>
        <v>16542.07</v>
      </c>
      <c r="BD40" s="6519">
        <f>+AV40+AX40</f>
        <v>30591.192000000006</v>
      </c>
      <c r="BE40" s="6531">
        <f>+AW40+AY40</f>
        <v>31275.920000000006</v>
      </c>
    </row>
    <row r="41" spans="1:57" ht="17" thickBot="1" x14ac:dyDescent="0.25">
      <c r="B41" s="1560" t="s">
        <v>137</v>
      </c>
      <c r="C41" s="1561" t="s">
        <v>170</v>
      </c>
      <c r="D41" s="2464">
        <f t="shared" ref="D41:I41" si="218">SUM(D39:D40)</f>
        <v>3335.2</v>
      </c>
      <c r="E41" s="2817">
        <f t="shared" si="218"/>
        <v>3335.2</v>
      </c>
      <c r="F41" s="2464">
        <f t="shared" ref="F41" si="219">SUM(F39:F40)</f>
        <v>3568.2</v>
      </c>
      <c r="G41" s="1678">
        <f t="shared" si="218"/>
        <v>3568.2</v>
      </c>
      <c r="H41" s="2784">
        <f t="shared" si="218"/>
        <v>6903.4000000000005</v>
      </c>
      <c r="I41" s="1825">
        <f t="shared" si="218"/>
        <v>6903.4000000000005</v>
      </c>
      <c r="J41" s="3222">
        <f t="shared" ref="J41:M41" si="220">SUM(J39:J40)</f>
        <v>3720.9229999999998</v>
      </c>
      <c r="K41" s="1678">
        <f t="shared" si="220"/>
        <v>3884.67</v>
      </c>
      <c r="L41" s="2951">
        <f t="shared" si="220"/>
        <v>10624.323</v>
      </c>
      <c r="M41" s="2005">
        <f t="shared" si="220"/>
        <v>10788.07</v>
      </c>
      <c r="N41" s="3222">
        <f t="shared" ref="N41:O41" si="221">SUM(N39:N40)</f>
        <v>4294.7586000000001</v>
      </c>
      <c r="O41" s="1678">
        <f t="shared" si="221"/>
        <v>4220.1400000000003</v>
      </c>
      <c r="P41" s="2784">
        <f t="shared" ref="P41:S41" si="222">SUM(P39:P40)</f>
        <v>14919.081600000001</v>
      </c>
      <c r="Q41" s="1825">
        <f t="shared" si="222"/>
        <v>15008.210000000001</v>
      </c>
      <c r="R41" s="3222">
        <f t="shared" si="222"/>
        <v>4294.7586000000001</v>
      </c>
      <c r="S41" s="1678">
        <f t="shared" si="222"/>
        <v>4490.42</v>
      </c>
      <c r="T41" s="2784">
        <f t="shared" ref="T41:Y41" si="223">SUM(T39:T40)</f>
        <v>19213.840199999999</v>
      </c>
      <c r="U41" s="1825">
        <f t="shared" si="223"/>
        <v>19498.63</v>
      </c>
      <c r="V41" s="3222">
        <f t="shared" si="223"/>
        <v>4156.2179999999998</v>
      </c>
      <c r="W41" s="1678">
        <f t="shared" si="223"/>
        <v>3898.12</v>
      </c>
      <c r="X41" s="2951">
        <f t="shared" si="223"/>
        <v>12745.735199999999</v>
      </c>
      <c r="Y41" s="2005">
        <f t="shared" si="223"/>
        <v>12608.68</v>
      </c>
      <c r="Z41" s="6511">
        <f t="shared" ref="Z41:AM41" si="224">SUM(Z39:Z40)</f>
        <v>23370.058199999999</v>
      </c>
      <c r="AA41" s="6594">
        <f t="shared" si="224"/>
        <v>23396.75</v>
      </c>
      <c r="AB41" s="3222">
        <f t="shared" si="224"/>
        <v>4294.7586000000001</v>
      </c>
      <c r="AC41" s="1678">
        <f t="shared" si="224"/>
        <v>4286.1399999999994</v>
      </c>
      <c r="AD41" s="2784">
        <f t="shared" si="224"/>
        <v>27664.816800000001</v>
      </c>
      <c r="AE41" s="1825">
        <f t="shared" si="224"/>
        <v>27682.89</v>
      </c>
      <c r="AF41" s="3222">
        <f t="shared" si="224"/>
        <v>4156.2179999999998</v>
      </c>
      <c r="AG41" s="1678">
        <f t="shared" si="224"/>
        <v>4054.8399999999997</v>
      </c>
      <c r="AH41" s="2784">
        <f t="shared" si="224"/>
        <v>31821.034800000001</v>
      </c>
      <c r="AI41" s="1825">
        <f t="shared" si="224"/>
        <v>31737.730000000003</v>
      </c>
      <c r="AJ41" s="3222">
        <f t="shared" si="224"/>
        <v>4294.7586000000001</v>
      </c>
      <c r="AK41" s="1678">
        <f t="shared" si="224"/>
        <v>4484.28</v>
      </c>
      <c r="AL41" s="2951">
        <f t="shared" si="224"/>
        <v>12745.735199999999</v>
      </c>
      <c r="AM41" s="2005">
        <f t="shared" si="224"/>
        <v>12825.259999999998</v>
      </c>
      <c r="AN41" s="2784">
        <f t="shared" ref="AN41:AS41" si="225">SUM(AN39:AN40)</f>
        <v>36115.793400000002</v>
      </c>
      <c r="AO41" s="1825">
        <f t="shared" si="225"/>
        <v>36222.010000000009</v>
      </c>
      <c r="AP41" s="3222">
        <f t="shared" si="225"/>
        <v>4294.7586000000001</v>
      </c>
      <c r="AQ41" s="1678">
        <f t="shared" si="225"/>
        <v>4464.21</v>
      </c>
      <c r="AR41" s="2784">
        <f t="shared" si="225"/>
        <v>40410.552000000003</v>
      </c>
      <c r="AS41" s="1825">
        <f t="shared" si="225"/>
        <v>40686.220000000008</v>
      </c>
      <c r="AT41" s="3222">
        <f t="shared" ref="AT41:AW41" si="226">SUM(AT39:AT40)</f>
        <v>3879</v>
      </c>
      <c r="AU41" s="1678">
        <f t="shared" si="226"/>
        <v>4004.74</v>
      </c>
      <c r="AV41" s="2784">
        <f t="shared" si="226"/>
        <v>44289.552000000011</v>
      </c>
      <c r="AW41" s="1825">
        <f t="shared" si="226"/>
        <v>44690.960000000006</v>
      </c>
      <c r="AX41" s="3222">
        <f t="shared" ref="AX41:BE41" si="227">SUM(AX39:AX40)</f>
        <v>4295</v>
      </c>
      <c r="AY41" s="1678">
        <f t="shared" si="227"/>
        <v>4441.46</v>
      </c>
      <c r="AZ41" s="2951">
        <f t="shared" si="227"/>
        <v>12468.758599999999</v>
      </c>
      <c r="BA41" s="2005">
        <f t="shared" si="227"/>
        <v>12910.41</v>
      </c>
      <c r="BB41" s="2951">
        <f t="shared" si="167"/>
        <v>25214.493799999997</v>
      </c>
      <c r="BC41" s="2005">
        <f t="shared" si="168"/>
        <v>25735.67</v>
      </c>
      <c r="BD41" s="6511">
        <f t="shared" si="227"/>
        <v>48584.552000000011</v>
      </c>
      <c r="BE41" s="6594">
        <f t="shared" si="227"/>
        <v>49132.420000000006</v>
      </c>
    </row>
    <row r="42" spans="1:57" x14ac:dyDescent="0.2">
      <c r="B42" s="1557" t="s">
        <v>668</v>
      </c>
      <c r="C42" s="1541" t="s">
        <v>170</v>
      </c>
      <c r="D42" s="6338">
        <v>405.2</v>
      </c>
      <c r="E42" s="2717">
        <v>405.2</v>
      </c>
      <c r="F42" s="6338">
        <v>412.5</v>
      </c>
      <c r="G42" s="1683">
        <v>412.5</v>
      </c>
      <c r="H42" s="4809">
        <f>+D42+F42</f>
        <v>817.7</v>
      </c>
      <c r="I42" s="1906">
        <f>+E42+G42</f>
        <v>817.7</v>
      </c>
      <c r="J42" s="6352">
        <v>345.3</v>
      </c>
      <c r="K42" s="1683">
        <v>345.3</v>
      </c>
      <c r="L42" s="4792">
        <f>+H42+J42</f>
        <v>1163</v>
      </c>
      <c r="M42" s="2070">
        <f>+I42+K42</f>
        <v>1163</v>
      </c>
      <c r="N42" s="6352">
        <v>1435.8093750000003</v>
      </c>
      <c r="O42" s="3183">
        <v>499.2</v>
      </c>
      <c r="P42" s="4809">
        <f>+L42+N42</f>
        <v>2598.8093750000003</v>
      </c>
      <c r="Q42" s="1906">
        <f>+M42+O42</f>
        <v>1662.2</v>
      </c>
      <c r="R42" s="6352">
        <v>1435.8093750000003</v>
      </c>
      <c r="S42" s="3183">
        <v>533.20000000000005</v>
      </c>
      <c r="T42" s="4809">
        <f>+P42+R42</f>
        <v>4034.6187500000005</v>
      </c>
      <c r="U42" s="1906">
        <f>+Q42+S42</f>
        <v>2195.4</v>
      </c>
      <c r="V42" s="6564">
        <v>1387.5468750000002</v>
      </c>
      <c r="W42" s="3183">
        <v>478</v>
      </c>
      <c r="X42" s="3046">
        <f t="shared" ref="X42:X43" si="228">+N42+R42+V42</f>
        <v>4259.1656250000005</v>
      </c>
      <c r="Y42" s="2070">
        <f t="shared" ref="Y42:Y43" si="229">+O42+S42+W42</f>
        <v>1510.4</v>
      </c>
      <c r="Z42" s="6519">
        <f>+T42+V42</f>
        <v>5422.1656250000005</v>
      </c>
      <c r="AA42" s="6692">
        <f>+U42+W42</f>
        <v>2673.4</v>
      </c>
      <c r="AB42" s="7351">
        <v>1435.8093750000003</v>
      </c>
      <c r="AC42" s="3183">
        <v>518.79999999999995</v>
      </c>
      <c r="AD42" s="4809">
        <f>+Z42+AB42</f>
        <v>6857.9750000000004</v>
      </c>
      <c r="AE42" s="1906">
        <f>+AA42+AC42</f>
        <v>3192.2</v>
      </c>
      <c r="AF42" s="7587">
        <v>1387.5468750000002</v>
      </c>
      <c r="AG42" s="3183">
        <v>554.69000000000005</v>
      </c>
      <c r="AH42" s="4809">
        <f>+AD42+AF42</f>
        <v>8245.5218750000004</v>
      </c>
      <c r="AI42" s="1906">
        <f>+AE42+AG42</f>
        <v>3746.89</v>
      </c>
      <c r="AJ42" s="7740">
        <v>1435.8093750000003</v>
      </c>
      <c r="AK42" s="3183">
        <v>571.72</v>
      </c>
      <c r="AL42" s="3046">
        <f t="shared" ref="AL42:AL43" si="230">+AB42+AF42+AJ42</f>
        <v>4259.1656250000015</v>
      </c>
      <c r="AM42" s="2070">
        <f t="shared" ref="AM42:AM43" si="231">+AC42+AG42+AK42</f>
        <v>1645.21</v>
      </c>
      <c r="AN42" s="4809">
        <f>+AH42+AJ42</f>
        <v>9681.3312500000011</v>
      </c>
      <c r="AO42" s="1906">
        <f>+AI42+AK42</f>
        <v>4318.6099999999997</v>
      </c>
      <c r="AP42" s="8052">
        <v>1435.8093750000003</v>
      </c>
      <c r="AQ42" s="3183">
        <v>479</v>
      </c>
      <c r="AR42" s="4809">
        <f>+AN42+AP42</f>
        <v>11117.140625000002</v>
      </c>
      <c r="AS42" s="1906">
        <f>+AO42+AQ42</f>
        <v>4797.6099999999997</v>
      </c>
      <c r="AT42" s="8357">
        <v>1291.0219999999999</v>
      </c>
      <c r="AU42" s="3183">
        <v>461.3</v>
      </c>
      <c r="AV42" s="4809">
        <f>+AR42+AT42</f>
        <v>12408.162625000001</v>
      </c>
      <c r="AW42" s="1906">
        <f>+AS42+AU42</f>
        <v>5258.91</v>
      </c>
      <c r="AX42" s="8357">
        <v>1435.809</v>
      </c>
      <c r="AY42" s="3183">
        <v>572.20000000000005</v>
      </c>
      <c r="AZ42" s="3046">
        <f t="shared" ref="AZ42:AZ43" si="232">+AP42+AT42+AX42</f>
        <v>4162.6403749999999</v>
      </c>
      <c r="BA42" s="2070">
        <f t="shared" ref="BA42:BA43" si="233">+AQ42+AU42+AY42</f>
        <v>1512.5</v>
      </c>
      <c r="BB42" s="3046">
        <f t="shared" si="167"/>
        <v>8421.8060000000005</v>
      </c>
      <c r="BC42" s="2070">
        <f t="shared" si="168"/>
        <v>3157.71</v>
      </c>
      <c r="BD42" s="6519">
        <f>+AV42+AX42</f>
        <v>13843.971625</v>
      </c>
      <c r="BE42" s="6692">
        <f>+AW42+AY42</f>
        <v>5831.11</v>
      </c>
    </row>
    <row r="43" spans="1:57" ht="16" thickBot="1" x14ac:dyDescent="0.25">
      <c r="B43" s="1558" t="s">
        <v>669</v>
      </c>
      <c r="C43" s="1547" t="s">
        <v>170</v>
      </c>
      <c r="D43" s="6321">
        <v>375</v>
      </c>
      <c r="E43" s="2816">
        <v>375</v>
      </c>
      <c r="F43" s="6321">
        <v>269.04486389008167</v>
      </c>
      <c r="G43" s="1676">
        <v>281.5</v>
      </c>
      <c r="H43" s="4809">
        <f>+D43+F43</f>
        <v>644.04486389008161</v>
      </c>
      <c r="I43" s="1906">
        <f>+E43+G43</f>
        <v>656.5</v>
      </c>
      <c r="J43" s="4810">
        <v>711.67808249999985</v>
      </c>
      <c r="K43" s="1683">
        <v>318</v>
      </c>
      <c r="L43" s="4792">
        <f>+H43+J43</f>
        <v>1355.7229463900815</v>
      </c>
      <c r="M43" s="2070">
        <f>+I43+K43</f>
        <v>974.5</v>
      </c>
      <c r="N43" s="4810">
        <v>734.63544000000002</v>
      </c>
      <c r="O43" s="3183">
        <v>324</v>
      </c>
      <c r="P43" s="4809">
        <f>+L43+N43</f>
        <v>2090.3583863900813</v>
      </c>
      <c r="Q43" s="1906">
        <f>+M43+O43</f>
        <v>1298.5</v>
      </c>
      <c r="R43" s="4810">
        <v>734.63544000000002</v>
      </c>
      <c r="S43" s="3183">
        <v>320.5</v>
      </c>
      <c r="T43" s="4809">
        <f>+P43+R43</f>
        <v>2824.9938263900813</v>
      </c>
      <c r="U43" s="1906">
        <f>+Q43+S43</f>
        <v>1619</v>
      </c>
      <c r="V43" s="4810">
        <v>711.67808249999985</v>
      </c>
      <c r="W43" s="3183">
        <v>382</v>
      </c>
      <c r="X43" s="3046">
        <f t="shared" si="228"/>
        <v>2180.9489624999997</v>
      </c>
      <c r="Y43" s="2070">
        <f t="shared" si="229"/>
        <v>1026.5</v>
      </c>
      <c r="Z43" s="6519">
        <f>+T43+V43</f>
        <v>3536.6719088900809</v>
      </c>
      <c r="AA43" s="6692">
        <f>+U43+W43</f>
        <v>2001</v>
      </c>
      <c r="AB43" s="4810">
        <v>734.63544000000002</v>
      </c>
      <c r="AC43" s="3183">
        <v>430</v>
      </c>
      <c r="AD43" s="4809">
        <f>+Z43+AB43</f>
        <v>4271.3073488900809</v>
      </c>
      <c r="AE43" s="1906">
        <f>+AA43+AC43</f>
        <v>2431</v>
      </c>
      <c r="AF43" s="4810">
        <v>711.67808249999985</v>
      </c>
      <c r="AG43" s="3183">
        <v>350</v>
      </c>
      <c r="AH43" s="4809">
        <f>+AD43+AF43</f>
        <v>4982.9854313900805</v>
      </c>
      <c r="AI43" s="1906">
        <f>+AE43+AG43</f>
        <v>2781</v>
      </c>
      <c r="AJ43" s="4810">
        <v>734.63544000000002</v>
      </c>
      <c r="AK43" s="3183">
        <v>613</v>
      </c>
      <c r="AL43" s="3046">
        <f t="shared" si="230"/>
        <v>2180.9489624999997</v>
      </c>
      <c r="AM43" s="2070">
        <f t="shared" si="231"/>
        <v>1393</v>
      </c>
      <c r="AN43" s="4809">
        <f>+AH43+AJ43</f>
        <v>5717.6208713900805</v>
      </c>
      <c r="AO43" s="1906">
        <f>+AI43+AK43</f>
        <v>3394</v>
      </c>
      <c r="AP43" s="4810">
        <v>734.63544000000002</v>
      </c>
      <c r="AQ43" s="3183">
        <v>385.5</v>
      </c>
      <c r="AR43" s="4809">
        <f>+AN43+AP43</f>
        <v>6452.2563113900806</v>
      </c>
      <c r="AS43" s="1906">
        <f>+AO43+AQ43</f>
        <v>3779.5</v>
      </c>
      <c r="AT43" s="4810">
        <v>686.16990999999996</v>
      </c>
      <c r="AU43" s="3183">
        <v>433</v>
      </c>
      <c r="AV43" s="4809">
        <f>+AR43+AT43</f>
        <v>7138.4262213900802</v>
      </c>
      <c r="AW43" s="1906">
        <f>+AS43+AU43</f>
        <v>4212.5</v>
      </c>
      <c r="AX43" s="4810">
        <v>734.63544000000002</v>
      </c>
      <c r="AY43" s="3183">
        <v>467</v>
      </c>
      <c r="AZ43" s="3046">
        <f t="shared" si="232"/>
        <v>2155.4407900000001</v>
      </c>
      <c r="BA43" s="2070">
        <f t="shared" si="233"/>
        <v>1285.5</v>
      </c>
      <c r="BB43" s="3046">
        <f t="shared" si="167"/>
        <v>4336.3897524999993</v>
      </c>
      <c r="BC43" s="2070">
        <f t="shared" si="168"/>
        <v>2678.5</v>
      </c>
      <c r="BD43" s="6519">
        <f>+AV43+AX43</f>
        <v>7873.0616613900802</v>
      </c>
      <c r="BE43" s="6692">
        <f>+AW43+AY43</f>
        <v>4679.5</v>
      </c>
    </row>
    <row r="44" spans="1:57" ht="17" thickBot="1" x14ac:dyDescent="0.25">
      <c r="B44" s="1560" t="s">
        <v>138</v>
      </c>
      <c r="C44" s="1561" t="s">
        <v>170</v>
      </c>
      <c r="D44" s="2464">
        <f t="shared" ref="D44:I44" si="234">SUM(D42:D43)</f>
        <v>780.2</v>
      </c>
      <c r="E44" s="2817">
        <f t="shared" si="234"/>
        <v>780.2</v>
      </c>
      <c r="F44" s="2464">
        <f t="shared" ref="F44" si="235">SUM(F42:F43)</f>
        <v>681.54486389008161</v>
      </c>
      <c r="G44" s="1678">
        <f t="shared" si="234"/>
        <v>694</v>
      </c>
      <c r="H44" s="2784">
        <f t="shared" si="234"/>
        <v>1461.7448638900817</v>
      </c>
      <c r="I44" s="1825">
        <f t="shared" si="234"/>
        <v>1474.2</v>
      </c>
      <c r="J44" s="2319">
        <f t="shared" ref="J44:M44" si="236">SUM(J42:J43)</f>
        <v>1056.9780824999998</v>
      </c>
      <c r="K44" s="1678">
        <f t="shared" si="236"/>
        <v>663.3</v>
      </c>
      <c r="L44" s="2951">
        <f t="shared" si="236"/>
        <v>2518.7229463900812</v>
      </c>
      <c r="M44" s="2005">
        <f t="shared" si="236"/>
        <v>2137.5</v>
      </c>
      <c r="N44" s="2319">
        <f t="shared" ref="N44:O44" si="237">SUM(N42:N43)</f>
        <v>2170.4448150000003</v>
      </c>
      <c r="O44" s="1678">
        <f t="shared" si="237"/>
        <v>823.2</v>
      </c>
      <c r="P44" s="2784">
        <f t="shared" ref="P44:S44" si="238">SUM(P42:P43)</f>
        <v>4689.1677613900811</v>
      </c>
      <c r="Q44" s="1825">
        <f t="shared" si="238"/>
        <v>2960.7</v>
      </c>
      <c r="R44" s="2319">
        <f t="shared" si="238"/>
        <v>2170.4448150000003</v>
      </c>
      <c r="S44" s="1678">
        <f t="shared" si="238"/>
        <v>853.7</v>
      </c>
      <c r="T44" s="2784">
        <f t="shared" ref="T44:Y44" si="239">SUM(T42:T43)</f>
        <v>6859.6125763900818</v>
      </c>
      <c r="U44" s="1825">
        <f t="shared" si="239"/>
        <v>3814.4</v>
      </c>
      <c r="V44" s="2319">
        <f t="shared" si="239"/>
        <v>2099.2249575000001</v>
      </c>
      <c r="W44" s="1678">
        <f t="shared" si="239"/>
        <v>860</v>
      </c>
      <c r="X44" s="2951">
        <f t="shared" si="239"/>
        <v>6440.1145875000002</v>
      </c>
      <c r="Y44" s="2005">
        <f t="shared" si="239"/>
        <v>2536.9</v>
      </c>
      <c r="Z44" s="6511">
        <f t="shared" ref="Z44:AM44" si="240">SUM(Z42:Z43)</f>
        <v>8958.8375338900805</v>
      </c>
      <c r="AA44" s="6594">
        <f t="shared" si="240"/>
        <v>4674.3999999999996</v>
      </c>
      <c r="AB44" s="2319">
        <f t="shared" si="240"/>
        <v>2170.4448150000003</v>
      </c>
      <c r="AC44" s="1678">
        <f t="shared" si="240"/>
        <v>948.8</v>
      </c>
      <c r="AD44" s="2784">
        <f t="shared" si="240"/>
        <v>11129.282348890081</v>
      </c>
      <c r="AE44" s="1825">
        <f t="shared" si="240"/>
        <v>5623.2</v>
      </c>
      <c r="AF44" s="2319">
        <f t="shared" si="240"/>
        <v>2099.2249575000001</v>
      </c>
      <c r="AG44" s="1678">
        <f t="shared" si="240"/>
        <v>904.69</v>
      </c>
      <c r="AH44" s="2784">
        <f t="shared" si="240"/>
        <v>13228.507306390082</v>
      </c>
      <c r="AI44" s="1825">
        <f t="shared" si="240"/>
        <v>6527.8899999999994</v>
      </c>
      <c r="AJ44" s="2319">
        <f t="shared" si="240"/>
        <v>2170.4448150000003</v>
      </c>
      <c r="AK44" s="1678">
        <f t="shared" si="240"/>
        <v>1184.72</v>
      </c>
      <c r="AL44" s="2951">
        <f t="shared" si="240"/>
        <v>6440.1145875000011</v>
      </c>
      <c r="AM44" s="2005">
        <f t="shared" si="240"/>
        <v>3038.21</v>
      </c>
      <c r="AN44" s="2784">
        <f t="shared" ref="AN44:AS44" si="241">SUM(AN42:AN43)</f>
        <v>15398.952121390081</v>
      </c>
      <c r="AO44" s="1825">
        <f t="shared" si="241"/>
        <v>7712.61</v>
      </c>
      <c r="AP44" s="2319">
        <f t="shared" si="241"/>
        <v>2170.4448150000003</v>
      </c>
      <c r="AQ44" s="1678">
        <f t="shared" si="241"/>
        <v>864.5</v>
      </c>
      <c r="AR44" s="2784">
        <f t="shared" si="241"/>
        <v>17569.396936390083</v>
      </c>
      <c r="AS44" s="1825">
        <f t="shared" si="241"/>
        <v>8577.11</v>
      </c>
      <c r="AT44" s="2319">
        <f t="shared" ref="AT44:AW44" si="242">SUM(AT42:AT43)</f>
        <v>1977.19191</v>
      </c>
      <c r="AU44" s="1678">
        <f t="shared" si="242"/>
        <v>894.3</v>
      </c>
      <c r="AV44" s="2784">
        <f t="shared" si="242"/>
        <v>19546.588846390081</v>
      </c>
      <c r="AW44" s="1825">
        <f t="shared" si="242"/>
        <v>9471.41</v>
      </c>
      <c r="AX44" s="2319">
        <f t="shared" ref="AX44:BE44" si="243">SUM(AX42:AX43)</f>
        <v>2170.4444400000002</v>
      </c>
      <c r="AY44" s="1678">
        <f t="shared" si="243"/>
        <v>1039.2</v>
      </c>
      <c r="AZ44" s="2951">
        <f t="shared" si="243"/>
        <v>6318.0811649999996</v>
      </c>
      <c r="BA44" s="2005">
        <f t="shared" si="243"/>
        <v>2798</v>
      </c>
      <c r="BB44" s="2951">
        <f t="shared" si="167"/>
        <v>12758.1957525</v>
      </c>
      <c r="BC44" s="2005">
        <f t="shared" si="168"/>
        <v>5836.21</v>
      </c>
      <c r="BD44" s="6511">
        <f t="shared" si="243"/>
        <v>21717.03328639008</v>
      </c>
      <c r="BE44" s="6594">
        <f t="shared" si="243"/>
        <v>10510.61</v>
      </c>
    </row>
    <row r="45" spans="1:57" x14ac:dyDescent="0.2">
      <c r="B45" s="1540" t="s">
        <v>679</v>
      </c>
      <c r="C45" s="1541" t="s">
        <v>170</v>
      </c>
      <c r="D45" s="6338">
        <v>0</v>
      </c>
      <c r="E45" s="2725">
        <v>0</v>
      </c>
      <c r="F45" s="6338">
        <v>0</v>
      </c>
      <c r="G45" s="1862">
        <v>0</v>
      </c>
      <c r="H45" s="2793">
        <f>+D45+F45</f>
        <v>0</v>
      </c>
      <c r="I45" s="3141">
        <f>+E45+G45</f>
        <v>0</v>
      </c>
      <c r="J45" s="3785">
        <v>0</v>
      </c>
      <c r="K45" s="1862">
        <v>0</v>
      </c>
      <c r="L45" s="2879">
        <f>+H45+J45</f>
        <v>0</v>
      </c>
      <c r="M45" s="3101">
        <f>+I45+K45</f>
        <v>0</v>
      </c>
      <c r="N45" s="3785">
        <v>603.03993750000006</v>
      </c>
      <c r="O45" s="6050">
        <v>0</v>
      </c>
      <c r="P45" s="2793">
        <f>+L45+N45</f>
        <v>603.03993750000006</v>
      </c>
      <c r="Q45" s="3141">
        <f>+M45+O45</f>
        <v>0</v>
      </c>
      <c r="R45" s="3785">
        <v>603.03993750000006</v>
      </c>
      <c r="S45" s="6050">
        <v>0</v>
      </c>
      <c r="T45" s="2793">
        <f>+P45+R45</f>
        <v>1206.0798750000001</v>
      </c>
      <c r="U45" s="3141">
        <f>+Q45+S45</f>
        <v>0</v>
      </c>
      <c r="V45" s="3785">
        <v>582.76968750000015</v>
      </c>
      <c r="W45" s="6050">
        <v>176.4</v>
      </c>
      <c r="X45" s="3046">
        <f t="shared" ref="X45" si="244">+N45+R45+V45</f>
        <v>1788.8495625000003</v>
      </c>
      <c r="Y45" s="2070">
        <f t="shared" ref="Y45" si="245">+O45+S45+W45</f>
        <v>176.4</v>
      </c>
      <c r="Z45" s="6618">
        <f>+T45+V45</f>
        <v>1788.8495625000003</v>
      </c>
      <c r="AA45" s="6700">
        <f>+U45+W45</f>
        <v>176.4</v>
      </c>
      <c r="AB45" s="3785">
        <v>603.03993750000006</v>
      </c>
      <c r="AC45" s="6050">
        <v>167.9</v>
      </c>
      <c r="AD45" s="2793">
        <f>+Z45+AB45</f>
        <v>2391.8895000000002</v>
      </c>
      <c r="AE45" s="3141">
        <f>+AA45+AC45</f>
        <v>344.3</v>
      </c>
      <c r="AF45" s="3785">
        <v>582.76968750000015</v>
      </c>
      <c r="AG45" s="6050">
        <v>183.6</v>
      </c>
      <c r="AH45" s="2793">
        <f>+AD45+AF45</f>
        <v>2974.6591875000004</v>
      </c>
      <c r="AI45" s="3141">
        <f>+AE45+AG45</f>
        <v>527.9</v>
      </c>
      <c r="AJ45" s="3785">
        <v>603.03993750000006</v>
      </c>
      <c r="AK45" s="6050">
        <v>198.48</v>
      </c>
      <c r="AL45" s="3046">
        <f t="shared" ref="AL45" si="246">+AB45+AF45+AJ45</f>
        <v>1788.8495625000005</v>
      </c>
      <c r="AM45" s="2070">
        <f t="shared" ref="AM45" si="247">+AC45+AG45+AK45</f>
        <v>549.98</v>
      </c>
      <c r="AN45" s="2793">
        <f>+AH45+AJ45</f>
        <v>3577.6991250000005</v>
      </c>
      <c r="AO45" s="3141">
        <f>+AI45+AK45</f>
        <v>726.38</v>
      </c>
      <c r="AP45" s="3785">
        <v>603.03993750000006</v>
      </c>
      <c r="AQ45" s="6050">
        <v>219.72</v>
      </c>
      <c r="AR45" s="2793">
        <f>+AN45+AP45</f>
        <v>4180.7390625000007</v>
      </c>
      <c r="AS45" s="3141">
        <f>+AO45+AQ45</f>
        <v>946.1</v>
      </c>
      <c r="AT45" s="3785">
        <f>+AX45*0.903225806451613</f>
        <v>544.64516129032268</v>
      </c>
      <c r="AU45" s="6050">
        <v>114.74</v>
      </c>
      <c r="AV45" s="2793">
        <f>+AR45+AT45</f>
        <v>4725.3842237903236</v>
      </c>
      <c r="AW45" s="3141">
        <f>+AS45+AU45</f>
        <v>1060.8399999999999</v>
      </c>
      <c r="AX45" s="3785">
        <v>603</v>
      </c>
      <c r="AY45" s="6050">
        <v>165.16</v>
      </c>
      <c r="AZ45" s="3046">
        <f t="shared" ref="AZ45" si="248">+AP45+AT45+AX45</f>
        <v>1750.6850987903226</v>
      </c>
      <c r="BA45" s="2070">
        <f t="shared" ref="BA45" si="249">+AQ45+AU45+AY45</f>
        <v>499.62</v>
      </c>
      <c r="BB45" s="3046">
        <f t="shared" si="167"/>
        <v>3539.5346612903231</v>
      </c>
      <c r="BC45" s="2070">
        <f t="shared" si="168"/>
        <v>1049.5999999999999</v>
      </c>
      <c r="BD45" s="6618">
        <f>+AV45+AX45</f>
        <v>5328.3842237903236</v>
      </c>
      <c r="BE45" s="6700">
        <f>+AW45+AY45</f>
        <v>1226</v>
      </c>
    </row>
    <row r="46" spans="1:57" s="3380" customFormat="1" ht="16" x14ac:dyDescent="0.2">
      <c r="A46" s="3379"/>
      <c r="B46" s="6819" t="s">
        <v>670</v>
      </c>
      <c r="C46" s="6820"/>
      <c r="D46" s="4919"/>
      <c r="E46" s="6802"/>
      <c r="F46" s="4919"/>
      <c r="G46" s="4921"/>
      <c r="H46" s="4922"/>
      <c r="I46" s="4920"/>
      <c r="J46" s="4922"/>
      <c r="K46" s="4920"/>
      <c r="L46" s="4922"/>
      <c r="M46" s="4920"/>
      <c r="N46" s="4922"/>
      <c r="O46" s="4920"/>
      <c r="P46" s="4922"/>
      <c r="Q46" s="4920"/>
      <c r="R46" s="4922"/>
      <c r="S46" s="4920"/>
      <c r="T46" s="4922"/>
      <c r="U46" s="4920"/>
      <c r="V46" s="4922"/>
      <c r="W46" s="4920"/>
      <c r="X46" s="4922"/>
      <c r="Y46" s="4920"/>
      <c r="Z46" s="4922"/>
      <c r="AA46" s="4920"/>
      <c r="AB46" s="4922"/>
      <c r="AC46" s="4920"/>
      <c r="AD46" s="4922"/>
      <c r="AE46" s="4920"/>
      <c r="AF46" s="4922"/>
      <c r="AG46" s="4920"/>
      <c r="AH46" s="4922"/>
      <c r="AI46" s="4920"/>
      <c r="AJ46" s="4922"/>
      <c r="AK46" s="4920"/>
      <c r="AL46" s="4922"/>
      <c r="AM46" s="4920"/>
      <c r="AN46" s="4922"/>
      <c r="AO46" s="4920"/>
      <c r="AP46" s="4922"/>
      <c r="AQ46" s="4920"/>
      <c r="AR46" s="4922"/>
      <c r="AS46" s="4920"/>
      <c r="AT46" s="4922"/>
      <c r="AU46" s="4920"/>
      <c r="AV46" s="4922"/>
      <c r="AW46" s="4920"/>
      <c r="AX46" s="4922"/>
      <c r="AY46" s="4920"/>
      <c r="AZ46" s="4922"/>
      <c r="BA46" s="4920"/>
      <c r="BB46" s="4922"/>
      <c r="BC46" s="4920"/>
      <c r="BD46" s="4922"/>
      <c r="BE46" s="4920"/>
    </row>
    <row r="47" spans="1:57" x14ac:dyDescent="0.2">
      <c r="B47" s="1559" t="s">
        <v>671</v>
      </c>
      <c r="C47" s="1544" t="s">
        <v>170</v>
      </c>
      <c r="D47" s="3220">
        <v>0</v>
      </c>
      <c r="E47" s="2723">
        <v>0</v>
      </c>
      <c r="F47" s="3220">
        <v>16.5</v>
      </c>
      <c r="G47" s="1860">
        <v>16.59</v>
      </c>
      <c r="H47" s="2794">
        <f>+D47+F47</f>
        <v>16.5</v>
      </c>
      <c r="I47" s="2807">
        <f>+E47+G47</f>
        <v>16.59</v>
      </c>
      <c r="J47" s="3224">
        <v>19.864000000000001</v>
      </c>
      <c r="K47" s="1860">
        <v>19.864000000000001</v>
      </c>
      <c r="L47" s="2260">
        <f>+H47+J47</f>
        <v>36.364000000000004</v>
      </c>
      <c r="M47" s="2888">
        <f>+I47+K47</f>
        <v>36.454000000000001</v>
      </c>
      <c r="N47" s="3224">
        <v>162.82078312500002</v>
      </c>
      <c r="O47" s="6049">
        <v>0</v>
      </c>
      <c r="P47" s="2794">
        <f>+L47+N47</f>
        <v>199.18478312500002</v>
      </c>
      <c r="Q47" s="2807">
        <f>+M47+O47</f>
        <v>36.454000000000001</v>
      </c>
      <c r="R47" s="3224">
        <v>162.82078312500002</v>
      </c>
      <c r="S47" s="6049">
        <v>52.073</v>
      </c>
      <c r="T47" s="2794">
        <f>+P47+R47</f>
        <v>362.00556625000002</v>
      </c>
      <c r="U47" s="2807">
        <f>+Q47+S47</f>
        <v>88.527000000000001</v>
      </c>
      <c r="V47" s="3224">
        <v>157.34781562500004</v>
      </c>
      <c r="W47" s="6049">
        <v>35.271999999999998</v>
      </c>
      <c r="X47" s="3046">
        <f t="shared" ref="X47:X51" si="250">+N47+R47+V47</f>
        <v>482.98938187500005</v>
      </c>
      <c r="Y47" s="2070">
        <f t="shared" ref="Y47:Y51" si="251">+O47+S47+W47</f>
        <v>87.344999999999999</v>
      </c>
      <c r="Z47" s="6612">
        <f>+T47+V47</f>
        <v>519.35338187500008</v>
      </c>
      <c r="AA47" s="6686">
        <f>+U47+W47</f>
        <v>123.79900000000001</v>
      </c>
      <c r="AB47" s="3224">
        <v>162.82078312500002</v>
      </c>
      <c r="AC47" s="6049">
        <v>36.119</v>
      </c>
      <c r="AD47" s="2794">
        <f>+Z47+AB47</f>
        <v>682.17416500000013</v>
      </c>
      <c r="AE47" s="2807">
        <f>+AA47+AC47</f>
        <v>159.91800000000001</v>
      </c>
      <c r="AF47" s="3224">
        <v>157.34781562500004</v>
      </c>
      <c r="AG47" s="6049">
        <v>55.573999999999998</v>
      </c>
      <c r="AH47" s="2794">
        <f>+AD47+AF47</f>
        <v>839.5219806250002</v>
      </c>
      <c r="AI47" s="2807">
        <f>+AE47+AG47</f>
        <v>215.49200000000002</v>
      </c>
      <c r="AJ47" s="3224">
        <v>162.82078312500002</v>
      </c>
      <c r="AK47" s="6049">
        <v>37.130000000000003</v>
      </c>
      <c r="AL47" s="3046">
        <f t="shared" ref="AL47:AL51" si="252">+AB47+AF47+AJ47</f>
        <v>482.98938187500005</v>
      </c>
      <c r="AM47" s="2070">
        <f t="shared" ref="AM47:AM51" si="253">+AC47+AG47+AK47</f>
        <v>128.82300000000001</v>
      </c>
      <c r="AN47" s="2794">
        <f>+AH47+AJ47</f>
        <v>1002.3427637500002</v>
      </c>
      <c r="AO47" s="2807">
        <f>+AI47+AK47</f>
        <v>252.62200000000001</v>
      </c>
      <c r="AP47" s="3224">
        <v>162.82078312500002</v>
      </c>
      <c r="AQ47" s="6049">
        <v>65.376999999999995</v>
      </c>
      <c r="AR47" s="2794">
        <f>+AN47+AP47</f>
        <v>1165.1635468750003</v>
      </c>
      <c r="AS47" s="2807">
        <f>+AO47+AQ47</f>
        <v>317.99900000000002</v>
      </c>
      <c r="AT47" s="3224">
        <v>146.4</v>
      </c>
      <c r="AU47" s="6049">
        <v>36.880000000000003</v>
      </c>
      <c r="AV47" s="2794">
        <f>+AR47+AT47</f>
        <v>1311.5635468750004</v>
      </c>
      <c r="AW47" s="2807">
        <f>+AS47+AU47</f>
        <v>354.87900000000002</v>
      </c>
      <c r="AX47" s="3224">
        <v>162.80000000000001</v>
      </c>
      <c r="AY47" s="6049">
        <v>55.957000000000001</v>
      </c>
      <c r="AZ47" s="3046">
        <f t="shared" ref="AZ47:AZ51" si="254">+AP47+AT47+AX47</f>
        <v>472.02078312500004</v>
      </c>
      <c r="BA47" s="2070">
        <f t="shared" ref="BA47:BA51" si="255">+AQ47+AU47+AY47</f>
        <v>158.214</v>
      </c>
      <c r="BB47" s="3046">
        <f t="shared" si="167"/>
        <v>955.01016500000014</v>
      </c>
      <c r="BC47" s="2070">
        <f t="shared" si="168"/>
        <v>287.03700000000003</v>
      </c>
      <c r="BD47" s="6612">
        <f>+AV47+AX47</f>
        <v>1474.3635468750003</v>
      </c>
      <c r="BE47" s="6686">
        <f>+AW47+AY47</f>
        <v>410.83600000000001</v>
      </c>
    </row>
    <row r="48" spans="1:57" x14ac:dyDescent="0.2">
      <c r="B48" s="1559" t="s">
        <v>672</v>
      </c>
      <c r="C48" s="1544" t="s">
        <v>170</v>
      </c>
      <c r="D48" s="3220">
        <v>0</v>
      </c>
      <c r="E48" s="2723">
        <v>0</v>
      </c>
      <c r="F48" s="3220">
        <v>23.376000000000001</v>
      </c>
      <c r="G48" s="1860">
        <v>23.376000000000001</v>
      </c>
      <c r="H48" s="2794">
        <f t="shared" ref="H48:H51" si="256">+D48+F48</f>
        <v>23.376000000000001</v>
      </c>
      <c r="I48" s="2807">
        <f t="shared" ref="I48:I51" si="257">+E48+G48</f>
        <v>23.376000000000001</v>
      </c>
      <c r="J48" s="3224">
        <v>15.74</v>
      </c>
      <c r="K48" s="1860">
        <v>15.74</v>
      </c>
      <c r="L48" s="2260">
        <f t="shared" ref="L48:L51" si="258">+H48+J48</f>
        <v>39.116</v>
      </c>
      <c r="M48" s="2888">
        <f t="shared" ref="M48:M51" si="259">+I48+K48</f>
        <v>39.116</v>
      </c>
      <c r="N48" s="3224">
        <v>217.09437750000001</v>
      </c>
      <c r="O48" s="6049">
        <v>0</v>
      </c>
      <c r="P48" s="2794">
        <f t="shared" ref="P48:P51" si="260">+L48+N48</f>
        <v>256.21037749999999</v>
      </c>
      <c r="Q48" s="2807">
        <f t="shared" ref="Q48:Q51" si="261">+M48+O48</f>
        <v>39.116</v>
      </c>
      <c r="R48" s="3224">
        <v>217.09437750000001</v>
      </c>
      <c r="S48" s="6049">
        <v>42.031999999999996</v>
      </c>
      <c r="T48" s="2794">
        <f t="shared" ref="T48:T51" si="262">+P48+R48</f>
        <v>473.304755</v>
      </c>
      <c r="U48" s="2807">
        <f t="shared" ref="U48:U51" si="263">+Q48+S48</f>
        <v>81.147999999999996</v>
      </c>
      <c r="V48" s="3224">
        <v>209.79708750000006</v>
      </c>
      <c r="W48" s="6049">
        <v>51.890999999999998</v>
      </c>
      <c r="X48" s="3046">
        <f t="shared" si="250"/>
        <v>643.9858425000001</v>
      </c>
      <c r="Y48" s="2070">
        <f t="shared" si="251"/>
        <v>93.923000000000002</v>
      </c>
      <c r="Z48" s="6612">
        <f t="shared" ref="Z48:Z51" si="264">+T48+V48</f>
        <v>683.10184250000009</v>
      </c>
      <c r="AA48" s="6686">
        <f t="shared" ref="AA48:AA51" si="265">+U48+W48</f>
        <v>133.03899999999999</v>
      </c>
      <c r="AB48" s="3224">
        <v>217.09437750000001</v>
      </c>
      <c r="AC48" s="6049">
        <v>34.631</v>
      </c>
      <c r="AD48" s="2794">
        <f t="shared" ref="AD48:AD51" si="266">+Z48+AB48</f>
        <v>900.19622000000004</v>
      </c>
      <c r="AE48" s="2807">
        <f t="shared" ref="AE48:AE51" si="267">+AA48+AC48</f>
        <v>167.67</v>
      </c>
      <c r="AF48" s="3224">
        <v>209.79708750000006</v>
      </c>
      <c r="AG48" s="6049">
        <v>75.244</v>
      </c>
      <c r="AH48" s="2794">
        <f t="shared" ref="AH48:AH51" si="268">+AD48+AF48</f>
        <v>1109.9933075000001</v>
      </c>
      <c r="AI48" s="2807">
        <f t="shared" ref="AI48:AI51" si="269">+AE48+AG48</f>
        <v>242.91399999999999</v>
      </c>
      <c r="AJ48" s="3224">
        <v>217.09437750000001</v>
      </c>
      <c r="AK48" s="6049">
        <v>53.139000000000003</v>
      </c>
      <c r="AL48" s="3046">
        <f t="shared" si="252"/>
        <v>643.98584249999999</v>
      </c>
      <c r="AM48" s="2070">
        <f t="shared" si="253"/>
        <v>163.01400000000001</v>
      </c>
      <c r="AN48" s="2794">
        <f t="shared" ref="AN48:AN51" si="270">+AH48+AJ48</f>
        <v>1327.0876850000002</v>
      </c>
      <c r="AO48" s="2807">
        <f t="shared" ref="AO48:AO51" si="271">+AI48+AK48</f>
        <v>296.053</v>
      </c>
      <c r="AP48" s="3224">
        <v>217.09437750000001</v>
      </c>
      <c r="AQ48" s="6049">
        <v>66.11</v>
      </c>
      <c r="AR48" s="2794">
        <f t="shared" ref="AR48:AR51" si="272">+AN48+AP48</f>
        <v>1544.1820625000003</v>
      </c>
      <c r="AS48" s="2807">
        <f t="shared" ref="AS48:AS51" si="273">+AO48+AQ48</f>
        <v>362.16300000000001</v>
      </c>
      <c r="AT48" s="3224">
        <v>195.2</v>
      </c>
      <c r="AU48" s="6049">
        <v>49.890999999999998</v>
      </c>
      <c r="AV48" s="2794">
        <f t="shared" ref="AV48:AV51" si="274">+AR48+AT48</f>
        <v>1739.3820625000003</v>
      </c>
      <c r="AW48" s="2807">
        <f t="shared" ref="AW48:AW51" si="275">+AS48+AU48</f>
        <v>412.05400000000003</v>
      </c>
      <c r="AX48" s="3224">
        <v>217.1</v>
      </c>
      <c r="AY48" s="6049">
        <v>57.137</v>
      </c>
      <c r="AZ48" s="3046">
        <f t="shared" si="254"/>
        <v>629.39437750000002</v>
      </c>
      <c r="BA48" s="2070">
        <f t="shared" si="255"/>
        <v>173.13800000000001</v>
      </c>
      <c r="BB48" s="3046">
        <f t="shared" si="167"/>
        <v>1273.38022</v>
      </c>
      <c r="BC48" s="2070">
        <f t="shared" si="168"/>
        <v>336.15200000000004</v>
      </c>
      <c r="BD48" s="6612">
        <f t="shared" ref="BD48:BD51" si="276">+AV48+AX48</f>
        <v>1956.4820625000002</v>
      </c>
      <c r="BE48" s="6686">
        <f t="shared" ref="BE48:BE51" si="277">+AW48+AY48</f>
        <v>469.19100000000003</v>
      </c>
    </row>
    <row r="49" spans="1:57" x14ac:dyDescent="0.2">
      <c r="B49" s="1559" t="s">
        <v>673</v>
      </c>
      <c r="C49" s="1544" t="s">
        <v>170</v>
      </c>
      <c r="D49" s="3220">
        <v>0</v>
      </c>
      <c r="E49" s="2723">
        <v>0</v>
      </c>
      <c r="F49" s="3220">
        <v>1.04</v>
      </c>
      <c r="G49" s="1860">
        <v>1.04</v>
      </c>
      <c r="H49" s="2794">
        <f t="shared" si="256"/>
        <v>1.04</v>
      </c>
      <c r="I49" s="2807">
        <f t="shared" si="257"/>
        <v>1.04</v>
      </c>
      <c r="J49" s="3224">
        <v>12.706</v>
      </c>
      <c r="K49" s="1860">
        <v>12.706</v>
      </c>
      <c r="L49" s="2260">
        <f t="shared" si="258"/>
        <v>13.745999999999999</v>
      </c>
      <c r="M49" s="2888">
        <f t="shared" si="259"/>
        <v>13.745999999999999</v>
      </c>
      <c r="N49" s="3224">
        <v>27.136797187500001</v>
      </c>
      <c r="O49" s="6049">
        <v>0</v>
      </c>
      <c r="P49" s="2794">
        <f t="shared" si="260"/>
        <v>40.882797187500003</v>
      </c>
      <c r="Q49" s="2807">
        <f t="shared" si="261"/>
        <v>13.745999999999999</v>
      </c>
      <c r="R49" s="3224">
        <v>27.136797187500001</v>
      </c>
      <c r="S49" s="6049">
        <v>0</v>
      </c>
      <c r="T49" s="2794">
        <f t="shared" si="262"/>
        <v>68.019594374999997</v>
      </c>
      <c r="U49" s="2807">
        <f t="shared" si="263"/>
        <v>13.745999999999999</v>
      </c>
      <c r="V49" s="3224">
        <v>26.224635937500008</v>
      </c>
      <c r="W49" s="6049">
        <v>0</v>
      </c>
      <c r="X49" s="3046">
        <f t="shared" si="250"/>
        <v>80.498230312500013</v>
      </c>
      <c r="Y49" s="2070">
        <f t="shared" si="251"/>
        <v>0</v>
      </c>
      <c r="Z49" s="6612">
        <f t="shared" si="264"/>
        <v>94.244230312500008</v>
      </c>
      <c r="AA49" s="6686">
        <f t="shared" si="265"/>
        <v>13.745999999999999</v>
      </c>
      <c r="AB49" s="3224">
        <v>27.136797187500001</v>
      </c>
      <c r="AC49" s="6049">
        <v>10.7</v>
      </c>
      <c r="AD49" s="2794">
        <f t="shared" si="266"/>
        <v>121.38102750000002</v>
      </c>
      <c r="AE49" s="2807">
        <f t="shared" si="267"/>
        <v>24.445999999999998</v>
      </c>
      <c r="AF49" s="3224">
        <v>26.224635937500008</v>
      </c>
      <c r="AG49" s="6049">
        <v>0</v>
      </c>
      <c r="AH49" s="2794">
        <f t="shared" si="268"/>
        <v>147.60566343750003</v>
      </c>
      <c r="AI49" s="2807">
        <f t="shared" si="269"/>
        <v>24.445999999999998</v>
      </c>
      <c r="AJ49" s="3224">
        <v>27.136797187500001</v>
      </c>
      <c r="AK49" s="6049">
        <v>0</v>
      </c>
      <c r="AL49" s="3046">
        <f t="shared" si="252"/>
        <v>80.498230312499999</v>
      </c>
      <c r="AM49" s="2070">
        <f t="shared" si="253"/>
        <v>10.7</v>
      </c>
      <c r="AN49" s="2794">
        <f t="shared" si="270"/>
        <v>174.74246062500004</v>
      </c>
      <c r="AO49" s="2807">
        <f t="shared" si="271"/>
        <v>24.445999999999998</v>
      </c>
      <c r="AP49" s="3224">
        <v>27.136797187500001</v>
      </c>
      <c r="AQ49" s="6049">
        <v>15.018000000000001</v>
      </c>
      <c r="AR49" s="2794">
        <f t="shared" si="272"/>
        <v>201.87925781250004</v>
      </c>
      <c r="AS49" s="2807">
        <f t="shared" si="273"/>
        <v>39.463999999999999</v>
      </c>
      <c r="AT49" s="3224">
        <v>24.4</v>
      </c>
      <c r="AU49" s="6049">
        <v>4.1139999999999999</v>
      </c>
      <c r="AV49" s="2794">
        <f t="shared" si="274"/>
        <v>226.27925781250005</v>
      </c>
      <c r="AW49" s="2807">
        <f t="shared" si="275"/>
        <v>43.577999999999996</v>
      </c>
      <c r="AX49" s="3224">
        <v>27.1</v>
      </c>
      <c r="AY49" s="6049">
        <v>0</v>
      </c>
      <c r="AZ49" s="3046">
        <f t="shared" si="254"/>
        <v>78.636797187500008</v>
      </c>
      <c r="BA49" s="2070">
        <f t="shared" si="255"/>
        <v>19.132000000000001</v>
      </c>
      <c r="BB49" s="3046">
        <f t="shared" si="167"/>
        <v>159.13502750000001</v>
      </c>
      <c r="BC49" s="2070">
        <f t="shared" si="168"/>
        <v>29.832000000000001</v>
      </c>
      <c r="BD49" s="6612">
        <f t="shared" si="276"/>
        <v>253.37925781250004</v>
      </c>
      <c r="BE49" s="6686">
        <f t="shared" si="277"/>
        <v>43.577999999999996</v>
      </c>
    </row>
    <row r="50" spans="1:57" x14ac:dyDescent="0.2">
      <c r="B50" s="1559" t="s">
        <v>674</v>
      </c>
      <c r="C50" s="1544" t="s">
        <v>170</v>
      </c>
      <c r="D50" s="3220">
        <v>0</v>
      </c>
      <c r="E50" s="2723">
        <v>0</v>
      </c>
      <c r="F50" s="3220">
        <v>0</v>
      </c>
      <c r="G50" s="1860">
        <v>0</v>
      </c>
      <c r="H50" s="2794">
        <f t="shared" si="256"/>
        <v>0</v>
      </c>
      <c r="I50" s="2807">
        <f t="shared" si="257"/>
        <v>0</v>
      </c>
      <c r="J50" s="3224">
        <v>0.51500000000000001</v>
      </c>
      <c r="K50" s="1860">
        <v>0.51500000000000001</v>
      </c>
      <c r="L50" s="2260">
        <f t="shared" si="258"/>
        <v>0.51500000000000001</v>
      </c>
      <c r="M50" s="2888">
        <f t="shared" si="259"/>
        <v>0.51500000000000001</v>
      </c>
      <c r="N50" s="3224">
        <v>15.075998437500003</v>
      </c>
      <c r="O50" s="6049">
        <v>0</v>
      </c>
      <c r="P50" s="2794">
        <f t="shared" si="260"/>
        <v>15.590998437500003</v>
      </c>
      <c r="Q50" s="2807">
        <f t="shared" si="261"/>
        <v>0.51500000000000001</v>
      </c>
      <c r="R50" s="3224">
        <v>15.075998437500003</v>
      </c>
      <c r="S50" s="6049">
        <v>10.715999999999999</v>
      </c>
      <c r="T50" s="2794">
        <f t="shared" si="262"/>
        <v>30.666996875000006</v>
      </c>
      <c r="U50" s="2807">
        <f t="shared" si="263"/>
        <v>11.231</v>
      </c>
      <c r="V50" s="3224">
        <v>14.569242187500004</v>
      </c>
      <c r="W50" s="6049">
        <v>0</v>
      </c>
      <c r="X50" s="3046">
        <f t="shared" si="250"/>
        <v>44.721239062500011</v>
      </c>
      <c r="Y50" s="2070">
        <f t="shared" si="251"/>
        <v>10.715999999999999</v>
      </c>
      <c r="Z50" s="6612">
        <f t="shared" si="264"/>
        <v>45.236239062500012</v>
      </c>
      <c r="AA50" s="6686">
        <f t="shared" si="265"/>
        <v>11.231</v>
      </c>
      <c r="AB50" s="3224">
        <v>15.075998437500003</v>
      </c>
      <c r="AC50" s="6049">
        <v>7.14</v>
      </c>
      <c r="AD50" s="2794">
        <f t="shared" si="266"/>
        <v>60.312237500000016</v>
      </c>
      <c r="AE50" s="2807">
        <f t="shared" si="267"/>
        <v>18.370999999999999</v>
      </c>
      <c r="AF50" s="3224">
        <v>14.569242187500004</v>
      </c>
      <c r="AG50" s="6049">
        <v>5.7779999999999996</v>
      </c>
      <c r="AH50" s="2794">
        <f t="shared" si="268"/>
        <v>74.881479687500018</v>
      </c>
      <c r="AI50" s="2807">
        <f t="shared" si="269"/>
        <v>24.148999999999997</v>
      </c>
      <c r="AJ50" s="3224">
        <v>15.075998437500003</v>
      </c>
      <c r="AK50" s="6049">
        <v>8.5969999999999995</v>
      </c>
      <c r="AL50" s="3046">
        <f t="shared" si="252"/>
        <v>44.721239062500011</v>
      </c>
      <c r="AM50" s="2070">
        <f t="shared" si="253"/>
        <v>21.515000000000001</v>
      </c>
      <c r="AN50" s="2794">
        <f t="shared" si="270"/>
        <v>89.957478125000023</v>
      </c>
      <c r="AO50" s="2807">
        <f t="shared" si="271"/>
        <v>32.745999999999995</v>
      </c>
      <c r="AP50" s="3224">
        <v>15.075998437500003</v>
      </c>
      <c r="AQ50" s="6049">
        <v>15.016999999999999</v>
      </c>
      <c r="AR50" s="2794">
        <f t="shared" si="272"/>
        <v>105.03347656250003</v>
      </c>
      <c r="AS50" s="2807">
        <f t="shared" si="273"/>
        <v>47.762999999999991</v>
      </c>
      <c r="AT50" s="3224">
        <v>13.6</v>
      </c>
      <c r="AU50" s="6049">
        <v>4.6059999999999999</v>
      </c>
      <c r="AV50" s="2794">
        <f t="shared" si="274"/>
        <v>118.63347656250002</v>
      </c>
      <c r="AW50" s="2807">
        <f t="shared" si="275"/>
        <v>52.368999999999993</v>
      </c>
      <c r="AX50" s="3224">
        <v>15.1</v>
      </c>
      <c r="AY50" s="6049">
        <v>10.273999999999999</v>
      </c>
      <c r="AZ50" s="3046">
        <f t="shared" si="254"/>
        <v>43.7759984375</v>
      </c>
      <c r="BA50" s="2070">
        <f t="shared" si="255"/>
        <v>29.896999999999998</v>
      </c>
      <c r="BB50" s="3046">
        <f t="shared" si="167"/>
        <v>88.497237500000011</v>
      </c>
      <c r="BC50" s="2070">
        <f t="shared" si="168"/>
        <v>51.411999999999999</v>
      </c>
      <c r="BD50" s="6612">
        <f t="shared" si="276"/>
        <v>133.73347656250002</v>
      </c>
      <c r="BE50" s="6686">
        <f t="shared" si="277"/>
        <v>62.642999999999994</v>
      </c>
    </row>
    <row r="51" spans="1:57" ht="16" thickBot="1" x14ac:dyDescent="0.25">
      <c r="B51" s="1558" t="s">
        <v>675</v>
      </c>
      <c r="C51" s="1547" t="s">
        <v>170</v>
      </c>
      <c r="D51" s="6350">
        <v>0</v>
      </c>
      <c r="E51" s="3841">
        <v>0</v>
      </c>
      <c r="F51" s="6350">
        <v>0</v>
      </c>
      <c r="G51" s="1860">
        <v>0</v>
      </c>
      <c r="H51" s="2794">
        <f t="shared" si="256"/>
        <v>0</v>
      </c>
      <c r="I51" s="2807">
        <f t="shared" si="257"/>
        <v>0</v>
      </c>
      <c r="J51" s="3232">
        <v>1.2</v>
      </c>
      <c r="K51" s="1860">
        <v>1.2</v>
      </c>
      <c r="L51" s="2260">
        <f t="shared" si="258"/>
        <v>1.2</v>
      </c>
      <c r="M51" s="2888">
        <f t="shared" si="259"/>
        <v>1.2</v>
      </c>
      <c r="N51" s="3232">
        <v>60.303993750000011</v>
      </c>
      <c r="O51" s="6049">
        <v>0</v>
      </c>
      <c r="P51" s="2794">
        <f t="shared" si="260"/>
        <v>61.503993750000014</v>
      </c>
      <c r="Q51" s="2807">
        <f t="shared" si="261"/>
        <v>1.2</v>
      </c>
      <c r="R51" s="3232">
        <v>60.303993750000011</v>
      </c>
      <c r="S51" s="6049">
        <v>9.5</v>
      </c>
      <c r="T51" s="2794">
        <f t="shared" si="262"/>
        <v>121.80798750000002</v>
      </c>
      <c r="U51" s="2807">
        <f t="shared" si="263"/>
        <v>10.7</v>
      </c>
      <c r="V51" s="3232">
        <v>58.276968750000016</v>
      </c>
      <c r="W51" s="6049">
        <v>8.4</v>
      </c>
      <c r="X51" s="3046">
        <f t="shared" si="250"/>
        <v>178.88495625000004</v>
      </c>
      <c r="Y51" s="2070">
        <f t="shared" si="251"/>
        <v>17.899999999999999</v>
      </c>
      <c r="Z51" s="6612">
        <f t="shared" si="264"/>
        <v>180.08495625000003</v>
      </c>
      <c r="AA51" s="6686">
        <f t="shared" si="265"/>
        <v>19.100000000000001</v>
      </c>
      <c r="AB51" s="3232">
        <v>60.303993750000011</v>
      </c>
      <c r="AC51" s="6049">
        <v>0</v>
      </c>
      <c r="AD51" s="2794">
        <f t="shared" si="266"/>
        <v>240.38895000000005</v>
      </c>
      <c r="AE51" s="2807">
        <f t="shared" si="267"/>
        <v>19.100000000000001</v>
      </c>
      <c r="AF51" s="3232">
        <v>58.276968750000016</v>
      </c>
      <c r="AG51" s="6049">
        <v>7</v>
      </c>
      <c r="AH51" s="2794">
        <f t="shared" si="268"/>
        <v>298.66591875000006</v>
      </c>
      <c r="AI51" s="2807">
        <f t="shared" si="269"/>
        <v>26.1</v>
      </c>
      <c r="AJ51" s="3232">
        <v>60.303993750000011</v>
      </c>
      <c r="AK51" s="6049">
        <v>13.5</v>
      </c>
      <c r="AL51" s="3046">
        <f t="shared" si="252"/>
        <v>178.88495625000004</v>
      </c>
      <c r="AM51" s="2070">
        <f t="shared" si="253"/>
        <v>20.5</v>
      </c>
      <c r="AN51" s="2794">
        <f t="shared" si="270"/>
        <v>358.96991250000008</v>
      </c>
      <c r="AO51" s="2807">
        <f t="shared" si="271"/>
        <v>39.6</v>
      </c>
      <c r="AP51" s="3232">
        <v>60.303993750000011</v>
      </c>
      <c r="AQ51" s="6049">
        <v>17</v>
      </c>
      <c r="AR51" s="2794">
        <f t="shared" si="272"/>
        <v>419.2739062500001</v>
      </c>
      <c r="AS51" s="2807">
        <f t="shared" si="273"/>
        <v>56.6</v>
      </c>
      <c r="AT51" s="3232">
        <v>54.2</v>
      </c>
      <c r="AU51" s="6049">
        <v>8.75</v>
      </c>
      <c r="AV51" s="2794">
        <f t="shared" si="274"/>
        <v>473.47390625000008</v>
      </c>
      <c r="AW51" s="2807">
        <f t="shared" si="275"/>
        <v>65.349999999999994</v>
      </c>
      <c r="AX51" s="3232">
        <v>60.3</v>
      </c>
      <c r="AY51" s="6049">
        <v>11.5</v>
      </c>
      <c r="AZ51" s="3046">
        <f t="shared" si="254"/>
        <v>174.80399375000002</v>
      </c>
      <c r="BA51" s="2070">
        <f t="shared" si="255"/>
        <v>37.25</v>
      </c>
      <c r="BB51" s="3046">
        <f t="shared" si="167"/>
        <v>353.68895000000009</v>
      </c>
      <c r="BC51" s="2070">
        <f t="shared" si="168"/>
        <v>57.75</v>
      </c>
      <c r="BD51" s="6612">
        <f t="shared" si="276"/>
        <v>533.7739062500001</v>
      </c>
      <c r="BE51" s="6686">
        <f t="shared" si="277"/>
        <v>76.849999999999994</v>
      </c>
    </row>
    <row r="52" spans="1:57" ht="17" thickBot="1" x14ac:dyDescent="0.25">
      <c r="B52" s="1560" t="s">
        <v>1124</v>
      </c>
      <c r="C52" s="1561" t="s">
        <v>170</v>
      </c>
      <c r="D52" s="1794">
        <f t="shared" ref="D52:I52" si="278">SUM(D47:D51)</f>
        <v>0</v>
      </c>
      <c r="E52" s="2820">
        <f t="shared" si="278"/>
        <v>0</v>
      </c>
      <c r="F52" s="1794">
        <f t="shared" ref="F52" si="279">SUM(F47:F51)</f>
        <v>40.916000000000004</v>
      </c>
      <c r="G52" s="3857">
        <f t="shared" si="278"/>
        <v>41.006</v>
      </c>
      <c r="H52" s="2792">
        <f t="shared" si="278"/>
        <v>40.916000000000004</v>
      </c>
      <c r="I52" s="1826">
        <f t="shared" si="278"/>
        <v>41.006</v>
      </c>
      <c r="J52" s="2685">
        <f t="shared" ref="J52:M52" si="280">SUM(J47:J51)</f>
        <v>50.025000000000006</v>
      </c>
      <c r="K52" s="1681">
        <f t="shared" si="280"/>
        <v>50.025000000000006</v>
      </c>
      <c r="L52" s="2955">
        <f t="shared" si="280"/>
        <v>90.941000000000003</v>
      </c>
      <c r="M52" s="2014">
        <f t="shared" si="280"/>
        <v>91.030999999999992</v>
      </c>
      <c r="N52" s="2685">
        <f t="shared" ref="N52:O52" si="281">SUM(N47:N51)</f>
        <v>482.43195000000003</v>
      </c>
      <c r="O52" s="1681">
        <f t="shared" si="281"/>
        <v>0</v>
      </c>
      <c r="P52" s="2792">
        <f t="shared" ref="P52:S52" si="282">SUM(P47:P51)</f>
        <v>573.37295000000006</v>
      </c>
      <c r="Q52" s="1826">
        <f t="shared" si="282"/>
        <v>91.030999999999992</v>
      </c>
      <c r="R52" s="2685">
        <f t="shared" si="282"/>
        <v>482.43195000000003</v>
      </c>
      <c r="S52" s="1681">
        <f t="shared" si="282"/>
        <v>114.32099999999998</v>
      </c>
      <c r="T52" s="2792">
        <f t="shared" ref="T52:Y52" si="283">SUM(T47:T51)</f>
        <v>1055.8049000000001</v>
      </c>
      <c r="U52" s="1826">
        <f t="shared" si="283"/>
        <v>205.352</v>
      </c>
      <c r="V52" s="2685">
        <f t="shared" si="283"/>
        <v>466.21575000000013</v>
      </c>
      <c r="W52" s="1681">
        <f t="shared" si="283"/>
        <v>95.563000000000002</v>
      </c>
      <c r="X52" s="2955">
        <f t="shared" si="283"/>
        <v>1431.0796500000001</v>
      </c>
      <c r="Y52" s="2014">
        <f t="shared" si="283"/>
        <v>209.88400000000001</v>
      </c>
      <c r="Z52" s="6605">
        <f t="shared" ref="Z52:AM52" si="284">SUM(Z47:Z51)</f>
        <v>1522.0206500000004</v>
      </c>
      <c r="AA52" s="6597">
        <f t="shared" si="284"/>
        <v>300.91499999999996</v>
      </c>
      <c r="AB52" s="2685">
        <f t="shared" si="284"/>
        <v>482.43195000000003</v>
      </c>
      <c r="AC52" s="1681">
        <f t="shared" si="284"/>
        <v>88.59</v>
      </c>
      <c r="AD52" s="2792">
        <f t="shared" si="284"/>
        <v>2004.4526000000003</v>
      </c>
      <c r="AE52" s="1826">
        <f t="shared" si="284"/>
        <v>389.505</v>
      </c>
      <c r="AF52" s="2685">
        <f t="shared" si="284"/>
        <v>466.21575000000013</v>
      </c>
      <c r="AG52" s="1681">
        <f t="shared" si="284"/>
        <v>143.59599999999998</v>
      </c>
      <c r="AH52" s="2792">
        <f t="shared" si="284"/>
        <v>2470.6683500000004</v>
      </c>
      <c r="AI52" s="1826">
        <f t="shared" si="284"/>
        <v>533.101</v>
      </c>
      <c r="AJ52" s="2685">
        <f t="shared" si="284"/>
        <v>482.43195000000003</v>
      </c>
      <c r="AK52" s="1681">
        <f t="shared" si="284"/>
        <v>112.366</v>
      </c>
      <c r="AL52" s="2955">
        <f t="shared" si="284"/>
        <v>1431.0796499999999</v>
      </c>
      <c r="AM52" s="2014">
        <f t="shared" si="284"/>
        <v>344.55199999999996</v>
      </c>
      <c r="AN52" s="2792">
        <f t="shared" ref="AN52:AS52" si="285">SUM(AN47:AN51)</f>
        <v>2953.1003000000005</v>
      </c>
      <c r="AO52" s="1826">
        <f t="shared" si="285"/>
        <v>645.46699999999998</v>
      </c>
      <c r="AP52" s="2685">
        <f t="shared" si="285"/>
        <v>482.43195000000003</v>
      </c>
      <c r="AQ52" s="1681">
        <f t="shared" si="285"/>
        <v>178.52199999999999</v>
      </c>
      <c r="AR52" s="2792">
        <f t="shared" si="285"/>
        <v>3435.5322500000007</v>
      </c>
      <c r="AS52" s="1826">
        <f t="shared" si="285"/>
        <v>823.98900000000003</v>
      </c>
      <c r="AT52" s="2685">
        <f t="shared" ref="AT52:AW52" si="286">SUM(AT47:AT51)</f>
        <v>433.8</v>
      </c>
      <c r="AU52" s="1681">
        <f t="shared" si="286"/>
        <v>104.241</v>
      </c>
      <c r="AV52" s="2792">
        <f t="shared" si="286"/>
        <v>3869.3322500000008</v>
      </c>
      <c r="AW52" s="1826">
        <f t="shared" si="286"/>
        <v>928.23</v>
      </c>
      <c r="AX52" s="2685">
        <f t="shared" ref="AX52:BE52" si="287">SUM(AX47:AX51)</f>
        <v>482.40000000000003</v>
      </c>
      <c r="AY52" s="1681">
        <f t="shared" si="287"/>
        <v>134.86799999999999</v>
      </c>
      <c r="AZ52" s="2955">
        <f t="shared" si="287"/>
        <v>1398.63195</v>
      </c>
      <c r="BA52" s="2014">
        <f t="shared" si="287"/>
        <v>417.63099999999997</v>
      </c>
      <c r="BB52" s="2955">
        <f t="shared" si="167"/>
        <v>2829.7115999999996</v>
      </c>
      <c r="BC52" s="2014">
        <f t="shared" si="168"/>
        <v>762.18299999999999</v>
      </c>
      <c r="BD52" s="6605">
        <f t="shared" si="287"/>
        <v>4351.7322500000009</v>
      </c>
      <c r="BE52" s="6597">
        <f t="shared" si="287"/>
        <v>1063.098</v>
      </c>
    </row>
    <row r="53" spans="1:57" s="3380" customFormat="1" ht="21.75" customHeight="1" x14ac:dyDescent="0.2">
      <c r="A53" s="3379"/>
      <c r="B53" s="6764" t="s">
        <v>1119</v>
      </c>
      <c r="C53" s="6765"/>
      <c r="D53" s="3435"/>
      <c r="E53" s="6766"/>
      <c r="F53" s="3435"/>
      <c r="G53" s="5756"/>
      <c r="H53" s="3435"/>
      <c r="I53" s="5756"/>
      <c r="J53" s="3435"/>
      <c r="K53" s="5756"/>
      <c r="L53" s="3435"/>
      <c r="M53" s="5756"/>
      <c r="N53" s="3435"/>
      <c r="O53" s="5756"/>
      <c r="P53" s="3435"/>
      <c r="Q53" s="5756"/>
      <c r="R53" s="3435"/>
      <c r="S53" s="5756"/>
      <c r="T53" s="3435"/>
      <c r="U53" s="5756"/>
      <c r="V53" s="3435"/>
      <c r="W53" s="5756"/>
      <c r="X53" s="3435"/>
      <c r="Y53" s="5756"/>
      <c r="Z53" s="3435"/>
      <c r="AA53" s="5756"/>
      <c r="AB53" s="3435"/>
      <c r="AC53" s="5756"/>
      <c r="AD53" s="3435"/>
      <c r="AE53" s="5756"/>
      <c r="AF53" s="3435"/>
      <c r="AG53" s="5756"/>
      <c r="AH53" s="3435"/>
      <c r="AI53" s="5756"/>
      <c r="AJ53" s="3435"/>
      <c r="AK53" s="5756"/>
      <c r="AL53" s="3435"/>
      <c r="AM53" s="5756"/>
      <c r="AN53" s="3435"/>
      <c r="AO53" s="5756"/>
      <c r="AP53" s="3435"/>
      <c r="AQ53" s="5756"/>
      <c r="AR53" s="3435"/>
      <c r="AS53" s="5756"/>
      <c r="AT53" s="3435"/>
      <c r="AU53" s="5756"/>
      <c r="AV53" s="3435"/>
      <c r="AW53" s="5756"/>
      <c r="AX53" s="3435"/>
      <c r="AY53" s="5756"/>
      <c r="AZ53" s="3435"/>
      <c r="BA53" s="5756"/>
      <c r="BB53" s="3435"/>
      <c r="BC53" s="5756"/>
      <c r="BD53" s="3435"/>
      <c r="BE53" s="5756"/>
    </row>
    <row r="54" spans="1:57" ht="15.75" customHeight="1" x14ac:dyDescent="0.2">
      <c r="B54" s="2095" t="s">
        <v>666</v>
      </c>
      <c r="C54" s="2090" t="s">
        <v>1118</v>
      </c>
      <c r="D54" s="3369">
        <v>29.965753424657542</v>
      </c>
      <c r="E54" s="3842">
        <f>+E39/E13*1000</f>
        <v>29.965753424657542</v>
      </c>
      <c r="F54" s="3369">
        <v>29.954929230985492</v>
      </c>
      <c r="G54" s="3209">
        <f t="shared" ref="G54:I55" si="288">+G39/G13*1000</f>
        <v>29.954929230985492</v>
      </c>
      <c r="H54" s="6411">
        <f t="shared" si="288"/>
        <v>29.960003546943334</v>
      </c>
      <c r="I54" s="3872">
        <f t="shared" si="288"/>
        <v>29.960003546943334</v>
      </c>
      <c r="J54" s="3422">
        <v>30</v>
      </c>
      <c r="K54" s="3209">
        <f t="shared" ref="K54:M55" si="289">+K39/K13*1000</f>
        <v>30.026148077149443</v>
      </c>
      <c r="L54" s="6413">
        <f t="shared" si="289"/>
        <v>29.983613789626272</v>
      </c>
      <c r="M54" s="3894">
        <f t="shared" si="289"/>
        <v>29.983613789626272</v>
      </c>
      <c r="N54" s="3422">
        <v>30</v>
      </c>
      <c r="O54" s="3209">
        <f t="shared" ref="O54:Q55" si="290">+O39/O13*1000</f>
        <v>30.041657971820971</v>
      </c>
      <c r="P54" s="6411">
        <f t="shared" si="290"/>
        <v>29.98826245662914</v>
      </c>
      <c r="Q54" s="3872">
        <f t="shared" si="290"/>
        <v>29.999848679403541</v>
      </c>
      <c r="R54" s="3422">
        <v>30</v>
      </c>
      <c r="S54" s="3209">
        <f t="shared" ref="S54:U55" si="291">+S39/S13*1000</f>
        <v>30.093417550670679</v>
      </c>
      <c r="T54" s="6411">
        <f t="shared" si="291"/>
        <v>29.99085643089321</v>
      </c>
      <c r="U54" s="3872">
        <f t="shared" si="291"/>
        <v>30.020606417427146</v>
      </c>
      <c r="V54" s="3422">
        <v>30</v>
      </c>
      <c r="W54" s="3209">
        <v>30.3</v>
      </c>
      <c r="X54" s="6413">
        <f t="shared" ref="X54:AA54" si="292">+X39/X13*1000</f>
        <v>30</v>
      </c>
      <c r="Y54" s="3894">
        <f t="shared" si="292"/>
        <v>30.109194705179458</v>
      </c>
      <c r="Z54" s="6703">
        <f t="shared" si="292"/>
        <v>29.992467417441659</v>
      </c>
      <c r="AA54" s="6704">
        <f t="shared" si="292"/>
        <v>30.051132263972917</v>
      </c>
      <c r="AB54" s="3422">
        <v>30</v>
      </c>
      <c r="AC54" s="3209">
        <f t="shared" ref="AC54:AE54" si="293">+AC39/AC13*1000</f>
        <v>30.238640078457017</v>
      </c>
      <c r="AD54" s="6411">
        <f t="shared" si="293"/>
        <v>29.993627584854664</v>
      </c>
      <c r="AE54" s="3872">
        <f t="shared" si="293"/>
        <v>30.08007350240608</v>
      </c>
      <c r="AF54" s="3422">
        <v>30</v>
      </c>
      <c r="AG54" s="3209">
        <v>30.2</v>
      </c>
      <c r="AH54" s="6411">
        <f t="shared" ref="AH54:AI54" si="294">+AH39/AH13*1000</f>
        <v>29.994454195309839</v>
      </c>
      <c r="AI54" s="3872">
        <f t="shared" si="294"/>
        <v>30.069359445124444</v>
      </c>
      <c r="AJ54" s="3422">
        <v>30</v>
      </c>
      <c r="AK54" s="3209">
        <v>30</v>
      </c>
      <c r="AL54" s="6413">
        <f t="shared" ref="AL54:AO54" si="295">+AL39/AL13*1000</f>
        <v>30</v>
      </c>
      <c r="AM54" s="3894">
        <f t="shared" si="295"/>
        <v>30.07012726516426</v>
      </c>
      <c r="AN54" s="6411">
        <f t="shared" si="295"/>
        <v>29.995109695968189</v>
      </c>
      <c r="AO54" s="3872">
        <f t="shared" si="295"/>
        <v>30.057822692058444</v>
      </c>
      <c r="AP54" s="3422">
        <v>30</v>
      </c>
      <c r="AQ54" s="3209">
        <v>29.5</v>
      </c>
      <c r="AR54" s="6411">
        <f t="shared" ref="AR54:AS54" si="296">+AR39/AR13*1000</f>
        <v>29.995626618992009</v>
      </c>
      <c r="AS54" s="3872">
        <f t="shared" si="296"/>
        <v>29.998923416337405</v>
      </c>
      <c r="AT54" s="3422">
        <v>30</v>
      </c>
      <c r="AU54" s="3209">
        <v>29</v>
      </c>
      <c r="AV54" s="6411">
        <f t="shared" ref="AV54:AW54" si="297">+AV39/AV13*1000</f>
        <v>29.995364338160567</v>
      </c>
      <c r="AW54" s="3872">
        <f t="shared" si="297"/>
        <v>29.912480957387075</v>
      </c>
      <c r="AX54" s="3422">
        <v>30</v>
      </c>
      <c r="AY54" s="3209">
        <v>29</v>
      </c>
      <c r="AZ54" s="6413">
        <f t="shared" ref="AZ54:BE54" si="298">+AZ39/AZ13*1000</f>
        <v>30.000287108814234</v>
      </c>
      <c r="BA54" s="3894">
        <f t="shared" si="298"/>
        <v>29.179182047668299</v>
      </c>
      <c r="BB54" s="6413">
        <f t="shared" ref="BB54:BC54" si="299">+BB39/BB13*1000</f>
        <v>30.000141976886159</v>
      </c>
      <c r="BC54" s="3894">
        <f t="shared" si="299"/>
        <v>29.629247666683856</v>
      </c>
      <c r="BD54" s="6703">
        <f t="shared" si="298"/>
        <v>29.996432441443694</v>
      </c>
      <c r="BE54" s="6704">
        <f t="shared" si="298"/>
        <v>29.832431168136868</v>
      </c>
    </row>
    <row r="55" spans="1:57" ht="15.75" customHeight="1" thickBot="1" x14ac:dyDescent="0.25">
      <c r="B55" s="2096" t="s">
        <v>667</v>
      </c>
      <c r="C55" s="1613" t="s">
        <v>1118</v>
      </c>
      <c r="D55" s="3370">
        <v>28.954102340633217</v>
      </c>
      <c r="E55" s="3843">
        <f>+E40/E14*1000</f>
        <v>28.954102340633217</v>
      </c>
      <c r="F55" s="3370">
        <v>30.000020413731914</v>
      </c>
      <c r="G55" s="3210">
        <f t="shared" si="288"/>
        <v>30.000020413731914</v>
      </c>
      <c r="H55" s="6412">
        <f t="shared" si="288"/>
        <v>29.476612677880507</v>
      </c>
      <c r="I55" s="3873">
        <f t="shared" si="288"/>
        <v>29.476612677880507</v>
      </c>
      <c r="J55" s="3423">
        <v>28</v>
      </c>
      <c r="K55" s="3210">
        <f t="shared" si="289"/>
        <v>30.000030535376759</v>
      </c>
      <c r="L55" s="6414">
        <f t="shared" si="289"/>
        <v>28.94859698281368</v>
      </c>
      <c r="M55" s="3895">
        <f t="shared" si="289"/>
        <v>29.663779460325426</v>
      </c>
      <c r="N55" s="3423">
        <v>28</v>
      </c>
      <c r="O55" s="3210">
        <f t="shared" si="290"/>
        <v>29.999954977668924</v>
      </c>
      <c r="P55" s="6412">
        <f t="shared" si="290"/>
        <v>28.666663597160458</v>
      </c>
      <c r="Q55" s="3873">
        <f t="shared" si="290"/>
        <v>29.757760424967469</v>
      </c>
      <c r="R55" s="3423">
        <v>28</v>
      </c>
      <c r="S55" s="3210">
        <f t="shared" si="291"/>
        <v>30.000046504970605</v>
      </c>
      <c r="T55" s="6412">
        <f t="shared" si="291"/>
        <v>28.513920739401186</v>
      </c>
      <c r="U55" s="3873">
        <f t="shared" si="291"/>
        <v>29.814312282453745</v>
      </c>
      <c r="V55" s="3423">
        <v>28</v>
      </c>
      <c r="W55" s="3210">
        <f t="shared" ref="W55:AA55" si="300">+W40/W14*1000</f>
        <v>29.999974724305364</v>
      </c>
      <c r="X55" s="6414">
        <f t="shared" si="300"/>
        <v>27.999999999999996</v>
      </c>
      <c r="Y55" s="3895">
        <f t="shared" si="300"/>
        <v>29.999994333979064</v>
      </c>
      <c r="Z55" s="6705">
        <f t="shared" si="300"/>
        <v>28.420651897603353</v>
      </c>
      <c r="AA55" s="6706">
        <f t="shared" si="300"/>
        <v>29.844069529652351</v>
      </c>
      <c r="AB55" s="3423">
        <v>28</v>
      </c>
      <c r="AC55" s="3210">
        <f t="shared" ref="AC55:AE55" si="301">+AC40/AC14*1000</f>
        <v>29.95245641838352</v>
      </c>
      <c r="AD55" s="6412">
        <f t="shared" si="301"/>
        <v>28.354222923962077</v>
      </c>
      <c r="AE55" s="3873">
        <f t="shared" si="301"/>
        <v>29.86077868676918</v>
      </c>
      <c r="AF55" s="3423">
        <v>28</v>
      </c>
      <c r="AG55" s="3210">
        <v>30</v>
      </c>
      <c r="AH55" s="6412">
        <f t="shared" ref="AH55:AI55" si="302">+AH40/AH14*1000</f>
        <v>28.307265144808024</v>
      </c>
      <c r="AI55" s="3873">
        <f t="shared" si="302"/>
        <v>29.878269047223696</v>
      </c>
      <c r="AJ55" s="3423">
        <v>28</v>
      </c>
      <c r="AK55" s="3210">
        <v>30</v>
      </c>
      <c r="AL55" s="6414">
        <f t="shared" ref="AL55:AO55" si="303">+AL40/AL14*1000</f>
        <v>27.999999999999996</v>
      </c>
      <c r="AM55" s="3895">
        <f t="shared" si="303"/>
        <v>29.984189102401203</v>
      </c>
      <c r="AN55" s="6412">
        <f t="shared" si="303"/>
        <v>28.270245683833039</v>
      </c>
      <c r="AO55" s="3873">
        <f t="shared" si="303"/>
        <v>29.893672193910355</v>
      </c>
      <c r="AP55" s="3423">
        <v>28</v>
      </c>
      <c r="AQ55" s="3210">
        <v>30</v>
      </c>
      <c r="AR55" s="6412">
        <f t="shared" ref="AR55:AS55" si="304">+AR40/AR14*1000</f>
        <v>28.241187313582756</v>
      </c>
      <c r="AS55" s="3873">
        <f t="shared" si="304"/>
        <v>29.905630554619389</v>
      </c>
      <c r="AT55" s="3423">
        <v>28</v>
      </c>
      <c r="AU55" s="3210">
        <v>30</v>
      </c>
      <c r="AV55" s="6412">
        <f t="shared" ref="AV55:AW55" si="305">+AV40/AV14*1000</f>
        <v>28.220054583363829</v>
      </c>
      <c r="AW55" s="3873">
        <f t="shared" si="305"/>
        <v>29.909948053766346</v>
      </c>
      <c r="AX55" s="3423">
        <v>28</v>
      </c>
      <c r="AY55" s="3210">
        <v>30</v>
      </c>
      <c r="AZ55" s="6414">
        <f t="shared" ref="AZ55:BE55" si="306">+AZ40/AZ14*1000</f>
        <v>28.000215573591166</v>
      </c>
      <c r="BA55" s="3895">
        <f t="shared" si="306"/>
        <v>29.985233443378533</v>
      </c>
      <c r="BB55" s="6414">
        <f t="shared" ref="BB55:BC55" si="307">+BB40/BB14*1000</f>
        <v>28.0001066023253</v>
      </c>
      <c r="BC55" s="3895">
        <f t="shared" si="307"/>
        <v>29.98472130659021</v>
      </c>
      <c r="BD55" s="6705">
        <f t="shared" si="306"/>
        <v>28.200270164470126</v>
      </c>
      <c r="BE55" s="6706">
        <f t="shared" si="306"/>
        <v>29.918296516177847</v>
      </c>
    </row>
    <row r="56" spans="1:57" s="3380" customFormat="1" ht="15.75" customHeight="1" thickBot="1" x14ac:dyDescent="0.25">
      <c r="A56" s="3379"/>
      <c r="B56" s="5844" t="s">
        <v>137</v>
      </c>
      <c r="C56" s="5845" t="s">
        <v>1118</v>
      </c>
      <c r="D56" s="3219">
        <f t="shared" ref="D56:N56" si="308">+((D54*D13)+(D55*D14))/D15</f>
        <v>29.311330500806999</v>
      </c>
      <c r="E56" s="5846">
        <f t="shared" si="308"/>
        <v>29.311330500806999</v>
      </c>
      <c r="F56" s="3219">
        <f t="shared" ref="F56" si="309">+((F54*F13)+(F55*F14))/F15</f>
        <v>29.982770116550647</v>
      </c>
      <c r="G56" s="5846">
        <f t="shared" si="308"/>
        <v>29.982770116550647</v>
      </c>
      <c r="H56" s="2792">
        <f t="shared" si="308"/>
        <v>29.65458257676217</v>
      </c>
      <c r="I56" s="3874">
        <f t="shared" si="308"/>
        <v>29.65458257676217</v>
      </c>
      <c r="J56" s="3424">
        <f t="shared" ref="J56" si="310">+((J54*J13)+(J55*J14))/J15</f>
        <v>28.735050400761082</v>
      </c>
      <c r="K56" s="5846">
        <f t="shared" si="308"/>
        <v>30.009629390150213</v>
      </c>
      <c r="L56" s="2955">
        <f t="shared" si="308"/>
        <v>29.329420470313767</v>
      </c>
      <c r="M56" s="3896">
        <f t="shared" si="308"/>
        <v>29.78145911915308</v>
      </c>
      <c r="N56" s="3424">
        <f t="shared" si="308"/>
        <v>28.705641025641029</v>
      </c>
      <c r="O56" s="5846">
        <f t="shared" ref="O56:R56" si="311">+((O54*O13)+(O55*O14))/O15</f>
        <v>30.015305875692391</v>
      </c>
      <c r="P56" s="2792">
        <f t="shared" si="311"/>
        <v>29.147091490185989</v>
      </c>
      <c r="Q56" s="3874">
        <f t="shared" si="311"/>
        <v>29.846845149284341</v>
      </c>
      <c r="R56" s="3424">
        <f t="shared" si="311"/>
        <v>28.705641025641029</v>
      </c>
      <c r="S56" s="5846">
        <f t="shared" ref="S56:V56" si="312">+((S54*S13)+(S55*S14))/S15</f>
        <v>30.032989725197094</v>
      </c>
      <c r="T56" s="2792">
        <f t="shared" si="312"/>
        <v>29.047242374978772</v>
      </c>
      <c r="U56" s="3874">
        <f t="shared" si="312"/>
        <v>29.889508352021977</v>
      </c>
      <c r="V56" s="3424">
        <f t="shared" si="312"/>
        <v>28.705641025641029</v>
      </c>
      <c r="W56" s="5846">
        <f t="shared" ref="W56:AJ56" si="313">+((W54*W13)+(W55*W14))/W15</f>
        <v>30.116832575415053</v>
      </c>
      <c r="X56" s="2955">
        <f t="shared" si="313"/>
        <v>28.705641025641025</v>
      </c>
      <c r="Y56" s="3896">
        <f t="shared" si="313"/>
        <v>30.040318041385401</v>
      </c>
      <c r="Z56" s="6605">
        <f t="shared" si="313"/>
        <v>28.985897595943918</v>
      </c>
      <c r="AA56" s="6707">
        <f t="shared" si="313"/>
        <v>29.920403229601686</v>
      </c>
      <c r="AB56" s="3424">
        <f t="shared" si="313"/>
        <v>28.705641025641029</v>
      </c>
      <c r="AC56" s="5846">
        <f t="shared" si="313"/>
        <v>30.058052363540479</v>
      </c>
      <c r="AD56" s="2792">
        <f t="shared" si="313"/>
        <v>28.942031546343287</v>
      </c>
      <c r="AE56" s="3874">
        <f t="shared" si="313"/>
        <v>29.941632890305442</v>
      </c>
      <c r="AF56" s="3424">
        <f t="shared" si="313"/>
        <v>28.705641025641029</v>
      </c>
      <c r="AG56" s="5846">
        <f t="shared" si="313"/>
        <v>30.075867765721288</v>
      </c>
      <c r="AH56" s="2792">
        <f t="shared" si="313"/>
        <v>28.910935228346265</v>
      </c>
      <c r="AI56" s="3874">
        <f t="shared" si="313"/>
        <v>29.948983532495586</v>
      </c>
      <c r="AJ56" s="3424">
        <f t="shared" si="313"/>
        <v>28.705641025641029</v>
      </c>
      <c r="AK56" s="5846">
        <f t="shared" ref="AK56:AP56" si="314">+((AK54*AK13)+(AK55*AK14))/AK15</f>
        <v>30.000000000000004</v>
      </c>
      <c r="AL56" s="2955">
        <f t="shared" si="314"/>
        <v>28.705641025641025</v>
      </c>
      <c r="AM56" s="3896">
        <f t="shared" si="314"/>
        <v>30.0157143413814</v>
      </c>
      <c r="AN56" s="2792">
        <f t="shared" si="314"/>
        <v>28.886368688904003</v>
      </c>
      <c r="AO56" s="3874">
        <f t="shared" si="314"/>
        <v>29.954081089434485</v>
      </c>
      <c r="AP56" s="3424">
        <f t="shared" si="314"/>
        <v>28.705641025641029</v>
      </c>
      <c r="AQ56" s="5846">
        <f t="shared" ref="AQ56:AT56" si="315">+((AQ54*AQ13)+(AQ55*AQ14))/AQ15</f>
        <v>29.823441008988695</v>
      </c>
      <c r="AR56" s="2792">
        <f t="shared" si="315"/>
        <v>28.867053284166442</v>
      </c>
      <c r="AS56" s="3874">
        <f t="shared" si="315"/>
        <v>29.939810165881525</v>
      </c>
      <c r="AT56" s="3424">
        <f t="shared" si="315"/>
        <v>28.705641025641029</v>
      </c>
      <c r="AU56" s="5846">
        <f t="shared" ref="AU56:AX56" si="316">+((AU54*AU13)+(AU55*AU14))/AU15</f>
        <v>29.646850162495433</v>
      </c>
      <c r="AV56" s="2792">
        <f t="shared" si="316"/>
        <v>28.852754286768537</v>
      </c>
      <c r="AW56" s="3874">
        <f t="shared" si="316"/>
        <v>29.910873001255052</v>
      </c>
      <c r="AX56" s="3424">
        <f t="shared" si="316"/>
        <v>28.705641025641029</v>
      </c>
      <c r="AY56" s="5846">
        <f t="shared" ref="AY56:BE56" si="317">+((AY54*AY13)+(AY55*AY14))/AY15</f>
        <v>29.646585015630833</v>
      </c>
      <c r="AZ56" s="2955">
        <f t="shared" si="317"/>
        <v>28.705881838326277</v>
      </c>
      <c r="BA56" s="3896">
        <f t="shared" si="317"/>
        <v>29.700511713673155</v>
      </c>
      <c r="BB56" s="2955">
        <f t="shared" ref="BB56:BC56" si="318">+((BB54*BB13)+(BB55*BB14))/BB15</f>
        <v>28.70576010883703</v>
      </c>
      <c r="BC56" s="3896">
        <f t="shared" si="318"/>
        <v>29.856759732023558</v>
      </c>
      <c r="BD56" s="6605">
        <f t="shared" si="317"/>
        <v>28.839832327936701</v>
      </c>
      <c r="BE56" s="6707">
        <f t="shared" si="317"/>
        <v>29.887032823689125</v>
      </c>
    </row>
    <row r="57" spans="1:57" s="3380" customFormat="1" ht="15.75" customHeight="1" x14ac:dyDescent="0.2">
      <c r="A57" s="3379"/>
      <c r="B57" s="5847" t="s">
        <v>1120</v>
      </c>
      <c r="C57" s="5848" t="s">
        <v>1118</v>
      </c>
      <c r="D57" s="3371">
        <v>10.8</v>
      </c>
      <c r="E57" s="5849">
        <v>10.8</v>
      </c>
      <c r="F57" s="3371">
        <v>10.8</v>
      </c>
      <c r="G57" s="5850">
        <v>10.8</v>
      </c>
      <c r="H57" s="2986">
        <v>10</v>
      </c>
      <c r="I57" s="3875">
        <v>10.8</v>
      </c>
      <c r="J57" s="5851">
        <v>10.8</v>
      </c>
      <c r="K57" s="5850">
        <v>10.8</v>
      </c>
      <c r="L57" s="3049">
        <v>10</v>
      </c>
      <c r="M57" s="3897">
        <v>10.8</v>
      </c>
      <c r="N57" s="5851">
        <v>10</v>
      </c>
      <c r="O57" s="5850">
        <v>10.8</v>
      </c>
      <c r="P57" s="2986">
        <v>10</v>
      </c>
      <c r="Q57" s="3872">
        <v>10.8</v>
      </c>
      <c r="R57" s="5851">
        <v>10</v>
      </c>
      <c r="S57" s="5850">
        <v>10.8</v>
      </c>
      <c r="T57" s="2986">
        <v>10</v>
      </c>
      <c r="U57" s="3872">
        <v>10.8</v>
      </c>
      <c r="V57" s="5851">
        <v>10</v>
      </c>
      <c r="W57" s="5850">
        <v>10.8</v>
      </c>
      <c r="X57" s="3049">
        <f>+((N57*N13)+(R13*R57)+(V57*V13))/X13</f>
        <v>10.000000000000002</v>
      </c>
      <c r="Y57" s="6803">
        <f>+((O57*O13)+(S13*S57)+(W57*W13))/Y13</f>
        <v>10.8</v>
      </c>
      <c r="Z57" s="6708">
        <f>+((T57*T13)+(V13*V57))/Z13</f>
        <v>10</v>
      </c>
      <c r="AA57" s="6804">
        <f>+((U57*U13)+(W13*W57))/AA13</f>
        <v>10.800000000000002</v>
      </c>
      <c r="AB57" s="5851">
        <v>10</v>
      </c>
      <c r="AC57" s="5850">
        <v>10.8</v>
      </c>
      <c r="AD57" s="6411">
        <f>+((AB57*AB13)+(Z13*Z57))/AD13</f>
        <v>10</v>
      </c>
      <c r="AE57" s="3872">
        <f>+((AC57*AC13)+(AA13*AA57))/AE13</f>
        <v>10.800000000000002</v>
      </c>
      <c r="AF57" s="5851">
        <v>10</v>
      </c>
      <c r="AG57" s="5850">
        <v>10.8</v>
      </c>
      <c r="AH57" s="2986">
        <v>10</v>
      </c>
      <c r="AI57" s="3872">
        <v>10.8</v>
      </c>
      <c r="AJ57" s="5851">
        <v>10</v>
      </c>
      <c r="AK57" s="5850">
        <v>10.8</v>
      </c>
      <c r="AL57" s="3049">
        <f>+((AB57*AB13)+(AF13*AF57)+(AJ57*AJ13))/AL13</f>
        <v>10.000000000000002</v>
      </c>
      <c r="AM57" s="6803">
        <f>+((AC57*AC13)+(AG13*AG57)+(AK57*AK13))/AM13</f>
        <v>10.8</v>
      </c>
      <c r="AN57" s="2986">
        <f>+((AH57*AH13)+(AJ13*AJ57))/AN13</f>
        <v>10.000000000000002</v>
      </c>
      <c r="AO57" s="3872">
        <f>+((AI57*AI13)+(AK13*AK57))/AO13</f>
        <v>10.800000000000002</v>
      </c>
      <c r="AP57" s="5851">
        <v>10</v>
      </c>
      <c r="AQ57" s="5850">
        <v>10.8</v>
      </c>
      <c r="AR57" s="2986">
        <f>+((AP57*AP13)+(AN13*AN57))/AR13</f>
        <v>10.000000000000002</v>
      </c>
      <c r="AS57" s="3872">
        <f>+((AQ57*AQ13)+(AO13*AO57))/AS13</f>
        <v>10.800000000000004</v>
      </c>
      <c r="AT57" s="5851">
        <v>10</v>
      </c>
      <c r="AU57" s="5850">
        <v>10.8</v>
      </c>
      <c r="AV57" s="2986">
        <f>+((AT57*AT13)+(AR13*AR57))/AV13</f>
        <v>10</v>
      </c>
      <c r="AW57" s="3872">
        <f>+((AU57*AU13)+(AS13*AS57))/AW13</f>
        <v>10.800000000000002</v>
      </c>
      <c r="AX57" s="5851">
        <v>10</v>
      </c>
      <c r="AY57" s="5850">
        <v>10.8</v>
      </c>
      <c r="AZ57" s="3049">
        <f t="shared" ref="AZ57:BC58" si="319">+((AP57*AP13)+(AT13*AT57)+(AX57*AX13))/AZ13</f>
        <v>10</v>
      </c>
      <c r="BA57" s="6803">
        <f t="shared" si="319"/>
        <v>10.8</v>
      </c>
      <c r="BB57" s="3049">
        <v>10</v>
      </c>
      <c r="BC57" s="6803">
        <v>10.8</v>
      </c>
      <c r="BD57" s="6708">
        <f>+((AV57*AV13)+(AX13*AX57))/BD13</f>
        <v>10</v>
      </c>
      <c r="BE57" s="6804">
        <f>+((AW57*AW13)+(AY13*AY57))/BE13</f>
        <v>10.800000000000004</v>
      </c>
    </row>
    <row r="58" spans="1:57" s="3380" customFormat="1" ht="15.75" customHeight="1" thickBot="1" x14ac:dyDescent="0.25">
      <c r="A58" s="3379"/>
      <c r="B58" s="5852" t="s">
        <v>1121</v>
      </c>
      <c r="C58" s="5853" t="s">
        <v>1118</v>
      </c>
      <c r="D58" s="3370">
        <v>5.0946829850494826</v>
      </c>
      <c r="E58" s="5854">
        <v>9.5</v>
      </c>
      <c r="F58" s="3370">
        <v>3.8309770216229055</v>
      </c>
      <c r="G58" s="5855">
        <v>9.5</v>
      </c>
      <c r="H58" s="2985">
        <v>10.5</v>
      </c>
      <c r="I58" s="3873">
        <v>9.5</v>
      </c>
      <c r="J58" s="3423">
        <v>10.5</v>
      </c>
      <c r="K58" s="5855">
        <v>9.5</v>
      </c>
      <c r="L58" s="3048">
        <v>10.5</v>
      </c>
      <c r="M58" s="3895">
        <v>9.5</v>
      </c>
      <c r="N58" s="3423">
        <v>10.5</v>
      </c>
      <c r="O58" s="5855">
        <v>9.5</v>
      </c>
      <c r="P58" s="2985">
        <v>10.5</v>
      </c>
      <c r="Q58" s="3873">
        <v>9.5</v>
      </c>
      <c r="R58" s="3423">
        <v>10.5</v>
      </c>
      <c r="S58" s="5855">
        <v>10</v>
      </c>
      <c r="T58" s="2985">
        <v>10.5</v>
      </c>
      <c r="U58" s="3873">
        <v>9.5</v>
      </c>
      <c r="V58" s="3423">
        <v>10.5</v>
      </c>
      <c r="W58" s="5855">
        <v>10</v>
      </c>
      <c r="X58" s="3049">
        <f>+((N58*N14)+(R14*R58)+(V58*V14))/X14</f>
        <v>10.5</v>
      </c>
      <c r="Y58" s="6803">
        <f>+((O58*O14)+(S14*S58)+(W58*W14))/Y14</f>
        <v>9.8322011679180061</v>
      </c>
      <c r="Z58" s="6708">
        <f>+((T58*T14)+(V14*V58))/Z14</f>
        <v>10.5</v>
      </c>
      <c r="AA58" s="6804">
        <f>+((U58*U14)+(W14*W58))/AA14</f>
        <v>9.5801380368098155</v>
      </c>
      <c r="AB58" s="3423">
        <v>10.5</v>
      </c>
      <c r="AC58" s="5855">
        <v>10.5</v>
      </c>
      <c r="AD58" s="6411">
        <f>+((AB58*AB14)+(Z14*Z58))/AD14</f>
        <v>10.500000000000002</v>
      </c>
      <c r="AE58" s="3872">
        <f>+((AC58*AC14)+(AA14*AA58))/AE14</f>
        <v>9.7219459459459454</v>
      </c>
      <c r="AF58" s="3423">
        <v>10.5</v>
      </c>
      <c r="AG58" s="5855">
        <v>10.5</v>
      </c>
      <c r="AH58" s="2985">
        <v>10.5</v>
      </c>
      <c r="AI58" s="3873">
        <v>9.5</v>
      </c>
      <c r="AJ58" s="3423">
        <v>10.5</v>
      </c>
      <c r="AK58" s="5855">
        <v>10.5</v>
      </c>
      <c r="AL58" s="3049">
        <f>+((AB58*AB14)+(AF14*AF58)+(AJ58*AJ14))/AL14</f>
        <v>10.5</v>
      </c>
      <c r="AM58" s="6803">
        <f>+((AC58*AC14)+(AG14*AG58)+(AK58*AK14))/AM14</f>
        <v>10.5</v>
      </c>
      <c r="AN58" s="2985">
        <f>+((AH58*AH14)+(AJ14*AJ58))/AN14</f>
        <v>10.5</v>
      </c>
      <c r="AO58" s="3873">
        <f>+((AI58*AI14)+(AK14*AK58))/AO14</f>
        <v>9.6264913511951455</v>
      </c>
      <c r="AP58" s="3423">
        <v>10.5</v>
      </c>
      <c r="AQ58" s="5855">
        <v>10.5</v>
      </c>
      <c r="AR58" s="2985">
        <f>+((AP58*AP14)+(AN14*AN58))/AR14</f>
        <v>10.5</v>
      </c>
      <c r="AS58" s="3873">
        <f>+((AQ58*AQ14)+(AO14*AO58))/AS14</f>
        <v>9.7247178660413311</v>
      </c>
      <c r="AT58" s="3423">
        <v>10.5</v>
      </c>
      <c r="AU58" s="5855">
        <v>10.5</v>
      </c>
      <c r="AV58" s="2985">
        <f>+((AT58*AT14)+(AR14*AR58))/AV14</f>
        <v>10.5</v>
      </c>
      <c r="AW58" s="3873">
        <f>+((AU58*AU14)+(AS14*AS58))/AW14</f>
        <v>9.79620143693454</v>
      </c>
      <c r="AX58" s="3423">
        <v>10.5</v>
      </c>
      <c r="AY58" s="5855">
        <v>10.5</v>
      </c>
      <c r="AZ58" s="3049">
        <f t="shared" si="319"/>
        <v>10.5</v>
      </c>
      <c r="BA58" s="6803">
        <f t="shared" si="319"/>
        <v>10.5</v>
      </c>
      <c r="BB58" s="3049">
        <v>10.5</v>
      </c>
      <c r="BC58" s="6803">
        <v>10.4</v>
      </c>
      <c r="BD58" s="6708">
        <f>+((AV58*AV14)+(AX14*AX58))/BD14</f>
        <v>10.5</v>
      </c>
      <c r="BE58" s="6804">
        <v>10.1</v>
      </c>
    </row>
    <row r="59" spans="1:57" s="3380" customFormat="1" ht="15.75" customHeight="1" thickBot="1" x14ac:dyDescent="0.25">
      <c r="A59" s="3379"/>
      <c r="B59" s="5844" t="s">
        <v>1122</v>
      </c>
      <c r="C59" s="5845" t="s">
        <v>1118</v>
      </c>
      <c r="D59" s="3219">
        <f>+((D57*D13)+(D58*D14))/D15</f>
        <v>7.1093102934604486</v>
      </c>
      <c r="E59" s="5856">
        <f>+((E57*E13)+(E58*E14))/E15</f>
        <v>9.9590481990871389</v>
      </c>
      <c r="F59" s="3219">
        <f t="shared" ref="F59" si="320">+((F57*F13)+(F58*F14))/F15</f>
        <v>6.4970795746684997</v>
      </c>
      <c r="G59" s="5856">
        <f>+((G57*G13)+(G58*G14))/G15</f>
        <v>9.9973341786521708</v>
      </c>
      <c r="H59" s="2792">
        <f t="shared" ref="H59:N59" si="321">+((H57*H13)+(H58*H14))/H15</f>
        <v>10.315915121414367</v>
      </c>
      <c r="I59" s="3874">
        <f t="shared" si="321"/>
        <v>9.9786206843226406</v>
      </c>
      <c r="J59" s="3424">
        <f t="shared" ref="J59" si="322">+((J57*J13)+(J58*J14))/J15</f>
        <v>10.610257560114162</v>
      </c>
      <c r="K59" s="5856">
        <f>+((K57*K13)+(K58*K14))/K15</f>
        <v>9.9777827604947031</v>
      </c>
      <c r="L59" s="2955">
        <f t="shared" si="321"/>
        <v>10.316030288110559</v>
      </c>
      <c r="M59" s="3896">
        <f t="shared" si="321"/>
        <v>9.9783212509125487</v>
      </c>
      <c r="N59" s="3424">
        <f t="shared" si="321"/>
        <v>10.323589743589745</v>
      </c>
      <c r="O59" s="5856">
        <f>+((O57*O13)+(O58*O14))/O15</f>
        <v>9.9785308066310279</v>
      </c>
      <c r="P59" s="2792">
        <f t="shared" ref="P59:R59" si="323">+((P57*P13)+(P58*P14))/P15</f>
        <v>10.318239895720447</v>
      </c>
      <c r="Q59" s="3874">
        <f t="shared" si="323"/>
        <v>9.9783798449111369</v>
      </c>
      <c r="R59" s="3424">
        <f t="shared" si="323"/>
        <v>10.323589743589745</v>
      </c>
      <c r="S59" s="5856">
        <f>+((S57*S13)+(S58*S14))/S15</f>
        <v>10.28225641025641</v>
      </c>
      <c r="T59" s="2792">
        <f t="shared" ref="T59:V59" si="324">+((T57*T13)+(T58*T14))/T15</f>
        <v>10.31944994672083</v>
      </c>
      <c r="U59" s="3874">
        <f t="shared" si="324"/>
        <v>9.9738617045574731</v>
      </c>
      <c r="V59" s="3424">
        <f t="shared" si="324"/>
        <v>10.323589743589743</v>
      </c>
      <c r="W59" s="5856">
        <f>+((W57*W13)+(W58*W14))/W15</f>
        <v>10.31159468371893</v>
      </c>
      <c r="X59" s="2955">
        <f t="shared" ref="X59:Y59" si="325">+((X57*X13)+(X58*X14))/X15</f>
        <v>10.323589743589745</v>
      </c>
      <c r="Y59" s="3896">
        <f t="shared" si="325"/>
        <v>10.189573917699734</v>
      </c>
      <c r="Z59" s="6605">
        <f t="shared" ref="Z59:AB59" si="326">+((Z57*Z13)+(Z58*Z14))/Z15</f>
        <v>10.320193371548235</v>
      </c>
      <c r="AA59" s="6707">
        <f t="shared" si="326"/>
        <v>10.029840284697656</v>
      </c>
      <c r="AB59" s="3424">
        <f t="shared" si="326"/>
        <v>10.323589743589745</v>
      </c>
      <c r="AC59" s="5856">
        <f>+((AC57*AC13)+(AC58*AC14))/AC15</f>
        <v>10.610693893351398</v>
      </c>
      <c r="AD59" s="2792">
        <f t="shared" ref="AD59:AF59" si="327">+((AD57*AD13)+(AD58*AD14))/AD15</f>
        <v>10.320724975229371</v>
      </c>
      <c r="AE59" s="3874">
        <f t="shared" si="327"/>
        <v>10.119425483510135</v>
      </c>
      <c r="AF59" s="3424">
        <f t="shared" si="327"/>
        <v>10.323589743589743</v>
      </c>
      <c r="AG59" s="5856">
        <f>+((AG57*AG13)+(AG58*AG14))/AG15</f>
        <v>10.613801648581932</v>
      </c>
      <c r="AH59" s="2792">
        <f t="shared" ref="AH59:AJ59" si="328">+((AH57*AH13)+(AH58*AH14))/AH15</f>
        <v>10.321101825145591</v>
      </c>
      <c r="AI59" s="3874">
        <f t="shared" si="328"/>
        <v>9.9810750925392107</v>
      </c>
      <c r="AJ59" s="3424">
        <f t="shared" si="328"/>
        <v>10.323589743589745</v>
      </c>
      <c r="AK59" s="5856">
        <f>+((AK57*AK13)+(AK58*AK14))/AK15</f>
        <v>10.606047157394627</v>
      </c>
      <c r="AL59" s="2955">
        <f t="shared" ref="AL59:AP59" si="329">+((AL57*AL13)+(AL58*AL14))/AL15</f>
        <v>10.323589743589745</v>
      </c>
      <c r="AM59" s="3896">
        <f t="shared" si="329"/>
        <v>10.61005089461983</v>
      </c>
      <c r="AN59" s="2792">
        <f t="shared" si="329"/>
        <v>10.321399542011347</v>
      </c>
      <c r="AO59" s="3874">
        <f t="shared" si="329"/>
        <v>10.058353344683335</v>
      </c>
      <c r="AP59" s="3424">
        <f t="shared" si="329"/>
        <v>10.323589743589745</v>
      </c>
      <c r="AQ59" s="5856">
        <f>+((AQ57*AQ13)+(AQ58*AQ14))/AQ15</f>
        <v>10.605935394606787</v>
      </c>
      <c r="AR59" s="2792">
        <f t="shared" ref="AR59:AT59" si="330">+((AR57*AR13)+(AR58*AR14))/AR15</f>
        <v>10.321633621449879</v>
      </c>
      <c r="AS59" s="3874">
        <f t="shared" si="330"/>
        <v>10.118667892431553</v>
      </c>
      <c r="AT59" s="3424">
        <f t="shared" si="330"/>
        <v>10.323589743589745</v>
      </c>
      <c r="AU59" s="5856">
        <f>+((AU57*AU13)+(AU58*AU14))/AU15</f>
        <v>10.605944951251372</v>
      </c>
      <c r="AV59" s="2792">
        <f t="shared" ref="AV59:AX59" si="331">+((AV57*AV13)+(AV58*AV14))/AV15</f>
        <v>10.321805828054739</v>
      </c>
      <c r="AW59" s="3874">
        <f t="shared" si="331"/>
        <v>10.162761361470324</v>
      </c>
      <c r="AX59" s="3424">
        <f t="shared" si="331"/>
        <v>10.323589743589745</v>
      </c>
      <c r="AY59" s="5856">
        <f>+((AY57*AY13)+(AY58*AY14))/AY15</f>
        <v>10.60602449531075</v>
      </c>
      <c r="AZ59" s="2955">
        <f t="shared" ref="AZ59:BE59" si="332">+((AZ57*AZ13)+(AZ58*AZ14))/AZ15</f>
        <v>10.323589743589743</v>
      </c>
      <c r="BA59" s="3896">
        <f t="shared" si="332"/>
        <v>10.60596907264995</v>
      </c>
      <c r="BB59" s="2955">
        <f t="shared" ref="BB59:BC59" si="333">+((BB57*BB13)+(BB58*BB14))/BB15</f>
        <v>10.323589743589743</v>
      </c>
      <c r="BC59" s="3896">
        <f t="shared" si="333"/>
        <v>10.543989944908839</v>
      </c>
      <c r="BD59" s="6605">
        <f t="shared" si="332"/>
        <v>10.321964259113548</v>
      </c>
      <c r="BE59" s="6707">
        <f t="shared" si="332"/>
        <v>10.35487097230023</v>
      </c>
    </row>
    <row r="60" spans="1:57" s="3380" customFormat="1" ht="17" thickBot="1" x14ac:dyDescent="0.25">
      <c r="A60" s="3379"/>
      <c r="B60" s="5857" t="s">
        <v>1117</v>
      </c>
      <c r="C60" s="5858" t="s">
        <v>1118</v>
      </c>
      <c r="D60" s="3236">
        <v>0</v>
      </c>
      <c r="E60" s="5859">
        <f>+(E45*1000)/E13</f>
        <v>0</v>
      </c>
      <c r="F60" s="3236">
        <v>0</v>
      </c>
      <c r="G60" s="5859">
        <f>+(G45*1000)/G13</f>
        <v>0</v>
      </c>
      <c r="H60" s="6054">
        <f>+H45/H13*1000</f>
        <v>0</v>
      </c>
      <c r="I60" s="2338">
        <f>+I45/I13*1000</f>
        <v>0</v>
      </c>
      <c r="J60" s="5860">
        <v>0</v>
      </c>
      <c r="K60" s="5859">
        <f>+(K45*1000)/K13</f>
        <v>0</v>
      </c>
      <c r="L60" s="6053">
        <f>+L45/L13*1000</f>
        <v>0</v>
      </c>
      <c r="M60" s="2415">
        <f>+M45/M13*1000</f>
        <v>0</v>
      </c>
      <c r="N60" s="5860">
        <v>4.2</v>
      </c>
      <c r="O60" s="5859">
        <f>+(O45*1000)/O13</f>
        <v>0</v>
      </c>
      <c r="P60" s="6054">
        <f>+P45/P13*1000</f>
        <v>3.2409374637232529</v>
      </c>
      <c r="Q60" s="2338">
        <f>+Q45/Q13*1000</f>
        <v>0</v>
      </c>
      <c r="R60" s="5860">
        <v>4.2</v>
      </c>
      <c r="S60" s="5859">
        <f>+(S45*1000)/S13</f>
        <v>0</v>
      </c>
      <c r="T60" s="6054">
        <f>+T45/T13*1000</f>
        <v>5.0493931709596245</v>
      </c>
      <c r="U60" s="2338">
        <f>+U45/U13*1000</f>
        <v>0</v>
      </c>
      <c r="V60" s="5860">
        <v>4.2</v>
      </c>
      <c r="W60" s="5859">
        <f>+(W45*1000)/W13</f>
        <v>3.4943148052771291</v>
      </c>
      <c r="X60" s="6053">
        <f>+X45/X13*1000</f>
        <v>11.418849532355917</v>
      </c>
      <c r="Y60" s="2415">
        <f>+Y45/Y13*1000</f>
        <v>1.1381438190531985</v>
      </c>
      <c r="Z60" s="6709">
        <f>+Z45/Z13*1000</f>
        <v>6.1697147499968974</v>
      </c>
      <c r="AA60" s="6710">
        <f>+AA45/AA13*1000</f>
        <v>0.61192207359715844</v>
      </c>
      <c r="AB60" s="5860">
        <v>4.2</v>
      </c>
      <c r="AC60" s="5859">
        <v>3.9</v>
      </c>
      <c r="AD60" s="6054">
        <f>+AD45/AD13*1000</f>
        <v>6.9789894119871443</v>
      </c>
      <c r="AE60" s="2338">
        <f>+AE45/AE13*1000</f>
        <v>1.010012708030936</v>
      </c>
      <c r="AF60" s="5860">
        <v>4.2</v>
      </c>
      <c r="AG60" s="5859">
        <v>3.9</v>
      </c>
      <c r="AH60" s="6054">
        <f>+AH45/AH13*1000</f>
        <v>7.5535159678038637</v>
      </c>
      <c r="AI60" s="2338">
        <f>+AI45/AI13*1000</f>
        <v>1.3461342309261526</v>
      </c>
      <c r="AJ60" s="5860">
        <v>4.2</v>
      </c>
      <c r="AK60" s="5859">
        <v>4</v>
      </c>
      <c r="AL60" s="6053">
        <f>+AL45/AL13*1000</f>
        <v>11.418849532355919</v>
      </c>
      <c r="AM60" s="2415">
        <f>+AM45/AM13*1000</f>
        <v>3.5087875996212929</v>
      </c>
      <c r="AN60" s="6054">
        <f>+AN45/AN13*1000</f>
        <v>8.0110057031155559</v>
      </c>
      <c r="AO60" s="2338">
        <f>+AO45/AO13*1000</f>
        <v>1.632257386033209</v>
      </c>
      <c r="AP60" s="5860">
        <v>4.2</v>
      </c>
      <c r="AQ60" s="5859">
        <v>4.2</v>
      </c>
      <c r="AR60" s="6054">
        <f>+AR45/AR13*1000</f>
        <v>8.3717787615882617</v>
      </c>
      <c r="AS60" s="2338">
        <f>+AS45/AS13*1000</f>
        <v>1.900290677588903</v>
      </c>
      <c r="AT60" s="5860">
        <v>4.2</v>
      </c>
      <c r="AU60" s="5859">
        <v>4.2</v>
      </c>
      <c r="AV60" s="6054">
        <f>+AV45/AV13*1000</f>
        <v>8.63773001691637</v>
      </c>
      <c r="AW60" s="2338">
        <f>+AW45/AW13*1000</f>
        <v>1.9442892688369748</v>
      </c>
      <c r="AX60" s="5860">
        <v>4.2</v>
      </c>
      <c r="AY60" s="5859">
        <v>4.2</v>
      </c>
      <c r="AZ60" s="6053">
        <f t="shared" ref="AZ60:BE60" si="334">+AZ45/AZ13*1000</f>
        <v>11.423570973235734</v>
      </c>
      <c r="BA60" s="2415">
        <f t="shared" si="334"/>
        <v>3.2539122234350457</v>
      </c>
      <c r="BB60" s="6053">
        <f t="shared" si="334"/>
        <v>11.42118431081297</v>
      </c>
      <c r="BC60" s="2415">
        <f t="shared" si="334"/>
        <v>3.3826638477801265</v>
      </c>
      <c r="BD60" s="6709">
        <f t="shared" si="334"/>
        <v>8.882861088255936</v>
      </c>
      <c r="BE60" s="6710">
        <f t="shared" si="334"/>
        <v>2.0482491312483297</v>
      </c>
    </row>
    <row r="61" spans="1:57" s="3453" customFormat="1" ht="15.75" hidden="1" customHeight="1" x14ac:dyDescent="0.2">
      <c r="B61" s="3454" t="s">
        <v>671</v>
      </c>
      <c r="C61" s="3455" t="s">
        <v>1118</v>
      </c>
      <c r="D61" s="5607">
        <f>0*D60</f>
        <v>0</v>
      </c>
      <c r="E61" s="3456">
        <f>+E47/E$13*1000</f>
        <v>0</v>
      </c>
      <c r="F61" s="5607">
        <f>0*F60</f>
        <v>0</v>
      </c>
      <c r="G61" s="3456">
        <f>+G47/G$13*1000</f>
        <v>0.36438794247107298</v>
      </c>
      <c r="H61" s="3794"/>
      <c r="I61" s="3775">
        <f>+I47/I$13*1000</f>
        <v>0.19356509807765007</v>
      </c>
      <c r="J61" s="5607">
        <f>0*J60</f>
        <v>0</v>
      </c>
      <c r="K61" s="3456">
        <f>+K47/K$13*1000</f>
        <v>0.41752846020615786</v>
      </c>
      <c r="L61" s="3824"/>
      <c r="M61" s="3784">
        <f>+M47/M$13*1000</f>
        <v>0.27350865978205746</v>
      </c>
      <c r="N61" s="5607">
        <f>0.27*N60</f>
        <v>1.1340000000000001</v>
      </c>
      <c r="O61" s="3456">
        <f>+O47/O$13*1000</f>
        <v>0</v>
      </c>
      <c r="P61" s="3794"/>
      <c r="Q61" s="3775">
        <f>+Q47/Q$13*1000</f>
        <v>0.19700860798021594</v>
      </c>
      <c r="R61" s="5607">
        <f>0.27*R60</f>
        <v>1.1340000000000001</v>
      </c>
      <c r="S61" s="3456">
        <f>+S47/S$13*1000</f>
        <v>0.9871209651124877</v>
      </c>
      <c r="T61" s="3794"/>
      <c r="U61" s="3775">
        <f>+U47/U$13*1000</f>
        <v>0.37229067664746207</v>
      </c>
      <c r="V61" s="5607">
        <f>0.27*V60</f>
        <v>1.1340000000000001</v>
      </c>
      <c r="W61" s="3456">
        <f>+W47/W$13*1000</f>
        <v>0.69870448872865587</v>
      </c>
      <c r="X61" s="3824"/>
      <c r="Y61" s="3784">
        <f>+Y47/Y$13*1000</f>
        <v>0.56355539611792305</v>
      </c>
      <c r="Z61" s="6711"/>
      <c r="AA61" s="6712">
        <f>+AA47/AA$13*1000</f>
        <v>0.42945204529055903</v>
      </c>
      <c r="AB61" s="5607">
        <f>0.27*AB60</f>
        <v>1.1340000000000001</v>
      </c>
      <c r="AC61" s="3456">
        <f>+AC47/AC$13*1000</f>
        <v>0.68647984977610865</v>
      </c>
      <c r="AD61" s="3794"/>
      <c r="AE61" s="3775">
        <f>+AE47/AE$13*1000</f>
        <v>0.46912347442024754</v>
      </c>
      <c r="AF61" s="5607">
        <f>0.27*AF60</f>
        <v>1.1340000000000001</v>
      </c>
      <c r="AG61" s="3456">
        <f>+AG47/AG$13*1000</f>
        <v>1.0838800777014113</v>
      </c>
      <c r="AH61" s="3794"/>
      <c r="AI61" s="3775">
        <f>+AI47/AI$13*1000</f>
        <v>0.54950020399836819</v>
      </c>
      <c r="AJ61" s="5607">
        <f>0.27*AJ60</f>
        <v>1.1340000000000001</v>
      </c>
      <c r="AK61" s="3456">
        <f>+AK47/AK$13*1000</f>
        <v>0.70247996428003867</v>
      </c>
      <c r="AL61" s="3824"/>
      <c r="AM61" s="3784">
        <f>+AM47/AM$13*1000</f>
        <v>0.82187087702464423</v>
      </c>
      <c r="AN61" s="3794"/>
      <c r="AO61" s="3775">
        <f>+AO47/AO$13*1000</f>
        <v>0.56766998729932172</v>
      </c>
      <c r="AP61" s="5607">
        <f>0.27*AP60</f>
        <v>1.1340000000000001</v>
      </c>
      <c r="AQ61" s="3456">
        <f>+AQ47/AQ$13*1000</f>
        <v>1.2368982662196628</v>
      </c>
      <c r="AR61" s="3794"/>
      <c r="AS61" s="3775">
        <f>+AS47/AS$13*1000</f>
        <v>0.63871740321593229</v>
      </c>
      <c r="AT61" s="5607">
        <f>0.27*AT60</f>
        <v>1.1340000000000001</v>
      </c>
      <c r="AU61" s="3456">
        <f>+AU47/AU$13*1000</f>
        <v>0.7724013135848804</v>
      </c>
      <c r="AV61" s="3794"/>
      <c r="AW61" s="3775">
        <f>+AW47/AW$13*1000</f>
        <v>0.6504161149990545</v>
      </c>
      <c r="AX61" s="5607">
        <f>0.27*AX60</f>
        <v>1.1340000000000001</v>
      </c>
      <c r="AY61" s="3456">
        <f>+AY47/AY$13*1000</f>
        <v>1.0569570998987565</v>
      </c>
      <c r="AZ61" s="3824"/>
      <c r="BA61" s="3784">
        <f>+BA47/BA$13*1000</f>
        <v>1.0304120501952529</v>
      </c>
      <c r="BB61" s="3824"/>
      <c r="BC61" s="3784"/>
      <c r="BD61" s="6711"/>
      <c r="BE61" s="6712">
        <f>+BE47/BE$13*1000</f>
        <v>0.68637396418070051</v>
      </c>
    </row>
    <row r="62" spans="1:57" ht="15.75" hidden="1" customHeight="1" x14ac:dyDescent="0.2">
      <c r="B62" s="2091" t="s">
        <v>672</v>
      </c>
      <c r="C62" s="2092" t="s">
        <v>1118</v>
      </c>
      <c r="D62" s="5607">
        <f>0*D60</f>
        <v>0</v>
      </c>
      <c r="E62" s="3456">
        <f t="shared" ref="E62:G65" si="335">+E48/E$13*1000</f>
        <v>0</v>
      </c>
      <c r="F62" s="5607">
        <f>0*F60</f>
        <v>0</v>
      </c>
      <c r="G62" s="3456">
        <f t="shared" si="335"/>
        <v>0.51343776631728766</v>
      </c>
      <c r="H62" s="3794"/>
      <c r="I62" s="3775">
        <f>+I48/I$13*1000</f>
        <v>0.27274127381935792</v>
      </c>
      <c r="J62" s="5607">
        <f>0*J60</f>
        <v>0</v>
      </c>
      <c r="K62" s="3456">
        <f t="shared" ref="K62" si="336">+K48/K$13*1000</f>
        <v>0.33084464174611983</v>
      </c>
      <c r="L62" s="3824"/>
      <c r="M62" s="3784">
        <f>+M48/M$13*1000</f>
        <v>0.29348122938593729</v>
      </c>
      <c r="N62" s="5607">
        <f>0.36*N60</f>
        <v>1.512</v>
      </c>
      <c r="O62" s="3456">
        <f t="shared" ref="O62" si="337">+O48/O$13*1000</f>
        <v>0</v>
      </c>
      <c r="P62" s="3794"/>
      <c r="Q62" s="3775">
        <f>+Q48/Q$13*1000</f>
        <v>0.21139487325819187</v>
      </c>
      <c r="R62" s="5607">
        <f>0.36*R60</f>
        <v>1.512</v>
      </c>
      <c r="S62" s="3456">
        <f t="shared" ref="S62:S65" si="338">+S48/S$13*1000</f>
        <v>0.79677891432427717</v>
      </c>
      <c r="T62" s="3794"/>
      <c r="U62" s="3775">
        <f>+U48/U$13*1000</f>
        <v>0.34125909415871147</v>
      </c>
      <c r="V62" s="5607">
        <f>0.36*V60</f>
        <v>1.512</v>
      </c>
      <c r="W62" s="3456">
        <f t="shared" ref="W62:W65" si="339">+W48/W$13*1000</f>
        <v>1.0279109385523553</v>
      </c>
      <c r="X62" s="3824"/>
      <c r="Y62" s="3784">
        <f>+Y48/Y$13*1000</f>
        <v>0.60599706302116529</v>
      </c>
      <c r="Z62" s="6711"/>
      <c r="AA62" s="6712">
        <f>+AA48/AA$13*1000</f>
        <v>0.46150510628850538</v>
      </c>
      <c r="AB62" s="5607">
        <f>0.36*AB60</f>
        <v>1.512</v>
      </c>
      <c r="AC62" s="3456">
        <f t="shared" ref="AC62:AC65" si="340">+AC48/AC$13*1000</f>
        <v>0.65819883378821176</v>
      </c>
      <c r="AD62" s="3794"/>
      <c r="AE62" s="3775">
        <f>+AE48/AE$13*1000</f>
        <v>0.49186416135796407</v>
      </c>
      <c r="AF62" s="5607">
        <f>0.36*AF60</f>
        <v>1.512</v>
      </c>
      <c r="AG62" s="3456">
        <f t="shared" ref="AG62:AG65" si="341">+AG48/AG$13*1000</f>
        <v>1.4675112924490767</v>
      </c>
      <c r="AH62" s="3794"/>
      <c r="AI62" s="3775">
        <f>+AI48/AI$13*1000</f>
        <v>0.61942574459404331</v>
      </c>
      <c r="AJ62" s="5607">
        <f>0.36*AJ60</f>
        <v>1.512</v>
      </c>
      <c r="AK62" s="3456">
        <f t="shared" ref="AK62:AK65" si="342">+AK48/AK$13*1000</f>
        <v>1.0053617781275779</v>
      </c>
      <c r="AL62" s="3824"/>
      <c r="AM62" s="3784">
        <f>+AM48/AM$13*1000</f>
        <v>1.0400041851788528</v>
      </c>
      <c r="AN62" s="3794"/>
      <c r="AO62" s="3775">
        <f>+AO48/AO$13*1000</f>
        <v>0.6652643188238796</v>
      </c>
      <c r="AP62" s="5607">
        <f>0.36*AP60</f>
        <v>1.512</v>
      </c>
      <c r="AQ62" s="3456">
        <f t="shared" ref="AQ62:AQ65" si="343">+AQ48/AQ$13*1000</f>
        <v>1.2507662385820992</v>
      </c>
      <c r="AR62" s="3794"/>
      <c r="AS62" s="3775">
        <f>+AS48/AS$13*1000</f>
        <v>0.727423076490466</v>
      </c>
      <c r="AT62" s="5607">
        <f>0.36*AT60</f>
        <v>1.512</v>
      </c>
      <c r="AU62" s="3456">
        <f t="shared" ref="AU62:AU65" si="344">+AU48/AU$13*1000</f>
        <v>1.044898967897594</v>
      </c>
      <c r="AV62" s="3794"/>
      <c r="AW62" s="3775">
        <f>+AW48/AW$13*1000</f>
        <v>0.75520546961026258</v>
      </c>
      <c r="AX62" s="5607">
        <f>0.36*AX60</f>
        <v>1.512</v>
      </c>
      <c r="AY62" s="3456">
        <f t="shared" ref="AY62:AY65" si="345">+AY48/AY$13*1000</f>
        <v>1.0792458104779608</v>
      </c>
      <c r="AZ62" s="3824"/>
      <c r="BA62" s="3784">
        <f>+BA48/BA$13*1000</f>
        <v>1.1276086916878767</v>
      </c>
      <c r="BB62" s="3824"/>
      <c r="BC62" s="3784"/>
      <c r="BD62" s="6711"/>
      <c r="BE62" s="6712">
        <f>+BE48/BE$13*1000</f>
        <v>0.78386627906976769</v>
      </c>
    </row>
    <row r="63" spans="1:57" ht="15.75" hidden="1" customHeight="1" x14ac:dyDescent="0.2">
      <c r="B63" s="2091" t="s">
        <v>673</v>
      </c>
      <c r="C63" s="2092" t="s">
        <v>1118</v>
      </c>
      <c r="D63" s="5607">
        <f>0*D60</f>
        <v>0</v>
      </c>
      <c r="E63" s="3456">
        <f t="shared" si="335"/>
        <v>0</v>
      </c>
      <c r="F63" s="5607">
        <f>0*F60</f>
        <v>0</v>
      </c>
      <c r="G63" s="3456">
        <f t="shared" si="335"/>
        <v>2.2842884880645925E-2</v>
      </c>
      <c r="H63" s="3794"/>
      <c r="I63" s="3775">
        <f>+I49/I$13*1000</f>
        <v>1.2134279807158293E-2</v>
      </c>
      <c r="J63" s="5607">
        <f>0*J60</f>
        <v>0</v>
      </c>
      <c r="K63" s="3456">
        <f t="shared" ref="K63" si="346">+K49/K$13*1000</f>
        <v>0.26707191982377376</v>
      </c>
      <c r="L63" s="3824"/>
      <c r="M63" s="3784">
        <f>+M49/M$13*1000</f>
        <v>0.1031340878192835</v>
      </c>
      <c r="N63" s="5607">
        <f>0.045*N60</f>
        <v>0.189</v>
      </c>
      <c r="O63" s="3456">
        <f t="shared" ref="O63" si="347">+O49/O$13*1000</f>
        <v>0</v>
      </c>
      <c r="P63" s="3794"/>
      <c r="Q63" s="3775">
        <f>+Q49/Q$13*1000</f>
        <v>7.4287604249082345E-2</v>
      </c>
      <c r="R63" s="5607">
        <f>0.045*R60</f>
        <v>0.189</v>
      </c>
      <c r="S63" s="3456">
        <f t="shared" si="338"/>
        <v>0</v>
      </c>
      <c r="T63" s="3794"/>
      <c r="U63" s="3775">
        <f>+U49/U$13*1000</f>
        <v>5.7807308970099669E-2</v>
      </c>
      <c r="V63" s="5607">
        <f>0.045*V60</f>
        <v>0.189</v>
      </c>
      <c r="W63" s="3456">
        <f t="shared" si="339"/>
        <v>0</v>
      </c>
      <c r="X63" s="3824"/>
      <c r="Y63" s="3784">
        <f>+Y49/Y$13*1000</f>
        <v>0</v>
      </c>
      <c r="Z63" s="6711"/>
      <c r="AA63" s="6712">
        <f>+AA49/AA$13*1000</f>
        <v>4.7684131653438419E-2</v>
      </c>
      <c r="AB63" s="5607">
        <f>0.045*AB60</f>
        <v>0.189</v>
      </c>
      <c r="AC63" s="3456">
        <f t="shared" si="340"/>
        <v>0.20336483270866751</v>
      </c>
      <c r="AD63" s="3794"/>
      <c r="AE63" s="3775">
        <f>+AE49/AE$13*1000</f>
        <v>7.1712955737799192E-2</v>
      </c>
      <c r="AF63" s="5607">
        <f>0.045*AF60</f>
        <v>0.189</v>
      </c>
      <c r="AG63" s="3456">
        <f t="shared" si="341"/>
        <v>0</v>
      </c>
      <c r="AH63" s="3794"/>
      <c r="AI63" s="3775">
        <f>+AI49/AI$13*1000</f>
        <v>6.2336801305589558E-2</v>
      </c>
      <c r="AJ63" s="5607">
        <f>0.045*AJ60</f>
        <v>0.189</v>
      </c>
      <c r="AK63" s="3456">
        <f t="shared" si="342"/>
        <v>0</v>
      </c>
      <c r="AL63" s="3824"/>
      <c r="AM63" s="3784">
        <f>+AM49/AM$13*1000</f>
        <v>6.8264350187184686E-2</v>
      </c>
      <c r="AN63" s="3794"/>
      <c r="AO63" s="3775">
        <f>+AO49/AO$13*1000</f>
        <v>5.4932905722855564E-2</v>
      </c>
      <c r="AP63" s="5607">
        <f>0.045*AP60</f>
        <v>0.189</v>
      </c>
      <c r="AQ63" s="3456">
        <f t="shared" si="343"/>
        <v>0.28413261792506378</v>
      </c>
      <c r="AR63" s="3794"/>
      <c r="AS63" s="3775">
        <f>+AS49/AS$13*1000</f>
        <v>7.9265480710673769E-2</v>
      </c>
      <c r="AT63" s="5607">
        <f>0.045*AT60</f>
        <v>0.189</v>
      </c>
      <c r="AU63" s="3456">
        <f t="shared" si="344"/>
        <v>8.616212050130688E-2</v>
      </c>
      <c r="AV63" s="3794"/>
      <c r="AW63" s="3775">
        <f>+AW49/AW$13*1000</f>
        <v>7.9869007350192006E-2</v>
      </c>
      <c r="AX63" s="5607">
        <f>0.045*AX60</f>
        <v>0.189</v>
      </c>
      <c r="AY63" s="3456">
        <f t="shared" si="345"/>
        <v>0</v>
      </c>
      <c r="AZ63" s="3824"/>
      <c r="BA63" s="3784">
        <f>+BA49/BA$13*1000</f>
        <v>0.12460239513782334</v>
      </c>
      <c r="BB63" s="3824"/>
      <c r="BC63" s="3784"/>
      <c r="BD63" s="6711"/>
      <c r="BE63" s="6712">
        <f>+BE49/BE$13*1000</f>
        <v>7.2804731355252603E-2</v>
      </c>
    </row>
    <row r="64" spans="1:57" ht="15.75" hidden="1" customHeight="1" x14ac:dyDescent="0.2">
      <c r="B64" s="2091" t="s">
        <v>674</v>
      </c>
      <c r="C64" s="2092" t="s">
        <v>1118</v>
      </c>
      <c r="D64" s="5607">
        <f>0*D60</f>
        <v>0</v>
      </c>
      <c r="E64" s="3456">
        <f t="shared" si="335"/>
        <v>0</v>
      </c>
      <c r="F64" s="5607">
        <f>0*F60</f>
        <v>0</v>
      </c>
      <c r="G64" s="3456">
        <f t="shared" si="335"/>
        <v>0</v>
      </c>
      <c r="H64" s="3794"/>
      <c r="I64" s="3775">
        <f>+I50/I$13*1000</f>
        <v>0</v>
      </c>
      <c r="J64" s="5607">
        <f>0*J60</f>
        <v>0</v>
      </c>
      <c r="K64" s="3456">
        <f t="shared" ref="K64" si="348">+K50/K$13*1000</f>
        <v>1.0824967630193883E-2</v>
      </c>
      <c r="L64" s="3824"/>
      <c r="M64" s="3784">
        <f>+M50/M$13*1000</f>
        <v>3.8639644425237174E-3</v>
      </c>
      <c r="N64" s="5607">
        <f>0.025*N60</f>
        <v>0.10500000000000001</v>
      </c>
      <c r="O64" s="3456">
        <f t="shared" ref="O64" si="349">+O50/O$13*1000</f>
        <v>0</v>
      </c>
      <c r="P64" s="3794"/>
      <c r="Q64" s="3775">
        <f>+Q50/Q$13*1000</f>
        <v>2.7832181135077415E-3</v>
      </c>
      <c r="R64" s="5607">
        <f>0.025*R60</f>
        <v>0.10500000000000001</v>
      </c>
      <c r="S64" s="3456">
        <f t="shared" si="338"/>
        <v>0.20313767714833825</v>
      </c>
      <c r="T64" s="3794"/>
      <c r="U64" s="3775">
        <f>+U50/U$13*1000</f>
        <v>4.7230749821270873E-2</v>
      </c>
      <c r="V64" s="5607">
        <f>0.025*V60</f>
        <v>0.10500000000000001</v>
      </c>
      <c r="W64" s="3456">
        <f t="shared" si="339"/>
        <v>0</v>
      </c>
      <c r="X64" s="3824"/>
      <c r="Y64" s="3784">
        <f>+Y50/Y$13*1000</f>
        <v>6.9140301388741915E-2</v>
      </c>
      <c r="Z64" s="6711"/>
      <c r="AA64" s="6712">
        <f>+AA50/AA$13*1000</f>
        <v>3.8959732474884844E-2</v>
      </c>
      <c r="AB64" s="5607">
        <f>0.025*AB60</f>
        <v>0.10500000000000001</v>
      </c>
      <c r="AC64" s="3456">
        <f t="shared" si="340"/>
        <v>0.13570326219998935</v>
      </c>
      <c r="AD64" s="3794"/>
      <c r="AE64" s="3775">
        <f>+AE50/AE$13*1000</f>
        <v>5.3891790471206284E-2</v>
      </c>
      <c r="AF64" s="5607">
        <f>0.025*AF60</f>
        <v>0.10500000000000001</v>
      </c>
      <c r="AG64" s="3456">
        <f t="shared" si="341"/>
        <v>0.11269045037173417</v>
      </c>
      <c r="AH64" s="3794"/>
      <c r="AI64" s="3775">
        <f>+AI50/AI$13*1000</f>
        <v>6.1579457364341089E-2</v>
      </c>
      <c r="AJ64" s="5607">
        <f>0.025*AJ60</f>
        <v>0.10500000000000001</v>
      </c>
      <c r="AK64" s="3456">
        <f t="shared" si="342"/>
        <v>0.16265069358781287</v>
      </c>
      <c r="AL64" s="3824"/>
      <c r="AM64" s="3784">
        <f>+AM50/AM$13*1000</f>
        <v>0.13726238264273632</v>
      </c>
      <c r="AN64" s="3794"/>
      <c r="AO64" s="3775">
        <f>+AO50/AO$13*1000</f>
        <v>7.3583937282198655E-2</v>
      </c>
      <c r="AP64" s="5607">
        <f>0.025*AP60</f>
        <v>0.10500000000000001</v>
      </c>
      <c r="AQ64" s="3456">
        <f t="shared" si="343"/>
        <v>0.28411369845390083</v>
      </c>
      <c r="AR64" s="3794"/>
      <c r="AS64" s="3775">
        <f>+AS50/AS$13*1000</f>
        <v>9.5934450516519124E-2</v>
      </c>
      <c r="AT64" s="5607">
        <f>0.025*AT60</f>
        <v>0.10500000000000001</v>
      </c>
      <c r="AU64" s="3456">
        <f t="shared" si="344"/>
        <v>9.6466389652168083E-2</v>
      </c>
      <c r="AV64" s="3794"/>
      <c r="AW64" s="3775">
        <f>+AW50/AW$13*1000</f>
        <v>9.5981000640740846E-2</v>
      </c>
      <c r="AX64" s="5607">
        <f>0.025*AX60</f>
        <v>0.10500000000000001</v>
      </c>
      <c r="AY64" s="3456">
        <f t="shared" si="345"/>
        <v>0.19406289194130891</v>
      </c>
      <c r="AZ64" s="3824"/>
      <c r="BA64" s="3784">
        <f>+BA50/BA$13*1000</f>
        <v>0.19471240891885344</v>
      </c>
      <c r="BB64" s="3824"/>
      <c r="BC64" s="3784"/>
      <c r="BD64" s="6711"/>
      <c r="BE64" s="6712">
        <f>+BE50/BE$13*1000</f>
        <v>0.10465617481956696</v>
      </c>
    </row>
    <row r="65" spans="1:57" ht="15.75" hidden="1" customHeight="1" x14ac:dyDescent="0.2">
      <c r="B65" s="2089" t="s">
        <v>675</v>
      </c>
      <c r="C65" s="2093" t="s">
        <v>1118</v>
      </c>
      <c r="D65" s="5607">
        <f>0*D60</f>
        <v>0</v>
      </c>
      <c r="E65" s="3456">
        <f t="shared" si="335"/>
        <v>0</v>
      </c>
      <c r="F65" s="5607">
        <f>0*F60</f>
        <v>0</v>
      </c>
      <c r="G65" s="3456">
        <f t="shared" si="335"/>
        <v>0</v>
      </c>
      <c r="H65" s="3794"/>
      <c r="I65" s="3775">
        <f>+I51/I$13*1000</f>
        <v>0</v>
      </c>
      <c r="J65" s="5607">
        <f>0*J60</f>
        <v>0</v>
      </c>
      <c r="K65" s="3456">
        <f t="shared" ref="K65" si="350">+K51/K$13*1000</f>
        <v>2.5223225546082834E-2</v>
      </c>
      <c r="L65" s="3824"/>
      <c r="M65" s="3784">
        <f>+M51/M$13*1000</f>
        <v>9.0034122932591467E-3</v>
      </c>
      <c r="N65" s="5607">
        <f>0.1*N60</f>
        <v>0.42000000000000004</v>
      </c>
      <c r="O65" s="3456">
        <f t="shared" ref="O65" si="351">+O51/O$13*1000</f>
        <v>0</v>
      </c>
      <c r="P65" s="3794"/>
      <c r="Q65" s="3775">
        <f>+Q51/Q$13*1000</f>
        <v>6.4851684198238635E-3</v>
      </c>
      <c r="R65" s="5607">
        <f>0.1*R60</f>
        <v>0.42000000000000004</v>
      </c>
      <c r="S65" s="3456">
        <f t="shared" si="338"/>
        <v>0.18008659321661194</v>
      </c>
      <c r="T65" s="3794"/>
      <c r="U65" s="3775">
        <f>+U51/U$13*1000</f>
        <v>4.4997687034778584E-2</v>
      </c>
      <c r="V65" s="5607">
        <f>0.1*V60</f>
        <v>0.42000000000000004</v>
      </c>
      <c r="W65" s="3456">
        <f t="shared" si="339"/>
        <v>0.16639594310843472</v>
      </c>
      <c r="X65" s="3824"/>
      <c r="Y65" s="3784">
        <f>+Y51/Y$13*1000</f>
        <v>0.11549191814655471</v>
      </c>
      <c r="Z65" s="6711"/>
      <c r="AA65" s="6712">
        <f>+AA51/AA$13*1000</f>
        <v>6.6256868513070999E-2</v>
      </c>
      <c r="AB65" s="5607">
        <f>0.1*AB60</f>
        <v>0.42000000000000004</v>
      </c>
      <c r="AC65" s="3456">
        <f t="shared" si="340"/>
        <v>0</v>
      </c>
      <c r="AD65" s="3794"/>
      <c r="AE65" s="3775">
        <f>+AE51/AE$13*1000</f>
        <v>5.6030330303197443E-2</v>
      </c>
      <c r="AF65" s="5607">
        <f>0.1*AF60</f>
        <v>0.42000000000000004</v>
      </c>
      <c r="AG65" s="3456">
        <f t="shared" si="341"/>
        <v>0.13652356396714074</v>
      </c>
      <c r="AH65" s="3794"/>
      <c r="AI65" s="3775">
        <f>+AI51/AI$13*1000</f>
        <v>6.6554467564259506E-2</v>
      </c>
      <c r="AJ65" s="5607">
        <f>0.1*AJ60</f>
        <v>0.42000000000000004</v>
      </c>
      <c r="AK65" s="3456">
        <f t="shared" si="342"/>
        <v>0.25541286069971775</v>
      </c>
      <c r="AL65" s="3824"/>
      <c r="AM65" s="3784">
        <f>+AM51/AM$13*1000</f>
        <v>0.13078683914367159</v>
      </c>
      <c r="AN65" s="3794"/>
      <c r="AO65" s="3775">
        <f>+AO51/AO$13*1000</f>
        <v>8.8985644548191134E-2</v>
      </c>
      <c r="AP65" s="5607">
        <f>0.1*AP60</f>
        <v>0.42000000000000004</v>
      </c>
      <c r="AQ65" s="3456">
        <f t="shared" si="343"/>
        <v>0.32163100977001496</v>
      </c>
      <c r="AR65" s="3794"/>
      <c r="AS65" s="3775">
        <f>+AS51/AS$13*1000</f>
        <v>0.11368402108818509</v>
      </c>
      <c r="AT65" s="5607">
        <f>0.1*AT60</f>
        <v>0.42000000000000004</v>
      </c>
      <c r="AU65" s="3456">
        <f t="shared" si="344"/>
        <v>0.18325681924803969</v>
      </c>
      <c r="AV65" s="3794"/>
      <c r="AW65" s="3775">
        <f>+AW51/AW$13*1000</f>
        <v>0.11977235371827637</v>
      </c>
      <c r="AX65" s="5607">
        <f>0.1*AX60</f>
        <v>0.42000000000000004</v>
      </c>
      <c r="AY65" s="3456">
        <f t="shared" si="345"/>
        <v>0.21722048445834655</v>
      </c>
      <c r="AZ65" s="3824"/>
      <c r="BA65" s="3784">
        <f>+BA51/BA$13*1000</f>
        <v>0.24260083728224541</v>
      </c>
      <c r="BB65" s="3824"/>
      <c r="BC65" s="3784"/>
      <c r="BD65" s="6711"/>
      <c r="BE65" s="6712">
        <f>+BE51/BE$13*1000</f>
        <v>0.12839147286821706</v>
      </c>
    </row>
    <row r="66" spans="1:57" ht="16.5" hidden="1" customHeight="1" thickBot="1" x14ac:dyDescent="0.25">
      <c r="B66" s="1560" t="s">
        <v>1124</v>
      </c>
      <c r="C66" s="1562" t="s">
        <v>1118</v>
      </c>
      <c r="D66" s="2703">
        <f t="shared" ref="D66:M66" si="352">SUM(D61:D65)</f>
        <v>0</v>
      </c>
      <c r="E66" s="3844">
        <f t="shared" si="352"/>
        <v>0</v>
      </c>
      <c r="F66" s="2703">
        <f t="shared" ref="F66" si="353">SUM(F61:F65)</f>
        <v>0</v>
      </c>
      <c r="G66" s="2436">
        <f t="shared" si="352"/>
        <v>0.90066859366900653</v>
      </c>
      <c r="H66" s="2987">
        <f t="shared" si="352"/>
        <v>0</v>
      </c>
      <c r="I66" s="2338">
        <f t="shared" si="352"/>
        <v>0.47844065170416628</v>
      </c>
      <c r="J66" s="2764">
        <f t="shared" ref="J66" si="354">SUM(J61:J65)</f>
        <v>0</v>
      </c>
      <c r="K66" s="2436">
        <f t="shared" si="352"/>
        <v>1.0514932149523282</v>
      </c>
      <c r="L66" s="3050">
        <f t="shared" si="352"/>
        <v>0</v>
      </c>
      <c r="M66" s="2415">
        <f t="shared" si="352"/>
        <v>0.68299135372306108</v>
      </c>
      <c r="N66" s="2764">
        <f t="shared" ref="N66" si="355">SUM(N61:N65)</f>
        <v>3.36</v>
      </c>
      <c r="O66" s="2436">
        <f t="shared" ref="O66:R66" si="356">SUM(O61:O65)</f>
        <v>0</v>
      </c>
      <c r="P66" s="2987">
        <f t="shared" si="356"/>
        <v>0</v>
      </c>
      <c r="Q66" s="2338">
        <f t="shared" si="356"/>
        <v>0.4919594720208218</v>
      </c>
      <c r="R66" s="2764">
        <f t="shared" si="356"/>
        <v>3.36</v>
      </c>
      <c r="S66" s="2436">
        <f t="shared" ref="S66:V66" si="357">SUM(S61:S65)</f>
        <v>2.1671241498017149</v>
      </c>
      <c r="T66" s="2987">
        <f t="shared" si="357"/>
        <v>0</v>
      </c>
      <c r="U66" s="2338">
        <f t="shared" si="357"/>
        <v>0.86358551663232264</v>
      </c>
      <c r="V66" s="2764">
        <f t="shared" si="357"/>
        <v>3.36</v>
      </c>
      <c r="W66" s="2436">
        <f t="shared" ref="W66:AJ66" si="358">SUM(W61:W65)</f>
        <v>1.893011370389446</v>
      </c>
      <c r="X66" s="3050">
        <f t="shared" ref="X66:Y66" si="359">SUM(X61:X65)</f>
        <v>0</v>
      </c>
      <c r="Y66" s="2415">
        <f t="shared" si="359"/>
        <v>1.3541846786743852</v>
      </c>
      <c r="Z66" s="6664">
        <f t="shared" si="358"/>
        <v>0</v>
      </c>
      <c r="AA66" s="6710">
        <f t="shared" si="358"/>
        <v>1.0438578842204587</v>
      </c>
      <c r="AB66" s="2764">
        <f t="shared" si="358"/>
        <v>3.36</v>
      </c>
      <c r="AC66" s="2436">
        <f t="shared" si="358"/>
        <v>1.6837467784729772</v>
      </c>
      <c r="AD66" s="2987">
        <f t="shared" si="358"/>
        <v>0</v>
      </c>
      <c r="AE66" s="2338">
        <f t="shared" si="358"/>
        <v>1.1426227122904145</v>
      </c>
      <c r="AF66" s="2764">
        <f t="shared" si="358"/>
        <v>3.36</v>
      </c>
      <c r="AG66" s="2436">
        <f t="shared" si="358"/>
        <v>2.800605384489363</v>
      </c>
      <c r="AH66" s="2987">
        <f t="shared" si="358"/>
        <v>0</v>
      </c>
      <c r="AI66" s="2338">
        <f t="shared" si="358"/>
        <v>1.3593966748266018</v>
      </c>
      <c r="AJ66" s="2764">
        <f t="shared" si="358"/>
        <v>3.36</v>
      </c>
      <c r="AK66" s="2436">
        <f t="shared" ref="AK66:AP66" si="360">SUM(AK61:AK65)</f>
        <v>2.1259052966951471</v>
      </c>
      <c r="AL66" s="3050">
        <f t="shared" si="360"/>
        <v>0</v>
      </c>
      <c r="AM66" s="2415">
        <f t="shared" si="360"/>
        <v>2.1981886341770895</v>
      </c>
      <c r="AN66" s="2987">
        <f t="shared" si="360"/>
        <v>0</v>
      </c>
      <c r="AO66" s="2338">
        <f t="shared" si="360"/>
        <v>1.4504367936764466</v>
      </c>
      <c r="AP66" s="2764">
        <f t="shared" si="360"/>
        <v>3.36</v>
      </c>
      <c r="AQ66" s="2436">
        <f t="shared" ref="AQ66:AT66" si="361">SUM(AQ61:AQ65)</f>
        <v>3.3775418309507415</v>
      </c>
      <c r="AR66" s="2987">
        <f t="shared" si="361"/>
        <v>0</v>
      </c>
      <c r="AS66" s="2338">
        <f t="shared" si="361"/>
        <v>1.6550244320217764</v>
      </c>
      <c r="AT66" s="2764">
        <f t="shared" si="361"/>
        <v>3.36</v>
      </c>
      <c r="AU66" s="2436">
        <f t="shared" ref="AU66:AX66" si="362">SUM(AU61:AU65)</f>
        <v>2.1831856108839887</v>
      </c>
      <c r="AV66" s="2987">
        <f t="shared" si="362"/>
        <v>0</v>
      </c>
      <c r="AW66" s="2338">
        <f t="shared" si="362"/>
        <v>1.7012439463185263</v>
      </c>
      <c r="AX66" s="2764">
        <f t="shared" si="362"/>
        <v>3.36</v>
      </c>
      <c r="AY66" s="2436">
        <f t="shared" ref="AY66:BE66" si="363">SUM(AY61:AY65)</f>
        <v>2.5474862867763726</v>
      </c>
      <c r="AZ66" s="3050">
        <f t="shared" si="363"/>
        <v>0</v>
      </c>
      <c r="BA66" s="2415">
        <f t="shared" si="363"/>
        <v>2.7199363832220516</v>
      </c>
      <c r="BB66" s="3050"/>
      <c r="BC66" s="2415"/>
      <c r="BD66" s="6664">
        <f t="shared" si="363"/>
        <v>0</v>
      </c>
      <c r="BE66" s="6710">
        <f t="shared" si="363"/>
        <v>1.776092622293505</v>
      </c>
    </row>
    <row r="67" spans="1:57" ht="16.5" hidden="1" customHeight="1" thickBot="1" x14ac:dyDescent="0.25">
      <c r="B67" s="1560" t="s">
        <v>1123</v>
      </c>
      <c r="C67" s="1561" t="s">
        <v>169</v>
      </c>
      <c r="D67" s="1794" t="e">
        <f>+D66/D60*100</f>
        <v>#DIV/0!</v>
      </c>
      <c r="E67" s="3211" t="e">
        <f>+E66/E60*100</f>
        <v>#DIV/0!</v>
      </c>
      <c r="F67" s="1794" t="e">
        <f>+F66/F60*100</f>
        <v>#DIV/0!</v>
      </c>
      <c r="G67" s="3211" t="e">
        <f t="shared" ref="G67:N67" si="364">+G66/G60*100</f>
        <v>#DIV/0!</v>
      </c>
      <c r="H67" s="2792" t="e">
        <f t="shared" si="364"/>
        <v>#DIV/0!</v>
      </c>
      <c r="I67" s="3874" t="e">
        <f t="shared" si="364"/>
        <v>#DIV/0!</v>
      </c>
      <c r="J67" s="2685" t="e">
        <f t="shared" ref="J67" si="365">+J66/J60*100</f>
        <v>#DIV/0!</v>
      </c>
      <c r="K67" s="3211" t="e">
        <f>+K66/K60*100</f>
        <v>#DIV/0!</v>
      </c>
      <c r="L67" s="2955" t="e">
        <f t="shared" si="364"/>
        <v>#DIV/0!</v>
      </c>
      <c r="M67" s="3896" t="e">
        <f t="shared" si="364"/>
        <v>#DIV/0!</v>
      </c>
      <c r="N67" s="2685">
        <f t="shared" si="364"/>
        <v>80</v>
      </c>
      <c r="O67" s="3211" t="e">
        <f>+O66/O60*100</f>
        <v>#DIV/0!</v>
      </c>
      <c r="P67" s="2792">
        <f t="shared" ref="P67:R67" si="366">+P66/P60*100</f>
        <v>0</v>
      </c>
      <c r="Q67" s="3874" t="e">
        <f t="shared" si="366"/>
        <v>#DIV/0!</v>
      </c>
      <c r="R67" s="2685">
        <f t="shared" si="366"/>
        <v>80</v>
      </c>
      <c r="S67" s="3211" t="e">
        <f>+S66/S60*100</f>
        <v>#DIV/0!</v>
      </c>
      <c r="T67" s="2792">
        <f t="shared" ref="T67:V67" si="367">+T66/T60*100</f>
        <v>0</v>
      </c>
      <c r="U67" s="3874" t="e">
        <f t="shared" si="367"/>
        <v>#DIV/0!</v>
      </c>
      <c r="V67" s="2685">
        <f t="shared" si="367"/>
        <v>80</v>
      </c>
      <c r="W67" s="3211">
        <f>+W66/W60*100</f>
        <v>54.174036281179141</v>
      </c>
      <c r="X67" s="2955">
        <f t="shared" ref="X67:Y67" si="368">+X66/X60*100</f>
        <v>0</v>
      </c>
      <c r="Y67" s="3896">
        <f t="shared" si="368"/>
        <v>118.98185941043084</v>
      </c>
      <c r="Z67" s="6605">
        <f t="shared" ref="Z67:AB67" si="369">+Z66/Z60*100</f>
        <v>0</v>
      </c>
      <c r="AA67" s="6707">
        <f t="shared" si="369"/>
        <v>170.58673469387753</v>
      </c>
      <c r="AB67" s="2685">
        <f t="shared" si="369"/>
        <v>80</v>
      </c>
      <c r="AC67" s="3211">
        <f>+AC66/AC60*100</f>
        <v>43.172994319819928</v>
      </c>
      <c r="AD67" s="2792">
        <f t="shared" ref="AD67:AF67" si="370">+AD66/AD60*100</f>
        <v>0</v>
      </c>
      <c r="AE67" s="3874">
        <f t="shared" si="370"/>
        <v>113.12953819343593</v>
      </c>
      <c r="AF67" s="2685">
        <f t="shared" si="370"/>
        <v>80</v>
      </c>
      <c r="AG67" s="3211">
        <f>+AG66/AG60*100</f>
        <v>71.810394474086237</v>
      </c>
      <c r="AH67" s="2792">
        <f t="shared" ref="AH67:AJ67" si="371">+AH66/AH60*100</f>
        <v>0</v>
      </c>
      <c r="AI67" s="3874">
        <f t="shared" si="371"/>
        <v>100.98522447433228</v>
      </c>
      <c r="AJ67" s="2685">
        <f t="shared" si="371"/>
        <v>80</v>
      </c>
      <c r="AK67" s="3211">
        <f>+AK66/AK60*100</f>
        <v>53.147632417378674</v>
      </c>
      <c r="AL67" s="2955">
        <f t="shared" ref="AL67:AP67" si="372">+AL66/AL60*100</f>
        <v>0</v>
      </c>
      <c r="AM67" s="3896">
        <f t="shared" si="372"/>
        <v>62.648096294410706</v>
      </c>
      <c r="AN67" s="2792">
        <f t="shared" si="372"/>
        <v>0</v>
      </c>
      <c r="AO67" s="3874">
        <f t="shared" si="372"/>
        <v>88.86078911864314</v>
      </c>
      <c r="AP67" s="2685">
        <f t="shared" si="372"/>
        <v>80</v>
      </c>
      <c r="AQ67" s="3211">
        <f>+AQ66/AQ60*100</f>
        <v>80.417662641684316</v>
      </c>
      <c r="AR67" s="2792">
        <f t="shared" ref="AR67:AT67" si="373">+AR66/AR60*100</f>
        <v>0</v>
      </c>
      <c r="AS67" s="3874">
        <f t="shared" si="373"/>
        <v>87.093224817672549</v>
      </c>
      <c r="AT67" s="2685">
        <f t="shared" si="373"/>
        <v>80</v>
      </c>
      <c r="AU67" s="3211">
        <f>+AU66/AU60*100</f>
        <v>51.980609782952115</v>
      </c>
      <c r="AV67" s="2792">
        <f t="shared" ref="AV67:AX67" si="374">+AV66/AV60*100</f>
        <v>0</v>
      </c>
      <c r="AW67" s="3874">
        <f t="shared" si="374"/>
        <v>87.499528675389328</v>
      </c>
      <c r="AX67" s="2685">
        <f t="shared" si="374"/>
        <v>80</v>
      </c>
      <c r="AY67" s="3211">
        <f>+AY66/AY60*100</f>
        <v>60.654435399437432</v>
      </c>
      <c r="AZ67" s="2955">
        <f t="shared" ref="AZ67:BE67" si="375">+AZ66/AZ60*100</f>
        <v>0</v>
      </c>
      <c r="BA67" s="3896">
        <f t="shared" si="375"/>
        <v>83.589728193426993</v>
      </c>
      <c r="BB67" s="2955"/>
      <c r="BC67" s="3896"/>
      <c r="BD67" s="6605">
        <f t="shared" si="375"/>
        <v>0</v>
      </c>
      <c r="BE67" s="6707">
        <f t="shared" si="375"/>
        <v>86.712724306688429</v>
      </c>
    </row>
    <row r="68" spans="1:57" x14ac:dyDescent="0.2">
      <c r="B68" s="1540" t="s">
        <v>676</v>
      </c>
      <c r="C68" s="1541" t="s">
        <v>170</v>
      </c>
      <c r="D68" s="2686">
        <v>7.74</v>
      </c>
      <c r="E68" s="2725">
        <v>7.74</v>
      </c>
      <c r="F68" s="2686">
        <v>8</v>
      </c>
      <c r="G68" s="1862">
        <v>8</v>
      </c>
      <c r="H68" s="2793">
        <f t="shared" ref="H68:H70" si="376">+D68+F68</f>
        <v>15.74</v>
      </c>
      <c r="I68" s="3141">
        <f>+E68+G68</f>
        <v>15.74</v>
      </c>
      <c r="J68" s="2683">
        <v>7</v>
      </c>
      <c r="K68" s="1862">
        <v>7</v>
      </c>
      <c r="L68" s="2879">
        <f t="shared" ref="L68:L70" si="377">+H68+J68</f>
        <v>22.740000000000002</v>
      </c>
      <c r="M68" s="3101">
        <f>+I68+K68</f>
        <v>22.740000000000002</v>
      </c>
      <c r="N68" s="2683">
        <v>15</v>
      </c>
      <c r="O68" s="1862">
        <v>0</v>
      </c>
      <c r="P68" s="2793">
        <f t="shared" ref="P68:P70" si="378">+L68+N68</f>
        <v>37.74</v>
      </c>
      <c r="Q68" s="3141">
        <f>+M68+O68</f>
        <v>22.740000000000002</v>
      </c>
      <c r="R68" s="2683">
        <v>15</v>
      </c>
      <c r="S68" s="1862">
        <v>6.5</v>
      </c>
      <c r="T68" s="2793">
        <f t="shared" ref="T68:T70" si="379">+P68+R68</f>
        <v>52.74</v>
      </c>
      <c r="U68" s="3141">
        <f>+Q68+S68</f>
        <v>29.240000000000002</v>
      </c>
      <c r="V68" s="2683">
        <v>15</v>
      </c>
      <c r="W68" s="1862">
        <v>2</v>
      </c>
      <c r="X68" s="3046">
        <f t="shared" ref="X68:X70" si="380">+N68+R68+V68</f>
        <v>45</v>
      </c>
      <c r="Y68" s="2070">
        <f t="shared" ref="Y68:Y70" si="381">+O68+S68+W68</f>
        <v>8.5</v>
      </c>
      <c r="Z68" s="6618">
        <f t="shared" ref="Z68:Z70" si="382">+T68+V68</f>
        <v>67.740000000000009</v>
      </c>
      <c r="AA68" s="6700">
        <f>+U68+W68</f>
        <v>31.240000000000002</v>
      </c>
      <c r="AB68" s="2683">
        <v>15</v>
      </c>
      <c r="AC68" s="1862">
        <v>3.6</v>
      </c>
      <c r="AD68" s="2793">
        <f t="shared" ref="AD68:AD70" si="383">+Z68+AB68</f>
        <v>82.740000000000009</v>
      </c>
      <c r="AE68" s="3141">
        <f>+AA68+AC68</f>
        <v>34.840000000000003</v>
      </c>
      <c r="AF68" s="2683">
        <v>15</v>
      </c>
      <c r="AG68" s="1862">
        <v>6.5</v>
      </c>
      <c r="AH68" s="2793">
        <f t="shared" ref="AH68:AH70" si="384">+AD68+AF68</f>
        <v>97.740000000000009</v>
      </c>
      <c r="AI68" s="3141">
        <f>+AE68+AG68</f>
        <v>41.34</v>
      </c>
      <c r="AJ68" s="2683">
        <v>15</v>
      </c>
      <c r="AK68" s="1862">
        <v>9.9</v>
      </c>
      <c r="AL68" s="3046">
        <f t="shared" ref="AL68:AL70" si="385">+AB68+AF68+AJ68</f>
        <v>45</v>
      </c>
      <c r="AM68" s="2070">
        <f t="shared" ref="AM68:AM70" si="386">+AC68+AG68+AK68</f>
        <v>20</v>
      </c>
      <c r="AN68" s="2793">
        <f t="shared" ref="AN68:AN70" si="387">+AH68+AJ68</f>
        <v>112.74000000000001</v>
      </c>
      <c r="AO68" s="3141">
        <f>+AI68+AK68</f>
        <v>51.24</v>
      </c>
      <c r="AP68" s="2683">
        <v>15</v>
      </c>
      <c r="AQ68" s="1862">
        <v>16.600000000000001</v>
      </c>
      <c r="AR68" s="2793">
        <f t="shared" ref="AR68:AR70" si="388">+AN68+AP68</f>
        <v>127.74000000000001</v>
      </c>
      <c r="AS68" s="3141">
        <f>+AO68+AQ68</f>
        <v>67.84</v>
      </c>
      <c r="AT68" s="2683">
        <v>15</v>
      </c>
      <c r="AU68" s="1862">
        <v>10.5</v>
      </c>
      <c r="AV68" s="2793">
        <f t="shared" ref="AV68:AV70" si="389">+AR68+AT68</f>
        <v>142.74</v>
      </c>
      <c r="AW68" s="3141">
        <f>+AS68+AU68</f>
        <v>78.34</v>
      </c>
      <c r="AX68" s="2683">
        <v>15</v>
      </c>
      <c r="AY68" s="1862">
        <v>12</v>
      </c>
      <c r="AZ68" s="3046">
        <f t="shared" ref="AZ68:AZ70" si="390">+AP68+AT68+AX68</f>
        <v>45</v>
      </c>
      <c r="BA68" s="2070">
        <f t="shared" ref="BA68:BA70" si="391">+AQ68+AU68+AY68</f>
        <v>39.1</v>
      </c>
      <c r="BB68" s="3046">
        <f t="shared" ref="BB68:BB70" si="392">+AL68+AZ68</f>
        <v>90</v>
      </c>
      <c r="BC68" s="2070">
        <f t="shared" ref="BC68:BC70" si="393">+AM68+BA68</f>
        <v>59.1</v>
      </c>
      <c r="BD68" s="6618">
        <f t="shared" ref="BD68:BD70" si="394">+AV68+AX68</f>
        <v>157.74</v>
      </c>
      <c r="BE68" s="6700">
        <f>+AW68+AY68</f>
        <v>90.34</v>
      </c>
    </row>
    <row r="69" spans="1:57" x14ac:dyDescent="0.2">
      <c r="B69" s="1543" t="s">
        <v>677</v>
      </c>
      <c r="C69" s="1544" t="s">
        <v>170</v>
      </c>
      <c r="D69" s="2686">
        <v>0.5</v>
      </c>
      <c r="E69" s="2725">
        <v>0.5</v>
      </c>
      <c r="F69" s="2686">
        <v>1</v>
      </c>
      <c r="G69" s="1862">
        <v>1</v>
      </c>
      <c r="H69" s="4809">
        <f t="shared" si="376"/>
        <v>1.5</v>
      </c>
      <c r="I69" s="2807">
        <f>+E69+G69</f>
        <v>1.5</v>
      </c>
      <c r="J69" s="2706">
        <v>1.5</v>
      </c>
      <c r="K69" s="1862">
        <v>1</v>
      </c>
      <c r="L69" s="4792">
        <f t="shared" si="377"/>
        <v>3</v>
      </c>
      <c r="M69" s="2888">
        <f>+I69+K69</f>
        <v>2.5</v>
      </c>
      <c r="N69" s="2706">
        <v>1.5</v>
      </c>
      <c r="O69" s="1862">
        <v>0</v>
      </c>
      <c r="P69" s="4809">
        <f t="shared" si="378"/>
        <v>4.5</v>
      </c>
      <c r="Q69" s="2807">
        <f>+M69+O69</f>
        <v>2.5</v>
      </c>
      <c r="R69" s="2706">
        <v>1.5</v>
      </c>
      <c r="S69" s="1862">
        <v>1</v>
      </c>
      <c r="T69" s="4809">
        <f t="shared" si="379"/>
        <v>6</v>
      </c>
      <c r="U69" s="2807">
        <f>+Q69+S69</f>
        <v>3.5</v>
      </c>
      <c r="V69" s="2706">
        <v>1.5</v>
      </c>
      <c r="W69" s="1862">
        <v>1</v>
      </c>
      <c r="X69" s="3046">
        <f t="shared" si="380"/>
        <v>4.5</v>
      </c>
      <c r="Y69" s="2070">
        <f t="shared" si="381"/>
        <v>2</v>
      </c>
      <c r="Z69" s="6519">
        <f t="shared" si="382"/>
        <v>7.5</v>
      </c>
      <c r="AA69" s="6686">
        <f>+U69+W69</f>
        <v>4.5</v>
      </c>
      <c r="AB69" s="2706">
        <v>1.5</v>
      </c>
      <c r="AC69" s="1862">
        <v>0.8</v>
      </c>
      <c r="AD69" s="4809">
        <f t="shared" si="383"/>
        <v>9</v>
      </c>
      <c r="AE69" s="2807">
        <f>+AA69+AC69</f>
        <v>5.3</v>
      </c>
      <c r="AF69" s="2706">
        <v>1.5</v>
      </c>
      <c r="AG69" s="1862">
        <v>0.28999999999999998</v>
      </c>
      <c r="AH69" s="4809">
        <f t="shared" si="384"/>
        <v>10.5</v>
      </c>
      <c r="AI69" s="2807">
        <f>+AE69+AG69</f>
        <v>5.59</v>
      </c>
      <c r="AJ69" s="2706">
        <v>1.5</v>
      </c>
      <c r="AK69" s="1862">
        <v>0.33</v>
      </c>
      <c r="AL69" s="3046">
        <f t="shared" si="385"/>
        <v>4.5</v>
      </c>
      <c r="AM69" s="2070">
        <f t="shared" si="386"/>
        <v>1.4200000000000002</v>
      </c>
      <c r="AN69" s="4809">
        <f t="shared" si="387"/>
        <v>12</v>
      </c>
      <c r="AO69" s="2807">
        <f>+AI69+AK69</f>
        <v>5.92</v>
      </c>
      <c r="AP69" s="2706">
        <v>1.5</v>
      </c>
      <c r="AQ69" s="1862">
        <v>0.31</v>
      </c>
      <c r="AR69" s="4809">
        <f t="shared" si="388"/>
        <v>13.5</v>
      </c>
      <c r="AS69" s="2807">
        <f>+AO69+AQ69</f>
        <v>6.2299999999999995</v>
      </c>
      <c r="AT69" s="2706">
        <v>1.5</v>
      </c>
      <c r="AU69" s="1862">
        <v>0</v>
      </c>
      <c r="AV69" s="4809">
        <f t="shared" si="389"/>
        <v>15</v>
      </c>
      <c r="AW69" s="2807">
        <f>+AS69+AU69</f>
        <v>6.2299999999999995</v>
      </c>
      <c r="AX69" s="2706">
        <v>1.5</v>
      </c>
      <c r="AY69" s="1862">
        <v>0</v>
      </c>
      <c r="AZ69" s="3046">
        <f t="shared" si="390"/>
        <v>4.5</v>
      </c>
      <c r="BA69" s="2070">
        <f t="shared" si="391"/>
        <v>0.31</v>
      </c>
      <c r="BB69" s="3046">
        <f t="shared" si="392"/>
        <v>9</v>
      </c>
      <c r="BC69" s="2070">
        <f t="shared" si="393"/>
        <v>1.7300000000000002</v>
      </c>
      <c r="BD69" s="6519">
        <f t="shared" si="394"/>
        <v>16.5</v>
      </c>
      <c r="BE69" s="6686">
        <f>+AW69+AY69</f>
        <v>6.2299999999999995</v>
      </c>
    </row>
    <row r="70" spans="1:57" ht="16" thickBot="1" x14ac:dyDescent="0.25">
      <c r="B70" s="1546" t="s">
        <v>678</v>
      </c>
      <c r="C70" s="1547" t="s">
        <v>170</v>
      </c>
      <c r="D70" s="2696">
        <v>0</v>
      </c>
      <c r="E70" s="2725">
        <v>0</v>
      </c>
      <c r="F70" s="2696">
        <v>0</v>
      </c>
      <c r="G70" s="3864">
        <v>0</v>
      </c>
      <c r="H70" s="4809">
        <f t="shared" si="376"/>
        <v>0</v>
      </c>
      <c r="I70" s="3870">
        <f>+E70+G70</f>
        <v>0</v>
      </c>
      <c r="J70" s="2799">
        <v>0</v>
      </c>
      <c r="K70" s="3864">
        <v>0</v>
      </c>
      <c r="L70" s="4792">
        <f t="shared" si="377"/>
        <v>0</v>
      </c>
      <c r="M70" s="3892">
        <f>+I70+K70</f>
        <v>0</v>
      </c>
      <c r="N70" s="2799">
        <v>15</v>
      </c>
      <c r="O70" s="3864">
        <v>0</v>
      </c>
      <c r="P70" s="4809">
        <f t="shared" si="378"/>
        <v>15</v>
      </c>
      <c r="Q70" s="3870">
        <f>+M70+O70</f>
        <v>0</v>
      </c>
      <c r="R70" s="2799">
        <v>15</v>
      </c>
      <c r="S70" s="3864">
        <v>0</v>
      </c>
      <c r="T70" s="4809">
        <f t="shared" si="379"/>
        <v>30</v>
      </c>
      <c r="U70" s="3870">
        <f>+Q70+S70</f>
        <v>0</v>
      </c>
      <c r="V70" s="2799">
        <v>15</v>
      </c>
      <c r="W70" s="3864">
        <v>0</v>
      </c>
      <c r="X70" s="3046">
        <f t="shared" si="380"/>
        <v>45</v>
      </c>
      <c r="Y70" s="2070">
        <f t="shared" si="381"/>
        <v>0</v>
      </c>
      <c r="Z70" s="6519">
        <f t="shared" si="382"/>
        <v>45</v>
      </c>
      <c r="AA70" s="6694">
        <f>+U70+W70</f>
        <v>0</v>
      </c>
      <c r="AB70" s="2799">
        <v>15</v>
      </c>
      <c r="AC70" s="3864">
        <v>0</v>
      </c>
      <c r="AD70" s="4809">
        <f t="shared" si="383"/>
        <v>60</v>
      </c>
      <c r="AE70" s="3870">
        <f>+AA70+AC70</f>
        <v>0</v>
      </c>
      <c r="AF70" s="2799">
        <v>15</v>
      </c>
      <c r="AG70" s="3864">
        <v>0</v>
      </c>
      <c r="AH70" s="4809">
        <f t="shared" si="384"/>
        <v>75</v>
      </c>
      <c r="AI70" s="3870">
        <f>+AE70+AG70</f>
        <v>0</v>
      </c>
      <c r="AJ70" s="2799">
        <v>15</v>
      </c>
      <c r="AK70" s="3864">
        <v>0</v>
      </c>
      <c r="AL70" s="3046">
        <f t="shared" si="385"/>
        <v>45</v>
      </c>
      <c r="AM70" s="2070">
        <f t="shared" si="386"/>
        <v>0</v>
      </c>
      <c r="AN70" s="4809">
        <f t="shared" si="387"/>
        <v>90</v>
      </c>
      <c r="AO70" s="3870">
        <f>+AI70+AK70</f>
        <v>0</v>
      </c>
      <c r="AP70" s="2799">
        <v>15</v>
      </c>
      <c r="AQ70" s="3864">
        <v>0</v>
      </c>
      <c r="AR70" s="4809">
        <f t="shared" si="388"/>
        <v>105</v>
      </c>
      <c r="AS70" s="3870">
        <f>+AO70+AQ70</f>
        <v>0</v>
      </c>
      <c r="AT70" s="2799">
        <v>15</v>
      </c>
      <c r="AU70" s="3864">
        <v>0</v>
      </c>
      <c r="AV70" s="4809">
        <f t="shared" si="389"/>
        <v>120</v>
      </c>
      <c r="AW70" s="3870">
        <f>+AS70+AU70</f>
        <v>0</v>
      </c>
      <c r="AX70" s="2799">
        <v>15</v>
      </c>
      <c r="AY70" s="3864">
        <v>0</v>
      </c>
      <c r="AZ70" s="3046">
        <f t="shared" si="390"/>
        <v>45</v>
      </c>
      <c r="BA70" s="2070">
        <f t="shared" si="391"/>
        <v>0</v>
      </c>
      <c r="BB70" s="3046">
        <f t="shared" si="392"/>
        <v>90</v>
      </c>
      <c r="BC70" s="2070">
        <f t="shared" si="393"/>
        <v>0</v>
      </c>
      <c r="BD70" s="6519">
        <f t="shared" si="394"/>
        <v>135</v>
      </c>
      <c r="BE70" s="6694">
        <f>+AW70+AY70</f>
        <v>0</v>
      </c>
    </row>
    <row r="71" spans="1:57" s="3380" customFormat="1" ht="18" x14ac:dyDescent="0.2">
      <c r="A71" s="3379"/>
      <c r="B71" s="5052" t="s">
        <v>2019</v>
      </c>
      <c r="C71" s="3290"/>
      <c r="D71" s="6769"/>
      <c r="E71" s="6770"/>
      <c r="F71" s="6769"/>
      <c r="G71" s="6771"/>
      <c r="H71" s="3435"/>
      <c r="I71" s="5756"/>
      <c r="J71" s="3435"/>
      <c r="K71" s="5756"/>
      <c r="L71" s="3435"/>
      <c r="M71" s="5756"/>
      <c r="N71" s="3435"/>
      <c r="O71" s="5756"/>
      <c r="P71" s="3435"/>
      <c r="Q71" s="5756"/>
      <c r="R71" s="3435"/>
      <c r="S71" s="5756"/>
      <c r="T71" s="3435"/>
      <c r="U71" s="5756"/>
      <c r="V71" s="3435"/>
      <c r="W71" s="5756"/>
      <c r="X71" s="3435"/>
      <c r="Y71" s="5756"/>
      <c r="Z71" s="3435"/>
      <c r="AA71" s="5756"/>
      <c r="AB71" s="3435"/>
      <c r="AC71" s="5756"/>
      <c r="AD71" s="3435"/>
      <c r="AE71" s="5756"/>
      <c r="AF71" s="3435"/>
      <c r="AG71" s="5756"/>
      <c r="AH71" s="3435"/>
      <c r="AI71" s="5756"/>
      <c r="AJ71" s="3435"/>
      <c r="AK71" s="5756"/>
      <c r="AL71" s="3435"/>
      <c r="AM71" s="5756"/>
      <c r="AN71" s="3435"/>
      <c r="AO71" s="5756"/>
      <c r="AP71" s="3435"/>
      <c r="AQ71" s="5756"/>
      <c r="AR71" s="3435"/>
      <c r="AS71" s="5756"/>
      <c r="AT71" s="3435"/>
      <c r="AU71" s="5756"/>
      <c r="AV71" s="3435"/>
      <c r="AW71" s="5756"/>
      <c r="AX71" s="3435"/>
      <c r="AY71" s="5756"/>
      <c r="AZ71" s="3435"/>
      <c r="BA71" s="5756"/>
      <c r="BB71" s="3435"/>
      <c r="BC71" s="5756"/>
      <c r="BD71" s="3435"/>
      <c r="BE71" s="5756"/>
    </row>
    <row r="72" spans="1:57" s="3380" customFormat="1" ht="18" x14ac:dyDescent="0.2">
      <c r="A72" s="3379"/>
      <c r="B72" s="4961" t="s">
        <v>1619</v>
      </c>
      <c r="C72" s="3237"/>
      <c r="D72" s="6772"/>
      <c r="E72" s="6773"/>
      <c r="F72" s="6772"/>
      <c r="G72" s="6774"/>
      <c r="H72" s="5645"/>
      <c r="I72" s="5648"/>
      <c r="J72" s="5645"/>
      <c r="K72" s="5648"/>
      <c r="L72" s="5645"/>
      <c r="M72" s="5648"/>
      <c r="N72" s="5645"/>
      <c r="O72" s="5648"/>
      <c r="P72" s="5645"/>
      <c r="Q72" s="5648"/>
      <c r="R72" s="5645"/>
      <c r="S72" s="5648"/>
      <c r="T72" s="5645"/>
      <c r="U72" s="5648"/>
      <c r="V72" s="5645"/>
      <c r="W72" s="5648"/>
      <c r="X72" s="5645"/>
      <c r="Y72" s="5648"/>
      <c r="Z72" s="5645"/>
      <c r="AA72" s="5648"/>
      <c r="AB72" s="5645"/>
      <c r="AC72" s="5648"/>
      <c r="AD72" s="5645"/>
      <c r="AE72" s="5648"/>
      <c r="AF72" s="5645"/>
      <c r="AG72" s="5648"/>
      <c r="AH72" s="5645"/>
      <c r="AI72" s="5648"/>
      <c r="AJ72" s="5645"/>
      <c r="AK72" s="5648"/>
      <c r="AL72" s="5645"/>
      <c r="AM72" s="5648"/>
      <c r="AN72" s="5645"/>
      <c r="AO72" s="5648"/>
      <c r="AP72" s="5645"/>
      <c r="AQ72" s="5648"/>
      <c r="AR72" s="5645"/>
      <c r="AS72" s="5648"/>
      <c r="AT72" s="5645"/>
      <c r="AU72" s="5648"/>
      <c r="AV72" s="5645"/>
      <c r="AW72" s="5648"/>
      <c r="AX72" s="5645"/>
      <c r="AY72" s="5648"/>
      <c r="AZ72" s="5645"/>
      <c r="BA72" s="5648"/>
      <c r="BB72" s="5645"/>
      <c r="BC72" s="5648"/>
      <c r="BD72" s="5645"/>
      <c r="BE72" s="5648"/>
    </row>
    <row r="73" spans="1:57" x14ac:dyDescent="0.2">
      <c r="B73" s="1531" t="s">
        <v>36</v>
      </c>
      <c r="C73" s="1570" t="s">
        <v>170</v>
      </c>
      <c r="D73" s="4811">
        <v>20756.446357765944</v>
      </c>
      <c r="E73" s="2717">
        <v>20110</v>
      </c>
      <c r="F73" s="4811">
        <v>21363.834182815714</v>
      </c>
      <c r="G73" s="1683">
        <v>20900</v>
      </c>
      <c r="H73" s="6314">
        <f t="shared" ref="H73" si="395">+D73+F73</f>
        <v>42120.280540581662</v>
      </c>
      <c r="I73" s="1906">
        <f>+E73+G73</f>
        <v>41010</v>
      </c>
      <c r="J73" s="6352">
        <v>25870.732978361844</v>
      </c>
      <c r="K73" s="1683">
        <v>20830</v>
      </c>
      <c r="L73" s="6315">
        <f t="shared" ref="L73:L80" si="396">+H73+J73</f>
        <v>67991.01351894351</v>
      </c>
      <c r="M73" s="2070">
        <f>+I73+K73</f>
        <v>61840</v>
      </c>
      <c r="N73" s="6352">
        <v>28704.728673388468</v>
      </c>
      <c r="O73" s="3183">
        <v>21000</v>
      </c>
      <c r="P73" s="6314">
        <f t="shared" ref="P73:P80" si="397">+L73+N73</f>
        <v>96695.742192331978</v>
      </c>
      <c r="Q73" s="1906">
        <f>+M73+O73</f>
        <v>82840</v>
      </c>
      <c r="R73" s="6352">
        <v>28704.728673388468</v>
      </c>
      <c r="S73" s="3183">
        <v>24945</v>
      </c>
      <c r="T73" s="6314">
        <f t="shared" ref="T73:T80" si="398">+P73+R73</f>
        <v>125400.47086572045</v>
      </c>
      <c r="U73" s="1906">
        <f>+Q73+S73</f>
        <v>107785</v>
      </c>
      <c r="V73" s="6564">
        <v>27778.769683924322</v>
      </c>
      <c r="W73" s="3183">
        <v>25975</v>
      </c>
      <c r="X73" s="3046">
        <f t="shared" ref="X73:X80" si="399">+N73+R73+V73</f>
        <v>85188.227030701266</v>
      </c>
      <c r="Y73" s="2070">
        <f t="shared" ref="Y73:Y80" si="400">+O73+S73+W73</f>
        <v>71920</v>
      </c>
      <c r="Z73" s="6547">
        <f t="shared" ref="Z73:Z80" si="401">+T73+V73</f>
        <v>153179.24054964478</v>
      </c>
      <c r="AA73" s="6692">
        <f>+U73+W73</f>
        <v>133760</v>
      </c>
      <c r="AB73" s="7351">
        <v>28704.728673388468</v>
      </c>
      <c r="AC73" s="3183">
        <v>27090</v>
      </c>
      <c r="AD73" s="7325">
        <f t="shared" ref="AD73:AD80" si="402">+Z73+AB73</f>
        <v>181883.96922303323</v>
      </c>
      <c r="AE73" s="1906">
        <f>+AA73+AC73</f>
        <v>160850</v>
      </c>
      <c r="AF73" s="7587">
        <v>27778.769683924322</v>
      </c>
      <c r="AG73" s="3183">
        <v>26395</v>
      </c>
      <c r="AH73" s="7554">
        <f t="shared" ref="AH73:AH80" si="403">+AD73+AF73</f>
        <v>209662.73890695756</v>
      </c>
      <c r="AI73" s="1906">
        <f>+AE73+AG73</f>
        <v>187245</v>
      </c>
      <c r="AJ73" s="7740">
        <v>28704.728673388468</v>
      </c>
      <c r="AK73" s="3183">
        <v>27210</v>
      </c>
      <c r="AL73" s="3046">
        <f t="shared" ref="AL73:AL80" si="404">+AB73+AF73+AJ73</f>
        <v>85188.227030701266</v>
      </c>
      <c r="AM73" s="2070">
        <f t="shared" ref="AM73:AM80" si="405">+AC73+AG73+AK73</f>
        <v>80695</v>
      </c>
      <c r="AN73" s="7701">
        <f t="shared" ref="AN73:AN80" si="406">+AH73+AJ73</f>
        <v>238367.46758034604</v>
      </c>
      <c r="AO73" s="1906">
        <f>+AI73+AK73</f>
        <v>214455</v>
      </c>
      <c r="AP73" s="8052">
        <v>28704.728673388468</v>
      </c>
      <c r="AQ73" s="3183">
        <v>27210</v>
      </c>
      <c r="AR73" s="8017">
        <f t="shared" ref="AR73:AR80" si="407">+AN73+AP73</f>
        <v>267072.19625373452</v>
      </c>
      <c r="AS73" s="1906">
        <f>+AO73+AQ73</f>
        <v>241665</v>
      </c>
      <c r="AT73" s="8239">
        <v>25927</v>
      </c>
      <c r="AU73" s="3183">
        <v>24580</v>
      </c>
      <c r="AV73" s="8149">
        <f t="shared" ref="AV73:AV80" si="408">+AR73+AT73</f>
        <v>292999.19625373452</v>
      </c>
      <c r="AW73" s="1906">
        <f>+AS73+AU73</f>
        <v>266245</v>
      </c>
      <c r="AX73" s="8357">
        <v>28704.7287</v>
      </c>
      <c r="AY73" s="3183">
        <v>26650</v>
      </c>
      <c r="AZ73" s="3046">
        <f t="shared" ref="AZ73:AZ80" si="409">+AP73+AT73+AX73</f>
        <v>83336.457373388461</v>
      </c>
      <c r="BA73" s="2070">
        <f t="shared" ref="BA73:BA80" si="410">+AQ73+AU73+AY73</f>
        <v>78440</v>
      </c>
      <c r="BB73" s="3046">
        <f t="shared" ref="BB73:BB91" si="411">+AL73+AZ73</f>
        <v>168524.68440408973</v>
      </c>
      <c r="BC73" s="2070">
        <f t="shared" ref="BC73:BC109" si="412">+AM73+BA73</f>
        <v>159135</v>
      </c>
      <c r="BD73" s="8280">
        <f t="shared" ref="BD73:BD80" si="413">+AV73+AX73</f>
        <v>321703.9249537345</v>
      </c>
      <c r="BE73" s="6692">
        <f>+AW73+AY73</f>
        <v>292895</v>
      </c>
    </row>
    <row r="74" spans="1:57" ht="15" customHeight="1" x14ac:dyDescent="0.2">
      <c r="B74" s="1531" t="s">
        <v>1193</v>
      </c>
      <c r="C74" s="1570" t="s">
        <v>170</v>
      </c>
      <c r="D74" s="4811">
        <v>0</v>
      </c>
      <c r="E74" s="2717">
        <v>0</v>
      </c>
      <c r="F74" s="4811">
        <v>0</v>
      </c>
      <c r="G74" s="1683">
        <v>0</v>
      </c>
      <c r="H74" s="6314">
        <f t="shared" ref="H74:H80" si="414">+D74+F74</f>
        <v>0</v>
      </c>
      <c r="I74" s="1906">
        <f t="shared" ref="I74:I80" si="415">+E74+G74</f>
        <v>0</v>
      </c>
      <c r="J74" s="4811">
        <v>0</v>
      </c>
      <c r="K74" s="1683">
        <v>0</v>
      </c>
      <c r="L74" s="4792">
        <f t="shared" si="396"/>
        <v>0</v>
      </c>
      <c r="M74" s="2011">
        <f t="shared" ref="M74:M80" si="416">+I74+K74</f>
        <v>0</v>
      </c>
      <c r="N74" s="4811">
        <v>0</v>
      </c>
      <c r="O74" s="3183">
        <v>0</v>
      </c>
      <c r="P74" s="6314">
        <f t="shared" si="397"/>
        <v>0</v>
      </c>
      <c r="Q74" s="1906">
        <f t="shared" ref="Q74:Q80" si="417">+M74+O74</f>
        <v>0</v>
      </c>
      <c r="R74" s="4811">
        <v>0</v>
      </c>
      <c r="S74" s="3183"/>
      <c r="T74" s="6314">
        <f t="shared" si="398"/>
        <v>0</v>
      </c>
      <c r="U74" s="1906">
        <f t="shared" ref="U74:U80" si="418">+Q74+S74</f>
        <v>0</v>
      </c>
      <c r="V74" s="4811">
        <v>0</v>
      </c>
      <c r="W74" s="3183">
        <v>0</v>
      </c>
      <c r="X74" s="3046">
        <f t="shared" si="399"/>
        <v>0</v>
      </c>
      <c r="Y74" s="2070">
        <f t="shared" si="400"/>
        <v>0</v>
      </c>
      <c r="Z74" s="6547">
        <f t="shared" si="401"/>
        <v>0</v>
      </c>
      <c r="AA74" s="6692">
        <f t="shared" ref="AA74:AA80" si="419">+U74+W74</f>
        <v>0</v>
      </c>
      <c r="AB74" s="4811">
        <v>0</v>
      </c>
      <c r="AC74" s="3183"/>
      <c r="AD74" s="7325">
        <f t="shared" si="402"/>
        <v>0</v>
      </c>
      <c r="AE74" s="1906">
        <f t="shared" ref="AE74:AE80" si="420">+AA74+AC74</f>
        <v>0</v>
      </c>
      <c r="AF74" s="4811">
        <v>0</v>
      </c>
      <c r="AG74" s="3183"/>
      <c r="AH74" s="7554">
        <f t="shared" si="403"/>
        <v>0</v>
      </c>
      <c r="AI74" s="1906">
        <f t="shared" ref="AI74:AI80" si="421">+AE74+AG74</f>
        <v>0</v>
      </c>
      <c r="AJ74" s="4811"/>
      <c r="AK74" s="3183"/>
      <c r="AL74" s="3046">
        <f t="shared" si="404"/>
        <v>0</v>
      </c>
      <c r="AM74" s="2070">
        <f t="shared" si="405"/>
        <v>0</v>
      </c>
      <c r="AN74" s="7701">
        <f t="shared" si="406"/>
        <v>0</v>
      </c>
      <c r="AO74" s="1906">
        <f t="shared" ref="AO74:AO80" si="422">+AI74+AK74</f>
        <v>0</v>
      </c>
      <c r="AP74" s="4811">
        <v>0</v>
      </c>
      <c r="AQ74" s="3183">
        <v>0</v>
      </c>
      <c r="AR74" s="8017">
        <f t="shared" si="407"/>
        <v>0</v>
      </c>
      <c r="AS74" s="1906">
        <f t="shared" ref="AS74:AS80" si="423">+AO74+AQ74</f>
        <v>0</v>
      </c>
      <c r="AT74" s="4811">
        <v>0</v>
      </c>
      <c r="AU74" s="3183">
        <v>0</v>
      </c>
      <c r="AV74" s="8149">
        <f t="shared" si="408"/>
        <v>0</v>
      </c>
      <c r="AW74" s="1906">
        <f t="shared" ref="AW74:AW80" si="424">+AS74+AU74</f>
        <v>0</v>
      </c>
      <c r="AX74" s="4811"/>
      <c r="AY74" s="3183"/>
      <c r="AZ74" s="3046">
        <f t="shared" si="409"/>
        <v>0</v>
      </c>
      <c r="BA74" s="2070">
        <f t="shared" si="410"/>
        <v>0</v>
      </c>
      <c r="BB74" s="3046">
        <f t="shared" si="411"/>
        <v>0</v>
      </c>
      <c r="BC74" s="2070">
        <f t="shared" si="412"/>
        <v>0</v>
      </c>
      <c r="BD74" s="8280">
        <f t="shared" si="413"/>
        <v>0</v>
      </c>
      <c r="BE74" s="6692">
        <f t="shared" ref="BE74:BE80" si="425">+AW74+AY74</f>
        <v>0</v>
      </c>
    </row>
    <row r="75" spans="1:57" x14ac:dyDescent="0.2">
      <c r="B75" s="1564" t="s">
        <v>2121</v>
      </c>
      <c r="C75" s="1570" t="s">
        <v>170</v>
      </c>
      <c r="D75" s="4810">
        <v>0</v>
      </c>
      <c r="E75" s="2717">
        <v>0</v>
      </c>
      <c r="F75" s="4810">
        <v>0</v>
      </c>
      <c r="G75" s="1683">
        <v>0</v>
      </c>
      <c r="H75" s="6314">
        <f t="shared" si="414"/>
        <v>0</v>
      </c>
      <c r="I75" s="1906">
        <f t="shared" si="415"/>
        <v>0</v>
      </c>
      <c r="J75" s="4810">
        <v>0</v>
      </c>
      <c r="K75" s="1683">
        <v>0</v>
      </c>
      <c r="L75" s="4792">
        <f t="shared" si="396"/>
        <v>0</v>
      </c>
      <c r="M75" s="2011">
        <f t="shared" si="416"/>
        <v>0</v>
      </c>
      <c r="N75" s="4810">
        <v>0</v>
      </c>
      <c r="O75" s="3183">
        <v>2195</v>
      </c>
      <c r="P75" s="6314">
        <f t="shared" si="397"/>
        <v>0</v>
      </c>
      <c r="Q75" s="1906">
        <f t="shared" si="417"/>
        <v>2195</v>
      </c>
      <c r="R75" s="4810">
        <v>0</v>
      </c>
      <c r="S75" s="3183">
        <v>2240</v>
      </c>
      <c r="T75" s="6314">
        <f t="shared" si="398"/>
        <v>0</v>
      </c>
      <c r="U75" s="1906">
        <f t="shared" si="418"/>
        <v>4435</v>
      </c>
      <c r="V75" s="4810">
        <v>0</v>
      </c>
      <c r="W75" s="3183">
        <v>0</v>
      </c>
      <c r="X75" s="3046">
        <f t="shared" si="399"/>
        <v>0</v>
      </c>
      <c r="Y75" s="2070">
        <f t="shared" si="400"/>
        <v>4435</v>
      </c>
      <c r="Z75" s="6547">
        <f t="shared" si="401"/>
        <v>0</v>
      </c>
      <c r="AA75" s="6692">
        <f t="shared" si="419"/>
        <v>4435</v>
      </c>
      <c r="AB75" s="4810">
        <v>0</v>
      </c>
      <c r="AC75" s="3183">
        <v>0</v>
      </c>
      <c r="AD75" s="7325">
        <f t="shared" si="402"/>
        <v>0</v>
      </c>
      <c r="AE75" s="1906">
        <f t="shared" si="420"/>
        <v>4435</v>
      </c>
      <c r="AF75" s="4810">
        <v>0</v>
      </c>
      <c r="AG75" s="3183">
        <v>0</v>
      </c>
      <c r="AH75" s="7554">
        <f t="shared" si="403"/>
        <v>0</v>
      </c>
      <c r="AI75" s="1906">
        <f t="shared" si="421"/>
        <v>4435</v>
      </c>
      <c r="AJ75" s="4810">
        <v>0</v>
      </c>
      <c r="AK75" s="3183">
        <v>0</v>
      </c>
      <c r="AL75" s="3046">
        <f t="shared" si="404"/>
        <v>0</v>
      </c>
      <c r="AM75" s="2070">
        <f t="shared" si="405"/>
        <v>0</v>
      </c>
      <c r="AN75" s="7701">
        <f t="shared" si="406"/>
        <v>0</v>
      </c>
      <c r="AO75" s="1906">
        <f t="shared" si="422"/>
        <v>4435</v>
      </c>
      <c r="AP75" s="4810">
        <v>0</v>
      </c>
      <c r="AQ75" s="3183">
        <v>0</v>
      </c>
      <c r="AR75" s="8017">
        <f t="shared" si="407"/>
        <v>0</v>
      </c>
      <c r="AS75" s="1906">
        <f t="shared" si="423"/>
        <v>4435</v>
      </c>
      <c r="AT75" s="4810">
        <v>0</v>
      </c>
      <c r="AU75" s="3183">
        <v>0</v>
      </c>
      <c r="AV75" s="8149">
        <f t="shared" si="408"/>
        <v>0</v>
      </c>
      <c r="AW75" s="1906">
        <f t="shared" si="424"/>
        <v>4435</v>
      </c>
      <c r="AX75" s="4810"/>
      <c r="AY75" s="3183"/>
      <c r="AZ75" s="3046">
        <f t="shared" si="409"/>
        <v>0</v>
      </c>
      <c r="BA75" s="2070">
        <f t="shared" si="410"/>
        <v>0</v>
      </c>
      <c r="BB75" s="3046">
        <f t="shared" si="411"/>
        <v>0</v>
      </c>
      <c r="BC75" s="2070">
        <f t="shared" si="412"/>
        <v>0</v>
      </c>
      <c r="BD75" s="8280">
        <f t="shared" si="413"/>
        <v>0</v>
      </c>
      <c r="BE75" s="6692">
        <f t="shared" si="425"/>
        <v>4435</v>
      </c>
    </row>
    <row r="76" spans="1:57" x14ac:dyDescent="0.2">
      <c r="B76" s="1564" t="s">
        <v>37</v>
      </c>
      <c r="C76" s="1570" t="s">
        <v>170</v>
      </c>
      <c r="D76" s="4810">
        <v>5143.5930667270877</v>
      </c>
      <c r="E76" s="2717">
        <v>4980</v>
      </c>
      <c r="F76" s="4810">
        <v>6736.2644590160062</v>
      </c>
      <c r="G76" s="1683">
        <v>6590</v>
      </c>
      <c r="H76" s="6314">
        <f t="shared" si="414"/>
        <v>11879.857525743093</v>
      </c>
      <c r="I76" s="1906">
        <f t="shared" si="415"/>
        <v>11570</v>
      </c>
      <c r="J76" s="4810">
        <v>6467.6832445904611</v>
      </c>
      <c r="K76" s="1683">
        <v>7465</v>
      </c>
      <c r="L76" s="4792">
        <f t="shared" si="396"/>
        <v>18347.540770333555</v>
      </c>
      <c r="M76" s="2011">
        <f t="shared" si="416"/>
        <v>19035</v>
      </c>
      <c r="N76" s="4810">
        <v>7176.1821683471171</v>
      </c>
      <c r="O76" s="3183">
        <v>7395</v>
      </c>
      <c r="P76" s="6314">
        <f t="shared" si="397"/>
        <v>25523.722938680672</v>
      </c>
      <c r="Q76" s="1906">
        <f t="shared" si="417"/>
        <v>26430</v>
      </c>
      <c r="R76" s="4810">
        <v>7176.1821683471171</v>
      </c>
      <c r="S76" s="3183">
        <v>8200</v>
      </c>
      <c r="T76" s="6314">
        <f t="shared" si="398"/>
        <v>32699.905107027789</v>
      </c>
      <c r="U76" s="1906">
        <f t="shared" si="418"/>
        <v>34630</v>
      </c>
      <c r="V76" s="4810">
        <v>6944.6924209810804</v>
      </c>
      <c r="W76" s="3183">
        <v>7750</v>
      </c>
      <c r="X76" s="3046">
        <f t="shared" si="399"/>
        <v>21297.056757675316</v>
      </c>
      <c r="Y76" s="2070">
        <f t="shared" si="400"/>
        <v>23345</v>
      </c>
      <c r="Z76" s="6547">
        <f t="shared" si="401"/>
        <v>39644.597528008868</v>
      </c>
      <c r="AA76" s="6692">
        <f t="shared" si="419"/>
        <v>42380</v>
      </c>
      <c r="AB76" s="4810">
        <v>7176.1821683471171</v>
      </c>
      <c r="AC76" s="3183">
        <v>8220</v>
      </c>
      <c r="AD76" s="7325">
        <f t="shared" si="402"/>
        <v>46820.779696355981</v>
      </c>
      <c r="AE76" s="1906">
        <f t="shared" si="420"/>
        <v>50600</v>
      </c>
      <c r="AF76" s="4810">
        <v>6944.6924209810804</v>
      </c>
      <c r="AG76" s="3183">
        <v>8535</v>
      </c>
      <c r="AH76" s="7554">
        <f t="shared" si="403"/>
        <v>53765.472117337064</v>
      </c>
      <c r="AI76" s="1906">
        <f t="shared" si="421"/>
        <v>59135</v>
      </c>
      <c r="AJ76" s="4810">
        <v>7176.1821683471171</v>
      </c>
      <c r="AK76" s="3183">
        <v>8105</v>
      </c>
      <c r="AL76" s="3046">
        <f t="shared" si="404"/>
        <v>21297.056757675316</v>
      </c>
      <c r="AM76" s="2070">
        <f t="shared" si="405"/>
        <v>24860</v>
      </c>
      <c r="AN76" s="7701">
        <f t="shared" si="406"/>
        <v>60941.654285684184</v>
      </c>
      <c r="AO76" s="1906">
        <f t="shared" si="422"/>
        <v>67240</v>
      </c>
      <c r="AP76" s="4810">
        <v>7176.1821683471171</v>
      </c>
      <c r="AQ76" s="3183">
        <v>8105</v>
      </c>
      <c r="AR76" s="8017">
        <f t="shared" si="407"/>
        <v>68117.836454031305</v>
      </c>
      <c r="AS76" s="1906">
        <f t="shared" si="423"/>
        <v>75345</v>
      </c>
      <c r="AT76" s="4810">
        <v>6482</v>
      </c>
      <c r="AU76" s="3183">
        <v>7730</v>
      </c>
      <c r="AV76" s="8149">
        <f t="shared" si="408"/>
        <v>74599.836454031305</v>
      </c>
      <c r="AW76" s="1906">
        <f t="shared" si="424"/>
        <v>83075</v>
      </c>
      <c r="AX76" s="4810">
        <v>7176.1822000000002</v>
      </c>
      <c r="AY76" s="3183">
        <v>8120</v>
      </c>
      <c r="AZ76" s="3046">
        <f t="shared" si="409"/>
        <v>20834.364368347116</v>
      </c>
      <c r="BA76" s="2070">
        <f t="shared" si="410"/>
        <v>23955</v>
      </c>
      <c r="BB76" s="3046">
        <f t="shared" si="411"/>
        <v>42131.421126022433</v>
      </c>
      <c r="BC76" s="2070">
        <f t="shared" si="412"/>
        <v>48815</v>
      </c>
      <c r="BD76" s="8280">
        <f t="shared" si="413"/>
        <v>81776.018654031301</v>
      </c>
      <c r="BE76" s="6692">
        <f t="shared" si="425"/>
        <v>91195</v>
      </c>
    </row>
    <row r="77" spans="1:57" ht="15" customHeight="1" x14ac:dyDescent="0.2">
      <c r="B77" s="1564" t="s">
        <v>1398</v>
      </c>
      <c r="C77" s="1570" t="s">
        <v>170</v>
      </c>
      <c r="D77" s="4810">
        <v>0</v>
      </c>
      <c r="E77" s="2717">
        <v>0</v>
      </c>
      <c r="F77" s="4810">
        <v>0</v>
      </c>
      <c r="G77" s="1683">
        <v>0</v>
      </c>
      <c r="H77" s="6314">
        <f t="shared" si="414"/>
        <v>0</v>
      </c>
      <c r="I77" s="1906">
        <f t="shared" si="415"/>
        <v>0</v>
      </c>
      <c r="J77" s="4810">
        <v>0</v>
      </c>
      <c r="K77" s="1683">
        <v>0</v>
      </c>
      <c r="L77" s="4792">
        <f t="shared" si="396"/>
        <v>0</v>
      </c>
      <c r="M77" s="2011">
        <f t="shared" si="416"/>
        <v>0</v>
      </c>
      <c r="N77" s="4810">
        <v>0</v>
      </c>
      <c r="O77" s="3183">
        <v>0</v>
      </c>
      <c r="P77" s="6314">
        <f t="shared" si="397"/>
        <v>0</v>
      </c>
      <c r="Q77" s="1906">
        <f t="shared" si="417"/>
        <v>0</v>
      </c>
      <c r="R77" s="4810">
        <v>0</v>
      </c>
      <c r="S77" s="3183"/>
      <c r="T77" s="6314">
        <f t="shared" si="398"/>
        <v>0</v>
      </c>
      <c r="U77" s="1906">
        <f t="shared" si="418"/>
        <v>0</v>
      </c>
      <c r="V77" s="4810">
        <v>0</v>
      </c>
      <c r="W77" s="3183">
        <v>0</v>
      </c>
      <c r="X77" s="3046">
        <f t="shared" si="399"/>
        <v>0</v>
      </c>
      <c r="Y77" s="2070">
        <f t="shared" si="400"/>
        <v>0</v>
      </c>
      <c r="Z77" s="6547">
        <f t="shared" si="401"/>
        <v>0</v>
      </c>
      <c r="AA77" s="6692">
        <f t="shared" si="419"/>
        <v>0</v>
      </c>
      <c r="AB77" s="4810">
        <v>0</v>
      </c>
      <c r="AC77" s="3183"/>
      <c r="AD77" s="7325">
        <f t="shared" si="402"/>
        <v>0</v>
      </c>
      <c r="AE77" s="1906">
        <f t="shared" si="420"/>
        <v>0</v>
      </c>
      <c r="AF77" s="4810">
        <v>0</v>
      </c>
      <c r="AG77" s="3183"/>
      <c r="AH77" s="7554">
        <f t="shared" si="403"/>
        <v>0</v>
      </c>
      <c r="AI77" s="1906">
        <f t="shared" si="421"/>
        <v>0</v>
      </c>
      <c r="AJ77" s="4810"/>
      <c r="AK77" s="3183"/>
      <c r="AL77" s="3046">
        <f t="shared" si="404"/>
        <v>0</v>
      </c>
      <c r="AM77" s="2070">
        <f t="shared" si="405"/>
        <v>0</v>
      </c>
      <c r="AN77" s="7701">
        <f t="shared" si="406"/>
        <v>0</v>
      </c>
      <c r="AO77" s="1906">
        <f t="shared" si="422"/>
        <v>0</v>
      </c>
      <c r="AP77" s="4810">
        <v>0</v>
      </c>
      <c r="AQ77" s="3183">
        <v>0</v>
      </c>
      <c r="AR77" s="8017">
        <f t="shared" si="407"/>
        <v>0</v>
      </c>
      <c r="AS77" s="1906">
        <f t="shared" si="423"/>
        <v>0</v>
      </c>
      <c r="AT77" s="4810">
        <v>0</v>
      </c>
      <c r="AU77" s="3183">
        <v>0</v>
      </c>
      <c r="AV77" s="8149">
        <f t="shared" si="408"/>
        <v>0</v>
      </c>
      <c r="AW77" s="1906">
        <f t="shared" si="424"/>
        <v>0</v>
      </c>
      <c r="AX77" s="4810"/>
      <c r="AY77" s="3183"/>
      <c r="AZ77" s="3046">
        <f t="shared" si="409"/>
        <v>0</v>
      </c>
      <c r="BA77" s="2070">
        <f t="shared" si="410"/>
        <v>0</v>
      </c>
      <c r="BB77" s="3046">
        <f t="shared" si="411"/>
        <v>0</v>
      </c>
      <c r="BC77" s="2070">
        <f t="shared" si="412"/>
        <v>0</v>
      </c>
      <c r="BD77" s="8280">
        <f t="shared" si="413"/>
        <v>0</v>
      </c>
      <c r="BE77" s="6692">
        <f t="shared" si="425"/>
        <v>0</v>
      </c>
    </row>
    <row r="78" spans="1:57" ht="15" customHeight="1" x14ac:dyDescent="0.2">
      <c r="B78" s="1564" t="s">
        <v>1456</v>
      </c>
      <c r="C78" s="1570" t="s">
        <v>170</v>
      </c>
      <c r="D78" s="4810">
        <v>0</v>
      </c>
      <c r="E78" s="2717">
        <v>0</v>
      </c>
      <c r="F78" s="4810">
        <v>0</v>
      </c>
      <c r="G78" s="1683">
        <v>0</v>
      </c>
      <c r="H78" s="6314">
        <f t="shared" si="414"/>
        <v>0</v>
      </c>
      <c r="I78" s="1906">
        <f t="shared" si="415"/>
        <v>0</v>
      </c>
      <c r="J78" s="4810">
        <v>0</v>
      </c>
      <c r="K78" s="1683">
        <v>0</v>
      </c>
      <c r="L78" s="4792">
        <f t="shared" si="396"/>
        <v>0</v>
      </c>
      <c r="M78" s="2011">
        <f t="shared" si="416"/>
        <v>0</v>
      </c>
      <c r="N78" s="4810">
        <v>0</v>
      </c>
      <c r="O78" s="3183">
        <v>0</v>
      </c>
      <c r="P78" s="6314">
        <f t="shared" si="397"/>
        <v>0</v>
      </c>
      <c r="Q78" s="1906">
        <f t="shared" si="417"/>
        <v>0</v>
      </c>
      <c r="R78" s="4810">
        <v>0</v>
      </c>
      <c r="S78" s="3183"/>
      <c r="T78" s="6314">
        <f t="shared" si="398"/>
        <v>0</v>
      </c>
      <c r="U78" s="1906">
        <f t="shared" si="418"/>
        <v>0</v>
      </c>
      <c r="V78" s="4810">
        <v>0</v>
      </c>
      <c r="W78" s="3183">
        <v>0</v>
      </c>
      <c r="X78" s="3046">
        <f t="shared" si="399"/>
        <v>0</v>
      </c>
      <c r="Y78" s="2070">
        <f t="shared" si="400"/>
        <v>0</v>
      </c>
      <c r="Z78" s="6547">
        <f t="shared" si="401"/>
        <v>0</v>
      </c>
      <c r="AA78" s="6692">
        <f t="shared" si="419"/>
        <v>0</v>
      </c>
      <c r="AB78" s="4810">
        <v>0</v>
      </c>
      <c r="AC78" s="3183"/>
      <c r="AD78" s="7325">
        <f t="shared" si="402"/>
        <v>0</v>
      </c>
      <c r="AE78" s="1906">
        <f t="shared" si="420"/>
        <v>0</v>
      </c>
      <c r="AF78" s="4810">
        <v>0</v>
      </c>
      <c r="AG78" s="3183"/>
      <c r="AH78" s="7554">
        <f t="shared" si="403"/>
        <v>0</v>
      </c>
      <c r="AI78" s="1906">
        <f t="shared" si="421"/>
        <v>0</v>
      </c>
      <c r="AJ78" s="4810"/>
      <c r="AK78" s="3183"/>
      <c r="AL78" s="3046">
        <f t="shared" si="404"/>
        <v>0</v>
      </c>
      <c r="AM78" s="2070">
        <f t="shared" si="405"/>
        <v>0</v>
      </c>
      <c r="AN78" s="7701">
        <f t="shared" si="406"/>
        <v>0</v>
      </c>
      <c r="AO78" s="1906">
        <f t="shared" si="422"/>
        <v>0</v>
      </c>
      <c r="AP78" s="4810">
        <v>0</v>
      </c>
      <c r="AQ78" s="3183">
        <v>0</v>
      </c>
      <c r="AR78" s="8017">
        <f t="shared" si="407"/>
        <v>0</v>
      </c>
      <c r="AS78" s="1906">
        <f t="shared" si="423"/>
        <v>0</v>
      </c>
      <c r="AT78" s="4810">
        <v>0</v>
      </c>
      <c r="AU78" s="3183">
        <v>0</v>
      </c>
      <c r="AV78" s="8149">
        <f t="shared" si="408"/>
        <v>0</v>
      </c>
      <c r="AW78" s="1906">
        <f t="shared" si="424"/>
        <v>0</v>
      </c>
      <c r="AX78" s="4810"/>
      <c r="AY78" s="3183"/>
      <c r="AZ78" s="3046">
        <f t="shared" si="409"/>
        <v>0</v>
      </c>
      <c r="BA78" s="2070">
        <f t="shared" si="410"/>
        <v>0</v>
      </c>
      <c r="BB78" s="3046">
        <f t="shared" si="411"/>
        <v>0</v>
      </c>
      <c r="BC78" s="2070">
        <f t="shared" si="412"/>
        <v>0</v>
      </c>
      <c r="BD78" s="8280">
        <f t="shared" si="413"/>
        <v>0</v>
      </c>
      <c r="BE78" s="6692">
        <f t="shared" si="425"/>
        <v>0</v>
      </c>
    </row>
    <row r="79" spans="1:57" x14ac:dyDescent="0.2">
      <c r="B79" s="1531" t="s">
        <v>1424</v>
      </c>
      <c r="C79" s="1570" t="s">
        <v>170</v>
      </c>
      <c r="D79" s="4811">
        <v>3274.6025240738636</v>
      </c>
      <c r="E79" s="2717">
        <v>3170</v>
      </c>
      <c r="F79" s="4811">
        <v>4190.6556675136362</v>
      </c>
      <c r="G79" s="1683">
        <v>4100</v>
      </c>
      <c r="H79" s="6314">
        <f t="shared" si="414"/>
        <v>7465.2581915874998</v>
      </c>
      <c r="I79" s="1906">
        <f t="shared" si="415"/>
        <v>7270</v>
      </c>
      <c r="J79" s="4811">
        <v>5389.7360371587183</v>
      </c>
      <c r="K79" s="1683">
        <v>5575</v>
      </c>
      <c r="L79" s="4792">
        <f t="shared" si="396"/>
        <v>12854.994228746218</v>
      </c>
      <c r="M79" s="2011">
        <f t="shared" si="416"/>
        <v>12845</v>
      </c>
      <c r="N79" s="4811">
        <v>5980.1518069559306</v>
      </c>
      <c r="O79" s="3183">
        <v>8770</v>
      </c>
      <c r="P79" s="6314">
        <f t="shared" si="397"/>
        <v>18835.14603570215</v>
      </c>
      <c r="Q79" s="1906">
        <f t="shared" si="417"/>
        <v>21615</v>
      </c>
      <c r="R79" s="4811">
        <v>5980.1518069559306</v>
      </c>
      <c r="S79" s="3183">
        <v>5495</v>
      </c>
      <c r="T79" s="6314">
        <f t="shared" si="398"/>
        <v>24815.297842658081</v>
      </c>
      <c r="U79" s="1906">
        <f t="shared" si="418"/>
        <v>27110</v>
      </c>
      <c r="V79" s="4811">
        <v>5787.2436841508998</v>
      </c>
      <c r="W79" s="3183">
        <v>5045</v>
      </c>
      <c r="X79" s="3046">
        <f t="shared" si="399"/>
        <v>17747.54729806276</v>
      </c>
      <c r="Y79" s="2070">
        <f t="shared" si="400"/>
        <v>19310</v>
      </c>
      <c r="Z79" s="6547">
        <f t="shared" si="401"/>
        <v>30602.541526808982</v>
      </c>
      <c r="AA79" s="6692">
        <f t="shared" si="419"/>
        <v>32155</v>
      </c>
      <c r="AB79" s="4811">
        <v>5980.1518069559306</v>
      </c>
      <c r="AC79" s="3183">
        <v>5190</v>
      </c>
      <c r="AD79" s="7325">
        <f t="shared" si="402"/>
        <v>36582.69333376491</v>
      </c>
      <c r="AE79" s="1906">
        <f t="shared" si="420"/>
        <v>37345</v>
      </c>
      <c r="AF79" s="4811">
        <v>5787.2436841508998</v>
      </c>
      <c r="AG79" s="3183">
        <v>5055</v>
      </c>
      <c r="AH79" s="7554">
        <f t="shared" si="403"/>
        <v>42369.937017915807</v>
      </c>
      <c r="AI79" s="1906">
        <f t="shared" si="421"/>
        <v>42400</v>
      </c>
      <c r="AJ79" s="4811">
        <v>5980.1518069559306</v>
      </c>
      <c r="AK79" s="3183">
        <v>5210</v>
      </c>
      <c r="AL79" s="3046">
        <f t="shared" si="404"/>
        <v>17747.54729806276</v>
      </c>
      <c r="AM79" s="2070">
        <f t="shared" si="405"/>
        <v>15455</v>
      </c>
      <c r="AN79" s="7701">
        <f t="shared" si="406"/>
        <v>48350.088824871738</v>
      </c>
      <c r="AO79" s="1906">
        <f t="shared" si="422"/>
        <v>47610</v>
      </c>
      <c r="AP79" s="4811">
        <v>5980.1518069559306</v>
      </c>
      <c r="AQ79" s="3183">
        <v>5210</v>
      </c>
      <c r="AR79" s="8017">
        <f t="shared" si="407"/>
        <v>54330.24063182767</v>
      </c>
      <c r="AS79" s="1906">
        <f t="shared" si="423"/>
        <v>52820</v>
      </c>
      <c r="AT79" s="4811">
        <v>5401</v>
      </c>
      <c r="AU79" s="3183">
        <v>4915</v>
      </c>
      <c r="AV79" s="8149">
        <f t="shared" si="408"/>
        <v>59731.24063182767</v>
      </c>
      <c r="AW79" s="1906">
        <f t="shared" si="424"/>
        <v>57735</v>
      </c>
      <c r="AX79" s="4811">
        <v>5980.1517999999996</v>
      </c>
      <c r="AY79" s="3183">
        <v>5200</v>
      </c>
      <c r="AZ79" s="3046">
        <f t="shared" si="409"/>
        <v>17361.303606955931</v>
      </c>
      <c r="BA79" s="2070">
        <f t="shared" si="410"/>
        <v>15325</v>
      </c>
      <c r="BB79" s="3046">
        <f t="shared" si="411"/>
        <v>35108.850905018691</v>
      </c>
      <c r="BC79" s="2070">
        <f t="shared" si="412"/>
        <v>30780</v>
      </c>
      <c r="BD79" s="8280">
        <f t="shared" si="413"/>
        <v>65711.392431827669</v>
      </c>
      <c r="BE79" s="6692">
        <f t="shared" si="425"/>
        <v>62935</v>
      </c>
    </row>
    <row r="80" spans="1:57" ht="15.75" customHeight="1" thickBot="1" x14ac:dyDescent="0.25">
      <c r="B80" s="1531" t="s">
        <v>1211</v>
      </c>
      <c r="C80" s="1570" t="s">
        <v>170</v>
      </c>
      <c r="D80" s="4811">
        <v>0</v>
      </c>
      <c r="E80" s="2717">
        <v>0</v>
      </c>
      <c r="F80" s="4811">
        <v>0</v>
      </c>
      <c r="G80" s="1683">
        <v>0</v>
      </c>
      <c r="H80" s="6314">
        <f t="shared" si="414"/>
        <v>0</v>
      </c>
      <c r="I80" s="1906">
        <f t="shared" si="415"/>
        <v>0</v>
      </c>
      <c r="J80" s="4811">
        <v>0</v>
      </c>
      <c r="K80" s="1683">
        <v>0</v>
      </c>
      <c r="L80" s="4792">
        <f t="shared" si="396"/>
        <v>0</v>
      </c>
      <c r="M80" s="2011">
        <f t="shared" si="416"/>
        <v>0</v>
      </c>
      <c r="N80" s="4811">
        <v>0</v>
      </c>
      <c r="O80" s="3183">
        <v>0</v>
      </c>
      <c r="P80" s="6314">
        <f t="shared" si="397"/>
        <v>0</v>
      </c>
      <c r="Q80" s="1906">
        <f t="shared" si="417"/>
        <v>0</v>
      </c>
      <c r="R80" s="4811">
        <v>0</v>
      </c>
      <c r="S80" s="3183"/>
      <c r="T80" s="6314">
        <f t="shared" si="398"/>
        <v>0</v>
      </c>
      <c r="U80" s="1906">
        <f t="shared" si="418"/>
        <v>0</v>
      </c>
      <c r="V80" s="4811">
        <v>0</v>
      </c>
      <c r="W80" s="3183">
        <v>0</v>
      </c>
      <c r="X80" s="3046">
        <f t="shared" si="399"/>
        <v>0</v>
      </c>
      <c r="Y80" s="2070">
        <f t="shared" si="400"/>
        <v>0</v>
      </c>
      <c r="Z80" s="6547">
        <f t="shared" si="401"/>
        <v>0</v>
      </c>
      <c r="AA80" s="6692">
        <f t="shared" si="419"/>
        <v>0</v>
      </c>
      <c r="AB80" s="4811">
        <v>0</v>
      </c>
      <c r="AC80" s="3183"/>
      <c r="AD80" s="7325">
        <f t="shared" si="402"/>
        <v>0</v>
      </c>
      <c r="AE80" s="1906">
        <f t="shared" si="420"/>
        <v>0</v>
      </c>
      <c r="AF80" s="4811">
        <v>0</v>
      </c>
      <c r="AG80" s="3183"/>
      <c r="AH80" s="7554">
        <f t="shared" si="403"/>
        <v>0</v>
      </c>
      <c r="AI80" s="1906">
        <f t="shared" si="421"/>
        <v>0</v>
      </c>
      <c r="AJ80" s="4811">
        <v>0</v>
      </c>
      <c r="AK80" s="3183">
        <v>0</v>
      </c>
      <c r="AL80" s="3046">
        <f t="shared" si="404"/>
        <v>0</v>
      </c>
      <c r="AM80" s="2070">
        <f t="shared" si="405"/>
        <v>0</v>
      </c>
      <c r="AN80" s="7701">
        <f t="shared" si="406"/>
        <v>0</v>
      </c>
      <c r="AO80" s="1906">
        <f t="shared" si="422"/>
        <v>0</v>
      </c>
      <c r="AP80" s="4811">
        <v>0</v>
      </c>
      <c r="AQ80" s="3183">
        <v>0</v>
      </c>
      <c r="AR80" s="8017">
        <f t="shared" si="407"/>
        <v>0</v>
      </c>
      <c r="AS80" s="1906">
        <f t="shared" si="423"/>
        <v>0</v>
      </c>
      <c r="AT80" s="4811">
        <v>0</v>
      </c>
      <c r="AU80" s="3183">
        <v>0</v>
      </c>
      <c r="AV80" s="8149">
        <f t="shared" si="408"/>
        <v>0</v>
      </c>
      <c r="AW80" s="1906">
        <f t="shared" si="424"/>
        <v>0</v>
      </c>
      <c r="AX80" s="4811"/>
      <c r="AY80" s="3183"/>
      <c r="AZ80" s="3046">
        <f t="shared" si="409"/>
        <v>0</v>
      </c>
      <c r="BA80" s="2070">
        <f t="shared" si="410"/>
        <v>0</v>
      </c>
      <c r="BB80" s="3046">
        <f t="shared" si="411"/>
        <v>0</v>
      </c>
      <c r="BC80" s="2070">
        <f t="shared" si="412"/>
        <v>0</v>
      </c>
      <c r="BD80" s="8280">
        <f t="shared" si="413"/>
        <v>0</v>
      </c>
      <c r="BE80" s="6692">
        <f t="shared" si="425"/>
        <v>0</v>
      </c>
    </row>
    <row r="81" spans="1:57" ht="17" thickBot="1" x14ac:dyDescent="0.25">
      <c r="B81" s="1565" t="s">
        <v>40</v>
      </c>
      <c r="C81" s="4202" t="s">
        <v>170</v>
      </c>
      <c r="D81" s="4207">
        <f t="shared" ref="D81:M81" si="426">SUM(D73:D80)</f>
        <v>29174.641948566896</v>
      </c>
      <c r="E81" s="1677">
        <f t="shared" si="426"/>
        <v>28260</v>
      </c>
      <c r="F81" s="4207">
        <f t="shared" ref="F81" si="427">SUM(F73:F80)</f>
        <v>32290.754309345357</v>
      </c>
      <c r="G81" s="3191">
        <f t="shared" si="426"/>
        <v>31590</v>
      </c>
      <c r="H81" s="2784">
        <f t="shared" si="426"/>
        <v>61465.396257912253</v>
      </c>
      <c r="I81" s="1914">
        <f t="shared" si="426"/>
        <v>59850</v>
      </c>
      <c r="J81" s="3222">
        <f t="shared" si="426"/>
        <v>37728.152260111026</v>
      </c>
      <c r="K81" s="2262">
        <f t="shared" si="426"/>
        <v>33870</v>
      </c>
      <c r="L81" s="4652">
        <f t="shared" si="426"/>
        <v>99193.548518023279</v>
      </c>
      <c r="M81" s="2071">
        <f t="shared" si="426"/>
        <v>93720</v>
      </c>
      <c r="N81" s="3222">
        <f t="shared" ref="N81:Q81" si="428">SUM(N73:N80)</f>
        <v>41861.062648691521</v>
      </c>
      <c r="O81" s="5955">
        <f t="shared" si="428"/>
        <v>39360</v>
      </c>
      <c r="P81" s="2784">
        <f t="shared" si="428"/>
        <v>141054.61116671481</v>
      </c>
      <c r="Q81" s="1914">
        <f t="shared" si="428"/>
        <v>133080</v>
      </c>
      <c r="R81" s="3222">
        <f t="shared" ref="R81:U81" si="429">SUM(R73:R80)</f>
        <v>41861.062648691521</v>
      </c>
      <c r="S81" s="5955">
        <f t="shared" si="429"/>
        <v>40880</v>
      </c>
      <c r="T81" s="2784">
        <f t="shared" si="429"/>
        <v>182915.67381540634</v>
      </c>
      <c r="U81" s="1914">
        <f t="shared" si="429"/>
        <v>173960</v>
      </c>
      <c r="V81" s="3222">
        <f t="shared" ref="V81:AI81" si="430">SUM(V73:V80)</f>
        <v>40510.705789056301</v>
      </c>
      <c r="W81" s="5955">
        <f t="shared" si="430"/>
        <v>38770</v>
      </c>
      <c r="X81" s="6768">
        <f t="shared" ref="X81:Y81" si="431">SUM(X73:X80)</f>
        <v>124232.83108643934</v>
      </c>
      <c r="Y81" s="2071">
        <f t="shared" si="431"/>
        <v>119010</v>
      </c>
      <c r="Z81" s="6511">
        <f t="shared" si="430"/>
        <v>223426.37960446262</v>
      </c>
      <c r="AA81" s="6630">
        <f t="shared" si="430"/>
        <v>212730</v>
      </c>
      <c r="AB81" s="3222">
        <f t="shared" si="430"/>
        <v>41861.062648691521</v>
      </c>
      <c r="AC81" s="5955">
        <f t="shared" si="430"/>
        <v>40500</v>
      </c>
      <c r="AD81" s="2784">
        <f t="shared" si="430"/>
        <v>265287.44225315412</v>
      </c>
      <c r="AE81" s="1914">
        <f t="shared" si="430"/>
        <v>253230</v>
      </c>
      <c r="AF81" s="3222">
        <f t="shared" si="430"/>
        <v>40510.705789056301</v>
      </c>
      <c r="AG81" s="5955">
        <f t="shared" si="430"/>
        <v>39985</v>
      </c>
      <c r="AH81" s="2784">
        <f t="shared" si="430"/>
        <v>305798.14804221044</v>
      </c>
      <c r="AI81" s="1914">
        <f t="shared" si="430"/>
        <v>293215</v>
      </c>
      <c r="AJ81" s="3222">
        <f t="shared" ref="AJ81:AO81" si="432">SUM(AJ73:AJ80)</f>
        <v>41861.062648691521</v>
      </c>
      <c r="AK81" s="5955">
        <f t="shared" si="432"/>
        <v>40525</v>
      </c>
      <c r="AL81" s="6768">
        <f t="shared" si="432"/>
        <v>124232.83108643934</v>
      </c>
      <c r="AM81" s="2071">
        <f t="shared" si="432"/>
        <v>121010</v>
      </c>
      <c r="AN81" s="2784">
        <f t="shared" si="432"/>
        <v>347659.21069090196</v>
      </c>
      <c r="AO81" s="1914">
        <f t="shared" si="432"/>
        <v>333740</v>
      </c>
      <c r="AP81" s="3222">
        <f t="shared" ref="AP81:AS81" si="433">SUM(AP73:AP80)</f>
        <v>41861.062648691521</v>
      </c>
      <c r="AQ81" s="5955">
        <f t="shared" si="433"/>
        <v>40525</v>
      </c>
      <c r="AR81" s="2784">
        <f t="shared" si="433"/>
        <v>389520.27333959349</v>
      </c>
      <c r="AS81" s="1914">
        <f t="shared" si="433"/>
        <v>374265</v>
      </c>
      <c r="AT81" s="3222">
        <f t="shared" ref="AT81:AW81" si="434">SUM(AT73:AT80)</f>
        <v>37810</v>
      </c>
      <c r="AU81" s="5955">
        <f t="shared" si="434"/>
        <v>37225</v>
      </c>
      <c r="AV81" s="2784">
        <f t="shared" si="434"/>
        <v>427330.27333959349</v>
      </c>
      <c r="AW81" s="1914">
        <f t="shared" si="434"/>
        <v>411490</v>
      </c>
      <c r="AX81" s="3222">
        <f t="shared" ref="AX81:BE81" si="435">SUM(AX73:AX80)</f>
        <v>41861.062700000002</v>
      </c>
      <c r="AY81" s="5955">
        <f t="shared" si="435"/>
        <v>39970</v>
      </c>
      <c r="AZ81" s="6768">
        <f t="shared" si="435"/>
        <v>121532.12534869151</v>
      </c>
      <c r="BA81" s="2071">
        <f t="shared" si="435"/>
        <v>117720</v>
      </c>
      <c r="BB81" s="6768">
        <f t="shared" si="411"/>
        <v>245764.95643513085</v>
      </c>
      <c r="BC81" s="2071">
        <f t="shared" si="412"/>
        <v>238730</v>
      </c>
      <c r="BD81" s="6511">
        <f t="shared" si="435"/>
        <v>469191.3360395935</v>
      </c>
      <c r="BE81" s="6630">
        <f t="shared" si="435"/>
        <v>451460</v>
      </c>
    </row>
    <row r="82" spans="1:57" x14ac:dyDescent="0.2">
      <c r="B82" s="1566" t="s">
        <v>1476</v>
      </c>
      <c r="C82" s="4200" t="s">
        <v>170</v>
      </c>
      <c r="D82" s="4206">
        <v>7510.5562478758347</v>
      </c>
      <c r="E82" s="1965">
        <v>7270</v>
      </c>
      <c r="F82" s="4206">
        <v>8974.8516708151965</v>
      </c>
      <c r="G82" s="1683">
        <v>8780</v>
      </c>
      <c r="H82" s="6314">
        <f t="shared" ref="H82:H84" si="436">+D82+F82</f>
        <v>16485.407918691031</v>
      </c>
      <c r="I82" s="1906">
        <f t="shared" ref="I82:I84" si="437">+E82+G82</f>
        <v>16050</v>
      </c>
      <c r="J82" s="4206">
        <v>8084.6040557380757</v>
      </c>
      <c r="K82" s="1683">
        <v>9590</v>
      </c>
      <c r="L82" s="5783">
        <f>+H82+J82</f>
        <v>24570.011974429108</v>
      </c>
      <c r="M82" s="2011">
        <f t="shared" ref="M82:M84" si="438">+I82+K82</f>
        <v>25640</v>
      </c>
      <c r="N82" s="4206">
        <v>8970.2277104338937</v>
      </c>
      <c r="O82" s="3183">
        <v>10525</v>
      </c>
      <c r="P82" s="6314">
        <f t="shared" ref="P82:P84" si="439">+L82+N82</f>
        <v>33540.239684863001</v>
      </c>
      <c r="Q82" s="1906">
        <f t="shared" ref="Q82:Q84" si="440">+M82+O82</f>
        <v>36165</v>
      </c>
      <c r="R82" s="4206">
        <v>8970.2277104338937</v>
      </c>
      <c r="S82" s="3183">
        <v>10595</v>
      </c>
      <c r="T82" s="6314">
        <f t="shared" ref="T82:T84" si="441">+P82+R82</f>
        <v>42510.467395296895</v>
      </c>
      <c r="U82" s="1906">
        <f t="shared" ref="U82:U84" si="442">+Q82+S82</f>
        <v>46760</v>
      </c>
      <c r="V82" s="4206">
        <v>8680.8655262263528</v>
      </c>
      <c r="W82" s="3183">
        <v>10555</v>
      </c>
      <c r="X82" s="3046">
        <f t="shared" ref="X82:X84" si="443">+N82+R82+V82</f>
        <v>26621.32094709414</v>
      </c>
      <c r="Y82" s="2070">
        <f t="shared" ref="Y82:Y84" si="444">+O82+S82+W82</f>
        <v>31675</v>
      </c>
      <c r="Z82" s="6547">
        <f t="shared" ref="Z82:Z84" si="445">+T82+V82</f>
        <v>51191.332921523252</v>
      </c>
      <c r="AA82" s="6692">
        <f t="shared" ref="AA82:AA84" si="446">+U82+W82</f>
        <v>57315</v>
      </c>
      <c r="AB82" s="4206">
        <v>8970.2277104338937</v>
      </c>
      <c r="AC82" s="3183">
        <v>11450</v>
      </c>
      <c r="AD82" s="7325">
        <f t="shared" ref="AD82:AD84" si="447">+Z82+AB82</f>
        <v>60161.560631957145</v>
      </c>
      <c r="AE82" s="1906">
        <f t="shared" ref="AE82:AE84" si="448">+AA82+AC82</f>
        <v>68765</v>
      </c>
      <c r="AF82" s="4206">
        <v>8680.8655262263528</v>
      </c>
      <c r="AG82" s="3183">
        <v>12240</v>
      </c>
      <c r="AH82" s="7554">
        <f t="shared" ref="AH82:AH84" si="449">+AD82+AF82</f>
        <v>68842.426158183502</v>
      </c>
      <c r="AI82" s="1906">
        <f t="shared" ref="AI82:AI84" si="450">+AE82+AG82</f>
        <v>81005</v>
      </c>
      <c r="AJ82" s="4206">
        <v>8970.2277104338937</v>
      </c>
      <c r="AK82" s="3183">
        <v>11580</v>
      </c>
      <c r="AL82" s="3046">
        <f t="shared" ref="AL82:AL84" si="451">+AB82+AF82+AJ82</f>
        <v>26621.32094709414</v>
      </c>
      <c r="AM82" s="2070">
        <f t="shared" ref="AM82:AM84" si="452">+AC82+AG82+AK82</f>
        <v>35270</v>
      </c>
      <c r="AN82" s="7701">
        <f t="shared" ref="AN82:AN84" si="453">+AH82+AJ82</f>
        <v>77812.653868617403</v>
      </c>
      <c r="AO82" s="1906">
        <f t="shared" ref="AO82:AO84" si="454">+AI82+AK82</f>
        <v>92585</v>
      </c>
      <c r="AP82" s="4206">
        <v>8970.2277104338937</v>
      </c>
      <c r="AQ82" s="3183">
        <v>12610</v>
      </c>
      <c r="AR82" s="8017">
        <f t="shared" ref="AR82:AR84" si="455">+AN82+AP82</f>
        <v>86782.881579051289</v>
      </c>
      <c r="AS82" s="1906">
        <f t="shared" ref="AS82:AS84" si="456">+AO82+AQ82</f>
        <v>105195</v>
      </c>
      <c r="AT82" s="4206">
        <v>8102</v>
      </c>
      <c r="AU82" s="3183">
        <v>10960</v>
      </c>
      <c r="AV82" s="8149">
        <f t="shared" ref="AV82:AV84" si="457">+AR82+AT82</f>
        <v>94884.881579051289</v>
      </c>
      <c r="AW82" s="1906">
        <f t="shared" ref="AW82:AW84" si="458">+AS82+AU82</f>
        <v>116155</v>
      </c>
      <c r="AX82" s="4206">
        <v>8970.2276999999995</v>
      </c>
      <c r="AY82" s="3183">
        <v>11895</v>
      </c>
      <c r="AZ82" s="3046">
        <f t="shared" ref="AZ82:AZ84" si="459">+AP82+AT82+AX82</f>
        <v>26042.455410433893</v>
      </c>
      <c r="BA82" s="2070">
        <f t="shared" ref="BA82:BA84" si="460">+AQ82+AU82+AY82</f>
        <v>35465</v>
      </c>
      <c r="BB82" s="3046">
        <f t="shared" si="411"/>
        <v>52663.776357528033</v>
      </c>
      <c r="BC82" s="2070">
        <f t="shared" si="412"/>
        <v>70735</v>
      </c>
      <c r="BD82" s="8280">
        <f t="shared" ref="BD82:BD84" si="461">+AV82+AX82</f>
        <v>103855.10927905129</v>
      </c>
      <c r="BE82" s="6692">
        <f t="shared" ref="BE82:BE84" si="462">+AW82+AY82</f>
        <v>128050</v>
      </c>
    </row>
    <row r="83" spans="1:57" x14ac:dyDescent="0.2">
      <c r="B83" s="1564" t="s">
        <v>1430</v>
      </c>
      <c r="C83" s="4200" t="s">
        <v>170</v>
      </c>
      <c r="D83" s="4204">
        <v>4059.7970408972465</v>
      </c>
      <c r="E83" s="1965">
        <v>3930</v>
      </c>
      <c r="F83" s="4204">
        <v>4589.6444062859091</v>
      </c>
      <c r="G83" s="1683">
        <v>4490</v>
      </c>
      <c r="H83" s="6314">
        <f t="shared" si="436"/>
        <v>8649.4414471831551</v>
      </c>
      <c r="I83" s="1906">
        <f t="shared" si="437"/>
        <v>8420</v>
      </c>
      <c r="J83" s="4204">
        <v>5389.7360371587183</v>
      </c>
      <c r="K83" s="1683">
        <v>4480</v>
      </c>
      <c r="L83" s="5783">
        <f>+H83+J83</f>
        <v>14039.177484341873</v>
      </c>
      <c r="M83" s="2011">
        <f t="shared" ref="M83" si="463">+I83+K83</f>
        <v>12900</v>
      </c>
      <c r="N83" s="4204">
        <v>5980.1518069559306</v>
      </c>
      <c r="O83" s="3183">
        <v>4025</v>
      </c>
      <c r="P83" s="6314">
        <f t="shared" si="439"/>
        <v>20019.329291297803</v>
      </c>
      <c r="Q83" s="1906">
        <f t="shared" si="440"/>
        <v>16925</v>
      </c>
      <c r="R83" s="4204">
        <v>5980.1518069559306</v>
      </c>
      <c r="S83" s="3183">
        <v>3470</v>
      </c>
      <c r="T83" s="6314">
        <f t="shared" si="441"/>
        <v>25999.481098253735</v>
      </c>
      <c r="U83" s="1906">
        <f t="shared" si="442"/>
        <v>20395</v>
      </c>
      <c r="V83" s="4204">
        <v>5787.2436841508998</v>
      </c>
      <c r="W83" s="3183">
        <v>3320</v>
      </c>
      <c r="X83" s="3046">
        <f t="shared" si="443"/>
        <v>17747.54729806276</v>
      </c>
      <c r="Y83" s="2070">
        <f t="shared" si="444"/>
        <v>10815</v>
      </c>
      <c r="Z83" s="6547">
        <f t="shared" si="445"/>
        <v>31786.724782404635</v>
      </c>
      <c r="AA83" s="6692">
        <f t="shared" si="446"/>
        <v>23715</v>
      </c>
      <c r="AB83" s="4204">
        <v>5980.1518069559306</v>
      </c>
      <c r="AC83" s="3183">
        <v>2800</v>
      </c>
      <c r="AD83" s="7325">
        <f t="shared" si="447"/>
        <v>37766.876589360567</v>
      </c>
      <c r="AE83" s="1906">
        <f t="shared" si="448"/>
        <v>26515</v>
      </c>
      <c r="AF83" s="4204">
        <v>5787.2436841508998</v>
      </c>
      <c r="AG83" s="3183">
        <v>1125</v>
      </c>
      <c r="AH83" s="7554">
        <f t="shared" si="449"/>
        <v>43554.120273511464</v>
      </c>
      <c r="AI83" s="1906">
        <f t="shared" si="450"/>
        <v>27640</v>
      </c>
      <c r="AJ83" s="4204">
        <v>5980.1518069559306</v>
      </c>
      <c r="AK83" s="3183">
        <v>2895</v>
      </c>
      <c r="AL83" s="3046">
        <f t="shared" si="451"/>
        <v>17747.54729806276</v>
      </c>
      <c r="AM83" s="2070">
        <f t="shared" si="452"/>
        <v>6820</v>
      </c>
      <c r="AN83" s="7701">
        <f t="shared" si="453"/>
        <v>49534.272080467395</v>
      </c>
      <c r="AO83" s="1906">
        <f t="shared" si="454"/>
        <v>30535</v>
      </c>
      <c r="AP83" s="4204">
        <v>5980.1518069559306</v>
      </c>
      <c r="AQ83" s="3183">
        <v>1865</v>
      </c>
      <c r="AR83" s="8017">
        <f t="shared" si="455"/>
        <v>55514.423887423327</v>
      </c>
      <c r="AS83" s="1906">
        <f t="shared" si="456"/>
        <v>32400</v>
      </c>
      <c r="AT83" s="4204">
        <v>5401</v>
      </c>
      <c r="AU83" s="3183">
        <v>1495</v>
      </c>
      <c r="AV83" s="8149">
        <f t="shared" si="457"/>
        <v>60915.423887423327</v>
      </c>
      <c r="AW83" s="1906">
        <f t="shared" si="458"/>
        <v>33895</v>
      </c>
      <c r="AX83" s="4204">
        <v>5980.1517999999996</v>
      </c>
      <c r="AY83" s="3183">
        <v>3200</v>
      </c>
      <c r="AZ83" s="3046">
        <f t="shared" si="459"/>
        <v>17361.303606955931</v>
      </c>
      <c r="BA83" s="2070">
        <f t="shared" si="460"/>
        <v>6560</v>
      </c>
      <c r="BB83" s="3046">
        <f t="shared" si="411"/>
        <v>35108.850905018691</v>
      </c>
      <c r="BC83" s="2070">
        <f t="shared" si="412"/>
        <v>13380</v>
      </c>
      <c r="BD83" s="8280">
        <f t="shared" si="461"/>
        <v>66895.575687423319</v>
      </c>
      <c r="BE83" s="6692">
        <f t="shared" si="462"/>
        <v>37095</v>
      </c>
    </row>
    <row r="84" spans="1:57" ht="15.75" customHeight="1" thickBot="1" x14ac:dyDescent="0.25">
      <c r="B84" s="1564" t="s">
        <v>1457</v>
      </c>
      <c r="C84" s="4201" t="s">
        <v>170</v>
      </c>
      <c r="D84" s="4205">
        <v>0</v>
      </c>
      <c r="E84" s="4203">
        <v>0</v>
      </c>
      <c r="F84" s="4205">
        <v>0</v>
      </c>
      <c r="G84" s="1676">
        <v>0</v>
      </c>
      <c r="H84" s="6314">
        <f t="shared" si="436"/>
        <v>0</v>
      </c>
      <c r="I84" s="1906">
        <f t="shared" si="437"/>
        <v>0</v>
      </c>
      <c r="J84" s="4654">
        <v>0</v>
      </c>
      <c r="K84" s="1683">
        <v>0</v>
      </c>
      <c r="L84" s="4792">
        <f t="shared" ref="L84" si="464">+H84+J84</f>
        <v>0</v>
      </c>
      <c r="M84" s="2011">
        <f t="shared" si="438"/>
        <v>0</v>
      </c>
      <c r="N84" s="4654">
        <v>0</v>
      </c>
      <c r="O84" s="3183">
        <v>0</v>
      </c>
      <c r="P84" s="6314">
        <f t="shared" si="439"/>
        <v>0</v>
      </c>
      <c r="Q84" s="1906">
        <f t="shared" si="440"/>
        <v>0</v>
      </c>
      <c r="R84" s="4654">
        <v>0</v>
      </c>
      <c r="S84" s="3183"/>
      <c r="T84" s="6314">
        <f t="shared" si="441"/>
        <v>0</v>
      </c>
      <c r="U84" s="1906">
        <f t="shared" si="442"/>
        <v>0</v>
      </c>
      <c r="V84" s="4654">
        <v>0</v>
      </c>
      <c r="W84" s="3183">
        <v>0</v>
      </c>
      <c r="X84" s="3046">
        <f t="shared" si="443"/>
        <v>0</v>
      </c>
      <c r="Y84" s="2070">
        <f t="shared" si="444"/>
        <v>0</v>
      </c>
      <c r="Z84" s="6547">
        <f t="shared" si="445"/>
        <v>0</v>
      </c>
      <c r="AA84" s="6692">
        <f t="shared" si="446"/>
        <v>0</v>
      </c>
      <c r="AB84" s="4654">
        <v>0</v>
      </c>
      <c r="AC84" s="3183"/>
      <c r="AD84" s="7325">
        <f t="shared" si="447"/>
        <v>0</v>
      </c>
      <c r="AE84" s="1906">
        <f t="shared" si="448"/>
        <v>0</v>
      </c>
      <c r="AF84" s="4654">
        <v>0</v>
      </c>
      <c r="AG84" s="3183"/>
      <c r="AH84" s="7554">
        <f t="shared" si="449"/>
        <v>0</v>
      </c>
      <c r="AI84" s="1906">
        <f t="shared" si="450"/>
        <v>0</v>
      </c>
      <c r="AJ84" s="4654">
        <v>0</v>
      </c>
      <c r="AK84" s="3183">
        <v>0</v>
      </c>
      <c r="AL84" s="3046">
        <f t="shared" si="451"/>
        <v>0</v>
      </c>
      <c r="AM84" s="2070">
        <f t="shared" si="452"/>
        <v>0</v>
      </c>
      <c r="AN84" s="7701">
        <f t="shared" si="453"/>
        <v>0</v>
      </c>
      <c r="AO84" s="1906">
        <f t="shared" si="454"/>
        <v>0</v>
      </c>
      <c r="AP84" s="4654">
        <v>0</v>
      </c>
      <c r="AQ84" s="3183">
        <v>0</v>
      </c>
      <c r="AR84" s="8017">
        <f t="shared" si="455"/>
        <v>0</v>
      </c>
      <c r="AS84" s="1906">
        <f t="shared" si="456"/>
        <v>0</v>
      </c>
      <c r="AT84" s="4654"/>
      <c r="AU84" s="3183">
        <v>0</v>
      </c>
      <c r="AV84" s="8149">
        <f t="shared" si="457"/>
        <v>0</v>
      </c>
      <c r="AW84" s="1906">
        <f t="shared" si="458"/>
        <v>0</v>
      </c>
      <c r="AX84" s="4654"/>
      <c r="AY84" s="3183"/>
      <c r="AZ84" s="3046">
        <f t="shared" si="459"/>
        <v>0</v>
      </c>
      <c r="BA84" s="2070">
        <f t="shared" si="460"/>
        <v>0</v>
      </c>
      <c r="BB84" s="3046">
        <f t="shared" si="411"/>
        <v>0</v>
      </c>
      <c r="BC84" s="2070">
        <f t="shared" si="412"/>
        <v>0</v>
      </c>
      <c r="BD84" s="8280">
        <f t="shared" si="461"/>
        <v>0</v>
      </c>
      <c r="BE84" s="6692">
        <f t="shared" si="462"/>
        <v>0</v>
      </c>
    </row>
    <row r="85" spans="1:57" ht="17" thickBot="1" x14ac:dyDescent="0.25">
      <c r="B85" s="1565" t="s">
        <v>582</v>
      </c>
      <c r="C85" s="1572" t="s">
        <v>170</v>
      </c>
      <c r="D85" s="2319">
        <f>SUM(D82:D84)</f>
        <v>11570.353288773082</v>
      </c>
      <c r="E85" s="1677">
        <f>SUM(E82:E84)</f>
        <v>11200</v>
      </c>
      <c r="F85" s="2319">
        <f>SUM(F82:F84)</f>
        <v>13564.496077101106</v>
      </c>
      <c r="G85" s="3191">
        <f t="shared" ref="G85:I85" si="465">SUM(G82:G84)</f>
        <v>13270</v>
      </c>
      <c r="H85" s="2784">
        <f t="shared" si="465"/>
        <v>25134.849365874186</v>
      </c>
      <c r="I85" s="1914">
        <f t="shared" si="465"/>
        <v>24470</v>
      </c>
      <c r="J85" s="3222">
        <f t="shared" ref="J85:M85" si="466">SUM(J82:J84)</f>
        <v>13474.340092896793</v>
      </c>
      <c r="K85" s="3191">
        <f t="shared" si="466"/>
        <v>14070</v>
      </c>
      <c r="L85" s="2951">
        <f t="shared" si="466"/>
        <v>38609.189458770983</v>
      </c>
      <c r="M85" s="2071">
        <f t="shared" si="466"/>
        <v>38540</v>
      </c>
      <c r="N85" s="3222">
        <f t="shared" ref="N85:Q85" si="467">SUM(N82:N84)</f>
        <v>14950.379517389825</v>
      </c>
      <c r="O85" s="5956">
        <f t="shared" si="467"/>
        <v>14550</v>
      </c>
      <c r="P85" s="2784">
        <f t="shared" si="467"/>
        <v>53559.568976160808</v>
      </c>
      <c r="Q85" s="1914">
        <f t="shared" si="467"/>
        <v>53090</v>
      </c>
      <c r="R85" s="3222">
        <f t="shared" ref="R85:U85" si="468">SUM(R82:R84)</f>
        <v>14950.379517389825</v>
      </c>
      <c r="S85" s="5956">
        <f t="shared" si="468"/>
        <v>14065</v>
      </c>
      <c r="T85" s="2784">
        <f t="shared" si="468"/>
        <v>68509.948493550633</v>
      </c>
      <c r="U85" s="1914">
        <f t="shared" si="468"/>
        <v>67155</v>
      </c>
      <c r="V85" s="3222">
        <f t="shared" ref="V85:AI85" si="469">SUM(V82:V84)</f>
        <v>14468.109210377253</v>
      </c>
      <c r="W85" s="5956">
        <f t="shared" si="469"/>
        <v>13875</v>
      </c>
      <c r="X85" s="2951">
        <f t="shared" si="469"/>
        <v>44368.868245156904</v>
      </c>
      <c r="Y85" s="2071">
        <f t="shared" si="469"/>
        <v>42490</v>
      </c>
      <c r="Z85" s="6511">
        <f t="shared" si="469"/>
        <v>82978.057703927887</v>
      </c>
      <c r="AA85" s="6630">
        <f t="shared" si="469"/>
        <v>81030</v>
      </c>
      <c r="AB85" s="3222">
        <f t="shared" si="469"/>
        <v>14950.379517389825</v>
      </c>
      <c r="AC85" s="5956">
        <f t="shared" si="469"/>
        <v>14250</v>
      </c>
      <c r="AD85" s="2784">
        <f t="shared" si="469"/>
        <v>97928.437221317712</v>
      </c>
      <c r="AE85" s="1914">
        <f t="shared" si="469"/>
        <v>95280</v>
      </c>
      <c r="AF85" s="3222">
        <f t="shared" si="469"/>
        <v>14468.109210377253</v>
      </c>
      <c r="AG85" s="5956">
        <f t="shared" si="469"/>
        <v>13365</v>
      </c>
      <c r="AH85" s="2784">
        <f t="shared" si="469"/>
        <v>112396.54643169497</v>
      </c>
      <c r="AI85" s="1914">
        <f t="shared" si="469"/>
        <v>108645</v>
      </c>
      <c r="AJ85" s="3222">
        <f t="shared" ref="AJ85:AO85" si="470">SUM(AJ82:AJ84)</f>
        <v>14950.379517389825</v>
      </c>
      <c r="AK85" s="5956">
        <f t="shared" si="470"/>
        <v>14475</v>
      </c>
      <c r="AL85" s="2951">
        <f t="shared" si="470"/>
        <v>44368.868245156904</v>
      </c>
      <c r="AM85" s="2071">
        <f t="shared" si="470"/>
        <v>42090</v>
      </c>
      <c r="AN85" s="2784">
        <f t="shared" si="470"/>
        <v>127346.92594908481</v>
      </c>
      <c r="AO85" s="1914">
        <f t="shared" si="470"/>
        <v>123120</v>
      </c>
      <c r="AP85" s="3222">
        <f t="shared" ref="AP85:AS85" si="471">SUM(AP82:AP84)</f>
        <v>14950.379517389825</v>
      </c>
      <c r="AQ85" s="5956">
        <f t="shared" si="471"/>
        <v>14475</v>
      </c>
      <c r="AR85" s="2784">
        <f t="shared" si="471"/>
        <v>142297.30546647462</v>
      </c>
      <c r="AS85" s="1914">
        <f t="shared" si="471"/>
        <v>137595</v>
      </c>
      <c r="AT85" s="3222">
        <f t="shared" ref="AT85:AW85" si="472">SUM(AT82:AT84)</f>
        <v>13503</v>
      </c>
      <c r="AU85" s="5956">
        <f t="shared" si="472"/>
        <v>12455</v>
      </c>
      <c r="AV85" s="2784">
        <f t="shared" si="472"/>
        <v>155800.30546647462</v>
      </c>
      <c r="AW85" s="1914">
        <f t="shared" si="472"/>
        <v>150050</v>
      </c>
      <c r="AX85" s="3222">
        <f t="shared" ref="AX85:BE85" si="473">SUM(AX82:AX84)</f>
        <v>14950.379499999999</v>
      </c>
      <c r="AY85" s="5956">
        <f t="shared" si="473"/>
        <v>15095</v>
      </c>
      <c r="AZ85" s="2951">
        <f t="shared" si="473"/>
        <v>43403.759017389821</v>
      </c>
      <c r="BA85" s="2071">
        <f t="shared" si="473"/>
        <v>42025</v>
      </c>
      <c r="BB85" s="2951">
        <f t="shared" si="411"/>
        <v>87772.627262546725</v>
      </c>
      <c r="BC85" s="2071">
        <f t="shared" si="412"/>
        <v>84115</v>
      </c>
      <c r="BD85" s="6511">
        <f t="shared" si="473"/>
        <v>170750.6849664746</v>
      </c>
      <c r="BE85" s="6630">
        <f t="shared" si="473"/>
        <v>165145</v>
      </c>
    </row>
    <row r="86" spans="1:57" ht="17" thickBot="1" x14ac:dyDescent="0.25">
      <c r="B86" s="1565" t="s">
        <v>39</v>
      </c>
      <c r="C86" s="1572" t="s">
        <v>170</v>
      </c>
      <c r="D86" s="2319">
        <f t="shared" ref="D86:G86" si="474">+D81+D85</f>
        <v>40744.995237339979</v>
      </c>
      <c r="E86" s="1677">
        <f>+E81+E85</f>
        <v>39460</v>
      </c>
      <c r="F86" s="2319">
        <f t="shared" ref="F86" si="475">+F81+F85</f>
        <v>45855.250386446467</v>
      </c>
      <c r="G86" s="3191">
        <f t="shared" si="474"/>
        <v>44860</v>
      </c>
      <c r="H86" s="2784">
        <f>+H81+H85</f>
        <v>86600.245623786439</v>
      </c>
      <c r="I86" s="1914">
        <f>+I81+I85</f>
        <v>84320</v>
      </c>
      <c r="J86" s="3222">
        <f t="shared" ref="J86:M86" si="476">+J81+J85</f>
        <v>51202.492353007823</v>
      </c>
      <c r="K86" s="3191">
        <f t="shared" si="476"/>
        <v>47940</v>
      </c>
      <c r="L86" s="2951">
        <f t="shared" si="476"/>
        <v>137802.73797679425</v>
      </c>
      <c r="M86" s="2071">
        <f t="shared" si="476"/>
        <v>132260</v>
      </c>
      <c r="N86" s="3222">
        <f t="shared" ref="N86:O86" si="477">+N81+N85</f>
        <v>56811.442166081346</v>
      </c>
      <c r="O86" s="5956">
        <f t="shared" si="477"/>
        <v>53910</v>
      </c>
      <c r="P86" s="2784">
        <f>+P81+P85</f>
        <v>194614.18014287562</v>
      </c>
      <c r="Q86" s="1914">
        <f>+Q81+Q85</f>
        <v>186170</v>
      </c>
      <c r="R86" s="3222">
        <f t="shared" ref="R86:S86" si="478">+R81+R85</f>
        <v>56811.442166081346</v>
      </c>
      <c r="S86" s="5956">
        <f t="shared" si="478"/>
        <v>54945</v>
      </c>
      <c r="T86" s="2784">
        <f>+T81+T85</f>
        <v>251425.62230895698</v>
      </c>
      <c r="U86" s="1914">
        <f>+U81+U85</f>
        <v>241115</v>
      </c>
      <c r="V86" s="3222">
        <f t="shared" ref="V86:Y86" si="479">+V81+V85</f>
        <v>54978.814999433554</v>
      </c>
      <c r="W86" s="5956">
        <f t="shared" si="479"/>
        <v>52645</v>
      </c>
      <c r="X86" s="2951">
        <f t="shared" si="479"/>
        <v>168601.69933159626</v>
      </c>
      <c r="Y86" s="2071">
        <f t="shared" si="479"/>
        <v>161500</v>
      </c>
      <c r="Z86" s="6511">
        <f>+Z81+Z85</f>
        <v>306404.43730839051</v>
      </c>
      <c r="AA86" s="6630">
        <f>+AA81+AA85</f>
        <v>293760</v>
      </c>
      <c r="AB86" s="7875">
        <f t="shared" ref="AB86:AC86" si="480">+AB81+AB85</f>
        <v>56811.442166081346</v>
      </c>
      <c r="AC86" s="5956">
        <f t="shared" si="480"/>
        <v>54750</v>
      </c>
      <c r="AD86" s="2784">
        <f>+AD81+AD85</f>
        <v>363215.87947447185</v>
      </c>
      <c r="AE86" s="1914">
        <f>+AE81+AE85</f>
        <v>348510</v>
      </c>
      <c r="AF86" s="7875">
        <f t="shared" ref="AF86:AG86" si="481">+AF81+AF85</f>
        <v>54978.814999433554</v>
      </c>
      <c r="AG86" s="5956">
        <f t="shared" si="481"/>
        <v>53350</v>
      </c>
      <c r="AH86" s="2784">
        <f>+AH81+AH85</f>
        <v>418194.69447390537</v>
      </c>
      <c r="AI86" s="1914">
        <f>+AI81+AI85</f>
        <v>401860</v>
      </c>
      <c r="AJ86" s="3222">
        <f t="shared" ref="AJ86:AM86" si="482">+AJ81+AJ85</f>
        <v>56811.442166081346</v>
      </c>
      <c r="AK86" s="5956">
        <f t="shared" si="482"/>
        <v>55000</v>
      </c>
      <c r="AL86" s="2951">
        <f t="shared" si="482"/>
        <v>168601.69933159626</v>
      </c>
      <c r="AM86" s="2071">
        <f t="shared" si="482"/>
        <v>163100</v>
      </c>
      <c r="AN86" s="2784">
        <f>+AN81+AN85</f>
        <v>475006.13663998677</v>
      </c>
      <c r="AO86" s="1914">
        <f>+AO81+AO85</f>
        <v>456860</v>
      </c>
      <c r="AP86" s="3222">
        <f t="shared" ref="AP86:AQ86" si="483">+AP81+AP85</f>
        <v>56811.442166081346</v>
      </c>
      <c r="AQ86" s="5956">
        <f t="shared" si="483"/>
        <v>55000</v>
      </c>
      <c r="AR86" s="2784">
        <f>+AR81+AR85</f>
        <v>531817.57880606805</v>
      </c>
      <c r="AS86" s="1914">
        <f>+AS81+AS85</f>
        <v>511860</v>
      </c>
      <c r="AT86" s="3222">
        <f t="shared" ref="AT86:AU86" si="484">+AT81+AT85</f>
        <v>51313</v>
      </c>
      <c r="AU86" s="5956">
        <f t="shared" si="484"/>
        <v>49680</v>
      </c>
      <c r="AV86" s="2784">
        <f>+AV81+AV85</f>
        <v>583130.57880606805</v>
      </c>
      <c r="AW86" s="1914">
        <f>+AW81+AW85</f>
        <v>561540</v>
      </c>
      <c r="AX86" s="3222">
        <f t="shared" ref="AX86:BA86" si="485">+AX81+AX85</f>
        <v>56811.442200000005</v>
      </c>
      <c r="AY86" s="5956">
        <f t="shared" si="485"/>
        <v>55065</v>
      </c>
      <c r="AZ86" s="2951">
        <f t="shared" si="485"/>
        <v>164935.88436608133</v>
      </c>
      <c r="BA86" s="2071">
        <f t="shared" si="485"/>
        <v>159745</v>
      </c>
      <c r="BB86" s="2951">
        <f t="shared" si="411"/>
        <v>333537.58369767759</v>
      </c>
      <c r="BC86" s="2071">
        <f t="shared" si="412"/>
        <v>322845</v>
      </c>
      <c r="BD86" s="6511">
        <f>+BD81+BD85</f>
        <v>639942.0210060681</v>
      </c>
      <c r="BE86" s="6630">
        <f>+BE81+BE85</f>
        <v>616605</v>
      </c>
    </row>
    <row r="87" spans="1:57" x14ac:dyDescent="0.2">
      <c r="B87" s="2248" t="s">
        <v>1137</v>
      </c>
      <c r="C87" s="2249" t="s">
        <v>170</v>
      </c>
      <c r="D87" s="2704">
        <v>4470.1598146167553</v>
      </c>
      <c r="E87" s="3834">
        <v>200</v>
      </c>
      <c r="F87" s="2704">
        <v>5016.0659313725491</v>
      </c>
      <c r="G87" s="2414">
        <v>4990</v>
      </c>
      <c r="H87" s="2785">
        <f>+D87+F87</f>
        <v>9486.2257459893044</v>
      </c>
      <c r="I87" s="1827">
        <f>+E87+G87</f>
        <v>5190</v>
      </c>
      <c r="J87" s="3223">
        <v>2650.1336898395721</v>
      </c>
      <c r="K87" s="2414">
        <v>3125</v>
      </c>
      <c r="L87" s="2875">
        <f>+H87+J87</f>
        <v>12136.359435828876</v>
      </c>
      <c r="M87" s="2016">
        <f>+I87+K87</f>
        <v>8315</v>
      </c>
      <c r="N87" s="3223">
        <v>0</v>
      </c>
      <c r="O87" s="5957">
        <v>1290</v>
      </c>
      <c r="P87" s="2785">
        <f>+L87+N87</f>
        <v>12136.359435828876</v>
      </c>
      <c r="Q87" s="1827">
        <f>+M87+O87</f>
        <v>9605</v>
      </c>
      <c r="R87" s="3223">
        <v>0</v>
      </c>
      <c r="S87" s="5957">
        <v>2895</v>
      </c>
      <c r="T87" s="2785">
        <f>+P87+R87</f>
        <v>12136.359435828876</v>
      </c>
      <c r="U87" s="1827">
        <f>+Q87+S87</f>
        <v>12500</v>
      </c>
      <c r="V87" s="3223">
        <v>2845.5882352941176</v>
      </c>
      <c r="W87" s="5957">
        <v>2705</v>
      </c>
      <c r="X87" s="3046">
        <f t="shared" ref="X87:X90" si="486">+N87+R87+V87</f>
        <v>2845.5882352941176</v>
      </c>
      <c r="Y87" s="2070">
        <f t="shared" ref="Y87:Y90" si="487">+O87+S87+W87</f>
        <v>6890</v>
      </c>
      <c r="Z87" s="6518">
        <f>+T87+V87</f>
        <v>14981.947671122993</v>
      </c>
      <c r="AA87" s="7877">
        <f>+U87+W87</f>
        <v>15205</v>
      </c>
      <c r="AB87" s="7393">
        <v>0</v>
      </c>
      <c r="AC87" s="5957">
        <v>2880</v>
      </c>
      <c r="AD87" s="2785">
        <f>+Z87+AB87</f>
        <v>14981.947671122993</v>
      </c>
      <c r="AE87" s="7874">
        <f>+AA87+AC87</f>
        <v>18085</v>
      </c>
      <c r="AF87" s="7393">
        <v>0</v>
      </c>
      <c r="AG87" s="5957">
        <v>2810</v>
      </c>
      <c r="AH87" s="7816">
        <f>+AD87+AF87</f>
        <v>14981.947671122993</v>
      </c>
      <c r="AI87" s="7830">
        <f>+AE87+AG87</f>
        <v>20895</v>
      </c>
      <c r="AJ87" s="6621">
        <v>0</v>
      </c>
      <c r="AK87" s="3183">
        <v>1310</v>
      </c>
      <c r="AL87" s="6557">
        <f t="shared" ref="AL87:AL90" si="488">+AB87+AF87+AJ87</f>
        <v>0</v>
      </c>
      <c r="AM87" s="6761">
        <f t="shared" ref="AM87:AM90" si="489">+AC87+AG87+AK87</f>
        <v>7000</v>
      </c>
      <c r="AN87" s="7342">
        <f>+AH87+AJ87</f>
        <v>14981.947671122993</v>
      </c>
      <c r="AO87" s="7837">
        <f>+AI87+AK87</f>
        <v>22205</v>
      </c>
      <c r="AP87" s="6621">
        <v>0</v>
      </c>
      <c r="AQ87" s="3183">
        <v>0</v>
      </c>
      <c r="AR87" s="8017">
        <f>+AN87+AP87</f>
        <v>14981.947671122993</v>
      </c>
      <c r="AS87" s="7830">
        <f>+AO87+AQ87</f>
        <v>22205</v>
      </c>
      <c r="AT87" s="6621">
        <v>0</v>
      </c>
      <c r="AU87" s="3183">
        <v>0</v>
      </c>
      <c r="AV87" s="8149">
        <f>+AR87+AT87</f>
        <v>14981.947671122993</v>
      </c>
      <c r="AW87" s="7830">
        <f>+AS87+AU87</f>
        <v>22205</v>
      </c>
      <c r="AX87" s="6621"/>
      <c r="AY87" s="3183"/>
      <c r="AZ87" s="3046">
        <f t="shared" ref="AZ87" si="490">+AP87+AT87+AX87</f>
        <v>0</v>
      </c>
      <c r="BA87" s="2070">
        <f t="shared" ref="BA87:BA89" si="491">+AQ87+AU87+AY87</f>
        <v>0</v>
      </c>
      <c r="BB87" s="3046">
        <f t="shared" si="411"/>
        <v>0</v>
      </c>
      <c r="BC87" s="2070">
        <f t="shared" si="412"/>
        <v>7000</v>
      </c>
      <c r="BD87" s="6518">
        <f>+AV87+AX87</f>
        <v>14981.947671122993</v>
      </c>
      <c r="BE87" s="7877">
        <f>+AW87+AY87</f>
        <v>22205</v>
      </c>
    </row>
    <row r="88" spans="1:57" s="7814" customFormat="1" x14ac:dyDescent="0.2">
      <c r="A88" s="3378"/>
      <c r="B88" s="1567" t="s">
        <v>2451</v>
      </c>
      <c r="C88" s="1574"/>
      <c r="D88" s="6329"/>
      <c r="E88" s="2717"/>
      <c r="F88" s="6329"/>
      <c r="G88" s="1683"/>
      <c r="H88" s="7816"/>
      <c r="I88" s="1906"/>
      <c r="J88" s="4651"/>
      <c r="K88" s="1683"/>
      <c r="L88" s="7820"/>
      <c r="M88" s="2070"/>
      <c r="N88" s="4651"/>
      <c r="O88" s="3183"/>
      <c r="P88" s="7816"/>
      <c r="Q88" s="1906"/>
      <c r="R88" s="4651"/>
      <c r="S88" s="3183"/>
      <c r="T88" s="7816"/>
      <c r="U88" s="1906"/>
      <c r="V88" s="4651"/>
      <c r="W88" s="3183"/>
      <c r="X88" s="3046"/>
      <c r="Y88" s="2070"/>
      <c r="Z88" s="7819"/>
      <c r="AA88" s="7878"/>
      <c r="AB88" s="7393"/>
      <c r="AC88" s="3183"/>
      <c r="AD88" s="7816"/>
      <c r="AE88" s="7830"/>
      <c r="AF88" s="7393"/>
      <c r="AG88" s="3183"/>
      <c r="AH88" s="7816"/>
      <c r="AI88" s="7830"/>
      <c r="AJ88" s="7393">
        <v>0</v>
      </c>
      <c r="AK88" s="3183">
        <v>1585</v>
      </c>
      <c r="AL88" s="5783">
        <f t="shared" ref="AL88:AL89" si="492">+AB88+AF88+AJ88</f>
        <v>0</v>
      </c>
      <c r="AM88" s="5029">
        <f t="shared" ref="AM88:AM89" si="493">+AC88+AG88+AK88</f>
        <v>1585</v>
      </c>
      <c r="AN88" s="7394">
        <f>+AH88+AJ88</f>
        <v>0</v>
      </c>
      <c r="AO88" s="3193">
        <f t="shared" ref="AO88:AO89" si="494">+AI88+AK88</f>
        <v>1585</v>
      </c>
      <c r="AP88" s="7393">
        <v>0</v>
      </c>
      <c r="AQ88" s="3183">
        <v>2895</v>
      </c>
      <c r="AR88" s="8017">
        <f t="shared" ref="AR88:AR89" si="495">+AN88+AP88</f>
        <v>0</v>
      </c>
      <c r="AS88" s="7830">
        <f t="shared" ref="AS88:AS89" si="496">+AO88+AQ88</f>
        <v>4480</v>
      </c>
      <c r="AT88" s="7393">
        <v>0</v>
      </c>
      <c r="AU88" s="3183">
        <v>2615</v>
      </c>
      <c r="AV88" s="8149">
        <f t="shared" ref="AV88:AV89" si="497">+AR88+AT88</f>
        <v>0</v>
      </c>
      <c r="AW88" s="7830">
        <f t="shared" ref="AW88:AW89" si="498">+AS88+AU88</f>
        <v>7095</v>
      </c>
      <c r="AX88" s="7393"/>
      <c r="AY88" s="3183"/>
      <c r="AZ88" s="3046"/>
      <c r="BA88" s="2070">
        <f t="shared" si="491"/>
        <v>5510</v>
      </c>
      <c r="BB88" s="3046">
        <f t="shared" si="411"/>
        <v>0</v>
      </c>
      <c r="BC88" s="2070">
        <f t="shared" si="412"/>
        <v>7095</v>
      </c>
      <c r="BD88" s="8280"/>
      <c r="BE88" s="7878"/>
    </row>
    <row r="89" spans="1:57" s="7814" customFormat="1" x14ac:dyDescent="0.2">
      <c r="A89" s="3378"/>
      <c r="B89" s="1567" t="s">
        <v>2452</v>
      </c>
      <c r="C89" s="1574"/>
      <c r="D89" s="6329"/>
      <c r="E89" s="2717"/>
      <c r="F89" s="6329"/>
      <c r="G89" s="1683"/>
      <c r="H89" s="7816"/>
      <c r="I89" s="1906"/>
      <c r="J89" s="4651"/>
      <c r="K89" s="1683"/>
      <c r="L89" s="7820"/>
      <c r="M89" s="2070"/>
      <c r="N89" s="4651"/>
      <c r="O89" s="3183"/>
      <c r="P89" s="7816"/>
      <c r="Q89" s="1906"/>
      <c r="R89" s="4651"/>
      <c r="S89" s="3183"/>
      <c r="T89" s="7816"/>
      <c r="U89" s="1906"/>
      <c r="V89" s="4651"/>
      <c r="W89" s="3183"/>
      <c r="X89" s="3046"/>
      <c r="Y89" s="2070"/>
      <c r="Z89" s="7819"/>
      <c r="AA89" s="7878"/>
      <c r="AB89" s="7393"/>
      <c r="AC89" s="3183"/>
      <c r="AD89" s="7816"/>
      <c r="AE89" s="7830"/>
      <c r="AF89" s="7393"/>
      <c r="AG89" s="3183"/>
      <c r="AH89" s="7816"/>
      <c r="AI89" s="7830"/>
      <c r="AJ89" s="7393">
        <v>0</v>
      </c>
      <c r="AK89" s="3183">
        <v>0</v>
      </c>
      <c r="AL89" s="5783">
        <f t="shared" si="492"/>
        <v>0</v>
      </c>
      <c r="AM89" s="5029">
        <f t="shared" si="493"/>
        <v>0</v>
      </c>
      <c r="AN89" s="7394">
        <f t="shared" ref="AN89" si="499">+AH89+AJ89</f>
        <v>0</v>
      </c>
      <c r="AO89" s="3193">
        <f t="shared" si="494"/>
        <v>0</v>
      </c>
      <c r="AP89" s="7393">
        <v>0</v>
      </c>
      <c r="AQ89" s="3183">
        <v>0</v>
      </c>
      <c r="AR89" s="8017">
        <f t="shared" si="495"/>
        <v>0</v>
      </c>
      <c r="AS89" s="7830">
        <f t="shared" si="496"/>
        <v>0</v>
      </c>
      <c r="AT89" s="7393">
        <v>0</v>
      </c>
      <c r="AU89" s="3183">
        <v>0</v>
      </c>
      <c r="AV89" s="8149">
        <f t="shared" si="497"/>
        <v>0</v>
      </c>
      <c r="AW89" s="7830">
        <f t="shared" si="498"/>
        <v>0</v>
      </c>
      <c r="AX89" s="7393"/>
      <c r="AY89" s="3183">
        <v>2900</v>
      </c>
      <c r="AZ89" s="3046"/>
      <c r="BA89" s="2070">
        <f t="shared" si="491"/>
        <v>2900</v>
      </c>
      <c r="BB89" s="3046">
        <f t="shared" si="411"/>
        <v>0</v>
      </c>
      <c r="BC89" s="2070">
        <f t="shared" si="412"/>
        <v>2900</v>
      </c>
      <c r="BD89" s="8280"/>
      <c r="BE89" s="7878"/>
    </row>
    <row r="90" spans="1:57" ht="16" thickBot="1" x14ac:dyDescent="0.25">
      <c r="B90" s="1567" t="s">
        <v>1138</v>
      </c>
      <c r="C90" s="1574" t="s">
        <v>170</v>
      </c>
      <c r="D90" s="6329">
        <v>0</v>
      </c>
      <c r="E90" s="7836">
        <v>4400</v>
      </c>
      <c r="F90" s="6329">
        <v>0</v>
      </c>
      <c r="G90" s="7835">
        <v>0</v>
      </c>
      <c r="H90" s="7817">
        <f>+D90+F90</f>
        <v>0</v>
      </c>
      <c r="I90" s="7834">
        <f>+E90+G90</f>
        <v>4400</v>
      </c>
      <c r="J90" s="4651">
        <v>0</v>
      </c>
      <c r="K90" s="7835">
        <v>1045</v>
      </c>
      <c r="L90" s="7821">
        <f>+H90+J90</f>
        <v>0</v>
      </c>
      <c r="M90" s="7833">
        <f>+I90+K90</f>
        <v>5445</v>
      </c>
      <c r="N90" s="4651">
        <v>2940.4411764705883</v>
      </c>
      <c r="O90" s="7840">
        <v>1550</v>
      </c>
      <c r="P90" s="7817">
        <f>+L90+N90</f>
        <v>2940.4411764705883</v>
      </c>
      <c r="Q90" s="7834">
        <f>+M90+O90</f>
        <v>6995</v>
      </c>
      <c r="R90" s="4651">
        <v>2940.4411764705883</v>
      </c>
      <c r="S90" s="7840">
        <v>0</v>
      </c>
      <c r="T90" s="7817">
        <f>+P90+R90</f>
        <v>5880.8823529411766</v>
      </c>
      <c r="U90" s="7834">
        <f>+Q90+S90</f>
        <v>6995</v>
      </c>
      <c r="V90" s="4651">
        <v>0</v>
      </c>
      <c r="W90" s="7840">
        <v>0</v>
      </c>
      <c r="X90" s="6805">
        <f t="shared" si="486"/>
        <v>5880.8823529411766</v>
      </c>
      <c r="Y90" s="7833">
        <f t="shared" si="487"/>
        <v>1550</v>
      </c>
      <c r="Z90" s="7822">
        <f>+T90+V90</f>
        <v>5880.8823529411766</v>
      </c>
      <c r="AA90" s="7879">
        <f>+U90+W90</f>
        <v>6995</v>
      </c>
      <c r="AB90" s="7393">
        <v>2940.4411764705883</v>
      </c>
      <c r="AC90" s="7840">
        <v>0</v>
      </c>
      <c r="AD90" s="7817">
        <f>+Z90+AB90</f>
        <v>8821.3235294117658</v>
      </c>
      <c r="AE90" s="7832">
        <f>+AA90+AC90</f>
        <v>6995</v>
      </c>
      <c r="AF90" s="7393">
        <v>2845.5882352941176</v>
      </c>
      <c r="AG90" s="7840">
        <v>0</v>
      </c>
      <c r="AH90" s="7817">
        <f>+AD90+AF90</f>
        <v>11666.911764705883</v>
      </c>
      <c r="AI90" s="7832">
        <f>+AE90+AG90</f>
        <v>6995</v>
      </c>
      <c r="AJ90" s="7831">
        <v>2940.4411764705883</v>
      </c>
      <c r="AK90" s="7840">
        <v>0</v>
      </c>
      <c r="AL90" s="6805">
        <f t="shared" si="488"/>
        <v>8726.4705882352937</v>
      </c>
      <c r="AM90" s="7833">
        <f t="shared" si="489"/>
        <v>0</v>
      </c>
      <c r="AN90" s="7817">
        <f>+AH90+AJ90</f>
        <v>14607.352941176472</v>
      </c>
      <c r="AO90" s="7834">
        <f>+AI90+AK90</f>
        <v>6995</v>
      </c>
      <c r="AP90" s="7831">
        <v>2940.4411764705883</v>
      </c>
      <c r="AQ90" s="7840">
        <v>0</v>
      </c>
      <c r="AR90" s="8019">
        <f>+AN90+AP90</f>
        <v>17547.794117647059</v>
      </c>
      <c r="AS90" s="7832">
        <f>+AO90+AQ90</f>
        <v>6995</v>
      </c>
      <c r="AT90" s="7831">
        <v>2656</v>
      </c>
      <c r="AU90" s="7840">
        <v>0</v>
      </c>
      <c r="AV90" s="8152">
        <f>+AR90+AT90</f>
        <v>20203.794117647059</v>
      </c>
      <c r="AW90" s="7832">
        <f>+AS90+AU90</f>
        <v>6995</v>
      </c>
      <c r="AX90" s="7831">
        <v>2940.4412000000002</v>
      </c>
      <c r="AY90" s="7840"/>
      <c r="AZ90" s="6805">
        <f t="shared" ref="AZ90" si="500">+AP90+AT90+AX90</f>
        <v>8536.8823764705885</v>
      </c>
      <c r="BA90" s="7833">
        <f t="shared" ref="BA90" si="501">+AQ90+AU90+AY90</f>
        <v>0</v>
      </c>
      <c r="BB90" s="6805">
        <f t="shared" si="411"/>
        <v>17263.352964705882</v>
      </c>
      <c r="BC90" s="7833">
        <f t="shared" si="412"/>
        <v>0</v>
      </c>
      <c r="BD90" s="8279">
        <f>+AV90+AX90</f>
        <v>23144.235317647061</v>
      </c>
      <c r="BE90" s="7879">
        <f>+AW90+AY90</f>
        <v>6995</v>
      </c>
    </row>
    <row r="91" spans="1:57" ht="17" thickBot="1" x14ac:dyDescent="0.25">
      <c r="B91" s="1565" t="s">
        <v>38</v>
      </c>
      <c r="C91" s="7844" t="s">
        <v>170</v>
      </c>
      <c r="D91" s="2817">
        <f t="shared" ref="D91:AJ91" si="502">+D86+D87+D88+D89+D90</f>
        <v>45215.155051956732</v>
      </c>
      <c r="E91" s="2817">
        <f t="shared" si="502"/>
        <v>44060</v>
      </c>
      <c r="F91" s="2817">
        <f t="shared" si="502"/>
        <v>50871.316317819015</v>
      </c>
      <c r="G91" s="2817">
        <f t="shared" si="502"/>
        <v>49850</v>
      </c>
      <c r="H91" s="2817">
        <f t="shared" si="502"/>
        <v>96086.47136977574</v>
      </c>
      <c r="I91" s="2817">
        <f t="shared" si="502"/>
        <v>93910</v>
      </c>
      <c r="J91" s="2817">
        <f t="shared" si="502"/>
        <v>53852.626042847398</v>
      </c>
      <c r="K91" s="2817">
        <f t="shared" si="502"/>
        <v>52110</v>
      </c>
      <c r="L91" s="2817">
        <f t="shared" si="502"/>
        <v>149939.09741262312</v>
      </c>
      <c r="M91" s="2817">
        <f t="shared" si="502"/>
        <v>146020</v>
      </c>
      <c r="N91" s="2817">
        <f t="shared" si="502"/>
        <v>59751.883342551933</v>
      </c>
      <c r="O91" s="2817">
        <f t="shared" si="502"/>
        <v>56750</v>
      </c>
      <c r="P91" s="2817">
        <f t="shared" si="502"/>
        <v>209690.98075517509</v>
      </c>
      <c r="Q91" s="2817">
        <f t="shared" si="502"/>
        <v>202770</v>
      </c>
      <c r="R91" s="2817">
        <f t="shared" si="502"/>
        <v>59751.883342551933</v>
      </c>
      <c r="S91" s="2817">
        <f t="shared" si="502"/>
        <v>57840</v>
      </c>
      <c r="T91" s="2817">
        <f t="shared" si="502"/>
        <v>269442.86409772706</v>
      </c>
      <c r="U91" s="2817">
        <f t="shared" si="502"/>
        <v>260610</v>
      </c>
      <c r="V91" s="2817">
        <f t="shared" si="502"/>
        <v>57824.403234727673</v>
      </c>
      <c r="W91" s="2817">
        <f t="shared" si="502"/>
        <v>55350</v>
      </c>
      <c r="X91" s="2817">
        <f t="shared" si="502"/>
        <v>177328.16991983156</v>
      </c>
      <c r="Y91" s="2817">
        <f t="shared" si="502"/>
        <v>169940</v>
      </c>
      <c r="Z91" s="2817">
        <f t="shared" si="502"/>
        <v>327267.26733245468</v>
      </c>
      <c r="AA91" s="2817">
        <f t="shared" si="502"/>
        <v>315960</v>
      </c>
      <c r="AB91" s="7876">
        <f t="shared" si="502"/>
        <v>59751.883342551933</v>
      </c>
      <c r="AC91" s="2817">
        <f t="shared" si="502"/>
        <v>57630</v>
      </c>
      <c r="AD91" s="2817">
        <f t="shared" si="502"/>
        <v>387019.15067500656</v>
      </c>
      <c r="AE91" s="2817">
        <f t="shared" si="502"/>
        <v>373590</v>
      </c>
      <c r="AF91" s="7876">
        <f t="shared" si="502"/>
        <v>57824.403234727673</v>
      </c>
      <c r="AG91" s="2817">
        <f t="shared" si="502"/>
        <v>56160</v>
      </c>
      <c r="AH91" s="2817">
        <f t="shared" si="502"/>
        <v>444843.55390973424</v>
      </c>
      <c r="AI91" s="2817">
        <f t="shared" si="502"/>
        <v>429750</v>
      </c>
      <c r="AJ91" s="2817">
        <f t="shared" si="502"/>
        <v>59751.883342551933</v>
      </c>
      <c r="AK91" s="2817">
        <f>+AK86+AK87+AK88+AK89+AK90</f>
        <v>57895</v>
      </c>
      <c r="AL91" s="2817">
        <f t="shared" ref="AL91:AP91" si="503">+AL86+AL87+AL88+AL89+AL90</f>
        <v>177328.16991983156</v>
      </c>
      <c r="AM91" s="2817">
        <f t="shared" si="503"/>
        <v>171685</v>
      </c>
      <c r="AN91" s="2817">
        <f t="shared" si="503"/>
        <v>504595.43725228618</v>
      </c>
      <c r="AO91" s="1682">
        <f t="shared" si="503"/>
        <v>487645</v>
      </c>
      <c r="AP91" s="2817">
        <f t="shared" si="503"/>
        <v>59751.883342551933</v>
      </c>
      <c r="AQ91" s="2817">
        <f>+AQ86+AQ87+AQ88+AQ89+AQ90</f>
        <v>57895</v>
      </c>
      <c r="AR91" s="2817">
        <f t="shared" ref="AR91:AT91" si="504">+AR86+AR87+AR88+AR89+AR90</f>
        <v>564347.32059483812</v>
      </c>
      <c r="AS91" s="2817">
        <f t="shared" si="504"/>
        <v>545540</v>
      </c>
      <c r="AT91" s="2817">
        <f t="shared" si="504"/>
        <v>53969</v>
      </c>
      <c r="AU91" s="2817">
        <f>+AU86+AU87+AU88+AU89+AU90</f>
        <v>52295</v>
      </c>
      <c r="AV91" s="2817">
        <f t="shared" ref="AV91:AX91" si="505">+AV86+AV87+AV88+AV89+AV90</f>
        <v>618316.32059483812</v>
      </c>
      <c r="AW91" s="2817">
        <f t="shared" si="505"/>
        <v>597835</v>
      </c>
      <c r="AX91" s="2817">
        <f t="shared" si="505"/>
        <v>59751.883400000006</v>
      </c>
      <c r="AY91" s="2817">
        <f>+AY86+AY87+AY88+AY89+AY90</f>
        <v>57965</v>
      </c>
      <c r="AZ91" s="2817">
        <f t="shared" ref="AZ91:BE91" si="506">+AZ86+AZ87+AZ88+AZ89+AZ90</f>
        <v>173472.76674255193</v>
      </c>
      <c r="BA91" s="2817">
        <f t="shared" si="506"/>
        <v>168155</v>
      </c>
      <c r="BB91" s="2817">
        <f t="shared" si="411"/>
        <v>350800.93666238349</v>
      </c>
      <c r="BC91" s="2817">
        <f t="shared" si="412"/>
        <v>339840</v>
      </c>
      <c r="BD91" s="2817">
        <f t="shared" si="506"/>
        <v>678068.20399483817</v>
      </c>
      <c r="BE91" s="2817">
        <f t="shared" si="506"/>
        <v>645805</v>
      </c>
    </row>
    <row r="92" spans="1:57" s="3380" customFormat="1" ht="18" x14ac:dyDescent="0.2">
      <c r="A92" s="3379"/>
      <c r="B92" s="6797" t="s">
        <v>680</v>
      </c>
      <c r="C92" s="7841"/>
      <c r="D92" s="6791"/>
      <c r="E92" s="6799"/>
      <c r="F92" s="6791"/>
      <c r="G92" s="6790"/>
      <c r="H92" s="7842"/>
      <c r="I92" s="7843"/>
      <c r="J92" s="7842"/>
      <c r="K92" s="7843"/>
      <c r="L92" s="7842"/>
      <c r="M92" s="7843"/>
      <c r="N92" s="7842"/>
      <c r="O92" s="7843"/>
      <c r="P92" s="7842"/>
      <c r="Q92" s="7843"/>
      <c r="R92" s="7842"/>
      <c r="S92" s="7843"/>
      <c r="T92" s="7842"/>
      <c r="U92" s="7843"/>
      <c r="V92" s="7842"/>
      <c r="W92" s="7843"/>
      <c r="X92" s="7842"/>
      <c r="Y92" s="7843"/>
      <c r="Z92" s="7842"/>
      <c r="AA92" s="7843"/>
      <c r="AB92" s="7842"/>
      <c r="AC92" s="7843"/>
      <c r="AD92" s="7842"/>
      <c r="AE92" s="7843"/>
      <c r="AF92" s="7842"/>
      <c r="AG92" s="7843"/>
      <c r="AH92" s="7842"/>
      <c r="AI92" s="7843"/>
      <c r="AJ92" s="7842"/>
      <c r="AK92" s="7843"/>
      <c r="AL92" s="7842"/>
      <c r="AM92" s="7843"/>
      <c r="AN92" s="7842"/>
      <c r="AO92" s="7843"/>
      <c r="AP92" s="7842"/>
      <c r="AQ92" s="7843"/>
      <c r="AR92" s="7842"/>
      <c r="AS92" s="7843"/>
      <c r="AT92" s="7842"/>
      <c r="AU92" s="7843"/>
      <c r="AV92" s="7842"/>
      <c r="AW92" s="7843"/>
      <c r="AX92" s="7842"/>
      <c r="AY92" s="7843"/>
      <c r="AZ92" s="7842"/>
      <c r="BA92" s="7843"/>
      <c r="BB92" s="7842"/>
      <c r="BC92" s="7843"/>
      <c r="BD92" s="7842"/>
      <c r="BE92" s="7843"/>
    </row>
    <row r="93" spans="1:57" x14ac:dyDescent="0.2">
      <c r="B93" s="1531" t="s">
        <v>36</v>
      </c>
      <c r="C93" s="1570" t="s">
        <v>170</v>
      </c>
      <c r="D93" s="4811">
        <v>36156.821842075449</v>
      </c>
      <c r="E93" s="2750">
        <v>35072</v>
      </c>
      <c r="F93" s="4811">
        <v>34887.459957549072</v>
      </c>
      <c r="G93" s="1646">
        <v>33835</v>
      </c>
      <c r="H93" s="6345">
        <f>+D93+F93</f>
        <v>71044.281799624529</v>
      </c>
      <c r="I93" s="1823">
        <f t="shared" ref="I93" si="507">+E93+G93</f>
        <v>68907</v>
      </c>
      <c r="J93" s="4811">
        <v>46376.033760054379</v>
      </c>
      <c r="K93" s="1646">
        <v>38720</v>
      </c>
      <c r="L93" s="6343">
        <f>+H93+J93</f>
        <v>117420.31555967891</v>
      </c>
      <c r="M93" s="2011">
        <f t="shared" ref="M93:M99" si="508">+I93+K93</f>
        <v>107627</v>
      </c>
      <c r="N93" s="4811">
        <v>54847.031834145237</v>
      </c>
      <c r="O93" s="3918">
        <v>41718</v>
      </c>
      <c r="P93" s="6345">
        <f>+L93+N93</f>
        <v>172267.34739382414</v>
      </c>
      <c r="Q93" s="1823">
        <f t="shared" ref="Q93:Q99" si="509">+M93+O93</f>
        <v>149345</v>
      </c>
      <c r="R93" s="4811">
        <v>54847.031834145237</v>
      </c>
      <c r="S93" s="3918">
        <v>44012</v>
      </c>
      <c r="T93" s="6345">
        <f>+P93+R93</f>
        <v>227114.37922796939</v>
      </c>
      <c r="U93" s="1823">
        <f t="shared" ref="U93:U99" si="510">+Q93+S93</f>
        <v>193357</v>
      </c>
      <c r="V93" s="4811">
        <v>53077.772742721201</v>
      </c>
      <c r="W93" s="3918">
        <v>41709</v>
      </c>
      <c r="X93" s="3046">
        <f t="shared" ref="X93:X99" si="511">+N93+R93+V93</f>
        <v>162771.83641101167</v>
      </c>
      <c r="Y93" s="2070">
        <f t="shared" ref="Y93:Y99" si="512">+O93+S93+W93</f>
        <v>127439</v>
      </c>
      <c r="Z93" s="6517">
        <f>+T93+V93</f>
        <v>280192.15197069058</v>
      </c>
      <c r="AA93" s="6531">
        <f t="shared" ref="AA93:AA99" si="513">+U93+W93</f>
        <v>235066</v>
      </c>
      <c r="AB93" s="4811">
        <v>54847.031834145237</v>
      </c>
      <c r="AC93" s="3918">
        <v>47462</v>
      </c>
      <c r="AD93" s="7346">
        <f>+Z93+AB93</f>
        <v>335039.18380483583</v>
      </c>
      <c r="AE93" s="1823">
        <f t="shared" ref="AE93:AE99" si="514">+AA93+AC93</f>
        <v>282528</v>
      </c>
      <c r="AF93" s="4811">
        <v>53077.772742721201</v>
      </c>
      <c r="AG93" s="3918">
        <v>43770</v>
      </c>
      <c r="AH93" s="7584">
        <f>+AD93+AF93</f>
        <v>388116.95654755703</v>
      </c>
      <c r="AI93" s="1823">
        <f t="shared" ref="AI93:AI99" si="515">+AE93+AG93</f>
        <v>326298</v>
      </c>
      <c r="AJ93" s="4811">
        <v>54847.031834145237</v>
      </c>
      <c r="AK93" s="3918">
        <v>50853.1</v>
      </c>
      <c r="AL93" s="3046">
        <f t="shared" ref="AL93:AL99" si="516">+AB93+AF93+AJ93</f>
        <v>162771.8364110117</v>
      </c>
      <c r="AM93" s="2070">
        <f t="shared" ref="AM93:AM99" si="517">+AC93+AG93+AK93</f>
        <v>142085.1</v>
      </c>
      <c r="AN93" s="7735">
        <f>+AH93+AJ93</f>
        <v>442963.98838170228</v>
      </c>
      <c r="AO93" s="1823">
        <f t="shared" ref="AO93:AO99" si="518">+AI93+AK93</f>
        <v>377151.1</v>
      </c>
      <c r="AP93" s="4811">
        <v>54847.031834145237</v>
      </c>
      <c r="AQ93" s="3918">
        <v>51074</v>
      </c>
      <c r="AR93" s="8045">
        <f>+AN93+AP93</f>
        <v>497811.02021584753</v>
      </c>
      <c r="AS93" s="1823">
        <f t="shared" ref="AS93:AS99" si="519">+AO93+AQ93</f>
        <v>428225.1</v>
      </c>
      <c r="AT93" s="4811">
        <v>49539</v>
      </c>
      <c r="AU93" s="3918">
        <v>46372</v>
      </c>
      <c r="AV93" s="8171">
        <f>+AR93+AT93</f>
        <v>547350.02021584753</v>
      </c>
      <c r="AW93" s="1823">
        <f t="shared" ref="AW93:AW99" si="520">+AS93+AU93</f>
        <v>474597.1</v>
      </c>
      <c r="AX93" s="4811">
        <v>54847.031999999999</v>
      </c>
      <c r="AY93" s="3918">
        <v>49923</v>
      </c>
      <c r="AZ93" s="3046">
        <f t="shared" ref="AZ93:AZ99" si="521">+AP93+AT93+AX93</f>
        <v>159233.06383414523</v>
      </c>
      <c r="BA93" s="2070">
        <f t="shared" ref="BA93:BA99" si="522">+AQ93+AU93+AY93</f>
        <v>147369</v>
      </c>
      <c r="BB93" s="3046">
        <f t="shared" ref="BB93:BB109" si="523">+AL93+AZ93</f>
        <v>322004.90024515695</v>
      </c>
      <c r="BC93" s="2070">
        <f t="shared" si="412"/>
        <v>289454.09999999998</v>
      </c>
      <c r="BD93" s="8324">
        <f>+AV93+AX93</f>
        <v>602197.05221584754</v>
      </c>
      <c r="BE93" s="6531">
        <f t="shared" ref="BE93:BE99" si="524">+AW93+AY93</f>
        <v>524520.1</v>
      </c>
    </row>
    <row r="94" spans="1:57" x14ac:dyDescent="0.2">
      <c r="B94" s="1531" t="s">
        <v>2121</v>
      </c>
      <c r="C94" s="1570" t="s">
        <v>170</v>
      </c>
      <c r="D94" s="4811">
        <v>0</v>
      </c>
      <c r="E94" s="2750">
        <v>0</v>
      </c>
      <c r="F94" s="4811">
        <v>0</v>
      </c>
      <c r="G94" s="1646">
        <v>0</v>
      </c>
      <c r="H94" s="6345">
        <f t="shared" ref="H94:H99" si="525">+D94+F94</f>
        <v>0</v>
      </c>
      <c r="I94" s="1823">
        <f t="shared" ref="I94:I99" si="526">+E94+G94</f>
        <v>0</v>
      </c>
      <c r="J94" s="4811">
        <v>0</v>
      </c>
      <c r="K94" s="1646">
        <v>0</v>
      </c>
      <c r="L94" s="6343">
        <f t="shared" ref="L94:L95" si="527">+H94+J94</f>
        <v>0</v>
      </c>
      <c r="M94" s="2011">
        <f t="shared" si="508"/>
        <v>0</v>
      </c>
      <c r="N94" s="4811">
        <v>0</v>
      </c>
      <c r="O94" s="3918">
        <v>4109</v>
      </c>
      <c r="P94" s="6345">
        <f t="shared" ref="P94:P99" si="528">+L94+N94</f>
        <v>0</v>
      </c>
      <c r="Q94" s="1823">
        <f t="shared" si="509"/>
        <v>4109</v>
      </c>
      <c r="R94" s="4811">
        <v>0</v>
      </c>
      <c r="S94" s="3918">
        <v>1227</v>
      </c>
      <c r="T94" s="6345">
        <f t="shared" ref="T94:T99" si="529">+P94+R94</f>
        <v>0</v>
      </c>
      <c r="U94" s="1823">
        <f t="shared" si="510"/>
        <v>5336</v>
      </c>
      <c r="V94" s="4811">
        <v>0</v>
      </c>
      <c r="W94" s="3918">
        <v>0</v>
      </c>
      <c r="X94" s="3046">
        <f t="shared" si="511"/>
        <v>0</v>
      </c>
      <c r="Y94" s="2070">
        <f t="shared" si="512"/>
        <v>5336</v>
      </c>
      <c r="Z94" s="6517">
        <f t="shared" ref="Z94:Z99" si="530">+T94+V94</f>
        <v>0</v>
      </c>
      <c r="AA94" s="6531">
        <f t="shared" si="513"/>
        <v>5336</v>
      </c>
      <c r="AB94" s="4811">
        <v>0</v>
      </c>
      <c r="AC94" s="3918">
        <v>0</v>
      </c>
      <c r="AD94" s="7346">
        <f t="shared" ref="AD94:AD99" si="531">+Z94+AB94</f>
        <v>0</v>
      </c>
      <c r="AE94" s="1823">
        <f t="shared" si="514"/>
        <v>5336</v>
      </c>
      <c r="AF94" s="4811">
        <v>0</v>
      </c>
      <c r="AG94" s="3918">
        <v>0</v>
      </c>
      <c r="AH94" s="7584">
        <f t="shared" ref="AH94:AH99" si="532">+AD94+AF94</f>
        <v>0</v>
      </c>
      <c r="AI94" s="1823">
        <f t="shared" si="515"/>
        <v>5336</v>
      </c>
      <c r="AJ94" s="4811">
        <v>0</v>
      </c>
      <c r="AK94" s="3918">
        <v>0</v>
      </c>
      <c r="AL94" s="3046">
        <f t="shared" si="516"/>
        <v>0</v>
      </c>
      <c r="AM94" s="2070">
        <f t="shared" si="517"/>
        <v>0</v>
      </c>
      <c r="AN94" s="7735">
        <f t="shared" ref="AN94:AN99" si="533">+AH94+AJ94</f>
        <v>0</v>
      </c>
      <c r="AO94" s="1823">
        <f t="shared" si="518"/>
        <v>5336</v>
      </c>
      <c r="AP94" s="4811">
        <v>0</v>
      </c>
      <c r="AQ94" s="3918">
        <v>0</v>
      </c>
      <c r="AR94" s="8045">
        <f t="shared" ref="AR94:AR99" si="534">+AN94+AP94</f>
        <v>0</v>
      </c>
      <c r="AS94" s="1823">
        <f t="shared" si="519"/>
        <v>5336</v>
      </c>
      <c r="AT94" s="4811"/>
      <c r="AU94" s="3918">
        <v>0</v>
      </c>
      <c r="AV94" s="8171">
        <f t="shared" ref="AV94:AV99" si="535">+AR94+AT94</f>
        <v>0</v>
      </c>
      <c r="AW94" s="1823">
        <f t="shared" si="520"/>
        <v>5336</v>
      </c>
      <c r="AX94" s="4811"/>
      <c r="AY94" s="3918"/>
      <c r="AZ94" s="3046">
        <f t="shared" si="521"/>
        <v>0</v>
      </c>
      <c r="BA94" s="2070">
        <f t="shared" si="522"/>
        <v>0</v>
      </c>
      <c r="BB94" s="3046">
        <f t="shared" si="523"/>
        <v>0</v>
      </c>
      <c r="BC94" s="2070">
        <f t="shared" si="412"/>
        <v>0</v>
      </c>
      <c r="BD94" s="8324">
        <f t="shared" ref="BD94:BD99" si="536">+AV94+AX94</f>
        <v>0</v>
      </c>
      <c r="BE94" s="6531">
        <f t="shared" si="524"/>
        <v>5336</v>
      </c>
    </row>
    <row r="95" spans="1:57" x14ac:dyDescent="0.2">
      <c r="B95" s="1531" t="s">
        <v>1372</v>
      </c>
      <c r="C95" s="1570" t="s">
        <v>170</v>
      </c>
      <c r="D95" s="4811">
        <v>7504.8753823496099</v>
      </c>
      <c r="E95" s="2750">
        <v>7280</v>
      </c>
      <c r="F95" s="4811">
        <v>8119.9170738319099</v>
      </c>
      <c r="G95" s="1646">
        <v>7875</v>
      </c>
      <c r="H95" s="6345">
        <f t="shared" si="525"/>
        <v>15624.79245618152</v>
      </c>
      <c r="I95" s="1823">
        <f t="shared" si="526"/>
        <v>15155</v>
      </c>
      <c r="J95" s="4811">
        <v>0</v>
      </c>
      <c r="K95" s="1646">
        <v>7800</v>
      </c>
      <c r="L95" s="6343">
        <f t="shared" si="527"/>
        <v>15624.79245618152</v>
      </c>
      <c r="M95" s="2011">
        <f t="shared" si="508"/>
        <v>22955</v>
      </c>
      <c r="N95" s="4811">
        <v>0</v>
      </c>
      <c r="O95" s="3918">
        <v>0</v>
      </c>
      <c r="P95" s="6345">
        <f t="shared" si="528"/>
        <v>15624.79245618152</v>
      </c>
      <c r="Q95" s="1823">
        <f t="shared" si="509"/>
        <v>22955</v>
      </c>
      <c r="R95" s="4811">
        <v>0</v>
      </c>
      <c r="S95" s="3918">
        <v>0</v>
      </c>
      <c r="T95" s="6345">
        <f t="shared" si="529"/>
        <v>15624.79245618152</v>
      </c>
      <c r="U95" s="1823">
        <f t="shared" si="510"/>
        <v>22955</v>
      </c>
      <c r="V95" s="4811">
        <v>0</v>
      </c>
      <c r="W95" s="3918">
        <v>0</v>
      </c>
      <c r="X95" s="3046">
        <f t="shared" si="511"/>
        <v>0</v>
      </c>
      <c r="Y95" s="2070">
        <f t="shared" si="512"/>
        <v>0</v>
      </c>
      <c r="Z95" s="6517">
        <f t="shared" si="530"/>
        <v>15624.79245618152</v>
      </c>
      <c r="AA95" s="6531">
        <f t="shared" si="513"/>
        <v>22955</v>
      </c>
      <c r="AB95" s="4811">
        <v>0</v>
      </c>
      <c r="AC95" s="3918">
        <v>0</v>
      </c>
      <c r="AD95" s="7346">
        <f t="shared" si="531"/>
        <v>15624.79245618152</v>
      </c>
      <c r="AE95" s="1823">
        <f t="shared" si="514"/>
        <v>22955</v>
      </c>
      <c r="AF95" s="4811">
        <v>0</v>
      </c>
      <c r="AG95" s="3918">
        <v>0</v>
      </c>
      <c r="AH95" s="7584">
        <f t="shared" si="532"/>
        <v>15624.79245618152</v>
      </c>
      <c r="AI95" s="1823">
        <f t="shared" si="515"/>
        <v>22955</v>
      </c>
      <c r="AJ95" s="4811">
        <v>0</v>
      </c>
      <c r="AK95" s="3918">
        <v>0</v>
      </c>
      <c r="AL95" s="3046">
        <f t="shared" si="516"/>
        <v>0</v>
      </c>
      <c r="AM95" s="2070">
        <f t="shared" si="517"/>
        <v>0</v>
      </c>
      <c r="AN95" s="7735">
        <f t="shared" si="533"/>
        <v>15624.79245618152</v>
      </c>
      <c r="AO95" s="1823">
        <f t="shared" si="518"/>
        <v>22955</v>
      </c>
      <c r="AP95" s="4811">
        <v>0</v>
      </c>
      <c r="AQ95" s="3918">
        <v>0</v>
      </c>
      <c r="AR95" s="8045">
        <f t="shared" si="534"/>
        <v>15624.79245618152</v>
      </c>
      <c r="AS95" s="1823">
        <f t="shared" si="519"/>
        <v>22955</v>
      </c>
      <c r="AT95" s="4811"/>
      <c r="AU95" s="3918">
        <v>0</v>
      </c>
      <c r="AV95" s="8171">
        <f t="shared" si="535"/>
        <v>15624.79245618152</v>
      </c>
      <c r="AW95" s="1823">
        <f t="shared" si="520"/>
        <v>22955</v>
      </c>
      <c r="AX95" s="4811"/>
      <c r="AY95" s="3918"/>
      <c r="AZ95" s="3046">
        <f t="shared" si="521"/>
        <v>0</v>
      </c>
      <c r="BA95" s="2070">
        <f t="shared" si="522"/>
        <v>0</v>
      </c>
      <c r="BB95" s="3046">
        <f t="shared" si="523"/>
        <v>0</v>
      </c>
      <c r="BC95" s="2070">
        <f t="shared" si="412"/>
        <v>0</v>
      </c>
      <c r="BD95" s="8324">
        <f t="shared" si="536"/>
        <v>15624.79245618152</v>
      </c>
      <c r="BE95" s="6531">
        <f t="shared" si="524"/>
        <v>22955</v>
      </c>
    </row>
    <row r="96" spans="1:57" ht="15" customHeight="1" x14ac:dyDescent="0.2">
      <c r="B96" s="1531" t="s">
        <v>1431</v>
      </c>
      <c r="C96" s="1570" t="s">
        <v>170</v>
      </c>
      <c r="D96" s="4811">
        <v>0</v>
      </c>
      <c r="E96" s="2750">
        <v>0</v>
      </c>
      <c r="F96" s="4811">
        <v>0</v>
      </c>
      <c r="G96" s="1646">
        <v>0</v>
      </c>
      <c r="H96" s="6345">
        <f t="shared" si="525"/>
        <v>0</v>
      </c>
      <c r="I96" s="1823">
        <f t="shared" si="526"/>
        <v>0</v>
      </c>
      <c r="J96" s="4811">
        <v>0</v>
      </c>
      <c r="K96" s="1646">
        <v>0</v>
      </c>
      <c r="L96" s="6343">
        <f t="shared" ref="L96:L99" si="537">+H96+J96</f>
        <v>0</v>
      </c>
      <c r="M96" s="2011">
        <f t="shared" si="508"/>
        <v>0</v>
      </c>
      <c r="N96" s="4811">
        <v>0</v>
      </c>
      <c r="O96" s="3918">
        <v>0</v>
      </c>
      <c r="P96" s="6345">
        <f t="shared" si="528"/>
        <v>0</v>
      </c>
      <c r="Q96" s="1823">
        <f t="shared" si="509"/>
        <v>0</v>
      </c>
      <c r="R96" s="4811">
        <v>0</v>
      </c>
      <c r="S96" s="3918"/>
      <c r="T96" s="6345">
        <f t="shared" si="529"/>
        <v>0</v>
      </c>
      <c r="U96" s="1823">
        <f t="shared" si="510"/>
        <v>0</v>
      </c>
      <c r="V96" s="4811">
        <v>0</v>
      </c>
      <c r="W96" s="3918">
        <v>0</v>
      </c>
      <c r="X96" s="3046">
        <f t="shared" si="511"/>
        <v>0</v>
      </c>
      <c r="Y96" s="2070">
        <f t="shared" si="512"/>
        <v>0</v>
      </c>
      <c r="Z96" s="6517">
        <f t="shared" si="530"/>
        <v>0</v>
      </c>
      <c r="AA96" s="6531">
        <f t="shared" si="513"/>
        <v>0</v>
      </c>
      <c r="AB96" s="4811">
        <v>0</v>
      </c>
      <c r="AC96" s="3918"/>
      <c r="AD96" s="7346">
        <f t="shared" si="531"/>
        <v>0</v>
      </c>
      <c r="AE96" s="1823">
        <f t="shared" si="514"/>
        <v>0</v>
      </c>
      <c r="AF96" s="4811">
        <v>0</v>
      </c>
      <c r="AG96" s="3918"/>
      <c r="AH96" s="7584">
        <f t="shared" si="532"/>
        <v>0</v>
      </c>
      <c r="AI96" s="1823">
        <f t="shared" si="515"/>
        <v>0</v>
      </c>
      <c r="AJ96" s="4811"/>
      <c r="AK96" s="3918"/>
      <c r="AL96" s="3046">
        <f t="shared" si="516"/>
        <v>0</v>
      </c>
      <c r="AM96" s="2070">
        <f t="shared" si="517"/>
        <v>0</v>
      </c>
      <c r="AN96" s="7735">
        <f t="shared" si="533"/>
        <v>0</v>
      </c>
      <c r="AO96" s="1823">
        <f t="shared" si="518"/>
        <v>0</v>
      </c>
      <c r="AP96" s="4811">
        <v>0</v>
      </c>
      <c r="AQ96" s="3918">
        <v>0</v>
      </c>
      <c r="AR96" s="8045">
        <f t="shared" si="534"/>
        <v>0</v>
      </c>
      <c r="AS96" s="1823">
        <f t="shared" si="519"/>
        <v>0</v>
      </c>
      <c r="AT96" s="4811"/>
      <c r="AU96" s="3918"/>
      <c r="AV96" s="8171">
        <f t="shared" si="535"/>
        <v>0</v>
      </c>
      <c r="AW96" s="1823">
        <f t="shared" si="520"/>
        <v>0</v>
      </c>
      <c r="AX96" s="4811"/>
      <c r="AY96" s="3918"/>
      <c r="AZ96" s="3046">
        <f t="shared" si="521"/>
        <v>0</v>
      </c>
      <c r="BA96" s="2070">
        <f t="shared" si="522"/>
        <v>0</v>
      </c>
      <c r="BB96" s="3046">
        <f t="shared" si="523"/>
        <v>0</v>
      </c>
      <c r="BC96" s="2070">
        <f t="shared" si="412"/>
        <v>0</v>
      </c>
      <c r="BD96" s="8324">
        <f t="shared" si="536"/>
        <v>0</v>
      </c>
      <c r="BE96" s="6531">
        <f t="shared" si="524"/>
        <v>0</v>
      </c>
    </row>
    <row r="97" spans="1:57" ht="15" customHeight="1" x14ac:dyDescent="0.2">
      <c r="B97" s="1564" t="s">
        <v>1442</v>
      </c>
      <c r="C97" s="1570" t="s">
        <v>170</v>
      </c>
      <c r="D97" s="4810"/>
      <c r="E97" s="2750">
        <v>0</v>
      </c>
      <c r="F97" s="4810"/>
      <c r="G97" s="1646">
        <v>0</v>
      </c>
      <c r="H97" s="6345">
        <f t="shared" si="525"/>
        <v>0</v>
      </c>
      <c r="I97" s="1823">
        <f t="shared" si="526"/>
        <v>0</v>
      </c>
      <c r="J97" s="4810"/>
      <c r="K97" s="1646">
        <v>0</v>
      </c>
      <c r="L97" s="6343">
        <f t="shared" ref="L97:L98" si="538">+H97+J97</f>
        <v>0</v>
      </c>
      <c r="M97" s="2011">
        <f t="shared" ref="M97:M98" si="539">+I97+K97</f>
        <v>0</v>
      </c>
      <c r="N97" s="4810">
        <v>0</v>
      </c>
      <c r="O97" s="3918">
        <v>0</v>
      </c>
      <c r="P97" s="6345">
        <f t="shared" si="528"/>
        <v>0</v>
      </c>
      <c r="Q97" s="1823">
        <f t="shared" si="509"/>
        <v>0</v>
      </c>
      <c r="R97" s="4810">
        <v>0</v>
      </c>
      <c r="S97" s="3918"/>
      <c r="T97" s="6345">
        <f t="shared" si="529"/>
        <v>0</v>
      </c>
      <c r="U97" s="1823">
        <f t="shared" si="510"/>
        <v>0</v>
      </c>
      <c r="V97" s="4810"/>
      <c r="W97" s="3918"/>
      <c r="X97" s="3046">
        <f t="shared" si="511"/>
        <v>0</v>
      </c>
      <c r="Y97" s="2070">
        <f t="shared" si="512"/>
        <v>0</v>
      </c>
      <c r="Z97" s="6517">
        <f t="shared" si="530"/>
        <v>0</v>
      </c>
      <c r="AA97" s="6531">
        <f t="shared" si="513"/>
        <v>0</v>
      </c>
      <c r="AB97" s="4810">
        <v>0</v>
      </c>
      <c r="AC97" s="3918"/>
      <c r="AD97" s="7346">
        <f t="shared" si="531"/>
        <v>0</v>
      </c>
      <c r="AE97" s="1823">
        <f t="shared" si="514"/>
        <v>0</v>
      </c>
      <c r="AF97" s="4810">
        <v>0</v>
      </c>
      <c r="AG97" s="3918"/>
      <c r="AH97" s="7584">
        <f t="shared" si="532"/>
        <v>0</v>
      </c>
      <c r="AI97" s="1823">
        <f t="shared" si="515"/>
        <v>0</v>
      </c>
      <c r="AJ97" s="4810"/>
      <c r="AK97" s="3918"/>
      <c r="AL97" s="3046">
        <f t="shared" si="516"/>
        <v>0</v>
      </c>
      <c r="AM97" s="2070">
        <f t="shared" si="517"/>
        <v>0</v>
      </c>
      <c r="AN97" s="7735">
        <f t="shared" si="533"/>
        <v>0</v>
      </c>
      <c r="AO97" s="1823">
        <f t="shared" si="518"/>
        <v>0</v>
      </c>
      <c r="AP97" s="4810">
        <v>0</v>
      </c>
      <c r="AQ97" s="3918">
        <v>0</v>
      </c>
      <c r="AR97" s="8045">
        <f t="shared" si="534"/>
        <v>0</v>
      </c>
      <c r="AS97" s="1823">
        <f t="shared" si="519"/>
        <v>0</v>
      </c>
      <c r="AT97" s="4810"/>
      <c r="AU97" s="3918"/>
      <c r="AV97" s="8171">
        <f t="shared" si="535"/>
        <v>0</v>
      </c>
      <c r="AW97" s="1823">
        <f t="shared" si="520"/>
        <v>0</v>
      </c>
      <c r="AX97" s="4810"/>
      <c r="AY97" s="3918"/>
      <c r="AZ97" s="3046">
        <f t="shared" si="521"/>
        <v>0</v>
      </c>
      <c r="BA97" s="2070">
        <f t="shared" si="522"/>
        <v>0</v>
      </c>
      <c r="BB97" s="3046">
        <f t="shared" si="523"/>
        <v>0</v>
      </c>
      <c r="BC97" s="2070">
        <f t="shared" si="412"/>
        <v>0</v>
      </c>
      <c r="BD97" s="8324">
        <f t="shared" si="536"/>
        <v>0</v>
      </c>
      <c r="BE97" s="6531">
        <f t="shared" si="524"/>
        <v>0</v>
      </c>
    </row>
    <row r="98" spans="1:57" s="5145" customFormat="1" x14ac:dyDescent="0.2">
      <c r="A98" s="3378"/>
      <c r="B98" s="1564" t="s">
        <v>2080</v>
      </c>
      <c r="C98" s="1570" t="s">
        <v>170</v>
      </c>
      <c r="D98" s="4810">
        <v>4169.3752124164503</v>
      </c>
      <c r="E98" s="2750">
        <v>4044</v>
      </c>
      <c r="F98" s="4810">
        <v>4346.081018579358</v>
      </c>
      <c r="G98" s="1646">
        <v>4215</v>
      </c>
      <c r="H98" s="6345">
        <f t="shared" si="525"/>
        <v>8515.4562309958092</v>
      </c>
      <c r="I98" s="1823">
        <f t="shared" si="526"/>
        <v>8259</v>
      </c>
      <c r="J98" s="4810">
        <v>4637.6033760054388</v>
      </c>
      <c r="K98" s="1646">
        <v>7510</v>
      </c>
      <c r="L98" s="6343">
        <f t="shared" si="538"/>
        <v>13153.059607001247</v>
      </c>
      <c r="M98" s="2011">
        <f t="shared" si="539"/>
        <v>15769</v>
      </c>
      <c r="N98" s="4810">
        <v>5484.7031834145237</v>
      </c>
      <c r="O98" s="3918">
        <v>13014</v>
      </c>
      <c r="P98" s="6345">
        <f t="shared" si="528"/>
        <v>18637.762790415771</v>
      </c>
      <c r="Q98" s="1823">
        <f t="shared" si="509"/>
        <v>28783</v>
      </c>
      <c r="R98" s="4810">
        <v>5484.7031834145237</v>
      </c>
      <c r="S98" s="3918">
        <v>15675</v>
      </c>
      <c r="T98" s="6345">
        <f t="shared" si="529"/>
        <v>24122.465973830294</v>
      </c>
      <c r="U98" s="1823">
        <f t="shared" si="510"/>
        <v>44458</v>
      </c>
      <c r="V98" s="4810">
        <v>5307.7772742721199</v>
      </c>
      <c r="W98" s="3918">
        <v>7997</v>
      </c>
      <c r="X98" s="3046">
        <f t="shared" si="511"/>
        <v>16277.183641101168</v>
      </c>
      <c r="Y98" s="2070">
        <f t="shared" si="512"/>
        <v>36686</v>
      </c>
      <c r="Z98" s="6517">
        <f t="shared" si="530"/>
        <v>29430.243248102415</v>
      </c>
      <c r="AA98" s="6531">
        <f t="shared" si="513"/>
        <v>52455</v>
      </c>
      <c r="AB98" s="4810">
        <v>5484.7031834145237</v>
      </c>
      <c r="AC98" s="3918">
        <v>8899</v>
      </c>
      <c r="AD98" s="7346">
        <f t="shared" si="531"/>
        <v>34914.946431516939</v>
      </c>
      <c r="AE98" s="1823">
        <f t="shared" si="514"/>
        <v>61354</v>
      </c>
      <c r="AF98" s="4810">
        <v>5307.7772742721199</v>
      </c>
      <c r="AG98" s="3918">
        <v>8880</v>
      </c>
      <c r="AH98" s="7584">
        <f t="shared" si="532"/>
        <v>40222.72370578906</v>
      </c>
      <c r="AI98" s="1823">
        <f t="shared" si="515"/>
        <v>70234</v>
      </c>
      <c r="AJ98" s="4810">
        <v>5484.7031834145237</v>
      </c>
      <c r="AK98" s="3918">
        <v>11412.8</v>
      </c>
      <c r="AL98" s="3046">
        <f t="shared" si="516"/>
        <v>16277.183641101168</v>
      </c>
      <c r="AM98" s="2070">
        <f t="shared" si="517"/>
        <v>29191.8</v>
      </c>
      <c r="AN98" s="7735">
        <f t="shared" si="533"/>
        <v>45707.426889203583</v>
      </c>
      <c r="AO98" s="1823">
        <f t="shared" si="518"/>
        <v>81646.8</v>
      </c>
      <c r="AP98" s="4810">
        <v>5484.7031834145237</v>
      </c>
      <c r="AQ98" s="3918">
        <v>11704</v>
      </c>
      <c r="AR98" s="8045">
        <f t="shared" si="534"/>
        <v>51192.130072618107</v>
      </c>
      <c r="AS98" s="1823">
        <f t="shared" si="519"/>
        <v>93350.8</v>
      </c>
      <c r="AT98" s="4810">
        <v>4954</v>
      </c>
      <c r="AU98" s="3918">
        <v>10949</v>
      </c>
      <c r="AV98" s="8171">
        <f t="shared" si="535"/>
        <v>56146.130072618107</v>
      </c>
      <c r="AW98" s="1823">
        <f t="shared" si="520"/>
        <v>104299.8</v>
      </c>
      <c r="AX98" s="4810">
        <v>5484.7030000000004</v>
      </c>
      <c r="AY98" s="3918">
        <v>11708</v>
      </c>
      <c r="AZ98" s="3046">
        <f t="shared" si="521"/>
        <v>15923.406183414525</v>
      </c>
      <c r="BA98" s="2070">
        <f t="shared" si="522"/>
        <v>34361</v>
      </c>
      <c r="BB98" s="3046">
        <f t="shared" si="523"/>
        <v>32200.589824515693</v>
      </c>
      <c r="BC98" s="2070">
        <f t="shared" si="412"/>
        <v>63552.800000000003</v>
      </c>
      <c r="BD98" s="8324">
        <f t="shared" si="536"/>
        <v>61630.833072618108</v>
      </c>
      <c r="BE98" s="6531">
        <f t="shared" si="524"/>
        <v>116007.8</v>
      </c>
    </row>
    <row r="99" spans="1:57" ht="16" thickBot="1" x14ac:dyDescent="0.25">
      <c r="B99" s="1564" t="s">
        <v>37</v>
      </c>
      <c r="C99" s="1570" t="s">
        <v>170</v>
      </c>
      <c r="D99" s="4810">
        <v>7806.2378227030704</v>
      </c>
      <c r="E99" s="2750">
        <v>7572</v>
      </c>
      <c r="F99" s="4810">
        <v>8494.170108919061</v>
      </c>
      <c r="G99" s="1646">
        <v>8238</v>
      </c>
      <c r="H99" s="6345">
        <f t="shared" si="525"/>
        <v>16300.407931622132</v>
      </c>
      <c r="I99" s="1823">
        <f t="shared" si="526"/>
        <v>15810</v>
      </c>
      <c r="J99" s="4810">
        <v>11130.248102413052</v>
      </c>
      <c r="K99" s="1646">
        <v>10397</v>
      </c>
      <c r="L99" s="6343">
        <f t="shared" si="537"/>
        <v>27430.656034035186</v>
      </c>
      <c r="M99" s="2011">
        <f t="shared" si="508"/>
        <v>26207</v>
      </c>
      <c r="N99" s="4810">
        <v>13163.287640194854</v>
      </c>
      <c r="O99" s="3918">
        <v>14383</v>
      </c>
      <c r="P99" s="6345">
        <f t="shared" si="528"/>
        <v>40593.943674230039</v>
      </c>
      <c r="Q99" s="1823">
        <f t="shared" si="509"/>
        <v>40590</v>
      </c>
      <c r="R99" s="4810">
        <v>13163.287640194854</v>
      </c>
      <c r="S99" s="3918">
        <v>18494</v>
      </c>
      <c r="T99" s="6345">
        <f t="shared" si="529"/>
        <v>53757.231314424891</v>
      </c>
      <c r="U99" s="1823">
        <f t="shared" si="510"/>
        <v>59084</v>
      </c>
      <c r="V99" s="4810">
        <v>12738.665458253088</v>
      </c>
      <c r="W99" s="3918">
        <v>13708</v>
      </c>
      <c r="X99" s="3046">
        <f t="shared" si="511"/>
        <v>39065.240738642795</v>
      </c>
      <c r="Y99" s="2070">
        <f t="shared" si="512"/>
        <v>46585</v>
      </c>
      <c r="Z99" s="6517">
        <f t="shared" si="530"/>
        <v>66495.896772677981</v>
      </c>
      <c r="AA99" s="6531">
        <f t="shared" si="513"/>
        <v>72792</v>
      </c>
      <c r="AB99" s="4810">
        <v>13163.287640194854</v>
      </c>
      <c r="AC99" s="3918">
        <v>13843</v>
      </c>
      <c r="AD99" s="7346">
        <f t="shared" si="531"/>
        <v>79659.184412872841</v>
      </c>
      <c r="AE99" s="1823">
        <f t="shared" si="514"/>
        <v>86635</v>
      </c>
      <c r="AF99" s="4810">
        <v>12738.665458253088</v>
      </c>
      <c r="AG99" s="3918">
        <v>11984</v>
      </c>
      <c r="AH99" s="7584">
        <f t="shared" si="532"/>
        <v>92397.849871125931</v>
      </c>
      <c r="AI99" s="1823">
        <f t="shared" si="515"/>
        <v>98619</v>
      </c>
      <c r="AJ99" s="4810">
        <v>13163.287640194854</v>
      </c>
      <c r="AK99" s="3918">
        <v>10964.1</v>
      </c>
      <c r="AL99" s="3046">
        <f t="shared" si="516"/>
        <v>39065.240738642795</v>
      </c>
      <c r="AM99" s="2070">
        <f t="shared" si="517"/>
        <v>36791.1</v>
      </c>
      <c r="AN99" s="7735">
        <f t="shared" si="533"/>
        <v>105561.13751132079</v>
      </c>
      <c r="AO99" s="1823">
        <f t="shared" si="518"/>
        <v>109583.1</v>
      </c>
      <c r="AP99" s="4810">
        <v>13163.287640194854</v>
      </c>
      <c r="AQ99" s="3918">
        <v>10640</v>
      </c>
      <c r="AR99" s="8045">
        <f t="shared" si="534"/>
        <v>118724.42515151565</v>
      </c>
      <c r="AS99" s="1823">
        <f t="shared" si="519"/>
        <v>120223.1</v>
      </c>
      <c r="AT99" s="4810">
        <v>11889</v>
      </c>
      <c r="AU99" s="3918">
        <v>10366</v>
      </c>
      <c r="AV99" s="8171">
        <f t="shared" si="535"/>
        <v>130613.42515151565</v>
      </c>
      <c r="AW99" s="1823">
        <f t="shared" si="520"/>
        <v>130589.1</v>
      </c>
      <c r="AX99" s="4810">
        <v>13163.288</v>
      </c>
      <c r="AY99" s="3918">
        <v>10163</v>
      </c>
      <c r="AZ99" s="3046">
        <f t="shared" si="521"/>
        <v>38215.575640194853</v>
      </c>
      <c r="BA99" s="2070">
        <f t="shared" si="522"/>
        <v>31169</v>
      </c>
      <c r="BB99" s="3046">
        <f t="shared" si="523"/>
        <v>77280.816378837655</v>
      </c>
      <c r="BC99" s="2070">
        <f t="shared" si="412"/>
        <v>67960.100000000006</v>
      </c>
      <c r="BD99" s="8324">
        <f t="shared" si="536"/>
        <v>143776.71315151564</v>
      </c>
      <c r="BE99" s="6531">
        <f t="shared" si="524"/>
        <v>140752.1</v>
      </c>
    </row>
    <row r="100" spans="1:57" ht="17" thickBot="1" x14ac:dyDescent="0.25">
      <c r="B100" s="1565" t="s">
        <v>40</v>
      </c>
      <c r="C100" s="1572" t="s">
        <v>170</v>
      </c>
      <c r="D100" s="4207">
        <f t="shared" ref="D100:M100" si="540">SUM(D93:D99)</f>
        <v>55637.310259544582</v>
      </c>
      <c r="E100" s="1677">
        <f t="shared" si="540"/>
        <v>53968</v>
      </c>
      <c r="F100" s="4207">
        <f t="shared" ref="F100" si="541">SUM(F93:F99)</f>
        <v>55847.628158879401</v>
      </c>
      <c r="G100" s="3191">
        <f t="shared" si="540"/>
        <v>54163</v>
      </c>
      <c r="H100" s="4653">
        <f t="shared" si="540"/>
        <v>111484.93841842399</v>
      </c>
      <c r="I100" s="1914">
        <f t="shared" si="540"/>
        <v>108131</v>
      </c>
      <c r="J100" s="3222">
        <f t="shared" si="540"/>
        <v>62143.885238472874</v>
      </c>
      <c r="K100" s="3191">
        <f t="shared" si="540"/>
        <v>64427</v>
      </c>
      <c r="L100" s="4652">
        <f t="shared" si="540"/>
        <v>173628.82365689689</v>
      </c>
      <c r="M100" s="2071">
        <f t="shared" si="540"/>
        <v>172558</v>
      </c>
      <c r="N100" s="3222">
        <f t="shared" ref="N100:Q100" si="542">SUM(N93:N99)</f>
        <v>73495.022657754613</v>
      </c>
      <c r="O100" s="5956">
        <f t="shared" si="542"/>
        <v>73224</v>
      </c>
      <c r="P100" s="4653">
        <f t="shared" si="542"/>
        <v>247123.84631465146</v>
      </c>
      <c r="Q100" s="1914">
        <f t="shared" si="542"/>
        <v>245782</v>
      </c>
      <c r="R100" s="3222">
        <f t="shared" ref="R100:U100" si="543">SUM(R93:R99)</f>
        <v>73495.022657754613</v>
      </c>
      <c r="S100" s="5956">
        <f t="shared" si="543"/>
        <v>79408</v>
      </c>
      <c r="T100" s="4653">
        <f t="shared" si="543"/>
        <v>320618.86897240608</v>
      </c>
      <c r="U100" s="1914">
        <f t="shared" si="543"/>
        <v>325190</v>
      </c>
      <c r="V100" s="3222">
        <f t="shared" ref="V100:AI100" si="544">SUM(V93:V99)</f>
        <v>71124.215475246412</v>
      </c>
      <c r="W100" s="5956">
        <f t="shared" si="544"/>
        <v>63414</v>
      </c>
      <c r="X100" s="6768">
        <f t="shared" ref="X100:Y100" si="545">SUM(X93:X99)</f>
        <v>218114.26079075562</v>
      </c>
      <c r="Y100" s="2071">
        <f t="shared" si="545"/>
        <v>216046</v>
      </c>
      <c r="Z100" s="6713">
        <f t="shared" si="544"/>
        <v>391743.08444765257</v>
      </c>
      <c r="AA100" s="6630">
        <f t="shared" si="544"/>
        <v>388604</v>
      </c>
      <c r="AB100" s="3222">
        <f t="shared" si="544"/>
        <v>73495.022657754613</v>
      </c>
      <c r="AC100" s="5956">
        <f t="shared" si="544"/>
        <v>70204</v>
      </c>
      <c r="AD100" s="4653">
        <f t="shared" si="544"/>
        <v>465238.10710540717</v>
      </c>
      <c r="AE100" s="1914">
        <f t="shared" si="544"/>
        <v>458808</v>
      </c>
      <c r="AF100" s="3222">
        <f t="shared" si="544"/>
        <v>71124.215475246412</v>
      </c>
      <c r="AG100" s="5956">
        <f t="shared" si="544"/>
        <v>64634</v>
      </c>
      <c r="AH100" s="4653">
        <f t="shared" si="544"/>
        <v>536362.32258065359</v>
      </c>
      <c r="AI100" s="1914">
        <f t="shared" si="544"/>
        <v>523442</v>
      </c>
      <c r="AJ100" s="3222">
        <f t="shared" ref="AJ100:AO100" si="546">SUM(AJ93:AJ99)</f>
        <v>73495.022657754613</v>
      </c>
      <c r="AK100" s="5956">
        <f t="shared" si="546"/>
        <v>73230</v>
      </c>
      <c r="AL100" s="6768">
        <f t="shared" si="546"/>
        <v>218114.26079075568</v>
      </c>
      <c r="AM100" s="2071">
        <f t="shared" si="546"/>
        <v>208068</v>
      </c>
      <c r="AN100" s="4653">
        <f t="shared" si="546"/>
        <v>609857.34523840819</v>
      </c>
      <c r="AO100" s="1914">
        <f t="shared" si="546"/>
        <v>596672</v>
      </c>
      <c r="AP100" s="3222">
        <f t="shared" ref="AP100:AS100" si="547">SUM(AP93:AP99)</f>
        <v>73495.022657754613</v>
      </c>
      <c r="AQ100" s="5956">
        <f t="shared" si="547"/>
        <v>73418</v>
      </c>
      <c r="AR100" s="4653">
        <f t="shared" si="547"/>
        <v>683352.36789616279</v>
      </c>
      <c r="AS100" s="1914">
        <f t="shared" si="547"/>
        <v>670090</v>
      </c>
      <c r="AT100" s="3222">
        <f t="shared" ref="AT100:AW100" si="548">SUM(AT93:AT99)</f>
        <v>66382</v>
      </c>
      <c r="AU100" s="5956">
        <f t="shared" si="548"/>
        <v>67687</v>
      </c>
      <c r="AV100" s="4653">
        <f t="shared" si="548"/>
        <v>749734.36789616279</v>
      </c>
      <c r="AW100" s="1914">
        <f t="shared" si="548"/>
        <v>737777</v>
      </c>
      <c r="AX100" s="3222">
        <f t="shared" ref="AX100:BE100" si="549">SUM(AX93:AX99)</f>
        <v>73495.023000000001</v>
      </c>
      <c r="AY100" s="5956">
        <f t="shared" si="549"/>
        <v>71794</v>
      </c>
      <c r="AZ100" s="6768">
        <f t="shared" si="549"/>
        <v>213372.04565775461</v>
      </c>
      <c r="BA100" s="2071">
        <f t="shared" si="549"/>
        <v>212899</v>
      </c>
      <c r="BB100" s="6768">
        <f t="shared" si="523"/>
        <v>431486.30644851027</v>
      </c>
      <c r="BC100" s="2071">
        <f t="shared" si="412"/>
        <v>420967</v>
      </c>
      <c r="BD100" s="6713">
        <f t="shared" si="549"/>
        <v>823229.39089616272</v>
      </c>
      <c r="BE100" s="6630">
        <f t="shared" si="549"/>
        <v>809571</v>
      </c>
    </row>
    <row r="101" spans="1:57" x14ac:dyDescent="0.2">
      <c r="B101" s="1566" t="s">
        <v>1458</v>
      </c>
      <c r="C101" s="4200" t="s">
        <v>170</v>
      </c>
      <c r="D101" s="6335">
        <v>14730.052397949474</v>
      </c>
      <c r="E101" s="2717">
        <v>14288</v>
      </c>
      <c r="F101" s="6335">
        <v>14861.050997264882</v>
      </c>
      <c r="G101" s="1683">
        <v>14413</v>
      </c>
      <c r="H101" s="6347">
        <f>+D101+F101</f>
        <v>29591.103395214355</v>
      </c>
      <c r="I101" s="1823">
        <f>+E101+G101</f>
        <v>28701</v>
      </c>
      <c r="J101" s="6346">
        <v>17622.892828820666</v>
      </c>
      <c r="K101" s="1683">
        <v>15249</v>
      </c>
      <c r="L101" s="5783">
        <f>+H101+J101</f>
        <v>47213.996224035021</v>
      </c>
      <c r="M101" s="2011">
        <f t="shared" ref="M101:M102" si="550">+I101+K101</f>
        <v>43950</v>
      </c>
      <c r="N101" s="6346">
        <v>20841.872096975192</v>
      </c>
      <c r="O101" s="3183">
        <v>12692</v>
      </c>
      <c r="P101" s="6347">
        <f>+L101+N101</f>
        <v>68055.868321010217</v>
      </c>
      <c r="Q101" s="1823">
        <f>+M101+O101</f>
        <v>56642</v>
      </c>
      <c r="R101" s="6346">
        <v>20841.872096975192</v>
      </c>
      <c r="S101" s="3183">
        <v>14167</v>
      </c>
      <c r="T101" s="6347">
        <f>+P101+R101</f>
        <v>88897.740417985406</v>
      </c>
      <c r="U101" s="1823">
        <f>+Q101+S101</f>
        <v>70809</v>
      </c>
      <c r="V101" s="6561">
        <v>20169.553642234056</v>
      </c>
      <c r="W101" s="3183">
        <v>15665</v>
      </c>
      <c r="X101" s="3046">
        <f t="shared" ref="X101:X102" si="551">+N101+R101+V101</f>
        <v>61853.297836184443</v>
      </c>
      <c r="Y101" s="2070">
        <f t="shared" ref="Y101:Y102" si="552">+O101+S101+W101</f>
        <v>42524</v>
      </c>
      <c r="Z101" s="6614">
        <f>+T101+V101</f>
        <v>109067.29406021946</v>
      </c>
      <c r="AA101" s="6531">
        <f>+U101+W101</f>
        <v>86474</v>
      </c>
      <c r="AB101" s="7347">
        <v>20841.872096975192</v>
      </c>
      <c r="AC101" s="3183">
        <v>18787</v>
      </c>
      <c r="AD101" s="7348">
        <f>+Z101+AB101</f>
        <v>129909.16615719465</v>
      </c>
      <c r="AE101" s="1823">
        <f>+AA101+AC101</f>
        <v>105261</v>
      </c>
      <c r="AF101" s="7393">
        <v>20169.553642234056</v>
      </c>
      <c r="AG101" s="3183">
        <v>19397</v>
      </c>
      <c r="AH101" s="7394">
        <f>+AD101+AF101</f>
        <v>150078.71979942871</v>
      </c>
      <c r="AI101" s="1823">
        <f>+AE101+AG101</f>
        <v>124658</v>
      </c>
      <c r="AJ101" s="7393">
        <v>20841.872096975192</v>
      </c>
      <c r="AK101" s="3183">
        <v>21758.799999999999</v>
      </c>
      <c r="AL101" s="3046">
        <f t="shared" ref="AL101:AL102" si="553">+AB101+AF101+AJ101</f>
        <v>61853.297836184443</v>
      </c>
      <c r="AM101" s="2070">
        <f t="shared" ref="AM101:AM102" si="554">+AC101+AG101+AK101</f>
        <v>59942.8</v>
      </c>
      <c r="AN101" s="7394">
        <f>+AH101+AJ101</f>
        <v>170920.5918964039</v>
      </c>
      <c r="AO101" s="1823">
        <f>+AI101+AK101</f>
        <v>146416.79999999999</v>
      </c>
      <c r="AP101" s="7393">
        <v>20841.872096975192</v>
      </c>
      <c r="AQ101" s="3183">
        <v>23952</v>
      </c>
      <c r="AR101" s="7394">
        <f>+AN101+AP101</f>
        <v>191762.46399337909</v>
      </c>
      <c r="AS101" s="1823">
        <f>+AO101+AQ101</f>
        <v>170368.8</v>
      </c>
      <c r="AT101" s="7393">
        <v>18825</v>
      </c>
      <c r="AU101" s="3183">
        <v>24095</v>
      </c>
      <c r="AV101" s="7394">
        <f>+AR101+AT101</f>
        <v>210587.46399337909</v>
      </c>
      <c r="AW101" s="1823">
        <f>+AS101+AU101</f>
        <v>194463.8</v>
      </c>
      <c r="AX101" s="7393">
        <v>20841.871999999999</v>
      </c>
      <c r="AY101" s="3183">
        <v>22901</v>
      </c>
      <c r="AZ101" s="3046">
        <f t="shared" ref="AZ101:AZ102" si="555">+AP101+AT101+AX101</f>
        <v>60508.744096975191</v>
      </c>
      <c r="BA101" s="2070">
        <f t="shared" ref="BA101:BA102" si="556">+AQ101+AU101+AY101</f>
        <v>70948</v>
      </c>
      <c r="BB101" s="3046">
        <f t="shared" si="523"/>
        <v>122362.04193315963</v>
      </c>
      <c r="BC101" s="2070">
        <f t="shared" si="412"/>
        <v>130890.8</v>
      </c>
      <c r="BD101" s="6614">
        <f>+AV101+AX101</f>
        <v>231429.33599337909</v>
      </c>
      <c r="BE101" s="6531">
        <f>+AW101+AY101</f>
        <v>217364.8</v>
      </c>
    </row>
    <row r="102" spans="1:57" ht="16" thickBot="1" x14ac:dyDescent="0.25">
      <c r="B102" s="1564" t="s">
        <v>1430</v>
      </c>
      <c r="C102" s="4201" t="s">
        <v>170</v>
      </c>
      <c r="D102" s="6326">
        <v>7058.7522346210499</v>
      </c>
      <c r="E102" s="2717">
        <v>6847</v>
      </c>
      <c r="F102" s="6326">
        <v>7164.5102712456892</v>
      </c>
      <c r="G102" s="1683">
        <v>6949</v>
      </c>
      <c r="H102" s="6347">
        <f>+D102+F102</f>
        <v>14223.26250586674</v>
      </c>
      <c r="I102" s="1823">
        <f>+E102+G102</f>
        <v>13796</v>
      </c>
      <c r="J102" s="6346">
        <v>8347.6860768097868</v>
      </c>
      <c r="K102" s="1683">
        <v>6762</v>
      </c>
      <c r="L102" s="5783">
        <f>+H102+J102</f>
        <v>22570.948582676527</v>
      </c>
      <c r="M102" s="2011">
        <f t="shared" si="550"/>
        <v>20558</v>
      </c>
      <c r="N102" s="6346">
        <v>9872.465730146143</v>
      </c>
      <c r="O102" s="3183">
        <v>6834</v>
      </c>
      <c r="P102" s="6347">
        <f>+L102+N102</f>
        <v>32443.414312822671</v>
      </c>
      <c r="Q102" s="1823">
        <f>+M102+O102</f>
        <v>27392</v>
      </c>
      <c r="R102" s="6346">
        <v>9872.465730146143</v>
      </c>
      <c r="S102" s="3183">
        <v>7443</v>
      </c>
      <c r="T102" s="6347">
        <f>+P102+R102</f>
        <v>42315.880042968813</v>
      </c>
      <c r="U102" s="1823">
        <f>+Q102+S102</f>
        <v>34835</v>
      </c>
      <c r="V102" s="6561">
        <v>9553.9990936898157</v>
      </c>
      <c r="W102" s="3183">
        <v>5209</v>
      </c>
      <c r="X102" s="6805">
        <f t="shared" si="551"/>
        <v>29298.9305539821</v>
      </c>
      <c r="Y102" s="2070">
        <f t="shared" si="552"/>
        <v>19486</v>
      </c>
      <c r="Z102" s="6614">
        <f>+T102+V102</f>
        <v>51869.87913665863</v>
      </c>
      <c r="AA102" s="6531">
        <f>+U102+W102</f>
        <v>40044</v>
      </c>
      <c r="AB102" s="7347">
        <v>9872.465730146143</v>
      </c>
      <c r="AC102" s="3183">
        <v>4944</v>
      </c>
      <c r="AD102" s="7348">
        <f>+Z102+AB102</f>
        <v>61742.344866804771</v>
      </c>
      <c r="AE102" s="1823">
        <f>+AA102+AC102</f>
        <v>44988</v>
      </c>
      <c r="AF102" s="7393">
        <v>9553.9990936898157</v>
      </c>
      <c r="AG102" s="3183">
        <v>4609</v>
      </c>
      <c r="AH102" s="7394">
        <f>+AD102+AF102</f>
        <v>71296.343960494589</v>
      </c>
      <c r="AI102" s="1823">
        <f>+AE102+AG102</f>
        <v>49597</v>
      </c>
      <c r="AJ102" s="7393">
        <v>9872.465730146143</v>
      </c>
      <c r="AK102" s="3183">
        <v>6067</v>
      </c>
      <c r="AL102" s="6805">
        <f t="shared" si="553"/>
        <v>29298.9305539821</v>
      </c>
      <c r="AM102" s="2070">
        <f t="shared" si="554"/>
        <v>15620</v>
      </c>
      <c r="AN102" s="7394">
        <f>+AH102+AJ102</f>
        <v>81168.80969064073</v>
      </c>
      <c r="AO102" s="1823">
        <f>+AI102+AK102</f>
        <v>55664</v>
      </c>
      <c r="AP102" s="7393">
        <v>9872.465730146143</v>
      </c>
      <c r="AQ102" s="3183">
        <v>3713</v>
      </c>
      <c r="AR102" s="7394">
        <f>+AN102+AP102</f>
        <v>91041.275420786871</v>
      </c>
      <c r="AS102" s="1823">
        <f>+AO102+AQ102</f>
        <v>59377</v>
      </c>
      <c r="AT102" s="7393">
        <v>8917</v>
      </c>
      <c r="AU102" s="3183"/>
      <c r="AV102" s="7394">
        <f>+AR102+AT102</f>
        <v>99958.275420786871</v>
      </c>
      <c r="AW102" s="1823">
        <f>+AS102+AU102</f>
        <v>59377</v>
      </c>
      <c r="AX102" s="7393">
        <v>9872.4660000000003</v>
      </c>
      <c r="AY102" s="3183">
        <v>5940</v>
      </c>
      <c r="AZ102" s="6805">
        <f t="shared" si="555"/>
        <v>28661.931730146141</v>
      </c>
      <c r="BA102" s="2070">
        <f t="shared" si="556"/>
        <v>9653</v>
      </c>
      <c r="BB102" s="6805">
        <f t="shared" si="523"/>
        <v>57960.862284128241</v>
      </c>
      <c r="BC102" s="2070">
        <f t="shared" si="412"/>
        <v>25273</v>
      </c>
      <c r="BD102" s="6614">
        <f>+AV102+AX102</f>
        <v>109830.74142078687</v>
      </c>
      <c r="BE102" s="6531">
        <f>+AW102+AY102</f>
        <v>65317</v>
      </c>
    </row>
    <row r="103" spans="1:57" ht="17" thickBot="1" x14ac:dyDescent="0.25">
      <c r="B103" s="1565" t="s">
        <v>582</v>
      </c>
      <c r="C103" s="1572" t="s">
        <v>170</v>
      </c>
      <c r="D103" s="4207">
        <f>SUM(D101:D102)</f>
        <v>21788.804632570522</v>
      </c>
      <c r="E103" s="1677">
        <f>SUM(E101:E102)</f>
        <v>21135</v>
      </c>
      <c r="F103" s="4207">
        <f>SUM(F101:F102)</f>
        <v>22025.56126851057</v>
      </c>
      <c r="G103" s="3191">
        <f t="shared" ref="G103:M103" si="557">SUM(G101:G102)</f>
        <v>21362</v>
      </c>
      <c r="H103" s="6327">
        <f t="shared" si="557"/>
        <v>43814.365901081095</v>
      </c>
      <c r="I103" s="1914">
        <f t="shared" si="557"/>
        <v>42497</v>
      </c>
      <c r="J103" s="3222">
        <f t="shared" si="557"/>
        <v>25970.578905630453</v>
      </c>
      <c r="K103" s="3191">
        <f t="shared" si="557"/>
        <v>22011</v>
      </c>
      <c r="L103" s="6339">
        <f t="shared" si="557"/>
        <v>69784.944806711545</v>
      </c>
      <c r="M103" s="2071">
        <f t="shared" si="557"/>
        <v>64508</v>
      </c>
      <c r="N103" s="3222">
        <f t="shared" ref="N103:Q103" si="558">SUM(N101:N102)</f>
        <v>30714.337827121337</v>
      </c>
      <c r="O103" s="5956">
        <f t="shared" si="558"/>
        <v>19526</v>
      </c>
      <c r="P103" s="6327">
        <f t="shared" si="558"/>
        <v>100499.28263383289</v>
      </c>
      <c r="Q103" s="1914">
        <f t="shared" si="558"/>
        <v>84034</v>
      </c>
      <c r="R103" s="3222">
        <f t="shared" ref="R103:U103" si="559">SUM(R101:R102)</f>
        <v>30714.337827121337</v>
      </c>
      <c r="S103" s="5956">
        <f t="shared" si="559"/>
        <v>21610</v>
      </c>
      <c r="T103" s="6327">
        <f t="shared" si="559"/>
        <v>131213.6204609542</v>
      </c>
      <c r="U103" s="1914">
        <f t="shared" si="559"/>
        <v>105644</v>
      </c>
      <c r="V103" s="3222">
        <f t="shared" ref="V103:AI103" si="560">SUM(V101:V102)</f>
        <v>29723.552735923869</v>
      </c>
      <c r="W103" s="5956">
        <f t="shared" si="560"/>
        <v>20874</v>
      </c>
      <c r="X103" s="6768">
        <f t="shared" si="560"/>
        <v>91152.228390166536</v>
      </c>
      <c r="Y103" s="2071">
        <f t="shared" si="560"/>
        <v>62010</v>
      </c>
      <c r="Z103" s="6629">
        <f t="shared" si="560"/>
        <v>160937.17319687808</v>
      </c>
      <c r="AA103" s="6630">
        <f t="shared" si="560"/>
        <v>126518</v>
      </c>
      <c r="AB103" s="3222">
        <f t="shared" si="560"/>
        <v>30714.337827121337</v>
      </c>
      <c r="AC103" s="5956">
        <f t="shared" si="560"/>
        <v>23731</v>
      </c>
      <c r="AD103" s="7341">
        <f t="shared" si="560"/>
        <v>191651.51102399942</v>
      </c>
      <c r="AE103" s="1914">
        <f t="shared" si="560"/>
        <v>150249</v>
      </c>
      <c r="AF103" s="3222">
        <f t="shared" si="560"/>
        <v>29723.552735923869</v>
      </c>
      <c r="AG103" s="5956">
        <f t="shared" si="560"/>
        <v>24006</v>
      </c>
      <c r="AH103" s="7582">
        <f t="shared" si="560"/>
        <v>221375.0637599233</v>
      </c>
      <c r="AI103" s="1914">
        <f t="shared" si="560"/>
        <v>174255</v>
      </c>
      <c r="AJ103" s="3222">
        <f t="shared" ref="AJ103:AO103" si="561">SUM(AJ101:AJ102)</f>
        <v>30714.337827121337</v>
      </c>
      <c r="AK103" s="5956">
        <f t="shared" si="561"/>
        <v>27825.8</v>
      </c>
      <c r="AL103" s="6768">
        <f t="shared" si="561"/>
        <v>91152.228390166536</v>
      </c>
      <c r="AM103" s="2071">
        <f t="shared" si="561"/>
        <v>75562.8</v>
      </c>
      <c r="AN103" s="7733">
        <f t="shared" si="561"/>
        <v>252089.40158704465</v>
      </c>
      <c r="AO103" s="1914">
        <f t="shared" si="561"/>
        <v>202080.8</v>
      </c>
      <c r="AP103" s="3222">
        <f t="shared" ref="AP103:AS103" si="562">SUM(AP101:AP102)</f>
        <v>30714.337827121337</v>
      </c>
      <c r="AQ103" s="5956">
        <f t="shared" si="562"/>
        <v>27665</v>
      </c>
      <c r="AR103" s="8048">
        <f t="shared" si="562"/>
        <v>282803.73941416596</v>
      </c>
      <c r="AS103" s="1914">
        <f t="shared" si="562"/>
        <v>229745.8</v>
      </c>
      <c r="AT103" s="3222">
        <f t="shared" ref="AT103:AW103" si="563">SUM(AT101:AT102)</f>
        <v>27742</v>
      </c>
      <c r="AU103" s="5956">
        <f t="shared" si="563"/>
        <v>24095</v>
      </c>
      <c r="AV103" s="8169">
        <f t="shared" si="563"/>
        <v>310545.73941416596</v>
      </c>
      <c r="AW103" s="1914">
        <f t="shared" si="563"/>
        <v>253840.8</v>
      </c>
      <c r="AX103" s="3222">
        <f t="shared" ref="AX103:BE103" si="564">SUM(AX101:AX102)</f>
        <v>30714.338</v>
      </c>
      <c r="AY103" s="5956">
        <f t="shared" si="564"/>
        <v>28841</v>
      </c>
      <c r="AZ103" s="6768">
        <f t="shared" si="564"/>
        <v>89170.675827121333</v>
      </c>
      <c r="BA103" s="2071">
        <f t="shared" si="564"/>
        <v>80601</v>
      </c>
      <c r="BB103" s="6768">
        <f t="shared" si="523"/>
        <v>180322.90421728787</v>
      </c>
      <c r="BC103" s="2071">
        <f t="shared" si="412"/>
        <v>156163.79999999999</v>
      </c>
      <c r="BD103" s="8327">
        <f t="shared" si="564"/>
        <v>341260.07741416595</v>
      </c>
      <c r="BE103" s="6630">
        <f t="shared" si="564"/>
        <v>282681.8</v>
      </c>
    </row>
    <row r="104" spans="1:57" ht="17" thickBot="1" x14ac:dyDescent="0.25">
      <c r="B104" s="1565" t="s">
        <v>39</v>
      </c>
      <c r="C104" s="1572" t="s">
        <v>170</v>
      </c>
      <c r="D104" s="2319">
        <f>+D100+D103</f>
        <v>77426.114892115103</v>
      </c>
      <c r="E104" s="1677">
        <f>+E100+E103</f>
        <v>75103</v>
      </c>
      <c r="F104" s="2319">
        <f>+F100+F103</f>
        <v>77873.189427389967</v>
      </c>
      <c r="G104" s="3191">
        <f t="shared" ref="G104:M104" si="565">+G100+G103</f>
        <v>75525</v>
      </c>
      <c r="H104" s="2784">
        <f t="shared" si="565"/>
        <v>155299.30431950509</v>
      </c>
      <c r="I104" s="1914">
        <f t="shared" si="565"/>
        <v>150628</v>
      </c>
      <c r="J104" s="3222">
        <f t="shared" si="565"/>
        <v>88114.464144103331</v>
      </c>
      <c r="K104" s="3191">
        <f t="shared" si="565"/>
        <v>86438</v>
      </c>
      <c r="L104" s="2951">
        <f t="shared" si="565"/>
        <v>243413.76846360843</v>
      </c>
      <c r="M104" s="2071">
        <f t="shared" si="565"/>
        <v>237066</v>
      </c>
      <c r="N104" s="3222">
        <f t="shared" ref="N104:Q104" si="566">+N100+N103</f>
        <v>104209.36048487594</v>
      </c>
      <c r="O104" s="5956">
        <f t="shared" si="566"/>
        <v>92750</v>
      </c>
      <c r="P104" s="2784">
        <f t="shared" si="566"/>
        <v>347623.12894848431</v>
      </c>
      <c r="Q104" s="1914">
        <f t="shared" si="566"/>
        <v>329816</v>
      </c>
      <c r="R104" s="3222">
        <f t="shared" ref="R104:U104" si="567">+R100+R103</f>
        <v>104209.36048487594</v>
      </c>
      <c r="S104" s="5956">
        <f t="shared" si="567"/>
        <v>101018</v>
      </c>
      <c r="T104" s="2784">
        <f t="shared" si="567"/>
        <v>451832.48943336029</v>
      </c>
      <c r="U104" s="1914">
        <f t="shared" si="567"/>
        <v>430834</v>
      </c>
      <c r="V104" s="3222">
        <f t="shared" ref="V104:AI104" si="568">+V100+V103</f>
        <v>100847.76821117027</v>
      </c>
      <c r="W104" s="5956">
        <f t="shared" si="568"/>
        <v>84288</v>
      </c>
      <c r="X104" s="2951">
        <f t="shared" si="568"/>
        <v>309266.48918092216</v>
      </c>
      <c r="Y104" s="2071">
        <f t="shared" si="568"/>
        <v>278056</v>
      </c>
      <c r="Z104" s="6511">
        <f t="shared" si="568"/>
        <v>552680.25764453062</v>
      </c>
      <c r="AA104" s="6630">
        <f t="shared" si="568"/>
        <v>515122</v>
      </c>
      <c r="AB104" s="3222">
        <f t="shared" si="568"/>
        <v>104209.36048487594</v>
      </c>
      <c r="AC104" s="5956">
        <f t="shared" si="568"/>
        <v>93935</v>
      </c>
      <c r="AD104" s="2784">
        <f t="shared" si="568"/>
        <v>656889.61812940659</v>
      </c>
      <c r="AE104" s="1914">
        <f t="shared" si="568"/>
        <v>609057</v>
      </c>
      <c r="AF104" s="3222">
        <f t="shared" si="568"/>
        <v>100847.76821117027</v>
      </c>
      <c r="AG104" s="5956">
        <f t="shared" si="568"/>
        <v>88640</v>
      </c>
      <c r="AH104" s="2784">
        <f t="shared" si="568"/>
        <v>757737.38634057692</v>
      </c>
      <c r="AI104" s="1914">
        <f t="shared" si="568"/>
        <v>697697</v>
      </c>
      <c r="AJ104" s="3222">
        <f t="shared" ref="AJ104:AO104" si="569">+AJ100+AJ103</f>
        <v>104209.36048487594</v>
      </c>
      <c r="AK104" s="5956">
        <f t="shared" si="569"/>
        <v>101055.8</v>
      </c>
      <c r="AL104" s="4652">
        <f t="shared" si="569"/>
        <v>309266.48918092222</v>
      </c>
      <c r="AM104" s="7839">
        <f t="shared" si="569"/>
        <v>283630.8</v>
      </c>
      <c r="AN104" s="4653">
        <f t="shared" si="569"/>
        <v>861946.74682545289</v>
      </c>
      <c r="AO104" s="7838">
        <f t="shared" si="569"/>
        <v>798752.8</v>
      </c>
      <c r="AP104" s="3222">
        <f t="shared" ref="AP104:AS104" si="570">+AP100+AP103</f>
        <v>104209.36048487594</v>
      </c>
      <c r="AQ104" s="5956">
        <f t="shared" si="570"/>
        <v>101083</v>
      </c>
      <c r="AR104" s="4653">
        <f t="shared" si="570"/>
        <v>966156.10731032875</v>
      </c>
      <c r="AS104" s="7838">
        <f t="shared" si="570"/>
        <v>899835.8</v>
      </c>
      <c r="AT104" s="3222">
        <f t="shared" ref="AT104:AW104" si="571">+AT100+AT103</f>
        <v>94124</v>
      </c>
      <c r="AU104" s="5956">
        <f t="shared" si="571"/>
        <v>91782</v>
      </c>
      <c r="AV104" s="4653">
        <f t="shared" si="571"/>
        <v>1060280.1073103286</v>
      </c>
      <c r="AW104" s="7838">
        <f t="shared" si="571"/>
        <v>991617.8</v>
      </c>
      <c r="AX104" s="3222">
        <f t="shared" ref="AX104:BE104" si="572">+AX100+AX103</f>
        <v>104209.361</v>
      </c>
      <c r="AY104" s="5956">
        <f t="shared" si="572"/>
        <v>100635</v>
      </c>
      <c r="AZ104" s="2951">
        <f t="shared" si="572"/>
        <v>302542.72148487595</v>
      </c>
      <c r="BA104" s="2071">
        <f t="shared" si="572"/>
        <v>293500</v>
      </c>
      <c r="BB104" s="2951">
        <f t="shared" si="523"/>
        <v>611809.21066579816</v>
      </c>
      <c r="BC104" s="2071">
        <f t="shared" si="412"/>
        <v>577130.80000000005</v>
      </c>
      <c r="BD104" s="6511">
        <f t="shared" si="572"/>
        <v>1164489.4683103287</v>
      </c>
      <c r="BE104" s="6630">
        <f t="shared" si="572"/>
        <v>1092252.8</v>
      </c>
    </row>
    <row r="105" spans="1:57" ht="16" thickBot="1" x14ac:dyDescent="0.25">
      <c r="B105" s="2248" t="s">
        <v>1137</v>
      </c>
      <c r="C105" s="2249" t="s">
        <v>170</v>
      </c>
      <c r="D105" s="2676">
        <v>1771.2709893048134</v>
      </c>
      <c r="E105" s="3834">
        <v>1754</v>
      </c>
      <c r="F105" s="2676">
        <v>2038.7560590145144</v>
      </c>
      <c r="G105" s="2101">
        <v>2011</v>
      </c>
      <c r="H105" s="2785">
        <f t="shared" ref="H105:I108" si="573">+D105+F105</f>
        <v>3810.0270483193281</v>
      </c>
      <c r="I105" s="1827">
        <f t="shared" si="573"/>
        <v>3765</v>
      </c>
      <c r="J105" s="3223">
        <v>0</v>
      </c>
      <c r="K105" s="2101">
        <v>2612</v>
      </c>
      <c r="L105" s="2875">
        <f t="shared" ref="L105:M108" si="574">+H105+J105</f>
        <v>3810.0270483193281</v>
      </c>
      <c r="M105" s="2016">
        <f t="shared" si="574"/>
        <v>6377</v>
      </c>
      <c r="N105" s="3223">
        <v>0</v>
      </c>
      <c r="O105" s="5427">
        <v>4882</v>
      </c>
      <c r="P105" s="2785">
        <f t="shared" ref="P105:P108" si="575">+L105+N105</f>
        <v>3810.0270483193281</v>
      </c>
      <c r="Q105" s="1827">
        <f t="shared" ref="Q105:Q108" si="576">+M105+O105</f>
        <v>11259</v>
      </c>
      <c r="R105" s="3223">
        <v>0</v>
      </c>
      <c r="S105" s="5427">
        <v>5317</v>
      </c>
      <c r="T105" s="2785">
        <f t="shared" ref="T105:T108" si="577">+P105+R105</f>
        <v>3810.0270483193281</v>
      </c>
      <c r="U105" s="1827">
        <f t="shared" ref="U105:U108" si="578">+Q105+S105</f>
        <v>16576</v>
      </c>
      <c r="V105" s="3223">
        <v>0</v>
      </c>
      <c r="W105" s="5427">
        <v>2664</v>
      </c>
      <c r="X105" s="3046">
        <f t="shared" ref="X105:X108" si="579">+N105+R105+V105</f>
        <v>0</v>
      </c>
      <c r="Y105" s="2070">
        <f t="shared" ref="Y105:Y108" si="580">+O105+S105+W105</f>
        <v>12863</v>
      </c>
      <c r="Z105" s="6518">
        <f t="shared" ref="Z105:Z108" si="581">+T105+V105</f>
        <v>3810.0270483193281</v>
      </c>
      <c r="AA105" s="6590">
        <f t="shared" ref="AA105:AA108" si="582">+U105+W105</f>
        <v>19240</v>
      </c>
      <c r="AB105" s="3223">
        <v>0</v>
      </c>
      <c r="AC105" s="5427">
        <v>4944</v>
      </c>
      <c r="AD105" s="2785">
        <f t="shared" ref="AD105:AD108" si="583">+Z105+AB105</f>
        <v>3810.0270483193281</v>
      </c>
      <c r="AE105" s="1827">
        <f t="shared" ref="AE105:AE108" si="584">+AA105+AC105</f>
        <v>24184</v>
      </c>
      <c r="AF105" s="3223">
        <v>0</v>
      </c>
      <c r="AG105" s="5427">
        <v>800</v>
      </c>
      <c r="AH105" s="2785">
        <f t="shared" ref="AH105:AH108" si="585">+AD105+AF105</f>
        <v>3810.0270483193281</v>
      </c>
      <c r="AI105" s="1827">
        <f t="shared" ref="AI105:AI108" si="586">+AE105+AG105</f>
        <v>24984</v>
      </c>
      <c r="AJ105" s="3223">
        <v>0</v>
      </c>
      <c r="AK105" s="5957">
        <v>0</v>
      </c>
      <c r="AL105" s="5783">
        <f t="shared" ref="AL105:AL108" si="587">+AB105+AF105+AJ105</f>
        <v>0</v>
      </c>
      <c r="AM105" s="5029">
        <f t="shared" ref="AM105:AM108" si="588">+AC105+AG105+AK105</f>
        <v>5744</v>
      </c>
      <c r="AN105" s="7394">
        <f t="shared" ref="AN105:AN108" si="589">+AH105+AJ105</f>
        <v>3810.0270483193281</v>
      </c>
      <c r="AO105" s="3193">
        <f t="shared" ref="AO105:AO108" si="590">+AI105+AK105</f>
        <v>24984</v>
      </c>
      <c r="AP105" s="3223">
        <v>0</v>
      </c>
      <c r="AQ105" s="5957">
        <v>0</v>
      </c>
      <c r="AR105" s="7394">
        <f t="shared" ref="AR105" si="591">+AN105+AP105</f>
        <v>3810.0270483193281</v>
      </c>
      <c r="AS105" s="3193">
        <f t="shared" ref="AS105" si="592">+AO105+AQ105</f>
        <v>24984</v>
      </c>
      <c r="AT105" s="3223">
        <v>0</v>
      </c>
      <c r="AU105" s="5957">
        <v>0</v>
      </c>
      <c r="AV105" s="7394">
        <f t="shared" ref="AV105:AV108" si="593">+AR105+AT105</f>
        <v>3810.0270483193281</v>
      </c>
      <c r="AW105" s="3193">
        <f t="shared" ref="AW105:AW108" si="594">+AS105+AU105</f>
        <v>24984</v>
      </c>
      <c r="AX105" s="3223"/>
      <c r="AY105" s="5957"/>
      <c r="AZ105" s="3046">
        <f t="shared" ref="AZ105" si="595">+AP105+AT105+AX105</f>
        <v>0</v>
      </c>
      <c r="BA105" s="2070">
        <f t="shared" ref="BA105:BA107" si="596">+AQ105+AU105+AY105</f>
        <v>0</v>
      </c>
      <c r="BB105" s="3046">
        <f t="shared" si="523"/>
        <v>0</v>
      </c>
      <c r="BC105" s="2070">
        <f t="shared" si="412"/>
        <v>5744</v>
      </c>
      <c r="BD105" s="6518">
        <f t="shared" ref="BD105:BD107" si="597">+AV105+AX105</f>
        <v>3810.0270483193281</v>
      </c>
      <c r="BE105" s="6590">
        <f t="shared" ref="BE105:BE107" si="598">+AW105+AY105</f>
        <v>24984</v>
      </c>
    </row>
    <row r="106" spans="1:57" s="7814" customFormat="1" ht="16" thickBot="1" x14ac:dyDescent="0.25">
      <c r="A106" s="3378"/>
      <c r="B106" s="1567" t="s">
        <v>2451</v>
      </c>
      <c r="C106" s="1573"/>
      <c r="D106" s="7365"/>
      <c r="E106" s="2717"/>
      <c r="F106" s="7365"/>
      <c r="G106" s="1680"/>
      <c r="H106" s="7816"/>
      <c r="I106" s="1906"/>
      <c r="J106" s="7827"/>
      <c r="K106" s="1683"/>
      <c r="L106" s="7820"/>
      <c r="M106" s="2070"/>
      <c r="N106" s="7827"/>
      <c r="O106" s="3183"/>
      <c r="P106" s="7816"/>
      <c r="Q106" s="1906"/>
      <c r="R106" s="7827"/>
      <c r="S106" s="3183"/>
      <c r="T106" s="7816"/>
      <c r="U106" s="1906"/>
      <c r="V106" s="7827"/>
      <c r="W106" s="3183"/>
      <c r="X106" s="3046"/>
      <c r="Y106" s="2070"/>
      <c r="Z106" s="7819"/>
      <c r="AA106" s="6692"/>
      <c r="AB106" s="7827"/>
      <c r="AC106" s="3183"/>
      <c r="AD106" s="7816"/>
      <c r="AE106" s="1906"/>
      <c r="AF106" s="7827"/>
      <c r="AG106" s="3183"/>
      <c r="AH106" s="7816"/>
      <c r="AI106" s="1906"/>
      <c r="AJ106" s="7827">
        <v>0</v>
      </c>
      <c r="AK106" s="3183">
        <v>0</v>
      </c>
      <c r="AL106" s="5783">
        <f t="shared" ref="AL106:AL107" si="599">+AB106+AF106+AJ106</f>
        <v>0</v>
      </c>
      <c r="AM106" s="5029">
        <f t="shared" ref="AM106:AM107" si="600">+AC106+AG106+AK106</f>
        <v>0</v>
      </c>
      <c r="AN106" s="7394">
        <f t="shared" ref="AN106:AN107" si="601">+AH106+AJ106</f>
        <v>0</v>
      </c>
      <c r="AO106" s="3193">
        <f t="shared" ref="AO106:AO107" si="602">+AI106+AK106</f>
        <v>0</v>
      </c>
      <c r="AP106" s="8052">
        <v>0</v>
      </c>
      <c r="AQ106" s="3183">
        <v>0</v>
      </c>
      <c r="AR106" s="7394">
        <f t="shared" ref="AR106:AR107" si="603">+AN106+AP106</f>
        <v>0</v>
      </c>
      <c r="AS106" s="3193">
        <f t="shared" ref="AS106:AS107" si="604">+AO106+AQ106</f>
        <v>0</v>
      </c>
      <c r="AT106" s="8176">
        <v>0</v>
      </c>
      <c r="AU106" s="3183">
        <v>0</v>
      </c>
      <c r="AV106" s="7394">
        <f t="shared" si="593"/>
        <v>0</v>
      </c>
      <c r="AW106" s="3193">
        <f t="shared" si="594"/>
        <v>0</v>
      </c>
      <c r="AX106" s="8333"/>
      <c r="AY106" s="3183">
        <v>3400</v>
      </c>
      <c r="AZ106" s="3046"/>
      <c r="BA106" s="2070">
        <f t="shared" si="596"/>
        <v>3400</v>
      </c>
      <c r="BB106" s="3046">
        <f t="shared" si="523"/>
        <v>0</v>
      </c>
      <c r="BC106" s="2070">
        <f t="shared" si="412"/>
        <v>3400</v>
      </c>
      <c r="BD106" s="6518">
        <f t="shared" si="597"/>
        <v>0</v>
      </c>
      <c r="BE106" s="6590">
        <f t="shared" si="598"/>
        <v>3400</v>
      </c>
    </row>
    <row r="107" spans="1:57" s="7814" customFormat="1" x14ac:dyDescent="0.2">
      <c r="A107" s="3378"/>
      <c r="B107" s="1567" t="s">
        <v>2539</v>
      </c>
      <c r="C107" s="1573"/>
      <c r="D107" s="7365"/>
      <c r="E107" s="2717"/>
      <c r="F107" s="7365"/>
      <c r="G107" s="1680"/>
      <c r="H107" s="7816"/>
      <c r="I107" s="1906"/>
      <c r="J107" s="7827"/>
      <c r="K107" s="1683"/>
      <c r="L107" s="7820"/>
      <c r="M107" s="2070"/>
      <c r="N107" s="7827"/>
      <c r="O107" s="3183"/>
      <c r="P107" s="7816"/>
      <c r="Q107" s="1906"/>
      <c r="R107" s="7827"/>
      <c r="S107" s="3183"/>
      <c r="T107" s="7816"/>
      <c r="U107" s="1906"/>
      <c r="V107" s="7827"/>
      <c r="W107" s="3183"/>
      <c r="X107" s="3046"/>
      <c r="Y107" s="2070"/>
      <c r="Z107" s="7819"/>
      <c r="AA107" s="6692"/>
      <c r="AB107" s="7827"/>
      <c r="AC107" s="3183"/>
      <c r="AD107" s="7816"/>
      <c r="AE107" s="1906"/>
      <c r="AF107" s="7827"/>
      <c r="AG107" s="3183"/>
      <c r="AH107" s="7816"/>
      <c r="AI107" s="1906"/>
      <c r="AJ107" s="7827">
        <v>0</v>
      </c>
      <c r="AK107" s="3183">
        <v>2747.6</v>
      </c>
      <c r="AL107" s="5783">
        <f t="shared" si="599"/>
        <v>0</v>
      </c>
      <c r="AM107" s="5029">
        <f t="shared" si="600"/>
        <v>2747.6</v>
      </c>
      <c r="AN107" s="7394">
        <f t="shared" si="601"/>
        <v>0</v>
      </c>
      <c r="AO107" s="3193">
        <f t="shared" si="602"/>
        <v>2747.6</v>
      </c>
      <c r="AP107" s="8052">
        <v>0</v>
      </c>
      <c r="AQ107" s="3183">
        <v>172</v>
      </c>
      <c r="AR107" s="7394">
        <f t="shared" si="603"/>
        <v>0</v>
      </c>
      <c r="AS107" s="3193">
        <f t="shared" si="604"/>
        <v>2919.6</v>
      </c>
      <c r="AT107" s="8176">
        <v>0</v>
      </c>
      <c r="AU107" s="3183">
        <v>2265</v>
      </c>
      <c r="AV107" s="7394">
        <f t="shared" si="593"/>
        <v>0</v>
      </c>
      <c r="AW107" s="3193">
        <f t="shared" si="594"/>
        <v>5184.6000000000004</v>
      </c>
      <c r="AX107" s="8333"/>
      <c r="AY107" s="3183">
        <v>2403</v>
      </c>
      <c r="AZ107" s="3046"/>
      <c r="BA107" s="2070">
        <f t="shared" si="596"/>
        <v>4840</v>
      </c>
      <c r="BB107" s="3046">
        <f t="shared" si="523"/>
        <v>0</v>
      </c>
      <c r="BC107" s="2070">
        <f t="shared" si="412"/>
        <v>7587.6</v>
      </c>
      <c r="BD107" s="6518">
        <f t="shared" si="597"/>
        <v>0</v>
      </c>
      <c r="BE107" s="6590">
        <f t="shared" si="598"/>
        <v>7587.6</v>
      </c>
    </row>
    <row r="108" spans="1:57" ht="16" thickBot="1" x14ac:dyDescent="0.25">
      <c r="B108" s="1531" t="s">
        <v>1138</v>
      </c>
      <c r="C108" s="1573" t="s">
        <v>170</v>
      </c>
      <c r="D108" s="6344">
        <v>4100.1643270944751</v>
      </c>
      <c r="E108" s="2717">
        <v>4028</v>
      </c>
      <c r="F108" s="6344">
        <v>3256.9332737140303</v>
      </c>
      <c r="G108" s="1680">
        <v>3212</v>
      </c>
      <c r="H108" s="6314">
        <f t="shared" si="573"/>
        <v>7357.0976008085054</v>
      </c>
      <c r="I108" s="1906">
        <f t="shared" si="573"/>
        <v>7240</v>
      </c>
      <c r="J108" s="6352">
        <v>4560.6199866310162</v>
      </c>
      <c r="K108" s="1683">
        <v>919</v>
      </c>
      <c r="L108" s="6315">
        <f t="shared" si="574"/>
        <v>11917.717587439522</v>
      </c>
      <c r="M108" s="2070">
        <f t="shared" si="574"/>
        <v>8159</v>
      </c>
      <c r="N108" s="6352">
        <v>5393.6580882352937</v>
      </c>
      <c r="O108" s="3183">
        <v>0</v>
      </c>
      <c r="P108" s="6314">
        <f t="shared" si="575"/>
        <v>17311.375675674815</v>
      </c>
      <c r="Q108" s="1906">
        <f t="shared" si="576"/>
        <v>8159</v>
      </c>
      <c r="R108" s="6352">
        <v>5393.6580882352937</v>
      </c>
      <c r="S108" s="3183">
        <v>0</v>
      </c>
      <c r="T108" s="6314">
        <f t="shared" si="577"/>
        <v>22705.033763910109</v>
      </c>
      <c r="U108" s="1906">
        <f t="shared" si="578"/>
        <v>8159</v>
      </c>
      <c r="V108" s="6564">
        <v>5219.6691176470595</v>
      </c>
      <c r="W108" s="3183">
        <v>0</v>
      </c>
      <c r="X108" s="3046">
        <f t="shared" si="579"/>
        <v>16006.985294117647</v>
      </c>
      <c r="Y108" s="2070">
        <f t="shared" si="580"/>
        <v>0</v>
      </c>
      <c r="Z108" s="6547">
        <f t="shared" si="581"/>
        <v>27924.702881557168</v>
      </c>
      <c r="AA108" s="6692">
        <f t="shared" si="582"/>
        <v>8159</v>
      </c>
      <c r="AB108" s="7351">
        <v>5393.6580882352937</v>
      </c>
      <c r="AC108" s="3183">
        <v>0</v>
      </c>
      <c r="AD108" s="7325">
        <f t="shared" si="583"/>
        <v>33318.360969792462</v>
      </c>
      <c r="AE108" s="1906">
        <f t="shared" si="584"/>
        <v>8159</v>
      </c>
      <c r="AF108" s="7587">
        <v>5219.6691176470595</v>
      </c>
      <c r="AG108" s="3183">
        <f>3547-800</f>
        <v>2747</v>
      </c>
      <c r="AH108" s="7554">
        <f t="shared" si="585"/>
        <v>38538.030087439518</v>
      </c>
      <c r="AI108" s="1906">
        <f t="shared" si="586"/>
        <v>10906</v>
      </c>
      <c r="AJ108" s="7740">
        <v>5393.6580882352937</v>
      </c>
      <c r="AK108" s="3183">
        <v>2426.6</v>
      </c>
      <c r="AL108" s="3046">
        <f t="shared" si="587"/>
        <v>16006.985294117647</v>
      </c>
      <c r="AM108" s="2070">
        <f t="shared" si="588"/>
        <v>5173.6000000000004</v>
      </c>
      <c r="AN108" s="7701">
        <f t="shared" si="589"/>
        <v>43931.688175674812</v>
      </c>
      <c r="AO108" s="1906">
        <f t="shared" si="590"/>
        <v>13332.6</v>
      </c>
      <c r="AP108" s="8052">
        <v>5393.6580882352937</v>
      </c>
      <c r="AQ108" s="3183">
        <v>5149</v>
      </c>
      <c r="AR108" s="8017">
        <f t="shared" ref="AR108" si="605">+AN108+AP108</f>
        <v>49325.346263910105</v>
      </c>
      <c r="AS108" s="1906">
        <f t="shared" ref="AS108" si="606">+AO108+AQ108</f>
        <v>18481.599999999999</v>
      </c>
      <c r="AT108" s="8239">
        <v>4872</v>
      </c>
      <c r="AU108" s="3183">
        <v>2059</v>
      </c>
      <c r="AV108" s="8149">
        <f t="shared" si="593"/>
        <v>54197.346263910105</v>
      </c>
      <c r="AW108" s="1906">
        <f t="shared" si="594"/>
        <v>20540.599999999999</v>
      </c>
      <c r="AX108" s="8357">
        <v>5393.6580000000004</v>
      </c>
      <c r="AY108" s="3183"/>
      <c r="AZ108" s="3046">
        <f t="shared" ref="AZ108" si="607">+AP108+AT108+AX108</f>
        <v>15659.316088235293</v>
      </c>
      <c r="BA108" s="2070">
        <f t="shared" ref="BA108" si="608">+AQ108+AU108+AY108</f>
        <v>7208</v>
      </c>
      <c r="BB108" s="3046">
        <f t="shared" si="523"/>
        <v>31666.30138235294</v>
      </c>
      <c r="BC108" s="2070">
        <f t="shared" si="412"/>
        <v>12381.6</v>
      </c>
      <c r="BD108" s="8280">
        <f t="shared" ref="BD108" si="609">+AV108+AX108</f>
        <v>59591.004263910108</v>
      </c>
      <c r="BE108" s="6692">
        <f t="shared" ref="BE108" si="610">+AW108+AY108</f>
        <v>20540.599999999999</v>
      </c>
    </row>
    <row r="109" spans="1:57" ht="17" thickBot="1" x14ac:dyDescent="0.25">
      <c r="B109" s="1565" t="s">
        <v>38</v>
      </c>
      <c r="C109" s="4202" t="s">
        <v>170</v>
      </c>
      <c r="D109" s="7845">
        <f t="shared" ref="D109:AS109" si="611">SUM(D104:D108)</f>
        <v>83297.550208514396</v>
      </c>
      <c r="E109" s="2817">
        <f t="shared" si="611"/>
        <v>80885</v>
      </c>
      <c r="F109" s="2817">
        <f t="shared" si="611"/>
        <v>83168.878760118518</v>
      </c>
      <c r="G109" s="2817">
        <f t="shared" si="611"/>
        <v>80748</v>
      </c>
      <c r="H109" s="2817">
        <f t="shared" si="611"/>
        <v>166466.42896863291</v>
      </c>
      <c r="I109" s="2817">
        <f t="shared" si="611"/>
        <v>161633</v>
      </c>
      <c r="J109" s="2817">
        <f t="shared" si="611"/>
        <v>92675.084130734351</v>
      </c>
      <c r="K109" s="2817">
        <f t="shared" si="611"/>
        <v>89969</v>
      </c>
      <c r="L109" s="2817">
        <f t="shared" si="611"/>
        <v>259141.51309936726</v>
      </c>
      <c r="M109" s="2817">
        <f t="shared" si="611"/>
        <v>251602</v>
      </c>
      <c r="N109" s="2817">
        <f t="shared" si="611"/>
        <v>109603.01857311124</v>
      </c>
      <c r="O109" s="2817">
        <f t="shared" si="611"/>
        <v>97632</v>
      </c>
      <c r="P109" s="2817">
        <f t="shared" si="611"/>
        <v>368744.53167247848</v>
      </c>
      <c r="Q109" s="2817">
        <f t="shared" si="611"/>
        <v>349234</v>
      </c>
      <c r="R109" s="2817">
        <f t="shared" si="611"/>
        <v>109603.01857311124</v>
      </c>
      <c r="S109" s="2817">
        <f t="shared" si="611"/>
        <v>106335</v>
      </c>
      <c r="T109" s="2817">
        <f t="shared" si="611"/>
        <v>478347.55024558975</v>
      </c>
      <c r="U109" s="2817">
        <f t="shared" si="611"/>
        <v>455569</v>
      </c>
      <c r="V109" s="2817">
        <f t="shared" si="611"/>
        <v>106067.43732881734</v>
      </c>
      <c r="W109" s="2817">
        <f t="shared" si="611"/>
        <v>86952</v>
      </c>
      <c r="X109" s="2817">
        <f t="shared" si="611"/>
        <v>325273.47447503981</v>
      </c>
      <c r="Y109" s="2817">
        <f t="shared" si="611"/>
        <v>290919</v>
      </c>
      <c r="Z109" s="2817">
        <f t="shared" si="611"/>
        <v>584414.98757440713</v>
      </c>
      <c r="AA109" s="2817">
        <f t="shared" si="611"/>
        <v>542521</v>
      </c>
      <c r="AB109" s="2817">
        <f t="shared" si="611"/>
        <v>109603.01857311124</v>
      </c>
      <c r="AC109" s="2817">
        <f t="shared" si="611"/>
        <v>98879</v>
      </c>
      <c r="AD109" s="2817">
        <f t="shared" si="611"/>
        <v>694018.0061475184</v>
      </c>
      <c r="AE109" s="2817">
        <f t="shared" si="611"/>
        <v>641400</v>
      </c>
      <c r="AF109" s="2817">
        <f t="shared" si="611"/>
        <v>106067.43732881734</v>
      </c>
      <c r="AG109" s="2817">
        <f t="shared" si="611"/>
        <v>92187</v>
      </c>
      <c r="AH109" s="2817">
        <f t="shared" si="611"/>
        <v>800085.44347633584</v>
      </c>
      <c r="AI109" s="2817">
        <f t="shared" si="611"/>
        <v>733587</v>
      </c>
      <c r="AJ109" s="1682">
        <f t="shared" si="611"/>
        <v>109603.01857311124</v>
      </c>
      <c r="AK109" s="3191">
        <f t="shared" si="611"/>
        <v>106230.00000000001</v>
      </c>
      <c r="AL109" s="3191">
        <f t="shared" si="611"/>
        <v>325273.47447503987</v>
      </c>
      <c r="AM109" s="3191">
        <f t="shared" si="611"/>
        <v>297295.99999999994</v>
      </c>
      <c r="AN109" s="3191">
        <f t="shared" si="611"/>
        <v>909688.462049447</v>
      </c>
      <c r="AO109" s="3191">
        <f t="shared" si="611"/>
        <v>839817</v>
      </c>
      <c r="AP109" s="1682">
        <f t="shared" si="611"/>
        <v>109603.01857311124</v>
      </c>
      <c r="AQ109" s="3191">
        <f t="shared" si="611"/>
        <v>106404</v>
      </c>
      <c r="AR109" s="2817">
        <f t="shared" si="611"/>
        <v>1019291.4806225582</v>
      </c>
      <c r="AS109" s="2817">
        <f t="shared" si="611"/>
        <v>946221</v>
      </c>
      <c r="AT109" s="1682">
        <f t="shared" ref="AT109:AW109" si="612">SUM(AT104:AT108)</f>
        <v>98996</v>
      </c>
      <c r="AU109" s="3191">
        <f t="shared" si="612"/>
        <v>96106</v>
      </c>
      <c r="AV109" s="2817">
        <f t="shared" si="612"/>
        <v>1118287.4806225582</v>
      </c>
      <c r="AW109" s="2817">
        <f t="shared" si="612"/>
        <v>1042327</v>
      </c>
      <c r="AX109" s="1682">
        <f t="shared" ref="AX109:AY109" si="613">SUM(AX104:AX108)</f>
        <v>109603.019</v>
      </c>
      <c r="AY109" s="3191">
        <f t="shared" si="613"/>
        <v>106438</v>
      </c>
      <c r="AZ109" s="2817">
        <f t="shared" ref="AZ109:BE109" si="614">SUM(AZ104:AZ108)</f>
        <v>318202.03757311124</v>
      </c>
      <c r="BA109" s="2817">
        <f t="shared" si="614"/>
        <v>308948</v>
      </c>
      <c r="BB109" s="2817">
        <f t="shared" si="523"/>
        <v>643475.51204815111</v>
      </c>
      <c r="BC109" s="2817">
        <f t="shared" si="412"/>
        <v>606244</v>
      </c>
      <c r="BD109" s="2817">
        <f t="shared" si="614"/>
        <v>1227890.499622558</v>
      </c>
      <c r="BE109" s="2817">
        <f t="shared" si="614"/>
        <v>1148765.0000000002</v>
      </c>
    </row>
    <row r="110" spans="1:57" s="3380" customFormat="1" ht="18" x14ac:dyDescent="0.2">
      <c r="A110" s="3379"/>
      <c r="B110" s="5052" t="s">
        <v>1620</v>
      </c>
      <c r="C110" s="6775"/>
      <c r="D110" s="6791"/>
      <c r="E110" s="6799"/>
      <c r="F110" s="6791"/>
      <c r="G110" s="6790"/>
      <c r="H110" s="7842"/>
      <c r="I110" s="7843"/>
      <c r="J110" s="7842"/>
      <c r="K110" s="7843"/>
      <c r="L110" s="7842"/>
      <c r="M110" s="7843"/>
      <c r="N110" s="7842"/>
      <c r="O110" s="7843"/>
      <c r="P110" s="7842"/>
      <c r="Q110" s="7843"/>
      <c r="R110" s="7842"/>
      <c r="S110" s="7843"/>
      <c r="T110" s="7842"/>
      <c r="U110" s="7843"/>
      <c r="V110" s="7842"/>
      <c r="W110" s="7843"/>
      <c r="X110" s="7842"/>
      <c r="Y110" s="7843"/>
      <c r="Z110" s="7842"/>
      <c r="AA110" s="7843"/>
      <c r="AB110" s="7842"/>
      <c r="AC110" s="7843"/>
      <c r="AD110" s="7842"/>
      <c r="AE110" s="7843"/>
      <c r="AF110" s="7842"/>
      <c r="AG110" s="7843"/>
      <c r="AH110" s="7842"/>
      <c r="AI110" s="7843"/>
      <c r="AJ110" s="7842"/>
      <c r="AK110" s="5756"/>
      <c r="AL110" s="3435"/>
      <c r="AM110" s="5756"/>
      <c r="AN110" s="3435"/>
      <c r="AO110" s="5756"/>
      <c r="AP110" s="7842"/>
      <c r="AQ110" s="5756"/>
      <c r="AR110" s="7842"/>
      <c r="AS110" s="7843"/>
      <c r="AT110" s="7842"/>
      <c r="AU110" s="5756"/>
      <c r="AV110" s="7842"/>
      <c r="AW110" s="7843"/>
      <c r="AX110" s="7842"/>
      <c r="AY110" s="5756"/>
      <c r="AZ110" s="7842"/>
      <c r="BA110" s="7843"/>
      <c r="BB110" s="7842"/>
      <c r="BC110" s="7843"/>
      <c r="BD110" s="7842"/>
      <c r="BE110" s="7843"/>
    </row>
    <row r="111" spans="1:57" x14ac:dyDescent="0.2">
      <c r="B111" s="1531" t="s">
        <v>36</v>
      </c>
      <c r="C111" s="1570" t="s">
        <v>170</v>
      </c>
      <c r="D111" s="6320">
        <f>+D93+D73</f>
        <v>56913.26819984139</v>
      </c>
      <c r="E111" s="1818">
        <f>+E93+E73</f>
        <v>55182</v>
      </c>
      <c r="F111" s="6320">
        <f>+F93+F73</f>
        <v>56251.294140364786</v>
      </c>
      <c r="G111" s="1818">
        <f>+G93+G73</f>
        <v>54735</v>
      </c>
      <c r="H111" s="6314">
        <f>+D111+F111</f>
        <v>113164.56234020618</v>
      </c>
      <c r="I111" s="1975">
        <f>+E111+G111</f>
        <v>109917</v>
      </c>
      <c r="J111" s="6320">
        <f>+J93+J73</f>
        <v>72246.76673841622</v>
      </c>
      <c r="K111" s="1818">
        <f>+K93+K73</f>
        <v>59550</v>
      </c>
      <c r="L111" s="6315">
        <f>+H111+J111</f>
        <v>185411.3290786224</v>
      </c>
      <c r="M111" s="2910">
        <f>+I111+K111</f>
        <v>169467</v>
      </c>
      <c r="N111" s="6320">
        <f>+N93+N73</f>
        <v>83551.760507533705</v>
      </c>
      <c r="O111" s="1818">
        <f>+O93+O73</f>
        <v>62718</v>
      </c>
      <c r="P111" s="6314">
        <f>+L111+N111</f>
        <v>268963.08958615607</v>
      </c>
      <c r="Q111" s="1975">
        <f>+M111+O111</f>
        <v>232185</v>
      </c>
      <c r="R111" s="6320">
        <f>+R93+R73</f>
        <v>83551.760507533705</v>
      </c>
      <c r="S111" s="1818">
        <f>+S93+S73</f>
        <v>68957</v>
      </c>
      <c r="T111" s="6314">
        <f>+P111+R111</f>
        <v>352514.85009368975</v>
      </c>
      <c r="U111" s="1975">
        <f>+Q111+S111</f>
        <v>301142</v>
      </c>
      <c r="V111" s="6550">
        <f>+V93+V73</f>
        <v>80856.542426645523</v>
      </c>
      <c r="W111" s="1818">
        <f>+W93+W73</f>
        <v>67684</v>
      </c>
      <c r="X111" s="3046">
        <f t="shared" ref="X111:X120" si="615">+N111+R111+V111</f>
        <v>247960.06344171293</v>
      </c>
      <c r="Y111" s="2070">
        <f t="shared" ref="Y111:Y120" si="616">+O111+S111+W111</f>
        <v>199359</v>
      </c>
      <c r="Z111" s="6547">
        <f>+T111+V111</f>
        <v>433371.39252033527</v>
      </c>
      <c r="AA111" s="6714">
        <f>+U111+W111</f>
        <v>368826</v>
      </c>
      <c r="AB111" s="7324">
        <f>+AB93+AB73</f>
        <v>83551.760507533705</v>
      </c>
      <c r="AC111" s="1818">
        <f>+AC93+AC73</f>
        <v>74552</v>
      </c>
      <c r="AD111" s="7325">
        <f>+Z111+AB111</f>
        <v>516923.15302786895</v>
      </c>
      <c r="AE111" s="1975">
        <f>+AA111+AC111</f>
        <v>443378</v>
      </c>
      <c r="AF111" s="7553">
        <f>+AF93+AF73</f>
        <v>80856.542426645523</v>
      </c>
      <c r="AG111" s="1818">
        <f>+AG93+AG73</f>
        <v>70165</v>
      </c>
      <c r="AH111" s="7554">
        <f>+AD111+AF111</f>
        <v>597779.69545451447</v>
      </c>
      <c r="AI111" s="1975">
        <f>+AE111+AG111</f>
        <v>513543</v>
      </c>
      <c r="AJ111" s="7697">
        <f>+AJ93+AJ73</f>
        <v>83551.760507533705</v>
      </c>
      <c r="AK111" s="1818">
        <f>+AK93+AK73</f>
        <v>78063.100000000006</v>
      </c>
      <c r="AL111" s="3046">
        <f t="shared" ref="AL111:AL120" si="617">+AB111+AF111+AJ111</f>
        <v>247960.06344171293</v>
      </c>
      <c r="AM111" s="2070">
        <f t="shared" ref="AM111:AM120" si="618">+AC111+AG111+AK111</f>
        <v>222780.1</v>
      </c>
      <c r="AN111" s="7701">
        <f>+AH111+AJ111</f>
        <v>681331.45596204815</v>
      </c>
      <c r="AO111" s="1975">
        <f>+AI111+AK111</f>
        <v>591606.1</v>
      </c>
      <c r="AP111" s="8021">
        <f>+AP93+AP73</f>
        <v>83551.760507533705</v>
      </c>
      <c r="AQ111" s="1818">
        <f>+AQ93+AQ73</f>
        <v>78284</v>
      </c>
      <c r="AR111" s="8017">
        <f>+AN111+AP111</f>
        <v>764883.21646958182</v>
      </c>
      <c r="AS111" s="1975">
        <f>+AO111+AQ111</f>
        <v>669890.1</v>
      </c>
      <c r="AT111" s="8144">
        <f>+AT93+AT73</f>
        <v>75466</v>
      </c>
      <c r="AU111" s="1818">
        <f>+AU93+AU73</f>
        <v>70952</v>
      </c>
      <c r="AV111" s="8149">
        <f>+AR111+AT111</f>
        <v>840349.21646958182</v>
      </c>
      <c r="AW111" s="1975">
        <f>+AS111+AU111</f>
        <v>740842.1</v>
      </c>
      <c r="AX111" s="8261">
        <f>+AX93+AX73</f>
        <v>83551.760699999999</v>
      </c>
      <c r="AY111" s="1818">
        <f>+AY93+AY73</f>
        <v>76573</v>
      </c>
      <c r="AZ111" s="3046">
        <f t="shared" ref="AZ111:AZ120" si="619">+AP111+AT111+AX111</f>
        <v>242569.52120753372</v>
      </c>
      <c r="BA111" s="2070">
        <f t="shared" ref="BA111:BA120" si="620">+AQ111+AU111+AY111</f>
        <v>225809</v>
      </c>
      <c r="BB111" s="3046">
        <f t="shared" ref="BB111:BB131" si="621">+AL111+AZ111</f>
        <v>490529.58464924665</v>
      </c>
      <c r="BC111" s="2070">
        <f t="shared" ref="BC111:BC131" si="622">+AM111+BA111</f>
        <v>448589.1</v>
      </c>
      <c r="BD111" s="8280">
        <f>+AV111+AX111</f>
        <v>923900.97716958181</v>
      </c>
      <c r="BE111" s="6714">
        <f>+AW111+AY111</f>
        <v>817415.1</v>
      </c>
    </row>
    <row r="112" spans="1:57" ht="15" customHeight="1" x14ac:dyDescent="0.2">
      <c r="B112" s="1531" t="s">
        <v>1193</v>
      </c>
      <c r="C112" s="1570" t="s">
        <v>170</v>
      </c>
      <c r="D112" s="2677">
        <f>+D74</f>
        <v>0</v>
      </c>
      <c r="E112" s="2924">
        <f>+E74</f>
        <v>0</v>
      </c>
      <c r="F112" s="2677">
        <f>+F74</f>
        <v>0</v>
      </c>
      <c r="G112" s="2924">
        <f>+G74</f>
        <v>0</v>
      </c>
      <c r="H112" s="6314">
        <f t="shared" ref="H112:H120" si="623">+D112+F112</f>
        <v>0</v>
      </c>
      <c r="I112" s="1975">
        <f t="shared" ref="I112:I120" si="624">+E112+G112</f>
        <v>0</v>
      </c>
      <c r="J112" s="2677">
        <f>+J74</f>
        <v>0</v>
      </c>
      <c r="K112" s="2924">
        <f>+K74</f>
        <v>0</v>
      </c>
      <c r="L112" s="6315">
        <f t="shared" ref="L112:L120" si="625">+H112+J112</f>
        <v>0</v>
      </c>
      <c r="M112" s="2910">
        <f t="shared" ref="M112:M124" si="626">+I112+K112</f>
        <v>0</v>
      </c>
      <c r="N112" s="2677">
        <f>+N74</f>
        <v>0</v>
      </c>
      <c r="O112" s="2924">
        <f>+O74</f>
        <v>0</v>
      </c>
      <c r="P112" s="6314">
        <f t="shared" ref="P112:P120" si="627">+L112+N112</f>
        <v>0</v>
      </c>
      <c r="Q112" s="1975">
        <f t="shared" ref="Q112:Q120" si="628">+M112+O112</f>
        <v>0</v>
      </c>
      <c r="R112" s="2677">
        <f>+R74</f>
        <v>0</v>
      </c>
      <c r="S112" s="2924">
        <f>+S74</f>
        <v>0</v>
      </c>
      <c r="T112" s="6314">
        <f t="shared" ref="T112:T113" si="629">+P112+R112</f>
        <v>0</v>
      </c>
      <c r="U112" s="1975">
        <f t="shared" ref="U112:U113" si="630">+Q112+S112</f>
        <v>0</v>
      </c>
      <c r="V112" s="2677">
        <f>+V74</f>
        <v>0</v>
      </c>
      <c r="W112" s="2924">
        <f>+W74</f>
        <v>0</v>
      </c>
      <c r="X112" s="3046">
        <f t="shared" si="615"/>
        <v>0</v>
      </c>
      <c r="Y112" s="2070">
        <f t="shared" si="616"/>
        <v>0</v>
      </c>
      <c r="Z112" s="6547">
        <f t="shared" ref="Z112:Z113" si="631">+T112+V112</f>
        <v>0</v>
      </c>
      <c r="AA112" s="6714">
        <f t="shared" ref="AA112:AA113" si="632">+U112+W112</f>
        <v>0</v>
      </c>
      <c r="AB112" s="2677">
        <f>+AB74</f>
        <v>0</v>
      </c>
      <c r="AC112" s="2924">
        <f>+AC74</f>
        <v>0</v>
      </c>
      <c r="AD112" s="7325">
        <f t="shared" ref="AD112:AD113" si="633">+Z112+AB112</f>
        <v>0</v>
      </c>
      <c r="AE112" s="1975">
        <f t="shared" ref="AE112:AE113" si="634">+AA112+AC112</f>
        <v>0</v>
      </c>
      <c r="AF112" s="2677">
        <f>+AF74</f>
        <v>0</v>
      </c>
      <c r="AG112" s="2924">
        <f>+AG74</f>
        <v>0</v>
      </c>
      <c r="AH112" s="7554">
        <f t="shared" ref="AH112:AH113" si="635">+AD112+AF112</f>
        <v>0</v>
      </c>
      <c r="AI112" s="1975">
        <f t="shared" ref="AI112:AI113" si="636">+AE112+AG112</f>
        <v>0</v>
      </c>
      <c r="AJ112" s="2677">
        <f>+AJ74</f>
        <v>0</v>
      </c>
      <c r="AK112" s="2924">
        <f>+AK74</f>
        <v>0</v>
      </c>
      <c r="AL112" s="3046">
        <f t="shared" si="617"/>
        <v>0</v>
      </c>
      <c r="AM112" s="2070">
        <f t="shared" si="618"/>
        <v>0</v>
      </c>
      <c r="AN112" s="7701">
        <f t="shared" ref="AN112:AN113" si="637">+AH112+AJ112</f>
        <v>0</v>
      </c>
      <c r="AO112" s="1975">
        <f t="shared" ref="AO112:AO113" si="638">+AI112+AK112</f>
        <v>0</v>
      </c>
      <c r="AP112" s="2677">
        <f>+AP74</f>
        <v>0</v>
      </c>
      <c r="AQ112" s="2924">
        <f>+AQ74</f>
        <v>0</v>
      </c>
      <c r="AR112" s="8017">
        <f t="shared" ref="AR112:AR113" si="639">+AN112+AP112</f>
        <v>0</v>
      </c>
      <c r="AS112" s="1975">
        <f t="shared" ref="AS112:AS113" si="640">+AO112+AQ112</f>
        <v>0</v>
      </c>
      <c r="AT112" s="2677">
        <f>+AT74</f>
        <v>0</v>
      </c>
      <c r="AU112" s="2924">
        <f>+AU74</f>
        <v>0</v>
      </c>
      <c r="AV112" s="8149">
        <f t="shared" ref="AV112:AV113" si="641">+AR112+AT112</f>
        <v>0</v>
      </c>
      <c r="AW112" s="1975">
        <f t="shared" ref="AW112:AW113" si="642">+AS112+AU112</f>
        <v>0</v>
      </c>
      <c r="AX112" s="2677">
        <f>+AX74</f>
        <v>0</v>
      </c>
      <c r="AY112" s="2924">
        <f>+AY74</f>
        <v>0</v>
      </c>
      <c r="AZ112" s="3046">
        <f t="shared" si="619"/>
        <v>0</v>
      </c>
      <c r="BA112" s="2070">
        <f t="shared" si="620"/>
        <v>0</v>
      </c>
      <c r="BB112" s="3046">
        <f t="shared" si="621"/>
        <v>0</v>
      </c>
      <c r="BC112" s="2070">
        <f t="shared" si="622"/>
        <v>0</v>
      </c>
      <c r="BD112" s="8280">
        <f t="shared" ref="BD112:BD113" si="643">+AV112+AX112</f>
        <v>0</v>
      </c>
      <c r="BE112" s="6714">
        <f t="shared" ref="BE112:BE113" si="644">+AW112+AY112</f>
        <v>0</v>
      </c>
    </row>
    <row r="113" spans="1:57" ht="15" customHeight="1" x14ac:dyDescent="0.2">
      <c r="B113" s="1564" t="s">
        <v>1442</v>
      </c>
      <c r="C113" s="1570" t="s">
        <v>170</v>
      </c>
      <c r="D113" s="2677">
        <f>+D97</f>
        <v>0</v>
      </c>
      <c r="E113" s="2924">
        <f>+E97</f>
        <v>0</v>
      </c>
      <c r="F113" s="2677">
        <f>+F97</f>
        <v>0</v>
      </c>
      <c r="G113" s="2924">
        <f>+G97</f>
        <v>0</v>
      </c>
      <c r="H113" s="6314">
        <f t="shared" si="623"/>
        <v>0</v>
      </c>
      <c r="I113" s="1975">
        <f t="shared" si="624"/>
        <v>0</v>
      </c>
      <c r="J113" s="2677">
        <f>+J97</f>
        <v>0</v>
      </c>
      <c r="K113" s="2924">
        <f>+K97</f>
        <v>0</v>
      </c>
      <c r="L113" s="6315">
        <f t="shared" si="625"/>
        <v>0</v>
      </c>
      <c r="M113" s="2910">
        <f t="shared" si="626"/>
        <v>0</v>
      </c>
      <c r="N113" s="2677">
        <f>+N97</f>
        <v>0</v>
      </c>
      <c r="O113" s="2924">
        <f>+O97</f>
        <v>0</v>
      </c>
      <c r="P113" s="6314">
        <f t="shared" si="627"/>
        <v>0</v>
      </c>
      <c r="Q113" s="1975">
        <f t="shared" si="628"/>
        <v>0</v>
      </c>
      <c r="R113" s="2677">
        <f>+R97</f>
        <v>0</v>
      </c>
      <c r="S113" s="2924">
        <f>+S97</f>
        <v>0</v>
      </c>
      <c r="T113" s="6314">
        <f t="shared" si="629"/>
        <v>0</v>
      </c>
      <c r="U113" s="1975">
        <f t="shared" si="630"/>
        <v>0</v>
      </c>
      <c r="V113" s="2677">
        <f>+V97</f>
        <v>0</v>
      </c>
      <c r="W113" s="2924">
        <f>+W97</f>
        <v>0</v>
      </c>
      <c r="X113" s="3046">
        <f t="shared" si="615"/>
        <v>0</v>
      </c>
      <c r="Y113" s="2070">
        <f t="shared" si="616"/>
        <v>0</v>
      </c>
      <c r="Z113" s="6547">
        <f t="shared" si="631"/>
        <v>0</v>
      </c>
      <c r="AA113" s="6714">
        <f t="shared" si="632"/>
        <v>0</v>
      </c>
      <c r="AB113" s="2677">
        <f>+AB97</f>
        <v>0</v>
      </c>
      <c r="AC113" s="2924">
        <f>+AC97</f>
        <v>0</v>
      </c>
      <c r="AD113" s="7325">
        <f t="shared" si="633"/>
        <v>0</v>
      </c>
      <c r="AE113" s="1975">
        <f t="shared" si="634"/>
        <v>0</v>
      </c>
      <c r="AF113" s="2677">
        <f>+AF97</f>
        <v>0</v>
      </c>
      <c r="AG113" s="2924">
        <f>+AG97</f>
        <v>0</v>
      </c>
      <c r="AH113" s="7554">
        <f t="shared" si="635"/>
        <v>0</v>
      </c>
      <c r="AI113" s="1975">
        <f t="shared" si="636"/>
        <v>0</v>
      </c>
      <c r="AJ113" s="2677">
        <f>+AJ97</f>
        <v>0</v>
      </c>
      <c r="AK113" s="2924">
        <f>+AK97</f>
        <v>0</v>
      </c>
      <c r="AL113" s="3046">
        <f t="shared" si="617"/>
        <v>0</v>
      </c>
      <c r="AM113" s="2070">
        <f t="shared" si="618"/>
        <v>0</v>
      </c>
      <c r="AN113" s="7701">
        <f t="shared" si="637"/>
        <v>0</v>
      </c>
      <c r="AO113" s="1975">
        <f t="shared" si="638"/>
        <v>0</v>
      </c>
      <c r="AP113" s="2677">
        <f>+AP97</f>
        <v>0</v>
      </c>
      <c r="AQ113" s="2924">
        <f>+AQ97</f>
        <v>0</v>
      </c>
      <c r="AR113" s="8017">
        <f t="shared" si="639"/>
        <v>0</v>
      </c>
      <c r="AS113" s="1975">
        <f t="shared" si="640"/>
        <v>0</v>
      </c>
      <c r="AT113" s="2677">
        <f>+AT97</f>
        <v>0</v>
      </c>
      <c r="AU113" s="2924">
        <f>+AU97</f>
        <v>0</v>
      </c>
      <c r="AV113" s="8149">
        <f t="shared" si="641"/>
        <v>0</v>
      </c>
      <c r="AW113" s="1975">
        <f t="shared" si="642"/>
        <v>0</v>
      </c>
      <c r="AX113" s="2677">
        <f>+AX97</f>
        <v>0</v>
      </c>
      <c r="AY113" s="2924">
        <f>+AY97</f>
        <v>0</v>
      </c>
      <c r="AZ113" s="3046">
        <f t="shared" si="619"/>
        <v>0</v>
      </c>
      <c r="BA113" s="2070">
        <f t="shared" si="620"/>
        <v>0</v>
      </c>
      <c r="BB113" s="3046">
        <f t="shared" si="621"/>
        <v>0</v>
      </c>
      <c r="BC113" s="2070">
        <f t="shared" si="622"/>
        <v>0</v>
      </c>
      <c r="BD113" s="8280">
        <f t="shared" si="643"/>
        <v>0</v>
      </c>
      <c r="BE113" s="6714">
        <f t="shared" si="644"/>
        <v>0</v>
      </c>
    </row>
    <row r="114" spans="1:57" x14ac:dyDescent="0.2">
      <c r="B114" s="1531" t="s">
        <v>2121</v>
      </c>
      <c r="C114" s="1570" t="s">
        <v>170</v>
      </c>
      <c r="D114" s="6320">
        <f t="shared" ref="D114:W114" si="645">+D75+D94</f>
        <v>0</v>
      </c>
      <c r="E114" s="1818">
        <f t="shared" si="645"/>
        <v>0</v>
      </c>
      <c r="F114" s="6320">
        <f t="shared" si="645"/>
        <v>0</v>
      </c>
      <c r="G114" s="1818">
        <f t="shared" si="645"/>
        <v>0</v>
      </c>
      <c r="H114" s="6314">
        <f t="shared" si="645"/>
        <v>0</v>
      </c>
      <c r="I114" s="1975">
        <f t="shared" si="645"/>
        <v>0</v>
      </c>
      <c r="J114" s="6320">
        <f t="shared" si="645"/>
        <v>0</v>
      </c>
      <c r="K114" s="1818">
        <f t="shared" si="645"/>
        <v>0</v>
      </c>
      <c r="L114" s="6315">
        <f t="shared" si="645"/>
        <v>0</v>
      </c>
      <c r="M114" s="2910">
        <f t="shared" si="645"/>
        <v>0</v>
      </c>
      <c r="N114" s="6320">
        <f t="shared" si="645"/>
        <v>0</v>
      </c>
      <c r="O114" s="1818">
        <f t="shared" si="645"/>
        <v>6304</v>
      </c>
      <c r="P114" s="6314">
        <f t="shared" si="645"/>
        <v>0</v>
      </c>
      <c r="Q114" s="1975">
        <f t="shared" si="645"/>
        <v>6304</v>
      </c>
      <c r="R114" s="6320">
        <f t="shared" si="645"/>
        <v>0</v>
      </c>
      <c r="S114" s="1818">
        <f t="shared" si="645"/>
        <v>3467</v>
      </c>
      <c r="T114" s="6314">
        <f t="shared" si="645"/>
        <v>0</v>
      </c>
      <c r="U114" s="1975">
        <f t="shared" si="645"/>
        <v>9771</v>
      </c>
      <c r="V114" s="6550">
        <f t="shared" si="645"/>
        <v>0</v>
      </c>
      <c r="W114" s="1818">
        <f t="shared" si="645"/>
        <v>0</v>
      </c>
      <c r="X114" s="3046">
        <f t="shared" si="615"/>
        <v>0</v>
      </c>
      <c r="Y114" s="2070">
        <f t="shared" si="616"/>
        <v>9771</v>
      </c>
      <c r="Z114" s="6547">
        <f t="shared" ref="Z114:AK114" si="646">+Z75+Z94</f>
        <v>0</v>
      </c>
      <c r="AA114" s="6714">
        <f t="shared" si="646"/>
        <v>9771</v>
      </c>
      <c r="AB114" s="7324">
        <f t="shared" si="646"/>
        <v>0</v>
      </c>
      <c r="AC114" s="1818">
        <f t="shared" si="646"/>
        <v>0</v>
      </c>
      <c r="AD114" s="7325">
        <f t="shared" si="646"/>
        <v>0</v>
      </c>
      <c r="AE114" s="1975">
        <f t="shared" si="646"/>
        <v>9771</v>
      </c>
      <c r="AF114" s="7553">
        <f t="shared" si="646"/>
        <v>0</v>
      </c>
      <c r="AG114" s="1818">
        <f t="shared" si="646"/>
        <v>0</v>
      </c>
      <c r="AH114" s="7554">
        <f t="shared" si="646"/>
        <v>0</v>
      </c>
      <c r="AI114" s="1975">
        <f t="shared" si="646"/>
        <v>9771</v>
      </c>
      <c r="AJ114" s="7697">
        <f t="shared" si="646"/>
        <v>0</v>
      </c>
      <c r="AK114" s="1818">
        <f t="shared" si="646"/>
        <v>0</v>
      </c>
      <c r="AL114" s="3046">
        <f t="shared" si="617"/>
        <v>0</v>
      </c>
      <c r="AM114" s="2070">
        <f t="shared" si="618"/>
        <v>0</v>
      </c>
      <c r="AN114" s="7701">
        <f t="shared" ref="AN114:AS114" si="647">+AN75+AN94</f>
        <v>0</v>
      </c>
      <c r="AO114" s="1975">
        <f t="shared" si="647"/>
        <v>9771</v>
      </c>
      <c r="AP114" s="8021">
        <f t="shared" si="647"/>
        <v>0</v>
      </c>
      <c r="AQ114" s="1818">
        <f t="shared" si="647"/>
        <v>0</v>
      </c>
      <c r="AR114" s="8017">
        <f t="shared" si="647"/>
        <v>0</v>
      </c>
      <c r="AS114" s="1975">
        <f t="shared" si="647"/>
        <v>9771</v>
      </c>
      <c r="AT114" s="8144">
        <f t="shared" ref="AT114:AW114" si="648">+AT75+AT94</f>
        <v>0</v>
      </c>
      <c r="AU114" s="1818">
        <f t="shared" si="648"/>
        <v>0</v>
      </c>
      <c r="AV114" s="8149">
        <f t="shared" si="648"/>
        <v>0</v>
      </c>
      <c r="AW114" s="1975">
        <f t="shared" si="648"/>
        <v>9771</v>
      </c>
      <c r="AX114" s="8261">
        <f t="shared" ref="AX114:AY114" si="649">+AX75+AX94</f>
        <v>0</v>
      </c>
      <c r="AY114" s="1818">
        <f t="shared" si="649"/>
        <v>0</v>
      </c>
      <c r="AZ114" s="3046">
        <f t="shared" si="619"/>
        <v>0</v>
      </c>
      <c r="BA114" s="2070">
        <f t="shared" si="620"/>
        <v>0</v>
      </c>
      <c r="BB114" s="3046">
        <f t="shared" si="621"/>
        <v>0</v>
      </c>
      <c r="BC114" s="2070">
        <f t="shared" si="622"/>
        <v>0</v>
      </c>
      <c r="BD114" s="8280">
        <f t="shared" ref="BD114:BE114" si="650">+BD75+BD94</f>
        <v>0</v>
      </c>
      <c r="BE114" s="6714">
        <f t="shared" si="650"/>
        <v>9771</v>
      </c>
    </row>
    <row r="115" spans="1:57" x14ac:dyDescent="0.2">
      <c r="B115" s="1531" t="s">
        <v>37</v>
      </c>
      <c r="C115" s="1570" t="s">
        <v>170</v>
      </c>
      <c r="D115" s="2677">
        <f>+D99+D76</f>
        <v>12949.830889430159</v>
      </c>
      <c r="E115" s="2924">
        <f>+E99+E76</f>
        <v>12552</v>
      </c>
      <c r="F115" s="2677">
        <f>+F99+F76</f>
        <v>15230.434567935066</v>
      </c>
      <c r="G115" s="2924">
        <f>G99+G76</f>
        <v>14828</v>
      </c>
      <c r="H115" s="6314">
        <f t="shared" si="623"/>
        <v>28180.265457365225</v>
      </c>
      <c r="I115" s="1975">
        <f t="shared" si="624"/>
        <v>27380</v>
      </c>
      <c r="J115" s="2677">
        <f>+J99+J76</f>
        <v>17597.931347003512</v>
      </c>
      <c r="K115" s="2924">
        <f>K99+K76</f>
        <v>17862</v>
      </c>
      <c r="L115" s="4792">
        <f>L99+L76</f>
        <v>45778.196804368738</v>
      </c>
      <c r="M115" s="2015">
        <f>M99+M76</f>
        <v>45242</v>
      </c>
      <c r="N115" s="2677">
        <f>+N99+N76</f>
        <v>20339.469808541973</v>
      </c>
      <c r="O115" s="2924">
        <f>O99+O76</f>
        <v>21778</v>
      </c>
      <c r="P115" s="6314">
        <f t="shared" si="627"/>
        <v>66117.666612910718</v>
      </c>
      <c r="Q115" s="1975">
        <f t="shared" si="628"/>
        <v>67020</v>
      </c>
      <c r="R115" s="2677">
        <f>+R99+R76</f>
        <v>20339.469808541973</v>
      </c>
      <c r="S115" s="2924">
        <f>S99+S76</f>
        <v>26694</v>
      </c>
      <c r="T115" s="6314">
        <f t="shared" ref="T115:T120" si="651">+P115+R115</f>
        <v>86457.136421452684</v>
      </c>
      <c r="U115" s="1975">
        <f t="shared" ref="U115:U120" si="652">+Q115+S115</f>
        <v>93714</v>
      </c>
      <c r="V115" s="2677">
        <f>+V99+V76</f>
        <v>19683.357879234169</v>
      </c>
      <c r="W115" s="2924">
        <f>W99+W76</f>
        <v>21458</v>
      </c>
      <c r="X115" s="3046">
        <f t="shared" si="615"/>
        <v>60362.297496318119</v>
      </c>
      <c r="Y115" s="2070">
        <f t="shared" si="616"/>
        <v>69930</v>
      </c>
      <c r="Z115" s="6547">
        <f t="shared" ref="Z115:Z120" si="653">+T115+V115</f>
        <v>106140.49430068686</v>
      </c>
      <c r="AA115" s="6714">
        <f t="shared" ref="AA115:AA120" si="654">+U115+W115</f>
        <v>115172</v>
      </c>
      <c r="AB115" s="2677">
        <f>+AB99+AB76</f>
        <v>20339.469808541973</v>
      </c>
      <c r="AC115" s="2924">
        <f>AC99+AC76</f>
        <v>22063</v>
      </c>
      <c r="AD115" s="7325">
        <f t="shared" ref="AD115:AD120" si="655">+Z115+AB115</f>
        <v>126479.96410922884</v>
      </c>
      <c r="AE115" s="1975">
        <f t="shared" ref="AE115:AE120" si="656">+AA115+AC115</f>
        <v>137235</v>
      </c>
      <c r="AF115" s="2677">
        <f>+AF99+AF76</f>
        <v>19683.357879234169</v>
      </c>
      <c r="AG115" s="2924">
        <f>AG99+AG76</f>
        <v>20519</v>
      </c>
      <c r="AH115" s="7554">
        <f t="shared" ref="AH115:AH120" si="657">+AD115+AF115</f>
        <v>146163.32198846299</v>
      </c>
      <c r="AI115" s="1975">
        <f t="shared" ref="AI115:AI120" si="658">+AE115+AG115</f>
        <v>157754</v>
      </c>
      <c r="AJ115" s="2677">
        <f>+AJ99+AJ76</f>
        <v>20339.469808541973</v>
      </c>
      <c r="AK115" s="2924">
        <f>AK99+AK76</f>
        <v>19069.099999999999</v>
      </c>
      <c r="AL115" s="3046">
        <f t="shared" si="617"/>
        <v>60362.297496318111</v>
      </c>
      <c r="AM115" s="2070">
        <f t="shared" si="618"/>
        <v>61651.1</v>
      </c>
      <c r="AN115" s="7701">
        <f t="shared" ref="AN115:AN120" si="659">+AH115+AJ115</f>
        <v>166502.79179700496</v>
      </c>
      <c r="AO115" s="1975">
        <f t="shared" ref="AO115:AO120" si="660">+AI115+AK115</f>
        <v>176823.1</v>
      </c>
      <c r="AP115" s="2677">
        <f>+AP99+AP76</f>
        <v>20339.469808541973</v>
      </c>
      <c r="AQ115" s="2924">
        <f>AQ99+AQ76</f>
        <v>18745</v>
      </c>
      <c r="AR115" s="8017">
        <f t="shared" ref="AR115:AR120" si="661">+AN115+AP115</f>
        <v>186842.26160554693</v>
      </c>
      <c r="AS115" s="1975">
        <f t="shared" ref="AS115:AS120" si="662">+AO115+AQ115</f>
        <v>195568.1</v>
      </c>
      <c r="AT115" s="2677">
        <f>+AT99+AT76</f>
        <v>18371</v>
      </c>
      <c r="AU115" s="2924">
        <f>AU99+AU76</f>
        <v>18096</v>
      </c>
      <c r="AV115" s="8149">
        <f t="shared" ref="AV115:AV120" si="663">+AR115+AT115</f>
        <v>205213.26160554693</v>
      </c>
      <c r="AW115" s="1975">
        <f t="shared" ref="AW115:AW120" si="664">+AS115+AU115</f>
        <v>213664.1</v>
      </c>
      <c r="AX115" s="2677">
        <f>+AX99+AX76</f>
        <v>20339.4702</v>
      </c>
      <c r="AY115" s="2924">
        <f>AY99+AY76</f>
        <v>18283</v>
      </c>
      <c r="AZ115" s="3046">
        <f t="shared" si="619"/>
        <v>59049.940008541977</v>
      </c>
      <c r="BA115" s="2070">
        <f t="shared" si="620"/>
        <v>55124</v>
      </c>
      <c r="BB115" s="3046">
        <f t="shared" si="621"/>
        <v>119412.2375048601</v>
      </c>
      <c r="BC115" s="2070">
        <f t="shared" si="622"/>
        <v>116775.1</v>
      </c>
      <c r="BD115" s="8280">
        <f t="shared" ref="BD115:BD120" si="665">+AV115+AX115</f>
        <v>225552.73180554694</v>
      </c>
      <c r="BE115" s="6714">
        <f t="shared" ref="BE115:BE120" si="666">+AW115+AY115</f>
        <v>231947.1</v>
      </c>
    </row>
    <row r="116" spans="1:57" x14ac:dyDescent="0.2">
      <c r="B116" s="1564" t="s">
        <v>1398</v>
      </c>
      <c r="C116" s="1571" t="s">
        <v>170</v>
      </c>
      <c r="D116" s="2677">
        <f>+D95+D77</f>
        <v>7504.8753823496099</v>
      </c>
      <c r="E116" s="2924">
        <f>+E95+E77</f>
        <v>7280</v>
      </c>
      <c r="F116" s="2677">
        <f>+F95+F77</f>
        <v>8119.9170738319099</v>
      </c>
      <c r="G116" s="2924">
        <f>+G95+G77</f>
        <v>7875</v>
      </c>
      <c r="H116" s="6314">
        <f t="shared" si="623"/>
        <v>15624.79245618152</v>
      </c>
      <c r="I116" s="1975">
        <f t="shared" si="624"/>
        <v>15155</v>
      </c>
      <c r="J116" s="2677">
        <f>+J95+J77</f>
        <v>0</v>
      </c>
      <c r="K116" s="2924">
        <f>+K95+K77</f>
        <v>7800</v>
      </c>
      <c r="L116" s="6315">
        <f t="shared" si="625"/>
        <v>15624.79245618152</v>
      </c>
      <c r="M116" s="2910">
        <f t="shared" si="626"/>
        <v>22955</v>
      </c>
      <c r="N116" s="2677">
        <f>+N95+N77</f>
        <v>0</v>
      </c>
      <c r="O116" s="2924">
        <f>+O95+O77</f>
        <v>0</v>
      </c>
      <c r="P116" s="6314">
        <f t="shared" si="627"/>
        <v>15624.79245618152</v>
      </c>
      <c r="Q116" s="1975">
        <f t="shared" si="628"/>
        <v>22955</v>
      </c>
      <c r="R116" s="2677">
        <f>+R95+R77</f>
        <v>0</v>
      </c>
      <c r="S116" s="2924">
        <f>+S95+S77</f>
        <v>0</v>
      </c>
      <c r="T116" s="6314">
        <f t="shared" si="651"/>
        <v>15624.79245618152</v>
      </c>
      <c r="U116" s="1975">
        <f t="shared" si="652"/>
        <v>22955</v>
      </c>
      <c r="V116" s="2677">
        <f>+V95+V77</f>
        <v>0</v>
      </c>
      <c r="W116" s="2924">
        <f>+W95+W77</f>
        <v>0</v>
      </c>
      <c r="X116" s="3046">
        <f t="shared" si="615"/>
        <v>0</v>
      </c>
      <c r="Y116" s="2070">
        <f t="shared" si="616"/>
        <v>0</v>
      </c>
      <c r="Z116" s="6547">
        <f t="shared" si="653"/>
        <v>15624.79245618152</v>
      </c>
      <c r="AA116" s="6714">
        <f t="shared" si="654"/>
        <v>22955</v>
      </c>
      <c r="AB116" s="2677">
        <f>+AB95+AB77</f>
        <v>0</v>
      </c>
      <c r="AC116" s="2924">
        <f>+AC95+AC77</f>
        <v>0</v>
      </c>
      <c r="AD116" s="7325">
        <f t="shared" si="655"/>
        <v>15624.79245618152</v>
      </c>
      <c r="AE116" s="1975">
        <f t="shared" si="656"/>
        <v>22955</v>
      </c>
      <c r="AF116" s="2677">
        <f>+AF95+AF77</f>
        <v>0</v>
      </c>
      <c r="AG116" s="2924">
        <f>+AG95+AG77</f>
        <v>0</v>
      </c>
      <c r="AH116" s="7554">
        <f t="shared" si="657"/>
        <v>15624.79245618152</v>
      </c>
      <c r="AI116" s="1975">
        <f t="shared" si="658"/>
        <v>22955</v>
      </c>
      <c r="AJ116" s="2677">
        <f>+AJ95+AJ77</f>
        <v>0</v>
      </c>
      <c r="AK116" s="2924">
        <f>+AK95+AK77</f>
        <v>0</v>
      </c>
      <c r="AL116" s="3046">
        <f t="shared" si="617"/>
        <v>0</v>
      </c>
      <c r="AM116" s="2070">
        <f t="shared" si="618"/>
        <v>0</v>
      </c>
      <c r="AN116" s="7701">
        <f t="shared" si="659"/>
        <v>15624.79245618152</v>
      </c>
      <c r="AO116" s="1975">
        <f t="shared" si="660"/>
        <v>22955</v>
      </c>
      <c r="AP116" s="2677">
        <f>+AP95+AP77</f>
        <v>0</v>
      </c>
      <c r="AQ116" s="2924">
        <f>+AQ95+AQ77</f>
        <v>0</v>
      </c>
      <c r="AR116" s="8017">
        <f t="shared" si="661"/>
        <v>15624.79245618152</v>
      </c>
      <c r="AS116" s="1975">
        <f t="shared" si="662"/>
        <v>22955</v>
      </c>
      <c r="AT116" s="2677">
        <f>+AT95+AT77</f>
        <v>0</v>
      </c>
      <c r="AU116" s="2924">
        <f>+AU95+AU77</f>
        <v>0</v>
      </c>
      <c r="AV116" s="8149">
        <f t="shared" si="663"/>
        <v>15624.79245618152</v>
      </c>
      <c r="AW116" s="1975">
        <f t="shared" si="664"/>
        <v>22955</v>
      </c>
      <c r="AX116" s="2677">
        <f>+AX95+AX77</f>
        <v>0</v>
      </c>
      <c r="AY116" s="2924">
        <f>+AY95+AY77</f>
        <v>0</v>
      </c>
      <c r="AZ116" s="3046">
        <f t="shared" si="619"/>
        <v>0</v>
      </c>
      <c r="BA116" s="2070">
        <f t="shared" si="620"/>
        <v>0</v>
      </c>
      <c r="BB116" s="3046">
        <f t="shared" si="621"/>
        <v>0</v>
      </c>
      <c r="BC116" s="2070">
        <f t="shared" si="622"/>
        <v>0</v>
      </c>
      <c r="BD116" s="8280">
        <f t="shared" si="665"/>
        <v>15624.79245618152</v>
      </c>
      <c r="BE116" s="6714">
        <f t="shared" si="666"/>
        <v>22955</v>
      </c>
    </row>
    <row r="117" spans="1:57" ht="15" customHeight="1" x14ac:dyDescent="0.2">
      <c r="B117" s="1564" t="s">
        <v>1456</v>
      </c>
      <c r="C117" s="1571" t="s">
        <v>170</v>
      </c>
      <c r="D117" s="2839">
        <f>+D78</f>
        <v>0</v>
      </c>
      <c r="E117" s="4411">
        <f>+E78</f>
        <v>0</v>
      </c>
      <c r="F117" s="2839">
        <f>+F78</f>
        <v>0</v>
      </c>
      <c r="G117" s="4411">
        <f>+G78</f>
        <v>0</v>
      </c>
      <c r="H117" s="6314">
        <f t="shared" si="623"/>
        <v>0</v>
      </c>
      <c r="I117" s="1975">
        <f t="shared" si="624"/>
        <v>0</v>
      </c>
      <c r="J117" s="2839">
        <f>+J78</f>
        <v>0</v>
      </c>
      <c r="K117" s="4411">
        <f>+K78</f>
        <v>0</v>
      </c>
      <c r="L117" s="6315">
        <f t="shared" si="625"/>
        <v>0</v>
      </c>
      <c r="M117" s="2910">
        <f t="shared" si="626"/>
        <v>0</v>
      </c>
      <c r="N117" s="2839">
        <f>+N78</f>
        <v>0</v>
      </c>
      <c r="O117" s="4411">
        <f>+O78</f>
        <v>0</v>
      </c>
      <c r="P117" s="6314">
        <f t="shared" si="627"/>
        <v>0</v>
      </c>
      <c r="Q117" s="1975">
        <f t="shared" si="628"/>
        <v>0</v>
      </c>
      <c r="R117" s="2839">
        <f>+R78</f>
        <v>0</v>
      </c>
      <c r="S117" s="4411">
        <f>+S78</f>
        <v>0</v>
      </c>
      <c r="T117" s="6314">
        <f t="shared" si="651"/>
        <v>0</v>
      </c>
      <c r="U117" s="1975">
        <f t="shared" si="652"/>
        <v>0</v>
      </c>
      <c r="V117" s="2839">
        <f>+V78</f>
        <v>0</v>
      </c>
      <c r="W117" s="4411">
        <f>+W78</f>
        <v>0</v>
      </c>
      <c r="X117" s="3046">
        <f t="shared" si="615"/>
        <v>0</v>
      </c>
      <c r="Y117" s="2070">
        <f t="shared" si="616"/>
        <v>0</v>
      </c>
      <c r="Z117" s="6547">
        <f t="shared" si="653"/>
        <v>0</v>
      </c>
      <c r="AA117" s="6714">
        <f t="shared" si="654"/>
        <v>0</v>
      </c>
      <c r="AB117" s="2839">
        <f>+AB78</f>
        <v>0</v>
      </c>
      <c r="AC117" s="4411">
        <f>+AC78</f>
        <v>0</v>
      </c>
      <c r="AD117" s="7325">
        <f t="shared" si="655"/>
        <v>0</v>
      </c>
      <c r="AE117" s="1975">
        <f t="shared" si="656"/>
        <v>0</v>
      </c>
      <c r="AF117" s="2839">
        <f>+AF78</f>
        <v>0</v>
      </c>
      <c r="AG117" s="4411">
        <f>+AG78</f>
        <v>0</v>
      </c>
      <c r="AH117" s="7554">
        <f t="shared" si="657"/>
        <v>0</v>
      </c>
      <c r="AI117" s="1975">
        <f t="shared" si="658"/>
        <v>0</v>
      </c>
      <c r="AJ117" s="2839">
        <f>+AJ78</f>
        <v>0</v>
      </c>
      <c r="AK117" s="4411">
        <f>+AK78</f>
        <v>0</v>
      </c>
      <c r="AL117" s="3046">
        <f t="shared" si="617"/>
        <v>0</v>
      </c>
      <c r="AM117" s="2070">
        <f t="shared" si="618"/>
        <v>0</v>
      </c>
      <c r="AN117" s="7701">
        <f t="shared" si="659"/>
        <v>0</v>
      </c>
      <c r="AO117" s="1975">
        <f t="shared" si="660"/>
        <v>0</v>
      </c>
      <c r="AP117" s="2839">
        <f>+AP78</f>
        <v>0</v>
      </c>
      <c r="AQ117" s="4411">
        <f>+AQ78</f>
        <v>0</v>
      </c>
      <c r="AR117" s="8017">
        <f t="shared" si="661"/>
        <v>0</v>
      </c>
      <c r="AS117" s="1975">
        <f t="shared" si="662"/>
        <v>0</v>
      </c>
      <c r="AT117" s="2839">
        <f>+AT78</f>
        <v>0</v>
      </c>
      <c r="AU117" s="4411">
        <f>+AU78</f>
        <v>0</v>
      </c>
      <c r="AV117" s="8149">
        <f t="shared" si="663"/>
        <v>0</v>
      </c>
      <c r="AW117" s="1975">
        <f t="shared" si="664"/>
        <v>0</v>
      </c>
      <c r="AX117" s="2839">
        <f>+AX78</f>
        <v>0</v>
      </c>
      <c r="AY117" s="4411">
        <f>+AY78</f>
        <v>0</v>
      </c>
      <c r="AZ117" s="3046">
        <f t="shared" si="619"/>
        <v>0</v>
      </c>
      <c r="BA117" s="2070">
        <f t="shared" si="620"/>
        <v>0</v>
      </c>
      <c r="BB117" s="3046">
        <f t="shared" si="621"/>
        <v>0</v>
      </c>
      <c r="BC117" s="2070">
        <f t="shared" si="622"/>
        <v>0</v>
      </c>
      <c r="BD117" s="8280">
        <f t="shared" si="665"/>
        <v>0</v>
      </c>
      <c r="BE117" s="6714">
        <f t="shared" si="666"/>
        <v>0</v>
      </c>
    </row>
    <row r="118" spans="1:57" x14ac:dyDescent="0.2">
      <c r="B118" s="1564" t="s">
        <v>1471</v>
      </c>
      <c r="C118" s="1571" t="s">
        <v>170</v>
      </c>
      <c r="D118" s="2677">
        <f>+D98+D79</f>
        <v>7443.9777364903139</v>
      </c>
      <c r="E118" s="2924">
        <f>+E98+E79</f>
        <v>7214</v>
      </c>
      <c r="F118" s="2677">
        <f>+F98+F79</f>
        <v>8536.7366860929942</v>
      </c>
      <c r="G118" s="2924">
        <f>G79+G98</f>
        <v>8315</v>
      </c>
      <c r="H118" s="6314">
        <f t="shared" si="623"/>
        <v>15980.714422583307</v>
      </c>
      <c r="I118" s="1975">
        <f t="shared" si="624"/>
        <v>15529</v>
      </c>
      <c r="J118" s="2677">
        <f>+J98+J79</f>
        <v>10027.339413164158</v>
      </c>
      <c r="K118" s="2924">
        <f>K79+K98</f>
        <v>13085</v>
      </c>
      <c r="L118" s="6315">
        <f t="shared" si="625"/>
        <v>26008.053835747465</v>
      </c>
      <c r="M118" s="2910">
        <f t="shared" si="626"/>
        <v>28614</v>
      </c>
      <c r="N118" s="2677">
        <f>+N98+N79</f>
        <v>11464.854990370455</v>
      </c>
      <c r="O118" s="2924">
        <f>O79+O98</f>
        <v>21784</v>
      </c>
      <c r="P118" s="6314">
        <f t="shared" si="627"/>
        <v>37472.90882611792</v>
      </c>
      <c r="Q118" s="1975">
        <f t="shared" si="628"/>
        <v>50398</v>
      </c>
      <c r="R118" s="2677">
        <f>+R98+R79</f>
        <v>11464.854990370455</v>
      </c>
      <c r="S118" s="2924">
        <f>S79+S98</f>
        <v>21170</v>
      </c>
      <c r="T118" s="6314">
        <f t="shared" si="651"/>
        <v>48937.763816488376</v>
      </c>
      <c r="U118" s="1975">
        <f t="shared" si="652"/>
        <v>71568</v>
      </c>
      <c r="V118" s="2677">
        <f>+V98+V79</f>
        <v>11095.02095842302</v>
      </c>
      <c r="W118" s="2924">
        <f>W79+W98</f>
        <v>13042</v>
      </c>
      <c r="X118" s="3046">
        <f t="shared" si="615"/>
        <v>34024.730939163928</v>
      </c>
      <c r="Y118" s="2070">
        <f t="shared" si="616"/>
        <v>55996</v>
      </c>
      <c r="Z118" s="6547">
        <f t="shared" si="653"/>
        <v>60032.784774911393</v>
      </c>
      <c r="AA118" s="6714">
        <f t="shared" si="654"/>
        <v>84610</v>
      </c>
      <c r="AB118" s="2677">
        <f>+AB98+AB79</f>
        <v>11464.854990370455</v>
      </c>
      <c r="AC118" s="2924">
        <f>AC79+AC98</f>
        <v>14089</v>
      </c>
      <c r="AD118" s="7325">
        <f t="shared" si="655"/>
        <v>71497.639765281841</v>
      </c>
      <c r="AE118" s="1975">
        <f t="shared" si="656"/>
        <v>98699</v>
      </c>
      <c r="AF118" s="2677">
        <f>+AF98+AF79</f>
        <v>11095.02095842302</v>
      </c>
      <c r="AG118" s="2924">
        <f>AG79+AG98</f>
        <v>13935</v>
      </c>
      <c r="AH118" s="7554">
        <f t="shared" si="657"/>
        <v>82592.660723704859</v>
      </c>
      <c r="AI118" s="1975">
        <f t="shared" si="658"/>
        <v>112634</v>
      </c>
      <c r="AJ118" s="2677">
        <f>+AJ98+AJ79</f>
        <v>11464.854990370455</v>
      </c>
      <c r="AK118" s="2924">
        <f>AK79+AK98</f>
        <v>16622.8</v>
      </c>
      <c r="AL118" s="3046">
        <f t="shared" si="617"/>
        <v>34024.730939163928</v>
      </c>
      <c r="AM118" s="2070">
        <f t="shared" si="618"/>
        <v>44646.8</v>
      </c>
      <c r="AN118" s="7701">
        <f t="shared" si="659"/>
        <v>94057.515714075314</v>
      </c>
      <c r="AO118" s="1975">
        <f t="shared" si="660"/>
        <v>129256.8</v>
      </c>
      <c r="AP118" s="2677">
        <f>+AP98+AP79</f>
        <v>11464.854990370455</v>
      </c>
      <c r="AQ118" s="2924">
        <f>AQ79+AQ98</f>
        <v>16914</v>
      </c>
      <c r="AR118" s="8017">
        <f t="shared" si="661"/>
        <v>105522.37070444577</v>
      </c>
      <c r="AS118" s="1975">
        <f t="shared" si="662"/>
        <v>146170.79999999999</v>
      </c>
      <c r="AT118" s="2677">
        <f>+AT98+AT79</f>
        <v>10355</v>
      </c>
      <c r="AU118" s="2924">
        <f>AU79+AU98</f>
        <v>15864</v>
      </c>
      <c r="AV118" s="8149">
        <f t="shared" si="663"/>
        <v>115877.37070444577</v>
      </c>
      <c r="AW118" s="1975">
        <f t="shared" si="664"/>
        <v>162034.79999999999</v>
      </c>
      <c r="AX118" s="2677">
        <f>+AX98+AX79</f>
        <v>11464.854800000001</v>
      </c>
      <c r="AY118" s="2924">
        <f>AY79+AY98</f>
        <v>16908</v>
      </c>
      <c r="AZ118" s="3046">
        <f t="shared" si="619"/>
        <v>33284.709790370456</v>
      </c>
      <c r="BA118" s="2070">
        <f t="shared" si="620"/>
        <v>49686</v>
      </c>
      <c r="BB118" s="3046">
        <f t="shared" si="621"/>
        <v>67309.440729534384</v>
      </c>
      <c r="BC118" s="2070">
        <f t="shared" si="622"/>
        <v>94332.800000000003</v>
      </c>
      <c r="BD118" s="8280">
        <f t="shared" si="665"/>
        <v>127342.22550444577</v>
      </c>
      <c r="BE118" s="6714">
        <f t="shared" si="666"/>
        <v>178942.8</v>
      </c>
    </row>
    <row r="119" spans="1:57" x14ac:dyDescent="0.2">
      <c r="B119" s="1531" t="s">
        <v>1211</v>
      </c>
      <c r="C119" s="1571" t="s">
        <v>170</v>
      </c>
      <c r="D119" s="2677">
        <f>+D94+D80</f>
        <v>0</v>
      </c>
      <c r="E119" s="2924">
        <f>+E94+E80</f>
        <v>0</v>
      </c>
      <c r="F119" s="2677">
        <f>+F94+F80</f>
        <v>0</v>
      </c>
      <c r="G119" s="2924">
        <f>+G94+G80</f>
        <v>0</v>
      </c>
      <c r="H119" s="6314">
        <f t="shared" si="623"/>
        <v>0</v>
      </c>
      <c r="I119" s="1975">
        <f t="shared" si="624"/>
        <v>0</v>
      </c>
      <c r="J119" s="2677">
        <f>+J94+J80</f>
        <v>0</v>
      </c>
      <c r="K119" s="2924">
        <f>+K94+K80</f>
        <v>0</v>
      </c>
      <c r="L119" s="6315">
        <f t="shared" si="625"/>
        <v>0</v>
      </c>
      <c r="M119" s="2910">
        <f t="shared" si="626"/>
        <v>0</v>
      </c>
      <c r="N119" s="2677">
        <f>+N94+N80</f>
        <v>0</v>
      </c>
      <c r="O119" s="2924">
        <f>+O94+O80</f>
        <v>4109</v>
      </c>
      <c r="P119" s="6314">
        <f t="shared" si="627"/>
        <v>0</v>
      </c>
      <c r="Q119" s="1975">
        <f t="shared" si="628"/>
        <v>4109</v>
      </c>
      <c r="R119" s="2677">
        <f>+R94+R80</f>
        <v>0</v>
      </c>
      <c r="S119" s="2924">
        <f>+S94+S80</f>
        <v>1227</v>
      </c>
      <c r="T119" s="6314">
        <f t="shared" si="651"/>
        <v>0</v>
      </c>
      <c r="U119" s="1975">
        <f t="shared" si="652"/>
        <v>5336</v>
      </c>
      <c r="V119" s="2677">
        <f>+V94+V80</f>
        <v>0</v>
      </c>
      <c r="W119" s="2924">
        <f>+W94+W80</f>
        <v>0</v>
      </c>
      <c r="X119" s="3046">
        <f t="shared" si="615"/>
        <v>0</v>
      </c>
      <c r="Y119" s="2070">
        <f t="shared" si="616"/>
        <v>5336</v>
      </c>
      <c r="Z119" s="6547">
        <f t="shared" si="653"/>
        <v>0</v>
      </c>
      <c r="AA119" s="6714">
        <f t="shared" si="654"/>
        <v>5336</v>
      </c>
      <c r="AB119" s="2677">
        <f>+AB94+AB80</f>
        <v>0</v>
      </c>
      <c r="AC119" s="2924">
        <f>+AC94+AC80</f>
        <v>0</v>
      </c>
      <c r="AD119" s="7325">
        <f t="shared" si="655"/>
        <v>0</v>
      </c>
      <c r="AE119" s="1975">
        <f t="shared" si="656"/>
        <v>5336</v>
      </c>
      <c r="AF119" s="2677">
        <f>+AF94+AF80</f>
        <v>0</v>
      </c>
      <c r="AG119" s="2924">
        <f>+AG94+AG80</f>
        <v>0</v>
      </c>
      <c r="AH119" s="7554">
        <f t="shared" si="657"/>
        <v>0</v>
      </c>
      <c r="AI119" s="1975">
        <f t="shared" si="658"/>
        <v>5336</v>
      </c>
      <c r="AJ119" s="2677">
        <f>+AJ94+AJ80</f>
        <v>0</v>
      </c>
      <c r="AK119" s="2924">
        <f>+AK94+AK80</f>
        <v>0</v>
      </c>
      <c r="AL119" s="3046">
        <f t="shared" si="617"/>
        <v>0</v>
      </c>
      <c r="AM119" s="2070">
        <f t="shared" si="618"/>
        <v>0</v>
      </c>
      <c r="AN119" s="7701">
        <f t="shared" si="659"/>
        <v>0</v>
      </c>
      <c r="AO119" s="1975">
        <f t="shared" si="660"/>
        <v>5336</v>
      </c>
      <c r="AP119" s="2677">
        <f>+AP94+AP80</f>
        <v>0</v>
      </c>
      <c r="AQ119" s="2924">
        <f>+AQ94+AQ80</f>
        <v>0</v>
      </c>
      <c r="AR119" s="8017">
        <f t="shared" si="661"/>
        <v>0</v>
      </c>
      <c r="AS119" s="1975">
        <f t="shared" si="662"/>
        <v>5336</v>
      </c>
      <c r="AT119" s="2677">
        <f>+AT94+AT80</f>
        <v>0</v>
      </c>
      <c r="AU119" s="2924">
        <f>+AU94+AU80</f>
        <v>0</v>
      </c>
      <c r="AV119" s="8149">
        <f t="shared" si="663"/>
        <v>0</v>
      </c>
      <c r="AW119" s="1975">
        <f t="shared" si="664"/>
        <v>5336</v>
      </c>
      <c r="AX119" s="2677">
        <f>+AX94+AX80</f>
        <v>0</v>
      </c>
      <c r="AY119" s="2924">
        <f>+AY94+AY80</f>
        <v>0</v>
      </c>
      <c r="AZ119" s="3046">
        <f t="shared" si="619"/>
        <v>0</v>
      </c>
      <c r="BA119" s="2070">
        <f t="shared" si="620"/>
        <v>0</v>
      </c>
      <c r="BB119" s="3046">
        <f t="shared" si="621"/>
        <v>0</v>
      </c>
      <c r="BC119" s="2070">
        <f t="shared" si="622"/>
        <v>0</v>
      </c>
      <c r="BD119" s="8280">
        <f t="shared" si="665"/>
        <v>0</v>
      </c>
      <c r="BE119" s="6714">
        <f t="shared" si="666"/>
        <v>5336</v>
      </c>
    </row>
    <row r="120" spans="1:57" ht="15.75" customHeight="1" thickBot="1" x14ac:dyDescent="0.25">
      <c r="B120" s="1567" t="s">
        <v>1431</v>
      </c>
      <c r="C120" s="1571" t="s">
        <v>170</v>
      </c>
      <c r="D120" s="5092">
        <f>+D96</f>
        <v>0</v>
      </c>
      <c r="E120" s="2316">
        <f>+E96</f>
        <v>0</v>
      </c>
      <c r="F120" s="5092">
        <f>+F96</f>
        <v>0</v>
      </c>
      <c r="G120" s="2316">
        <f>+G96</f>
        <v>0</v>
      </c>
      <c r="H120" s="6314">
        <f t="shared" si="623"/>
        <v>0</v>
      </c>
      <c r="I120" s="1975">
        <f t="shared" si="624"/>
        <v>0</v>
      </c>
      <c r="J120" s="5092">
        <f>+J96</f>
        <v>0</v>
      </c>
      <c r="K120" s="2316">
        <f>+K96</f>
        <v>0</v>
      </c>
      <c r="L120" s="6315">
        <f t="shared" si="625"/>
        <v>0</v>
      </c>
      <c r="M120" s="2910">
        <f t="shared" si="626"/>
        <v>0</v>
      </c>
      <c r="N120" s="5092">
        <f>+N96</f>
        <v>0</v>
      </c>
      <c r="O120" s="2316">
        <f>+O96</f>
        <v>0</v>
      </c>
      <c r="P120" s="6314">
        <f t="shared" si="627"/>
        <v>0</v>
      </c>
      <c r="Q120" s="1975">
        <f t="shared" si="628"/>
        <v>0</v>
      </c>
      <c r="R120" s="5092">
        <f>+R96</f>
        <v>0</v>
      </c>
      <c r="S120" s="2316">
        <f>+S96</f>
        <v>0</v>
      </c>
      <c r="T120" s="6314">
        <f t="shared" si="651"/>
        <v>0</v>
      </c>
      <c r="U120" s="1975">
        <f t="shared" si="652"/>
        <v>0</v>
      </c>
      <c r="V120" s="5092">
        <f>+V96</f>
        <v>0</v>
      </c>
      <c r="W120" s="2316">
        <f>+W96</f>
        <v>0</v>
      </c>
      <c r="X120" s="3046">
        <f t="shared" si="615"/>
        <v>0</v>
      </c>
      <c r="Y120" s="2070">
        <f t="shared" si="616"/>
        <v>0</v>
      </c>
      <c r="Z120" s="6547">
        <f t="shared" si="653"/>
        <v>0</v>
      </c>
      <c r="AA120" s="6714">
        <f t="shared" si="654"/>
        <v>0</v>
      </c>
      <c r="AB120" s="5092">
        <f>+AB96</f>
        <v>0</v>
      </c>
      <c r="AC120" s="2316">
        <f>+AC96</f>
        <v>0</v>
      </c>
      <c r="AD120" s="7325">
        <f t="shared" si="655"/>
        <v>0</v>
      </c>
      <c r="AE120" s="1975">
        <f t="shared" si="656"/>
        <v>0</v>
      </c>
      <c r="AF120" s="5092">
        <f>+AF96</f>
        <v>0</v>
      </c>
      <c r="AG120" s="2316">
        <f>+AG96</f>
        <v>0</v>
      </c>
      <c r="AH120" s="7554">
        <f t="shared" si="657"/>
        <v>0</v>
      </c>
      <c r="AI120" s="1975">
        <f t="shared" si="658"/>
        <v>0</v>
      </c>
      <c r="AJ120" s="5092">
        <f>+AJ96</f>
        <v>0</v>
      </c>
      <c r="AK120" s="2316">
        <f>+AK96</f>
        <v>0</v>
      </c>
      <c r="AL120" s="3046">
        <f t="shared" si="617"/>
        <v>0</v>
      </c>
      <c r="AM120" s="2070">
        <f t="shared" si="618"/>
        <v>0</v>
      </c>
      <c r="AN120" s="7701">
        <f t="shared" si="659"/>
        <v>0</v>
      </c>
      <c r="AO120" s="1975">
        <f t="shared" si="660"/>
        <v>0</v>
      </c>
      <c r="AP120" s="5092">
        <f>+AP96</f>
        <v>0</v>
      </c>
      <c r="AQ120" s="2316">
        <f>+AQ96</f>
        <v>0</v>
      </c>
      <c r="AR120" s="8017">
        <f t="shared" si="661"/>
        <v>0</v>
      </c>
      <c r="AS120" s="1975">
        <f t="shared" si="662"/>
        <v>0</v>
      </c>
      <c r="AT120" s="5092">
        <f>+AT96</f>
        <v>0</v>
      </c>
      <c r="AU120" s="2316">
        <f>+AU96</f>
        <v>0</v>
      </c>
      <c r="AV120" s="8149">
        <f t="shared" si="663"/>
        <v>0</v>
      </c>
      <c r="AW120" s="1975">
        <f t="shared" si="664"/>
        <v>0</v>
      </c>
      <c r="AX120" s="5092">
        <f>+AX96</f>
        <v>0</v>
      </c>
      <c r="AY120" s="2316">
        <f>+AY96</f>
        <v>0</v>
      </c>
      <c r="AZ120" s="3046">
        <f t="shared" si="619"/>
        <v>0</v>
      </c>
      <c r="BA120" s="2070">
        <f t="shared" si="620"/>
        <v>0</v>
      </c>
      <c r="BB120" s="3046">
        <f t="shared" si="621"/>
        <v>0</v>
      </c>
      <c r="BC120" s="2070">
        <f t="shared" si="622"/>
        <v>0</v>
      </c>
      <c r="BD120" s="8280">
        <f t="shared" si="665"/>
        <v>0</v>
      </c>
      <c r="BE120" s="6714">
        <f t="shared" si="666"/>
        <v>0</v>
      </c>
    </row>
    <row r="121" spans="1:57" ht="17" thickBot="1" x14ac:dyDescent="0.25">
      <c r="B121" s="1565" t="s">
        <v>40</v>
      </c>
      <c r="C121" s="1572" t="s">
        <v>170</v>
      </c>
      <c r="D121" s="5195">
        <f t="shared" ref="D121:M121" si="667">SUM(D111:D120)</f>
        <v>84811.95220811147</v>
      </c>
      <c r="E121" s="1677">
        <f t="shared" si="667"/>
        <v>82228</v>
      </c>
      <c r="F121" s="5195">
        <f t="shared" ref="F121" si="668">SUM(F111:F120)</f>
        <v>88138.38246822475</v>
      </c>
      <c r="G121" s="2262">
        <f>SUM(G111:G120)</f>
        <v>85753</v>
      </c>
      <c r="H121" s="2784">
        <f t="shared" si="667"/>
        <v>172950.33467633624</v>
      </c>
      <c r="I121" s="1914">
        <f t="shared" si="667"/>
        <v>167981</v>
      </c>
      <c r="J121" s="5195">
        <f t="shared" ref="J121" si="669">SUM(J111:J120)</f>
        <v>99872.037498583886</v>
      </c>
      <c r="K121" s="2262">
        <f t="shared" ref="K121" si="670">SUM(K111:K120)</f>
        <v>98297</v>
      </c>
      <c r="L121" s="2951">
        <f t="shared" si="667"/>
        <v>272822.37217492011</v>
      </c>
      <c r="M121" s="2071">
        <f t="shared" si="667"/>
        <v>266278</v>
      </c>
      <c r="N121" s="5195">
        <f t="shared" ref="N121:O121" si="671">SUM(N111:N120)</f>
        <v>115356.08530644613</v>
      </c>
      <c r="O121" s="2262">
        <f t="shared" si="671"/>
        <v>116693</v>
      </c>
      <c r="P121" s="2784">
        <f t="shared" ref="P121:S121" si="672">SUM(P111:P120)</f>
        <v>388178.45748136623</v>
      </c>
      <c r="Q121" s="1914">
        <f t="shared" si="672"/>
        <v>382971</v>
      </c>
      <c r="R121" s="5195">
        <f t="shared" si="672"/>
        <v>115356.08530644613</v>
      </c>
      <c r="S121" s="2262">
        <f t="shared" si="672"/>
        <v>121515</v>
      </c>
      <c r="T121" s="2784">
        <f t="shared" ref="T121:W121" si="673">SUM(T111:T120)</f>
        <v>503534.54278781236</v>
      </c>
      <c r="U121" s="1914">
        <f t="shared" si="673"/>
        <v>504486</v>
      </c>
      <c r="V121" s="5195">
        <f t="shared" si="673"/>
        <v>111634.92126430271</v>
      </c>
      <c r="W121" s="2262">
        <f t="shared" si="673"/>
        <v>102184</v>
      </c>
      <c r="X121" s="2951">
        <f t="shared" ref="X121:Y121" si="674">SUM(X111:X120)</f>
        <v>342347.09187719499</v>
      </c>
      <c r="Y121" s="2071">
        <f t="shared" si="674"/>
        <v>340392</v>
      </c>
      <c r="Z121" s="6511">
        <f t="shared" ref="Z121:AM121" si="675">SUM(Z111:Z120)</f>
        <v>615169.46405211498</v>
      </c>
      <c r="AA121" s="6630">
        <f t="shared" si="675"/>
        <v>606670</v>
      </c>
      <c r="AB121" s="5195">
        <f t="shared" si="675"/>
        <v>115356.08530644613</v>
      </c>
      <c r="AC121" s="2262">
        <f t="shared" si="675"/>
        <v>110704</v>
      </c>
      <c r="AD121" s="2784">
        <f t="shared" si="675"/>
        <v>730525.54935856105</v>
      </c>
      <c r="AE121" s="1914">
        <f t="shared" si="675"/>
        <v>717374</v>
      </c>
      <c r="AF121" s="5195">
        <f t="shared" si="675"/>
        <v>111634.92126430271</v>
      </c>
      <c r="AG121" s="2262">
        <f t="shared" si="675"/>
        <v>104619</v>
      </c>
      <c r="AH121" s="2784">
        <f t="shared" si="675"/>
        <v>842160.47062286385</v>
      </c>
      <c r="AI121" s="1914">
        <f t="shared" si="675"/>
        <v>821993</v>
      </c>
      <c r="AJ121" s="5195">
        <f t="shared" si="675"/>
        <v>115356.08530644613</v>
      </c>
      <c r="AK121" s="2262">
        <f t="shared" si="675"/>
        <v>113755.00000000001</v>
      </c>
      <c r="AL121" s="2951">
        <f t="shared" si="675"/>
        <v>342347.09187719499</v>
      </c>
      <c r="AM121" s="2071">
        <f t="shared" si="675"/>
        <v>329078</v>
      </c>
      <c r="AN121" s="2784">
        <f t="shared" ref="AN121:AS121" si="676">SUM(AN111:AN120)</f>
        <v>957516.55592930992</v>
      </c>
      <c r="AO121" s="1914">
        <f t="shared" si="676"/>
        <v>935748</v>
      </c>
      <c r="AP121" s="5195">
        <f t="shared" si="676"/>
        <v>115356.08530644613</v>
      </c>
      <c r="AQ121" s="2262">
        <f t="shared" si="676"/>
        <v>113943</v>
      </c>
      <c r="AR121" s="2784">
        <f t="shared" si="676"/>
        <v>1072872.641235756</v>
      </c>
      <c r="AS121" s="1914">
        <f t="shared" si="676"/>
        <v>1049691</v>
      </c>
      <c r="AT121" s="5195">
        <f t="shared" ref="AT121:AW121" si="677">SUM(AT111:AT120)</f>
        <v>104192</v>
      </c>
      <c r="AU121" s="2262">
        <f t="shared" si="677"/>
        <v>104912</v>
      </c>
      <c r="AV121" s="2784">
        <f t="shared" si="677"/>
        <v>1177064.641235756</v>
      </c>
      <c r="AW121" s="1914">
        <f t="shared" si="677"/>
        <v>1154603</v>
      </c>
      <c r="AX121" s="5195">
        <f t="shared" ref="AX121:BE121" si="678">SUM(AX111:AX120)</f>
        <v>115356.0857</v>
      </c>
      <c r="AY121" s="2262">
        <f t="shared" si="678"/>
        <v>111764</v>
      </c>
      <c r="AZ121" s="2951">
        <f t="shared" si="678"/>
        <v>334904.17100644612</v>
      </c>
      <c r="BA121" s="2071">
        <f t="shared" si="678"/>
        <v>330619</v>
      </c>
      <c r="BB121" s="2951">
        <f t="shared" si="621"/>
        <v>677251.26288364106</v>
      </c>
      <c r="BC121" s="2071">
        <f t="shared" si="622"/>
        <v>659697</v>
      </c>
      <c r="BD121" s="6511">
        <f t="shared" si="678"/>
        <v>1292420.7269357562</v>
      </c>
      <c r="BE121" s="6630">
        <f t="shared" si="678"/>
        <v>1266367</v>
      </c>
    </row>
    <row r="122" spans="1:57" x14ac:dyDescent="0.2">
      <c r="B122" s="1566" t="s">
        <v>1429</v>
      </c>
      <c r="C122" s="4200" t="s">
        <v>170</v>
      </c>
      <c r="D122" s="5986">
        <f>+D101+D82</f>
        <v>22240.608645825308</v>
      </c>
      <c r="E122" s="1645">
        <f>+E101+E82</f>
        <v>21558</v>
      </c>
      <c r="F122" s="5986">
        <f>+F101+F82</f>
        <v>23835.902668080078</v>
      </c>
      <c r="G122" s="1645">
        <f>+G101+G82</f>
        <v>23193</v>
      </c>
      <c r="H122" s="6314">
        <f t="shared" ref="H122:H124" si="679">+D122+F122</f>
        <v>46076.511313905386</v>
      </c>
      <c r="I122" s="1975">
        <f t="shared" ref="I122:I124" si="680">+E122+G122</f>
        <v>44751</v>
      </c>
      <c r="J122" s="5986">
        <f>+J101+J82</f>
        <v>25707.496884558743</v>
      </c>
      <c r="K122" s="1645">
        <f>+K101+K82</f>
        <v>24839</v>
      </c>
      <c r="L122" s="6315">
        <f>+H122+J122</f>
        <v>71784.008198464129</v>
      </c>
      <c r="M122" s="2910">
        <f t="shared" si="626"/>
        <v>69590</v>
      </c>
      <c r="N122" s="5986">
        <f>+N101+N82</f>
        <v>29812.099807409086</v>
      </c>
      <c r="O122" s="1645">
        <f>+O101+O82</f>
        <v>23217</v>
      </c>
      <c r="P122" s="6314">
        <f t="shared" ref="P122:P124" si="681">+L122+N122</f>
        <v>101596.10800587322</v>
      </c>
      <c r="Q122" s="1975">
        <f t="shared" ref="Q122:Q124" si="682">+M122+O122</f>
        <v>92807</v>
      </c>
      <c r="R122" s="5986">
        <f>+R101+R82</f>
        <v>29812.099807409086</v>
      </c>
      <c r="S122" s="1645">
        <f>+S101+S82</f>
        <v>24762</v>
      </c>
      <c r="T122" s="6314">
        <f t="shared" ref="T122:T124" si="683">+P122+R122</f>
        <v>131408.20781328229</v>
      </c>
      <c r="U122" s="1975">
        <f t="shared" ref="U122:U124" si="684">+Q122+S122</f>
        <v>117569</v>
      </c>
      <c r="V122" s="5986">
        <f>+V101+V82</f>
        <v>28850.419168460408</v>
      </c>
      <c r="W122" s="1645">
        <f>+W101+W82</f>
        <v>26220</v>
      </c>
      <c r="X122" s="3046">
        <f t="shared" ref="X122:X124" si="685">+N122+R122+V122</f>
        <v>88474.61878327858</v>
      </c>
      <c r="Y122" s="2070">
        <f t="shared" ref="Y122:Y124" si="686">+O122+S122+W122</f>
        <v>74199</v>
      </c>
      <c r="Z122" s="6547">
        <f t="shared" ref="Z122:Z124" si="687">+T122+V122</f>
        <v>160258.62698174271</v>
      </c>
      <c r="AA122" s="6714">
        <f t="shared" ref="AA122:AA124" si="688">+U122+W122</f>
        <v>143789</v>
      </c>
      <c r="AB122" s="5986">
        <f>+AB101+AB82</f>
        <v>29812.099807409086</v>
      </c>
      <c r="AC122" s="1645">
        <f>+AC101+AC82</f>
        <v>30237</v>
      </c>
      <c r="AD122" s="7325">
        <f t="shared" ref="AD122:AD124" si="689">+Z122+AB122</f>
        <v>190070.72678915178</v>
      </c>
      <c r="AE122" s="1975">
        <f t="shared" ref="AE122:AE124" si="690">+AA122+AC122</f>
        <v>174026</v>
      </c>
      <c r="AF122" s="5986">
        <f>+AF101+AF82</f>
        <v>28850.419168460408</v>
      </c>
      <c r="AG122" s="1645">
        <f>+AG101+AG82</f>
        <v>31637</v>
      </c>
      <c r="AH122" s="7554">
        <f t="shared" ref="AH122:AH124" si="691">+AD122+AF122</f>
        <v>218921.1459576122</v>
      </c>
      <c r="AI122" s="1975">
        <f t="shared" ref="AI122:AI124" si="692">+AE122+AG122</f>
        <v>205663</v>
      </c>
      <c r="AJ122" s="5986">
        <f>+AJ101+AJ82</f>
        <v>29812.099807409086</v>
      </c>
      <c r="AK122" s="1645">
        <f>+AK101+AK82</f>
        <v>33338.800000000003</v>
      </c>
      <c r="AL122" s="3046">
        <f t="shared" ref="AL122:AL124" si="693">+AB122+AF122+AJ122</f>
        <v>88474.61878327858</v>
      </c>
      <c r="AM122" s="2070">
        <f t="shared" ref="AM122:AM124" si="694">+AC122+AG122+AK122</f>
        <v>95212.800000000003</v>
      </c>
      <c r="AN122" s="7701">
        <f t="shared" ref="AN122:AN124" si="695">+AH122+AJ122</f>
        <v>248733.24576502127</v>
      </c>
      <c r="AO122" s="1975">
        <f t="shared" ref="AO122:AO124" si="696">+AI122+AK122</f>
        <v>239001.8</v>
      </c>
      <c r="AP122" s="5986">
        <f>+AP101+AP82</f>
        <v>29812.099807409086</v>
      </c>
      <c r="AQ122" s="1645">
        <f>+AQ101+AQ82</f>
        <v>36562</v>
      </c>
      <c r="AR122" s="8017">
        <f t="shared" ref="AR122:AR124" si="697">+AN122+AP122</f>
        <v>278545.34557243035</v>
      </c>
      <c r="AS122" s="1975">
        <f t="shared" ref="AS122:AS124" si="698">+AO122+AQ122</f>
        <v>275563.8</v>
      </c>
      <c r="AT122" s="5986">
        <f>+AT101+AT82</f>
        <v>26927</v>
      </c>
      <c r="AU122" s="1645">
        <f>+AU101+AU82</f>
        <v>35055</v>
      </c>
      <c r="AV122" s="8149">
        <f t="shared" ref="AV122:AV124" si="699">+AR122+AT122</f>
        <v>305472.34557243035</v>
      </c>
      <c r="AW122" s="1975">
        <f t="shared" ref="AW122:AW124" si="700">+AS122+AU122</f>
        <v>310618.8</v>
      </c>
      <c r="AX122" s="5986">
        <f>+AX101+AX82</f>
        <v>29812.099699999999</v>
      </c>
      <c r="AY122" s="1645">
        <f>+AY101+AY82</f>
        <v>34796</v>
      </c>
      <c r="AZ122" s="3046">
        <f t="shared" ref="AZ122:AZ124" si="701">+AP122+AT122+AX122</f>
        <v>86551.199507409096</v>
      </c>
      <c r="BA122" s="2070">
        <f t="shared" ref="BA122:BA124" si="702">+AQ122+AU122+AY122</f>
        <v>106413</v>
      </c>
      <c r="BB122" s="3046">
        <f t="shared" si="621"/>
        <v>175025.81829068769</v>
      </c>
      <c r="BC122" s="2070">
        <f t="shared" si="622"/>
        <v>201625.8</v>
      </c>
      <c r="BD122" s="8280">
        <f t="shared" ref="BD122:BD124" si="703">+AV122+AX122</f>
        <v>335284.44527243037</v>
      </c>
      <c r="BE122" s="6714">
        <f t="shared" ref="BE122:BE124" si="704">+AW122+AY122</f>
        <v>345414.8</v>
      </c>
    </row>
    <row r="123" spans="1:57" x14ac:dyDescent="0.2">
      <c r="B123" s="1567" t="s">
        <v>1430</v>
      </c>
      <c r="C123" s="4200" t="s">
        <v>170</v>
      </c>
      <c r="D123" s="5986">
        <f>D83+D102</f>
        <v>11118.549275518297</v>
      </c>
      <c r="E123" s="1645">
        <f>+E102+E83</f>
        <v>10777</v>
      </c>
      <c r="F123" s="5986">
        <f>F83+F102</f>
        <v>11754.154677531598</v>
      </c>
      <c r="G123" s="1645">
        <f>+G102+G83</f>
        <v>11439</v>
      </c>
      <c r="H123" s="6314">
        <f t="shared" si="679"/>
        <v>22872.703953049895</v>
      </c>
      <c r="I123" s="1975">
        <f t="shared" si="680"/>
        <v>22216</v>
      </c>
      <c r="J123" s="5986">
        <f>J83+J102</f>
        <v>13737.422113968505</v>
      </c>
      <c r="K123" s="1645">
        <f>+K102+K83</f>
        <v>11242</v>
      </c>
      <c r="L123" s="6315">
        <f>+H123+J123</f>
        <v>36610.126067018398</v>
      </c>
      <c r="M123" s="2910">
        <f t="shared" ref="M123" si="705">+I123+K123</f>
        <v>33458</v>
      </c>
      <c r="N123" s="5986">
        <f>N83+N102</f>
        <v>15852.617537102073</v>
      </c>
      <c r="O123" s="1645">
        <f>+O102+O83</f>
        <v>10859</v>
      </c>
      <c r="P123" s="6314">
        <f t="shared" si="681"/>
        <v>52462.743604120471</v>
      </c>
      <c r="Q123" s="1975">
        <f t="shared" si="682"/>
        <v>44317</v>
      </c>
      <c r="R123" s="5986">
        <f>R83+R102</f>
        <v>15852.617537102073</v>
      </c>
      <c r="S123" s="1645">
        <f>+S102+S83</f>
        <v>10913</v>
      </c>
      <c r="T123" s="6314">
        <f t="shared" si="683"/>
        <v>68315.361141222544</v>
      </c>
      <c r="U123" s="1975">
        <f t="shared" si="684"/>
        <v>55230</v>
      </c>
      <c r="V123" s="5986">
        <f>V83+V102</f>
        <v>15341.242777840715</v>
      </c>
      <c r="W123" s="1645">
        <f>+W102+W83</f>
        <v>8529</v>
      </c>
      <c r="X123" s="3046">
        <f t="shared" si="685"/>
        <v>47046.47785204486</v>
      </c>
      <c r="Y123" s="2070">
        <f t="shared" si="686"/>
        <v>30301</v>
      </c>
      <c r="Z123" s="6547">
        <f t="shared" si="687"/>
        <v>83656.603919063258</v>
      </c>
      <c r="AA123" s="6714">
        <f t="shared" si="688"/>
        <v>63759</v>
      </c>
      <c r="AB123" s="5986">
        <f>AB83+AB102</f>
        <v>15852.617537102073</v>
      </c>
      <c r="AC123" s="1645">
        <f>+AC102+AC83</f>
        <v>7744</v>
      </c>
      <c r="AD123" s="7325">
        <f t="shared" si="689"/>
        <v>99509.221456165338</v>
      </c>
      <c r="AE123" s="1975">
        <f t="shared" si="690"/>
        <v>71503</v>
      </c>
      <c r="AF123" s="5986">
        <f>AF83+AF102</f>
        <v>15341.242777840715</v>
      </c>
      <c r="AG123" s="1645">
        <f>+AG102+AG83</f>
        <v>5734</v>
      </c>
      <c r="AH123" s="7554">
        <f t="shared" si="691"/>
        <v>114850.46423400605</v>
      </c>
      <c r="AI123" s="1975">
        <f t="shared" si="692"/>
        <v>77237</v>
      </c>
      <c r="AJ123" s="5986">
        <f>AJ83+AJ102</f>
        <v>15852.617537102073</v>
      </c>
      <c r="AK123" s="1645">
        <f>+AK102+AK83</f>
        <v>8962</v>
      </c>
      <c r="AL123" s="3046">
        <f t="shared" si="693"/>
        <v>47046.47785204486</v>
      </c>
      <c r="AM123" s="2070">
        <f t="shared" si="694"/>
        <v>22440</v>
      </c>
      <c r="AN123" s="7701">
        <f t="shared" si="695"/>
        <v>130703.08177110812</v>
      </c>
      <c r="AO123" s="1975">
        <f t="shared" si="696"/>
        <v>86199</v>
      </c>
      <c r="AP123" s="5986">
        <f>AP83+AP102</f>
        <v>15852.617537102073</v>
      </c>
      <c r="AQ123" s="1645">
        <f>+AQ102+AQ83</f>
        <v>5578</v>
      </c>
      <c r="AR123" s="8017">
        <f t="shared" si="697"/>
        <v>146555.6993082102</v>
      </c>
      <c r="AS123" s="1975">
        <f t="shared" si="698"/>
        <v>91777</v>
      </c>
      <c r="AT123" s="5986">
        <f>AT83+AT102</f>
        <v>14318</v>
      </c>
      <c r="AU123" s="1645">
        <f>+AU102+AU83</f>
        <v>1495</v>
      </c>
      <c r="AV123" s="8149">
        <f t="shared" si="699"/>
        <v>160873.6993082102</v>
      </c>
      <c r="AW123" s="1975">
        <f t="shared" si="700"/>
        <v>93272</v>
      </c>
      <c r="AX123" s="5986">
        <f>AX83+AX102</f>
        <v>15852.6178</v>
      </c>
      <c r="AY123" s="1645">
        <f>+AY102+AY83</f>
        <v>9140</v>
      </c>
      <c r="AZ123" s="3046">
        <f t="shared" si="701"/>
        <v>46023.235337102073</v>
      </c>
      <c r="BA123" s="2070">
        <f t="shared" si="702"/>
        <v>16213</v>
      </c>
      <c r="BB123" s="3046">
        <f t="shared" si="621"/>
        <v>93069.713189146933</v>
      </c>
      <c r="BC123" s="2070">
        <f t="shared" si="622"/>
        <v>38653</v>
      </c>
      <c r="BD123" s="8280">
        <f t="shared" si="703"/>
        <v>176726.31710821021</v>
      </c>
      <c r="BE123" s="6714">
        <f t="shared" si="704"/>
        <v>102412</v>
      </c>
    </row>
    <row r="124" spans="1:57" ht="15.75" customHeight="1" thickBot="1" x14ac:dyDescent="0.25">
      <c r="B124" s="1564" t="s">
        <v>1457</v>
      </c>
      <c r="C124" s="1571" t="s">
        <v>170</v>
      </c>
      <c r="D124" s="6344">
        <f>+D84</f>
        <v>0</v>
      </c>
      <c r="E124" s="1645">
        <f>+E84</f>
        <v>0</v>
      </c>
      <c r="F124" s="6344">
        <f>+F84</f>
        <v>0</v>
      </c>
      <c r="G124" s="1645">
        <f>+G84</f>
        <v>0</v>
      </c>
      <c r="H124" s="6314">
        <f t="shared" si="679"/>
        <v>0</v>
      </c>
      <c r="I124" s="1975">
        <f t="shared" si="680"/>
        <v>0</v>
      </c>
      <c r="J124" s="6344">
        <f>+J84</f>
        <v>0</v>
      </c>
      <c r="K124" s="1645">
        <f>+K84</f>
        <v>0</v>
      </c>
      <c r="L124" s="6315">
        <f t="shared" ref="L124" si="706">+H124+J124</f>
        <v>0</v>
      </c>
      <c r="M124" s="2910">
        <f t="shared" si="626"/>
        <v>0</v>
      </c>
      <c r="N124" s="6344">
        <f>+N84</f>
        <v>0</v>
      </c>
      <c r="O124" s="1645">
        <f>+O84</f>
        <v>0</v>
      </c>
      <c r="P124" s="6314">
        <f t="shared" si="681"/>
        <v>0</v>
      </c>
      <c r="Q124" s="1975">
        <f t="shared" si="682"/>
        <v>0</v>
      </c>
      <c r="R124" s="6344">
        <f>+R84</f>
        <v>0</v>
      </c>
      <c r="S124" s="1645">
        <f>+S84</f>
        <v>0</v>
      </c>
      <c r="T124" s="6314">
        <f t="shared" si="683"/>
        <v>0</v>
      </c>
      <c r="U124" s="1975">
        <f t="shared" si="684"/>
        <v>0</v>
      </c>
      <c r="V124" s="6559">
        <f>+V84</f>
        <v>0</v>
      </c>
      <c r="W124" s="1645">
        <f>+W84</f>
        <v>0</v>
      </c>
      <c r="X124" s="3046">
        <f t="shared" si="685"/>
        <v>0</v>
      </c>
      <c r="Y124" s="2070">
        <f t="shared" si="686"/>
        <v>0</v>
      </c>
      <c r="Z124" s="6547">
        <f t="shared" si="687"/>
        <v>0</v>
      </c>
      <c r="AA124" s="6714">
        <f t="shared" si="688"/>
        <v>0</v>
      </c>
      <c r="AB124" s="7345">
        <f>+AB84</f>
        <v>0</v>
      </c>
      <c r="AC124" s="1645">
        <f>+AC84</f>
        <v>0</v>
      </c>
      <c r="AD124" s="7325">
        <f t="shared" si="689"/>
        <v>0</v>
      </c>
      <c r="AE124" s="1975">
        <f t="shared" si="690"/>
        <v>0</v>
      </c>
      <c r="AF124" s="7583">
        <f>+AF84</f>
        <v>0</v>
      </c>
      <c r="AG124" s="1645">
        <f>+AG84</f>
        <v>0</v>
      </c>
      <c r="AH124" s="7554">
        <f t="shared" si="691"/>
        <v>0</v>
      </c>
      <c r="AI124" s="1975">
        <f t="shared" si="692"/>
        <v>0</v>
      </c>
      <c r="AJ124" s="7734">
        <f>+AJ84</f>
        <v>0</v>
      </c>
      <c r="AK124" s="1645">
        <f>+AK84</f>
        <v>0</v>
      </c>
      <c r="AL124" s="3046">
        <f t="shared" si="693"/>
        <v>0</v>
      </c>
      <c r="AM124" s="2070">
        <f t="shared" si="694"/>
        <v>0</v>
      </c>
      <c r="AN124" s="7701">
        <f t="shared" si="695"/>
        <v>0</v>
      </c>
      <c r="AO124" s="1975">
        <f t="shared" si="696"/>
        <v>0</v>
      </c>
      <c r="AP124" s="8049">
        <f>+AP84</f>
        <v>0</v>
      </c>
      <c r="AQ124" s="1645">
        <f>+AQ84</f>
        <v>0</v>
      </c>
      <c r="AR124" s="8017">
        <f t="shared" si="697"/>
        <v>0</v>
      </c>
      <c r="AS124" s="1975">
        <f t="shared" si="698"/>
        <v>0</v>
      </c>
      <c r="AT124" s="8170">
        <f>+AT84</f>
        <v>0</v>
      </c>
      <c r="AU124" s="1645">
        <f>+AU84</f>
        <v>0</v>
      </c>
      <c r="AV124" s="8149">
        <f t="shared" si="699"/>
        <v>0</v>
      </c>
      <c r="AW124" s="1975">
        <f t="shared" si="700"/>
        <v>0</v>
      </c>
      <c r="AX124" s="8321">
        <f>+AX84</f>
        <v>0</v>
      </c>
      <c r="AY124" s="1645">
        <f>+AY84</f>
        <v>0</v>
      </c>
      <c r="AZ124" s="3046">
        <f t="shared" si="701"/>
        <v>0</v>
      </c>
      <c r="BA124" s="2070">
        <f t="shared" si="702"/>
        <v>0</v>
      </c>
      <c r="BB124" s="3046">
        <f t="shared" si="621"/>
        <v>0</v>
      </c>
      <c r="BC124" s="2070">
        <f t="shared" si="622"/>
        <v>0</v>
      </c>
      <c r="BD124" s="8280">
        <f t="shared" si="703"/>
        <v>0</v>
      </c>
      <c r="BE124" s="6714">
        <f t="shared" si="704"/>
        <v>0</v>
      </c>
    </row>
    <row r="125" spans="1:57" ht="17" thickBot="1" x14ac:dyDescent="0.25">
      <c r="B125" s="1565" t="s">
        <v>582</v>
      </c>
      <c r="C125" s="1572" t="s">
        <v>170</v>
      </c>
      <c r="D125" s="2319">
        <f t="shared" ref="D125:I125" si="707">SUM(D122:D124)</f>
        <v>33359.157921343605</v>
      </c>
      <c r="E125" s="1677">
        <f t="shared" si="707"/>
        <v>32335</v>
      </c>
      <c r="F125" s="2319">
        <f>SUM(F122:F124)</f>
        <v>35590.057345611676</v>
      </c>
      <c r="G125" s="3191">
        <f t="shared" si="707"/>
        <v>34632</v>
      </c>
      <c r="H125" s="2784">
        <f t="shared" si="707"/>
        <v>68949.215266955289</v>
      </c>
      <c r="I125" s="1914">
        <f t="shared" si="707"/>
        <v>66967</v>
      </c>
      <c r="J125" s="2319">
        <f>SUM(J122:J124)</f>
        <v>39444.918998527246</v>
      </c>
      <c r="K125" s="3191">
        <f t="shared" ref="K125" si="708">SUM(K122:K124)</f>
        <v>36081</v>
      </c>
      <c r="L125" s="2951">
        <f t="shared" ref="L125:M125" si="709">SUM(L122:L124)</f>
        <v>108394.13426548253</v>
      </c>
      <c r="M125" s="2071">
        <f t="shared" si="709"/>
        <v>103048</v>
      </c>
      <c r="N125" s="2319">
        <f>SUM(N122:N124)</f>
        <v>45664.717344511155</v>
      </c>
      <c r="O125" s="3191">
        <f t="shared" ref="O125" si="710">SUM(O122:O124)</f>
        <v>34076</v>
      </c>
      <c r="P125" s="2784">
        <f t="shared" ref="P125:Q125" si="711">SUM(P122:P124)</f>
        <v>154058.8516099937</v>
      </c>
      <c r="Q125" s="1914">
        <f t="shared" si="711"/>
        <v>137124</v>
      </c>
      <c r="R125" s="2319">
        <f>SUM(R122:R124)</f>
        <v>45664.717344511155</v>
      </c>
      <c r="S125" s="3191">
        <f t="shared" ref="S125:U125" si="712">SUM(S122:S124)</f>
        <v>35675</v>
      </c>
      <c r="T125" s="2784">
        <f t="shared" si="712"/>
        <v>199723.56895450485</v>
      </c>
      <c r="U125" s="1914">
        <f t="shared" si="712"/>
        <v>172799</v>
      </c>
      <c r="V125" s="2319">
        <f>SUM(V122:V124)</f>
        <v>44191.661946301123</v>
      </c>
      <c r="W125" s="3191">
        <f t="shared" ref="W125:AA125" si="713">SUM(W122:W124)</f>
        <v>34749</v>
      </c>
      <c r="X125" s="2951">
        <f t="shared" si="713"/>
        <v>135521.09663532343</v>
      </c>
      <c r="Y125" s="2071">
        <f t="shared" si="713"/>
        <v>104500</v>
      </c>
      <c r="Z125" s="6511">
        <f t="shared" si="713"/>
        <v>243915.23090080597</v>
      </c>
      <c r="AA125" s="6630">
        <f t="shared" si="713"/>
        <v>207548</v>
      </c>
      <c r="AB125" s="2319">
        <f>SUM(AB122:AB124)</f>
        <v>45664.717344511155</v>
      </c>
      <c r="AC125" s="3191">
        <f t="shared" ref="AC125:AE125" si="714">SUM(AC122:AC124)</f>
        <v>37981</v>
      </c>
      <c r="AD125" s="2784">
        <f t="shared" si="714"/>
        <v>289579.94824531709</v>
      </c>
      <c r="AE125" s="1914">
        <f t="shared" si="714"/>
        <v>245529</v>
      </c>
      <c r="AF125" s="2319">
        <f>SUM(AF122:AF124)</f>
        <v>44191.661946301123</v>
      </c>
      <c r="AG125" s="3191">
        <f t="shared" ref="AG125:AI125" si="715">SUM(AG122:AG124)</f>
        <v>37371</v>
      </c>
      <c r="AH125" s="2784">
        <f t="shared" si="715"/>
        <v>333771.61019161827</v>
      </c>
      <c r="AI125" s="1914">
        <f t="shared" si="715"/>
        <v>282900</v>
      </c>
      <c r="AJ125" s="2319">
        <f>SUM(AJ122:AJ124)</f>
        <v>45664.717344511155</v>
      </c>
      <c r="AK125" s="3191">
        <f t="shared" ref="AK125:AO125" si="716">SUM(AK122:AK124)</f>
        <v>42300.800000000003</v>
      </c>
      <c r="AL125" s="2951">
        <f t="shared" si="716"/>
        <v>135521.09663532343</v>
      </c>
      <c r="AM125" s="2071">
        <f t="shared" si="716"/>
        <v>117652.8</v>
      </c>
      <c r="AN125" s="2784">
        <f t="shared" si="716"/>
        <v>379436.32753612939</v>
      </c>
      <c r="AO125" s="1914">
        <f t="shared" si="716"/>
        <v>325200.8</v>
      </c>
      <c r="AP125" s="2319">
        <f>SUM(AP122:AP124)</f>
        <v>45664.717344511155</v>
      </c>
      <c r="AQ125" s="3191">
        <f t="shared" ref="AQ125:AS125" si="717">SUM(AQ122:AQ124)</f>
        <v>42140</v>
      </c>
      <c r="AR125" s="2784">
        <f t="shared" si="717"/>
        <v>425101.04488064058</v>
      </c>
      <c r="AS125" s="1914">
        <f t="shared" si="717"/>
        <v>367340.79999999999</v>
      </c>
      <c r="AT125" s="2319">
        <f>SUM(AT122:AT124)</f>
        <v>41245</v>
      </c>
      <c r="AU125" s="3191">
        <f t="shared" ref="AU125:AW125" si="718">SUM(AU122:AU124)</f>
        <v>36550</v>
      </c>
      <c r="AV125" s="2784">
        <f t="shared" si="718"/>
        <v>466346.04488064058</v>
      </c>
      <c r="AW125" s="1914">
        <f t="shared" si="718"/>
        <v>403890.8</v>
      </c>
      <c r="AX125" s="2319">
        <f>SUM(AX122:AX124)</f>
        <v>45664.717499999999</v>
      </c>
      <c r="AY125" s="3191">
        <f t="shared" ref="AY125:BE125" si="719">SUM(AY122:AY124)</f>
        <v>43936</v>
      </c>
      <c r="AZ125" s="2951">
        <f t="shared" si="719"/>
        <v>132574.43484451115</v>
      </c>
      <c r="BA125" s="2071">
        <f t="shared" si="719"/>
        <v>122626</v>
      </c>
      <c r="BB125" s="2951">
        <f t="shared" si="621"/>
        <v>268095.53147983458</v>
      </c>
      <c r="BC125" s="2071">
        <f t="shared" si="622"/>
        <v>240278.8</v>
      </c>
      <c r="BD125" s="6511">
        <f t="shared" si="719"/>
        <v>512010.7623806406</v>
      </c>
      <c r="BE125" s="6630">
        <f t="shared" si="719"/>
        <v>447826.8</v>
      </c>
    </row>
    <row r="126" spans="1:57" ht="17" thickBot="1" x14ac:dyDescent="0.25">
      <c r="B126" s="1565" t="s">
        <v>39</v>
      </c>
      <c r="C126" s="1572" t="s">
        <v>170</v>
      </c>
      <c r="D126" s="2319">
        <f>+D121+D125</f>
        <v>118171.11012945508</v>
      </c>
      <c r="E126" s="1677">
        <f t="shared" ref="E126:I126" si="720">+E121+E125</f>
        <v>114563</v>
      </c>
      <c r="F126" s="2319">
        <f>+F121+F125</f>
        <v>123728.43981383642</v>
      </c>
      <c r="G126" s="1677">
        <f t="shared" si="720"/>
        <v>120385</v>
      </c>
      <c r="H126" s="2784">
        <f t="shared" si="720"/>
        <v>241899.54994329152</v>
      </c>
      <c r="I126" s="1914">
        <f t="shared" si="720"/>
        <v>234948</v>
      </c>
      <c r="J126" s="2319">
        <f>+J121+J125</f>
        <v>139316.95649711112</v>
      </c>
      <c r="K126" s="1677">
        <f t="shared" ref="K126" si="721">+K121+K125</f>
        <v>134378</v>
      </c>
      <c r="L126" s="2951">
        <f t="shared" ref="L126:M126" si="722">+L121+L125</f>
        <v>381216.50644040265</v>
      </c>
      <c r="M126" s="2071">
        <f t="shared" si="722"/>
        <v>369326</v>
      </c>
      <c r="N126" s="2319">
        <f>+N121+N125</f>
        <v>161020.80265095728</v>
      </c>
      <c r="O126" s="1677">
        <f t="shared" ref="O126:Q126" si="723">+O121+O125</f>
        <v>150769</v>
      </c>
      <c r="P126" s="2784">
        <f t="shared" si="723"/>
        <v>542237.30909135996</v>
      </c>
      <c r="Q126" s="1914">
        <f t="shared" si="723"/>
        <v>520095</v>
      </c>
      <c r="R126" s="2319">
        <f>+R121+R125</f>
        <v>161020.80265095728</v>
      </c>
      <c r="S126" s="1677">
        <f t="shared" ref="S126:U126" si="724">+S121+S125</f>
        <v>157190</v>
      </c>
      <c r="T126" s="2784">
        <f t="shared" si="724"/>
        <v>703258.11174231721</v>
      </c>
      <c r="U126" s="1914">
        <f t="shared" si="724"/>
        <v>677285</v>
      </c>
      <c r="V126" s="2319">
        <f>+V121+V125</f>
        <v>155826.58321060383</v>
      </c>
      <c r="W126" s="1677">
        <f t="shared" ref="W126:AA126" si="725">+W121+W125</f>
        <v>136933</v>
      </c>
      <c r="X126" s="2951">
        <f t="shared" si="725"/>
        <v>477868.18851251842</v>
      </c>
      <c r="Y126" s="2071">
        <f t="shared" si="725"/>
        <v>444892</v>
      </c>
      <c r="Z126" s="6511">
        <f t="shared" si="725"/>
        <v>859084.69495292101</v>
      </c>
      <c r="AA126" s="6630">
        <f t="shared" si="725"/>
        <v>814218</v>
      </c>
      <c r="AB126" s="2319">
        <f>+AB121+AB125</f>
        <v>161020.80265095728</v>
      </c>
      <c r="AC126" s="1677">
        <f t="shared" ref="AC126:AE126" si="726">+AC121+AC125</f>
        <v>148685</v>
      </c>
      <c r="AD126" s="2784">
        <f t="shared" si="726"/>
        <v>1020105.4976038781</v>
      </c>
      <c r="AE126" s="1914">
        <f t="shared" si="726"/>
        <v>962903</v>
      </c>
      <c r="AF126" s="2319">
        <f>+AF121+AF125</f>
        <v>155826.58321060383</v>
      </c>
      <c r="AG126" s="1677">
        <f t="shared" ref="AG126:AI126" si="727">+AG121+AG125</f>
        <v>141990</v>
      </c>
      <c r="AH126" s="2784">
        <f t="shared" si="727"/>
        <v>1175932.0808144822</v>
      </c>
      <c r="AI126" s="1914">
        <f t="shared" si="727"/>
        <v>1104893</v>
      </c>
      <c r="AJ126" s="2319">
        <f>+AJ121+AJ125</f>
        <v>161020.80265095728</v>
      </c>
      <c r="AK126" s="1677">
        <f t="shared" ref="AK126:AO126" si="728">+AK121+AK125</f>
        <v>156055.80000000002</v>
      </c>
      <c r="AL126" s="2951">
        <f t="shared" si="728"/>
        <v>477868.18851251842</v>
      </c>
      <c r="AM126" s="2071">
        <f t="shared" si="728"/>
        <v>446730.8</v>
      </c>
      <c r="AN126" s="2784">
        <f t="shared" si="728"/>
        <v>1336952.8834654393</v>
      </c>
      <c r="AO126" s="1914">
        <f t="shared" si="728"/>
        <v>1260948.8</v>
      </c>
      <c r="AP126" s="2319">
        <f>+AP121+AP125</f>
        <v>161020.80265095728</v>
      </c>
      <c r="AQ126" s="1677">
        <f t="shared" ref="AQ126:AS126" si="729">+AQ121+AQ125</f>
        <v>156083</v>
      </c>
      <c r="AR126" s="2784">
        <f t="shared" si="729"/>
        <v>1497973.6861163964</v>
      </c>
      <c r="AS126" s="1914">
        <f t="shared" si="729"/>
        <v>1417031.8</v>
      </c>
      <c r="AT126" s="2319">
        <f>+AT121+AT125</f>
        <v>145437</v>
      </c>
      <c r="AU126" s="1677">
        <f t="shared" ref="AU126:AW126" si="730">+AU121+AU125</f>
        <v>141462</v>
      </c>
      <c r="AV126" s="2784">
        <f t="shared" si="730"/>
        <v>1643410.6861163964</v>
      </c>
      <c r="AW126" s="1914">
        <f t="shared" si="730"/>
        <v>1558493.8</v>
      </c>
      <c r="AX126" s="2319">
        <f>+AX121+AX125</f>
        <v>161020.80319999999</v>
      </c>
      <c r="AY126" s="1677">
        <f t="shared" ref="AY126:BE126" si="731">+AY121+AY125</f>
        <v>155700</v>
      </c>
      <c r="AZ126" s="2951">
        <f t="shared" si="731"/>
        <v>467478.60585095728</v>
      </c>
      <c r="BA126" s="2071">
        <f t="shared" si="731"/>
        <v>453245</v>
      </c>
      <c r="BB126" s="2951">
        <f t="shared" si="621"/>
        <v>945346.79436347564</v>
      </c>
      <c r="BC126" s="2071">
        <f t="shared" si="622"/>
        <v>899975.8</v>
      </c>
      <c r="BD126" s="6511">
        <f t="shared" si="731"/>
        <v>1804431.4893163969</v>
      </c>
      <c r="BE126" s="6630">
        <f t="shared" si="731"/>
        <v>1714193.8</v>
      </c>
    </row>
    <row r="127" spans="1:57" x14ac:dyDescent="0.2">
      <c r="B127" s="2248" t="s">
        <v>1137</v>
      </c>
      <c r="C127" s="2249" t="s">
        <v>170</v>
      </c>
      <c r="D127" s="2676">
        <f t="shared" ref="D127:G130" si="732">+D87+D105</f>
        <v>6241.4308039215684</v>
      </c>
      <c r="E127" s="7848">
        <f t="shared" si="732"/>
        <v>1954</v>
      </c>
      <c r="F127" s="2676">
        <f t="shared" si="732"/>
        <v>7054.8219903870631</v>
      </c>
      <c r="G127" s="7848">
        <f t="shared" si="732"/>
        <v>7001</v>
      </c>
      <c r="H127" s="6314">
        <f t="shared" ref="H127" si="733">+D127+F127</f>
        <v>13296.252794308632</v>
      </c>
      <c r="I127" s="1975">
        <f t="shared" ref="I127" si="734">+E127+G127</f>
        <v>8955</v>
      </c>
      <c r="J127" s="2676">
        <f t="shared" ref="J127:K130" si="735">+J87+J105</f>
        <v>2650.1336898395721</v>
      </c>
      <c r="K127" s="7848">
        <f t="shared" si="735"/>
        <v>5737</v>
      </c>
      <c r="L127" s="7820">
        <f t="shared" ref="L127:L130" si="736">+H127+J127</f>
        <v>15946.386484148203</v>
      </c>
      <c r="M127" s="2910">
        <f t="shared" ref="M127:M130" si="737">+I127+K127</f>
        <v>14692</v>
      </c>
      <c r="N127" s="2676">
        <f t="shared" ref="N127:O130" si="738">+N87+N105</f>
        <v>0</v>
      </c>
      <c r="O127" s="7848">
        <f t="shared" si="738"/>
        <v>6172</v>
      </c>
      <c r="P127" s="7816">
        <f t="shared" ref="P127:P130" si="739">+L127+N127</f>
        <v>15946.386484148203</v>
      </c>
      <c r="Q127" s="1975">
        <f t="shared" ref="Q127:Q130" si="740">+M127+O127</f>
        <v>20864</v>
      </c>
      <c r="R127" s="2676">
        <f t="shared" ref="R127:S130" si="741">+R87+R105</f>
        <v>0</v>
      </c>
      <c r="S127" s="7848">
        <f t="shared" si="741"/>
        <v>8212</v>
      </c>
      <c r="T127" s="7816">
        <f t="shared" ref="T127:T130" si="742">+P127+R127</f>
        <v>15946.386484148203</v>
      </c>
      <c r="U127" s="1975">
        <f t="shared" ref="U127:U130" si="743">+Q127+S127</f>
        <v>29076</v>
      </c>
      <c r="V127" s="2676">
        <f t="shared" ref="V127:W130" si="744">+V87+V105</f>
        <v>2845.5882352941176</v>
      </c>
      <c r="W127" s="7848">
        <f t="shared" si="744"/>
        <v>5369</v>
      </c>
      <c r="X127" s="3046">
        <f t="shared" ref="X127:X130" si="745">+N127+R127+V127</f>
        <v>2845.5882352941176</v>
      </c>
      <c r="Y127" s="2070">
        <f t="shared" ref="Y127:Y130" si="746">+O127+S127+W127</f>
        <v>19753</v>
      </c>
      <c r="Z127" s="7819">
        <f t="shared" ref="Z127:Z130" si="747">+T127+V127</f>
        <v>18791.974719442322</v>
      </c>
      <c r="AA127" s="6714">
        <f t="shared" ref="AA127:AA130" si="748">+U127+W127</f>
        <v>34445</v>
      </c>
      <c r="AB127" s="2676">
        <f t="shared" ref="AB127:AC130" si="749">+AB87+AB105</f>
        <v>0</v>
      </c>
      <c r="AC127" s="7848">
        <f t="shared" si="749"/>
        <v>7824</v>
      </c>
      <c r="AD127" s="7816">
        <f t="shared" ref="AD127:AD130" si="750">+Z127+AB127</f>
        <v>18791.974719442322</v>
      </c>
      <c r="AE127" s="1975">
        <f t="shared" ref="AE127:AE130" si="751">+AA127+AC127</f>
        <v>42269</v>
      </c>
      <c r="AF127" s="2676">
        <f t="shared" ref="AF127:AG130" si="752">+AF87+AF105</f>
        <v>0</v>
      </c>
      <c r="AG127" s="7848">
        <f t="shared" si="752"/>
        <v>3610</v>
      </c>
      <c r="AH127" s="7816">
        <f t="shared" ref="AH127:AH130" si="753">+AD127+AF127</f>
        <v>18791.974719442322</v>
      </c>
      <c r="AI127" s="1975">
        <f t="shared" ref="AI127:AI130" si="754">+AE127+AG127</f>
        <v>45879</v>
      </c>
      <c r="AJ127" s="2676">
        <f t="shared" ref="AJ127:AK130" si="755">+AJ87+AJ105</f>
        <v>0</v>
      </c>
      <c r="AK127" s="7848">
        <f t="shared" si="755"/>
        <v>1310</v>
      </c>
      <c r="AL127" s="3046">
        <f t="shared" ref="AL127:AL130" si="756">+AB127+AF127+AJ127</f>
        <v>0</v>
      </c>
      <c r="AM127" s="2070">
        <f t="shared" ref="AM127:AM130" si="757">+AC127+AG127+AK127</f>
        <v>12744</v>
      </c>
      <c r="AN127" s="7816">
        <f t="shared" ref="AN127:AN130" si="758">+AH127+AJ127</f>
        <v>18791.974719442322</v>
      </c>
      <c r="AO127" s="1975">
        <f t="shared" ref="AO127:AO130" si="759">+AI127+AK127</f>
        <v>47189</v>
      </c>
      <c r="AP127" s="2676">
        <f t="shared" ref="AP127:AQ130" si="760">+AP87+AP105</f>
        <v>0</v>
      </c>
      <c r="AQ127" s="7848">
        <f t="shared" si="760"/>
        <v>0</v>
      </c>
      <c r="AR127" s="8017">
        <f t="shared" ref="AR127:AR130" si="761">+AN127+AP127</f>
        <v>18791.974719442322</v>
      </c>
      <c r="AS127" s="1975">
        <f t="shared" ref="AS127:AS130" si="762">+AO127+AQ127</f>
        <v>47189</v>
      </c>
      <c r="AT127" s="2676">
        <f t="shared" ref="AT127:AU127" si="763">+AT87+AT105</f>
        <v>0</v>
      </c>
      <c r="AU127" s="7848">
        <f t="shared" si="763"/>
        <v>0</v>
      </c>
      <c r="AV127" s="8149">
        <f t="shared" ref="AV127:AV130" si="764">+AR127+AT127</f>
        <v>18791.974719442322</v>
      </c>
      <c r="AW127" s="1975">
        <f t="shared" ref="AW127:AW130" si="765">+AS127+AU127</f>
        <v>47189</v>
      </c>
      <c r="AX127" s="2676">
        <f t="shared" ref="AX127:AY127" si="766">+AX87+AX105</f>
        <v>0</v>
      </c>
      <c r="AY127" s="7848">
        <f t="shared" si="766"/>
        <v>0</v>
      </c>
      <c r="AZ127" s="3046">
        <f t="shared" ref="AZ127:AZ130" si="767">+AP127+AT127+AX127</f>
        <v>0</v>
      </c>
      <c r="BA127" s="2070">
        <f t="shared" ref="BA127:BA130" si="768">+AQ127+AU127+AY127</f>
        <v>0</v>
      </c>
      <c r="BB127" s="3046">
        <f t="shared" si="621"/>
        <v>0</v>
      </c>
      <c r="BC127" s="2070">
        <f t="shared" si="622"/>
        <v>12744</v>
      </c>
      <c r="BD127" s="8280">
        <f t="shared" ref="BD127:BD130" si="769">+AV127+AX127</f>
        <v>18791.974719442322</v>
      </c>
      <c r="BE127" s="6714">
        <f t="shared" ref="BE127:BE130" si="770">+AW127+AY127</f>
        <v>47189</v>
      </c>
    </row>
    <row r="128" spans="1:57" s="7814" customFormat="1" x14ac:dyDescent="0.2">
      <c r="A128" s="3378"/>
      <c r="B128" s="1567" t="s">
        <v>2451</v>
      </c>
      <c r="C128" s="1573"/>
      <c r="D128" s="7818">
        <f t="shared" si="732"/>
        <v>0</v>
      </c>
      <c r="E128" s="1818">
        <f t="shared" si="732"/>
        <v>0</v>
      </c>
      <c r="F128" s="7818">
        <f t="shared" si="732"/>
        <v>0</v>
      </c>
      <c r="G128" s="1818">
        <f t="shared" si="732"/>
        <v>0</v>
      </c>
      <c r="H128" s="7816">
        <f t="shared" ref="H128:H130" si="771">+D128+F128</f>
        <v>0</v>
      </c>
      <c r="I128" s="1975">
        <f t="shared" ref="I128:I130" si="772">+E128+G128</f>
        <v>0</v>
      </c>
      <c r="J128" s="7818">
        <f t="shared" si="735"/>
        <v>0</v>
      </c>
      <c r="K128" s="1818">
        <f t="shared" si="735"/>
        <v>0</v>
      </c>
      <c r="L128" s="7820">
        <f t="shared" si="736"/>
        <v>0</v>
      </c>
      <c r="M128" s="2910">
        <f t="shared" si="737"/>
        <v>0</v>
      </c>
      <c r="N128" s="7818">
        <f t="shared" si="738"/>
        <v>0</v>
      </c>
      <c r="O128" s="1818">
        <f t="shared" si="738"/>
        <v>0</v>
      </c>
      <c r="P128" s="7816">
        <f t="shared" si="739"/>
        <v>0</v>
      </c>
      <c r="Q128" s="1975">
        <f t="shared" si="740"/>
        <v>0</v>
      </c>
      <c r="R128" s="7818">
        <f t="shared" si="741"/>
        <v>0</v>
      </c>
      <c r="S128" s="1818">
        <f t="shared" si="741"/>
        <v>0</v>
      </c>
      <c r="T128" s="7816">
        <f t="shared" si="742"/>
        <v>0</v>
      </c>
      <c r="U128" s="1975">
        <f t="shared" si="743"/>
        <v>0</v>
      </c>
      <c r="V128" s="7818">
        <f t="shared" si="744"/>
        <v>0</v>
      </c>
      <c r="W128" s="1818">
        <f t="shared" si="744"/>
        <v>0</v>
      </c>
      <c r="X128" s="3046">
        <f t="shared" si="745"/>
        <v>0</v>
      </c>
      <c r="Y128" s="2070">
        <f t="shared" si="746"/>
        <v>0</v>
      </c>
      <c r="Z128" s="7819">
        <f t="shared" si="747"/>
        <v>0</v>
      </c>
      <c r="AA128" s="6714">
        <f t="shared" si="748"/>
        <v>0</v>
      </c>
      <c r="AB128" s="7818">
        <f t="shared" si="749"/>
        <v>0</v>
      </c>
      <c r="AC128" s="1818">
        <f t="shared" si="749"/>
        <v>0</v>
      </c>
      <c r="AD128" s="7816">
        <f t="shared" si="750"/>
        <v>0</v>
      </c>
      <c r="AE128" s="1975">
        <f t="shared" si="751"/>
        <v>0</v>
      </c>
      <c r="AF128" s="7818">
        <f t="shared" si="752"/>
        <v>0</v>
      </c>
      <c r="AG128" s="1818">
        <f t="shared" si="752"/>
        <v>0</v>
      </c>
      <c r="AH128" s="7816">
        <f t="shared" si="753"/>
        <v>0</v>
      </c>
      <c r="AI128" s="1975">
        <f t="shared" si="754"/>
        <v>0</v>
      </c>
      <c r="AJ128" s="7818">
        <f t="shared" si="755"/>
        <v>0</v>
      </c>
      <c r="AK128" s="1818">
        <f t="shared" si="755"/>
        <v>1585</v>
      </c>
      <c r="AL128" s="3046">
        <f t="shared" si="756"/>
        <v>0</v>
      </c>
      <c r="AM128" s="2070">
        <f t="shared" si="757"/>
        <v>1585</v>
      </c>
      <c r="AN128" s="7816">
        <f t="shared" si="758"/>
        <v>0</v>
      </c>
      <c r="AO128" s="1975">
        <f t="shared" si="759"/>
        <v>1585</v>
      </c>
      <c r="AP128" s="8021">
        <f t="shared" si="760"/>
        <v>0</v>
      </c>
      <c r="AQ128" s="1818">
        <f t="shared" si="760"/>
        <v>2895</v>
      </c>
      <c r="AR128" s="8017">
        <f t="shared" si="761"/>
        <v>0</v>
      </c>
      <c r="AS128" s="1975">
        <f t="shared" si="762"/>
        <v>4480</v>
      </c>
      <c r="AT128" s="8144">
        <f t="shared" ref="AT128:AU128" si="773">+AT88+AT106</f>
        <v>0</v>
      </c>
      <c r="AU128" s="1818">
        <f t="shared" si="773"/>
        <v>2615</v>
      </c>
      <c r="AV128" s="8149">
        <f t="shared" si="764"/>
        <v>0</v>
      </c>
      <c r="AW128" s="1975">
        <f t="shared" si="765"/>
        <v>7095</v>
      </c>
      <c r="AX128" s="8261">
        <f t="shared" ref="AX128:AY128" si="774">+AX88+AX106</f>
        <v>0</v>
      </c>
      <c r="AY128" s="1818">
        <f t="shared" si="774"/>
        <v>3400</v>
      </c>
      <c r="AZ128" s="3046">
        <f t="shared" si="767"/>
        <v>0</v>
      </c>
      <c r="BA128" s="2070">
        <f t="shared" si="768"/>
        <v>8910</v>
      </c>
      <c r="BB128" s="3046">
        <f t="shared" si="621"/>
        <v>0</v>
      </c>
      <c r="BC128" s="2070">
        <f t="shared" si="622"/>
        <v>10495</v>
      </c>
      <c r="BD128" s="8280">
        <f t="shared" si="769"/>
        <v>0</v>
      </c>
      <c r="BE128" s="6714">
        <f t="shared" si="770"/>
        <v>10495</v>
      </c>
    </row>
    <row r="129" spans="1:57" x14ac:dyDescent="0.2">
      <c r="A129" s="3379"/>
      <c r="B129" s="1567" t="s">
        <v>2452</v>
      </c>
      <c r="C129" s="1573" t="s">
        <v>170</v>
      </c>
      <c r="D129" s="7818">
        <f t="shared" si="732"/>
        <v>0</v>
      </c>
      <c r="E129" s="1818">
        <f t="shared" si="732"/>
        <v>0</v>
      </c>
      <c r="F129" s="7818">
        <f t="shared" si="732"/>
        <v>0</v>
      </c>
      <c r="G129" s="1818">
        <f t="shared" si="732"/>
        <v>0</v>
      </c>
      <c r="H129" s="7816">
        <f t="shared" si="771"/>
        <v>0</v>
      </c>
      <c r="I129" s="1975">
        <f t="shared" si="772"/>
        <v>0</v>
      </c>
      <c r="J129" s="7818">
        <f t="shared" si="735"/>
        <v>0</v>
      </c>
      <c r="K129" s="1818">
        <f t="shared" si="735"/>
        <v>0</v>
      </c>
      <c r="L129" s="7820">
        <f t="shared" si="736"/>
        <v>0</v>
      </c>
      <c r="M129" s="2910">
        <f t="shared" si="737"/>
        <v>0</v>
      </c>
      <c r="N129" s="7818">
        <f t="shared" si="738"/>
        <v>0</v>
      </c>
      <c r="O129" s="1818">
        <f t="shared" si="738"/>
        <v>0</v>
      </c>
      <c r="P129" s="7816">
        <f t="shared" si="739"/>
        <v>0</v>
      </c>
      <c r="Q129" s="1975">
        <f t="shared" si="740"/>
        <v>0</v>
      </c>
      <c r="R129" s="7818">
        <f t="shared" si="741"/>
        <v>0</v>
      </c>
      <c r="S129" s="1818">
        <f t="shared" si="741"/>
        <v>0</v>
      </c>
      <c r="T129" s="7816">
        <f t="shared" si="742"/>
        <v>0</v>
      </c>
      <c r="U129" s="1975">
        <f t="shared" si="743"/>
        <v>0</v>
      </c>
      <c r="V129" s="7818">
        <f t="shared" si="744"/>
        <v>0</v>
      </c>
      <c r="W129" s="1818">
        <f t="shared" si="744"/>
        <v>0</v>
      </c>
      <c r="X129" s="3046">
        <f t="shared" si="745"/>
        <v>0</v>
      </c>
      <c r="Y129" s="2070">
        <f t="shared" si="746"/>
        <v>0</v>
      </c>
      <c r="Z129" s="7819">
        <f t="shared" si="747"/>
        <v>0</v>
      </c>
      <c r="AA129" s="6714">
        <f t="shared" si="748"/>
        <v>0</v>
      </c>
      <c r="AB129" s="7818">
        <f t="shared" si="749"/>
        <v>0</v>
      </c>
      <c r="AC129" s="1818">
        <f t="shared" si="749"/>
        <v>0</v>
      </c>
      <c r="AD129" s="7816">
        <f t="shared" si="750"/>
        <v>0</v>
      </c>
      <c r="AE129" s="1975">
        <f t="shared" si="751"/>
        <v>0</v>
      </c>
      <c r="AF129" s="7818">
        <f t="shared" si="752"/>
        <v>0</v>
      </c>
      <c r="AG129" s="1818">
        <f t="shared" si="752"/>
        <v>0</v>
      </c>
      <c r="AH129" s="7816">
        <f t="shared" si="753"/>
        <v>0</v>
      </c>
      <c r="AI129" s="1975">
        <f t="shared" si="754"/>
        <v>0</v>
      </c>
      <c r="AJ129" s="7697">
        <f t="shared" si="755"/>
        <v>0</v>
      </c>
      <c r="AK129" s="1818">
        <f t="shared" si="755"/>
        <v>2747.6</v>
      </c>
      <c r="AL129" s="3046">
        <f t="shared" si="756"/>
        <v>0</v>
      </c>
      <c r="AM129" s="2070">
        <f t="shared" si="757"/>
        <v>2747.6</v>
      </c>
      <c r="AN129" s="7816">
        <f t="shared" si="758"/>
        <v>0</v>
      </c>
      <c r="AO129" s="1975">
        <f t="shared" si="759"/>
        <v>2747.6</v>
      </c>
      <c r="AP129" s="8021">
        <f t="shared" si="760"/>
        <v>0</v>
      </c>
      <c r="AQ129" s="1818">
        <f t="shared" si="760"/>
        <v>172</v>
      </c>
      <c r="AR129" s="8017">
        <f t="shared" si="761"/>
        <v>0</v>
      </c>
      <c r="AS129" s="1975">
        <f t="shared" si="762"/>
        <v>2919.6</v>
      </c>
      <c r="AT129" s="8144">
        <f t="shared" ref="AT129:AU129" si="775">+AT89+AT107</f>
        <v>0</v>
      </c>
      <c r="AU129" s="1818">
        <f t="shared" si="775"/>
        <v>2265</v>
      </c>
      <c r="AV129" s="8149">
        <f t="shared" si="764"/>
        <v>0</v>
      </c>
      <c r="AW129" s="1975">
        <f t="shared" si="765"/>
        <v>5184.6000000000004</v>
      </c>
      <c r="AX129" s="8261">
        <f t="shared" ref="AX129:AY129" si="776">+AX89+AX107</f>
        <v>0</v>
      </c>
      <c r="AY129" s="1818">
        <f t="shared" si="776"/>
        <v>5303</v>
      </c>
      <c r="AZ129" s="3046">
        <f t="shared" si="767"/>
        <v>0</v>
      </c>
      <c r="BA129" s="2070">
        <f t="shared" si="768"/>
        <v>7740</v>
      </c>
      <c r="BB129" s="3046">
        <f t="shared" si="621"/>
        <v>0</v>
      </c>
      <c r="BC129" s="2070">
        <f t="shared" si="622"/>
        <v>10487.6</v>
      </c>
      <c r="BD129" s="8280">
        <f t="shared" si="769"/>
        <v>0</v>
      </c>
      <c r="BE129" s="6714">
        <f t="shared" si="770"/>
        <v>10487.6</v>
      </c>
    </row>
    <row r="130" spans="1:57" ht="15.75" customHeight="1" thickBot="1" x14ac:dyDescent="0.25">
      <c r="B130" s="1531" t="s">
        <v>1138</v>
      </c>
      <c r="C130" s="1573" t="s">
        <v>170</v>
      </c>
      <c r="D130" s="7818">
        <f t="shared" si="732"/>
        <v>4100.1643270944751</v>
      </c>
      <c r="E130" s="1818">
        <f t="shared" si="732"/>
        <v>8428</v>
      </c>
      <c r="F130" s="7818">
        <f t="shared" si="732"/>
        <v>3256.9332737140303</v>
      </c>
      <c r="G130" s="1818">
        <f t="shared" si="732"/>
        <v>3212</v>
      </c>
      <c r="H130" s="7816">
        <f t="shared" si="771"/>
        <v>7357.0976008085054</v>
      </c>
      <c r="I130" s="1975">
        <f t="shared" si="772"/>
        <v>11640</v>
      </c>
      <c r="J130" s="7818">
        <f t="shared" si="735"/>
        <v>4560.6199866310162</v>
      </c>
      <c r="K130" s="1818">
        <f t="shared" si="735"/>
        <v>1964</v>
      </c>
      <c r="L130" s="7820">
        <f t="shared" si="736"/>
        <v>11917.717587439522</v>
      </c>
      <c r="M130" s="2910">
        <f t="shared" si="737"/>
        <v>13604</v>
      </c>
      <c r="N130" s="7818">
        <f t="shared" si="738"/>
        <v>8334.0992647058811</v>
      </c>
      <c r="O130" s="1818">
        <f t="shared" si="738"/>
        <v>1550</v>
      </c>
      <c r="P130" s="7816">
        <f t="shared" si="739"/>
        <v>20251.816852145403</v>
      </c>
      <c r="Q130" s="1975">
        <f t="shared" si="740"/>
        <v>15154</v>
      </c>
      <c r="R130" s="7818">
        <f t="shared" si="741"/>
        <v>8334.0992647058811</v>
      </c>
      <c r="S130" s="1818">
        <f t="shared" si="741"/>
        <v>0</v>
      </c>
      <c r="T130" s="7816">
        <f t="shared" si="742"/>
        <v>28585.916116851284</v>
      </c>
      <c r="U130" s="1975">
        <f t="shared" si="743"/>
        <v>15154</v>
      </c>
      <c r="V130" s="7818">
        <f t="shared" si="744"/>
        <v>5219.6691176470595</v>
      </c>
      <c r="W130" s="1818">
        <f t="shared" si="744"/>
        <v>0</v>
      </c>
      <c r="X130" s="3046">
        <f t="shared" si="745"/>
        <v>21887.867647058822</v>
      </c>
      <c r="Y130" s="2070">
        <f t="shared" si="746"/>
        <v>1550</v>
      </c>
      <c r="Z130" s="7819">
        <f t="shared" si="747"/>
        <v>33805.585234498343</v>
      </c>
      <c r="AA130" s="6714">
        <f t="shared" si="748"/>
        <v>15154</v>
      </c>
      <c r="AB130" s="7818">
        <f t="shared" si="749"/>
        <v>8334.0992647058811</v>
      </c>
      <c r="AC130" s="1818">
        <f t="shared" si="749"/>
        <v>0</v>
      </c>
      <c r="AD130" s="7816">
        <f t="shared" si="750"/>
        <v>42139.684499204224</v>
      </c>
      <c r="AE130" s="1975">
        <f t="shared" si="751"/>
        <v>15154</v>
      </c>
      <c r="AF130" s="7818">
        <f t="shared" si="752"/>
        <v>8065.2573529411766</v>
      </c>
      <c r="AG130" s="1818">
        <f t="shared" si="752"/>
        <v>2747</v>
      </c>
      <c r="AH130" s="7816">
        <f t="shared" si="753"/>
        <v>50204.941852145399</v>
      </c>
      <c r="AI130" s="1975">
        <f t="shared" si="754"/>
        <v>17901</v>
      </c>
      <c r="AJ130" s="7818">
        <f t="shared" si="755"/>
        <v>8334.0992647058811</v>
      </c>
      <c r="AK130" s="1818">
        <f t="shared" si="755"/>
        <v>2426.6</v>
      </c>
      <c r="AL130" s="3046">
        <f t="shared" si="756"/>
        <v>24733.455882352937</v>
      </c>
      <c r="AM130" s="2070">
        <f t="shared" si="757"/>
        <v>5173.6000000000004</v>
      </c>
      <c r="AN130" s="7816">
        <f t="shared" si="758"/>
        <v>58539.04111685128</v>
      </c>
      <c r="AO130" s="1975">
        <f t="shared" si="759"/>
        <v>20327.599999999999</v>
      </c>
      <c r="AP130" s="8021">
        <f t="shared" si="760"/>
        <v>8334.0992647058811</v>
      </c>
      <c r="AQ130" s="1818">
        <f t="shared" si="760"/>
        <v>5149</v>
      </c>
      <c r="AR130" s="8017">
        <f t="shared" si="761"/>
        <v>66873.140381557168</v>
      </c>
      <c r="AS130" s="1975">
        <f t="shared" si="762"/>
        <v>25476.6</v>
      </c>
      <c r="AT130" s="8144">
        <f t="shared" ref="AT130:AU130" si="777">+AT90+AT108</f>
        <v>7528</v>
      </c>
      <c r="AU130" s="1818">
        <f t="shared" si="777"/>
        <v>2059</v>
      </c>
      <c r="AV130" s="8149">
        <f t="shared" si="764"/>
        <v>74401.140381557168</v>
      </c>
      <c r="AW130" s="1975">
        <f t="shared" si="765"/>
        <v>27535.599999999999</v>
      </c>
      <c r="AX130" s="8261">
        <f t="shared" ref="AX130:AY130" si="778">+AX90+AX108</f>
        <v>8334.0992000000006</v>
      </c>
      <c r="AY130" s="1818">
        <f t="shared" si="778"/>
        <v>0</v>
      </c>
      <c r="AZ130" s="3046">
        <f t="shared" si="767"/>
        <v>24196.198464705882</v>
      </c>
      <c r="BA130" s="2070">
        <f t="shared" si="768"/>
        <v>7208</v>
      </c>
      <c r="BB130" s="3046">
        <f t="shared" si="621"/>
        <v>48929.654347058822</v>
      </c>
      <c r="BC130" s="2070">
        <f t="shared" si="622"/>
        <v>12381.6</v>
      </c>
      <c r="BD130" s="8280">
        <f t="shared" si="769"/>
        <v>82735.239581557165</v>
      </c>
      <c r="BE130" s="6714">
        <f t="shared" si="770"/>
        <v>27535.599999999999</v>
      </c>
    </row>
    <row r="131" spans="1:57" ht="17" thickBot="1" x14ac:dyDescent="0.25">
      <c r="B131" s="1568" t="s">
        <v>38</v>
      </c>
      <c r="C131" s="7846" t="s">
        <v>170</v>
      </c>
      <c r="D131" s="1682">
        <f>SUM(D126:D130)</f>
        <v>128512.70526047112</v>
      </c>
      <c r="E131" s="1682">
        <f t="shared" ref="E131:AO131" si="779">SUM(E126:E130)</f>
        <v>124945</v>
      </c>
      <c r="F131" s="1682">
        <f t="shared" si="779"/>
        <v>134040.1950779375</v>
      </c>
      <c r="G131" s="1682">
        <f t="shared" si="779"/>
        <v>130598</v>
      </c>
      <c r="H131" s="1682">
        <f t="shared" si="779"/>
        <v>262552.90033840865</v>
      </c>
      <c r="I131" s="1682">
        <f t="shared" si="779"/>
        <v>255543</v>
      </c>
      <c r="J131" s="1682">
        <f t="shared" si="779"/>
        <v>146527.7101735817</v>
      </c>
      <c r="K131" s="1682">
        <f t="shared" si="779"/>
        <v>142079</v>
      </c>
      <c r="L131" s="1682">
        <f t="shared" si="779"/>
        <v>409080.61051199038</v>
      </c>
      <c r="M131" s="1682">
        <f t="shared" si="779"/>
        <v>397622</v>
      </c>
      <c r="N131" s="1682">
        <f t="shared" si="779"/>
        <v>169354.90191566315</v>
      </c>
      <c r="O131" s="1682">
        <f t="shared" si="779"/>
        <v>158491</v>
      </c>
      <c r="P131" s="1682">
        <f t="shared" si="779"/>
        <v>578435.51242765354</v>
      </c>
      <c r="Q131" s="1682">
        <f t="shared" si="779"/>
        <v>556113</v>
      </c>
      <c r="R131" s="1682">
        <f t="shared" si="779"/>
        <v>169354.90191566315</v>
      </c>
      <c r="S131" s="1682">
        <f t="shared" si="779"/>
        <v>165402</v>
      </c>
      <c r="T131" s="1682">
        <f t="shared" si="779"/>
        <v>747790.41434331669</v>
      </c>
      <c r="U131" s="1682">
        <f t="shared" si="779"/>
        <v>721515</v>
      </c>
      <c r="V131" s="1682">
        <f t="shared" si="779"/>
        <v>163891.840563545</v>
      </c>
      <c r="W131" s="1682">
        <f t="shared" si="779"/>
        <v>142302</v>
      </c>
      <c r="X131" s="1682">
        <f t="shared" si="779"/>
        <v>502601.64439487131</v>
      </c>
      <c r="Y131" s="1682">
        <f t="shared" si="779"/>
        <v>466195</v>
      </c>
      <c r="Z131" s="1682">
        <f t="shared" si="779"/>
        <v>911682.25490686169</v>
      </c>
      <c r="AA131" s="1682">
        <f t="shared" si="779"/>
        <v>863817</v>
      </c>
      <c r="AB131" s="1682">
        <f t="shared" si="779"/>
        <v>169354.90191566315</v>
      </c>
      <c r="AC131" s="1682">
        <f t="shared" si="779"/>
        <v>156509</v>
      </c>
      <c r="AD131" s="1682">
        <f t="shared" si="779"/>
        <v>1081037.1568225247</v>
      </c>
      <c r="AE131" s="1682">
        <f t="shared" si="779"/>
        <v>1020326</v>
      </c>
      <c r="AF131" s="1682">
        <f t="shared" si="779"/>
        <v>163891.840563545</v>
      </c>
      <c r="AG131" s="1682">
        <f t="shared" si="779"/>
        <v>148347</v>
      </c>
      <c r="AH131" s="1682">
        <f t="shared" si="779"/>
        <v>1244928.99738607</v>
      </c>
      <c r="AI131" s="1682">
        <f t="shared" si="779"/>
        <v>1168673</v>
      </c>
      <c r="AJ131" s="1682">
        <f t="shared" si="779"/>
        <v>169354.90191566315</v>
      </c>
      <c r="AK131" s="1682">
        <f t="shared" si="779"/>
        <v>164125.00000000003</v>
      </c>
      <c r="AL131" s="1682">
        <f t="shared" si="779"/>
        <v>502601.64439487137</v>
      </c>
      <c r="AM131" s="1682">
        <f t="shared" si="779"/>
        <v>468980.99999999994</v>
      </c>
      <c r="AN131" s="1682">
        <f t="shared" si="779"/>
        <v>1414283.8993017331</v>
      </c>
      <c r="AO131" s="1682">
        <f t="shared" si="779"/>
        <v>1332798.0000000002</v>
      </c>
      <c r="AP131" s="1682">
        <f t="shared" ref="AP131:AS131" si="780">SUM(AP126:AP130)</f>
        <v>169354.90191566315</v>
      </c>
      <c r="AQ131" s="1682">
        <f t="shared" si="780"/>
        <v>164299</v>
      </c>
      <c r="AR131" s="1682">
        <f t="shared" si="780"/>
        <v>1583638.801217396</v>
      </c>
      <c r="AS131" s="1682">
        <f t="shared" si="780"/>
        <v>1497097.0000000002</v>
      </c>
      <c r="AT131" s="1682">
        <f t="shared" ref="AT131:AW131" si="781">SUM(AT126:AT130)</f>
        <v>152965</v>
      </c>
      <c r="AU131" s="1682">
        <f t="shared" si="781"/>
        <v>148401</v>
      </c>
      <c r="AV131" s="1682">
        <f t="shared" si="781"/>
        <v>1736603.801217396</v>
      </c>
      <c r="AW131" s="1682">
        <f t="shared" si="781"/>
        <v>1645498.0000000002</v>
      </c>
      <c r="AX131" s="1682">
        <f t="shared" ref="AX131:BE131" si="782">SUM(AX126:AX130)</f>
        <v>169354.90239999999</v>
      </c>
      <c r="AY131" s="1682">
        <f t="shared" si="782"/>
        <v>164403</v>
      </c>
      <c r="AZ131" s="1682">
        <f t="shared" si="782"/>
        <v>491674.80431566318</v>
      </c>
      <c r="BA131" s="1682">
        <f t="shared" si="782"/>
        <v>477103</v>
      </c>
      <c r="BB131" s="1682">
        <f t="shared" si="621"/>
        <v>994276.44871053449</v>
      </c>
      <c r="BC131" s="1682">
        <f t="shared" si="622"/>
        <v>946084</v>
      </c>
      <c r="BD131" s="1682">
        <f t="shared" si="782"/>
        <v>1905958.7036173965</v>
      </c>
      <c r="BE131" s="1682">
        <f t="shared" si="782"/>
        <v>1809901.0000000002</v>
      </c>
    </row>
    <row r="132" spans="1:57" s="3380" customFormat="1" ht="18" x14ac:dyDescent="0.2">
      <c r="A132" s="3379"/>
      <c r="B132" s="6776" t="s">
        <v>92</v>
      </c>
      <c r="C132" s="6777"/>
      <c r="D132" s="3720"/>
      <c r="E132" s="7847"/>
      <c r="F132" s="3720"/>
      <c r="G132" s="5316"/>
      <c r="H132" s="5335"/>
      <c r="I132" s="5334"/>
      <c r="J132" s="5335"/>
      <c r="K132" s="5319"/>
      <c r="L132" s="5335"/>
      <c r="M132" s="5319"/>
      <c r="N132" s="5335"/>
      <c r="O132" s="5319"/>
      <c r="P132" s="5335"/>
      <c r="Q132" s="5334"/>
      <c r="R132" s="5335"/>
      <c r="S132" s="5319"/>
      <c r="T132" s="5335"/>
      <c r="U132" s="5334"/>
      <c r="V132" s="5335"/>
      <c r="W132" s="5319"/>
      <c r="X132" s="5335"/>
      <c r="Y132" s="5319"/>
      <c r="Z132" s="5335"/>
      <c r="AA132" s="5334"/>
      <c r="AB132" s="5335"/>
      <c r="AC132" s="5319"/>
      <c r="AD132" s="5335"/>
      <c r="AE132" s="5334"/>
      <c r="AF132" s="5335"/>
      <c r="AG132" s="5319"/>
      <c r="AH132" s="5335"/>
      <c r="AI132" s="5334"/>
      <c r="AJ132" s="5335"/>
      <c r="AK132" s="6778"/>
      <c r="AL132" s="5302"/>
      <c r="AM132" s="6778"/>
      <c r="AN132" s="5302"/>
      <c r="AO132" s="4902"/>
      <c r="AP132" s="5335"/>
      <c r="AQ132" s="6778"/>
      <c r="AR132" s="5335"/>
      <c r="AS132" s="5334"/>
      <c r="AT132" s="5335"/>
      <c r="AU132" s="6778"/>
      <c r="AV132" s="5335"/>
      <c r="AW132" s="5334"/>
      <c r="AX132" s="5335"/>
      <c r="AY132" s="6778"/>
      <c r="AZ132" s="5335"/>
      <c r="BA132" s="5319"/>
      <c r="BB132" s="5335"/>
      <c r="BC132" s="5319"/>
      <c r="BD132" s="5335"/>
      <c r="BE132" s="5334"/>
    </row>
    <row r="133" spans="1:57" s="3380" customFormat="1" ht="19" thickBot="1" x14ac:dyDescent="0.25">
      <c r="A133" s="3379"/>
      <c r="B133" s="6779" t="s">
        <v>1621</v>
      </c>
      <c r="C133" s="6780"/>
      <c r="D133" s="6781"/>
      <c r="E133" s="6782"/>
      <c r="F133" s="6781"/>
      <c r="G133" s="6783"/>
      <c r="H133" s="6784"/>
      <c r="I133" s="6785"/>
      <c r="J133" s="6784"/>
      <c r="K133" s="6785"/>
      <c r="L133" s="6784"/>
      <c r="M133" s="6785"/>
      <c r="N133" s="6784"/>
      <c r="O133" s="6785"/>
      <c r="P133" s="6784"/>
      <c r="Q133" s="6785"/>
      <c r="R133" s="6784"/>
      <c r="S133" s="6785"/>
      <c r="T133" s="6784"/>
      <c r="U133" s="6785"/>
      <c r="V133" s="6784"/>
      <c r="W133" s="6785"/>
      <c r="X133" s="6784"/>
      <c r="Y133" s="6785"/>
      <c r="Z133" s="6784"/>
      <c r="AA133" s="6785"/>
      <c r="AB133" s="6784"/>
      <c r="AC133" s="6785"/>
      <c r="AD133" s="6784"/>
      <c r="AE133" s="6785"/>
      <c r="AF133" s="6784"/>
      <c r="AG133" s="6785"/>
      <c r="AH133" s="6784"/>
      <c r="AI133" s="6785"/>
      <c r="AJ133" s="6784"/>
      <c r="AK133" s="6785"/>
      <c r="AL133" s="6784"/>
      <c r="AM133" s="6785"/>
      <c r="AN133" s="6784"/>
      <c r="AO133" s="6785"/>
      <c r="AP133" s="6784"/>
      <c r="AQ133" s="6785"/>
      <c r="AR133" s="6784"/>
      <c r="AS133" s="6785"/>
      <c r="AT133" s="6784"/>
      <c r="AU133" s="6785"/>
      <c r="AV133" s="6784"/>
      <c r="AW133" s="6785"/>
      <c r="AX133" s="6784"/>
      <c r="AY133" s="6785"/>
      <c r="AZ133" s="6784"/>
      <c r="BA133" s="6785"/>
      <c r="BB133" s="6784"/>
      <c r="BC133" s="6785"/>
      <c r="BD133" s="6784"/>
      <c r="BE133" s="6785"/>
    </row>
    <row r="134" spans="1:57" s="3380" customFormat="1" ht="16" x14ac:dyDescent="0.2">
      <c r="A134" s="3379"/>
      <c r="B134" s="6585" t="s">
        <v>962</v>
      </c>
      <c r="C134" s="6588"/>
      <c r="D134" s="6587"/>
      <c r="E134" s="6786"/>
      <c r="F134" s="6587"/>
      <c r="G134" s="6787"/>
      <c r="H134" s="4751"/>
      <c r="I134" s="4752"/>
      <c r="J134" s="4751"/>
      <c r="K134" s="4752"/>
      <c r="L134" s="4751"/>
      <c r="M134" s="4752"/>
      <c r="N134" s="4751"/>
      <c r="O134" s="4752"/>
      <c r="P134" s="4751"/>
      <c r="Q134" s="4752"/>
      <c r="R134" s="4751"/>
      <c r="S134" s="4752"/>
      <c r="T134" s="4751"/>
      <c r="U134" s="4752"/>
      <c r="V134" s="4751"/>
      <c r="W134" s="4752"/>
      <c r="X134" s="4751"/>
      <c r="Y134" s="4752"/>
      <c r="Z134" s="4751"/>
      <c r="AA134" s="4752"/>
      <c r="AB134" s="4751"/>
      <c r="AC134" s="4752"/>
      <c r="AD134" s="4751"/>
      <c r="AE134" s="4752"/>
      <c r="AF134" s="4751"/>
      <c r="AG134" s="4752"/>
      <c r="AH134" s="4751"/>
      <c r="AI134" s="4752"/>
      <c r="AJ134" s="4751"/>
      <c r="AK134" s="4752"/>
      <c r="AL134" s="4751"/>
      <c r="AM134" s="4752"/>
      <c r="AN134" s="4751"/>
      <c r="AO134" s="4752"/>
      <c r="AP134" s="4751"/>
      <c r="AQ134" s="4752"/>
      <c r="AR134" s="4751"/>
      <c r="AS134" s="4752"/>
      <c r="AT134" s="4751"/>
      <c r="AU134" s="4752"/>
      <c r="AV134" s="4751"/>
      <c r="AW134" s="4752"/>
      <c r="AX134" s="4751"/>
      <c r="AY134" s="4752"/>
      <c r="AZ134" s="4751"/>
      <c r="BA134" s="4752"/>
      <c r="BB134" s="4751"/>
      <c r="BC134" s="4752"/>
      <c r="BD134" s="4751"/>
      <c r="BE134" s="4752"/>
    </row>
    <row r="135" spans="1:57" x14ac:dyDescent="0.2">
      <c r="B135" s="1533" t="s">
        <v>682</v>
      </c>
      <c r="C135" s="1545" t="s">
        <v>169</v>
      </c>
      <c r="D135" s="6344">
        <f t="shared" ref="D135:AS135" si="783">+D81/D91*100</f>
        <v>64.524033844498192</v>
      </c>
      <c r="E135" s="1859">
        <f t="shared" si="783"/>
        <v>64.139809350885159</v>
      </c>
      <c r="F135" s="6344">
        <f t="shared" si="783"/>
        <v>63.475366172183499</v>
      </c>
      <c r="G135" s="2997">
        <f t="shared" si="783"/>
        <v>63.370110330992979</v>
      </c>
      <c r="H135" s="6314">
        <f t="shared" si="783"/>
        <v>63.968834927209492</v>
      </c>
      <c r="I135" s="3876">
        <f t="shared" si="783"/>
        <v>63.731232030667663</v>
      </c>
      <c r="J135" s="6330">
        <f t="shared" si="783"/>
        <v>70.05814763813548</v>
      </c>
      <c r="K135" s="2997">
        <f t="shared" si="783"/>
        <v>64.997121473805407</v>
      </c>
      <c r="L135" s="6315">
        <f t="shared" si="783"/>
        <v>66.155892778951966</v>
      </c>
      <c r="M135" s="3899">
        <f t="shared" si="783"/>
        <v>64.182988631694286</v>
      </c>
      <c r="N135" s="6330">
        <f t="shared" si="783"/>
        <v>70.058147638135495</v>
      </c>
      <c r="O135" s="2997">
        <f t="shared" si="783"/>
        <v>69.356828193832598</v>
      </c>
      <c r="P135" s="6314">
        <f t="shared" si="783"/>
        <v>67.267848459063316</v>
      </c>
      <c r="Q135" s="3876">
        <f t="shared" si="783"/>
        <v>65.631010504512503</v>
      </c>
      <c r="R135" s="6330">
        <f t="shared" si="783"/>
        <v>70.058147638135495</v>
      </c>
      <c r="S135" s="2997">
        <f t="shared" si="783"/>
        <v>70.677731673582301</v>
      </c>
      <c r="T135" s="6314">
        <f t="shared" si="783"/>
        <v>67.886627626205282</v>
      </c>
      <c r="U135" s="3876">
        <f t="shared" si="783"/>
        <v>66.751083995241927</v>
      </c>
      <c r="V135" s="6555">
        <f t="shared" si="783"/>
        <v>70.05814763813548</v>
      </c>
      <c r="W135" s="2997">
        <f t="shared" si="783"/>
        <v>70.045167118337844</v>
      </c>
      <c r="X135" s="6548">
        <f t="shared" si="783"/>
        <v>70.05814763813548</v>
      </c>
      <c r="Y135" s="3899">
        <f t="shared" si="783"/>
        <v>70.030599034953511</v>
      </c>
      <c r="Z135" s="6547">
        <f t="shared" si="783"/>
        <v>68.270310509695662</v>
      </c>
      <c r="AA135" s="6715">
        <f t="shared" si="783"/>
        <v>67.328142802886433</v>
      </c>
      <c r="AB135" s="7338">
        <f t="shared" si="783"/>
        <v>70.058147638135495</v>
      </c>
      <c r="AC135" s="2997">
        <f t="shared" si="783"/>
        <v>70.275897969807389</v>
      </c>
      <c r="AD135" s="7325">
        <f t="shared" si="783"/>
        <v>68.546334668571802</v>
      </c>
      <c r="AE135" s="3876">
        <f t="shared" si="783"/>
        <v>67.782863567011958</v>
      </c>
      <c r="AF135" s="7365">
        <f t="shared" si="783"/>
        <v>70.05814763813548</v>
      </c>
      <c r="AG135" s="2997">
        <f t="shared" si="783"/>
        <v>71.198361823361822</v>
      </c>
      <c r="AH135" s="7554">
        <f t="shared" si="783"/>
        <v>68.742852482529543</v>
      </c>
      <c r="AI135" s="3876">
        <f t="shared" si="783"/>
        <v>68.229203025014542</v>
      </c>
      <c r="AJ135" s="7365">
        <f t="shared" si="783"/>
        <v>70.058147638135495</v>
      </c>
      <c r="AK135" s="2997">
        <f t="shared" si="783"/>
        <v>69.997409102685893</v>
      </c>
      <c r="AL135" s="7699">
        <f t="shared" si="783"/>
        <v>70.05814763813548</v>
      </c>
      <c r="AM135" s="3899">
        <f t="shared" si="783"/>
        <v>70.483734746774616</v>
      </c>
      <c r="AN135" s="7701">
        <f t="shared" si="783"/>
        <v>68.898603717869193</v>
      </c>
      <c r="AO135" s="3876">
        <f t="shared" si="783"/>
        <v>68.439130925160725</v>
      </c>
      <c r="AP135" s="7365">
        <f t="shared" si="783"/>
        <v>70.058147638135495</v>
      </c>
      <c r="AQ135" s="2997">
        <f t="shared" si="783"/>
        <v>69.997409102685893</v>
      </c>
      <c r="AR135" s="8017">
        <f t="shared" si="783"/>
        <v>69.021373740027343</v>
      </c>
      <c r="AS135" s="3876">
        <f t="shared" si="783"/>
        <v>68.604501961359389</v>
      </c>
      <c r="AT135" s="7365">
        <f t="shared" ref="AT135:AW135" si="784">+AT81/AT91*100</f>
        <v>70.058737423335614</v>
      </c>
      <c r="AU135" s="2997">
        <f t="shared" si="784"/>
        <v>71.18271345252893</v>
      </c>
      <c r="AV135" s="8149">
        <f t="shared" si="784"/>
        <v>69.111918787537334</v>
      </c>
      <c r="AW135" s="3876">
        <f t="shared" si="784"/>
        <v>68.830028352304566</v>
      </c>
      <c r="AX135" s="7365">
        <f t="shared" ref="AX135:BE135" si="785">+AX81/AX91*100</f>
        <v>70.058147656647748</v>
      </c>
      <c r="AY135" s="2997">
        <f t="shared" si="785"/>
        <v>68.955404123177772</v>
      </c>
      <c r="AZ135" s="8266">
        <f t="shared" si="785"/>
        <v>70.058331132203193</v>
      </c>
      <c r="BA135" s="3899">
        <f t="shared" si="785"/>
        <v>70.00683892836966</v>
      </c>
      <c r="BB135" s="8266">
        <f t="shared" ref="BB135:BC135" si="786">+BB81/BB91*100</f>
        <v>70.05823837684305</v>
      </c>
      <c r="BC135" s="3899">
        <f t="shared" si="786"/>
        <v>70.247763653484</v>
      </c>
      <c r="BD135" s="8280">
        <f t="shared" si="785"/>
        <v>69.19530119173163</v>
      </c>
      <c r="BE135" s="6715">
        <f t="shared" si="785"/>
        <v>69.906550739000167</v>
      </c>
    </row>
    <row r="136" spans="1:57" x14ac:dyDescent="0.2">
      <c r="B136" s="1533" t="s">
        <v>683</v>
      </c>
      <c r="C136" s="1545" t="s">
        <v>169</v>
      </c>
      <c r="D136" s="6344">
        <f t="shared" ref="D136:AS136" si="787">+D85/D91*100</f>
        <v>25.589546857635654</v>
      </c>
      <c r="E136" s="1859">
        <f t="shared" si="787"/>
        <v>25.419881979119385</v>
      </c>
      <c r="F136" s="6344">
        <f t="shared" si="787"/>
        <v>26.664330823202594</v>
      </c>
      <c r="G136" s="3177">
        <f t="shared" si="787"/>
        <v>26.619859578736211</v>
      </c>
      <c r="H136" s="4809">
        <f t="shared" si="787"/>
        <v>26.158572593582015</v>
      </c>
      <c r="I136" s="2805">
        <f t="shared" si="787"/>
        <v>26.056862953892022</v>
      </c>
      <c r="J136" s="6344">
        <f t="shared" si="787"/>
        <v>25.02076701361981</v>
      </c>
      <c r="K136" s="3177">
        <f t="shared" si="787"/>
        <v>27.000575705238916</v>
      </c>
      <c r="L136" s="4792">
        <f t="shared" si="787"/>
        <v>25.749914548652299</v>
      </c>
      <c r="M136" s="2887">
        <f t="shared" si="787"/>
        <v>26.393644706204629</v>
      </c>
      <c r="N136" s="6344">
        <f t="shared" si="787"/>
        <v>25.02076701361981</v>
      </c>
      <c r="O136" s="3177">
        <f t="shared" si="787"/>
        <v>25.63876651982379</v>
      </c>
      <c r="P136" s="4809">
        <f t="shared" si="787"/>
        <v>25.542142434201466</v>
      </c>
      <c r="Q136" s="2805">
        <f t="shared" si="787"/>
        <v>26.182374118459339</v>
      </c>
      <c r="R136" s="6344">
        <f t="shared" si="787"/>
        <v>25.02076701361981</v>
      </c>
      <c r="S136" s="3177">
        <f t="shared" si="787"/>
        <v>24.317081604426001</v>
      </c>
      <c r="T136" s="4809">
        <f t="shared" si="787"/>
        <v>25.426521768526793</v>
      </c>
      <c r="U136" s="2805">
        <f t="shared" si="787"/>
        <v>25.768389547599863</v>
      </c>
      <c r="V136" s="6559">
        <f t="shared" si="787"/>
        <v>25.020767013619821</v>
      </c>
      <c r="W136" s="3177">
        <f t="shared" si="787"/>
        <v>25.067750677506773</v>
      </c>
      <c r="X136" s="4792">
        <f t="shared" si="787"/>
        <v>25.02076701361981</v>
      </c>
      <c r="Y136" s="2887">
        <f t="shared" si="787"/>
        <v>25.002942214899377</v>
      </c>
      <c r="Z136" s="6519">
        <f t="shared" si="787"/>
        <v>25.354829519089844</v>
      </c>
      <c r="AA136" s="6671">
        <f t="shared" si="787"/>
        <v>25.645651348271929</v>
      </c>
      <c r="AB136" s="7345">
        <f t="shared" si="787"/>
        <v>25.02076701361981</v>
      </c>
      <c r="AC136" s="3177">
        <f t="shared" si="787"/>
        <v>24.726704841228528</v>
      </c>
      <c r="AD136" s="4809">
        <f t="shared" si="787"/>
        <v>25.303253611744818</v>
      </c>
      <c r="AE136" s="2805">
        <f t="shared" si="787"/>
        <v>25.503894643860921</v>
      </c>
      <c r="AF136" s="7583">
        <f t="shared" si="787"/>
        <v>25.020767013619821</v>
      </c>
      <c r="AG136" s="3177">
        <f t="shared" si="787"/>
        <v>23.798076923076923</v>
      </c>
      <c r="AH136" s="4809">
        <f t="shared" si="787"/>
        <v>25.266533693439108</v>
      </c>
      <c r="AI136" s="2805">
        <f t="shared" si="787"/>
        <v>25.280977312390924</v>
      </c>
      <c r="AJ136" s="7734">
        <f t="shared" si="787"/>
        <v>25.02076701361981</v>
      </c>
      <c r="AK136" s="3177">
        <f t="shared" si="787"/>
        <v>25.002159081095087</v>
      </c>
      <c r="AL136" s="4792">
        <f t="shared" si="787"/>
        <v>25.02076701361981</v>
      </c>
      <c r="AM136" s="2887">
        <f t="shared" si="787"/>
        <v>24.515828406675016</v>
      </c>
      <c r="AN136" s="4809">
        <f t="shared" si="787"/>
        <v>25.237431127506259</v>
      </c>
      <c r="AO136" s="2805">
        <f t="shared" si="787"/>
        <v>25.247874991028308</v>
      </c>
      <c r="AP136" s="8049">
        <f t="shared" si="787"/>
        <v>25.02076701361981</v>
      </c>
      <c r="AQ136" s="3177">
        <f t="shared" si="787"/>
        <v>25.002159081095087</v>
      </c>
      <c r="AR136" s="4809">
        <f t="shared" si="787"/>
        <v>25.214491196040267</v>
      </c>
      <c r="AS136" s="2805">
        <f t="shared" si="787"/>
        <v>25.221798584888365</v>
      </c>
      <c r="AT136" s="8170">
        <f t="shared" ref="AT136:AW136" si="788">+AT85/AT91*100</f>
        <v>25.019918842298356</v>
      </c>
      <c r="AU136" s="3177">
        <f t="shared" si="788"/>
        <v>23.816808490295436</v>
      </c>
      <c r="AV136" s="4809">
        <f t="shared" si="788"/>
        <v>25.197508181021362</v>
      </c>
      <c r="AW136" s="2805">
        <f t="shared" si="788"/>
        <v>25.09889852551289</v>
      </c>
      <c r="AX136" s="8321">
        <f t="shared" ref="AX136:BE136" si="789">+AX85/AX91*100</f>
        <v>25.02076696046036</v>
      </c>
      <c r="AY136" s="3177">
        <f t="shared" si="789"/>
        <v>26.041576813594407</v>
      </c>
      <c r="AZ136" s="4792">
        <f t="shared" si="789"/>
        <v>25.020503121279329</v>
      </c>
      <c r="BA136" s="2887">
        <f t="shared" si="789"/>
        <v>24.991823020427582</v>
      </c>
      <c r="BB136" s="4792">
        <f t="shared" ref="BB136:BC136" si="790">+BB85/BB91*100</f>
        <v>25.020636517575927</v>
      </c>
      <c r="BC136" s="2887">
        <f t="shared" si="790"/>
        <v>24.751353578154426</v>
      </c>
      <c r="BD136" s="6519">
        <f t="shared" si="789"/>
        <v>25.181933610881192</v>
      </c>
      <c r="BE136" s="6671">
        <f t="shared" si="789"/>
        <v>25.571960576334963</v>
      </c>
    </row>
    <row r="137" spans="1:57" x14ac:dyDescent="0.2">
      <c r="B137" s="1529" t="s">
        <v>39</v>
      </c>
      <c r="C137" s="1579" t="s">
        <v>169</v>
      </c>
      <c r="D137" s="2705">
        <f t="shared" ref="D137:I137" si="791">SUM(D135:D136)</f>
        <v>90.113580702133845</v>
      </c>
      <c r="E137" s="3846">
        <f t="shared" si="791"/>
        <v>89.55969133000454</v>
      </c>
      <c r="F137" s="2705">
        <f t="shared" ref="F137" si="792">SUM(F135:F136)</f>
        <v>90.139696995386089</v>
      </c>
      <c r="G137" s="3216">
        <f t="shared" si="791"/>
        <v>89.989969909729183</v>
      </c>
      <c r="H137" s="2957">
        <f t="shared" si="791"/>
        <v>90.127407520791508</v>
      </c>
      <c r="I137" s="3877">
        <f t="shared" si="791"/>
        <v>89.788094984559677</v>
      </c>
      <c r="J137" s="2705">
        <f t="shared" ref="J137:M137" si="793">SUM(J135:J136)</f>
        <v>95.078914651755298</v>
      </c>
      <c r="K137" s="3216">
        <f t="shared" si="793"/>
        <v>91.997697179044323</v>
      </c>
      <c r="L137" s="3053">
        <f t="shared" si="793"/>
        <v>91.905807327604265</v>
      </c>
      <c r="M137" s="3900">
        <f t="shared" si="793"/>
        <v>90.576633337898912</v>
      </c>
      <c r="N137" s="2705">
        <f t="shared" ref="N137:O137" si="794">SUM(N135:N136)</f>
        <v>95.078914651755298</v>
      </c>
      <c r="O137" s="3216">
        <f t="shared" si="794"/>
        <v>94.995594713656388</v>
      </c>
      <c r="P137" s="2957">
        <f t="shared" ref="P137:S137" si="795">SUM(P135:P136)</f>
        <v>92.809990893264782</v>
      </c>
      <c r="Q137" s="3877">
        <f t="shared" si="795"/>
        <v>91.813384622971839</v>
      </c>
      <c r="R137" s="2705">
        <f t="shared" si="795"/>
        <v>95.078914651755298</v>
      </c>
      <c r="S137" s="3216">
        <f t="shared" si="795"/>
        <v>94.994813278008309</v>
      </c>
      <c r="T137" s="2957">
        <f t="shared" ref="T137:Y137" si="796">SUM(T135:T136)</f>
        <v>93.313149394732079</v>
      </c>
      <c r="U137" s="3877">
        <f t="shared" si="796"/>
        <v>92.519473542841794</v>
      </c>
      <c r="V137" s="2705">
        <f t="shared" si="796"/>
        <v>95.078914651755298</v>
      </c>
      <c r="W137" s="3216">
        <f t="shared" si="796"/>
        <v>95.112917795844623</v>
      </c>
      <c r="X137" s="3053">
        <f t="shared" si="796"/>
        <v>95.078914651755298</v>
      </c>
      <c r="Y137" s="3900">
        <f t="shared" si="796"/>
        <v>95.033541249852888</v>
      </c>
      <c r="Z137" s="6606">
        <f t="shared" ref="Z137:AM137" si="797">SUM(Z135:Z136)</f>
        <v>93.625140028785509</v>
      </c>
      <c r="AA137" s="6716">
        <f t="shared" si="797"/>
        <v>92.973794151158359</v>
      </c>
      <c r="AB137" s="2705">
        <f t="shared" si="797"/>
        <v>95.078914651755298</v>
      </c>
      <c r="AC137" s="3216">
        <f t="shared" si="797"/>
        <v>95.002602811035914</v>
      </c>
      <c r="AD137" s="2957">
        <f t="shared" si="797"/>
        <v>93.849588280316624</v>
      </c>
      <c r="AE137" s="3877">
        <f t="shared" si="797"/>
        <v>93.286758210872875</v>
      </c>
      <c r="AF137" s="2705">
        <f t="shared" si="797"/>
        <v>95.078914651755298</v>
      </c>
      <c r="AG137" s="3216">
        <f t="shared" si="797"/>
        <v>94.996438746438741</v>
      </c>
      <c r="AH137" s="2957">
        <f t="shared" si="797"/>
        <v>94.009386175968643</v>
      </c>
      <c r="AI137" s="3877">
        <f t="shared" si="797"/>
        <v>93.510180337405473</v>
      </c>
      <c r="AJ137" s="2705">
        <f t="shared" si="797"/>
        <v>95.078914651755298</v>
      </c>
      <c r="AK137" s="3216">
        <f t="shared" si="797"/>
        <v>94.99956818378098</v>
      </c>
      <c r="AL137" s="3053">
        <f t="shared" si="797"/>
        <v>95.078914651755298</v>
      </c>
      <c r="AM137" s="3900">
        <f t="shared" si="797"/>
        <v>94.999563153449628</v>
      </c>
      <c r="AN137" s="2957">
        <f t="shared" ref="AN137:AS137" si="798">SUM(AN135:AN136)</f>
        <v>94.136034845375448</v>
      </c>
      <c r="AO137" s="3877">
        <f t="shared" si="798"/>
        <v>93.687005916189037</v>
      </c>
      <c r="AP137" s="2705">
        <f t="shared" si="798"/>
        <v>95.078914651755298</v>
      </c>
      <c r="AQ137" s="3216">
        <f t="shared" si="798"/>
        <v>94.99956818378098</v>
      </c>
      <c r="AR137" s="2957">
        <f t="shared" si="798"/>
        <v>94.235864936067614</v>
      </c>
      <c r="AS137" s="3877">
        <f t="shared" si="798"/>
        <v>93.826300546247751</v>
      </c>
      <c r="AT137" s="2705">
        <f t="shared" ref="AT137:AW137" si="799">SUM(AT135:AT136)</f>
        <v>95.078656265633967</v>
      </c>
      <c r="AU137" s="3216">
        <f t="shared" si="799"/>
        <v>94.999521942824373</v>
      </c>
      <c r="AV137" s="2957">
        <f t="shared" si="799"/>
        <v>94.309426968558697</v>
      </c>
      <c r="AW137" s="3877">
        <f t="shared" si="799"/>
        <v>93.92892687781746</v>
      </c>
      <c r="AX137" s="2705">
        <f t="shared" ref="AX137:BE137" si="800">SUM(AX135:AX136)</f>
        <v>95.078914617108111</v>
      </c>
      <c r="AY137" s="3216">
        <f t="shared" si="800"/>
        <v>94.996980936772175</v>
      </c>
      <c r="AZ137" s="3053">
        <f t="shared" si="800"/>
        <v>95.078834253482526</v>
      </c>
      <c r="BA137" s="3900">
        <f t="shared" si="800"/>
        <v>94.998661948797235</v>
      </c>
      <c r="BB137" s="3053">
        <f t="shared" ref="BB137:BC137" si="801">SUM(BB135:BB136)</f>
        <v>95.078874894418973</v>
      </c>
      <c r="BC137" s="3900">
        <f t="shared" si="801"/>
        <v>94.999117231638422</v>
      </c>
      <c r="BD137" s="6606">
        <f t="shared" si="800"/>
        <v>94.377234802612818</v>
      </c>
      <c r="BE137" s="6716">
        <f t="shared" si="800"/>
        <v>95.478511315335126</v>
      </c>
    </row>
    <row r="138" spans="1:57" x14ac:dyDescent="0.2">
      <c r="B138" s="1533" t="s">
        <v>686</v>
      </c>
      <c r="C138" s="1545" t="s">
        <v>169</v>
      </c>
      <c r="D138" s="3177">
        <f t="shared" ref="D138:AS138" si="802">+((D87+D88+D89+D90)/D91)*100</f>
        <v>9.8864192978661567</v>
      </c>
      <c r="E138" s="3177">
        <f t="shared" si="802"/>
        <v>10.440308669995462</v>
      </c>
      <c r="F138" s="3177">
        <f t="shared" si="802"/>
        <v>9.8603030046138986</v>
      </c>
      <c r="G138" s="3177">
        <f t="shared" si="802"/>
        <v>10.010030090270812</v>
      </c>
      <c r="H138" s="3177">
        <f t="shared" si="802"/>
        <v>9.872592479208496</v>
      </c>
      <c r="I138" s="3177">
        <f t="shared" si="802"/>
        <v>10.211905015440315</v>
      </c>
      <c r="J138" s="3177">
        <f t="shared" si="802"/>
        <v>4.9210853482446986</v>
      </c>
      <c r="K138" s="3177">
        <f t="shared" si="802"/>
        <v>8.0023028209556699</v>
      </c>
      <c r="L138" s="3177">
        <f t="shared" si="802"/>
        <v>8.0941926723957565</v>
      </c>
      <c r="M138" s="3177">
        <f t="shared" si="802"/>
        <v>9.4233666621010812</v>
      </c>
      <c r="N138" s="3177">
        <f t="shared" si="802"/>
        <v>4.9210853482446995</v>
      </c>
      <c r="O138" s="3177">
        <f t="shared" si="802"/>
        <v>5.004405286343613</v>
      </c>
      <c r="P138" s="3177">
        <f t="shared" si="802"/>
        <v>7.1900091067352099</v>
      </c>
      <c r="Q138" s="3177">
        <f t="shared" si="802"/>
        <v>8.1866153770281596</v>
      </c>
      <c r="R138" s="3177">
        <f t="shared" si="802"/>
        <v>4.9210853482446995</v>
      </c>
      <c r="S138" s="3177">
        <f t="shared" si="802"/>
        <v>5.0051867219917012</v>
      </c>
      <c r="T138" s="3177">
        <f t="shared" si="802"/>
        <v>6.6868506052679093</v>
      </c>
      <c r="U138" s="3177">
        <f t="shared" si="802"/>
        <v>7.4805264571582057</v>
      </c>
      <c r="V138" s="3177">
        <f t="shared" si="802"/>
        <v>4.9210853482446995</v>
      </c>
      <c r="W138" s="3177">
        <f t="shared" si="802"/>
        <v>4.8870822041553748</v>
      </c>
      <c r="X138" s="3177">
        <f t="shared" si="802"/>
        <v>4.9210853482446986</v>
      </c>
      <c r="Y138" s="3177">
        <f t="shared" si="802"/>
        <v>4.9664587501471109</v>
      </c>
      <c r="Z138" s="3177">
        <f t="shared" si="802"/>
        <v>6.37485997121449</v>
      </c>
      <c r="AA138" s="3177">
        <f t="shared" si="802"/>
        <v>7.0262058488416255</v>
      </c>
      <c r="AB138" s="3177">
        <f t="shared" si="802"/>
        <v>4.9210853482446995</v>
      </c>
      <c r="AC138" s="3177">
        <f t="shared" si="802"/>
        <v>4.9973971889640811</v>
      </c>
      <c r="AD138" s="3177">
        <f t="shared" si="802"/>
        <v>6.1504117196833992</v>
      </c>
      <c r="AE138" s="3177">
        <f t="shared" si="802"/>
        <v>6.7132417891271183</v>
      </c>
      <c r="AF138" s="3177">
        <f t="shared" si="802"/>
        <v>4.9210853482446995</v>
      </c>
      <c r="AG138" s="3177">
        <f t="shared" si="802"/>
        <v>5.0035612535612533</v>
      </c>
      <c r="AH138" s="3177">
        <f t="shared" si="802"/>
        <v>5.9906138240313469</v>
      </c>
      <c r="AI138" s="3177">
        <f t="shared" si="802"/>
        <v>6.489819662594531</v>
      </c>
      <c r="AJ138" s="3177">
        <f t="shared" si="802"/>
        <v>4.9210853482446995</v>
      </c>
      <c r="AK138" s="3177">
        <f t="shared" si="802"/>
        <v>5.0004318162190167</v>
      </c>
      <c r="AL138" s="3177">
        <f t="shared" si="802"/>
        <v>4.9210853482446986</v>
      </c>
      <c r="AM138" s="3177">
        <f t="shared" si="802"/>
        <v>5.0004368465503681</v>
      </c>
      <c r="AN138" s="3177">
        <f t="shared" si="802"/>
        <v>5.8639651546245526</v>
      </c>
      <c r="AO138" s="3177">
        <f t="shared" si="802"/>
        <v>6.3129940838109686</v>
      </c>
      <c r="AP138" s="3177">
        <f t="shared" si="802"/>
        <v>4.9210853482446995</v>
      </c>
      <c r="AQ138" s="3177">
        <f t="shared" si="802"/>
        <v>5.0004318162190167</v>
      </c>
      <c r="AR138" s="3177">
        <f t="shared" si="802"/>
        <v>5.7641350639323985</v>
      </c>
      <c r="AS138" s="3177">
        <f t="shared" si="802"/>
        <v>6.1736994537522456</v>
      </c>
      <c r="AT138" s="3177">
        <f t="shared" ref="AT138:AW138" si="803">+((AT87+AT88+AT89+AT90)/AT91)*100</f>
        <v>4.9213437343660251</v>
      </c>
      <c r="AU138" s="3177">
        <f t="shared" si="803"/>
        <v>5.0004780571756386</v>
      </c>
      <c r="AV138" s="3177">
        <f t="shared" si="803"/>
        <v>5.6905730314413105</v>
      </c>
      <c r="AW138" s="3177">
        <f t="shared" si="803"/>
        <v>6.0710731221825425</v>
      </c>
      <c r="AX138" s="3177">
        <f t="shared" ref="AX138:BE138" si="804">+((AX87+AX88+AX89+AX90)/AX91)*100</f>
        <v>4.9210853828918797</v>
      </c>
      <c r="AY138" s="3177">
        <f t="shared" si="804"/>
        <v>5.0030190632278098</v>
      </c>
      <c r="AZ138" s="3177">
        <f t="shared" si="804"/>
        <v>4.9211657465174543</v>
      </c>
      <c r="BA138" s="3177">
        <f t="shared" si="804"/>
        <v>5.0013380512027599</v>
      </c>
      <c r="BB138" s="3177">
        <f t="shared" ref="BB138:BC138" si="805">+((BB87+BB88+BB89+BB90)/BB91)*100</f>
        <v>4.921125105581007</v>
      </c>
      <c r="BC138" s="3177">
        <f t="shared" si="805"/>
        <v>5.0008827683615822</v>
      </c>
      <c r="BD138" s="3177">
        <f t="shared" si="804"/>
        <v>5.6227651973871771</v>
      </c>
      <c r="BE138" s="3177">
        <f t="shared" si="804"/>
        <v>4.5214886846648756</v>
      </c>
    </row>
    <row r="139" spans="1:57" s="3380" customFormat="1" ht="18" x14ac:dyDescent="0.2">
      <c r="A139" s="3379"/>
      <c r="B139" s="6788" t="s">
        <v>681</v>
      </c>
      <c r="C139" s="6789"/>
      <c r="D139" s="6772"/>
      <c r="E139" s="6773"/>
      <c r="F139" s="6772"/>
      <c r="G139" s="6790"/>
      <c r="H139" s="6791"/>
      <c r="I139" s="5648"/>
      <c r="J139" s="5645"/>
      <c r="K139" s="5648"/>
      <c r="L139" s="5645"/>
      <c r="M139" s="5648"/>
      <c r="N139" s="5645"/>
      <c r="O139" s="5648"/>
      <c r="P139" s="6791"/>
      <c r="Q139" s="5648"/>
      <c r="R139" s="5645"/>
      <c r="S139" s="5648"/>
      <c r="T139" s="6791"/>
      <c r="U139" s="5648"/>
      <c r="V139" s="5645"/>
      <c r="W139" s="5648"/>
      <c r="X139" s="5645"/>
      <c r="Y139" s="5648"/>
      <c r="Z139" s="6791"/>
      <c r="AA139" s="5648"/>
      <c r="AB139" s="5645"/>
      <c r="AC139" s="5648"/>
      <c r="AD139" s="6791"/>
      <c r="AE139" s="5648"/>
      <c r="AF139" s="5645"/>
      <c r="AG139" s="5648"/>
      <c r="AH139" s="6791"/>
      <c r="AI139" s="5648"/>
      <c r="AJ139" s="5645"/>
      <c r="AK139" s="5648"/>
      <c r="AL139" s="5645"/>
      <c r="AM139" s="5648"/>
      <c r="AN139" s="6791"/>
      <c r="AO139" s="5648"/>
      <c r="AP139" s="5645"/>
      <c r="AQ139" s="5648"/>
      <c r="AR139" s="6791"/>
      <c r="AS139" s="5648"/>
      <c r="AT139" s="5645"/>
      <c r="AU139" s="5648"/>
      <c r="AV139" s="6791"/>
      <c r="AW139" s="5648"/>
      <c r="AX139" s="5645"/>
      <c r="AY139" s="5648"/>
      <c r="AZ139" s="5645"/>
      <c r="BA139" s="5648"/>
      <c r="BB139" s="5645"/>
      <c r="BC139" s="5648"/>
      <c r="BD139" s="6791"/>
      <c r="BE139" s="5648"/>
    </row>
    <row r="140" spans="1:57" x14ac:dyDescent="0.2">
      <c r="B140" s="1531" t="s">
        <v>687</v>
      </c>
      <c r="C140" s="1545" t="s">
        <v>169</v>
      </c>
      <c r="D140" s="3224">
        <v>8.8515025422869815</v>
      </c>
      <c r="E140" s="2723">
        <v>8.5677777777777777</v>
      </c>
      <c r="F140" s="3224">
        <v>8.8515025422869815</v>
      </c>
      <c r="G140" s="2559">
        <v>8.56989247311828</v>
      </c>
      <c r="H140" s="3139">
        <f>+((D140*D$91)+(F$91*F140))/H$91</f>
        <v>8.8515025422869815</v>
      </c>
      <c r="I140" s="2807">
        <f>+((E140*E$91)+(G$91*G140))/I$91</f>
        <v>8.568900315981633</v>
      </c>
      <c r="J140" s="2706">
        <v>8.8515025422869815</v>
      </c>
      <c r="K140" s="2559">
        <v>8.6244444444444444</v>
      </c>
      <c r="L140" s="3140">
        <f>+((H140*H$91)+(J$91*J140))/L$91</f>
        <v>8.8515025422869815</v>
      </c>
      <c r="M140" s="2888">
        <f>+((I140*I$91)+(K$91*K140))/M$91</f>
        <v>8.5887222892332211</v>
      </c>
      <c r="N140" s="2706">
        <v>8.875</v>
      </c>
      <c r="O140" s="3179">
        <v>8.6978494623655891</v>
      </c>
      <c r="P140" s="3139">
        <f>+((L140*L$91)+(N$91*N140))/P$91</f>
        <v>8.8581981919856858</v>
      </c>
      <c r="Q140" s="2807">
        <f>+((M140*M$91)+(O$91*O140))/Q$91</f>
        <v>8.6192641202499498</v>
      </c>
      <c r="R140" s="2706">
        <v>8.875</v>
      </c>
      <c r="S140" s="3179">
        <v>8.6494623655913987</v>
      </c>
      <c r="T140" s="3139">
        <f>+((P140*P$91)+(R$91*R140))/T$91</f>
        <v>8.8619241755101594</v>
      </c>
      <c r="U140" s="2807">
        <f>+((Q140*Q$91)+(S$91*S140))/U$91</f>
        <v>8.6259663439196075</v>
      </c>
      <c r="V140" s="2706">
        <v>8.8515025422869815</v>
      </c>
      <c r="W140" s="3179">
        <v>8.6622222222222245</v>
      </c>
      <c r="X140" s="3140">
        <f>+((N140*N$91)+(R140*R$91)+(V$91*V140))/X$91</f>
        <v>8.8673377855283615</v>
      </c>
      <c r="Y140" s="2888">
        <f>+((O140*O$91)+(S140*S$91)+(W$91*W140))/Y$91</f>
        <v>8.6697767459989041</v>
      </c>
      <c r="Z140" s="6685">
        <f>+((T140*T$91)+(V$91*V140))/Z$91</f>
        <v>8.8600827914732747</v>
      </c>
      <c r="AA140" s="6686">
        <f>+((U140*U$91)+(W$91*W140))/AA$91</f>
        <v>8.6323176632766447</v>
      </c>
      <c r="AB140" s="2706">
        <v>8.8515025422869815</v>
      </c>
      <c r="AC140" s="3179">
        <v>8.8021505376344091</v>
      </c>
      <c r="AD140" s="3139">
        <f>+((Z140*Z$91)+(AB$91*AB140))/AD$91</f>
        <v>8.858758086875234</v>
      </c>
      <c r="AE140" s="2807">
        <f>+((AA140*AA$91)+(AC$91*AC140))/AE$91</f>
        <v>8.658516085475414</v>
      </c>
      <c r="AF140" s="2706">
        <v>8.8515025422869815</v>
      </c>
      <c r="AG140" s="3179">
        <v>8.6</v>
      </c>
      <c r="AH140" s="3139">
        <f>+((AD140*AD$91)+(AF$91*AF140))/AH$91</f>
        <v>8.8578149518510862</v>
      </c>
      <c r="AI140" s="2807">
        <f>+((AE140*AE$91)+(AG$91*AG140))/AI$91</f>
        <v>8.6508691666614546</v>
      </c>
      <c r="AJ140" s="2706">
        <v>8.8515025422869815</v>
      </c>
      <c r="AK140" s="3179">
        <v>8.594623655913983</v>
      </c>
      <c r="AL140" s="3140">
        <f>+((AB140*AB$91)+(AF140*AF$91)+(AJ$91*AJ140))/AL$91</f>
        <v>8.8515025422869815</v>
      </c>
      <c r="AM140" s="2888">
        <f>+((AC140*AC$91)+(AG140*AG$91)+(AK$91*AK140))/AM$91</f>
        <v>8.6660434635699737</v>
      </c>
      <c r="AN140" s="3139">
        <f>+((AH140*AH$91)+(AJ$91*AJ140))/AN$91</f>
        <v>8.8570674651874377</v>
      </c>
      <c r="AO140" s="2807">
        <f>+((AI140*AI$91)+(AK$91*AK140))/AO$91</f>
        <v>8.6441914936724462</v>
      </c>
      <c r="AP140" s="2706">
        <v>8.8515025422869815</v>
      </c>
      <c r="AQ140" s="3179">
        <v>8.6064516129032285</v>
      </c>
      <c r="AR140" s="3139">
        <f>+((AN140*AN$91)+(AP$91*AP140))/AR$91</f>
        <v>8.8564782630918071</v>
      </c>
      <c r="AS140" s="2807">
        <f>+((AO140*AO$91)+(AQ$91*AQ140))/AS$91</f>
        <v>8.6401863787457067</v>
      </c>
      <c r="AT140" s="2706">
        <v>8.8515025422869815</v>
      </c>
      <c r="AU140" s="3179">
        <v>8.3333329999999997</v>
      </c>
      <c r="AV140" s="3139">
        <f>+((AR140*AR$91)+(AT$91*AT140))/AV$91</f>
        <v>8.8560439632566386</v>
      </c>
      <c r="AW140" s="2807">
        <f>+((AS140*AS$91)+(AU$91*AU140))/AW$91</f>
        <v>8.6133446959377284</v>
      </c>
      <c r="AX140" s="2706">
        <v>8.8515025422869815</v>
      </c>
      <c r="AY140" s="3179">
        <v>8.2430109999999992</v>
      </c>
      <c r="AZ140" s="3140">
        <f>+((AP140*AP$91)+(AT140*AT$91)+(AX$91*AX140))/AZ$91</f>
        <v>8.8515025422869815</v>
      </c>
      <c r="BA140" s="2888">
        <f>+((AQ140*AQ$91)+(AU140*AU$91)+(AY$91*AY140))/BA$91</f>
        <v>8.396231441105126</v>
      </c>
      <c r="BB140" s="3140">
        <v>8.8515025422869815</v>
      </c>
      <c r="BC140" s="2888">
        <f>+((AM140*AM$91)+(BA140*BA$91))/BC$91</f>
        <v>8.5325387535959365</v>
      </c>
      <c r="BD140" s="6685">
        <f>+((AV140*AV$91)+(AX$91*AX140))/BD$91</f>
        <v>8.8556437698031605</v>
      </c>
      <c r="BE140" s="6686">
        <f>+((AW140*AW$91)+(AY$91*AY140))/BE$91</f>
        <v>8.7134120344545671</v>
      </c>
    </row>
    <row r="141" spans="1:57" x14ac:dyDescent="0.2">
      <c r="B141" s="1531" t="s">
        <v>688</v>
      </c>
      <c r="C141" s="1545" t="s">
        <v>169</v>
      </c>
      <c r="D141" s="3224">
        <v>10</v>
      </c>
      <c r="E141" s="2723">
        <v>11.217777777777776</v>
      </c>
      <c r="F141" s="3224">
        <v>10</v>
      </c>
      <c r="G141" s="2559">
        <v>11.278494623655915</v>
      </c>
      <c r="H141" s="3139">
        <f t="shared" ref="H141:H142" si="806">+((D141*D$91)+(F$91*F141))/H$91</f>
        <v>10</v>
      </c>
      <c r="I141" s="2807">
        <f t="shared" ref="I141:I142" si="807">+((E141*E$91)+(G$91*G141))/I$91</f>
        <v>11.250007942478291</v>
      </c>
      <c r="J141" s="2706">
        <v>10</v>
      </c>
      <c r="K141" s="2559">
        <v>11.128222222222227</v>
      </c>
      <c r="L141" s="3140">
        <f t="shared" ref="L141:L142" si="808">+((H141*H$91)+(J$91*J141))/L$91</f>
        <v>10.000000000000002</v>
      </c>
      <c r="M141" s="2888">
        <f t="shared" ref="M141:M142" si="809">+((I141*I$91)+(K$91*K141))/M$91</f>
        <v>11.206546403767542</v>
      </c>
      <c r="N141" s="2706">
        <v>10</v>
      </c>
      <c r="O141" s="3179">
        <v>10.568817204301077</v>
      </c>
      <c r="P141" s="3139">
        <f t="shared" ref="P141:P142" si="810">+((L141*L$91)+(N$91*N141))/P$91</f>
        <v>10</v>
      </c>
      <c r="Q141" s="2807">
        <f t="shared" ref="Q141:Q142" si="811">+((M141*M$91)+(O$91*O141))/Q$91</f>
        <v>11.028062742132576</v>
      </c>
      <c r="R141" s="2706">
        <v>10</v>
      </c>
      <c r="S141" s="3179">
        <v>10.376344086021499</v>
      </c>
      <c r="T141" s="3139">
        <f t="shared" ref="T141:U142" si="812">+((P141*P$91)+(R$91*R141))/T$91</f>
        <v>9.9999999999999982</v>
      </c>
      <c r="U141" s="2807">
        <f t="shared" si="812"/>
        <v>10.883419761934332</v>
      </c>
      <c r="V141" s="2706">
        <v>10</v>
      </c>
      <c r="W141" s="3179">
        <v>10.276666666666666</v>
      </c>
      <c r="X141" s="3140">
        <f t="shared" ref="X141:Y142" si="813">+((N141*N$91)+(R141*R$91)+(V$91*V141))/X$91</f>
        <v>9.9999999999999982</v>
      </c>
      <c r="Y141" s="2888">
        <f t="shared" si="813"/>
        <v>10.408153573493996</v>
      </c>
      <c r="Z141" s="6685">
        <f t="shared" ref="Z141:Z142" si="814">+((T141*T$91)+(V$91*V141))/Z$91</f>
        <v>10</v>
      </c>
      <c r="AA141" s="6686">
        <f t="shared" ref="AA141:AA142" si="815">+((U141*U$91)+(W$91*W141))/AA$91</f>
        <v>10.7771285104371</v>
      </c>
      <c r="AB141" s="2706">
        <v>10</v>
      </c>
      <c r="AC141" s="3179">
        <v>10.3881720430107</v>
      </c>
      <c r="AD141" s="3139">
        <f t="shared" ref="AD141:AD142" si="816">+((Z141*Z$91)+(AB$91*AB141))/AD$91</f>
        <v>10</v>
      </c>
      <c r="AE141" s="2807">
        <f t="shared" ref="AE141:AE142" si="817">+((AA141*AA$91)+(AC$91*AC141))/AE$91</f>
        <v>10.717128078900434</v>
      </c>
      <c r="AF141" s="2706">
        <v>10</v>
      </c>
      <c r="AG141" s="3179">
        <v>10.4</v>
      </c>
      <c r="AH141" s="3139">
        <f t="shared" ref="AH141:AH142" si="818">+((AD141*AD$91)+(AF$91*AF141))/AH$91</f>
        <v>10</v>
      </c>
      <c r="AI141" s="2807">
        <f t="shared" ref="AI141:AI142" si="819">+((AE141*AE$91)+(AG$91*AG141))/AI$91</f>
        <v>10.675685582306953</v>
      </c>
      <c r="AJ141" s="2706">
        <v>10</v>
      </c>
      <c r="AK141" s="3179">
        <v>10.363440860215047</v>
      </c>
      <c r="AL141" s="3140">
        <f t="shared" ref="AL141:AL142" si="820">+((AB141*AB$91)+(AF141*AF$91)+(AJ$91*AJ141))/AL$91</f>
        <v>9.9999999999999982</v>
      </c>
      <c r="AM141" s="2888">
        <f t="shared" ref="AM141:AM142" si="821">+((AC141*AC$91)+(AG141*AG$91)+(AK$91*AK141))/AM$91</f>
        <v>10.383701333493647</v>
      </c>
      <c r="AN141" s="3139">
        <f t="shared" ref="AN141:AN142" si="822">+((AH141*AH$91)+(AJ$91*AJ141))/AN$91</f>
        <v>10</v>
      </c>
      <c r="AO141" s="2807">
        <f t="shared" ref="AO141:AO142" si="823">+((AI141*AI$91)+(AK$91*AK141))/AO$91</f>
        <v>10.638614745559913</v>
      </c>
      <c r="AP141" s="2706">
        <v>10</v>
      </c>
      <c r="AQ141" s="3179">
        <v>10.203225806451622</v>
      </c>
      <c r="AR141" s="3139">
        <f t="shared" ref="AR141:AR142" si="824">+((AN141*AN$91)+(AP$91*AP141))/AR$91</f>
        <v>10</v>
      </c>
      <c r="AS141" s="2807">
        <f t="shared" ref="AS141:AS142" si="825">+((AO141*AO$91)+(AQ$91*AQ141))/AS$91</f>
        <v>10.592409439570114</v>
      </c>
      <c r="AT141" s="2706">
        <v>10</v>
      </c>
      <c r="AU141" s="3179">
        <v>10.166667</v>
      </c>
      <c r="AV141" s="3139">
        <f t="shared" ref="AV141:AV142" si="826">+((AR141*AR$91)+(AT$91*AT141))/AV$91</f>
        <v>10</v>
      </c>
      <c r="AW141" s="2807">
        <f t="shared" ref="AW141:AW142" si="827">+((AS141*AS$91)+(AU$91*AU141))/AW$91</f>
        <v>10.555168058792276</v>
      </c>
      <c r="AX141" s="2706">
        <v>10</v>
      </c>
      <c r="AY141" s="3179">
        <v>10.224731</v>
      </c>
      <c r="AZ141" s="3140">
        <f t="shared" ref="AZ141:AZ142" si="828">+((AP141*AP$91)+(AT141*AT$91)+(AX$91*AX141))/AZ$91</f>
        <v>10</v>
      </c>
      <c r="BA141" s="2888">
        <f t="shared" ref="BA141:BA142" si="829">+((AQ141*AQ$91)+(AU141*AU$91)+(AY$91*AY141))/BA$91</f>
        <v>10.199269371975358</v>
      </c>
      <c r="BB141" s="3140">
        <v>10</v>
      </c>
      <c r="BC141" s="2888">
        <f t="shared" ref="BC141:BC149" si="830">+((AM141*AM$91)+(BA141*BA$91))/BC$91</f>
        <v>10.292443222355736</v>
      </c>
      <c r="BD141" s="6685">
        <f t="shared" ref="BD141:BD142" si="831">+((AV141*AV$91)+(AX$91*AX141))/BD$91</f>
        <v>9.9999999999999982</v>
      </c>
      <c r="BE141" s="6686">
        <f t="shared" ref="BE141:BE142" si="832">+((AW141*AW$91)+(AY$91*AY141))/BE$91</f>
        <v>10.688869595068295</v>
      </c>
    </row>
    <row r="142" spans="1:57" x14ac:dyDescent="0.2">
      <c r="B142" s="1531" t="s">
        <v>689</v>
      </c>
      <c r="C142" s="1545" t="s">
        <v>169</v>
      </c>
      <c r="D142" s="3224">
        <v>25</v>
      </c>
      <c r="E142" s="2723">
        <v>24.582222222222228</v>
      </c>
      <c r="F142" s="3224">
        <v>25</v>
      </c>
      <c r="G142" s="2559">
        <v>24.118279569892472</v>
      </c>
      <c r="H142" s="3139">
        <f t="shared" si="806"/>
        <v>25.000000000000004</v>
      </c>
      <c r="I142" s="2807">
        <f t="shared" si="807"/>
        <v>24.33594875593921</v>
      </c>
      <c r="J142" s="2706">
        <v>25</v>
      </c>
      <c r="K142" s="2559">
        <v>24.765555555555558</v>
      </c>
      <c r="L142" s="3140">
        <f t="shared" si="808"/>
        <v>25.000000000000007</v>
      </c>
      <c r="M142" s="2888">
        <f t="shared" si="809"/>
        <v>24.489262071430293</v>
      </c>
      <c r="N142" s="2706">
        <v>25</v>
      </c>
      <c r="O142" s="3179">
        <v>25.433333333333334</v>
      </c>
      <c r="P142" s="3139">
        <f t="shared" si="810"/>
        <v>25</v>
      </c>
      <c r="Q142" s="2807">
        <f t="shared" si="811"/>
        <v>24.753482834427764</v>
      </c>
      <c r="R142" s="2706">
        <v>25</v>
      </c>
      <c r="S142" s="3179">
        <v>25.405376344086019</v>
      </c>
      <c r="T142" s="3139">
        <f t="shared" si="812"/>
        <v>24.999999999999996</v>
      </c>
      <c r="U142" s="2807">
        <f t="shared" si="812"/>
        <v>24.898164621767595</v>
      </c>
      <c r="V142" s="2706">
        <v>25</v>
      </c>
      <c r="W142" s="3179">
        <v>25.328888888888894</v>
      </c>
      <c r="X142" s="3140">
        <f t="shared" si="813"/>
        <v>24.999999999999996</v>
      </c>
      <c r="Y142" s="2888">
        <f t="shared" si="813"/>
        <v>25.389800131861847</v>
      </c>
      <c r="Z142" s="6685">
        <f t="shared" si="814"/>
        <v>25</v>
      </c>
      <c r="AA142" s="6686">
        <f t="shared" si="815"/>
        <v>24.973619072284002</v>
      </c>
      <c r="AB142" s="2706">
        <v>25</v>
      </c>
      <c r="AC142" s="3179">
        <v>25.1806451612903</v>
      </c>
      <c r="AD142" s="3139">
        <f t="shared" si="816"/>
        <v>25.000000000000007</v>
      </c>
      <c r="AE142" s="2807">
        <f t="shared" si="817"/>
        <v>25.005554920431525</v>
      </c>
      <c r="AF142" s="2706">
        <v>25</v>
      </c>
      <c r="AG142" s="3179">
        <v>25</v>
      </c>
      <c r="AH142" s="3139">
        <f t="shared" si="818"/>
        <v>25.000000000000007</v>
      </c>
      <c r="AI142" s="2807">
        <f t="shared" si="819"/>
        <v>25.004828999939534</v>
      </c>
      <c r="AJ142" s="2706">
        <v>25</v>
      </c>
      <c r="AK142" s="3179">
        <v>25.021505376344095</v>
      </c>
      <c r="AL142" s="3140">
        <f t="shared" si="820"/>
        <v>24.999999999999996</v>
      </c>
      <c r="AM142" s="2888">
        <f t="shared" si="821"/>
        <v>25.067889649116701</v>
      </c>
      <c r="AN142" s="3139">
        <f t="shared" si="822"/>
        <v>25.000000000000007</v>
      </c>
      <c r="AO142" s="2807">
        <f t="shared" si="823"/>
        <v>25.006808880409839</v>
      </c>
      <c r="AP142" s="2706">
        <v>25</v>
      </c>
      <c r="AQ142" s="3179">
        <v>25.054838709677423</v>
      </c>
      <c r="AR142" s="3139">
        <f t="shared" si="824"/>
        <v>25.000000000000007</v>
      </c>
      <c r="AS142" s="2807">
        <f t="shared" si="825"/>
        <v>25.011906007963173</v>
      </c>
      <c r="AT142" s="2706">
        <v>25</v>
      </c>
      <c r="AU142" s="3179">
        <v>25.021429000000001</v>
      </c>
      <c r="AV142" s="3139">
        <f t="shared" si="826"/>
        <v>25.000000000000007</v>
      </c>
      <c r="AW142" s="2807">
        <f t="shared" si="827"/>
        <v>25.012739021869294</v>
      </c>
      <c r="AX142" s="2706">
        <v>25</v>
      </c>
      <c r="AY142" s="3179">
        <v>25.024730999999999</v>
      </c>
      <c r="AZ142" s="3140">
        <f t="shared" si="828"/>
        <v>25</v>
      </c>
      <c r="BA142" s="2888">
        <f t="shared" si="829"/>
        <v>25.03407004886429</v>
      </c>
      <c r="BB142" s="3140">
        <v>25</v>
      </c>
      <c r="BC142" s="2888">
        <f t="shared" si="830"/>
        <v>25.051155495160589</v>
      </c>
      <c r="BD142" s="6685">
        <f t="shared" si="831"/>
        <v>25.000000000000004</v>
      </c>
      <c r="BE142" s="6686">
        <f t="shared" si="832"/>
        <v>25.40093273597174</v>
      </c>
    </row>
    <row r="143" spans="1:57" s="3380" customFormat="1" ht="18" x14ac:dyDescent="0.2">
      <c r="A143" s="3379"/>
      <c r="B143" s="4961" t="s">
        <v>685</v>
      </c>
      <c r="C143" s="6789"/>
      <c r="D143" s="6772"/>
      <c r="E143" s="6773"/>
      <c r="F143" s="6772"/>
      <c r="G143" s="6774"/>
      <c r="H143" s="6772"/>
      <c r="I143" s="5648"/>
      <c r="J143" s="5645"/>
      <c r="K143" s="5648"/>
      <c r="L143" s="5645"/>
      <c r="M143" s="5648"/>
      <c r="N143" s="5645"/>
      <c r="O143" s="5648"/>
      <c r="P143" s="6772"/>
      <c r="Q143" s="5648"/>
      <c r="R143" s="5645"/>
      <c r="S143" s="5648"/>
      <c r="T143" s="6772"/>
      <c r="U143" s="5648"/>
      <c r="V143" s="5645"/>
      <c r="W143" s="5648"/>
      <c r="X143" s="5645"/>
      <c r="Y143" s="5648"/>
      <c r="Z143" s="6772"/>
      <c r="AA143" s="5648"/>
      <c r="AB143" s="5645"/>
      <c r="AC143" s="5648"/>
      <c r="AD143" s="6772"/>
      <c r="AE143" s="5648"/>
      <c r="AF143" s="5645"/>
      <c r="AG143" s="5648"/>
      <c r="AH143" s="6772"/>
      <c r="AI143" s="5648"/>
      <c r="AJ143" s="5645"/>
      <c r="AK143" s="5648"/>
      <c r="AL143" s="5645"/>
      <c r="AM143" s="5648"/>
      <c r="AN143" s="6772"/>
      <c r="AO143" s="5648"/>
      <c r="AP143" s="5645"/>
      <c r="AQ143" s="5648"/>
      <c r="AR143" s="6772"/>
      <c r="AS143" s="5648"/>
      <c r="AT143" s="5645"/>
      <c r="AU143" s="5648"/>
      <c r="AV143" s="6772"/>
      <c r="AW143" s="5648"/>
      <c r="AX143" s="5645"/>
      <c r="AY143" s="5648"/>
      <c r="AZ143" s="5645"/>
      <c r="BA143" s="5648"/>
      <c r="BB143" s="5645"/>
      <c r="BC143" s="5648"/>
      <c r="BD143" s="6772"/>
      <c r="BE143" s="5648"/>
    </row>
    <row r="144" spans="1:57" x14ac:dyDescent="0.2">
      <c r="B144" s="1531" t="s">
        <v>690</v>
      </c>
      <c r="C144" s="1545" t="s">
        <v>169</v>
      </c>
      <c r="D144" s="3224">
        <v>4</v>
      </c>
      <c r="E144" s="2723">
        <v>3.6528735632183902</v>
      </c>
      <c r="F144" s="3224">
        <v>4</v>
      </c>
      <c r="G144" s="2559">
        <v>3.5741176470588245</v>
      </c>
      <c r="H144" s="3139">
        <f>+((D144*D$17)+(F$17*F144))/H$17</f>
        <v>4</v>
      </c>
      <c r="I144" s="2807">
        <f>+((E144*E$17)+(G$17*G144))/I$17</f>
        <v>3.6109020792250122</v>
      </c>
      <c r="J144" s="3224">
        <v>4</v>
      </c>
      <c r="K144" s="2559">
        <v>3.6279069767441858</v>
      </c>
      <c r="L144" s="3140">
        <f>+((H144*H$17)+(J$17*J144))/L$17</f>
        <v>4</v>
      </c>
      <c r="M144" s="2888">
        <f>+((I144*I$17)+(K$17*K144))/M$17</f>
        <v>3.6170267542702246</v>
      </c>
      <c r="N144" s="3224">
        <v>4</v>
      </c>
      <c r="O144" s="3179">
        <v>3.8746835443037977</v>
      </c>
      <c r="P144" s="3139">
        <f>+((L144*L$17)+(N$17*N144))/P$17</f>
        <v>4</v>
      </c>
      <c r="Q144" s="2807">
        <f>+((M144*M$17)+(O$17*O144))/Q$17</f>
        <v>3.6896279071413782</v>
      </c>
      <c r="R144" s="3224">
        <v>4</v>
      </c>
      <c r="S144" s="3179">
        <v>3.9931034482758605</v>
      </c>
      <c r="T144" s="3139">
        <f>+((P144*P$17)+(R$17*R144))/T$17</f>
        <v>4</v>
      </c>
      <c r="U144" s="2807">
        <f>+((Q144*Q$17)+(S$17*S144))/U$17</f>
        <v>3.7579777009090085</v>
      </c>
      <c r="V144" s="3224">
        <v>4</v>
      </c>
      <c r="W144" s="3179">
        <v>3.8287500000000008</v>
      </c>
      <c r="X144" s="3140">
        <f>+((N144*N$17)+(R144*R$17)+(V$17*V144))/X$17</f>
        <v>4</v>
      </c>
      <c r="Y144" s="2888">
        <f>+((O144*O$17)+(S144*S$17)+(W$17*W144))/Y$17</f>
        <v>3.8996360867011144</v>
      </c>
      <c r="Z144" s="6685">
        <f>+((T144*T$17)+(V$17*V144))/Z$17</f>
        <v>4</v>
      </c>
      <c r="AA144" s="6686">
        <f>+((U144*U$17)+(W$17*W144))/AA$17</f>
        <v>3.7707457194407206</v>
      </c>
      <c r="AB144" s="3224">
        <v>4</v>
      </c>
      <c r="AC144" s="3179">
        <v>3.8722891566265099</v>
      </c>
      <c r="AD144" s="3139">
        <f>+((Z144*Z$17)+(AB$17*AB144))/AD$17</f>
        <v>4</v>
      </c>
      <c r="AE144" s="2807">
        <f>+((AA144*AA$17)+(AC$17*AC144))/AE$17</f>
        <v>3.7868346145793819</v>
      </c>
      <c r="AF144" s="3224">
        <v>4</v>
      </c>
      <c r="AG144" s="3179">
        <v>3.9</v>
      </c>
      <c r="AH144" s="3139">
        <f>+((AD144*AD$17)+(AF$17*AF144))/AH$17</f>
        <v>4</v>
      </c>
      <c r="AI144" s="2807">
        <f>+((AE144*AE$17)+(AG$17*AG144))/AI$17</f>
        <v>3.8018719136995949</v>
      </c>
      <c r="AJ144" s="3224">
        <v>4</v>
      </c>
      <c r="AK144" s="3179">
        <v>3.8975308641975315</v>
      </c>
      <c r="AL144" s="3140">
        <f>+((AB144*AB$17)+(AF144*AF$17)+(AJ$17*AJ144))/AL$17</f>
        <v>4</v>
      </c>
      <c r="AM144" s="2888">
        <f>+((AC144*AC$17)+(AG144*AG$17)+(AK$17*AK144))/AM$17</f>
        <v>3.8897935568774926</v>
      </c>
      <c r="AN144" s="3139">
        <f>+((AH144*AH$17)+(AJ$17*AJ144))/AN$17</f>
        <v>4</v>
      </c>
      <c r="AO144" s="2807">
        <f>+((AI144*AI$17)+(AK$17*AK144))/AO$17</f>
        <v>3.8132898107920883</v>
      </c>
      <c r="AP144" s="3224">
        <v>4</v>
      </c>
      <c r="AQ144" s="3179">
        <v>3.8868131868131868</v>
      </c>
      <c r="AR144" s="3139">
        <f>+((AN144*AN$17)+(AP$17*AP144))/AR$17</f>
        <v>4</v>
      </c>
      <c r="AS144" s="2807">
        <f>+((AO144*AO$17)+(AQ$17*AQ144))/AS$17</f>
        <v>3.8211222657306054</v>
      </c>
      <c r="AT144" s="3224">
        <v>4</v>
      </c>
      <c r="AU144" s="3179">
        <v>3.882927</v>
      </c>
      <c r="AV144" s="3139">
        <f>+((AR144*AR$17)+(AT$17*AT144))/AV$17</f>
        <v>4</v>
      </c>
      <c r="AW144" s="2807">
        <f>+((AS144*AS$17)+(AU$17*AU144))/AW$17</f>
        <v>3.8265872448052214</v>
      </c>
      <c r="AX144" s="3224">
        <v>4</v>
      </c>
      <c r="AY144" s="3179">
        <v>3.8279570000000001</v>
      </c>
      <c r="AZ144" s="3140">
        <f>+((AP144*AP$17)+(AT144*AT$17)+(AX$17*AX144))/AZ$17</f>
        <v>4</v>
      </c>
      <c r="BA144" s="2888">
        <f>+((AQ144*AQ$17)+(AU144*AU$17)+(AY$17*AY144))/BA$17</f>
        <v>3.8649492648753663</v>
      </c>
      <c r="BB144" s="3140">
        <v>4</v>
      </c>
      <c r="BC144" s="2888">
        <f t="shared" si="830"/>
        <v>3.8775004427013577</v>
      </c>
      <c r="BD144" s="6685">
        <f>+((AV144*AV$17)+(AX$17*AX144))/BD$17</f>
        <v>4</v>
      </c>
      <c r="BE144" s="6686">
        <f>+((AW144*AW$17)+(AY$17*AY144))/BE$17</f>
        <v>3.826712185218331</v>
      </c>
    </row>
    <row r="145" spans="1:57" x14ac:dyDescent="0.2">
      <c r="B145" s="1531" t="s">
        <v>691</v>
      </c>
      <c r="C145" s="1545" t="s">
        <v>169</v>
      </c>
      <c r="D145" s="3224">
        <v>14.5</v>
      </c>
      <c r="E145" s="2723">
        <v>15.014942528735629</v>
      </c>
      <c r="F145" s="3224">
        <v>14.5</v>
      </c>
      <c r="G145" s="2559">
        <v>14.629411764705887</v>
      </c>
      <c r="H145" s="3139">
        <f t="shared" ref="H145:I149" si="833">+((D145*D$17)+(F$17*F145))/H$17</f>
        <v>14.5</v>
      </c>
      <c r="I145" s="2807">
        <f t="shared" si="833"/>
        <v>14.809481160491947</v>
      </c>
      <c r="J145" s="3224">
        <v>14.5</v>
      </c>
      <c r="K145" s="2559">
        <v>14.54418604651163</v>
      </c>
      <c r="L145" s="3140">
        <f>+((H145*H$17)+(J$17*J145))/L$17</f>
        <v>14.5</v>
      </c>
      <c r="M145" s="2888">
        <f>+((I145*I$17)+(K$17*K145))/M$17</f>
        <v>14.713929490017016</v>
      </c>
      <c r="N145" s="3224">
        <v>14.5</v>
      </c>
      <c r="O145" s="3179">
        <v>14.496202531645567</v>
      </c>
      <c r="P145" s="3139">
        <f>+((L145*L$17)+(N$17*N145))/P$17</f>
        <v>14.5</v>
      </c>
      <c r="Q145" s="2807">
        <f>+((M145*M$17)+(O$17*O145))/Q$17</f>
        <v>14.652579551648083</v>
      </c>
      <c r="R145" s="3224">
        <v>14.5</v>
      </c>
      <c r="S145" s="3179">
        <v>14.460919540229884</v>
      </c>
      <c r="T145" s="3139">
        <f>+((P145*P$17)+(R$17*R145))/T$17</f>
        <v>14.5</v>
      </c>
      <c r="U145" s="2807">
        <f>+((Q145*Q$17)+(S$17*S145))/U$17</f>
        <v>14.609413231868359</v>
      </c>
      <c r="V145" s="3224">
        <v>14.5</v>
      </c>
      <c r="W145" s="3179">
        <v>14.258750000000006</v>
      </c>
      <c r="X145" s="3140">
        <f t="shared" ref="X145:X149" si="834">+((N145*N$17)+(R145*R$17)+(V$17*V145))/X$17</f>
        <v>14.5</v>
      </c>
      <c r="Y145" s="2888">
        <f t="shared" ref="Y145:Y149" si="835">+((O145*O$17)+(S145*S$17)+(W$17*W145))/Y$17</f>
        <v>14.405470408307822</v>
      </c>
      <c r="Z145" s="6685">
        <f>+((T145*T$17)+(V$17*V145))/Z$17</f>
        <v>14.499999999999998</v>
      </c>
      <c r="AA145" s="6686">
        <f>+((U145*U$17)+(W$17*W145))/AA$17</f>
        <v>14.546150137403549</v>
      </c>
      <c r="AB145" s="3224">
        <v>14.5</v>
      </c>
      <c r="AC145" s="3179">
        <v>14.3481927710843</v>
      </c>
      <c r="AD145" s="3139">
        <f>+((Z145*Z$17)+(AB$17*AB145))/AD$17</f>
        <v>14.499999999999996</v>
      </c>
      <c r="AE145" s="2807">
        <f>+((AA145*AA$17)+(AC$17*AC145))/AE$17</f>
        <v>14.514785084211498</v>
      </c>
      <c r="AF145" s="3224">
        <v>14.5</v>
      </c>
      <c r="AG145" s="3179">
        <v>14.4</v>
      </c>
      <c r="AH145" s="3139">
        <f>+((AD145*AD$17)+(AF$17*AF145))/AH$17</f>
        <v>14.499999999999998</v>
      </c>
      <c r="AI145" s="2807">
        <f>+((AE145*AE$17)+(AG$17*AG145))/AI$17</f>
        <v>14.49953256119475</v>
      </c>
      <c r="AJ145" s="3224">
        <v>14.5</v>
      </c>
      <c r="AK145" s="3179">
        <v>14.297530864197535</v>
      </c>
      <c r="AL145" s="3140">
        <f t="shared" ref="AL145:AL149" si="836">+((AB145*AB$17)+(AF145*AF$17)+(AJ$17*AJ145))/AL$17</f>
        <v>14.5</v>
      </c>
      <c r="AM145" s="2888">
        <f t="shared" ref="AM145:AM149" si="837">+((AC145*AC$17)+(AG145*AG$17)+(AK$17*AK145))/AM$17</f>
        <v>14.348235790007356</v>
      </c>
      <c r="AN145" s="3139">
        <f>+((AH145*AH$17)+(AJ$17*AJ145))/AN$17</f>
        <v>14.5</v>
      </c>
      <c r="AO145" s="2807">
        <f>+((AI145*AI$17)+(AK$17*AK145))/AO$17</f>
        <v>14.475421544119845</v>
      </c>
      <c r="AP145" s="3224">
        <v>14.5</v>
      </c>
      <c r="AQ145" s="3179">
        <v>14.100000000000003</v>
      </c>
      <c r="AR145" s="3139">
        <f>+((AN145*AN$17)+(AP$17*AP145))/AR$17</f>
        <v>14.499999999999998</v>
      </c>
      <c r="AS145" s="2807">
        <f>+((AO145*AO$17)+(AQ$17*AQ145))/AS$17</f>
        <v>14.435427837541091</v>
      </c>
      <c r="AT145" s="3224">
        <v>14.5</v>
      </c>
      <c r="AU145" s="3179">
        <v>14.093902</v>
      </c>
      <c r="AV145" s="3139">
        <f>+((AR145*AR$17)+(AT$17*AT145))/AV$17</f>
        <v>14.499999999999996</v>
      </c>
      <c r="AW145" s="2807">
        <f>+((AS145*AS$17)+(AU$17*AU145))/AW$17</f>
        <v>14.405228993105204</v>
      </c>
      <c r="AX145" s="3224">
        <v>14.5</v>
      </c>
      <c r="AY145" s="3179">
        <v>14.2</v>
      </c>
      <c r="AZ145" s="3140">
        <f t="shared" ref="AZ145:AZ149" si="838">+((AP145*AP$17)+(AT145*AT$17)+(AX$17*AX145))/AZ$17</f>
        <v>14.5</v>
      </c>
      <c r="BA145" s="2888">
        <f t="shared" ref="BA145:BA149" si="839">+((AQ145*AQ$17)+(AU145*AU$17)+(AY$17*AY145))/BA$17</f>
        <v>14.13321994976957</v>
      </c>
      <c r="BB145" s="3140">
        <v>14.5</v>
      </c>
      <c r="BC145" s="2888">
        <f t="shared" si="830"/>
        <v>14.241844580570017</v>
      </c>
      <c r="BD145" s="6685">
        <f>+((AV145*AV$17)+(AX$17*AX145))/BD$17</f>
        <v>14.499999999999996</v>
      </c>
      <c r="BE145" s="6686">
        <f>+((AW145*AW$17)+(AY$17*AY145))/BE$17</f>
        <v>14.386509301237409</v>
      </c>
    </row>
    <row r="146" spans="1:57" x14ac:dyDescent="0.2">
      <c r="B146" s="1531" t="s">
        <v>692</v>
      </c>
      <c r="C146" s="1545" t="s">
        <v>169</v>
      </c>
      <c r="D146" s="3224">
        <v>84</v>
      </c>
      <c r="E146" s="2723">
        <v>83.567441860465124</v>
      </c>
      <c r="F146" s="3224">
        <v>84</v>
      </c>
      <c r="G146" s="2559">
        <v>83.905882352941191</v>
      </c>
      <c r="H146" s="3139">
        <f t="shared" si="833"/>
        <v>84</v>
      </c>
      <c r="I146" s="2807">
        <f t="shared" si="833"/>
        <v>83.747807354327065</v>
      </c>
      <c r="J146" s="3224">
        <v>84</v>
      </c>
      <c r="K146" s="2559">
        <v>83.937647058823529</v>
      </c>
      <c r="L146" s="3140">
        <f t="shared" ref="L146:L149" si="840">+((H146*H$17)+(J$17*J146))/L$17</f>
        <v>84</v>
      </c>
      <c r="M146" s="2888">
        <f t="shared" ref="M146:M149" si="841">+((I146*I$17)+(K$17*K146))/M$17</f>
        <v>83.816182156316259</v>
      </c>
      <c r="N146" s="3224">
        <v>84</v>
      </c>
      <c r="O146" s="3179">
        <v>84.025316455696185</v>
      </c>
      <c r="P146" s="3139">
        <f t="shared" ref="P146:P149" si="842">+((L146*L$17)+(N$17*N146))/P$17</f>
        <v>84</v>
      </c>
      <c r="Q146" s="2807">
        <f t="shared" ref="Q146:Q149" si="843">+((M146*M$17)+(O$17*O146))/Q$17</f>
        <v>83.875110901170629</v>
      </c>
      <c r="R146" s="3224">
        <v>84</v>
      </c>
      <c r="S146" s="3179">
        <v>84.07586206896552</v>
      </c>
      <c r="T146" s="3139">
        <f t="shared" ref="T146:T149" si="844">+((P146*P$17)+(R$17*R146))/T$17</f>
        <v>84</v>
      </c>
      <c r="U146" s="2807">
        <f t="shared" ref="U146:U149" si="845">+((Q146*Q$17)+(S$17*S146))/U$17</f>
        <v>83.920324762116707</v>
      </c>
      <c r="V146" s="3224">
        <v>84</v>
      </c>
      <c r="W146" s="3179">
        <v>84.197500000000005</v>
      </c>
      <c r="X146" s="3140">
        <f t="shared" si="834"/>
        <v>83.999999999999986</v>
      </c>
      <c r="Y146" s="2888">
        <f t="shared" si="835"/>
        <v>84.099579789703455</v>
      </c>
      <c r="Z146" s="6685">
        <f t="shared" ref="Z146:Z149" si="846">+((T146*T$17)+(V$17*V146))/Z$17</f>
        <v>84</v>
      </c>
      <c r="AA146" s="6686">
        <f t="shared" ref="AA146:AA149" si="847">+((U146*U$17)+(W$17*W146))/AA$17</f>
        <v>83.970329899992421</v>
      </c>
      <c r="AB146" s="3224">
        <v>84</v>
      </c>
      <c r="AC146" s="3179">
        <v>83.945121951219505</v>
      </c>
      <c r="AD146" s="3139">
        <f t="shared" ref="AD146:AD149" si="848">+((Z146*Z$17)+(AB$17*AB146))/AD$17</f>
        <v>84</v>
      </c>
      <c r="AE146" s="2807">
        <f t="shared" ref="AE146:AE149" si="849">+((AA146*AA$17)+(AC$17*AC146))/AE$17</f>
        <v>83.96633586496948</v>
      </c>
      <c r="AF146" s="3224">
        <v>84</v>
      </c>
      <c r="AG146" s="3179">
        <v>83.886933333333346</v>
      </c>
      <c r="AH146" s="3139">
        <f t="shared" ref="AH146:AH149" si="850">+((AD146*AD$17)+(AF$17*AF146))/AH$17</f>
        <v>84.000000000000014</v>
      </c>
      <c r="AI146" s="2807">
        <f t="shared" ref="AI146:AI149" si="851">+((AE146*AE$17)+(AG$17*AG146))/AI$17</f>
        <v>83.955784938865392</v>
      </c>
      <c r="AJ146" s="3224">
        <v>84</v>
      </c>
      <c r="AK146" s="3179">
        <v>84.285185185185213</v>
      </c>
      <c r="AL146" s="3140">
        <f t="shared" si="836"/>
        <v>84.000000000000014</v>
      </c>
      <c r="AM146" s="2888">
        <f t="shared" si="837"/>
        <v>84.039648607180126</v>
      </c>
      <c r="AN146" s="3139">
        <f t="shared" ref="AN146:AN149" si="852">+((AH146*AH$17)+(AJ$17*AJ146))/AN$17</f>
        <v>84.000000000000014</v>
      </c>
      <c r="AO146" s="2807">
        <f t="shared" ref="AO146:AO149" si="853">+((AI146*AI$17)+(AK$17*AK146))/AO$17</f>
        <v>83.995102306400213</v>
      </c>
      <c r="AP146" s="3224">
        <v>84</v>
      </c>
      <c r="AQ146" s="3179">
        <v>85.149450549450592</v>
      </c>
      <c r="AR146" s="3139">
        <f t="shared" ref="AR146:AR149" si="854">+((AN146*AN$17)+(AP$17*AP146))/AR$17</f>
        <v>84.000000000000014</v>
      </c>
      <c r="AS146" s="2807">
        <f t="shared" ref="AS146:AS149" si="855">+((AO146*AO$17)+(AQ$17*AQ146))/AS$17</f>
        <v>84.118075176885014</v>
      </c>
      <c r="AT146" s="3224">
        <v>84</v>
      </c>
      <c r="AU146" s="3179">
        <v>85.257317</v>
      </c>
      <c r="AV146" s="3139">
        <f t="shared" ref="AV146:AV149" si="856">+((AR146*AR$17)+(AT$17*AT146))/AV$17</f>
        <v>84.000000000000014</v>
      </c>
      <c r="AW146" s="2807">
        <f t="shared" ref="AW146:AW149" si="857">+((AS146*AS$17)+(AU$17*AU146))/AW$17</f>
        <v>84.218810707873843</v>
      </c>
      <c r="AX146" s="3224">
        <v>84</v>
      </c>
      <c r="AY146" s="3179">
        <v>84.675269</v>
      </c>
      <c r="AZ146" s="3140">
        <f t="shared" si="838"/>
        <v>84</v>
      </c>
      <c r="BA146" s="2888">
        <f t="shared" si="839"/>
        <v>85.016345439477021</v>
      </c>
      <c r="BB146" s="3140">
        <v>84</v>
      </c>
      <c r="BC146" s="2888">
        <f t="shared" si="830"/>
        <v>84.522924430611397</v>
      </c>
      <c r="BD146" s="6685">
        <f t="shared" ref="BD146:BD149" si="858">+((AV146*AV$17)+(AX$17*AX146))/BD$17</f>
        <v>84</v>
      </c>
      <c r="BE146" s="6686">
        <f t="shared" ref="BE146:BE149" si="859">+((AW146*AW$17)+(AY$17*AY146))/BE$17</f>
        <v>84.260445948829897</v>
      </c>
    </row>
    <row r="147" spans="1:57" x14ac:dyDescent="0.2">
      <c r="B147" s="1531" t="s">
        <v>693</v>
      </c>
      <c r="C147" s="1545" t="s">
        <v>169</v>
      </c>
      <c r="D147" s="3224">
        <v>7.4</v>
      </c>
      <c r="E147" s="2723">
        <v>7.6767441860465091</v>
      </c>
      <c r="F147" s="3224">
        <v>7.4</v>
      </c>
      <c r="G147" s="2559">
        <v>7.7352941176470571</v>
      </c>
      <c r="H147" s="3139">
        <f t="shared" si="833"/>
        <v>7.4000000000000012</v>
      </c>
      <c r="I147" s="2807">
        <f t="shared" si="833"/>
        <v>7.7079472706758194</v>
      </c>
      <c r="J147" s="3224">
        <v>7.4</v>
      </c>
      <c r="K147" s="2559">
        <v>7.8141176470588238</v>
      </c>
      <c r="L147" s="3140">
        <f t="shared" si="840"/>
        <v>7.4</v>
      </c>
      <c r="M147" s="2888">
        <f t="shared" si="841"/>
        <v>7.7461867869116929</v>
      </c>
      <c r="N147" s="3224">
        <v>7.4</v>
      </c>
      <c r="O147" s="3179">
        <v>7.7405063291139227</v>
      </c>
      <c r="P147" s="3139">
        <f t="shared" si="842"/>
        <v>7.4000000000000012</v>
      </c>
      <c r="Q147" s="2807">
        <f t="shared" si="843"/>
        <v>7.7445861778809721</v>
      </c>
      <c r="R147" s="3224">
        <v>7.4</v>
      </c>
      <c r="S147" s="3179">
        <v>7.735632183908054</v>
      </c>
      <c r="T147" s="3139">
        <f t="shared" si="844"/>
        <v>7.4</v>
      </c>
      <c r="U147" s="2807">
        <f t="shared" si="845"/>
        <v>7.7425695288978016</v>
      </c>
      <c r="V147" s="3224">
        <v>7.4</v>
      </c>
      <c r="W147" s="3179">
        <v>7.703000000000003</v>
      </c>
      <c r="X147" s="3140">
        <f t="shared" si="834"/>
        <v>7.4000000000000012</v>
      </c>
      <c r="Y147" s="2888">
        <f t="shared" si="835"/>
        <v>7.7264121080868087</v>
      </c>
      <c r="Z147" s="6685">
        <f t="shared" si="846"/>
        <v>7.3999999999999995</v>
      </c>
      <c r="AA147" s="6686">
        <f t="shared" si="847"/>
        <v>7.7354307968692053</v>
      </c>
      <c r="AB147" s="3224">
        <v>7.4</v>
      </c>
      <c r="AC147" s="3179">
        <v>7.8693902439024299</v>
      </c>
      <c r="AD147" s="3139">
        <f t="shared" si="848"/>
        <v>7.3999999999999995</v>
      </c>
      <c r="AE147" s="2807">
        <f t="shared" si="849"/>
        <v>7.7566557972816623</v>
      </c>
      <c r="AF147" s="3224">
        <v>7.4</v>
      </c>
      <c r="AG147" s="3179">
        <v>7.9106666666666614</v>
      </c>
      <c r="AH147" s="3139">
        <f t="shared" si="850"/>
        <v>7.3999999999999995</v>
      </c>
      <c r="AI147" s="2807">
        <f t="shared" si="851"/>
        <v>7.7771206019752386</v>
      </c>
      <c r="AJ147" s="3224">
        <v>7.4</v>
      </c>
      <c r="AK147" s="3179">
        <v>7.8185185185185206</v>
      </c>
      <c r="AL147" s="3140">
        <f t="shared" si="836"/>
        <v>7.4000000000000012</v>
      </c>
      <c r="AM147" s="2888">
        <f t="shared" si="837"/>
        <v>7.8659149376908024</v>
      </c>
      <c r="AN147" s="3139">
        <f t="shared" si="852"/>
        <v>7.4000000000000012</v>
      </c>
      <c r="AO147" s="2807">
        <f t="shared" si="853"/>
        <v>7.7820618766648977</v>
      </c>
      <c r="AP147" s="3224">
        <v>7.4</v>
      </c>
      <c r="AQ147" s="3179">
        <v>7.6571428571428619</v>
      </c>
      <c r="AR147" s="3139">
        <f t="shared" si="854"/>
        <v>7.4000000000000012</v>
      </c>
      <c r="AS147" s="2807">
        <f t="shared" si="855"/>
        <v>7.7687542370498548</v>
      </c>
      <c r="AT147" s="3224">
        <v>7.4</v>
      </c>
      <c r="AU147" s="3179">
        <v>7.6939019999999996</v>
      </c>
      <c r="AV147" s="3139">
        <f t="shared" si="856"/>
        <v>7.4000000000000012</v>
      </c>
      <c r="AW147" s="2807">
        <f t="shared" si="857"/>
        <v>7.7621355546139332</v>
      </c>
      <c r="AX147" s="3224">
        <v>7.4</v>
      </c>
      <c r="AY147" s="3179">
        <v>7.7741939999999996</v>
      </c>
      <c r="AZ147" s="3140">
        <f t="shared" si="838"/>
        <v>7.4</v>
      </c>
      <c r="BA147" s="2888">
        <f t="shared" si="839"/>
        <v>7.7096035393264177</v>
      </c>
      <c r="BB147" s="3140">
        <v>7.4</v>
      </c>
      <c r="BC147" s="2888">
        <f t="shared" si="830"/>
        <v>7.7885710605958076</v>
      </c>
      <c r="BD147" s="6685">
        <f t="shared" si="858"/>
        <v>7.4000000000000012</v>
      </c>
      <c r="BE147" s="6686">
        <f t="shared" si="859"/>
        <v>7.76323544980231</v>
      </c>
    </row>
    <row r="148" spans="1:57" x14ac:dyDescent="0.2">
      <c r="B148" s="1531" t="s">
        <v>694</v>
      </c>
      <c r="C148" s="1545" t="s">
        <v>169</v>
      </c>
      <c r="D148" s="3224">
        <v>64</v>
      </c>
      <c r="E148" s="2723">
        <v>64.024999999999991</v>
      </c>
      <c r="F148" s="3224">
        <v>64</v>
      </c>
      <c r="G148" s="2559">
        <v>64.072727272727278</v>
      </c>
      <c r="H148" s="3139">
        <f t="shared" si="833"/>
        <v>64</v>
      </c>
      <c r="I148" s="2807">
        <f t="shared" si="833"/>
        <v>64.050435352174205</v>
      </c>
      <c r="J148" s="3224">
        <v>64</v>
      </c>
      <c r="K148" s="2559">
        <v>64.058333333333323</v>
      </c>
      <c r="L148" s="3140">
        <f t="shared" si="840"/>
        <v>64</v>
      </c>
      <c r="M148" s="2888">
        <f t="shared" si="841"/>
        <v>64.053279977850906</v>
      </c>
      <c r="N148" s="3224">
        <v>64</v>
      </c>
      <c r="O148" s="3179">
        <v>64.291666666666671</v>
      </c>
      <c r="P148" s="3139">
        <f t="shared" si="842"/>
        <v>64</v>
      </c>
      <c r="Q148" s="2807">
        <f t="shared" si="843"/>
        <v>64.120451304618214</v>
      </c>
      <c r="R148" s="3224">
        <v>64</v>
      </c>
      <c r="S148" s="3179">
        <v>64.27</v>
      </c>
      <c r="T148" s="3139">
        <f t="shared" si="844"/>
        <v>64</v>
      </c>
      <c r="U148" s="2807">
        <f t="shared" si="845"/>
        <v>64.154133170541741</v>
      </c>
      <c r="V148" s="3224">
        <v>64</v>
      </c>
      <c r="W148" s="3179">
        <v>64.441666666666677</v>
      </c>
      <c r="X148" s="3140">
        <f t="shared" si="834"/>
        <v>64</v>
      </c>
      <c r="Y148" s="2888">
        <f t="shared" si="835"/>
        <v>64.33406571590875</v>
      </c>
      <c r="Z148" s="6685">
        <f t="shared" si="846"/>
        <v>64</v>
      </c>
      <c r="AA148" s="6686">
        <f t="shared" si="847"/>
        <v>64.206007040038216</v>
      </c>
      <c r="AB148" s="3224">
        <v>64</v>
      </c>
      <c r="AC148" s="3179">
        <v>64.354545454545502</v>
      </c>
      <c r="AD148" s="3139">
        <f t="shared" si="848"/>
        <v>64</v>
      </c>
      <c r="AE148" s="2807">
        <f t="shared" si="849"/>
        <v>64.229541982731746</v>
      </c>
      <c r="AF148" s="3224">
        <v>64</v>
      </c>
      <c r="AG148" s="3179">
        <v>64.355555555555554</v>
      </c>
      <c r="AH148" s="3139">
        <f t="shared" si="850"/>
        <v>64</v>
      </c>
      <c r="AI148" s="2807">
        <f t="shared" si="851"/>
        <v>64.246286535677115</v>
      </c>
      <c r="AJ148" s="3224">
        <v>64</v>
      </c>
      <c r="AK148" s="3179">
        <v>64.536363636363632</v>
      </c>
      <c r="AL148" s="3140">
        <f t="shared" si="836"/>
        <v>64</v>
      </c>
      <c r="AM148" s="2888">
        <f t="shared" si="837"/>
        <v>64.415602961696365</v>
      </c>
      <c r="AN148" s="3139">
        <f t="shared" si="852"/>
        <v>64</v>
      </c>
      <c r="AO148" s="2807">
        <f t="shared" si="853"/>
        <v>64.280910274148908</v>
      </c>
      <c r="AP148" s="3224">
        <v>64</v>
      </c>
      <c r="AQ148" s="3179">
        <v>65.008333333333326</v>
      </c>
      <c r="AR148" s="3139">
        <f t="shared" si="854"/>
        <v>64</v>
      </c>
      <c r="AS148" s="2807">
        <f t="shared" si="855"/>
        <v>64.358402748524213</v>
      </c>
      <c r="AT148" s="3224">
        <v>64</v>
      </c>
      <c r="AU148" s="3179">
        <v>64.891666999999998</v>
      </c>
      <c r="AV148" s="3139">
        <f t="shared" si="856"/>
        <v>64</v>
      </c>
      <c r="AW148" s="2807">
        <f t="shared" si="857"/>
        <v>64.405555737854328</v>
      </c>
      <c r="AX148" s="3224">
        <v>64</v>
      </c>
      <c r="AY148" s="3179">
        <v>64.190909000000005</v>
      </c>
      <c r="AZ148" s="3140">
        <f t="shared" si="838"/>
        <v>64</v>
      </c>
      <c r="BA148" s="2888">
        <f t="shared" si="839"/>
        <v>64.68528661620401</v>
      </c>
      <c r="BB148" s="3140">
        <v>64</v>
      </c>
      <c r="BC148" s="2888">
        <f t="shared" si="830"/>
        <v>64.549044154386266</v>
      </c>
      <c r="BD148" s="6685">
        <f t="shared" si="858"/>
        <v>64</v>
      </c>
      <c r="BE148" s="6686">
        <f t="shared" si="859"/>
        <v>64.385977018823127</v>
      </c>
    </row>
    <row r="149" spans="1:57" x14ac:dyDescent="0.2">
      <c r="B149" s="1531" t="s">
        <v>695</v>
      </c>
      <c r="C149" s="1545" t="s">
        <v>169</v>
      </c>
      <c r="D149" s="3224">
        <v>23</v>
      </c>
      <c r="E149" s="2723">
        <v>22.974999999999998</v>
      </c>
      <c r="F149" s="3224">
        <v>23</v>
      </c>
      <c r="G149" s="2559">
        <v>22.799999999999997</v>
      </c>
      <c r="H149" s="3139">
        <f t="shared" si="833"/>
        <v>23</v>
      </c>
      <c r="I149" s="2807">
        <f t="shared" si="833"/>
        <v>22.881737042027932</v>
      </c>
      <c r="J149" s="3224">
        <v>23</v>
      </c>
      <c r="K149" s="2559">
        <v>22.833333333333332</v>
      </c>
      <c r="L149" s="3140">
        <f t="shared" si="840"/>
        <v>22.999999999999996</v>
      </c>
      <c r="M149" s="2888">
        <f t="shared" si="841"/>
        <v>22.86430341819084</v>
      </c>
      <c r="N149" s="3224">
        <v>23</v>
      </c>
      <c r="O149" s="3179">
        <v>22.616666666666664</v>
      </c>
      <c r="P149" s="3139">
        <f t="shared" si="842"/>
        <v>23</v>
      </c>
      <c r="Q149" s="2807">
        <f t="shared" si="843"/>
        <v>22.79452565820408</v>
      </c>
      <c r="R149" s="3224">
        <v>23</v>
      </c>
      <c r="S149" s="3179">
        <v>21.770000000000003</v>
      </c>
      <c r="T149" s="3139">
        <f t="shared" si="844"/>
        <v>23</v>
      </c>
      <c r="U149" s="2807">
        <f t="shared" si="845"/>
        <v>22.563778504129928</v>
      </c>
      <c r="V149" s="3224">
        <v>23</v>
      </c>
      <c r="W149" s="3179">
        <v>21.583333333333332</v>
      </c>
      <c r="X149" s="3140">
        <f t="shared" si="834"/>
        <v>23</v>
      </c>
      <c r="Y149" s="2888">
        <f t="shared" si="835"/>
        <v>21.986600173408675</v>
      </c>
      <c r="Z149" s="6685">
        <f t="shared" si="846"/>
        <v>23</v>
      </c>
      <c r="AA149" s="6686">
        <f t="shared" si="847"/>
        <v>22.386896556378538</v>
      </c>
      <c r="AB149" s="3224">
        <v>23</v>
      </c>
      <c r="AC149" s="3179">
        <v>21.5818181818182</v>
      </c>
      <c r="AD149" s="3139">
        <f t="shared" si="848"/>
        <v>23</v>
      </c>
      <c r="AE149" s="2807">
        <f t="shared" si="849"/>
        <v>22.259337140372107</v>
      </c>
      <c r="AF149" s="3224">
        <v>23</v>
      </c>
      <c r="AG149" s="3179">
        <v>21.744444444444447</v>
      </c>
      <c r="AH149" s="3139">
        <f t="shared" si="850"/>
        <v>23</v>
      </c>
      <c r="AI149" s="2807">
        <f t="shared" si="851"/>
        <v>22.19091873261695</v>
      </c>
      <c r="AJ149" s="3224">
        <v>23</v>
      </c>
      <c r="AK149" s="3179">
        <v>21.772727272727273</v>
      </c>
      <c r="AL149" s="3140">
        <f t="shared" si="836"/>
        <v>23</v>
      </c>
      <c r="AM149" s="2888">
        <f t="shared" si="837"/>
        <v>21.698832224123933</v>
      </c>
      <c r="AN149" s="3139">
        <f t="shared" si="852"/>
        <v>23.000000000000004</v>
      </c>
      <c r="AO149" s="2807">
        <f t="shared" si="853"/>
        <v>22.141003204282956</v>
      </c>
      <c r="AP149" s="3224">
        <v>23</v>
      </c>
      <c r="AQ149" s="3179">
        <v>21.333333333333332</v>
      </c>
      <c r="AR149" s="3139">
        <f t="shared" si="854"/>
        <v>23</v>
      </c>
      <c r="AS149" s="2807">
        <f t="shared" si="855"/>
        <v>22.054962026473117</v>
      </c>
      <c r="AT149" s="3224">
        <v>23</v>
      </c>
      <c r="AU149" s="3179">
        <v>21.725000000000001</v>
      </c>
      <c r="AV149" s="3139">
        <f t="shared" si="856"/>
        <v>23</v>
      </c>
      <c r="AW149" s="2807">
        <f t="shared" si="857"/>
        <v>22.025785692468776</v>
      </c>
      <c r="AX149" s="3224">
        <v>23</v>
      </c>
      <c r="AY149" s="3179">
        <v>22.418182000000002</v>
      </c>
      <c r="AZ149" s="3140">
        <f t="shared" si="838"/>
        <v>23</v>
      </c>
      <c r="BA149" s="2888">
        <f t="shared" si="839"/>
        <v>21.835313389649055</v>
      </c>
      <c r="BB149" s="3140">
        <v>23</v>
      </c>
      <c r="BC149" s="2888">
        <f t="shared" si="830"/>
        <v>21.766363975503634</v>
      </c>
      <c r="BD149" s="6685">
        <f t="shared" si="858"/>
        <v>23</v>
      </c>
      <c r="BE149" s="6686">
        <f t="shared" si="859"/>
        <v>22.061577604010633</v>
      </c>
    </row>
    <row r="150" spans="1:57" s="3380" customFormat="1" x14ac:dyDescent="0.2">
      <c r="A150" s="3379"/>
      <c r="B150" s="6792" t="s">
        <v>24</v>
      </c>
      <c r="C150" s="6793"/>
      <c r="D150" s="6794"/>
      <c r="E150" s="6795"/>
      <c r="F150" s="6794"/>
      <c r="G150" s="6796"/>
      <c r="H150" s="5283"/>
      <c r="I150" s="6232"/>
      <c r="J150" s="5283"/>
      <c r="K150" s="6232"/>
      <c r="L150" s="5283"/>
      <c r="M150" s="6232"/>
      <c r="N150" s="5283"/>
      <c r="O150" s="6232"/>
      <c r="P150" s="5283"/>
      <c r="Q150" s="6232"/>
      <c r="R150" s="5283"/>
      <c r="S150" s="6232"/>
      <c r="T150" s="5283"/>
      <c r="U150" s="6232"/>
      <c r="V150" s="5283"/>
      <c r="W150" s="6232"/>
      <c r="X150" s="5283"/>
      <c r="Y150" s="6232"/>
      <c r="Z150" s="5283"/>
      <c r="AA150" s="6232"/>
      <c r="AB150" s="5283"/>
      <c r="AC150" s="6232"/>
      <c r="AD150" s="5283"/>
      <c r="AE150" s="6232"/>
      <c r="AF150" s="5283"/>
      <c r="AG150" s="6232"/>
      <c r="AH150" s="5283"/>
      <c r="AI150" s="6232"/>
      <c r="AJ150" s="5283"/>
      <c r="AK150" s="6232"/>
      <c r="AL150" s="5283"/>
      <c r="AM150" s="6232"/>
      <c r="AN150" s="5283"/>
      <c r="AO150" s="6232"/>
      <c r="AP150" s="5283"/>
      <c r="AQ150" s="6232"/>
      <c r="AR150" s="5283"/>
      <c r="AS150" s="6232"/>
      <c r="AT150" s="5283"/>
      <c r="AU150" s="6232"/>
      <c r="AV150" s="5283"/>
      <c r="AW150" s="6232"/>
      <c r="AX150" s="5283"/>
      <c r="AY150" s="6232"/>
      <c r="AZ150" s="5283"/>
      <c r="BA150" s="6232"/>
      <c r="BB150" s="5283"/>
      <c r="BC150" s="6232"/>
      <c r="BD150" s="5283"/>
      <c r="BE150" s="6232"/>
    </row>
    <row r="151" spans="1:57" x14ac:dyDescent="0.2">
      <c r="B151" s="1534" t="s">
        <v>705</v>
      </c>
      <c r="C151" s="1545" t="s">
        <v>700</v>
      </c>
      <c r="D151" s="3224">
        <f>+(D152*D13)/1000000</f>
        <v>12.606999999999999</v>
      </c>
      <c r="E151" s="3851">
        <v>12.606999999999999</v>
      </c>
      <c r="F151" s="3224">
        <f>+(F152*F13)/1000000</f>
        <v>14.247209999999997</v>
      </c>
      <c r="G151" s="3861">
        <f>14247.21/1000</f>
        <v>14.247209999999999</v>
      </c>
      <c r="H151" s="5900">
        <f>+D151+F151</f>
        <v>26.854209999999995</v>
      </c>
      <c r="I151" s="2486">
        <f>+E151+G151</f>
        <v>26.854209999999998</v>
      </c>
      <c r="J151" s="3224">
        <f>+(J152*J13)/1000000</f>
        <v>14.748312</v>
      </c>
      <c r="K151" s="3861">
        <v>14.967000000000001</v>
      </c>
      <c r="L151" s="2881">
        <f>+H151+J151</f>
        <v>41.602521999999993</v>
      </c>
      <c r="M151" s="2268">
        <f>+I151+K151</f>
        <v>41.821210000000001</v>
      </c>
      <c r="N151" s="3224">
        <f>+(N152*N13)/1000000</f>
        <v>16.363907999999999</v>
      </c>
      <c r="O151" s="3861">
        <v>16.276</v>
      </c>
      <c r="P151" s="5900">
        <f>+L151+N151</f>
        <v>57.966429999999988</v>
      </c>
      <c r="Q151" s="2486">
        <f>+M151+O151</f>
        <v>58.097210000000004</v>
      </c>
      <c r="R151" s="3224">
        <f>+(R152*R13)/1000000</f>
        <v>16.363907999999999</v>
      </c>
      <c r="S151" s="3861">
        <v>16.63</v>
      </c>
      <c r="T151" s="5900">
        <f>+P151+R151</f>
        <v>74.330337999999983</v>
      </c>
      <c r="U151" s="2486">
        <f>+Q151+S151</f>
        <v>74.727209999999999</v>
      </c>
      <c r="V151" s="3224">
        <f>+(V152*V13)/1000000</f>
        <v>15.836040000000001</v>
      </c>
      <c r="W151" s="3861">
        <v>15.79</v>
      </c>
      <c r="X151" s="3046">
        <f t="shared" ref="X151" si="860">+N151+R151+V151</f>
        <v>48.563856000000001</v>
      </c>
      <c r="Y151" s="2070">
        <f t="shared" ref="Y151" si="861">+O151+S151+W151</f>
        <v>48.695999999999998</v>
      </c>
      <c r="Z151" s="6610">
        <f>+T151+V151</f>
        <v>90.16637799999998</v>
      </c>
      <c r="AA151" s="6611">
        <f>+U151+W151</f>
        <v>90.517210000000006</v>
      </c>
      <c r="AB151" s="3224">
        <f>+(AB152*AB13)/1000000</f>
        <v>16.363907999999999</v>
      </c>
      <c r="AC151" s="3861">
        <v>16.576000000000001</v>
      </c>
      <c r="AD151" s="5900">
        <f>+Z151+AB151</f>
        <v>106.53028599999998</v>
      </c>
      <c r="AE151" s="2486">
        <f>+AA151+AC151</f>
        <v>107.09321</v>
      </c>
      <c r="AF151" s="3224">
        <f>+(AF152*AF13)/1000000</f>
        <v>15.836040000000001</v>
      </c>
      <c r="AG151" s="3861">
        <v>16.209</v>
      </c>
      <c r="AH151" s="5900">
        <f>+AD151+AF151</f>
        <v>122.36632599999997</v>
      </c>
      <c r="AI151" s="2486">
        <f>+AE151+AG151</f>
        <v>123.30221</v>
      </c>
      <c r="AJ151" s="3224">
        <f>+(AJ152*AJ13)/1000000</f>
        <v>16.363907999999999</v>
      </c>
      <c r="AK151" s="3861">
        <v>16.658000000000001</v>
      </c>
      <c r="AL151" s="3046">
        <f t="shared" ref="AL151" si="862">+AB151+AF151+AJ151</f>
        <v>48.563856000000001</v>
      </c>
      <c r="AM151" s="2070">
        <f t="shared" ref="AM151" si="863">+AC151+AG151+AK151</f>
        <v>49.442999999999998</v>
      </c>
      <c r="AN151" s="5900">
        <f>+AH151+AJ151</f>
        <v>138.73023399999997</v>
      </c>
      <c r="AO151" s="2486">
        <f>+AI151+AK151</f>
        <v>139.96021000000002</v>
      </c>
      <c r="AP151" s="3224">
        <f>+(AP152*AP13)/1000000</f>
        <v>16.363907999999999</v>
      </c>
      <c r="AQ151" s="3861">
        <v>16.684999999999999</v>
      </c>
      <c r="AR151" s="5900">
        <f>+AN151+AP151</f>
        <v>155.09414199999998</v>
      </c>
      <c r="AS151" s="2486">
        <f>+AO151+AQ151</f>
        <v>156.64521000000002</v>
      </c>
      <c r="AT151" s="3224">
        <f>+(AT152*AT13)/1000000</f>
        <v>14.780303999999999</v>
      </c>
      <c r="AU151" s="3861">
        <v>15.013999999999999</v>
      </c>
      <c r="AV151" s="5900">
        <f>+AR151+AT151</f>
        <v>169.87444599999998</v>
      </c>
      <c r="AW151" s="2486">
        <f>+AS151+AU151</f>
        <v>171.65921000000003</v>
      </c>
      <c r="AX151" s="3224">
        <f>+(AX152*AX13)/1000000</f>
        <v>16.363907999999999</v>
      </c>
      <c r="AY151" s="3861">
        <v>16.61</v>
      </c>
      <c r="AZ151" s="3046">
        <f t="shared" ref="AZ151" si="864">+AP151+AT151+AX151</f>
        <v>47.508119999999991</v>
      </c>
      <c r="BA151" s="2070">
        <f t="shared" ref="BA151" si="865">+AQ151+AU151+AY151</f>
        <v>48.308999999999997</v>
      </c>
      <c r="BB151" s="3046">
        <f>+(BB152*BB13)/1000000</f>
        <v>96.071976000000006</v>
      </c>
      <c r="BC151" s="2070">
        <f>+AM151+BA151</f>
        <v>97.751999999999995</v>
      </c>
      <c r="BD151" s="6610">
        <f>+AV151+AX151</f>
        <v>186.23835399999999</v>
      </c>
      <c r="BE151" s="6611">
        <f>+AW151+AY151</f>
        <v>188.26921000000004</v>
      </c>
    </row>
    <row r="152" spans="1:57" x14ac:dyDescent="0.2">
      <c r="B152" s="1535" t="s">
        <v>706</v>
      </c>
      <c r="C152" s="1545" t="s">
        <v>701</v>
      </c>
      <c r="D152" s="6344">
        <v>313.76931347562925</v>
      </c>
      <c r="E152" s="2750">
        <f>+(E151*1000000)/E13</f>
        <v>313.76931347562925</v>
      </c>
      <c r="F152" s="4811">
        <v>312.93017105806479</v>
      </c>
      <c r="G152" s="1646">
        <f>+(G151*1000000)/G13</f>
        <v>312.93017105806479</v>
      </c>
      <c r="H152" s="3912">
        <f>+(H151*1000000)/H13</f>
        <v>313.32355590402716</v>
      </c>
      <c r="I152" s="1823">
        <f>+(I151*1000000)/I13</f>
        <v>313.32355590402722</v>
      </c>
      <c r="J152" s="4811">
        <v>310</v>
      </c>
      <c r="K152" s="1646">
        <f>+(K151*1000000)/K13</f>
        <v>314.59668062351818</v>
      </c>
      <c r="L152" s="4141">
        <f>+(L151*1000000)/L13</f>
        <v>312.13721500448668</v>
      </c>
      <c r="M152" s="2011">
        <f>+(M151*1000000)/M13</f>
        <v>313.77799686081028</v>
      </c>
      <c r="N152" s="4811">
        <v>310</v>
      </c>
      <c r="O152" s="1646">
        <f>+(O151*1000000)/O13</f>
        <v>314.4829078655506</v>
      </c>
      <c r="P152" s="3912">
        <f>+(P151*1000000)/P13</f>
        <v>311.53090026527701</v>
      </c>
      <c r="Q152" s="1823">
        <f>+(Q151*1000000)/Q13</f>
        <v>313.97515964322935</v>
      </c>
      <c r="R152" s="4811">
        <v>310</v>
      </c>
      <c r="S152" s="1646">
        <f>+(S151*1000000)/S13</f>
        <v>315.24632054655331</v>
      </c>
      <c r="T152" s="3912">
        <f>+(T151*1000000)/T13</f>
        <v>311.19257428312574</v>
      </c>
      <c r="U152" s="1823">
        <f>+(U151*1000000)/U13</f>
        <v>314.25715967870815</v>
      </c>
      <c r="V152" s="4811">
        <v>310</v>
      </c>
      <c r="W152" s="3918">
        <f>+(W151*1000000)/W13</f>
        <v>312.78475496216475</v>
      </c>
      <c r="X152" s="4141">
        <f>+(X151*1000000)/X13</f>
        <v>310.00000000000006</v>
      </c>
      <c r="Y152" s="2011">
        <f>+(Y151*1000000)/Y13</f>
        <v>314.18963385835912</v>
      </c>
      <c r="Z152" s="6509">
        <f>+(Z151*1000000)/Z13</f>
        <v>310.98245708428351</v>
      </c>
      <c r="AA152" s="6531">
        <f>+(AA151*1000000)/AA13</f>
        <v>313.99931314869298</v>
      </c>
      <c r="AB152" s="4811">
        <v>310</v>
      </c>
      <c r="AC152" s="1646">
        <f>+(AC151*1000000)/AC13</f>
        <v>315.04443616624985</v>
      </c>
      <c r="AD152" s="3912">
        <f>+(AD151*1000000)/AD13</f>
        <v>310.83113916841143</v>
      </c>
      <c r="AE152" s="1823">
        <f>+(AE151*1000000)/AE13</f>
        <v>314.16062458270613</v>
      </c>
      <c r="AF152" s="4811">
        <v>310</v>
      </c>
      <c r="AG152" s="1646">
        <f>+(AG151*1000000)/AG13</f>
        <v>316.13006404905491</v>
      </c>
      <c r="AH152" s="3912">
        <f>+(AH151*1000000)/AH13</f>
        <v>310.72332630458448</v>
      </c>
      <c r="AI152" s="1823">
        <f>+(AI151*1000000)/AI13</f>
        <v>314.41812015503882</v>
      </c>
      <c r="AJ152" s="4811">
        <v>310</v>
      </c>
      <c r="AK152" s="3918">
        <f>+(AK151*1000000)/AK13</f>
        <v>315.16055063228879</v>
      </c>
      <c r="AL152" s="4141">
        <f>+(AL151*1000000)/AL13</f>
        <v>310.00000000000006</v>
      </c>
      <c r="AM152" s="2011">
        <f>+(AM151*1000000)/AM13</f>
        <v>315.43871647710023</v>
      </c>
      <c r="AN152" s="3912">
        <f>+(AN151*1000000)/AN13</f>
        <v>310.63783089042045</v>
      </c>
      <c r="AO152" s="1823">
        <f>+(AO151*1000000)/AO13</f>
        <v>314.50630045328762</v>
      </c>
      <c r="AP152" s="4811">
        <v>310</v>
      </c>
      <c r="AQ152" s="3918">
        <f>+(AQ151*1000000)/AQ13</f>
        <v>315.67137635368817</v>
      </c>
      <c r="AR152" s="3912">
        <f>+(AR151*1000000)/AR13</f>
        <v>310.57040983225761</v>
      </c>
      <c r="AS152" s="1823">
        <f>+(AS151*1000000)/AS13</f>
        <v>314.62998863963224</v>
      </c>
      <c r="AT152" s="4811">
        <v>310</v>
      </c>
      <c r="AU152" s="3918">
        <f>+(AU151*1000000)/AU13</f>
        <v>314.44775819315061</v>
      </c>
      <c r="AV152" s="3912">
        <f>+(AV151*1000000)/AV13</f>
        <v>310.52069669464146</v>
      </c>
      <c r="AW152" s="1823">
        <f>+(AW151*1000000)/AW13</f>
        <v>314.61404160856756</v>
      </c>
      <c r="AX152" s="4811">
        <v>310</v>
      </c>
      <c r="AY152" s="3918">
        <v>314.44775819315061</v>
      </c>
      <c r="AZ152" s="4141">
        <f>+(AZ151*1000000)/AZ13</f>
        <v>309.99999999999994</v>
      </c>
      <c r="BA152" s="2011">
        <f>+(BA151*1000000)/BA13</f>
        <v>314.6256066649126</v>
      </c>
      <c r="BB152" s="4141">
        <v>310</v>
      </c>
      <c r="BC152" s="2011">
        <f>+(BC151*1000000)/BC13</f>
        <v>315.0363533233641</v>
      </c>
      <c r="BD152" s="6509">
        <f>+(BD151*1000000)/BD13</f>
        <v>310.47487538551303</v>
      </c>
      <c r="BE152" s="6531">
        <f>+(BE151*1000000)/BE13</f>
        <v>314.53690523924098</v>
      </c>
    </row>
    <row r="153" spans="1:57" x14ac:dyDescent="0.2">
      <c r="B153" s="1534" t="s">
        <v>707</v>
      </c>
      <c r="C153" s="1545" t="s">
        <v>702</v>
      </c>
      <c r="D153" s="3229"/>
      <c r="E153" s="2750">
        <v>4234.7</v>
      </c>
      <c r="F153" s="3229"/>
      <c r="G153" s="1646">
        <v>4232.8</v>
      </c>
      <c r="H153" s="6345"/>
      <c r="I153" s="1823">
        <f>+((E153*E151)+(G151*G153))/I151</f>
        <v>4233.6919755971221</v>
      </c>
      <c r="J153" s="3229"/>
      <c r="K153" s="1646">
        <v>4260.5</v>
      </c>
      <c r="L153" s="6343"/>
      <c r="M153" s="2011">
        <f>+((I153*I151)+(K151*K153))/M151</f>
        <v>4243.2860476298983</v>
      </c>
      <c r="N153" s="3229"/>
      <c r="O153" s="3918">
        <v>4262.1000000000004</v>
      </c>
      <c r="P153" s="3912"/>
      <c r="Q153" s="1823">
        <f>+((M153*M151)+(O151*O153))/Q151</f>
        <v>4248.5567979598327</v>
      </c>
      <c r="R153" s="3229"/>
      <c r="S153" s="3918">
        <v>4261.1000000000004</v>
      </c>
      <c r="T153" s="3912"/>
      <c r="U153" s="1823">
        <f>+((Q153*Q151)+(S151*S153))/U151</f>
        <v>4251.3481968348615</v>
      </c>
      <c r="V153" s="3229"/>
      <c r="W153" s="3918">
        <v>4248.8</v>
      </c>
      <c r="X153" s="6560"/>
      <c r="Y153" s="2011">
        <f>+((O153*O151)+(S153*S151)+(W151*W153))/Y151</f>
        <v>4257.4458805651393</v>
      </c>
      <c r="Z153" s="6509"/>
      <c r="AA153" s="6531">
        <f>+((U153*U151)+(W151*W153))/AA151</f>
        <v>4250.903684371182</v>
      </c>
      <c r="AB153" s="3229"/>
      <c r="AC153" s="3918">
        <v>4241.8</v>
      </c>
      <c r="AD153" s="3912"/>
      <c r="AE153" s="1823">
        <f>+((AA153*AA151)+(AC151*AC153))/AE151</f>
        <v>4249.4946065021304</v>
      </c>
      <c r="AF153" s="3229"/>
      <c r="AG153" s="3918">
        <v>4252.49</v>
      </c>
      <c r="AH153" s="3912"/>
      <c r="AI153" s="1823">
        <f>+((AE153*AE151)+(AG151*AG153))/AI151</f>
        <v>4249.8883734362907</v>
      </c>
      <c r="AJ153" s="3229"/>
      <c r="AK153" s="3918">
        <v>4249.8</v>
      </c>
      <c r="AL153" s="7737"/>
      <c r="AM153" s="2011">
        <f>+((AC153*AC151)+(AG153*AG151)+(AK151*AK153))/AM151</f>
        <v>4247.99983030965</v>
      </c>
      <c r="AN153" s="3912"/>
      <c r="AO153" s="1823">
        <f>+((AI153*AI151)+(AK151*AK153))/AO151</f>
        <v>4249.8778552704362</v>
      </c>
      <c r="AP153" s="3229"/>
      <c r="AQ153" s="3918">
        <v>4249.3999999999996</v>
      </c>
      <c r="AR153" s="3912"/>
      <c r="AS153" s="1823">
        <f>+((AO153*AO151)+(AQ151*AQ153))/AS151</f>
        <v>4249.8269567131983</v>
      </c>
      <c r="AT153" s="3229"/>
      <c r="AU153" s="3918">
        <f>+EMD!AU6</f>
        <v>4263.7</v>
      </c>
      <c r="AV153" s="3912"/>
      <c r="AW153" s="1823">
        <f>+((AS153*AS151)+(AU151*AU153))/AW151</f>
        <v>4251.0403484788249</v>
      </c>
      <c r="AX153" s="3229"/>
      <c r="AY153" s="3918">
        <f>+EMD!AY6</f>
        <v>4267.3999999999996</v>
      </c>
      <c r="AZ153" s="8323"/>
      <c r="BA153" s="2011">
        <f>+((AQ153*AQ151)+(AU153*AU151)+(AY151*AY153))/BA151</f>
        <v>4260.0332194829116</v>
      </c>
      <c r="BB153" s="8323"/>
      <c r="BC153" s="2011">
        <f>+EMD!BE6</f>
        <v>4263.3223193233698</v>
      </c>
      <c r="BD153" s="6509"/>
      <c r="BE153" s="6531">
        <f>+((AW153*AW151)+(AY151*AY153))/BE151</f>
        <v>4252.4836742980951</v>
      </c>
    </row>
    <row r="154" spans="1:57" x14ac:dyDescent="0.2">
      <c r="B154" s="1534" t="s">
        <v>1284</v>
      </c>
      <c r="C154" s="1545" t="s">
        <v>797</v>
      </c>
      <c r="D154" s="3224"/>
      <c r="E154" s="2723">
        <f>+(7424.5)/(E2*24)</f>
        <v>10.311805555555555</v>
      </c>
      <c r="F154" s="3224"/>
      <c r="G154" s="2723">
        <f>+(8416.24)/(G2*24)</f>
        <v>11.312150537634409</v>
      </c>
      <c r="H154" s="2976">
        <f>+((D154*D2)+(F154*F2))/H2</f>
        <v>0</v>
      </c>
      <c r="I154" s="6056">
        <f>+((E154*E2)+(G154*G2))/I2</f>
        <v>10.820177595628413</v>
      </c>
      <c r="J154" s="3224"/>
      <c r="K154" s="2723">
        <f>+(8746.6)/(K2*24)</f>
        <v>12.148055555555556</v>
      </c>
      <c r="L154" s="2554">
        <f>+((H154*H2)+(J154*J2))/L2</f>
        <v>0</v>
      </c>
      <c r="M154" s="6057">
        <f>+((I154*I2)+(K154*K2))/M2</f>
        <v>11.257939560439558</v>
      </c>
      <c r="N154" s="3224"/>
      <c r="O154" s="4146">
        <f>+(9595.04)/(O2*24)</f>
        <v>12.896559139784948</v>
      </c>
      <c r="P154" s="2976">
        <f>+((L154*L2)+(N154*N2))/P2</f>
        <v>0</v>
      </c>
      <c r="Q154" s="6056">
        <f>+((M154*M2)+(O154*O2))/Q2</f>
        <v>11.674310109289618</v>
      </c>
      <c r="R154" s="3224"/>
      <c r="S154" s="4146">
        <f>+(9700.64)/(S2*24)</f>
        <v>13.038494623655913</v>
      </c>
      <c r="T154" s="2976">
        <f>+((P154*P2)+(R154*R2))/T2</f>
        <v>0</v>
      </c>
      <c r="U154" s="6056">
        <f>+((Q154*Q2)+(S154*S2))/U2</f>
        <v>11.950713507625272</v>
      </c>
      <c r="V154" s="3224"/>
      <c r="W154" s="4146">
        <f>+(9293.2)/(W2*24)</f>
        <v>12.907222222222224</v>
      </c>
      <c r="X154" s="2554">
        <f>+((N154*N2)+(R154*R2)+(V154*V2))/X2</f>
        <v>0</v>
      </c>
      <c r="Y154" s="6057">
        <f>+((O154*O2)+(S154*S2)+(W154*W2))/Y2</f>
        <v>12.947862318840579</v>
      </c>
      <c r="Z154" s="6717">
        <f>+((T154*T2)+(V154*V2))/Z2</f>
        <v>0</v>
      </c>
      <c r="AA154" s="6718">
        <f>+((U154*U2)+(W154*W2))/AA2</f>
        <v>12.107518214936247</v>
      </c>
      <c r="AB154" s="3224"/>
      <c r="AC154" s="4146">
        <f>+(9719.49)/(AC2*24)</f>
        <v>13.063830645161291</v>
      </c>
      <c r="AD154" s="2976">
        <f>+((Z154*Z2)+(AB154*AB2))/AD2</f>
        <v>0</v>
      </c>
      <c r="AE154" s="6056">
        <f>+((AA154*AA2)+(AC154*AC2))/AE2</f>
        <v>12.246049454828659</v>
      </c>
      <c r="AF154" s="3224"/>
      <c r="AG154" s="4146">
        <f>+(9429.4)/(AG2*24)</f>
        <v>13.096388888888889</v>
      </c>
      <c r="AH154" s="2976">
        <f>+((AD154*AD2)+(AF154*AF2))/AH2</f>
        <v>0</v>
      </c>
      <c r="AI154" s="6056">
        <f>+((AE154*AE2)+(AG154*AG2))/AI2</f>
        <v>12.3505993852459</v>
      </c>
      <c r="AJ154" s="3224"/>
      <c r="AK154" s="4146">
        <f>+(9730.14)/(AK2*24)</f>
        <v>13.078145161290323</v>
      </c>
      <c r="AL154" s="2554">
        <f>+((AB154*AB2)+(AF154*AF2)+(AJ154*AJ2))/AL2</f>
        <v>0</v>
      </c>
      <c r="AM154" s="6057">
        <f>+((AC154*AC2)+(AG154*AG2)+(AK154*AK2))/AM2</f>
        <v>13.079270833333334</v>
      </c>
      <c r="AN154" s="2976">
        <f>+((AH154*AH2)+(AJ154*AJ2))/AN2</f>
        <v>0</v>
      </c>
      <c r="AO154" s="6056">
        <f>+((AI154*AI2)+(AK154*AK2))/AO2</f>
        <v>12.432613636363635</v>
      </c>
      <c r="AP154" s="3224"/>
      <c r="AQ154" s="4146">
        <f>+(9750.6)/(AQ2*24)</f>
        <v>13.105645161290322</v>
      </c>
      <c r="AR154" s="2976">
        <f>+((AN154*AN2)+(AP154*AP2))/AR2</f>
        <v>0</v>
      </c>
      <c r="AS154" s="6056">
        <f>+((AO154*AO2)+(AQ154*AQ2))/AS2</f>
        <v>12.50079656862745</v>
      </c>
      <c r="AT154" s="3224"/>
      <c r="AU154" s="4146">
        <f>+(8800.5)/(AU2*24)</f>
        <v>13.095982142857142</v>
      </c>
      <c r="AV154" s="2976">
        <f>+((AR154*AR2)+(AT154*AT2))/AV2</f>
        <v>0</v>
      </c>
      <c r="AW154" s="6056">
        <f>+((AS154*AS2)+(AU154*AU2))/AW2</f>
        <v>12.550692365269461</v>
      </c>
      <c r="AX154" s="3224"/>
      <c r="AY154" s="4146">
        <f>+(9762.3)/(AY2*24)</f>
        <v>13.121370967741935</v>
      </c>
      <c r="AZ154" s="2554">
        <f>+((AP154*AP2)+(AT154*AT2)+(AX154*AX2))/AZ2</f>
        <v>0</v>
      </c>
      <c r="BA154" s="6057">
        <f>+((AQ154*AQ2)+(AU154*AU2)+(AY154*AY2))/BA2</f>
        <v>13.108055555555554</v>
      </c>
      <c r="BB154" s="2554"/>
      <c r="BC154" s="6057">
        <f t="shared" ref="BC154" si="866">+((AM154*AM$91)+(BA154*BA$91))/BC$91</f>
        <v>13.093513697520239</v>
      </c>
      <c r="BD154" s="6717">
        <f>+((AV154*AV2)+(AX154*AX2))/BD2</f>
        <v>0</v>
      </c>
      <c r="BE154" s="6718">
        <f>+((AW154*AW2)+(AY154*AY2))/BE2</f>
        <v>12.599160958904108</v>
      </c>
    </row>
    <row r="155" spans="1:57" x14ac:dyDescent="0.2">
      <c r="B155" s="1534" t="s">
        <v>2017</v>
      </c>
      <c r="C155" s="1545" t="s">
        <v>703</v>
      </c>
      <c r="D155" s="4811">
        <f>+'POWER DISTRIBUTION'!I35</f>
        <v>1093289.9999999974</v>
      </c>
      <c r="E155" s="5600">
        <f>+'POWER DISTRIBUTION'!J35</f>
        <v>1093290</v>
      </c>
      <c r="F155" s="4811">
        <f>+'POWER DISTRIBUTION'!K35</f>
        <v>1171532.7999999973</v>
      </c>
      <c r="G155" s="5600">
        <f>+'POWER DISTRIBUTION'!L35</f>
        <v>1171532.8</v>
      </c>
      <c r="H155" s="2553">
        <f>+D155+F155</f>
        <v>2264822.7999999947</v>
      </c>
      <c r="I155" s="1823">
        <f>+E155+G155</f>
        <v>2264822.7999999998</v>
      </c>
      <c r="J155" s="4811">
        <f>+'POWER DISTRIBUTION'!O35</f>
        <v>1243012.0000000033</v>
      </c>
      <c r="K155" s="5600">
        <f>+'POWER DISTRIBUTION'!P35</f>
        <v>1243012</v>
      </c>
      <c r="L155" s="3044">
        <f>+H155+J155</f>
        <v>3507834.799999998</v>
      </c>
      <c r="M155" s="2011">
        <f>+I155+K155</f>
        <v>3507834.8</v>
      </c>
      <c r="N155" s="4811">
        <f>+'POWER DISTRIBUTION'!S35</f>
        <v>1594689.2280000001</v>
      </c>
      <c r="O155" s="5600">
        <f>+'POWER DISTRIBUTION'!T35</f>
        <v>1324053</v>
      </c>
      <c r="P155" s="2553">
        <f>+L155+N155</f>
        <v>5102524.0279999981</v>
      </c>
      <c r="Q155" s="1823">
        <f>+M155+O155</f>
        <v>4831887.8</v>
      </c>
      <c r="R155" s="4811">
        <f>+'POWER DISTRIBUTION'!W35</f>
        <v>1594689.2280000001</v>
      </c>
      <c r="S155" s="5600">
        <f>+'POWER DISTRIBUTION'!X35</f>
        <v>1322643.1099999999</v>
      </c>
      <c r="T155" s="2553">
        <f>+P155+R155</f>
        <v>6697213.2559999982</v>
      </c>
      <c r="U155" s="1823">
        <f>+Q155+S155</f>
        <v>6154530.9100000001</v>
      </c>
      <c r="V155" s="4811">
        <f>+'POWER DISTRIBUTION'!AA35</f>
        <v>1543247.6400000001</v>
      </c>
      <c r="W155" s="5600">
        <f>+'POWER DISTRIBUTION'!AB35</f>
        <v>1316970</v>
      </c>
      <c r="X155" s="3046">
        <f t="shared" ref="X155" si="867">+N155+R155+V155</f>
        <v>4732626.0960000008</v>
      </c>
      <c r="Y155" s="2070">
        <f t="shared" ref="Y155" si="868">+O155+S155+W155</f>
        <v>3963666.11</v>
      </c>
      <c r="Z155" s="6719">
        <f>+T155+V155</f>
        <v>8240460.8959999979</v>
      </c>
      <c r="AA155" s="6531">
        <f>+U155+W155</f>
        <v>7471500.9100000001</v>
      </c>
      <c r="AB155" s="4811">
        <f>+'POWER DISTRIBUTION'!AG35</f>
        <v>1594689.2280000001</v>
      </c>
      <c r="AC155" s="5600">
        <f>+'POWER DISTRIBUTION'!AH35</f>
        <v>1340496</v>
      </c>
      <c r="AD155" s="2553">
        <f>+Z155+AB155</f>
        <v>9835150.123999998</v>
      </c>
      <c r="AE155" s="1823">
        <f>+AA155+AC155</f>
        <v>8811996.9100000001</v>
      </c>
      <c r="AF155" s="4811">
        <f>+'POWER DISTRIBUTION'!AK35</f>
        <v>1543247.6400000001</v>
      </c>
      <c r="AG155" s="5600">
        <f>+'POWER DISTRIBUTION'!AL35</f>
        <v>1264374</v>
      </c>
      <c r="AH155" s="2553">
        <f>+AD155+AF155</f>
        <v>11378397.763999999</v>
      </c>
      <c r="AI155" s="1823">
        <f>+AE155+AG155</f>
        <v>10076370.91</v>
      </c>
      <c r="AJ155" s="4811">
        <f>+'POWER DISTRIBUTION'!AO35</f>
        <v>1594689.2280000001</v>
      </c>
      <c r="AK155" s="5600">
        <f>+'POWER DISTRIBUTION'!AP35</f>
        <v>1307027</v>
      </c>
      <c r="AL155" s="3046">
        <f t="shared" ref="AL155" si="869">+AB155+AF155+AJ155</f>
        <v>4732626.0960000008</v>
      </c>
      <c r="AM155" s="2070">
        <f t="shared" ref="AM155" si="870">+AC155+AG155+AK155</f>
        <v>3911897</v>
      </c>
      <c r="AN155" s="2553">
        <f>+AH155+AJ155</f>
        <v>12973086.991999999</v>
      </c>
      <c r="AO155" s="1823">
        <f>+AI155+AK155</f>
        <v>11383397.91</v>
      </c>
      <c r="AP155" s="4811">
        <f>+'POWER DISTRIBUTION'!AU35</f>
        <v>1594689.2280000001</v>
      </c>
      <c r="AQ155" s="5600">
        <f>+'POWER DISTRIBUTION'!AV35</f>
        <v>1298527</v>
      </c>
      <c r="AR155" s="2553">
        <f>+AN155+AP155</f>
        <v>14567776.219999999</v>
      </c>
      <c r="AS155" s="1823">
        <f>+AO155+AQ155</f>
        <v>12681924.91</v>
      </c>
      <c r="AT155" s="4811">
        <f>+'POWER DISTRIBUTION'!AY35</f>
        <v>1440364.4639999999</v>
      </c>
      <c r="AU155" s="5600">
        <f>+'POWER DISTRIBUTION'!AZ35</f>
        <v>1153994</v>
      </c>
      <c r="AV155" s="2553">
        <f>+AR155+AT155</f>
        <v>16008140.683999998</v>
      </c>
      <c r="AW155" s="1823">
        <f>+AS155+AU155</f>
        <v>13835918.91</v>
      </c>
      <c r="AX155" s="4811">
        <f>+'POWER DISTRIBUTION'!BC35</f>
        <v>1594689.2280000001</v>
      </c>
      <c r="AY155" s="5600">
        <f>+'POWER DISTRIBUTION'!BD35</f>
        <v>1345277</v>
      </c>
      <c r="AZ155" s="3046">
        <f t="shared" ref="AZ155" si="871">+AP155+AT155+AX155</f>
        <v>4629742.92</v>
      </c>
      <c r="BA155" s="2070">
        <f t="shared" ref="BA155" si="872">+AQ155+AU155+AY155</f>
        <v>3797798</v>
      </c>
      <c r="BB155" s="3046">
        <f>+'POWER DISTRIBUTION'!BI35</f>
        <v>17602829.912</v>
      </c>
      <c r="BC155" s="2070">
        <f>+'POWER DISTRIBUTION'!BJ35</f>
        <v>15181195.91</v>
      </c>
      <c r="BD155" s="6719">
        <f>+AV155+AX155</f>
        <v>17602829.912</v>
      </c>
      <c r="BE155" s="6531">
        <f>+AW155+AY155</f>
        <v>15181195.91</v>
      </c>
    </row>
    <row r="156" spans="1:57" x14ac:dyDescent="0.2">
      <c r="B156" s="1534" t="s">
        <v>2018</v>
      </c>
      <c r="C156" s="1545" t="s">
        <v>704</v>
      </c>
      <c r="D156" s="4811">
        <f t="shared" ref="D156:AU156" si="873">+D155/D13</f>
        <v>27.210347642561267</v>
      </c>
      <c r="E156" s="3847">
        <f t="shared" si="873"/>
        <v>27.210347642561331</v>
      </c>
      <c r="F156" s="4811">
        <f t="shared" si="873"/>
        <v>25.731912388750697</v>
      </c>
      <c r="G156" s="2067">
        <f t="shared" si="873"/>
        <v>25.731912388750757</v>
      </c>
      <c r="H156" s="2843">
        <f t="shared" si="873"/>
        <v>26.424993816184269</v>
      </c>
      <c r="I156" s="2486">
        <f t="shared" si="873"/>
        <v>26.42499381618433</v>
      </c>
      <c r="J156" s="4811">
        <f t="shared" si="873"/>
        <v>26.127310027072998</v>
      </c>
      <c r="K156" s="2067">
        <f t="shared" si="873"/>
        <v>26.12731002707293</v>
      </c>
      <c r="L156" s="2881">
        <f t="shared" si="873"/>
        <v>26.318735800868517</v>
      </c>
      <c r="M156" s="2268">
        <f t="shared" si="873"/>
        <v>26.318735800868531</v>
      </c>
      <c r="N156" s="4811">
        <f t="shared" si="873"/>
        <v>30.210000000000004</v>
      </c>
      <c r="O156" s="2067">
        <f t="shared" si="873"/>
        <v>25.583192283614274</v>
      </c>
      <c r="P156" s="2843">
        <f t="shared" si="873"/>
        <v>27.422663497959896</v>
      </c>
      <c r="Q156" s="2486">
        <f t="shared" si="873"/>
        <v>26.113005140576835</v>
      </c>
      <c r="R156" s="4811">
        <f t="shared" si="873"/>
        <v>30.210000000000004</v>
      </c>
      <c r="S156" s="2067">
        <f t="shared" si="873"/>
        <v>25.072662286455209</v>
      </c>
      <c r="T156" s="2843">
        <f t="shared" si="873"/>
        <v>28.038659445591573</v>
      </c>
      <c r="U156" s="2486">
        <f t="shared" si="873"/>
        <v>25.882210816266458</v>
      </c>
      <c r="V156" s="4811">
        <f t="shared" si="873"/>
        <v>30.21</v>
      </c>
      <c r="W156" s="3861">
        <f t="shared" si="873"/>
        <v>26.087912523275627</v>
      </c>
      <c r="X156" s="2881">
        <f t="shared" si="873"/>
        <v>30.210000000000012</v>
      </c>
      <c r="Y156" s="2268">
        <f t="shared" si="873"/>
        <v>25.573821337228654</v>
      </c>
      <c r="Z156" s="6720">
        <f t="shared" si="873"/>
        <v>28.421223451440362</v>
      </c>
      <c r="AA156" s="6611">
        <f t="shared" si="873"/>
        <v>25.918233161736143</v>
      </c>
      <c r="AB156" s="4811">
        <f t="shared" si="873"/>
        <v>30.210000000000004</v>
      </c>
      <c r="AC156" s="2067">
        <f t="shared" si="873"/>
        <v>25.477546241741869</v>
      </c>
      <c r="AD156" s="2843">
        <f t="shared" si="873"/>
        <v>28.696730589226647</v>
      </c>
      <c r="AE156" s="2486">
        <f t="shared" si="873"/>
        <v>25.850214528693989</v>
      </c>
      <c r="AF156" s="4811">
        <f t="shared" si="873"/>
        <v>30.21</v>
      </c>
      <c r="AG156" s="2067">
        <f t="shared" si="873"/>
        <v>24.659549238198515</v>
      </c>
      <c r="AH156" s="2843">
        <f t="shared" si="873"/>
        <v>28.893027328831682</v>
      </c>
      <c r="AI156" s="2486">
        <f t="shared" si="873"/>
        <v>25.694540264177892</v>
      </c>
      <c r="AJ156" s="4811">
        <f t="shared" si="873"/>
        <v>30.210000000000004</v>
      </c>
      <c r="AK156" s="3861">
        <f t="shared" si="873"/>
        <v>24.728259635686669</v>
      </c>
      <c r="AL156" s="2881">
        <f t="shared" si="873"/>
        <v>30.210000000000012</v>
      </c>
      <c r="AM156" s="2268">
        <f t="shared" si="873"/>
        <v>24.957299691981049</v>
      </c>
      <c r="AN156" s="2843">
        <f t="shared" si="873"/>
        <v>29.048690303136155</v>
      </c>
      <c r="AO156" s="2486">
        <f t="shared" si="873"/>
        <v>25.579772731562674</v>
      </c>
      <c r="AP156" s="4811">
        <f t="shared" si="873"/>
        <v>30.210000000000004</v>
      </c>
      <c r="AQ156" s="3861">
        <f t="shared" si="873"/>
        <v>24.567444130801661</v>
      </c>
      <c r="AR156" s="2843">
        <f t="shared" si="873"/>
        <v>29.171444985910668</v>
      </c>
      <c r="AS156" s="2486">
        <f t="shared" si="873"/>
        <v>25.472300687406708</v>
      </c>
      <c r="AT156" s="4811">
        <f t="shared" ref="AT156:AW156" si="874">+AT155/AT13</f>
        <v>30.209999999999997</v>
      </c>
      <c r="AU156" s="3861">
        <f t="shared" si="873"/>
        <v>24.168830842436837</v>
      </c>
      <c r="AV156" s="2843">
        <f t="shared" si="874"/>
        <v>29.261958552503621</v>
      </c>
      <c r="AW156" s="2486">
        <f t="shared" si="874"/>
        <v>25.35823372159004</v>
      </c>
      <c r="AX156" s="4811">
        <f t="shared" ref="AX156:BE156" si="875">+AX155/AX13</f>
        <v>30.210000000000004</v>
      </c>
      <c r="AY156" s="3861">
        <f t="shared" si="875"/>
        <v>25.410584493101833</v>
      </c>
      <c r="AZ156" s="2881">
        <f t="shared" si="875"/>
        <v>30.21</v>
      </c>
      <c r="BA156" s="2268">
        <f t="shared" si="875"/>
        <v>24.734200661176832</v>
      </c>
      <c r="BB156" s="2881">
        <f t="shared" ref="BB156:BC156" si="876">+BB155/BB13</f>
        <v>56.799885876397511</v>
      </c>
      <c r="BC156" s="2268">
        <f t="shared" si="876"/>
        <v>48.926145742020317</v>
      </c>
      <c r="BD156" s="6720">
        <f t="shared" si="875"/>
        <v>29.345386199883304</v>
      </c>
      <c r="BE156" s="6611">
        <f t="shared" si="875"/>
        <v>25.362864057070308</v>
      </c>
    </row>
    <row r="157" spans="1:57" ht="16" thickBot="1" x14ac:dyDescent="0.25">
      <c r="B157" s="1536" t="s">
        <v>708</v>
      </c>
      <c r="C157" s="1577" t="s">
        <v>1095</v>
      </c>
      <c r="D157" s="7171"/>
      <c r="E157" s="3848">
        <v>0.69399999999999995</v>
      </c>
      <c r="F157" s="7171"/>
      <c r="G157" s="1724">
        <v>0.69399999999999995</v>
      </c>
      <c r="H157" s="2988">
        <f>+((D157*D13)+(F157*F13))/H13</f>
        <v>0</v>
      </c>
      <c r="I157" s="6058">
        <f>+((E157*E13)+(G157*G13))/I13</f>
        <v>0.69399999999999995</v>
      </c>
      <c r="J157" s="7171"/>
      <c r="K157" s="1724">
        <v>0.69499999999999995</v>
      </c>
      <c r="L157" s="3052">
        <f>+((H157*H13)+(J157*J13))/L13</f>
        <v>0</v>
      </c>
      <c r="M157" s="6059">
        <f>+((I157*I13)+(K157*K13))/M13</f>
        <v>0.69435694928377845</v>
      </c>
      <c r="N157" s="7171"/>
      <c r="O157" s="6052">
        <v>0.70099999999999996</v>
      </c>
      <c r="P157" s="2988">
        <f>+((L157*L13)+(N157*N13))/P13</f>
        <v>0</v>
      </c>
      <c r="Q157" s="6058">
        <f>+((M157*M13)+(O157*O13))/Q13</f>
        <v>0.69621500278862247</v>
      </c>
      <c r="R157" s="7171"/>
      <c r="S157" s="6052">
        <v>0.69499999999999995</v>
      </c>
      <c r="T157" s="2988">
        <f>+((P157*P13)+(R157*R13))/T13</f>
        <v>0</v>
      </c>
      <c r="U157" s="6058">
        <f>+((Q157*Q13)+(S157*S13))/U13</f>
        <v>0.6959454611211574</v>
      </c>
      <c r="V157" s="7171"/>
      <c r="W157" s="6052">
        <v>0.69399999999999995</v>
      </c>
      <c r="X157" s="3052">
        <f>+((N157*N13)+(R157+R13)+(V157*V13))/X13</f>
        <v>0.33695652173913043</v>
      </c>
      <c r="Y157" s="6059">
        <f>+((O157*O13)+(S157+S13)+(W157*W13))/Y13</f>
        <v>0.80049266529538832</v>
      </c>
      <c r="Z157" s="6721">
        <f>+((T157*T13)+(V157*V13))/Z13</f>
        <v>0</v>
      </c>
      <c r="AA157" s="6722">
        <f>+((U157*U13)+(W157*W13))/AA13</f>
        <v>0.69560477326968984</v>
      </c>
      <c r="AB157" s="7171"/>
      <c r="AC157" s="6052">
        <v>0.69499999999999995</v>
      </c>
      <c r="AD157" s="2988">
        <f>+((Z157*Z13)+(AB157*AB13))/AD13</f>
        <v>0</v>
      </c>
      <c r="AE157" s="6058">
        <f>+((AA157*AA13)+(AC157*AC13))/AE13</f>
        <v>0.69551142842726688</v>
      </c>
      <c r="AF157" s="7171"/>
      <c r="AG157" s="6052">
        <v>0.69399999999999995</v>
      </c>
      <c r="AH157" s="2988">
        <f>+((AD157*AD13)+(AF157*AF13))/AH13</f>
        <v>0</v>
      </c>
      <c r="AI157" s="6058">
        <f>+((AE157*AE13)+(AG157*AG13))/AI13</f>
        <v>0.69531381578947382</v>
      </c>
      <c r="AJ157" s="7171"/>
      <c r="AK157" s="6052">
        <v>0.69399999999999995</v>
      </c>
      <c r="AL157" s="3052">
        <f>+((AB157*AB13)+(AF157+AF13)+(AJ157*AJ13))/AL13</f>
        <v>0.32608695652173919</v>
      </c>
      <c r="AM157" s="6059">
        <f>+((AC157*AC13)+(AG157+AG13)+(AK157*AK13))/AM13</f>
        <v>0.79443732567071312</v>
      </c>
      <c r="AN157" s="2988">
        <f>+((AH157*AH13)+(AJ157*AJ13))/AN13</f>
        <v>0</v>
      </c>
      <c r="AO157" s="6058">
        <f>+((AI157*AI13)+(AK157*AK13))/AO13</f>
        <v>0.69515777064893913</v>
      </c>
      <c r="AP157" s="7171"/>
      <c r="AQ157" s="6052">
        <v>0.69599999999999995</v>
      </c>
      <c r="AR157" s="2988">
        <f>+((AN157*AN13)+(AP157*AP13))/AR13</f>
        <v>0</v>
      </c>
      <c r="AS157" s="6058">
        <f>+((AO157*AO13)+(AQ157*AQ13))/AS13</f>
        <v>0.69524718441235411</v>
      </c>
      <c r="AT157" s="7171"/>
      <c r="AU157" s="6052">
        <v>0.69499999999999995</v>
      </c>
      <c r="AV157" s="2988">
        <f>+((AR157*AR13)+(AT157*AT13))/AV13</f>
        <v>0</v>
      </c>
      <c r="AW157" s="6058">
        <f>+((AS157*AS13)+(AU157*AU13))/AW13</f>
        <v>0.69522555324380564</v>
      </c>
      <c r="AX157" s="7171"/>
      <c r="AY157" s="6052">
        <v>0.69599999999999995</v>
      </c>
      <c r="AZ157" s="3052">
        <f>+((AP157*AP13)+(AT157+AT13)+(AX157*AX13))/AZ13</f>
        <v>0.31111111111111112</v>
      </c>
      <c r="BA157" s="6059">
        <f>+((AQ157*AQ13)+(AU157+AU13)+(AY157*AY13))/BA13</f>
        <v>0.79053841234196753</v>
      </c>
      <c r="BB157" s="3052"/>
      <c r="BC157" s="6059">
        <f t="shared" ref="BC157" si="877">+((AM157*AM$91)+(BA157*BA$91))/BC$91</f>
        <v>0.7925081184826388</v>
      </c>
      <c r="BD157" s="6721">
        <f>+((AV157*AV13)+(AX157*AX13))/BD13</f>
        <v>0</v>
      </c>
      <c r="BE157" s="6722">
        <f>+((AW157*AW13)+(AY157*AY13))/BE13</f>
        <v>0.69529405172413805</v>
      </c>
    </row>
    <row r="158" spans="1:57" s="3380" customFormat="1" ht="18" x14ac:dyDescent="0.2">
      <c r="A158" s="3379"/>
      <c r="B158" s="6797" t="s">
        <v>696</v>
      </c>
      <c r="C158" s="6798"/>
      <c r="D158" s="6791"/>
      <c r="E158" s="6799"/>
      <c r="F158" s="6791"/>
      <c r="G158" s="6790"/>
      <c r="H158" s="3435"/>
      <c r="I158" s="5756"/>
      <c r="J158" s="3435"/>
      <c r="K158" s="5756"/>
      <c r="L158" s="3435"/>
      <c r="M158" s="5756"/>
      <c r="N158" s="3435"/>
      <c r="O158" s="5756"/>
      <c r="P158" s="3435"/>
      <c r="Q158" s="5756"/>
      <c r="R158" s="3435"/>
      <c r="S158" s="5756"/>
      <c r="T158" s="3435"/>
      <c r="U158" s="5756"/>
      <c r="V158" s="3435"/>
      <c r="W158" s="5756"/>
      <c r="X158" s="3435"/>
      <c r="Y158" s="5756"/>
      <c r="Z158" s="3435"/>
      <c r="AA158" s="5756"/>
      <c r="AB158" s="3435"/>
      <c r="AC158" s="5756"/>
      <c r="AD158" s="3435"/>
      <c r="AE158" s="5756"/>
      <c r="AF158" s="3435"/>
      <c r="AG158" s="5756"/>
      <c r="AH158" s="3435"/>
      <c r="AI158" s="5756"/>
      <c r="AJ158" s="3435"/>
      <c r="AK158" s="5756"/>
      <c r="AL158" s="3435"/>
      <c r="AM158" s="5756"/>
      <c r="AN158" s="3435"/>
      <c r="AO158" s="5756"/>
      <c r="AP158" s="3435"/>
      <c r="AQ158" s="5756"/>
      <c r="AR158" s="3435"/>
      <c r="AS158" s="5756"/>
      <c r="AT158" s="3435"/>
      <c r="AU158" s="5756"/>
      <c r="AV158" s="3435"/>
      <c r="AW158" s="5756"/>
      <c r="AX158" s="3435"/>
      <c r="AY158" s="5756"/>
      <c r="AZ158" s="3435"/>
      <c r="BA158" s="5756"/>
      <c r="BB158" s="3435"/>
      <c r="BC158" s="5756"/>
      <c r="BD158" s="3435"/>
      <c r="BE158" s="5756"/>
    </row>
    <row r="159" spans="1:57" s="3380" customFormat="1" ht="16" x14ac:dyDescent="0.2">
      <c r="A159" s="3379"/>
      <c r="B159" s="6800" t="s">
        <v>684</v>
      </c>
      <c r="C159" s="6801"/>
      <c r="D159" s="4919"/>
      <c r="E159" s="6802"/>
      <c r="F159" s="4919"/>
      <c r="G159" s="4921"/>
      <c r="H159" s="4922"/>
      <c r="I159" s="4920"/>
      <c r="J159" s="4922"/>
      <c r="K159" s="4920"/>
      <c r="L159" s="4922"/>
      <c r="M159" s="4920"/>
      <c r="N159" s="4922"/>
      <c r="O159" s="4920"/>
      <c r="P159" s="4922"/>
      <c r="Q159" s="4920"/>
      <c r="R159" s="4922"/>
      <c r="S159" s="4920"/>
      <c r="T159" s="4922"/>
      <c r="U159" s="4920"/>
      <c r="V159" s="4922"/>
      <c r="W159" s="4920"/>
      <c r="X159" s="4922"/>
      <c r="Y159" s="4920"/>
      <c r="Z159" s="4922"/>
      <c r="AA159" s="4920"/>
      <c r="AB159" s="4922"/>
      <c r="AC159" s="4920"/>
      <c r="AD159" s="4922"/>
      <c r="AE159" s="4920"/>
      <c r="AF159" s="4922"/>
      <c r="AG159" s="4920"/>
      <c r="AH159" s="4922"/>
      <c r="AI159" s="4920"/>
      <c r="AJ159" s="4922"/>
      <c r="AK159" s="4920"/>
      <c r="AL159" s="4922"/>
      <c r="AM159" s="4920"/>
      <c r="AN159" s="4922"/>
      <c r="AO159" s="4920"/>
      <c r="AP159" s="4922"/>
      <c r="AQ159" s="4920"/>
      <c r="AR159" s="4922"/>
      <c r="AS159" s="4920"/>
      <c r="AT159" s="4922"/>
      <c r="AU159" s="4920"/>
      <c r="AV159" s="4922"/>
      <c r="AW159" s="4920"/>
      <c r="AX159" s="4922"/>
      <c r="AY159" s="4920"/>
      <c r="AZ159" s="4922"/>
      <c r="BA159" s="4920"/>
      <c r="BB159" s="4922"/>
      <c r="BC159" s="4920"/>
      <c r="BD159" s="4922"/>
      <c r="BE159" s="4920"/>
    </row>
    <row r="160" spans="1:57" x14ac:dyDescent="0.2">
      <c r="B160" s="1533" t="s">
        <v>682</v>
      </c>
      <c r="C160" s="1545" t="s">
        <v>169</v>
      </c>
      <c r="D160" s="6330">
        <f t="shared" ref="D160:AS160" si="878">+D100/D109*100</f>
        <v>66.793453253151654</v>
      </c>
      <c r="E160" s="3849">
        <f t="shared" si="878"/>
        <v>66.721889101811215</v>
      </c>
      <c r="F160" s="6330">
        <f t="shared" si="878"/>
        <v>67.149670635766327</v>
      </c>
      <c r="G160" s="2997">
        <f t="shared" si="878"/>
        <v>67.076583940159509</v>
      </c>
      <c r="H160" s="6314">
        <f t="shared" si="878"/>
        <v>66.971424274038455</v>
      </c>
      <c r="I160" s="3876">
        <f t="shared" si="878"/>
        <v>66.899086201456385</v>
      </c>
      <c r="J160" s="6330">
        <f t="shared" si="878"/>
        <v>67.055655596501111</v>
      </c>
      <c r="K160" s="3213">
        <f t="shared" si="878"/>
        <v>71.610221298447243</v>
      </c>
      <c r="L160" s="6315">
        <f t="shared" si="878"/>
        <v>67.001547370883515</v>
      </c>
      <c r="M160" s="3899">
        <f t="shared" si="878"/>
        <v>68.583715550750796</v>
      </c>
      <c r="N160" s="6330">
        <f t="shared" si="878"/>
        <v>67.055655596501111</v>
      </c>
      <c r="O160" s="3213">
        <f t="shared" si="878"/>
        <v>75</v>
      </c>
      <c r="P160" s="6314">
        <f t="shared" si="878"/>
        <v>67.017630117468059</v>
      </c>
      <c r="Q160" s="3876">
        <f t="shared" si="878"/>
        <v>70.377454657908459</v>
      </c>
      <c r="R160" s="6330">
        <f t="shared" si="878"/>
        <v>67.055655596501111</v>
      </c>
      <c r="S160" s="3213">
        <f t="shared" si="878"/>
        <v>74.677199416937029</v>
      </c>
      <c r="T160" s="6314">
        <f t="shared" si="878"/>
        <v>67.026342835412507</v>
      </c>
      <c r="U160" s="3876">
        <f t="shared" si="878"/>
        <v>71.381064119814994</v>
      </c>
      <c r="V160" s="6555">
        <f t="shared" si="878"/>
        <v>67.055655596501111</v>
      </c>
      <c r="W160" s="3213">
        <f t="shared" si="878"/>
        <v>72.929892354402426</v>
      </c>
      <c r="X160" s="6548">
        <f t="shared" si="878"/>
        <v>67.055655596501111</v>
      </c>
      <c r="Y160" s="3899">
        <f t="shared" si="878"/>
        <v>74.26328290692598</v>
      </c>
      <c r="Z160" s="6547">
        <f t="shared" si="878"/>
        <v>67.03166290679296</v>
      </c>
      <c r="AA160" s="6715">
        <f t="shared" si="878"/>
        <v>71.629300985583967</v>
      </c>
      <c r="AB160" s="7338">
        <f t="shared" si="878"/>
        <v>67.055655596501111</v>
      </c>
      <c r="AC160" s="3213">
        <f t="shared" si="878"/>
        <v>70.99990897966201</v>
      </c>
      <c r="AD160" s="7325">
        <f t="shared" si="878"/>
        <v>67.035451960091876</v>
      </c>
      <c r="AE160" s="3876">
        <f t="shared" si="878"/>
        <v>71.53227315247895</v>
      </c>
      <c r="AF160" s="7365">
        <f t="shared" si="878"/>
        <v>67.055655596501111</v>
      </c>
      <c r="AG160" s="3213">
        <f t="shared" si="878"/>
        <v>70.111837894714</v>
      </c>
      <c r="AH160" s="7554">
        <f t="shared" si="878"/>
        <v>67.038130358950539</v>
      </c>
      <c r="AI160" s="3876">
        <f t="shared" si="878"/>
        <v>71.353772626832267</v>
      </c>
      <c r="AJ160" s="7365">
        <f t="shared" si="878"/>
        <v>67.055655596501111</v>
      </c>
      <c r="AK160" s="3213">
        <f t="shared" si="878"/>
        <v>68.93532900310646</v>
      </c>
      <c r="AL160" s="7699">
        <f t="shared" si="878"/>
        <v>67.055655596501111</v>
      </c>
      <c r="AM160" s="3899">
        <f t="shared" si="878"/>
        <v>69.986814487917783</v>
      </c>
      <c r="AN160" s="7701">
        <f t="shared" si="878"/>
        <v>67.040241871866101</v>
      </c>
      <c r="AO160" s="3876">
        <f t="shared" si="878"/>
        <v>71.047859236000221</v>
      </c>
      <c r="AP160" s="7365">
        <f t="shared" si="878"/>
        <v>67.055655596501111</v>
      </c>
      <c r="AQ160" s="3213">
        <f t="shared" si="878"/>
        <v>68.999285741137555</v>
      </c>
      <c r="AR160" s="8017">
        <f t="shared" si="878"/>
        <v>67.04189928859094</v>
      </c>
      <c r="AS160" s="3876">
        <f t="shared" si="878"/>
        <v>70.817494010384465</v>
      </c>
      <c r="AT160" s="7365">
        <f t="shared" ref="AT160:AW160" si="879">+AT100/AT109*100</f>
        <v>67.055234554931502</v>
      </c>
      <c r="AU160" s="3213">
        <f t="shared" si="879"/>
        <v>70.429525732004251</v>
      </c>
      <c r="AV160" s="8149">
        <f t="shared" si="879"/>
        <v>67.043079788283123</v>
      </c>
      <c r="AW160" s="3876">
        <f t="shared" si="879"/>
        <v>70.78172205075758</v>
      </c>
      <c r="AX160" s="7365">
        <f t="shared" ref="AX160:BE160" si="880">+AX100/AX109*100</f>
        <v>67.055655647587585</v>
      </c>
      <c r="AY160" s="3213">
        <f t="shared" si="880"/>
        <v>67.451474097596716</v>
      </c>
      <c r="AZ160" s="8266">
        <f t="shared" si="880"/>
        <v>67.055524623637737</v>
      </c>
      <c r="BA160" s="3899">
        <f t="shared" si="880"/>
        <v>68.91094941543561</v>
      </c>
      <c r="BB160" s="8266">
        <f t="shared" ref="BB160:BC160" si="881">+BB100/BB109*100</f>
        <v>67.055590829728771</v>
      </c>
      <c r="BC160" s="3899">
        <f t="shared" si="881"/>
        <v>69.438542896919401</v>
      </c>
      <c r="BD160" s="8280">
        <f t="shared" si="880"/>
        <v>67.044202324980589</v>
      </c>
      <c r="BE160" s="6715">
        <f t="shared" si="880"/>
        <v>70.473160306938311</v>
      </c>
    </row>
    <row r="161" spans="1:57" x14ac:dyDescent="0.2">
      <c r="B161" s="1533" t="s">
        <v>683</v>
      </c>
      <c r="C161" s="1545" t="s">
        <v>169</v>
      </c>
      <c r="D161" s="6344">
        <f t="shared" ref="D161:AS161" si="882">+D103/D109*100</f>
        <v>26.157797651945042</v>
      </c>
      <c r="E161" s="1859">
        <f t="shared" si="882"/>
        <v>26.129690301044693</v>
      </c>
      <c r="F161" s="6344">
        <f t="shared" si="882"/>
        <v>26.482936402254779</v>
      </c>
      <c r="G161" s="3177">
        <f t="shared" si="882"/>
        <v>26.455144399861297</v>
      </c>
      <c r="H161" s="4809">
        <f t="shared" si="882"/>
        <v>26.320241367907869</v>
      </c>
      <c r="I161" s="2805">
        <f t="shared" si="882"/>
        <v>26.292279423137604</v>
      </c>
      <c r="J161" s="6344">
        <f t="shared" si="882"/>
        <v>28.02325905525419</v>
      </c>
      <c r="K161" s="2806">
        <f t="shared" si="882"/>
        <v>24.465093532216653</v>
      </c>
      <c r="L161" s="4792">
        <f t="shared" si="882"/>
        <v>26.929280442980456</v>
      </c>
      <c r="M161" s="2887">
        <f t="shared" si="882"/>
        <v>25.63890589105015</v>
      </c>
      <c r="N161" s="6344">
        <f t="shared" si="882"/>
        <v>28.023259055254197</v>
      </c>
      <c r="O161" s="2806">
        <f t="shared" si="882"/>
        <v>19.999590298262866</v>
      </c>
      <c r="P161" s="4809">
        <f t="shared" si="882"/>
        <v>27.254446914238468</v>
      </c>
      <c r="Q161" s="2805">
        <f t="shared" si="882"/>
        <v>24.062376515459547</v>
      </c>
      <c r="R161" s="6344">
        <f t="shared" si="882"/>
        <v>28.023259055254197</v>
      </c>
      <c r="S161" s="2806">
        <f t="shared" si="882"/>
        <v>20.322565477030142</v>
      </c>
      <c r="T161" s="4809">
        <f t="shared" si="882"/>
        <v>27.43060362566662</v>
      </c>
      <c r="U161" s="2805">
        <f t="shared" si="882"/>
        <v>23.189461969536996</v>
      </c>
      <c r="V161" s="6559">
        <f t="shared" si="882"/>
        <v>28.02325905525419</v>
      </c>
      <c r="W161" s="2806">
        <f t="shared" si="882"/>
        <v>24.006348330113166</v>
      </c>
      <c r="X161" s="4792">
        <f t="shared" si="882"/>
        <v>28.023259055254197</v>
      </c>
      <c r="Y161" s="2887">
        <f t="shared" si="882"/>
        <v>21.315211450609965</v>
      </c>
      <c r="Z161" s="6519">
        <f t="shared" si="882"/>
        <v>27.538166648470447</v>
      </c>
      <c r="AA161" s="6671">
        <f t="shared" si="882"/>
        <v>23.320387597899437</v>
      </c>
      <c r="AB161" s="7345">
        <f t="shared" si="882"/>
        <v>28.023259055254197</v>
      </c>
      <c r="AC161" s="2806">
        <f t="shared" si="882"/>
        <v>24.00004045348355</v>
      </c>
      <c r="AD161" s="4809">
        <f t="shared" si="882"/>
        <v>27.614775024044917</v>
      </c>
      <c r="AE161" s="2805">
        <f t="shared" si="882"/>
        <v>23.425163704396631</v>
      </c>
      <c r="AF161" s="7583">
        <f t="shared" si="882"/>
        <v>28.02325905525419</v>
      </c>
      <c r="AG161" s="2806">
        <f t="shared" si="882"/>
        <v>26.040548016531616</v>
      </c>
      <c r="AH161" s="4809">
        <f t="shared" si="882"/>
        <v>27.668927808267384</v>
      </c>
      <c r="AI161" s="2805">
        <f t="shared" si="882"/>
        <v>23.753828789223363</v>
      </c>
      <c r="AJ161" s="7734">
        <f t="shared" si="882"/>
        <v>28.023259055254197</v>
      </c>
      <c r="AK161" s="2806">
        <f t="shared" si="882"/>
        <v>26.193918855313935</v>
      </c>
      <c r="AL161" s="4792">
        <f t="shared" si="882"/>
        <v>28.02325905525419</v>
      </c>
      <c r="AM161" s="2887">
        <f t="shared" si="882"/>
        <v>25.416689091006951</v>
      </c>
      <c r="AN161" s="4809">
        <f t="shared" si="882"/>
        <v>27.711619098598845</v>
      </c>
      <c r="AO161" s="2805">
        <f t="shared" si="882"/>
        <v>24.062480278441612</v>
      </c>
      <c r="AP161" s="8049">
        <f t="shared" si="882"/>
        <v>28.023259055254197</v>
      </c>
      <c r="AQ161" s="2806">
        <f t="shared" si="882"/>
        <v>25.999962407428288</v>
      </c>
      <c r="AR161" s="4809">
        <f t="shared" si="882"/>
        <v>27.745129316830592</v>
      </c>
      <c r="AS161" s="2805">
        <f t="shared" si="882"/>
        <v>24.280353109897156</v>
      </c>
      <c r="AT161" s="8170">
        <f t="shared" ref="AT161:AW161" si="883">+AT103/AT109*100</f>
        <v>28.023354478968848</v>
      </c>
      <c r="AU161" s="2806">
        <f t="shared" si="883"/>
        <v>25.071275466672216</v>
      </c>
      <c r="AV161" s="4809">
        <f t="shared" si="883"/>
        <v>27.769759099984114</v>
      </c>
      <c r="AW161" s="2805">
        <f t="shared" si="883"/>
        <v>24.353278769522426</v>
      </c>
      <c r="AX161" s="8321">
        <f t="shared" ref="AX161:BE161" si="884">+AX103/AX109*100</f>
        <v>28.023259103839099</v>
      </c>
      <c r="AY161" s="2806">
        <f t="shared" si="884"/>
        <v>27.096525676919896</v>
      </c>
      <c r="AZ161" s="4792">
        <f t="shared" si="884"/>
        <v>28.023288759310084</v>
      </c>
      <c r="BA161" s="2887">
        <f t="shared" si="884"/>
        <v>26.088856377124952</v>
      </c>
      <c r="BB161" s="4792">
        <f t="shared" ref="BB161:BC161" si="885">+BB103/BB109*100</f>
        <v>28.023273744066636</v>
      </c>
      <c r="BC161" s="2887">
        <f t="shared" si="885"/>
        <v>25.759232256319237</v>
      </c>
      <c r="BD161" s="6519">
        <f t="shared" si="884"/>
        <v>27.7923868226903</v>
      </c>
      <c r="BE161" s="6671">
        <f t="shared" si="884"/>
        <v>24.60745235100303</v>
      </c>
    </row>
    <row r="162" spans="1:57" ht="16" thickBot="1" x14ac:dyDescent="0.25">
      <c r="B162" s="2112" t="s">
        <v>39</v>
      </c>
      <c r="C162" s="2774" t="s">
        <v>169</v>
      </c>
      <c r="D162" s="7825">
        <f t="shared" ref="D162:I162" si="886">SUM(D160:D161)</f>
        <v>92.9512509050967</v>
      </c>
      <c r="E162" s="7849">
        <f t="shared" si="886"/>
        <v>92.851579402855904</v>
      </c>
      <c r="F162" s="7825">
        <f t="shared" ref="F162" si="887">SUM(F160:F161)</f>
        <v>93.632607038021106</v>
      </c>
      <c r="G162" s="7850">
        <f t="shared" si="886"/>
        <v>93.531728340020805</v>
      </c>
      <c r="H162" s="7824">
        <f t="shared" si="886"/>
        <v>93.291665641946324</v>
      </c>
      <c r="I162" s="7851">
        <f t="shared" si="886"/>
        <v>93.191365624593985</v>
      </c>
      <c r="J162" s="7825">
        <f t="shared" ref="J162:M162" si="888">SUM(J160:J161)</f>
        <v>95.078914651755298</v>
      </c>
      <c r="K162" s="7852">
        <f t="shared" si="888"/>
        <v>96.075314830663899</v>
      </c>
      <c r="L162" s="7823">
        <f t="shared" si="888"/>
        <v>93.930827813863971</v>
      </c>
      <c r="M162" s="7853">
        <f t="shared" si="888"/>
        <v>94.222621441800953</v>
      </c>
      <c r="N162" s="7825">
        <f t="shared" ref="N162:O162" si="889">SUM(N160:N161)</f>
        <v>95.078914651755312</v>
      </c>
      <c r="O162" s="7852">
        <f t="shared" si="889"/>
        <v>94.999590298262859</v>
      </c>
      <c r="P162" s="7824">
        <f t="shared" ref="P162:S162" si="890">SUM(P160:P161)</f>
        <v>94.27207703170653</v>
      </c>
      <c r="Q162" s="7851">
        <f t="shared" si="890"/>
        <v>94.439831173368006</v>
      </c>
      <c r="R162" s="7825">
        <f t="shared" si="890"/>
        <v>95.078914651755312</v>
      </c>
      <c r="S162" s="7852">
        <f t="shared" si="890"/>
        <v>94.999764893967168</v>
      </c>
      <c r="T162" s="7824">
        <f t="shared" ref="T162:Y162" si="891">SUM(T160:T161)</f>
        <v>94.456946461079127</v>
      </c>
      <c r="U162" s="7851">
        <f t="shared" si="891"/>
        <v>94.570526089351986</v>
      </c>
      <c r="V162" s="7825">
        <f t="shared" si="891"/>
        <v>95.078914651755298</v>
      </c>
      <c r="W162" s="7852">
        <f t="shared" si="891"/>
        <v>96.936240684515596</v>
      </c>
      <c r="X162" s="7823">
        <f t="shared" si="891"/>
        <v>95.078914651755312</v>
      </c>
      <c r="Y162" s="7853">
        <f t="shared" si="891"/>
        <v>95.578494357535945</v>
      </c>
      <c r="Z162" s="7826">
        <f t="shared" ref="Z162:AM162" si="892">SUM(Z160:Z161)</f>
        <v>94.569829555263411</v>
      </c>
      <c r="AA162" s="7854">
        <f t="shared" si="892"/>
        <v>94.949688583483407</v>
      </c>
      <c r="AB162" s="7825">
        <f t="shared" si="892"/>
        <v>95.078914651755312</v>
      </c>
      <c r="AC162" s="7852">
        <f t="shared" si="892"/>
        <v>94.999949433145559</v>
      </c>
      <c r="AD162" s="7824">
        <f t="shared" si="892"/>
        <v>94.650226984136793</v>
      </c>
      <c r="AE162" s="7851">
        <f t="shared" si="892"/>
        <v>94.957436856875574</v>
      </c>
      <c r="AF162" s="7825">
        <f t="shared" si="892"/>
        <v>95.078914651755298</v>
      </c>
      <c r="AG162" s="7852">
        <f t="shared" si="892"/>
        <v>96.152385911245617</v>
      </c>
      <c r="AH162" s="7824">
        <f t="shared" si="892"/>
        <v>94.707058167217923</v>
      </c>
      <c r="AI162" s="7851">
        <f t="shared" si="892"/>
        <v>95.10760141605563</v>
      </c>
      <c r="AJ162" s="7825">
        <f t="shared" si="892"/>
        <v>95.078914651755312</v>
      </c>
      <c r="AK162" s="7852">
        <f t="shared" si="892"/>
        <v>95.129247858420399</v>
      </c>
      <c r="AL162" s="7823">
        <f t="shared" si="892"/>
        <v>95.078914651755298</v>
      </c>
      <c r="AM162" s="7853">
        <f t="shared" si="892"/>
        <v>95.403503578924727</v>
      </c>
      <c r="AN162" s="7824">
        <f t="shared" ref="AN162:AS162" si="893">SUM(AN160:AN161)</f>
        <v>94.751860970464946</v>
      </c>
      <c r="AO162" s="7851">
        <f t="shared" si="893"/>
        <v>95.110339514441833</v>
      </c>
      <c r="AP162" s="8027">
        <f t="shared" si="893"/>
        <v>95.078914651755312</v>
      </c>
      <c r="AQ162" s="7852">
        <f t="shared" si="893"/>
        <v>94.99924814856584</v>
      </c>
      <c r="AR162" s="8026">
        <f t="shared" si="893"/>
        <v>94.78702860542154</v>
      </c>
      <c r="AS162" s="7851">
        <f t="shared" si="893"/>
        <v>95.097847120281614</v>
      </c>
      <c r="AT162" s="8157">
        <f t="shared" ref="AT162:AW162" si="894">SUM(AT160:AT161)</f>
        <v>95.078589033900357</v>
      </c>
      <c r="AU162" s="7852">
        <f t="shared" si="894"/>
        <v>95.50080119867647</v>
      </c>
      <c r="AV162" s="8158">
        <f t="shared" si="894"/>
        <v>94.812838888267237</v>
      </c>
      <c r="AW162" s="7851">
        <f t="shared" si="894"/>
        <v>95.135000820279998</v>
      </c>
      <c r="AX162" s="8284">
        <f t="shared" ref="AX162:BE162" si="895">SUM(AX160:AX161)</f>
        <v>95.07891475142668</v>
      </c>
      <c r="AY162" s="7852">
        <f t="shared" si="895"/>
        <v>94.547999774516612</v>
      </c>
      <c r="AZ162" s="8283">
        <f t="shared" si="895"/>
        <v>95.078813382947828</v>
      </c>
      <c r="BA162" s="7853">
        <f t="shared" si="895"/>
        <v>94.999805792560565</v>
      </c>
      <c r="BB162" s="8283">
        <f t="shared" ref="BB162:BC162" si="896">SUM(BB160:BB161)</f>
        <v>95.078864573795414</v>
      </c>
      <c r="BC162" s="7853">
        <f t="shared" si="896"/>
        <v>95.197775153238638</v>
      </c>
      <c r="BD162" s="8282">
        <f t="shared" si="895"/>
        <v>94.836589147670892</v>
      </c>
      <c r="BE162" s="7854">
        <f t="shared" si="895"/>
        <v>95.080612657941344</v>
      </c>
    </row>
    <row r="163" spans="1:57" ht="16" thickBot="1" x14ac:dyDescent="0.25">
      <c r="B163" s="7856" t="s">
        <v>686</v>
      </c>
      <c r="C163" s="7857" t="s">
        <v>169</v>
      </c>
      <c r="D163" s="2723">
        <f t="shared" ref="D163:AS163" si="897">+((D105+D106+D107+D108)/D109)*100</f>
        <v>7.0487490949033091</v>
      </c>
      <c r="E163" s="2723">
        <f t="shared" si="897"/>
        <v>7.1484205971440939</v>
      </c>
      <c r="F163" s="2723">
        <f t="shared" si="897"/>
        <v>6.3673929619788936</v>
      </c>
      <c r="G163" s="2723">
        <f t="shared" si="897"/>
        <v>6.4682716599791936</v>
      </c>
      <c r="H163" s="2723">
        <f t="shared" si="897"/>
        <v>6.7083343580536843</v>
      </c>
      <c r="I163" s="2723">
        <f t="shared" si="897"/>
        <v>6.8086343754060126</v>
      </c>
      <c r="J163" s="2723">
        <f t="shared" si="897"/>
        <v>4.9210853482446995</v>
      </c>
      <c r="K163" s="2723">
        <f t="shared" si="897"/>
        <v>3.9246851693361049</v>
      </c>
      <c r="L163" s="2723">
        <f t="shared" si="897"/>
        <v>6.0691721861360275</v>
      </c>
      <c r="M163" s="2723">
        <f t="shared" si="897"/>
        <v>5.77737855819906</v>
      </c>
      <c r="N163" s="2723">
        <f t="shared" si="897"/>
        <v>4.9210853482446995</v>
      </c>
      <c r="O163" s="2723">
        <f t="shared" si="897"/>
        <v>5.0004097017371354</v>
      </c>
      <c r="P163" s="2723">
        <f t="shared" si="897"/>
        <v>5.7279229682934858</v>
      </c>
      <c r="Q163" s="2723">
        <f t="shared" si="897"/>
        <v>5.5601688266320002</v>
      </c>
      <c r="R163" s="2723">
        <f t="shared" si="897"/>
        <v>4.9210853482446995</v>
      </c>
      <c r="S163" s="2723">
        <f t="shared" si="897"/>
        <v>5.0002351060328207</v>
      </c>
      <c r="T163" s="2723">
        <f t="shared" si="897"/>
        <v>5.5430535389208675</v>
      </c>
      <c r="U163" s="2723">
        <f t="shared" si="897"/>
        <v>5.429473910648003</v>
      </c>
      <c r="V163" s="2723">
        <f t="shared" si="897"/>
        <v>4.9210853482446995</v>
      </c>
      <c r="W163" s="2723">
        <f t="shared" si="897"/>
        <v>3.0637593154844054</v>
      </c>
      <c r="X163" s="2723">
        <f t="shared" si="897"/>
        <v>4.9210853482446995</v>
      </c>
      <c r="Y163" s="2723">
        <f t="shared" si="897"/>
        <v>4.4215056424640533</v>
      </c>
      <c r="Z163" s="2723">
        <f t="shared" si="897"/>
        <v>5.4301704447365946</v>
      </c>
      <c r="AA163" s="2723">
        <f t="shared" si="897"/>
        <v>5.0503114165165961</v>
      </c>
      <c r="AB163" s="2723">
        <f t="shared" si="897"/>
        <v>4.9210853482446995</v>
      </c>
      <c r="AC163" s="2723">
        <f t="shared" si="897"/>
        <v>5.0000505668544379</v>
      </c>
      <c r="AD163" s="2723">
        <f t="shared" si="897"/>
        <v>5.3497730158632075</v>
      </c>
      <c r="AE163" s="2723">
        <f t="shared" si="897"/>
        <v>5.0425631431244149</v>
      </c>
      <c r="AF163" s="2723">
        <f t="shared" si="897"/>
        <v>4.9210853482446995</v>
      </c>
      <c r="AG163" s="2723">
        <f t="shared" si="897"/>
        <v>3.8476140887543795</v>
      </c>
      <c r="AH163" s="2723">
        <f t="shared" si="897"/>
        <v>5.292941832782061</v>
      </c>
      <c r="AI163" s="2723">
        <f t="shared" si="897"/>
        <v>4.892398583944372</v>
      </c>
      <c r="AJ163" s="2723">
        <f t="shared" si="897"/>
        <v>4.9210853482446995</v>
      </c>
      <c r="AK163" s="2723">
        <f t="shared" si="897"/>
        <v>4.8707521415795911</v>
      </c>
      <c r="AL163" s="2723">
        <f t="shared" si="897"/>
        <v>4.9210853482446986</v>
      </c>
      <c r="AM163" s="2723">
        <f t="shared" si="897"/>
        <v>4.596496421075293</v>
      </c>
      <c r="AN163" s="2723">
        <f t="shared" si="897"/>
        <v>5.2481390295350465</v>
      </c>
      <c r="AO163" s="2723">
        <f t="shared" si="897"/>
        <v>4.8896604855581627</v>
      </c>
      <c r="AP163" s="2723">
        <f t="shared" si="897"/>
        <v>4.9210853482446995</v>
      </c>
      <c r="AQ163" s="2723">
        <f t="shared" si="897"/>
        <v>5.0007518514341562</v>
      </c>
      <c r="AR163" s="2723">
        <f t="shared" si="897"/>
        <v>5.2129713945784824</v>
      </c>
      <c r="AS163" s="2723">
        <f t="shared" si="897"/>
        <v>4.9021528797183747</v>
      </c>
      <c r="AT163" s="2723">
        <f t="shared" ref="AT163:AW163" si="898">+((AT105+AT106+AT107+AT108)/AT109)*100</f>
        <v>4.9214109660996401</v>
      </c>
      <c r="AU163" s="2723">
        <f t="shared" si="898"/>
        <v>4.4991988013235389</v>
      </c>
      <c r="AV163" s="2723">
        <f t="shared" si="898"/>
        <v>5.1871611117327667</v>
      </c>
      <c r="AW163" s="2723">
        <f t="shared" si="898"/>
        <v>4.864999179719991</v>
      </c>
      <c r="AX163" s="2723">
        <f t="shared" ref="AX163:BE163" si="899">+((AX105+AX106+AX107+AX108)/AX109)*100</f>
        <v>4.9210852485733083</v>
      </c>
      <c r="AY163" s="2723">
        <f t="shared" si="899"/>
        <v>5.4520002254833795</v>
      </c>
      <c r="AZ163" s="2723">
        <f t="shared" si="899"/>
        <v>4.9211866170521779</v>
      </c>
      <c r="BA163" s="2723">
        <f t="shared" si="899"/>
        <v>5.0001942074394394</v>
      </c>
      <c r="BB163" s="2723">
        <f t="shared" ref="BB163:BC163" si="900">+((BB105+BB106+BB107+BB108)/BB109)*100</f>
        <v>4.9211354262045885</v>
      </c>
      <c r="BC163" s="2723">
        <f t="shared" si="900"/>
        <v>4.8022248467613693</v>
      </c>
      <c r="BD163" s="2723">
        <f t="shared" si="899"/>
        <v>5.1634108523291218</v>
      </c>
      <c r="BE163" s="2723">
        <f t="shared" si="899"/>
        <v>4.9193873420586449</v>
      </c>
    </row>
    <row r="164" spans="1:57" ht="15" hidden="1" customHeight="1" x14ac:dyDescent="0.2">
      <c r="B164" s="7855" t="s">
        <v>1139</v>
      </c>
      <c r="C164" s="1542" t="s">
        <v>169</v>
      </c>
      <c r="D164" s="3213" t="e">
        <f>+#REF!/D109*100</f>
        <v>#REF!</v>
      </c>
      <c r="E164" s="3213" t="e">
        <f>+#REF!/E109*100</f>
        <v>#REF!</v>
      </c>
      <c r="F164" s="3213" t="e">
        <f>+#REF!/F109*100</f>
        <v>#REF!</v>
      </c>
      <c r="G164" s="3213" t="e">
        <f>+#REF!/G109*100</f>
        <v>#REF!</v>
      </c>
      <c r="H164" s="3213" t="e">
        <f>+#REF!/H109*100</f>
        <v>#REF!</v>
      </c>
      <c r="I164" s="3213" t="e">
        <f>+#REF!/I109*100</f>
        <v>#REF!</v>
      </c>
      <c r="J164" s="3213" t="e">
        <f>+#REF!/J109*100</f>
        <v>#REF!</v>
      </c>
      <c r="K164" s="3213" t="e">
        <f>+#REF!/K109*100</f>
        <v>#REF!</v>
      </c>
      <c r="L164" s="3213" t="e">
        <f>+#REF!/L109*100</f>
        <v>#REF!</v>
      </c>
      <c r="M164" s="3213" t="e">
        <f>+#REF!/M109*100</f>
        <v>#REF!</v>
      </c>
      <c r="N164" s="3213" t="e">
        <f>+#REF!/N109*100</f>
        <v>#REF!</v>
      </c>
      <c r="O164" s="3213" t="e">
        <f>+#REF!/O109*100</f>
        <v>#REF!</v>
      </c>
      <c r="P164" s="3213" t="e">
        <f>+#REF!/P109*100</f>
        <v>#REF!</v>
      </c>
      <c r="Q164" s="3213" t="e">
        <f>+#REF!/Q109*100</f>
        <v>#REF!</v>
      </c>
      <c r="R164" s="3213" t="e">
        <f>+#REF!/R109*100</f>
        <v>#REF!</v>
      </c>
      <c r="S164" s="3213" t="e">
        <f>+#REF!/S109*100</f>
        <v>#REF!</v>
      </c>
      <c r="T164" s="3213" t="e">
        <f>+#REF!/T109*100</f>
        <v>#REF!</v>
      </c>
      <c r="U164" s="3213" t="e">
        <f>+#REF!/U109*100</f>
        <v>#REF!</v>
      </c>
      <c r="V164" s="3213" t="e">
        <f>+#REF!/V109*100</f>
        <v>#REF!</v>
      </c>
      <c r="W164" s="3213" t="e">
        <f>+#REF!/W109*100</f>
        <v>#REF!</v>
      </c>
      <c r="X164" s="3213" t="e">
        <f>+#REF!/X109*100</f>
        <v>#REF!</v>
      </c>
      <c r="Y164" s="3213" t="e">
        <f>+#REF!/Y109*100</f>
        <v>#REF!</v>
      </c>
      <c r="Z164" s="3213" t="e">
        <f>+#REF!/Z109*100</f>
        <v>#REF!</v>
      </c>
      <c r="AA164" s="3213" t="e">
        <f>+#REF!/AA109*100</f>
        <v>#REF!</v>
      </c>
      <c r="AB164" s="3213" t="e">
        <f>+#REF!/AB109*100</f>
        <v>#REF!</v>
      </c>
      <c r="AC164" s="3213" t="e">
        <f>+#REF!/AC109*100</f>
        <v>#REF!</v>
      </c>
      <c r="AD164" s="3213" t="e">
        <f>+#REF!/AD109*100</f>
        <v>#REF!</v>
      </c>
      <c r="AE164" s="3213" t="e">
        <f>+#REF!/AE109*100</f>
        <v>#REF!</v>
      </c>
      <c r="AF164" s="3213" t="e">
        <f>+#REF!/AF109*100</f>
        <v>#REF!</v>
      </c>
      <c r="AG164" s="3213" t="e">
        <f>+#REF!/AG109*100</f>
        <v>#REF!</v>
      </c>
      <c r="AH164" s="3213" t="e">
        <f>+#REF!/AH109*100</f>
        <v>#REF!</v>
      </c>
      <c r="AI164" s="3213" t="e">
        <f>+#REF!/AI109*100</f>
        <v>#REF!</v>
      </c>
      <c r="AJ164" s="3213" t="e">
        <f>+#REF!/AJ109*100</f>
        <v>#REF!</v>
      </c>
      <c r="AK164" s="3213" t="e">
        <f>+#REF!/AK109*100</f>
        <v>#REF!</v>
      </c>
      <c r="AL164" s="3213" t="e">
        <f>+#REF!/AL109*100</f>
        <v>#REF!</v>
      </c>
      <c r="AM164" s="3213" t="e">
        <f>+#REF!/AM109*100</f>
        <v>#REF!</v>
      </c>
      <c r="AN164" s="3213" t="e">
        <f>+#REF!/AN109*100</f>
        <v>#REF!</v>
      </c>
      <c r="AO164" s="3213" t="e">
        <f>+#REF!/AO109*100</f>
        <v>#REF!</v>
      </c>
      <c r="AP164" s="3213" t="e">
        <f>+#REF!/AP109*100</f>
        <v>#REF!</v>
      </c>
      <c r="AQ164" s="3213" t="e">
        <f>+#REF!/AQ109*100</f>
        <v>#REF!</v>
      </c>
      <c r="AR164" s="3213" t="e">
        <f>+#REF!/AR109*100</f>
        <v>#REF!</v>
      </c>
      <c r="AS164" s="3213" t="e">
        <f>+#REF!/AS109*100</f>
        <v>#REF!</v>
      </c>
      <c r="AT164" s="3213" t="e">
        <f>+#REF!/AT109*100</f>
        <v>#REF!</v>
      </c>
      <c r="AU164" s="3213" t="e">
        <f>+#REF!/AU109*100</f>
        <v>#REF!</v>
      </c>
      <c r="AV164" s="3213" t="e">
        <f>+#REF!/AV109*100</f>
        <v>#REF!</v>
      </c>
      <c r="AW164" s="3213" t="e">
        <f>+#REF!/AW109*100</f>
        <v>#REF!</v>
      </c>
      <c r="AX164" s="3213" t="e">
        <f>+#REF!/AX109*100</f>
        <v>#REF!</v>
      </c>
      <c r="AY164" s="3213" t="e">
        <f>+#REF!/AY109*100</f>
        <v>#REF!</v>
      </c>
      <c r="AZ164" s="3213" t="e">
        <f>+#REF!/AZ109*100</f>
        <v>#REF!</v>
      </c>
      <c r="BA164" s="3213" t="e">
        <f>+#REF!/BA109*100</f>
        <v>#REF!</v>
      </c>
      <c r="BB164" s="3213"/>
      <c r="BC164" s="3213"/>
      <c r="BD164" s="3213" t="e">
        <f>+#REF!/BD109*100</f>
        <v>#REF!</v>
      </c>
      <c r="BE164" s="3213" t="e">
        <f>+#REF!/BE109*100</f>
        <v>#REF!</v>
      </c>
    </row>
    <row r="165" spans="1:57" s="3380" customFormat="1" ht="18" x14ac:dyDescent="0.2">
      <c r="A165" s="3379"/>
      <c r="B165" s="6788" t="s">
        <v>681</v>
      </c>
      <c r="C165" s="6789"/>
      <c r="D165" s="6772"/>
      <c r="E165" s="6773"/>
      <c r="F165" s="6772"/>
      <c r="G165" s="6790"/>
      <c r="H165" s="6791"/>
      <c r="I165" s="5648"/>
      <c r="J165" s="5645"/>
      <c r="K165" s="5648"/>
      <c r="L165" s="5645"/>
      <c r="M165" s="5648"/>
      <c r="N165" s="5645"/>
      <c r="O165" s="5648"/>
      <c r="P165" s="6791"/>
      <c r="Q165" s="5648"/>
      <c r="R165" s="5645"/>
      <c r="S165" s="5648"/>
      <c r="T165" s="6791"/>
      <c r="U165" s="5648"/>
      <c r="V165" s="5645"/>
      <c r="W165" s="5648"/>
      <c r="X165" s="5645"/>
      <c r="Y165" s="5648"/>
      <c r="Z165" s="6791"/>
      <c r="AA165" s="5648"/>
      <c r="AB165" s="5645"/>
      <c r="AC165" s="5648"/>
      <c r="AD165" s="6791"/>
      <c r="AE165" s="5648"/>
      <c r="AF165" s="5645"/>
      <c r="AG165" s="5648"/>
      <c r="AH165" s="6791"/>
      <c r="AI165" s="5648"/>
      <c r="AJ165" s="5645"/>
      <c r="AK165" s="5648"/>
      <c r="AL165" s="5645"/>
      <c r="AM165" s="5648"/>
      <c r="AN165" s="6791"/>
      <c r="AO165" s="5648"/>
      <c r="AP165" s="5645"/>
      <c r="AQ165" s="5648"/>
      <c r="AR165" s="6791"/>
      <c r="AS165" s="5648"/>
      <c r="AT165" s="5645"/>
      <c r="AU165" s="5648"/>
      <c r="AV165" s="6791"/>
      <c r="AW165" s="5648"/>
      <c r="AX165" s="5645"/>
      <c r="AY165" s="5648"/>
      <c r="AZ165" s="5645"/>
      <c r="BA165" s="5648"/>
      <c r="BB165" s="5645"/>
      <c r="BC165" s="5648"/>
      <c r="BD165" s="6791"/>
      <c r="BE165" s="5648"/>
    </row>
    <row r="166" spans="1:57" x14ac:dyDescent="0.2">
      <c r="B166" s="1531" t="s">
        <v>687</v>
      </c>
      <c r="C166" s="1545" t="s">
        <v>169</v>
      </c>
      <c r="D166" s="3224">
        <v>9</v>
      </c>
      <c r="E166" s="2723">
        <v>8.6970588235294137</v>
      </c>
      <c r="F166" s="3224">
        <v>9</v>
      </c>
      <c r="G166" s="2559">
        <v>8.7806451612903249</v>
      </c>
      <c r="H166" s="3139">
        <f>+((D166*D$109)+(F$109*F166))/H$109</f>
        <v>9</v>
      </c>
      <c r="I166" s="2807">
        <f>+((E166*E$109)+(G$109*G166))/I$109</f>
        <v>8.7388165685537462</v>
      </c>
      <c r="J166" s="2706">
        <v>9</v>
      </c>
      <c r="K166" s="2559">
        <v>8.7787234042553166</v>
      </c>
      <c r="L166" s="3140">
        <f>+((H166*H$109)+(J$109*J166))/L$109</f>
        <v>9</v>
      </c>
      <c r="M166" s="2888">
        <f>+((I166*I$109)+(K$109*K166))/M$109</f>
        <v>8.7530866383514212</v>
      </c>
      <c r="N166" s="2706">
        <v>9</v>
      </c>
      <c r="O166" s="3179">
        <v>9.1757575757575705</v>
      </c>
      <c r="P166" s="3139">
        <f>+((L166*L$109)+(N$109*N166))/P$109</f>
        <v>9</v>
      </c>
      <c r="Q166" s="2807">
        <f>+((M166*M$109)+(O$109*O166))/Q$109</f>
        <v>8.871248698634318</v>
      </c>
      <c r="R166" s="2706">
        <v>9</v>
      </c>
      <c r="S166" s="3179">
        <v>9.1591397849462375</v>
      </c>
      <c r="T166" s="3139">
        <f>+((P166*P$109)+(R$109*R166))/T$109</f>
        <v>9</v>
      </c>
      <c r="U166" s="2807">
        <f>+((Q166*Q$109)+(S$109*S166))/U$109</f>
        <v>8.9384457613470545</v>
      </c>
      <c r="V166" s="2706">
        <v>9</v>
      </c>
      <c r="W166" s="3179">
        <v>8.909999999999993</v>
      </c>
      <c r="X166" s="3140">
        <f>+((N166*N$109)+(R166*R$109)+(V$109*V166))/X$109</f>
        <v>9.0000000000000018</v>
      </c>
      <c r="Y166" s="2888">
        <f>+((O166*O$109)+(S166*S$109)+(W$109*W166))/Y$109</f>
        <v>9.0902519693406791</v>
      </c>
      <c r="Z166" s="6685">
        <f>+((T166*T$109)+(V$109*V166))/Z$109</f>
        <v>9</v>
      </c>
      <c r="AA166" s="6686">
        <f>+((U166*U$109)+(W$109*W166))/AA$109</f>
        <v>8.9338866459567736</v>
      </c>
      <c r="AB166" s="2706">
        <v>9</v>
      </c>
      <c r="AC166" s="3179">
        <v>8.8293478260869591</v>
      </c>
      <c r="AD166" s="3139">
        <f>+((Z166*Z$109)+(AB$109*AB166))/AD$109</f>
        <v>9</v>
      </c>
      <c r="AE166" s="2807">
        <f>+((AA166*AA$109)+(AC$109*AC166))/AE$109</f>
        <v>8.9177708150089909</v>
      </c>
      <c r="AF166" s="2706">
        <v>9</v>
      </c>
      <c r="AG166" s="3179">
        <v>8.6911111111111126</v>
      </c>
      <c r="AH166" s="3139">
        <f>+((AD166*AD$109)+(AF$109*AF166))/AH$109</f>
        <v>9</v>
      </c>
      <c r="AI166" s="2807">
        <f>+((AE166*AE$109)+(AG$109*AG166))/AI$109</f>
        <v>8.8892873793384659</v>
      </c>
      <c r="AJ166" s="2706">
        <v>9</v>
      </c>
      <c r="AK166" s="3179">
        <v>8.1021978021978036</v>
      </c>
      <c r="AL166" s="3140">
        <f>+((AB166*AB$109)+(AF166*AF$109)+(AJ$109*AJ166))/AL$109</f>
        <v>9</v>
      </c>
      <c r="AM166" s="2888">
        <f>+((AC166*AC$109)+(AG166*AG$109)+(AK$109*AK166))/AM$109</f>
        <v>8.5266569890719204</v>
      </c>
      <c r="AN166" s="3139">
        <f>+((AH166*AH$109)+(AJ$109*AJ166))/AN$109</f>
        <v>9.0000000000000018</v>
      </c>
      <c r="AO166" s="2807">
        <f>+((AI166*AI$109)+(AK$109*AK166))/AO$109</f>
        <v>8.7897269682255068</v>
      </c>
      <c r="AP166" s="2706">
        <v>9</v>
      </c>
      <c r="AQ166" s="3179">
        <v>8.1118279569892522</v>
      </c>
      <c r="AR166" s="3139">
        <f>+((AN166*AN$109)+(AP$109*AP166))/AR$109</f>
        <v>9.0000000000000036</v>
      </c>
      <c r="AS166" s="2807">
        <f>+((AO166*AO$109)+(AQ$109*AQ166))/AS$109</f>
        <v>8.7134961866305272</v>
      </c>
      <c r="AT166" s="2706">
        <v>9</v>
      </c>
      <c r="AU166" s="3179">
        <v>7.9726189999999999</v>
      </c>
      <c r="AV166" s="3139">
        <f>+((AR166*AR$109)+(AT$109*AT166))/AV$109</f>
        <v>9.0000000000000036</v>
      </c>
      <c r="AW166" s="2807">
        <f>+((AS166*AS$109)+(AU$109*AU166))/AW$109</f>
        <v>8.6451848573659937</v>
      </c>
      <c r="AX166" s="2706">
        <v>9</v>
      </c>
      <c r="AY166" s="3179">
        <v>7.8806450000000003</v>
      </c>
      <c r="AZ166" s="3140">
        <f>+((AP166*AP$109)+(AT166*AT$109)+(AX$109*AX166))/AZ$109</f>
        <v>9</v>
      </c>
      <c r="BA166" s="2888">
        <f>+((AQ166*AQ$109)+(AU166*AU$109)+(AY$109*AY166))/BA$109</f>
        <v>7.9888769503589092</v>
      </c>
      <c r="BB166" s="3140">
        <v>9</v>
      </c>
      <c r="BC166" s="2888">
        <f>+((AM166*AM$91)+(BA166*BA$91))/BC$91</f>
        <v>8.2605599951636517</v>
      </c>
      <c r="BD166" s="6685">
        <f>+((AV166*AV$109)+(AX$109*AX166))/BD$109</f>
        <v>9.0000000000000036</v>
      </c>
      <c r="BE166" s="6686">
        <f>+((AW166*AW$109)+(AY$109*AY166))/BE$109</f>
        <v>8.5743469633334257</v>
      </c>
    </row>
    <row r="167" spans="1:57" x14ac:dyDescent="0.2">
      <c r="B167" s="1531" t="s">
        <v>688</v>
      </c>
      <c r="C167" s="1545" t="s">
        <v>169</v>
      </c>
      <c r="D167" s="3224">
        <v>9.6</v>
      </c>
      <c r="E167" s="2723">
        <v>10.46764705882353</v>
      </c>
      <c r="F167" s="3224">
        <v>9.6</v>
      </c>
      <c r="G167" s="2559">
        <v>10.696774193548386</v>
      </c>
      <c r="H167" s="3139">
        <f t="shared" ref="H167:H168" si="901">+((D167*D$109)+(F$109*F167))/H$109</f>
        <v>9.6000000000000014</v>
      </c>
      <c r="I167" s="2807">
        <f t="shared" ref="I167:I168" si="902">+((E167*E$109)+(G$109*G167))/I$109</f>
        <v>10.582113522198972</v>
      </c>
      <c r="J167" s="2706">
        <v>9.6</v>
      </c>
      <c r="K167" s="2559">
        <v>9.940425531914892</v>
      </c>
      <c r="L167" s="3140">
        <f t="shared" ref="L167:L168" si="903">+((H167*H$109)+(J$109*J167))/L$109</f>
        <v>9.6000000000000014</v>
      </c>
      <c r="M167" s="2888">
        <f t="shared" ref="M167:M168" si="904">+((I167*I$109)+(K$109*K167))/M$109</f>
        <v>10.352655780218113</v>
      </c>
      <c r="N167" s="2706">
        <v>9.6</v>
      </c>
      <c r="O167" s="3179">
        <v>10.183333333333332</v>
      </c>
      <c r="P167" s="3139">
        <f t="shared" ref="P167:P168" si="905">+((L167*L$109)+(N$109*N167))/P$109</f>
        <v>9.6000000000000014</v>
      </c>
      <c r="Q167" s="2807">
        <f t="shared" ref="Q167:Q168" si="906">+((M167*M$109)+(O$109*O167))/Q$109</f>
        <v>10.305319927654343</v>
      </c>
      <c r="R167" s="2706">
        <v>9.6</v>
      </c>
      <c r="S167" s="3179">
        <v>10.226881720430111</v>
      </c>
      <c r="T167" s="3139">
        <f t="shared" ref="T167:U168" si="907">+((P167*P$109)+(R$109*R167))/T$109</f>
        <v>9.6000000000000014</v>
      </c>
      <c r="U167" s="2807">
        <f t="shared" si="907"/>
        <v>10.287011555563204</v>
      </c>
      <c r="V167" s="2706">
        <v>9.6</v>
      </c>
      <c r="W167" s="3179">
        <v>9.9611111111111157</v>
      </c>
      <c r="X167" s="3140">
        <f t="shared" ref="X167:X168" si="908">+((N167*N$109)+(R167*R$109)+(V$109*V167))/X$109</f>
        <v>9.6</v>
      </c>
      <c r="Y167" s="2888">
        <f t="shared" ref="Y167:Y168" si="909">+((O167*O$109)+(S167*S$109)+(W$109*W167))/Y$109</f>
        <v>10.132831479123981</v>
      </c>
      <c r="Z167" s="6685">
        <f t="shared" ref="Z167:Z168" si="910">+((T167*T$109)+(V$109*V167))/Z$109</f>
        <v>9.6</v>
      </c>
      <c r="AA167" s="6686">
        <f t="shared" ref="AA167:AA168" si="911">+((U167*U$109)+(W$109*W167))/AA$109</f>
        <v>10.234778194189179</v>
      </c>
      <c r="AB167" s="2706">
        <v>9.6</v>
      </c>
      <c r="AC167" s="3179">
        <v>10.2836956521739</v>
      </c>
      <c r="AD167" s="3139">
        <f t="shared" ref="AD167:AD168" si="912">+((Z167*Z$109)+(AB$109*AB167))/AD$109</f>
        <v>9.6</v>
      </c>
      <c r="AE167" s="2807">
        <f t="shared" ref="AE167:AE168" si="913">+((AA167*AA$109)+(AC$109*AC167))/AE$109</f>
        <v>10.242319368695059</v>
      </c>
      <c r="AF167" s="2706">
        <v>9.6</v>
      </c>
      <c r="AG167" s="3179">
        <v>10.090000000000002</v>
      </c>
      <c r="AH167" s="3139">
        <f t="shared" ref="AH167:AH168" si="914">+((AD167*AD$109)+(AF$109*AF167))/AH$109</f>
        <v>9.5999999999999979</v>
      </c>
      <c r="AI167" s="2807">
        <f t="shared" ref="AI167:AI168" si="915">+((AE167*AE$109)+(AG$109*AG167))/AI$109</f>
        <v>10.223177991268944</v>
      </c>
      <c r="AJ167" s="2706">
        <v>9.6</v>
      </c>
      <c r="AK167" s="3179">
        <v>10.117582417582424</v>
      </c>
      <c r="AL167" s="3140">
        <f t="shared" ref="AL167:AL168" si="916">+((AB167*AB$109)+(AF167*AF$109)+(AJ$109*AJ167))/AL$109</f>
        <v>9.5999999999999979</v>
      </c>
      <c r="AM167" s="2888">
        <f t="shared" ref="AM167:AM168" si="917">+((AC167*AC$109)+(AG167*AG$109)+(AK$109*AK167))/AM$109</f>
        <v>10.164277866540703</v>
      </c>
      <c r="AN167" s="3139">
        <f t="shared" ref="AN167:AN168" si="918">+((AH167*AH$109)+(AJ$109*AJ167))/AN$109</f>
        <v>9.6</v>
      </c>
      <c r="AO167" s="2807">
        <f t="shared" ref="AO167:AO168" si="919">+((AI167*AI$109)+(AK$109*AK167))/AO$109</f>
        <v>10.209821012554867</v>
      </c>
      <c r="AP167" s="2706">
        <v>9.6</v>
      </c>
      <c r="AQ167" s="3179">
        <v>10.069892473118284</v>
      </c>
      <c r="AR167" s="3139">
        <f t="shared" ref="AR167:AR168" si="920">+((AN167*AN$109)+(AP$109*AP167))/AR$109</f>
        <v>9.6</v>
      </c>
      <c r="AS167" s="2807">
        <f t="shared" ref="AS167:AS168" si="921">+((AO167*AO$109)+(AQ$109*AQ167))/AS$109</f>
        <v>10.194085834081541</v>
      </c>
      <c r="AT167" s="2706">
        <v>9.6</v>
      </c>
      <c r="AU167" s="3179">
        <v>9.9428570000000001</v>
      </c>
      <c r="AV167" s="3139">
        <f t="shared" ref="AV167:AV168" si="922">+((AR167*AR$109)+(AT$109*AT167))/AV$109</f>
        <v>9.6</v>
      </c>
      <c r="AW167" s="2807">
        <f t="shared" ref="AW167:AW168" si="923">+((AS167*AS$109)+(AU$109*AU167))/AW$109</f>
        <v>10.170921703891841</v>
      </c>
      <c r="AX167" s="2706">
        <v>9.6</v>
      </c>
      <c r="AY167" s="3179">
        <v>9.9537630000000004</v>
      </c>
      <c r="AZ167" s="3140">
        <f t="shared" ref="AZ167:AZ168" si="924">+((AP167*AP$109)+(AT167*AT$109)+(AX$109*AX167))/AZ$109</f>
        <v>9.6</v>
      </c>
      <c r="BA167" s="2888">
        <f t="shared" ref="BA167:BA168" si="925">+((AQ167*AQ$109)+(AU167*AU$109)+(AY$109*AY167))/BA$109</f>
        <v>9.9903662744075952</v>
      </c>
      <c r="BB167" s="3140">
        <v>9.6</v>
      </c>
      <c r="BC167" s="2888">
        <f t="shared" ref="BC167:BC175" si="926">+((AM167*AM$91)+(BA167*BA$91))/BC$91</f>
        <v>10.078225301288988</v>
      </c>
      <c r="BD167" s="6685">
        <f t="shared" ref="BD167:BD168" si="927">+((AV167*AV$109)+(AX$109*AX167))/BD$109</f>
        <v>9.6000000000000014</v>
      </c>
      <c r="BE167" s="6686">
        <f t="shared" ref="BE167:BE168" si="928">+((AW167*AW$109)+(AY$109*AY167))/BE$109</f>
        <v>10.15080101939602</v>
      </c>
    </row>
    <row r="168" spans="1:57" x14ac:dyDescent="0.2">
      <c r="B168" s="1531" t="s">
        <v>689</v>
      </c>
      <c r="C168" s="1545" t="s">
        <v>169</v>
      </c>
      <c r="D168" s="3224">
        <v>24.6</v>
      </c>
      <c r="E168" s="2723">
        <v>24.261764705882356</v>
      </c>
      <c r="F168" s="3224">
        <v>24.6</v>
      </c>
      <c r="G168" s="2559">
        <v>24.022580645161288</v>
      </c>
      <c r="H168" s="3139">
        <f t="shared" si="901"/>
        <v>24.6</v>
      </c>
      <c r="I168" s="2807">
        <f t="shared" si="902"/>
        <v>24.142274041629978</v>
      </c>
      <c r="J168" s="2706">
        <v>24.6</v>
      </c>
      <c r="K168" s="2559">
        <v>24.481395348837211</v>
      </c>
      <c r="L168" s="3140">
        <f t="shared" si="903"/>
        <v>24.600000000000005</v>
      </c>
      <c r="M168" s="2888">
        <f t="shared" si="904"/>
        <v>24.263538597905871</v>
      </c>
      <c r="N168" s="2706">
        <v>24.6</v>
      </c>
      <c r="O168" s="3179">
        <v>24.415151515151518</v>
      </c>
      <c r="P168" s="3139">
        <f t="shared" si="905"/>
        <v>24.600000000000009</v>
      </c>
      <c r="Q168" s="2807">
        <f t="shared" si="906"/>
        <v>24.305923567114274</v>
      </c>
      <c r="R168" s="2706">
        <v>24.6</v>
      </c>
      <c r="S168" s="3179">
        <v>25.249462365591402</v>
      </c>
      <c r="T168" s="3139">
        <f t="shared" si="907"/>
        <v>24.600000000000005</v>
      </c>
      <c r="U168" s="2807">
        <f t="shared" si="907"/>
        <v>24.526156282984026</v>
      </c>
      <c r="V168" s="2706">
        <v>24.6</v>
      </c>
      <c r="W168" s="3179">
        <v>25.164444444444442</v>
      </c>
      <c r="X168" s="3140">
        <f t="shared" si="908"/>
        <v>24.600000000000005</v>
      </c>
      <c r="Y168" s="2888">
        <f t="shared" si="909"/>
        <v>24.944058059823416</v>
      </c>
      <c r="Z168" s="6685">
        <f t="shared" si="910"/>
        <v>24.6</v>
      </c>
      <c r="AA168" s="6686">
        <f t="shared" si="911"/>
        <v>24.628457267121611</v>
      </c>
      <c r="AB168" s="2706">
        <v>24.6</v>
      </c>
      <c r="AC168" s="3179">
        <v>24.744565217391301</v>
      </c>
      <c r="AD168" s="3139">
        <f t="shared" si="912"/>
        <v>24.6</v>
      </c>
      <c r="AE168" s="2807">
        <f t="shared" si="913"/>
        <v>24.646356609208787</v>
      </c>
      <c r="AF168" s="2706">
        <v>24.6</v>
      </c>
      <c r="AG168" s="3179">
        <v>24.623333333333349</v>
      </c>
      <c r="AH168" s="3139">
        <f t="shared" si="914"/>
        <v>24.6</v>
      </c>
      <c r="AI168" s="2807">
        <f t="shared" si="915"/>
        <v>24.643463364463269</v>
      </c>
      <c r="AJ168" s="2706">
        <v>24.6</v>
      </c>
      <c r="AK168" s="3179">
        <v>24.734065934065942</v>
      </c>
      <c r="AL168" s="3140">
        <f t="shared" si="916"/>
        <v>24.6</v>
      </c>
      <c r="AM168" s="2888">
        <f t="shared" si="917"/>
        <v>24.703221430178214</v>
      </c>
      <c r="AN168" s="3139">
        <f t="shared" si="918"/>
        <v>24.600000000000005</v>
      </c>
      <c r="AO168" s="2807">
        <f t="shared" si="919"/>
        <v>24.654923850460683</v>
      </c>
      <c r="AP168" s="2706">
        <v>24.6</v>
      </c>
      <c r="AQ168" s="3179">
        <v>24.789247311827964</v>
      </c>
      <c r="AR168" s="3139">
        <f t="shared" si="920"/>
        <v>24.600000000000005</v>
      </c>
      <c r="AS168" s="2807">
        <f t="shared" si="921"/>
        <v>24.670028729324418</v>
      </c>
      <c r="AT168" s="2706">
        <v>24.6</v>
      </c>
      <c r="AU168" s="3179">
        <v>24.934524</v>
      </c>
      <c r="AV168" s="3139">
        <f t="shared" si="922"/>
        <v>24.600000000000005</v>
      </c>
      <c r="AW168" s="2807">
        <f t="shared" si="923"/>
        <v>24.69441606888633</v>
      </c>
      <c r="AX168" s="2706">
        <v>24.6</v>
      </c>
      <c r="AY168" s="3179">
        <v>24.858065</v>
      </c>
      <c r="AZ168" s="3140">
        <f t="shared" si="924"/>
        <v>24.6</v>
      </c>
      <c r="BA168" s="2888">
        <f t="shared" si="925"/>
        <v>24.858148157559661</v>
      </c>
      <c r="BB168" s="3140">
        <v>24.6</v>
      </c>
      <c r="BC168" s="2888">
        <f t="shared" si="926"/>
        <v>24.779880163237383</v>
      </c>
      <c r="BD168" s="6685">
        <f t="shared" si="927"/>
        <v>24.600000000000009</v>
      </c>
      <c r="BE168" s="6686">
        <f t="shared" si="928"/>
        <v>24.70957884363127</v>
      </c>
    </row>
    <row r="169" spans="1:57" s="3380" customFormat="1" ht="18" x14ac:dyDescent="0.2">
      <c r="A169" s="3379"/>
      <c r="B169" s="4961" t="s">
        <v>685</v>
      </c>
      <c r="C169" s="6789"/>
      <c r="D169" s="6772"/>
      <c r="E169" s="6773"/>
      <c r="F169" s="6772"/>
      <c r="G169" s="6774"/>
      <c r="H169" s="6772"/>
      <c r="I169" s="5648"/>
      <c r="J169" s="6772"/>
      <c r="K169" s="5648"/>
      <c r="L169" s="5645"/>
      <c r="M169" s="5648"/>
      <c r="N169" s="6772"/>
      <c r="O169" s="5648"/>
      <c r="P169" s="6772"/>
      <c r="Q169" s="5648"/>
      <c r="R169" s="6772"/>
      <c r="S169" s="5648"/>
      <c r="T169" s="6772"/>
      <c r="U169" s="5648"/>
      <c r="V169" s="6772"/>
      <c r="W169" s="5648"/>
      <c r="X169" s="5645"/>
      <c r="Y169" s="5648"/>
      <c r="Z169" s="6772"/>
      <c r="AA169" s="5648"/>
      <c r="AB169" s="6772"/>
      <c r="AC169" s="5648"/>
      <c r="AD169" s="6772"/>
      <c r="AE169" s="5648"/>
      <c r="AF169" s="6772"/>
      <c r="AG169" s="5648"/>
      <c r="AH169" s="6772"/>
      <c r="AI169" s="5648"/>
      <c r="AJ169" s="6772"/>
      <c r="AK169" s="5648"/>
      <c r="AL169" s="5645"/>
      <c r="AM169" s="5648"/>
      <c r="AN169" s="6772"/>
      <c r="AO169" s="5648"/>
      <c r="AP169" s="6772"/>
      <c r="AQ169" s="5648"/>
      <c r="AR169" s="6772"/>
      <c r="AS169" s="5648"/>
      <c r="AT169" s="6772"/>
      <c r="AU169" s="5648"/>
      <c r="AV169" s="6772"/>
      <c r="AW169" s="5648"/>
      <c r="AX169" s="6772"/>
      <c r="AY169" s="5648"/>
      <c r="AZ169" s="5645"/>
      <c r="BA169" s="5648"/>
      <c r="BB169" s="5645"/>
      <c r="BC169" s="5648"/>
      <c r="BD169" s="6772"/>
      <c r="BE169" s="5648"/>
    </row>
    <row r="170" spans="1:57" x14ac:dyDescent="0.2">
      <c r="B170" s="1531" t="s">
        <v>690</v>
      </c>
      <c r="C170" s="1545" t="s">
        <v>169</v>
      </c>
      <c r="D170" s="3436">
        <v>1</v>
      </c>
      <c r="E170" s="2723">
        <v>0.8705617977528094</v>
      </c>
      <c r="F170" s="3436">
        <v>1</v>
      </c>
      <c r="G170" s="2559">
        <v>0.88827956989247336</v>
      </c>
      <c r="H170" s="3139">
        <f>+((D170*D$18)+(F$18*F170))/H$18</f>
        <v>1</v>
      </c>
      <c r="I170" s="2807">
        <f>+((E170*E$18)+(G$18*G170))/I$18</f>
        <v>0.87944405227011857</v>
      </c>
      <c r="J170" s="2706">
        <v>1</v>
      </c>
      <c r="K170" s="2559">
        <v>0.90407865168539314</v>
      </c>
      <c r="L170" s="3140">
        <f>+((H170*H$18)+(J$18*J170))/L$18</f>
        <v>1</v>
      </c>
      <c r="M170" s="2888">
        <f>+((I170*I$18)+(K$18*K170))/M$18</f>
        <v>0.88833387661850549</v>
      </c>
      <c r="N170" s="2706">
        <v>1</v>
      </c>
      <c r="O170" s="3179">
        <v>0.90935483870967737</v>
      </c>
      <c r="P170" s="3139">
        <f>+((L170*L$18)+(N$18*N170))/P$18</f>
        <v>1</v>
      </c>
      <c r="Q170" s="2807">
        <f>+((M170*M$18)+(O$18*O170))/Q$18</f>
        <v>0.8942547988719266</v>
      </c>
      <c r="R170" s="2706">
        <v>1</v>
      </c>
      <c r="S170" s="3179">
        <v>0.88730337078651667</v>
      </c>
      <c r="T170" s="3139">
        <f>+((P170*P$18)+(R$18*R170))/T$18</f>
        <v>1</v>
      </c>
      <c r="U170" s="2807">
        <f>+((Q170*Q$18)+(S$18*S170))/U$18</f>
        <v>0.89260777451755013</v>
      </c>
      <c r="V170" s="2706">
        <v>1</v>
      </c>
      <c r="W170" s="3179">
        <v>0.86788888888888915</v>
      </c>
      <c r="X170" s="3140">
        <f>+((N170*N$18)+(R170*R$18)+(V$18*V170))/X$18</f>
        <v>1</v>
      </c>
      <c r="Y170" s="2888">
        <f>+((O170*O$18)+(S170*S$18)+(W$18*W170))/Y$18</f>
        <v>0.88868529839883503</v>
      </c>
      <c r="Z170" s="6685">
        <f>+((T170*T$18)+(V$18*V170))/Z$18</f>
        <v>1</v>
      </c>
      <c r="AA170" s="6686">
        <f>+((U170*U$18)+(W$18*W170))/AA$18</f>
        <v>0.88852449138704215</v>
      </c>
      <c r="AB170" s="2706">
        <v>1</v>
      </c>
      <c r="AC170" s="3179">
        <v>0.87129032258064498</v>
      </c>
      <c r="AD170" s="3139">
        <f>+((Z170*Z$18)+(AB$18*AB170))/AD$18</f>
        <v>1</v>
      </c>
      <c r="AE170" s="2807">
        <f>+((AA170*AA$18)+(AC$18*AC170))/AE$18</f>
        <v>0.88579612715035716</v>
      </c>
      <c r="AF170" s="2706">
        <v>1</v>
      </c>
      <c r="AG170" s="3179">
        <v>0.87244444444444436</v>
      </c>
      <c r="AH170" s="3139">
        <f>+((AD170*AD$18)+(AF$18*AF170))/AH$18</f>
        <v>1</v>
      </c>
      <c r="AI170" s="2807">
        <f>+((AE170*AE$18)+(AG$18*AG170))/AI$18</f>
        <v>0.88409019274835077</v>
      </c>
      <c r="AJ170" s="2706">
        <v>1</v>
      </c>
      <c r="AK170" s="3179">
        <v>0.8696703296703292</v>
      </c>
      <c r="AL170" s="3140">
        <f>+((AB170*AB$18)+(AF170*AF$18)+(AJ$18*AJ170))/AL$18</f>
        <v>1</v>
      </c>
      <c r="AM170" s="2888">
        <f>+((AC170*AC$18)+(AG170*AG$18)+(AK$18*AK170))/AM$18</f>
        <v>0.87107517439500781</v>
      </c>
      <c r="AN170" s="3139">
        <f>+((AH170*AH$18)+(AJ$18*AJ170))/AN$18</f>
        <v>1</v>
      </c>
      <c r="AO170" s="2807">
        <f>+((AI170*AI$18)+(AK$18*AK170))/AO$18</f>
        <v>0.88225661121049181</v>
      </c>
      <c r="AP170" s="2706">
        <v>1</v>
      </c>
      <c r="AQ170" s="3179">
        <v>0.858279569892473</v>
      </c>
      <c r="AR170" s="3139">
        <f>+((AN170*AN$18)+(AP$18*AP170))/AR$18</f>
        <v>1</v>
      </c>
      <c r="AS170" s="2807">
        <f>+((AO170*AO$18)+(AQ$18*AQ170))/AS$18</f>
        <v>0.87955037221564347</v>
      </c>
      <c r="AT170" s="2706">
        <v>1</v>
      </c>
      <c r="AU170" s="3179">
        <v>0.86368999999999996</v>
      </c>
      <c r="AV170" s="3139">
        <f>+((AR170*AR$18)+(AT$18*AT170))/AV$18</f>
        <v>1</v>
      </c>
      <c r="AW170" s="2807">
        <f>+((AS170*AS$18)+(AU$18*AU170))/AW$18</f>
        <v>0.87807247259282317</v>
      </c>
      <c r="AX170" s="2706">
        <v>1</v>
      </c>
      <c r="AY170" s="3179">
        <v>0.85569899999999999</v>
      </c>
      <c r="AZ170" s="3140">
        <f>+((AP170*AP$18)+(AT170*AT$18)+(AX$18*AX170))/AZ$18</f>
        <v>1</v>
      </c>
      <c r="BA170" s="2888">
        <f>+((AQ170*AQ$18)+(AU170*AU$18)+(AY$18*AY170))/BA$18</f>
        <v>0.85904829197670707</v>
      </c>
      <c r="BB170" s="3140">
        <v>1</v>
      </c>
      <c r="BC170" s="2888">
        <f t="shared" si="926"/>
        <v>0.86512419624926462</v>
      </c>
      <c r="BD170" s="6685">
        <f>+((AV170*AV$18)+(AX$18*AX170))/BD$18</f>
        <v>1</v>
      </c>
      <c r="BE170" s="6686">
        <f>+((AW170*AW$18)+(AY$18*AY170))/BE$18</f>
        <v>0.87593463104813485</v>
      </c>
    </row>
    <row r="171" spans="1:57" x14ac:dyDescent="0.2">
      <c r="B171" s="1531" t="s">
        <v>691</v>
      </c>
      <c r="C171" s="1545" t="s">
        <v>169</v>
      </c>
      <c r="D171" s="3436" t="s">
        <v>1909</v>
      </c>
      <c r="E171" s="2723">
        <v>14.128089887640451</v>
      </c>
      <c r="F171" s="3436" t="s">
        <v>1909</v>
      </c>
      <c r="G171" s="2559">
        <v>14.201075268817203</v>
      </c>
      <c r="H171" s="2976" t="s">
        <v>1909</v>
      </c>
      <c r="I171" s="2807">
        <f t="shared" ref="I171:I175" si="929">+((E171*E$18)+(G$18*G171))/I$18</f>
        <v>14.164678840616288</v>
      </c>
      <c r="J171" s="2706" t="s">
        <v>1909</v>
      </c>
      <c r="K171" s="2559">
        <v>14.033707865168543</v>
      </c>
      <c r="L171" s="2554" t="s">
        <v>1909</v>
      </c>
      <c r="M171" s="2888">
        <f t="shared" ref="M171:M173" si="930">+((I171*I$18)+(K$18*K171))/M$18</f>
        <v>14.117415682533618</v>
      </c>
      <c r="N171" s="2706" t="s">
        <v>1909</v>
      </c>
      <c r="O171" s="3179">
        <v>14.051612903225804</v>
      </c>
      <c r="P171" s="2976" t="s">
        <v>1909</v>
      </c>
      <c r="Q171" s="2807">
        <f t="shared" ref="Q171:Q173" si="931">+((M171*M$18)+(O$18*O171))/Q$18</f>
        <v>14.098881176898207</v>
      </c>
      <c r="R171" s="2706" t="s">
        <v>1909</v>
      </c>
      <c r="S171" s="3179">
        <v>14.105617977528096</v>
      </c>
      <c r="T171" s="2976" t="s">
        <v>1909</v>
      </c>
      <c r="U171" s="2807">
        <f t="shared" ref="U171:U173" si="932">+((Q171*Q$18)+(S$18*S171))/U$18</f>
        <v>14.100477348874909</v>
      </c>
      <c r="V171" s="2706" t="s">
        <v>1909</v>
      </c>
      <c r="W171" s="3179">
        <v>13.948888888888883</v>
      </c>
      <c r="X171" s="2554" t="s">
        <v>1909</v>
      </c>
      <c r="Y171" s="2888">
        <f>+((O171*O$18)+(S171*S$18)+(W$18*W171))/Y$18</f>
        <v>14.040022138610697</v>
      </c>
      <c r="Z171" s="6717" t="s">
        <v>1909</v>
      </c>
      <c r="AA171" s="6686">
        <f t="shared" ref="AA171:AA173" si="933">+((U171*U$18)+(W$18*W171))/AA$18</f>
        <v>14.075436632608843</v>
      </c>
      <c r="AB171" s="2706" t="s">
        <v>1909</v>
      </c>
      <c r="AC171" s="3179">
        <v>14.089247311828</v>
      </c>
      <c r="AD171" s="2976" t="s">
        <v>1909</v>
      </c>
      <c r="AE171" s="2807">
        <f t="shared" ref="AE171:AE173" si="934">+((AA171*AA$18)+(AC$18*AC171))/AE$18</f>
        <v>14.077623019645502</v>
      </c>
      <c r="AF171" s="2706" t="s">
        <v>1909</v>
      </c>
      <c r="AG171" s="3179">
        <v>14.037444444444448</v>
      </c>
      <c r="AH171" s="2976" t="s">
        <v>1909</v>
      </c>
      <c r="AI171" s="2807">
        <f t="shared" ref="AI171:AI173" si="935">+((AE171*AE$18)+(AG$18*AG171))/AI$18</f>
        <v>14.072489433477465</v>
      </c>
      <c r="AJ171" s="2706" t="s">
        <v>1909</v>
      </c>
      <c r="AK171" s="3179">
        <v>13.93626373626374</v>
      </c>
      <c r="AL171" s="2554" t="s">
        <v>1909</v>
      </c>
      <c r="AM171" s="2888">
        <f>+((AC171*AC$18)+(AG171*AG$18)+(AK$18*AK171))/AM$18</f>
        <v>14.019008663726407</v>
      </c>
      <c r="AN171" s="2976" t="s">
        <v>1909</v>
      </c>
      <c r="AO171" s="2807">
        <f t="shared" ref="AO171:AO173" si="936">+((AI171*AI$18)+(AK$18*AK171))/AO$18</f>
        <v>14.055167429652494</v>
      </c>
      <c r="AP171" s="2706" t="s">
        <v>1909</v>
      </c>
      <c r="AQ171" s="3179">
        <v>13.815053763440858</v>
      </c>
      <c r="AR171" s="2976" t="s">
        <v>1909</v>
      </c>
      <c r="AS171" s="2807">
        <f t="shared" ref="AS171:AS173" si="937">+((AO171*AO$18)+(AQ$18*AQ171))/AS$18</f>
        <v>14.02806629744526</v>
      </c>
      <c r="AT171" s="2706" t="s">
        <v>1909</v>
      </c>
      <c r="AU171" s="3179">
        <v>13.803571</v>
      </c>
      <c r="AV171" s="2976" t="s">
        <v>1909</v>
      </c>
      <c r="AW171" s="2807">
        <f t="shared" ref="AW171:AW173" si="938">+((AS171*AS$18)+(AU$18*AU171))/AW$18</f>
        <v>14.007147399016631</v>
      </c>
      <c r="AX171" s="2706" t="s">
        <v>1909</v>
      </c>
      <c r="AY171" s="3179">
        <v>13.801075000000001</v>
      </c>
      <c r="AZ171" s="2554" t="s">
        <v>1909</v>
      </c>
      <c r="BA171" s="2888">
        <f>+((AQ171*AQ$18)+(AU171*AU$18)+(AY$18*AY171))/BA$18</f>
        <v>13.806597671339992</v>
      </c>
      <c r="BB171" s="2554" t="s">
        <v>1909</v>
      </c>
      <c r="BC171" s="2888">
        <f t="shared" si="926"/>
        <v>13.913906349623481</v>
      </c>
      <c r="BD171" s="6717" t="s">
        <v>1909</v>
      </c>
      <c r="BE171" s="6686">
        <f t="shared" ref="BE171:BE173" si="939">+((AW171*AW$18)+(AY$18*AY171))/BE$18</f>
        <v>13.987456663302558</v>
      </c>
    </row>
    <row r="172" spans="1:57" x14ac:dyDescent="0.2">
      <c r="B172" s="1531" t="s">
        <v>692</v>
      </c>
      <c r="C172" s="1545" t="s">
        <v>169</v>
      </c>
      <c r="D172" s="3436">
        <v>86.5</v>
      </c>
      <c r="E172" s="2723">
        <v>88.093548387096774</v>
      </c>
      <c r="F172" s="3436">
        <v>86.5</v>
      </c>
      <c r="G172" s="2559">
        <v>87.76935483870966</v>
      </c>
      <c r="H172" s="3139">
        <f t="shared" ref="H172:H175" si="940">+((D172*D$18)+(F$18*F172))/H$18</f>
        <v>86.5</v>
      </c>
      <c r="I172" s="2807">
        <f t="shared" si="929"/>
        <v>87.931024025289602</v>
      </c>
      <c r="J172" s="2706">
        <v>86.5</v>
      </c>
      <c r="K172" s="2559">
        <v>88.173913043478279</v>
      </c>
      <c r="L172" s="3140">
        <f t="shared" ref="L172:L175" si="941">+((H172*H$18)+(J$18*J172))/L$18</f>
        <v>86.5</v>
      </c>
      <c r="M172" s="2888">
        <f t="shared" si="930"/>
        <v>88.018674758774267</v>
      </c>
      <c r="N172" s="2706">
        <v>86.5</v>
      </c>
      <c r="O172" s="3179">
        <v>87.945454545454524</v>
      </c>
      <c r="P172" s="3139">
        <f t="shared" ref="P172:P175" si="942">+((L172*L$18)+(N$18*N172))/P$18</f>
        <v>86.5</v>
      </c>
      <c r="Q172" s="2807">
        <f t="shared" si="931"/>
        <v>87.998051002898364</v>
      </c>
      <c r="R172" s="2706">
        <v>86.5</v>
      </c>
      <c r="S172" s="3179">
        <v>88.264062499999966</v>
      </c>
      <c r="T172" s="3139">
        <f t="shared" ref="T172:T175" si="943">+((P172*P$18)+(R$18*R172))/T$18</f>
        <v>86.5</v>
      </c>
      <c r="U172" s="2807">
        <f t="shared" si="932"/>
        <v>88.061077967845321</v>
      </c>
      <c r="V172" s="2706">
        <v>86.5</v>
      </c>
      <c r="W172" s="3179">
        <v>88.822727272727263</v>
      </c>
      <c r="X172" s="3140">
        <f>+((N172*N$18)+(R172*R$18)+(V$18*V172))/X$18</f>
        <v>86.5</v>
      </c>
      <c r="Y172" s="2888">
        <f>+((O172*O$18)+(S172*S$18)+(W$18*W172))/Y$18</f>
        <v>88.328807453455426</v>
      </c>
      <c r="Z172" s="6685">
        <f t="shared" ref="Z172:Z175" si="944">+((T172*T$18)+(V$18*V172))/Z$18</f>
        <v>86.500000000000014</v>
      </c>
      <c r="AA172" s="6686">
        <f t="shared" si="933"/>
        <v>88.186893904886659</v>
      </c>
      <c r="AB172" s="2706">
        <v>86.5</v>
      </c>
      <c r="AC172" s="3179">
        <v>88.328787878787907</v>
      </c>
      <c r="AD172" s="3139">
        <f t="shared" ref="AD172:AD175" si="945">+((Z172*Z$18)+(AB$18*AB172))/AD$18</f>
        <v>86.500000000000014</v>
      </c>
      <c r="AE172" s="2807">
        <f t="shared" si="934"/>
        <v>88.209357329037957</v>
      </c>
      <c r="AF172" s="2706">
        <v>86.5</v>
      </c>
      <c r="AG172" s="3179">
        <v>88.753125000000011</v>
      </c>
      <c r="AH172" s="3139">
        <f t="shared" ref="AH172:AH175" si="946">+((AD172*AD$18)+(AF$18*AF172))/AH$18</f>
        <v>86.500000000000014</v>
      </c>
      <c r="AI172" s="2807">
        <f t="shared" si="935"/>
        <v>88.278834113127672</v>
      </c>
      <c r="AJ172" s="2706">
        <v>86.5</v>
      </c>
      <c r="AK172" s="3179">
        <v>89.069696969696977</v>
      </c>
      <c r="AL172" s="3140">
        <f>+((AB172*AB$18)+(AF172*AF$18)+(AJ$18*AJ172))/AL$18</f>
        <v>86.5</v>
      </c>
      <c r="AM172" s="2888">
        <f>+((AC172*AC$18)+(AG172*AG$18)+(AK$18*AK172))/AM$18</f>
        <v>88.722809986157628</v>
      </c>
      <c r="AN172" s="3139">
        <f t="shared" ref="AN172:AN175" si="947">+((AH172*AH$18)+(AJ$18*AJ172))/AN$18</f>
        <v>86.500000000000014</v>
      </c>
      <c r="AO172" s="2807">
        <f t="shared" si="936"/>
        <v>88.379397587616822</v>
      </c>
      <c r="AP172" s="2706">
        <v>86.5</v>
      </c>
      <c r="AQ172" s="3179">
        <v>89.788888888888906</v>
      </c>
      <c r="AR172" s="3139">
        <f t="shared" ref="AR172:AR175" si="948">+((AN172*AN$18)+(AP$18*AP172))/AR$18</f>
        <v>86.5</v>
      </c>
      <c r="AS172" s="2807">
        <f t="shared" si="937"/>
        <v>88.538483951601847</v>
      </c>
      <c r="AT172" s="2706">
        <v>86.5</v>
      </c>
      <c r="AU172" s="3179">
        <v>89.098213999999999</v>
      </c>
      <c r="AV172" s="3139">
        <f t="shared" ref="AV172:AV175" si="949">+((AR172*AR$18)+(AT$18*AT172))/AV$18</f>
        <v>86.5</v>
      </c>
      <c r="AW172" s="2807">
        <f t="shared" si="938"/>
        <v>88.590640661177233</v>
      </c>
      <c r="AX172" s="2706">
        <v>86.5</v>
      </c>
      <c r="AY172" s="3179">
        <v>88.641935000000004</v>
      </c>
      <c r="AZ172" s="3140">
        <f>+((AP172*AP$18)+(AT172*AT$18)+(AX$18*AX172))/AZ$18</f>
        <v>86.499999999999986</v>
      </c>
      <c r="BA172" s="2888">
        <f>+((AQ172*AQ$18)+(AU172*AU$18)+(AY$18*AY172))/BA$18</f>
        <v>89.172874878463219</v>
      </c>
      <c r="BB172" s="3140">
        <v>86.5</v>
      </c>
      <c r="BC172" s="2888">
        <f t="shared" si="926"/>
        <v>88.945504966047125</v>
      </c>
      <c r="BD172" s="6685">
        <f t="shared" ref="BD172:BD175" si="950">+((AV172*AV$18)+(AX$18*AX172))/BD$18</f>
        <v>86.499999999999986</v>
      </c>
      <c r="BE172" s="6686">
        <f t="shared" si="939"/>
        <v>88.595541964186296</v>
      </c>
    </row>
    <row r="173" spans="1:57" x14ac:dyDescent="0.2">
      <c r="B173" s="1531" t="s">
        <v>693</v>
      </c>
      <c r="C173" s="1545" t="s">
        <v>169</v>
      </c>
      <c r="D173" s="3436">
        <v>6.2</v>
      </c>
      <c r="E173" s="2723">
        <v>6.5129032258064532</v>
      </c>
      <c r="F173" s="3436">
        <v>6.2</v>
      </c>
      <c r="G173" s="2559">
        <v>6.8</v>
      </c>
      <c r="H173" s="3139">
        <f t="shared" si="940"/>
        <v>6.1999999999999993</v>
      </c>
      <c r="I173" s="2807">
        <f t="shared" si="929"/>
        <v>6.6568302725809652</v>
      </c>
      <c r="J173" s="2706">
        <v>6.2</v>
      </c>
      <c r="K173" s="2559">
        <v>6.5942028985507228</v>
      </c>
      <c r="L173" s="3140">
        <f t="shared" si="941"/>
        <v>6.2</v>
      </c>
      <c r="M173" s="2888">
        <f t="shared" si="930"/>
        <v>6.6342300936560195</v>
      </c>
      <c r="N173" s="2706">
        <v>6.2</v>
      </c>
      <c r="O173" s="3179">
        <v>6.4333333333333336</v>
      </c>
      <c r="P173" s="3139">
        <f t="shared" si="942"/>
        <v>6.1999999999999993</v>
      </c>
      <c r="Q173" s="2807">
        <f t="shared" si="931"/>
        <v>6.5776440014650088</v>
      </c>
      <c r="R173" s="2706">
        <v>6.2</v>
      </c>
      <c r="S173" s="3179">
        <v>6.3374999999999995</v>
      </c>
      <c r="T173" s="3139">
        <f t="shared" si="943"/>
        <v>6.2</v>
      </c>
      <c r="U173" s="2807">
        <f t="shared" si="932"/>
        <v>6.5207459059786421</v>
      </c>
      <c r="V173" s="2706">
        <v>6.2</v>
      </c>
      <c r="W173" s="3179">
        <v>6.1393939393939405</v>
      </c>
      <c r="X173" s="3140">
        <f>+((N173*N$18)+(R173*R$18)+(V$18*V173))/X$18</f>
        <v>6.2</v>
      </c>
      <c r="Y173" s="2888">
        <f>+((O173*O$18)+(S173*S$18)+(W$18*W173))/Y$18</f>
        <v>6.3088688578671555</v>
      </c>
      <c r="Z173" s="6685">
        <f t="shared" si="944"/>
        <v>6.2000000000000011</v>
      </c>
      <c r="AA173" s="6686">
        <f t="shared" si="933"/>
        <v>6.4577508310657237</v>
      </c>
      <c r="AB173" s="2706">
        <v>6.2</v>
      </c>
      <c r="AC173" s="3179">
        <v>6.2878787878787898</v>
      </c>
      <c r="AD173" s="3139">
        <f t="shared" si="945"/>
        <v>6.2</v>
      </c>
      <c r="AE173" s="2807">
        <f t="shared" si="934"/>
        <v>6.4308581614713649</v>
      </c>
      <c r="AF173" s="2706">
        <v>6.2</v>
      </c>
      <c r="AG173" s="3179">
        <v>6.0468750000000009</v>
      </c>
      <c r="AH173" s="3139">
        <f t="shared" si="946"/>
        <v>6.2</v>
      </c>
      <c r="AI173" s="2807">
        <f t="shared" si="935"/>
        <v>6.3817969233208318</v>
      </c>
      <c r="AJ173" s="2706">
        <v>6.2</v>
      </c>
      <c r="AK173" s="3179">
        <v>5.9590909090909054</v>
      </c>
      <c r="AL173" s="3140">
        <f>+((AB173*AB$18)+(AF173*AF$18)+(AJ$18*AJ173))/AL$18</f>
        <v>6.2</v>
      </c>
      <c r="AM173" s="2888">
        <f>+((AC173*AC$18)+(AG173*AG$18)+(AK$18*AK173))/AM$18</f>
        <v>6.0966650278426755</v>
      </c>
      <c r="AN173" s="3139">
        <f t="shared" si="947"/>
        <v>6.2</v>
      </c>
      <c r="AO173" s="2807">
        <f t="shared" si="936"/>
        <v>6.3280470409925265</v>
      </c>
      <c r="AP173" s="2706">
        <v>6.2</v>
      </c>
      <c r="AQ173" s="3179">
        <v>5.753968253968254</v>
      </c>
      <c r="AR173" s="3139">
        <f t="shared" si="948"/>
        <v>6.2</v>
      </c>
      <c r="AS173" s="2807">
        <f t="shared" si="937"/>
        <v>6.2632519572724679</v>
      </c>
      <c r="AT173" s="2706">
        <v>6.2</v>
      </c>
      <c r="AU173" s="3179">
        <v>5.9625000000000004</v>
      </c>
      <c r="AV173" s="3139">
        <f t="shared" si="949"/>
        <v>6.2000000000000011</v>
      </c>
      <c r="AW173" s="2807">
        <f t="shared" si="938"/>
        <v>6.2352273183691596</v>
      </c>
      <c r="AX173" s="2706">
        <v>6.2</v>
      </c>
      <c r="AY173" s="3179">
        <v>6.0338710000000004</v>
      </c>
      <c r="AZ173" s="3140">
        <f>+((AP173*AP$18)+(AT173*AT$18)+(AX$18*AX173))/AZ$18</f>
        <v>6.2</v>
      </c>
      <c r="BA173" s="2888">
        <f>+((AQ173*AQ$18)+(AU173*AU$18)+(AY$18*AY173))/BA$18</f>
        <v>5.916669573085116</v>
      </c>
      <c r="BB173" s="3140">
        <v>6.2</v>
      </c>
      <c r="BC173" s="2888">
        <f t="shared" si="926"/>
        <v>6.0076021285525467</v>
      </c>
      <c r="BD173" s="6685">
        <f t="shared" si="950"/>
        <v>6.2000000000000011</v>
      </c>
      <c r="BE173" s="6686">
        <f t="shared" si="939"/>
        <v>6.2159872160153959</v>
      </c>
    </row>
    <row r="174" spans="1:57" x14ac:dyDescent="0.2">
      <c r="B174" s="1531" t="s">
        <v>694</v>
      </c>
      <c r="C174" s="1545" t="s">
        <v>169</v>
      </c>
      <c r="D174" s="3436">
        <v>66</v>
      </c>
      <c r="E174" s="2723">
        <v>66.049999999999983</v>
      </c>
      <c r="F174" s="3436">
        <v>66</v>
      </c>
      <c r="G174" s="2559">
        <v>65.907692307692315</v>
      </c>
      <c r="H174" s="3139">
        <f t="shared" si="940"/>
        <v>66</v>
      </c>
      <c r="I174" s="2807">
        <f>+((E174*E$18)+(G$18*G174))/I$18</f>
        <v>65.978658460393106</v>
      </c>
      <c r="J174" s="2706">
        <v>66</v>
      </c>
      <c r="K174" s="2559">
        <v>66.391666666666666</v>
      </c>
      <c r="L174" s="3140">
        <f t="shared" si="941"/>
        <v>66</v>
      </c>
      <c r="M174" s="2888">
        <f>+((I174*I$18)+(K$18*K174))/M$18</f>
        <v>66.127699666475721</v>
      </c>
      <c r="N174" s="2706">
        <v>66</v>
      </c>
      <c r="O174" s="3179">
        <v>66.285714285714292</v>
      </c>
      <c r="P174" s="3139">
        <f t="shared" si="942"/>
        <v>66.000000000000014</v>
      </c>
      <c r="Q174" s="2807">
        <f>+((M174*M$18)+(O$18*O174))/Q$18</f>
        <v>66.172207252349182</v>
      </c>
      <c r="R174" s="2706">
        <v>66</v>
      </c>
      <c r="S174" s="3179">
        <v>66.349999999999994</v>
      </c>
      <c r="T174" s="3139">
        <f t="shared" si="943"/>
        <v>66.000000000000028</v>
      </c>
      <c r="U174" s="2807">
        <f>+((Q174*Q$18)+(S$18*S174))/U$18</f>
        <v>66.214332263471263</v>
      </c>
      <c r="V174" s="2706">
        <v>66</v>
      </c>
      <c r="W174" s="3179">
        <v>66.684615384615398</v>
      </c>
      <c r="X174" s="3140">
        <f>+((N174*N$18)+(R174*R$18)+(V$18*V174))/X$18</f>
        <v>66</v>
      </c>
      <c r="Y174" s="2888">
        <f>+((O174*O$18)+(S174*S$18)+(W$18*W174))/Y$18</f>
        <v>66.430640307959749</v>
      </c>
      <c r="Z174" s="6685">
        <f t="shared" si="944"/>
        <v>66.000000000000028</v>
      </c>
      <c r="AA174" s="6686">
        <f>+((U174*U$18)+(W$18*W174))/AA$18</f>
        <v>66.292017769362502</v>
      </c>
      <c r="AB174" s="2706">
        <v>66</v>
      </c>
      <c r="AC174" s="3179">
        <v>66.337500000000006</v>
      </c>
      <c r="AD174" s="3139">
        <f t="shared" si="945"/>
        <v>66.000000000000014</v>
      </c>
      <c r="AE174" s="2807">
        <f>+((AA174*AA$18)+(AC$18*AC174))/AE$18</f>
        <v>66.299218121921996</v>
      </c>
      <c r="AF174" s="2706">
        <v>66</v>
      </c>
      <c r="AG174" s="3179">
        <v>66.899999999999991</v>
      </c>
      <c r="AH174" s="3139">
        <f t="shared" si="946"/>
        <v>66.000000000000014</v>
      </c>
      <c r="AI174" s="2807">
        <f>+((AE174*AE$18)+(AG$18*AG174))/AI$18</f>
        <v>66.37597956813741</v>
      </c>
      <c r="AJ174" s="2706">
        <v>66</v>
      </c>
      <c r="AK174" s="3179">
        <v>66.609999999999985</v>
      </c>
      <c r="AL174" s="3140">
        <f>+((AB174*AB$18)+(AF174*AF$18)+(AJ$18*AJ174))/AL$18</f>
        <v>66</v>
      </c>
      <c r="AM174" s="2888">
        <f>+((AC174*AC$18)+(AG174*AG$18)+(AK$18*AK174))/AM$18</f>
        <v>66.608603243600484</v>
      </c>
      <c r="AN174" s="3139">
        <f t="shared" si="947"/>
        <v>66</v>
      </c>
      <c r="AO174" s="2807">
        <f>+((AI174*AI$18)+(AK$18*AK174))/AO$18</f>
        <v>66.405736823183688</v>
      </c>
      <c r="AP174" s="2706">
        <v>66</v>
      </c>
      <c r="AQ174" s="3179">
        <v>67.024999999999991</v>
      </c>
      <c r="AR174" s="3139">
        <f t="shared" si="948"/>
        <v>66</v>
      </c>
      <c r="AS174" s="2807">
        <f>+((AO174*AO$18)+(AQ$18*AQ174))/AS$18</f>
        <v>66.47563177539844</v>
      </c>
      <c r="AT174" s="2706">
        <v>66</v>
      </c>
      <c r="AU174" s="3179">
        <v>66.599999999999994</v>
      </c>
      <c r="AV174" s="3139">
        <f t="shared" si="949"/>
        <v>66</v>
      </c>
      <c r="AW174" s="2807">
        <f>+((AS174*AS$18)+(AU$18*AU174))/AW$18</f>
        <v>66.487220642906124</v>
      </c>
      <c r="AX174" s="2706">
        <v>66</v>
      </c>
      <c r="AY174" s="3179">
        <v>66.25</v>
      </c>
      <c r="AZ174" s="3140">
        <f>+((AP174*AP$18)+(AT174*AT$18)+(AX$18*AX174))/AZ$18</f>
        <v>65.999999999999986</v>
      </c>
      <c r="BA174" s="2888">
        <f>+((AQ174*AQ$18)+(AU174*AU$18)+(AY$18*AY174))/BA$18</f>
        <v>66.621656333686161</v>
      </c>
      <c r="BB174" s="3140">
        <v>66</v>
      </c>
      <c r="BC174" s="2888">
        <f t="shared" si="926"/>
        <v>66.615061995846716</v>
      </c>
      <c r="BD174" s="6685">
        <f t="shared" si="950"/>
        <v>66</v>
      </c>
      <c r="BE174" s="6686">
        <f>+((AW174*AW$18)+(AY$18*AY174))/BE$18</f>
        <v>66.464553614193505</v>
      </c>
    </row>
    <row r="175" spans="1:57" x14ac:dyDescent="0.2">
      <c r="B175" s="1531" t="s">
        <v>695</v>
      </c>
      <c r="C175" s="1545" t="s">
        <v>169</v>
      </c>
      <c r="D175" s="3436">
        <v>21</v>
      </c>
      <c r="E175" s="2723">
        <v>20.12</v>
      </c>
      <c r="F175" s="3436">
        <v>21</v>
      </c>
      <c r="G175" s="2559">
        <v>20.576923076923077</v>
      </c>
      <c r="H175" s="3139">
        <f t="shared" si="940"/>
        <v>21</v>
      </c>
      <c r="I175" s="2807">
        <f t="shared" si="929"/>
        <v>20.349064186629722</v>
      </c>
      <c r="J175" s="2706">
        <v>21</v>
      </c>
      <c r="K175" s="2559">
        <v>20.291666666666668</v>
      </c>
      <c r="L175" s="3140">
        <f t="shared" si="941"/>
        <v>21</v>
      </c>
      <c r="M175" s="2888">
        <f t="shared" ref="M175" si="951">+((I175*I$18)+(K$18*K175))/M$18</f>
        <v>20.328351291652094</v>
      </c>
      <c r="N175" s="2706">
        <v>21</v>
      </c>
      <c r="O175" s="3179">
        <v>20.650000000000002</v>
      </c>
      <c r="P175" s="3139">
        <f t="shared" si="942"/>
        <v>21</v>
      </c>
      <c r="Q175" s="2807">
        <f t="shared" ref="Q175" si="952">+((M175*M$18)+(O$18*O175))/Q$18</f>
        <v>20.418949285539398</v>
      </c>
      <c r="R175" s="2706">
        <v>21</v>
      </c>
      <c r="S175" s="3179">
        <v>19.807142857142857</v>
      </c>
      <c r="T175" s="3139">
        <f t="shared" si="943"/>
        <v>21.000000000000004</v>
      </c>
      <c r="U175" s="2807">
        <f t="shared" ref="U175" si="953">+((Q175*Q$18)+(S$18*S175))/U$18</f>
        <v>20.273992008365219</v>
      </c>
      <c r="V175" s="2706">
        <v>21</v>
      </c>
      <c r="W175" s="3179">
        <v>19.584615384615383</v>
      </c>
      <c r="X175" s="3140">
        <f>+((N175*N$18)+(R175*R$18)+(V$18*V175))/X$18</f>
        <v>21</v>
      </c>
      <c r="Y175" s="2888">
        <f>+((O175*O$18)+(S175*S$18)+(W$18*W175))/Y$18</f>
        <v>20.018186450593216</v>
      </c>
      <c r="Z175" s="6685">
        <f t="shared" si="944"/>
        <v>21.000000000000004</v>
      </c>
      <c r="AA175" s="6686">
        <f t="shared" ref="AA175" si="954">+((U175*U$18)+(W$18*W175))/AA$18</f>
        <v>20.160114709015591</v>
      </c>
      <c r="AB175" s="2706">
        <v>21</v>
      </c>
      <c r="AC175" s="3179">
        <v>19.837499999999999</v>
      </c>
      <c r="AD175" s="3139">
        <f t="shared" si="945"/>
        <v>21</v>
      </c>
      <c r="AE175" s="2807">
        <f t="shared" ref="AE175" si="955">+((AA175*AA$18)+(AC$18*AC175))/AE$18</f>
        <v>20.109041144389721</v>
      </c>
      <c r="AF175" s="2706">
        <v>21</v>
      </c>
      <c r="AG175" s="3179">
        <v>19.7</v>
      </c>
      <c r="AH175" s="3139">
        <f t="shared" si="946"/>
        <v>21.000000000000004</v>
      </c>
      <c r="AI175" s="2807">
        <f t="shared" ref="AI175" si="956">+((AE175*AE$18)+(AG$18*AG175))/AI$18</f>
        <v>20.05677826671203</v>
      </c>
      <c r="AJ175" s="2706">
        <v>21</v>
      </c>
      <c r="AK175" s="3179">
        <v>19.79</v>
      </c>
      <c r="AL175" s="3140">
        <f>+((AB175*AB$18)+(AF175*AF$18)+(AJ$18*AJ175))/AL$18</f>
        <v>21</v>
      </c>
      <c r="AM175" s="2888">
        <f>+((AC175*AC$18)+(AG175*AG$18)+(AK$18*AK175))/AM$18</f>
        <v>19.777995551488345</v>
      </c>
      <c r="AN175" s="3139">
        <f t="shared" si="947"/>
        <v>21</v>
      </c>
      <c r="AO175" s="2807">
        <f t="shared" ref="AO175" si="957">+((AI175*AI$18)+(AK$18*AK175))/AO$18</f>
        <v>20.0228556349992</v>
      </c>
      <c r="AP175" s="2706">
        <v>21</v>
      </c>
      <c r="AQ175" s="3179">
        <v>19.649999999999999</v>
      </c>
      <c r="AR175" s="3139">
        <f t="shared" si="948"/>
        <v>21</v>
      </c>
      <c r="AS175" s="2807">
        <f t="shared" ref="AS175" si="958">+((AO175*AO$18)+(AQ$18*AQ175))/AS$18</f>
        <v>19.980772191696062</v>
      </c>
      <c r="AT175" s="2706">
        <v>21</v>
      </c>
      <c r="AU175" s="3179">
        <v>19.963636000000001</v>
      </c>
      <c r="AV175" s="3139">
        <f t="shared" si="949"/>
        <v>21</v>
      </c>
      <c r="AW175" s="2807">
        <f t="shared" ref="AW175" si="959">+((AS175*AS$18)+(AU$18*AU175))/AW$18</f>
        <v>19.979175408789594</v>
      </c>
      <c r="AX175" s="2706">
        <v>21</v>
      </c>
      <c r="AY175" s="3179">
        <v>20.641667000000002</v>
      </c>
      <c r="AZ175" s="3140">
        <f>+((AP175*AP$18)+(AT175*AT$18)+(AX$18*AX175))/AZ$18</f>
        <v>21</v>
      </c>
      <c r="BA175" s="2888">
        <f>+((AQ175*AQ$18)+(AU175*AU$18)+(AY$18*AY175))/BA$18</f>
        <v>20.094890895803559</v>
      </c>
      <c r="BB175" s="3140">
        <v>21</v>
      </c>
      <c r="BC175" s="2888">
        <f t="shared" si="926"/>
        <v>19.934797389480707</v>
      </c>
      <c r="BD175" s="6685">
        <f t="shared" si="950"/>
        <v>21</v>
      </c>
      <c r="BE175" s="6686">
        <f t="shared" ref="BE175" si="960">+((AW175*AW$18)+(AY$18*AY175))/BE$18</f>
        <v>20.042478145582923</v>
      </c>
    </row>
    <row r="176" spans="1:57" s="3380" customFormat="1" x14ac:dyDescent="0.2">
      <c r="A176" s="3379"/>
      <c r="B176" s="6792" t="s">
        <v>24</v>
      </c>
      <c r="C176" s="6793"/>
      <c r="D176" s="6794"/>
      <c r="E176" s="6795"/>
      <c r="F176" s="6794"/>
      <c r="G176" s="6796"/>
      <c r="H176" s="6794"/>
      <c r="I176" s="6232"/>
      <c r="J176" s="5283"/>
      <c r="K176" s="6232"/>
      <c r="L176" s="5283"/>
      <c r="M176" s="6232"/>
      <c r="N176" s="5283"/>
      <c r="O176" s="6232"/>
      <c r="P176" s="6794"/>
      <c r="Q176" s="6232"/>
      <c r="R176" s="5283"/>
      <c r="S176" s="6232"/>
      <c r="T176" s="6794"/>
      <c r="U176" s="6232"/>
      <c r="V176" s="5283"/>
      <c r="W176" s="6232"/>
      <c r="X176" s="5283"/>
      <c r="Y176" s="6232"/>
      <c r="Z176" s="6794"/>
      <c r="AA176" s="6232"/>
      <c r="AB176" s="5283"/>
      <c r="AC176" s="6232"/>
      <c r="AD176" s="6794"/>
      <c r="AE176" s="6232"/>
      <c r="AF176" s="5283"/>
      <c r="AG176" s="6232"/>
      <c r="AH176" s="6794"/>
      <c r="AI176" s="6232"/>
      <c r="AJ176" s="5283"/>
      <c r="AK176" s="6232"/>
      <c r="AL176" s="5283"/>
      <c r="AM176" s="6232"/>
      <c r="AN176" s="6794"/>
      <c r="AO176" s="6232"/>
      <c r="AP176" s="5283"/>
      <c r="AQ176" s="6232"/>
      <c r="AR176" s="6794"/>
      <c r="AS176" s="6232"/>
      <c r="AT176" s="5283"/>
      <c r="AU176" s="6232"/>
      <c r="AV176" s="6794"/>
      <c r="AW176" s="6232"/>
      <c r="AX176" s="5283"/>
      <c r="AY176" s="6232"/>
      <c r="AZ176" s="5283"/>
      <c r="BA176" s="6232"/>
      <c r="BB176" s="5283"/>
      <c r="BC176" s="6232"/>
      <c r="BD176" s="6794"/>
      <c r="BE176" s="6232"/>
    </row>
    <row r="177" spans="1:57" x14ac:dyDescent="0.2">
      <c r="B177" s="1534" t="s">
        <v>705</v>
      </c>
      <c r="C177" s="1545" t="s">
        <v>700</v>
      </c>
      <c r="D177" s="3442">
        <f>+(D178*D14)/1000000</f>
        <v>26.274000000000001</v>
      </c>
      <c r="E177" s="4149">
        <v>26.274000000000001</v>
      </c>
      <c r="F177" s="3442">
        <f>+(F178*F14)/1000000</f>
        <v>25.478169999999999</v>
      </c>
      <c r="G177" s="6022">
        <f>25478.17/1000</f>
        <v>25.478169999999999</v>
      </c>
      <c r="H177" s="2975">
        <f>+D177+F177</f>
        <v>51.75217</v>
      </c>
      <c r="I177" s="2337">
        <f>+E177+G177</f>
        <v>51.75217</v>
      </c>
      <c r="J177" s="3442">
        <f>+(J178*J14)/1000000</f>
        <v>27.836565000000004</v>
      </c>
      <c r="K177" s="5818">
        <v>28.123000000000001</v>
      </c>
      <c r="L177" s="3067">
        <f>+H177+J177</f>
        <v>79.588735</v>
      </c>
      <c r="M177" s="2252">
        <f>+I177+K177</f>
        <v>79.875169999999997</v>
      </c>
      <c r="N177" s="3442">
        <f>+(N178*N14)/1000000</f>
        <v>32.921163000000007</v>
      </c>
      <c r="O177" s="5818">
        <v>30.715</v>
      </c>
      <c r="P177" s="2975">
        <f>+L177+N177</f>
        <v>112.50989800000001</v>
      </c>
      <c r="Q177" s="2337">
        <f>+M177+O177</f>
        <v>110.59017</v>
      </c>
      <c r="R177" s="3442">
        <f>+(R178*R14)/1000000</f>
        <v>32.921163000000007</v>
      </c>
      <c r="S177" s="5818">
        <v>33.558</v>
      </c>
      <c r="T177" s="2975">
        <f>+P177+R177</f>
        <v>145.431061</v>
      </c>
      <c r="U177" s="2337">
        <f>+Q177+S177</f>
        <v>144.14816999999999</v>
      </c>
      <c r="V177" s="3442">
        <f>+(V178*V14)/1000000</f>
        <v>31.859190000000005</v>
      </c>
      <c r="W177" s="5818">
        <v>26.73</v>
      </c>
      <c r="X177" s="3067">
        <f>+N177+R177+V177</f>
        <v>97.701516000000026</v>
      </c>
      <c r="Y177" s="6767">
        <f>+O177+S177+W177</f>
        <v>91.003</v>
      </c>
      <c r="Z177" s="6687">
        <f>+T177+V177</f>
        <v>177.29025100000001</v>
      </c>
      <c r="AA177" s="6688">
        <f>+U177+W177</f>
        <v>170.87816999999998</v>
      </c>
      <c r="AB177" s="3442">
        <f>+(AB178*AB14)/1000000</f>
        <v>32.921163000000007</v>
      </c>
      <c r="AC177" s="5818">
        <v>29.664999999999999</v>
      </c>
      <c r="AD177" s="2975">
        <f>+Z177+AB177</f>
        <v>210.21141400000002</v>
      </c>
      <c r="AE177" s="2337">
        <f>+AA177+AC177</f>
        <v>200.54316999999998</v>
      </c>
      <c r="AF177" s="3442">
        <f>+(AF178*AF14)/1000000</f>
        <v>31.859190000000005</v>
      </c>
      <c r="AG177" s="5818">
        <v>28.282</v>
      </c>
      <c r="AH177" s="2975">
        <f>+AD177+AF177</f>
        <v>242.07060400000003</v>
      </c>
      <c r="AI177" s="2337">
        <f>+AE177+AG177</f>
        <v>228.82516999999999</v>
      </c>
      <c r="AJ177" s="3442">
        <f>+(AJ178*AJ14)/1000000</f>
        <v>32.921163000000007</v>
      </c>
      <c r="AK177" s="5818">
        <v>32.902000000000001</v>
      </c>
      <c r="AL177" s="3067">
        <f>+AB177+AF177+AJ177</f>
        <v>97.701516000000026</v>
      </c>
      <c r="AM177" s="6767">
        <f>+AC177+AG177+AK177</f>
        <v>90.849000000000004</v>
      </c>
      <c r="AN177" s="2975">
        <f>+AH177+AJ177</f>
        <v>274.99176700000004</v>
      </c>
      <c r="AO177" s="2337">
        <f>+AI177+AK177</f>
        <v>261.72717</v>
      </c>
      <c r="AP177" s="3442">
        <f>+(AP178*AP14)/1000000</f>
        <v>32.921163000000007</v>
      </c>
      <c r="AQ177" s="6223">
        <v>33.636000000000003</v>
      </c>
      <c r="AR177" s="2975">
        <f>+AN177+AP177</f>
        <v>307.91293000000007</v>
      </c>
      <c r="AS177" s="2337">
        <f>+AO177+AQ177</f>
        <v>295.36317000000003</v>
      </c>
      <c r="AT177" s="3442">
        <f>+(AT178*AT14)/1000000</f>
        <v>29.735244000000005</v>
      </c>
      <c r="AU177" s="6223">
        <v>29.782</v>
      </c>
      <c r="AV177" s="2975">
        <f>+AR177+AT177</f>
        <v>337.6481740000001</v>
      </c>
      <c r="AW177" s="2337">
        <f>+AS177+AU177</f>
        <v>325.14517000000001</v>
      </c>
      <c r="AX177" s="3442">
        <f>+(AX178*AX14)/1000000</f>
        <v>32.921163000000007</v>
      </c>
      <c r="AY177" s="6223">
        <v>32.813000000000002</v>
      </c>
      <c r="AZ177" s="3067">
        <f>+AP177+AT177+AX177</f>
        <v>95.577570000000023</v>
      </c>
      <c r="BA177" s="6767">
        <f>+AQ177+AU177+AY177</f>
        <v>96.231000000000009</v>
      </c>
      <c r="BB177" s="3067">
        <f>+AL177+AZ177</f>
        <v>193.27908600000006</v>
      </c>
      <c r="BC177" s="6767">
        <f>+AM177+BA177</f>
        <v>187.08</v>
      </c>
      <c r="BD177" s="6687">
        <f>+AV177+AX177</f>
        <v>370.56933700000013</v>
      </c>
      <c r="BE177" s="6688">
        <f>+AW177+AY177</f>
        <v>357.95817</v>
      </c>
    </row>
    <row r="178" spans="1:57" x14ac:dyDescent="0.2">
      <c r="B178" s="1535" t="s">
        <v>706</v>
      </c>
      <c r="C178" s="1545" t="s">
        <v>701</v>
      </c>
      <c r="D178" s="4811">
        <v>356.95386866450696</v>
      </c>
      <c r="E178" s="5600">
        <f>+(E177*1000000)/E14</f>
        <v>356.95386866450696</v>
      </c>
      <c r="F178" s="4811">
        <v>346.73635461101975</v>
      </c>
      <c r="G178" s="3111">
        <f>+(G177*1000000)/G14</f>
        <v>346.73635461101975</v>
      </c>
      <c r="H178" s="4809">
        <f>+(H177*1000000)/H14</f>
        <v>351.8494949556756</v>
      </c>
      <c r="I178" s="2103">
        <f>+(I177*1000000)/I14</f>
        <v>351.8494949556756</v>
      </c>
      <c r="J178" s="4811">
        <v>340</v>
      </c>
      <c r="K178" s="3111">
        <f>+(K177*1000000)/K14</f>
        <v>343.49856025698568</v>
      </c>
      <c r="L178" s="4792">
        <f>+(L177*1000000)/L14</f>
        <v>347.6122840682595</v>
      </c>
      <c r="M178" s="3112">
        <f>+(M177*1000000)/M14</f>
        <v>348.86331946399855</v>
      </c>
      <c r="N178" s="4811">
        <v>340</v>
      </c>
      <c r="O178" s="6933">
        <f>+(O177*1000000)/O14</f>
        <v>345.71522475147674</v>
      </c>
      <c r="P178" s="4809">
        <f>+(P177*1000000)/P14</f>
        <v>345.34983008748395</v>
      </c>
      <c r="Q178" s="2103">
        <f>+(Q177*1000000)/Q14</f>
        <v>347.98324056888674</v>
      </c>
      <c r="R178" s="4811">
        <v>340</v>
      </c>
      <c r="S178" s="6933">
        <f>+(S177*1000000)/S14</f>
        <v>346.80306746786118</v>
      </c>
      <c r="T178" s="4809">
        <f>+(T177*1000000)/T14</f>
        <v>344.12410193978047</v>
      </c>
      <c r="U178" s="2103">
        <f>+(U177*1000000)/U14</f>
        <v>347.70777703000965</v>
      </c>
      <c r="V178" s="4811">
        <v>340</v>
      </c>
      <c r="W178" s="6933">
        <f>+(W177*1000000)/W14</f>
        <v>337.80965885394949</v>
      </c>
      <c r="X178" s="4792">
        <f>+(X177*1000000)/X14</f>
        <v>340.00000000000006</v>
      </c>
      <c r="Y178" s="3112">
        <f>+(Y177*1000000)/Y14</f>
        <v>343.74993507684349</v>
      </c>
      <c r="Z178" s="6519">
        <f>+(Z177*1000000)/Z14</f>
        <v>343.37563980955446</v>
      </c>
      <c r="AA178" s="6723">
        <f>+(AA177*1000000)/AA14</f>
        <v>346.12134551252751</v>
      </c>
      <c r="AB178" s="4811">
        <v>340</v>
      </c>
      <c r="AC178" s="6933">
        <f>+(AC177*1000000)/AC14</f>
        <v>329.68217593570171</v>
      </c>
      <c r="AD178" s="4809">
        <f>+(AD177*1000000)/AD14</f>
        <v>342.84256177232481</v>
      </c>
      <c r="AE178" s="2103">
        <f>+(AE177*1000000)/AE14</f>
        <v>343.58704758641363</v>
      </c>
      <c r="AF178" s="4811">
        <v>340</v>
      </c>
      <c r="AG178" s="6933">
        <f>+(AG177*1000000)/AG14</f>
        <v>337.1261314472452</v>
      </c>
      <c r="AH178" s="4809">
        <f>+(AH177*1000000)/AH14</f>
        <v>342.46573582768076</v>
      </c>
      <c r="AI178" s="2103">
        <f>+(AI177*1000000)/AI14</f>
        <v>342.77511998992765</v>
      </c>
      <c r="AJ178" s="4811">
        <v>340</v>
      </c>
      <c r="AK178" s="6933">
        <f>+(AK177*1000000)/AK14</f>
        <v>340.35659755123658</v>
      </c>
      <c r="AL178" s="4792">
        <f>+(AL177*1000000)/AL14</f>
        <v>340.00000000000006</v>
      </c>
      <c r="AM178" s="3112">
        <f>+(AM177*1000000)/AM14</f>
        <v>335.80461389898954</v>
      </c>
      <c r="AN178" s="4809">
        <f>+(AN177*1000000)/AN14</f>
        <v>342.16866272065954</v>
      </c>
      <c r="AO178" s="2103">
        <f>+(AO177*1000000)/AO14</f>
        <v>342.46919781876181</v>
      </c>
      <c r="AP178" s="4811">
        <v>340</v>
      </c>
      <c r="AQ178" s="6933">
        <f>+(AQ177*1000000)/AQ14</f>
        <v>347.38262436232884</v>
      </c>
      <c r="AR178" s="4809">
        <f>+(AR177*1000000)/AR14</f>
        <v>341.93547563181841</v>
      </c>
      <c r="AS178" s="2103">
        <f>+(AS177*1000000)/AS14</f>
        <v>343.02171526204955</v>
      </c>
      <c r="AT178" s="4811">
        <v>340</v>
      </c>
      <c r="AU178" s="6933">
        <f>+(AU177*1000000)/AU14</f>
        <v>340.53461945696489</v>
      </c>
      <c r="AV178" s="4809">
        <f>+(AV177*1000000)/AV14</f>
        <v>341.76414209246224</v>
      </c>
      <c r="AW178" s="2103">
        <f>+(AW177*1000000)/AW14</f>
        <v>342.79239682233111</v>
      </c>
      <c r="AX178" s="4811">
        <v>340</v>
      </c>
      <c r="AY178" s="6933">
        <f>+(AY177*1000000)/AY14</f>
        <v>338.77253932282662</v>
      </c>
      <c r="AZ178" s="4792">
        <f>+(AZ177*1000000)/AZ14</f>
        <v>340.00000000000011</v>
      </c>
      <c r="BA178" s="3112">
        <f>+(BA177*1000000)/BA14</f>
        <v>342.28604365657856</v>
      </c>
      <c r="BB178" s="4792">
        <f>+(BB177*1000000)/BB39</f>
        <v>20788.661306275833</v>
      </c>
      <c r="BC178" s="3112">
        <f>+(BC177*1000000)/BC39</f>
        <v>20348.938391924818</v>
      </c>
      <c r="BD178" s="6519">
        <f>+(BD177*1000000)/BD14</f>
        <v>341.60667613307049</v>
      </c>
      <c r="BE178" s="6723">
        <f>+(BE177*1000000)/BE14</f>
        <v>342.41994065876867</v>
      </c>
    </row>
    <row r="179" spans="1:57" x14ac:dyDescent="0.2">
      <c r="B179" s="1534" t="s">
        <v>707</v>
      </c>
      <c r="C179" s="1545" t="s">
        <v>702</v>
      </c>
      <c r="D179" s="3229"/>
      <c r="E179" s="4406">
        <v>4271.3</v>
      </c>
      <c r="F179" s="3229"/>
      <c r="G179" s="1646">
        <v>4272.2</v>
      </c>
      <c r="H179" s="4809"/>
      <c r="I179" s="1823">
        <f>+((E179*E177)+(G177*G179))/I177</f>
        <v>4271.7430800293014</v>
      </c>
      <c r="J179" s="3229"/>
      <c r="K179" s="1646">
        <v>4267.3999999999996</v>
      </c>
      <c r="L179" s="4792"/>
      <c r="M179" s="2011">
        <f>+((I179*I177)+(K177*K179))/M177</f>
        <v>4270.2139384992861</v>
      </c>
      <c r="N179" s="3229"/>
      <c r="O179" s="3918">
        <v>4271.3</v>
      </c>
      <c r="P179" s="4809"/>
      <c r="Q179" s="1823">
        <f>+((M179*M177)+(O177*O179))/Q177</f>
        <v>4270.5155781386356</v>
      </c>
      <c r="R179" s="3229"/>
      <c r="S179" s="3918">
        <v>4272.8999999999996</v>
      </c>
      <c r="T179" s="4809"/>
      <c r="U179" s="1823">
        <f>+((Q179*Q177)+(S177*S179))/U177</f>
        <v>4271.0706766100466</v>
      </c>
      <c r="V179" s="3229"/>
      <c r="W179" s="3918">
        <v>4271</v>
      </c>
      <c r="X179" s="4792"/>
      <c r="Y179" s="2011">
        <f>+((O179*O177)+(S179*S177)+(W177*W179))/Y177</f>
        <v>4271.8018933441763</v>
      </c>
      <c r="Z179" s="6519"/>
      <c r="AA179" s="6531">
        <f>+((U179*U177)+(W177*W179))/AA177</f>
        <v>4271.0596208632151</v>
      </c>
      <c r="AB179" s="3229"/>
      <c r="AC179" s="3918">
        <v>4269.8</v>
      </c>
      <c r="AD179" s="4809"/>
      <c r="AE179" s="1823">
        <f>+((AA179*AA177)+(AC177*AC179))/AE177</f>
        <v>4270.87329363548</v>
      </c>
      <c r="AF179" s="3229"/>
      <c r="AG179" s="3918">
        <v>4268.67</v>
      </c>
      <c r="AH179" s="4809"/>
      <c r="AI179" s="1823">
        <f>+((AE179*AE177)+(AG177*AG179))/AI177</f>
        <v>4270.6009741585676</v>
      </c>
      <c r="AJ179" s="3229"/>
      <c r="AK179" s="3918">
        <v>4267.2</v>
      </c>
      <c r="AL179" s="4792"/>
      <c r="AM179" s="2011">
        <f>+((AC179*AC177)+(AG179*AG177)+(AK177*AK179))/AM177</f>
        <v>4268.5066026043214</v>
      </c>
      <c r="AN179" s="4809"/>
      <c r="AO179" s="1823">
        <f>+((AI179*AI177)+(AK177*AK179))/AO177</f>
        <v>4270.173434091691</v>
      </c>
      <c r="AP179" s="3229"/>
      <c r="AQ179" s="3918">
        <v>4266.3</v>
      </c>
      <c r="AR179" s="4809"/>
      <c r="AS179" s="1823">
        <f>+((AO179*AO177)+(AQ177*AQ179))/AS177</f>
        <v>4269.7323268639075</v>
      </c>
      <c r="AT179" s="3229"/>
      <c r="AU179" s="3918">
        <f>+AU153</f>
        <v>4263.7</v>
      </c>
      <c r="AV179" s="4809"/>
      <c r="AW179" s="1823">
        <f>+((AS179*AS177)+(AU177*AU179))/AW177</f>
        <v>4269.1797897966626</v>
      </c>
      <c r="AX179" s="3229"/>
      <c r="AY179" s="3918">
        <v>4267.3999999999996</v>
      </c>
      <c r="AZ179" s="4792"/>
      <c r="BA179" s="2011">
        <f>+((AQ179*AQ177)+(AU179*AU177)+(AY177*AY179))/BA177</f>
        <v>4265.8704201348837</v>
      </c>
      <c r="BB179" s="4792"/>
      <c r="BC179" s="2011">
        <f>+EMD!BE32</f>
        <v>0</v>
      </c>
      <c r="BD179" s="6519"/>
      <c r="BE179" s="6531">
        <f>+((AW179*AW177)+(AY177*AY179))/BE177</f>
        <v>4269.0166415645726</v>
      </c>
    </row>
    <row r="180" spans="1:57" x14ac:dyDescent="0.2">
      <c r="B180" s="1534" t="s">
        <v>1284</v>
      </c>
      <c r="C180" s="1545" t="s">
        <v>797</v>
      </c>
      <c r="D180" s="3231"/>
      <c r="E180" s="3851">
        <f>+(7184.88)/(24*E2)</f>
        <v>9.979000000000001</v>
      </c>
      <c r="F180" s="3231"/>
      <c r="G180" s="3851">
        <f>+(7086)/(24*G2)</f>
        <v>9.5241935483870961</v>
      </c>
      <c r="H180" s="2796">
        <f>+((D180*D$2)+(F180*F$2))/H$2</f>
        <v>0</v>
      </c>
      <c r="I180" s="2068">
        <f>+((E180*E$2)+(G180*G$2))/I$2</f>
        <v>9.7478688524590158</v>
      </c>
      <c r="J180" s="3231"/>
      <c r="K180" s="3851">
        <f>+(5699.5)/(24*K2)</f>
        <v>7.915972222222222</v>
      </c>
      <c r="L180" s="3054">
        <f t="shared" ref="L180:M181" si="961">+((H180*H$2)+(J180*J$2))/L$2</f>
        <v>0</v>
      </c>
      <c r="M180" s="6039">
        <f t="shared" si="961"/>
        <v>9.1439468864468854</v>
      </c>
      <c r="N180" s="3231"/>
      <c r="O180" s="3851">
        <f>+(5527.44)/(24*O2)</f>
        <v>7.4293548387096768</v>
      </c>
      <c r="P180" s="2796">
        <f t="shared" ref="P180:Q181" si="962">+((L180*L$2)+(N180*N$2))/P$2</f>
        <v>0</v>
      </c>
      <c r="Q180" s="2068">
        <f t="shared" si="962"/>
        <v>8.7082718579234957</v>
      </c>
      <c r="R180" s="3231"/>
      <c r="S180" s="3851">
        <f>+(8401.2)/(24*S2)</f>
        <v>11.291935483870969</v>
      </c>
      <c r="T180" s="2796">
        <f t="shared" ref="T180:T181" si="963">+((P180*P$2)+(R180*R$2))/T$2</f>
        <v>0</v>
      </c>
      <c r="U180" s="2068">
        <f t="shared" ref="U180:U181" si="964">+((Q180*Q$2)+(S180*S$2))/U$2</f>
        <v>9.2317592592592579</v>
      </c>
      <c r="V180" s="3231"/>
      <c r="W180" s="3851">
        <f>+(7251.8)/(24*W2)</f>
        <v>10.071944444444444</v>
      </c>
      <c r="X180" s="3054">
        <f>+((N180*N$2)+(R180*R$2)+(V180*V$2))/X$2</f>
        <v>0</v>
      </c>
      <c r="Y180" s="6039">
        <f>+((O180*O$2)+(S180*S$2)+(W180*W$2))/Y$2</f>
        <v>9.5925905797101443</v>
      </c>
      <c r="Z180" s="6638">
        <f t="shared" ref="Z180:Z181" si="965">+((T180*T$2)+(V180*V$2))/Z$2</f>
        <v>0</v>
      </c>
      <c r="AA180" s="6639">
        <f t="shared" ref="AA180:AA181" si="966">+((U180*U$2)+(W180*W$2))/AA$2</f>
        <v>9.3694945355191255</v>
      </c>
      <c r="AB180" s="3231"/>
      <c r="AC180" s="3851">
        <f>+(8196.24)/(24*AC2)</f>
        <v>11.016451612903225</v>
      </c>
      <c r="AD180" s="2796">
        <f t="shared" ref="AD180:AD181" si="967">+((Z180*Z$2)+(AB180*AB$2))/AD$2</f>
        <v>0</v>
      </c>
      <c r="AE180" s="2068">
        <f t="shared" ref="AE180:AE181" si="968">+((AA180*AA$2)+(AC180*AC$2))/AE$2</f>
        <v>9.6080724299065423</v>
      </c>
      <c r="AF180" s="3231"/>
      <c r="AG180" s="3851">
        <f>+(5441.28)/(24*AG2)</f>
        <v>7.5573333333333332</v>
      </c>
      <c r="AH180" s="2796">
        <f t="shared" ref="AH180:AH181" si="969">+((AD180*AD$2)+(AF180*AF$2))/AH$2</f>
        <v>0</v>
      </c>
      <c r="AI180" s="2068">
        <f t="shared" ref="AI180:AI181" si="970">+((AE180*AE$2)+(AG180*AG$2))/AI$2</f>
        <v>9.3559323770491805</v>
      </c>
      <c r="AJ180" s="3231"/>
      <c r="AK180" s="3851">
        <f>+(7941.36)/(24*AK2)</f>
        <v>10.673870967741935</v>
      </c>
      <c r="AL180" s="3054">
        <f>+((AB180*AB$2)+(AF180*AF$2)+(AJ180*AJ$2))/AL$2</f>
        <v>0</v>
      </c>
      <c r="AM180" s="6039">
        <f>+((AC180*AC$2)+(AG180*AG$2)+(AK180*AK$2))/AM$2</f>
        <v>9.7730434782608704</v>
      </c>
      <c r="AN180" s="2796">
        <f t="shared" ref="AN180:AN181" si="971">+((AH180*AH$2)+(AJ180*AJ$2))/AN$2</f>
        <v>0</v>
      </c>
      <c r="AO180" s="2068">
        <f t="shared" ref="AO180:AO181" si="972">+((AI180*AI$2)+(AK180*AK$2))/AO$2</f>
        <v>9.5044999999999984</v>
      </c>
      <c r="AP180" s="3231"/>
      <c r="AQ180" s="4146">
        <f>+(7978.56)/(24*AQ2)</f>
        <v>10.723870967741936</v>
      </c>
      <c r="AR180" s="2796">
        <f t="shared" ref="AR180:AR181" si="973">+((AN180*AN$2)+(AP180*AP$2))/AR$2</f>
        <v>0</v>
      </c>
      <c r="AS180" s="2068">
        <f t="shared" ref="AS180:AS181" si="974">+((AO180*AO$2)+(AQ180*AQ$2))/AS$2</f>
        <v>9.6280310457516336</v>
      </c>
      <c r="AT180" s="3231"/>
      <c r="AU180" s="4146">
        <f>+(7250.9)/(24*AU2)</f>
        <v>10.790029761904762</v>
      </c>
      <c r="AV180" s="2796">
        <f t="shared" ref="AV180:AV181" si="975">+((AR180*AR$2)+(AT180*AT$2))/AV$2</f>
        <v>0</v>
      </c>
      <c r="AW180" s="2068">
        <f t="shared" ref="AW180:AW181" si="976">+((AS180*AS$2)+(AU180*AU$2))/AW$2</f>
        <v>9.7254441117764472</v>
      </c>
      <c r="AX180" s="3231"/>
      <c r="AY180" s="4146">
        <f>+(7925)/(24*AY2)</f>
        <v>10.651881720430108</v>
      </c>
      <c r="AZ180" s="3054">
        <f>+((AP180*AP$2)+(AT180*AT$2)+(AX180*AX$2))/AZ$2</f>
        <v>0</v>
      </c>
      <c r="BA180" s="6039">
        <f>+((AQ180*AQ$2)+(AU180*AU$2)+(AY180*AY$2))/BA$2</f>
        <v>10.719657407407407</v>
      </c>
      <c r="BB180" s="3054"/>
      <c r="BC180" s="6039">
        <f t="shared" ref="BC180" si="977">+((AM180*AM$91)+(BA180*BA$91))/BC$91</f>
        <v>10.24143408930029</v>
      </c>
      <c r="BD180" s="6638">
        <f t="shared" ref="BD180:BD181" si="978">+((AV180*AV$2)+(AX180*AX$2))/BD$2</f>
        <v>0</v>
      </c>
      <c r="BE180" s="6639">
        <f t="shared" ref="BE180:BE181" si="979">+((AW180*AW$2)+(AY180*AY$2))/BE$2</f>
        <v>9.8041278538812779</v>
      </c>
    </row>
    <row r="181" spans="1:57" x14ac:dyDescent="0.2">
      <c r="B181" s="1534" t="s">
        <v>1285</v>
      </c>
      <c r="C181" s="1545" t="s">
        <v>797</v>
      </c>
      <c r="D181" s="3231"/>
      <c r="E181" s="3851">
        <f>+(26351.04)/(24*E2)</f>
        <v>36.598666666666666</v>
      </c>
      <c r="F181" s="3231"/>
      <c r="G181" s="3851">
        <f>+(28613.76)/(24*G2)</f>
        <v>38.459354838709672</v>
      </c>
      <c r="H181" s="2796">
        <f>+((D181*D$2)+(F181*F$2))/H$2</f>
        <v>0</v>
      </c>
      <c r="I181" s="2068">
        <f>+((E181*E$2)+(G181*G$2))/I$2</f>
        <v>37.544262295081964</v>
      </c>
      <c r="J181" s="3231"/>
      <c r="K181" s="3851">
        <f>+(39272.9)/(24*K2)</f>
        <v>54.545694444444443</v>
      </c>
      <c r="L181" s="3054">
        <f t="shared" si="961"/>
        <v>0</v>
      </c>
      <c r="M181" s="6039">
        <f t="shared" si="961"/>
        <v>43.149130036630034</v>
      </c>
      <c r="N181" s="3231"/>
      <c r="O181" s="3851">
        <f>+(40630.08)/(24*O2)</f>
        <v>54.61032258064516</v>
      </c>
      <c r="P181" s="2796">
        <f t="shared" si="962"/>
        <v>0</v>
      </c>
      <c r="Q181" s="2068">
        <f t="shared" si="962"/>
        <v>46.061400273224045</v>
      </c>
      <c r="R181" s="3231"/>
      <c r="S181" s="3851">
        <f>+(32126.4)/(24*S2)</f>
        <v>43.180645161290322</v>
      </c>
      <c r="T181" s="2796">
        <f t="shared" si="963"/>
        <v>0</v>
      </c>
      <c r="U181" s="2068">
        <f t="shared" si="964"/>
        <v>45.477717864923747</v>
      </c>
      <c r="V181" s="3231"/>
      <c r="W181" s="3851">
        <f>+(22955)/(24*W2)</f>
        <v>31.881944444444443</v>
      </c>
      <c r="X181" s="3054">
        <f>+((N181*N$2)+(R181*R$2)+(V181*V$2))/X$2</f>
        <v>0</v>
      </c>
      <c r="Y181" s="6039">
        <f>+((O181*O$2)+(S181*S$2)+(W181*W$2))/Y$2</f>
        <v>43.347590579710143</v>
      </c>
      <c r="Z181" s="6638">
        <f t="shared" si="965"/>
        <v>0</v>
      </c>
      <c r="AA181" s="6639">
        <f t="shared" si="966"/>
        <v>43.248902550091074</v>
      </c>
      <c r="AB181" s="3231"/>
      <c r="AC181" s="3851">
        <f>+(25983.12)/(24*AC2)</f>
        <v>34.923548387096773</v>
      </c>
      <c r="AD181" s="2796">
        <f t="shared" si="967"/>
        <v>0</v>
      </c>
      <c r="AE181" s="2068">
        <f t="shared" si="968"/>
        <v>42.042893302180687</v>
      </c>
      <c r="AF181" s="3231"/>
      <c r="AG181" s="3851">
        <f>+(32917.44)/(24*AG2)</f>
        <v>45.718666666666671</v>
      </c>
      <c r="AH181" s="2796">
        <f t="shared" si="969"/>
        <v>0</v>
      </c>
      <c r="AI181" s="2068">
        <f t="shared" si="970"/>
        <v>42.494832650273224</v>
      </c>
      <c r="AJ181" s="3231"/>
      <c r="AK181" s="3851">
        <f>+(29640)/(24*AK2)</f>
        <v>39.838709677419352</v>
      </c>
      <c r="AL181" s="3054">
        <f>+((AB181*AB$2)+(AF181*AF$2)+(AJ181*AJ$2))/AL$2</f>
        <v>0</v>
      </c>
      <c r="AM181" s="6039">
        <f>+((AC181*AC$2)+(AG181*AG$2)+(AK181*AK$2))/AM$2</f>
        <v>40.099891304347828</v>
      </c>
      <c r="AN181" s="2796">
        <f t="shared" si="971"/>
        <v>0</v>
      </c>
      <c r="AO181" s="2068">
        <f t="shared" si="972"/>
        <v>42.195415151515149</v>
      </c>
      <c r="AP181" s="3231"/>
      <c r="AQ181" s="4146">
        <f>+(32802)/(24*AQ2)</f>
        <v>44.088709677419352</v>
      </c>
      <c r="AR181" s="2796">
        <f t="shared" si="973"/>
        <v>0</v>
      </c>
      <c r="AS181" s="2068">
        <f t="shared" si="974"/>
        <v>42.387219498910675</v>
      </c>
      <c r="AT181" s="3231"/>
      <c r="AU181" s="4146">
        <f>+(30241.7)/(24*AU2)</f>
        <v>45.002529761904761</v>
      </c>
      <c r="AV181" s="2796">
        <f t="shared" si="975"/>
        <v>0</v>
      </c>
      <c r="AW181" s="2068">
        <f t="shared" si="976"/>
        <v>42.606467065868259</v>
      </c>
      <c r="AX181" s="3231"/>
      <c r="AY181" s="4146">
        <f>+(34064.4)/(24*AY2)</f>
        <v>45.785483870967745</v>
      </c>
      <c r="AZ181" s="3054">
        <f>+((AP181*AP$2)+(AT181*AT$2)+(AX181*AX$2))/AZ$2</f>
        <v>0</v>
      </c>
      <c r="BA181" s="6039">
        <f>+((AQ181*AQ$2)+(AU181*AU$2)+(AY181*AY$2))/BA$2</f>
        <v>44.957453703703706</v>
      </c>
      <c r="BB181" s="3054"/>
      <c r="BC181" s="6039">
        <f>+'POWER DISTRIBUTION'!BJ61</f>
        <v>0.3679651276255701</v>
      </c>
      <c r="BD181" s="6638">
        <f t="shared" si="978"/>
        <v>0</v>
      </c>
      <c r="BE181" s="6639">
        <f t="shared" si="979"/>
        <v>42.876465753424654</v>
      </c>
    </row>
    <row r="182" spans="1:57" x14ac:dyDescent="0.2">
      <c r="A182" s="3378">
        <v>30.467097599999999</v>
      </c>
      <c r="B182" s="1534" t="s">
        <v>2015</v>
      </c>
      <c r="C182" s="1545" t="s">
        <v>703</v>
      </c>
      <c r="D182" s="4811">
        <f>+'POWER DISTRIBUTION'!I19</f>
        <v>5090630.000000041</v>
      </c>
      <c r="E182" s="5600">
        <f>+'POWER DISTRIBUTION'!J19</f>
        <v>5090630.0000000047</v>
      </c>
      <c r="F182" s="4811">
        <f>+'POWER DISTRIBUTION'!K19</f>
        <v>4892460.0000000047</v>
      </c>
      <c r="G182" s="5600">
        <f>+'POWER DISTRIBUTION'!L19</f>
        <v>4892460.0000000009</v>
      </c>
      <c r="H182" s="4809">
        <f>+D182+F182</f>
        <v>9983090.0000000447</v>
      </c>
      <c r="I182" s="3867">
        <f>+E182+G182</f>
        <v>9983090.0000000056</v>
      </c>
      <c r="J182" s="4811">
        <f>+'POWER DISTRIBUTION'!O19</f>
        <v>5035560.0000000047</v>
      </c>
      <c r="K182" s="5600">
        <f>+'POWER DISTRIBUTION'!P19</f>
        <v>5035560.0000000056</v>
      </c>
      <c r="L182" s="2048">
        <f>+H182+J182</f>
        <v>15018650.000000048</v>
      </c>
      <c r="M182" s="3889">
        <f>+I182+K182</f>
        <v>15018650.000000011</v>
      </c>
      <c r="N182" s="4811">
        <f>+'POWER DISTRIBUTION'!S19</f>
        <v>5296434.165000001</v>
      </c>
      <c r="O182" s="5600">
        <f>+'POWER DISTRIBUTION'!T19</f>
        <v>5399159.999999986</v>
      </c>
      <c r="P182" s="4809">
        <f>+L182+N182</f>
        <v>20315084.165000051</v>
      </c>
      <c r="Q182" s="3867">
        <f>+M182+O182</f>
        <v>20417809.999999996</v>
      </c>
      <c r="R182" s="4811">
        <f>+'POWER DISTRIBUTION'!W19</f>
        <v>5296434.165000001</v>
      </c>
      <c r="S182" s="5600">
        <f>+'POWER DISTRIBUTION'!X19</f>
        <v>5242000.0000000075</v>
      </c>
      <c r="T182" s="4809">
        <f>+P182+R182</f>
        <v>25611518.33000005</v>
      </c>
      <c r="U182" s="3867">
        <f>+Q182+S182</f>
        <v>25659810.000000004</v>
      </c>
      <c r="V182" s="4811">
        <f>+'POWER DISTRIBUTION'!AA19</f>
        <v>5125581.45</v>
      </c>
      <c r="W182" s="5600">
        <f>+'POWER DISTRIBUTION'!AB19</f>
        <v>4729610.0000000037</v>
      </c>
      <c r="X182" s="6548">
        <f>+N182+R182+V182</f>
        <v>15718449.780000001</v>
      </c>
      <c r="Y182" s="2250">
        <f>+O182+S182+W182</f>
        <v>15370769.999999996</v>
      </c>
      <c r="Z182" s="6519">
        <f>+T182+V182</f>
        <v>30737099.78000005</v>
      </c>
      <c r="AA182" s="6724">
        <f>+U182+W182</f>
        <v>30389420.000000007</v>
      </c>
      <c r="AB182" s="4811">
        <f>+'POWER DISTRIBUTION'!AG19</f>
        <v>5296434.165000001</v>
      </c>
      <c r="AC182" s="5600">
        <f>+'POWER DISTRIBUTION'!AH19</f>
        <v>4898889.9999999963</v>
      </c>
      <c r="AD182" s="4809">
        <f>+Z182+AB182</f>
        <v>36033533.945000052</v>
      </c>
      <c r="AE182" s="3867">
        <f>+AA182+AC182</f>
        <v>35288310</v>
      </c>
      <c r="AF182" s="4811">
        <f>+'POWER DISTRIBUTION'!AK19</f>
        <v>5125581.45</v>
      </c>
      <c r="AG182" s="5600">
        <f>+'POWER DISTRIBUTION'!AL19</f>
        <v>4508890.0000000093</v>
      </c>
      <c r="AH182" s="4809">
        <f>+AD182+AF182</f>
        <v>41159115.395000055</v>
      </c>
      <c r="AI182" s="3867">
        <f>+AE182+AG182</f>
        <v>39797200.000000007</v>
      </c>
      <c r="AJ182" s="4811">
        <f>+'POWER DISTRIBUTION'!AO19</f>
        <v>5296434.165000001</v>
      </c>
      <c r="AK182" s="5600">
        <f>+'POWER DISTRIBUTION'!AP19</f>
        <v>4775869.9999999944</v>
      </c>
      <c r="AL182" s="7699">
        <f>+AB182+AF182+AJ182</f>
        <v>15718449.780000003</v>
      </c>
      <c r="AM182" s="2250">
        <f>+AC182+AG182+AK182</f>
        <v>14183650</v>
      </c>
      <c r="AN182" s="4809">
        <f>+AH182+AJ182</f>
        <v>46455549.560000055</v>
      </c>
      <c r="AO182" s="3867">
        <f>+AI182+AK182</f>
        <v>44573070</v>
      </c>
      <c r="AP182" s="4811">
        <f>+'POWER DISTRIBUTION'!AU19</f>
        <v>5296434.165000001</v>
      </c>
      <c r="AQ182" s="5600">
        <f>+'POWER DISTRIBUTION'!AV19</f>
        <v>4791760.0000000047</v>
      </c>
      <c r="AR182" s="4809">
        <f>+AN182+AP182</f>
        <v>51751983.725000054</v>
      </c>
      <c r="AS182" s="3867">
        <f>+AO182+AQ182</f>
        <v>49364830.000000007</v>
      </c>
      <c r="AT182" s="4811">
        <f>+'POWER DISTRIBUTION'!AY19</f>
        <v>4783876.0199999996</v>
      </c>
      <c r="AU182" s="5600">
        <f>+'POWER DISTRIBUTION'!AZ19</f>
        <v>4475130</v>
      </c>
      <c r="AV182" s="4809">
        <f>+AR182+AT182</f>
        <v>56535859.745000049</v>
      </c>
      <c r="AW182" s="3867">
        <f>+AS182+AU182</f>
        <v>53839960.000000007</v>
      </c>
      <c r="AX182" s="4811">
        <f>+'POWER DISTRIBUTION'!BC19</f>
        <v>5296434.165000001</v>
      </c>
      <c r="AY182" s="5600">
        <f>+'POWER DISTRIBUTION'!BD19</f>
        <v>4903080</v>
      </c>
      <c r="AZ182" s="8266">
        <f>+AP182+AT182+AX182</f>
        <v>15376744.350000001</v>
      </c>
      <c r="BA182" s="2250">
        <f>+AQ182+AU182+AY182</f>
        <v>14169970.000000004</v>
      </c>
      <c r="BB182" s="8266">
        <f>+AL182+AZ182</f>
        <v>31095194.130000003</v>
      </c>
      <c r="BC182" s="2250">
        <f>+AM182+BA182</f>
        <v>28353620.000000004</v>
      </c>
      <c r="BD182" s="6519">
        <f>+AV182+AX182</f>
        <v>61832293.910000049</v>
      </c>
      <c r="BE182" s="6724">
        <f>+AW182+AY182</f>
        <v>58743040.000000007</v>
      </c>
    </row>
    <row r="183" spans="1:57" x14ac:dyDescent="0.2">
      <c r="B183" s="1534" t="s">
        <v>2016</v>
      </c>
      <c r="C183" s="1545" t="s">
        <v>704</v>
      </c>
      <c r="D183" s="3231">
        <f t="shared" ref="D183:AS183" si="980">+D182/D14</f>
        <v>69.160389451153748</v>
      </c>
      <c r="E183" s="6453">
        <f t="shared" si="980"/>
        <v>69.16038945115325</v>
      </c>
      <c r="F183" s="3231">
        <f t="shared" si="980"/>
        <v>66.582244544260092</v>
      </c>
      <c r="G183" s="3176">
        <f t="shared" si="980"/>
        <v>66.58224454426005</v>
      </c>
      <c r="H183" s="2796">
        <f t="shared" si="980"/>
        <v>67.872423022977998</v>
      </c>
      <c r="I183" s="2102">
        <f t="shared" si="980"/>
        <v>67.872423022977728</v>
      </c>
      <c r="J183" s="3231">
        <f t="shared" si="980"/>
        <v>61.505088720537223</v>
      </c>
      <c r="K183" s="3176">
        <f t="shared" si="980"/>
        <v>61.505088720537238</v>
      </c>
      <c r="L183" s="3054">
        <f t="shared" si="980"/>
        <v>65.595554824709581</v>
      </c>
      <c r="M183" s="3901">
        <f t="shared" si="980"/>
        <v>65.595554824709424</v>
      </c>
      <c r="N183" s="3231">
        <f t="shared" si="980"/>
        <v>54.7</v>
      </c>
      <c r="O183" s="3883">
        <f t="shared" si="980"/>
        <v>60.77069226336247</v>
      </c>
      <c r="P183" s="2796">
        <f t="shared" si="980"/>
        <v>62.357276909056509</v>
      </c>
      <c r="Q183" s="2102">
        <f t="shared" si="980"/>
        <v>64.246720021497566</v>
      </c>
      <c r="R183" s="3231">
        <f t="shared" si="980"/>
        <v>54.7</v>
      </c>
      <c r="S183" s="3883">
        <f t="shared" si="980"/>
        <v>54.173123537354158</v>
      </c>
      <c r="T183" s="2796">
        <f t="shared" si="980"/>
        <v>60.602877294730682</v>
      </c>
      <c r="U183" s="2102">
        <f t="shared" si="980"/>
        <v>61.895447539239747</v>
      </c>
      <c r="V183" s="3231">
        <f t="shared" si="980"/>
        <v>54.699999999999996</v>
      </c>
      <c r="W183" s="3883">
        <f t="shared" si="980"/>
        <v>59.772089061437683</v>
      </c>
      <c r="X183" s="3054">
        <f t="shared" si="980"/>
        <v>54.7</v>
      </c>
      <c r="Y183" s="3901">
        <f t="shared" si="980"/>
        <v>58.060736344747887</v>
      </c>
      <c r="Z183" s="6638">
        <f t="shared" si="980"/>
        <v>59.531594339316683</v>
      </c>
      <c r="AA183" s="6725">
        <f t="shared" si="980"/>
        <v>61.55512397953067</v>
      </c>
      <c r="AB183" s="3231">
        <f t="shared" si="980"/>
        <v>54.7</v>
      </c>
      <c r="AC183" s="3883">
        <f t="shared" si="980"/>
        <v>54.443846784751344</v>
      </c>
      <c r="AD183" s="2796">
        <f t="shared" si="980"/>
        <v>58.76859325732827</v>
      </c>
      <c r="AE183" s="2102">
        <f t="shared" si="980"/>
        <v>60.458834111449008</v>
      </c>
      <c r="AF183" s="3231">
        <f t="shared" si="980"/>
        <v>54.699999999999996</v>
      </c>
      <c r="AG183" s="3883">
        <f t="shared" si="980"/>
        <v>53.746716739310244</v>
      </c>
      <c r="AH183" s="2796">
        <f t="shared" si="980"/>
        <v>58.229237696970081</v>
      </c>
      <c r="AI183" s="2102">
        <f t="shared" si="980"/>
        <v>59.615338667783575</v>
      </c>
      <c r="AJ183" s="3231">
        <f t="shared" si="980"/>
        <v>54.7</v>
      </c>
      <c r="AK183" s="3883">
        <f t="shared" si="980"/>
        <v>49.404256991885674</v>
      </c>
      <c r="AL183" s="3054">
        <f t="shared" si="980"/>
        <v>54.7</v>
      </c>
      <c r="AM183" s="3901">
        <f t="shared" si="980"/>
        <v>52.426940438842507</v>
      </c>
      <c r="AN183" s="2796">
        <f t="shared" si="980"/>
        <v>57.804033343654751</v>
      </c>
      <c r="AO183" s="2102">
        <f t="shared" si="980"/>
        <v>58.323725149435262</v>
      </c>
      <c r="AP183" s="3231">
        <f t="shared" si="980"/>
        <v>54.7</v>
      </c>
      <c r="AQ183" s="3883">
        <f t="shared" si="980"/>
        <v>49.487875018267168</v>
      </c>
      <c r="AR183" s="2796">
        <f t="shared" si="980"/>
        <v>57.470269825622502</v>
      </c>
      <c r="AS183" s="2102">
        <f t="shared" si="980"/>
        <v>57.330129075400578</v>
      </c>
      <c r="AT183" s="3231">
        <f t="shared" ref="AT183:AW183" si="981">+AT182/AT14</f>
        <v>54.699999999999989</v>
      </c>
      <c r="AU183" s="3883">
        <f t="shared" si="981"/>
        <v>51.169723039770581</v>
      </c>
      <c r="AV183" s="2796">
        <f t="shared" si="981"/>
        <v>57.225038045695776</v>
      </c>
      <c r="AW183" s="2102">
        <f t="shared" si="981"/>
        <v>56.762119311870563</v>
      </c>
      <c r="AX183" s="3231">
        <f t="shared" ref="AX183:BE183" si="982">+AX182/AX14</f>
        <v>54.7</v>
      </c>
      <c r="AY183" s="3883">
        <f t="shared" si="982"/>
        <v>50.621060619357102</v>
      </c>
      <c r="AZ183" s="3054">
        <f t="shared" si="982"/>
        <v>54.7</v>
      </c>
      <c r="BA183" s="3901">
        <f t="shared" si="982"/>
        <v>50.401460756226264</v>
      </c>
      <c r="BB183" s="3054">
        <f t="shared" ref="BB183:BC184" si="983">+((AL183*AL$91)+(AZ183*AZ$91))/BB$91</f>
        <v>54.7</v>
      </c>
      <c r="BC183" s="3901">
        <f t="shared" si="983"/>
        <v>51.424720170391666</v>
      </c>
      <c r="BD183" s="6638">
        <f t="shared" si="982"/>
        <v>56.999655101733914</v>
      </c>
      <c r="BE183" s="6725">
        <f t="shared" si="982"/>
        <v>56.193125221630439</v>
      </c>
    </row>
    <row r="184" spans="1:57" ht="16" thickBot="1" x14ac:dyDescent="0.25">
      <c r="B184" s="1536" t="s">
        <v>708</v>
      </c>
      <c r="C184" s="1577" t="s">
        <v>1095</v>
      </c>
      <c r="D184" s="7172"/>
      <c r="E184" s="7181">
        <v>0.68700000000000006</v>
      </c>
      <c r="F184" s="7172"/>
      <c r="G184" s="1724">
        <v>0.70899999999999996</v>
      </c>
      <c r="H184" s="2989">
        <f>+((D184*D14)+(F184*F14))/H14</f>
        <v>0</v>
      </c>
      <c r="I184" s="6060">
        <f>+((E184*E14)+(G184*G14))/I14</f>
        <v>0.69799056199056198</v>
      </c>
      <c r="J184" s="7172"/>
      <c r="K184" s="1724">
        <v>0.67700000000000005</v>
      </c>
      <c r="L184" s="3055">
        <f>+((H184*H14)+(J184*J14))/L14</f>
        <v>0</v>
      </c>
      <c r="M184" s="6061">
        <f>+((I184*I14)+(K184*K14))/M14</f>
        <v>0.69048463552432138</v>
      </c>
      <c r="N184" s="7172"/>
      <c r="O184" s="6052">
        <v>0.629</v>
      </c>
      <c r="P184" s="2989">
        <f>+((L184*L14)+(N184*N14))/P14</f>
        <v>0</v>
      </c>
      <c r="Q184" s="6060">
        <f>+((M184*M14)+(O184*O14))/Q14</f>
        <v>0.67329603891591383</v>
      </c>
      <c r="R184" s="7172"/>
      <c r="S184" s="6052">
        <v>0.626</v>
      </c>
      <c r="T184" s="2989">
        <f>+((P184*P14)+(R184*R14))/T14</f>
        <v>0</v>
      </c>
      <c r="U184" s="6060">
        <f>+((Q184*Q14)+(S184*S14))/U14</f>
        <v>0.66225669710806701</v>
      </c>
      <c r="V184" s="7172"/>
      <c r="W184" s="6052">
        <v>0.61399999999999999</v>
      </c>
      <c r="X184" s="3055">
        <f>+((N184*N14)+(R184*R14)+(V184*V14))/X14</f>
        <v>0</v>
      </c>
      <c r="Y184" s="6061">
        <f>+((O184*O14)+(S184*S14)+(W184*W14))/Y14</f>
        <v>0.62342009295673928</v>
      </c>
      <c r="Z184" s="6726">
        <f>+((T184*T14)+(V184*V14))/Z14</f>
        <v>0</v>
      </c>
      <c r="AA184" s="6727">
        <f>+((U184*U14)+(W184*W14))/AA14</f>
        <v>0.65452230316973414</v>
      </c>
      <c r="AB184" s="7172"/>
      <c r="AC184" s="6052">
        <v>0.61</v>
      </c>
      <c r="AD184" s="2989">
        <f>+((Z184*Z14)+(AB184*AB14))/AD14</f>
        <v>0</v>
      </c>
      <c r="AE184" s="6060">
        <f>+((AA184*AA14)+(AC184*AC14))/AE14</f>
        <v>0.64765864864864864</v>
      </c>
      <c r="AF184" s="7172"/>
      <c r="AG184" s="6052">
        <v>0.59399999999999997</v>
      </c>
      <c r="AH184" s="2989">
        <f>+((AD184*AD14)+(AF184*AF14))/AH14</f>
        <v>0</v>
      </c>
      <c r="AI184" s="6060">
        <f>+((AE184*AE14)+(AG184*AG14))/AI14</f>
        <v>0.64091549695165184</v>
      </c>
      <c r="AJ184" s="7172"/>
      <c r="AK184" s="6052">
        <v>0.58899999999999997</v>
      </c>
      <c r="AL184" s="3055">
        <f>+((AB184*AB14)+(AF184*AF14)+(AJ184*AJ14))/AL14</f>
        <v>0</v>
      </c>
      <c r="AM184" s="6061">
        <f>+((AC184*AC14)+(AG184*AG14)+(AK184*AK14))/AM14</f>
        <v>0.5975349271137026</v>
      </c>
      <c r="AN184" s="2989">
        <f>+((AH184*AH14)+(AJ184*AJ14))/AN14</f>
        <v>0</v>
      </c>
      <c r="AO184" s="6060">
        <f>+((AI184*AI14)+(AK184*AK14))/AO14</f>
        <v>0.63434863559426991</v>
      </c>
      <c r="AP184" s="7172"/>
      <c r="AQ184" s="6052">
        <v>0.61699999999999999</v>
      </c>
      <c r="AR184" s="2989">
        <f>+((AN184*AN14)+(AP184*AP14))/AR14</f>
        <v>0</v>
      </c>
      <c r="AS184" s="6060">
        <f>+((AO184*AO14)+(AQ184*AQ14))/AS14</f>
        <v>0.63239777224094973</v>
      </c>
      <c r="AT184" s="7172"/>
      <c r="AU184" s="6052">
        <v>0.629</v>
      </c>
      <c r="AV184" s="2989">
        <f>+((AR184*AR14)+(AT184*AT14))/AV14</f>
        <v>0</v>
      </c>
      <c r="AW184" s="6060">
        <f>+((AS184*AS14)+(AU184*AU14))/AW14</f>
        <v>0.63208448642895165</v>
      </c>
      <c r="AX184" s="7172"/>
      <c r="AY184" s="6052">
        <v>0.63400000000000001</v>
      </c>
      <c r="AZ184" s="3055">
        <f>+((AP184*AP14)+(AT184*AT14)+(AX184*AX14))/AZ14</f>
        <v>0</v>
      </c>
      <c r="BA184" s="6061">
        <f>+((AQ184*AQ14)+(AU184*AU14)+(AY184*AY14))/BA14</f>
        <v>0.62658972057008189</v>
      </c>
      <c r="BB184" s="3055"/>
      <c r="BC184" s="6061">
        <f t="shared" si="983"/>
        <v>0.61191142427018053</v>
      </c>
      <c r="BD184" s="6726">
        <f>+((AV184*AV14)+(AX184*AX14))/BD14</f>
        <v>0</v>
      </c>
      <c r="BE184" s="6727">
        <f>+((AW184*AW14)+(AY184*AY14))/BE14</f>
        <v>0.63226196656002909</v>
      </c>
    </row>
    <row r="185" spans="1:57" ht="18.75" hidden="1" customHeight="1" x14ac:dyDescent="0.2">
      <c r="B185" s="1563" t="s">
        <v>267</v>
      </c>
      <c r="C185" s="1575"/>
      <c r="D185" s="6769"/>
      <c r="E185" s="6770"/>
      <c r="F185" s="6769"/>
      <c r="G185" s="3212"/>
      <c r="H185" s="2689"/>
      <c r="I185" s="1864"/>
      <c r="J185" s="3435"/>
      <c r="K185" s="1864"/>
      <c r="L185" s="2689"/>
      <c r="M185" s="1864"/>
      <c r="N185" s="3435"/>
      <c r="O185" s="5756"/>
      <c r="P185" s="2689"/>
      <c r="Q185" s="1864"/>
      <c r="R185" s="3435"/>
      <c r="S185" s="5756"/>
      <c r="T185" s="2689"/>
      <c r="U185" s="1864"/>
      <c r="V185" s="3435"/>
      <c r="W185" s="5756"/>
      <c r="X185" s="2689"/>
      <c r="Y185" s="1864"/>
      <c r="Z185" s="6701"/>
      <c r="AA185" s="6702"/>
      <c r="AB185" s="3435"/>
      <c r="AC185" s="5756"/>
      <c r="AD185" s="2689"/>
      <c r="AE185" s="1864"/>
      <c r="AF185" s="3435"/>
      <c r="AG185" s="5756"/>
      <c r="AH185" s="2689"/>
      <c r="AI185" s="1864"/>
      <c r="AJ185" s="3435"/>
      <c r="AK185" s="5756"/>
      <c r="AL185" s="2689"/>
      <c r="AM185" s="1864"/>
      <c r="AN185" s="2689"/>
      <c r="AO185" s="1864"/>
      <c r="AP185" s="3435"/>
      <c r="AQ185" s="5756"/>
      <c r="AR185" s="2689"/>
      <c r="AS185" s="1864"/>
      <c r="AT185" s="3435"/>
      <c r="AU185" s="5756"/>
      <c r="AV185" s="2689"/>
      <c r="AW185" s="1864"/>
      <c r="AX185" s="3435"/>
      <c r="AY185" s="5756"/>
      <c r="AZ185" s="2689"/>
      <c r="BA185" s="1864"/>
      <c r="BB185" s="2689"/>
      <c r="BC185" s="1864"/>
      <c r="BD185" s="6701"/>
      <c r="BE185" s="6702"/>
    </row>
    <row r="186" spans="1:57" ht="15.75" hidden="1" customHeight="1" x14ac:dyDescent="0.2">
      <c r="B186" s="1527" t="s">
        <v>254</v>
      </c>
      <c r="C186" s="1578"/>
      <c r="D186" s="7182"/>
      <c r="E186" s="7183"/>
      <c r="F186" s="7182"/>
      <c r="G186" s="3858"/>
      <c r="H186" s="1730"/>
      <c r="I186" s="1643"/>
      <c r="J186" s="5268"/>
      <c r="K186" s="1643"/>
      <c r="L186" s="1730"/>
      <c r="M186" s="1643"/>
      <c r="N186" s="5268"/>
      <c r="O186" s="6094"/>
      <c r="P186" s="1730"/>
      <c r="Q186" s="1643"/>
      <c r="R186" s="5268"/>
      <c r="S186" s="6094"/>
      <c r="T186" s="1730"/>
      <c r="U186" s="1643"/>
      <c r="V186" s="5268"/>
      <c r="W186" s="6094"/>
      <c r="X186" s="1730"/>
      <c r="Y186" s="1643"/>
      <c r="Z186" s="6661"/>
      <c r="AA186" s="6662"/>
      <c r="AB186" s="5268"/>
      <c r="AC186" s="6094"/>
      <c r="AD186" s="1730"/>
      <c r="AE186" s="1643"/>
      <c r="AF186" s="5268"/>
      <c r="AG186" s="6094"/>
      <c r="AH186" s="1730"/>
      <c r="AI186" s="1643"/>
      <c r="AJ186" s="5268"/>
      <c r="AK186" s="6094"/>
      <c r="AL186" s="1730"/>
      <c r="AM186" s="1643"/>
      <c r="AN186" s="1730"/>
      <c r="AO186" s="1643"/>
      <c r="AP186" s="5268"/>
      <c r="AQ186" s="6094"/>
      <c r="AR186" s="1730"/>
      <c r="AS186" s="1643"/>
      <c r="AT186" s="5268"/>
      <c r="AU186" s="6094"/>
      <c r="AV186" s="1730"/>
      <c r="AW186" s="1643"/>
      <c r="AX186" s="5268"/>
      <c r="AY186" s="6094"/>
      <c r="AZ186" s="1730"/>
      <c r="BA186" s="1643"/>
      <c r="BB186" s="1730"/>
      <c r="BC186" s="1643"/>
      <c r="BD186" s="6661"/>
      <c r="BE186" s="6662"/>
    </row>
    <row r="187" spans="1:57" ht="15" hidden="1" customHeight="1" x14ac:dyDescent="0.2">
      <c r="B187" s="1531" t="s">
        <v>698</v>
      </c>
      <c r="C187" s="1545" t="s">
        <v>169</v>
      </c>
      <c r="D187" s="3231"/>
      <c r="E187" s="3851">
        <f>+'2019-20 MASTER'!F394</f>
        <v>8.7307692307692317</v>
      </c>
      <c r="F187" s="3231"/>
      <c r="G187" s="2067">
        <f>+'2019-20 MASTER'!G394</f>
        <v>8.8222222222222229</v>
      </c>
      <c r="H187" s="2843"/>
      <c r="I187" s="2486">
        <f>+'2019-20 MASTER'!H394</f>
        <v>8.7763097703325332</v>
      </c>
      <c r="J187" s="3231">
        <v>10</v>
      </c>
      <c r="K187" s="2067">
        <f>+'2019-20 MASTER'!I394</f>
        <v>9.0052631578947402</v>
      </c>
      <c r="L187" s="2554">
        <v>10</v>
      </c>
      <c r="M187" s="2268">
        <f>+'2019-20 MASTER'!J394</f>
        <v>8.8567630398736803</v>
      </c>
      <c r="N187" s="3231">
        <v>10</v>
      </c>
      <c r="O187" s="3861">
        <f>+'2019-20 MASTER'!M394</f>
        <v>9.9277777777777771</v>
      </c>
      <c r="P187" s="2843"/>
      <c r="Q187" s="2486">
        <f>+'2019-20 MASTER'!L394</f>
        <v>9.0143074792870888</v>
      </c>
      <c r="R187" s="3231">
        <v>10</v>
      </c>
      <c r="S187" s="3861" t="e">
        <f>+'2019-20 MASTER'!Q394</f>
        <v>#REF!</v>
      </c>
      <c r="T187" s="2843"/>
      <c r="U187" s="2486" t="e">
        <f>+'2019-20 MASTER'!P394</f>
        <v>#REF!</v>
      </c>
      <c r="V187" s="3231">
        <v>10</v>
      </c>
      <c r="W187" s="3861" t="e">
        <f>+'2019-20 MASTER'!U394</f>
        <v>#REF!</v>
      </c>
      <c r="X187" s="2554">
        <v>10</v>
      </c>
      <c r="Y187" s="2268">
        <f>+'2019-20 MASTER'!V394</f>
        <v>9.2869565217391283</v>
      </c>
      <c r="Z187" s="6720"/>
      <c r="AA187" s="6611">
        <f>+'2019-20 MASTER'!T394</f>
        <v>9.0250000000000004</v>
      </c>
      <c r="AB187" s="3231">
        <v>10</v>
      </c>
      <c r="AC187" s="3861">
        <f>+'2019-20 MASTER'!AA394</f>
        <v>9.4928571428571438</v>
      </c>
      <c r="AD187" s="2843"/>
      <c r="AE187" s="2486" t="e">
        <f>+'2019-20 MASTER'!Z394</f>
        <v>#REF!</v>
      </c>
      <c r="AF187" s="3231">
        <v>10</v>
      </c>
      <c r="AG187" s="3861" t="e">
        <f>+'2019-20 MASTER'!AE394</f>
        <v>#REF!</v>
      </c>
      <c r="AH187" s="2843"/>
      <c r="AI187" s="2486" t="e">
        <f>+'2019-20 MASTER'!AD394</f>
        <v>#REF!</v>
      </c>
      <c r="AJ187" s="3231">
        <v>10</v>
      </c>
      <c r="AK187" s="3861">
        <f>+'2019-20 MASTER'!AI394</f>
        <v>0</v>
      </c>
      <c r="AL187" s="2554">
        <v>10</v>
      </c>
      <c r="AM187" s="2268">
        <f>+'2019-20 MASTER'!AJ394</f>
        <v>0</v>
      </c>
      <c r="AN187" s="2843"/>
      <c r="AO187" s="2486">
        <f>+'2019-20 MASTER'!AH394</f>
        <v>0</v>
      </c>
      <c r="AP187" s="3231">
        <v>10</v>
      </c>
      <c r="AQ187" s="3861">
        <f>+'2019-20 MASTER'!AO394</f>
        <v>0</v>
      </c>
      <c r="AR187" s="2843"/>
      <c r="AS187" s="2486">
        <f>+'2019-20 MASTER'!AN394</f>
        <v>0</v>
      </c>
      <c r="AT187" s="3231">
        <v>10</v>
      </c>
      <c r="AU187" s="3861">
        <f>+'2019-20 MASTER'!AS394</f>
        <v>0</v>
      </c>
      <c r="AV187" s="2843"/>
      <c r="AW187" s="2486">
        <f>+'2019-20 MASTER'!AR394</f>
        <v>0</v>
      </c>
      <c r="AX187" s="3231">
        <v>10</v>
      </c>
      <c r="AY187" s="3861">
        <f>+'2019-20 MASTER'!AW394</f>
        <v>0</v>
      </c>
      <c r="AZ187" s="2554">
        <v>10</v>
      </c>
      <c r="BA187" s="2268">
        <f>+'2019-20 MASTER'!AX394</f>
        <v>0</v>
      </c>
      <c r="BB187" s="2554"/>
      <c r="BC187" s="2268"/>
      <c r="BD187" s="6720"/>
      <c r="BE187" s="6611">
        <f>+'2019-20 MASTER'!AV394</f>
        <v>0</v>
      </c>
    </row>
    <row r="188" spans="1:57" ht="15" hidden="1" customHeight="1" x14ac:dyDescent="0.2">
      <c r="B188" s="1531" t="s">
        <v>691</v>
      </c>
      <c r="C188" s="1545" t="s">
        <v>169</v>
      </c>
      <c r="D188" s="3231"/>
      <c r="E188" s="3851">
        <f>+'2019-20 MASTER'!F395</f>
        <v>9.0307692307692307</v>
      </c>
      <c r="F188" s="3231"/>
      <c r="G188" s="2067">
        <f>+'2019-20 MASTER'!G395</f>
        <v>9.1222222222222218</v>
      </c>
      <c r="H188" s="2843"/>
      <c r="I188" s="2486">
        <f>+'2019-20 MASTER'!H395</f>
        <v>9.0763097703325322</v>
      </c>
      <c r="J188" s="3231">
        <v>10</v>
      </c>
      <c r="K188" s="2067">
        <f>+'2019-20 MASTER'!I395</f>
        <v>9.1849999999999987</v>
      </c>
      <c r="L188" s="2554">
        <v>10</v>
      </c>
      <c r="M188" s="2268">
        <f>+'2019-20 MASTER'!J395</f>
        <v>9.1145030656448807</v>
      </c>
      <c r="N188" s="3231">
        <v>10</v>
      </c>
      <c r="O188" s="3861">
        <f>+'2019-20 MASTER'!M395</f>
        <v>9.5777777777777775</v>
      </c>
      <c r="P188" s="2843"/>
      <c r="Q188" s="2486">
        <f>+'2019-20 MASTER'!L395</f>
        <v>9.1348963586176577</v>
      </c>
      <c r="R188" s="3231">
        <v>10</v>
      </c>
      <c r="S188" s="3861" t="e">
        <f>+'2019-20 MASTER'!Q395</f>
        <v>#REF!</v>
      </c>
      <c r="T188" s="2843"/>
      <c r="U188" s="2486" t="e">
        <f>+'2019-20 MASTER'!P395</f>
        <v>#REF!</v>
      </c>
      <c r="V188" s="3231">
        <v>10</v>
      </c>
      <c r="W188" s="3861" t="e">
        <f>+'2019-20 MASTER'!U395</f>
        <v>#REF!</v>
      </c>
      <c r="X188" s="2554">
        <v>10</v>
      </c>
      <c r="Y188" s="2268">
        <f>+'2019-20 MASTER'!V395</f>
        <v>9.3375000000000004</v>
      </c>
      <c r="Z188" s="6720"/>
      <c r="AA188" s="6611">
        <f>+'2019-20 MASTER'!T395</f>
        <v>8.8714285714285701</v>
      </c>
      <c r="AB188" s="3231">
        <v>10</v>
      </c>
      <c r="AC188" s="3861">
        <f>+'2019-20 MASTER'!AA395</f>
        <v>9.06</v>
      </c>
      <c r="AD188" s="2843"/>
      <c r="AE188" s="2486" t="e">
        <f>+'2019-20 MASTER'!Z395</f>
        <v>#REF!</v>
      </c>
      <c r="AF188" s="3231">
        <v>10</v>
      </c>
      <c r="AG188" s="3861" t="e">
        <f>+'2019-20 MASTER'!AE395</f>
        <v>#REF!</v>
      </c>
      <c r="AH188" s="2843"/>
      <c r="AI188" s="2486" t="e">
        <f>+'2019-20 MASTER'!AD395</f>
        <v>#REF!</v>
      </c>
      <c r="AJ188" s="3231">
        <v>10</v>
      </c>
      <c r="AK188" s="3861">
        <f>+'2019-20 MASTER'!AI395</f>
        <v>0</v>
      </c>
      <c r="AL188" s="2554">
        <v>10</v>
      </c>
      <c r="AM188" s="2268">
        <f>+'2019-20 MASTER'!AJ395</f>
        <v>0</v>
      </c>
      <c r="AN188" s="2843"/>
      <c r="AO188" s="2486">
        <f>+'2019-20 MASTER'!AH395</f>
        <v>0</v>
      </c>
      <c r="AP188" s="3231">
        <v>10</v>
      </c>
      <c r="AQ188" s="3861">
        <f>+'2019-20 MASTER'!AO395</f>
        <v>0</v>
      </c>
      <c r="AR188" s="2843"/>
      <c r="AS188" s="2486">
        <f>+'2019-20 MASTER'!AN395</f>
        <v>0</v>
      </c>
      <c r="AT188" s="3231">
        <v>10</v>
      </c>
      <c r="AU188" s="3861">
        <f>+'2019-20 MASTER'!AS395</f>
        <v>0</v>
      </c>
      <c r="AV188" s="2843"/>
      <c r="AW188" s="2486">
        <f>+'2019-20 MASTER'!AR395</f>
        <v>0</v>
      </c>
      <c r="AX188" s="3231">
        <v>10</v>
      </c>
      <c r="AY188" s="3861">
        <f>+'2019-20 MASTER'!AW395</f>
        <v>0</v>
      </c>
      <c r="AZ188" s="2554">
        <v>10</v>
      </c>
      <c r="BA188" s="2268">
        <f>+'2019-20 MASTER'!AX395</f>
        <v>0</v>
      </c>
      <c r="BB188" s="2554"/>
      <c r="BC188" s="2268"/>
      <c r="BD188" s="6720"/>
      <c r="BE188" s="6611">
        <f>+'2019-20 MASTER'!AV395</f>
        <v>0</v>
      </c>
    </row>
    <row r="189" spans="1:57" ht="15" hidden="1" customHeight="1" x14ac:dyDescent="0.2">
      <c r="B189" s="1531" t="s">
        <v>699</v>
      </c>
      <c r="C189" s="1545" t="s">
        <v>169</v>
      </c>
      <c r="D189" s="3231"/>
      <c r="E189" s="3851">
        <f>+'2019-20 MASTER'!F396</f>
        <v>23.523076923076925</v>
      </c>
      <c r="F189" s="3231"/>
      <c r="G189" s="2067">
        <f>+'2019-20 MASTER'!G396</f>
        <v>23.155555555555555</v>
      </c>
      <c r="H189" s="2843"/>
      <c r="I189" s="2486">
        <f>+'2019-20 MASTER'!H396</f>
        <v>23.340063539785149</v>
      </c>
      <c r="J189" s="3231">
        <v>23</v>
      </c>
      <c r="K189" s="2067">
        <f>+'2019-20 MASTER'!I396</f>
        <v>24.14</v>
      </c>
      <c r="L189" s="2554">
        <v>23</v>
      </c>
      <c r="M189" s="2268">
        <f>+'2019-20 MASTER'!J396</f>
        <v>23.621157889751775</v>
      </c>
      <c r="N189" s="3231">
        <v>23</v>
      </c>
      <c r="O189" s="3861">
        <f>+'2019-20 MASTER'!M396</f>
        <v>22.605555555555554</v>
      </c>
      <c r="P189" s="2843"/>
      <c r="Q189" s="2486">
        <f>+'2019-20 MASTER'!L396</f>
        <v>23.447967801979303</v>
      </c>
      <c r="R189" s="3231">
        <v>23</v>
      </c>
      <c r="S189" s="3861" t="e">
        <f>+'2019-20 MASTER'!Q396</f>
        <v>#REF!</v>
      </c>
      <c r="T189" s="2843"/>
      <c r="U189" s="2486" t="e">
        <f>+'2019-20 MASTER'!P396</f>
        <v>#REF!</v>
      </c>
      <c r="V189" s="3231">
        <v>23</v>
      </c>
      <c r="W189" s="3861" t="e">
        <f>+'2019-20 MASTER'!U396</f>
        <v>#REF!</v>
      </c>
      <c r="X189" s="2554">
        <v>23</v>
      </c>
      <c r="Y189" s="2268">
        <f>+'2019-20 MASTER'!V396</f>
        <v>22.920833333333334</v>
      </c>
      <c r="Z189" s="6720"/>
      <c r="AA189" s="6611">
        <f>+'2019-20 MASTER'!T396</f>
        <v>23.164285714285715</v>
      </c>
      <c r="AB189" s="3231">
        <v>23</v>
      </c>
      <c r="AC189" s="3861">
        <f>+'2019-20 MASTER'!AA396</f>
        <v>23.113333333333333</v>
      </c>
      <c r="AD189" s="2843"/>
      <c r="AE189" s="2486" t="e">
        <f>+'2019-20 MASTER'!Z396</f>
        <v>#REF!</v>
      </c>
      <c r="AF189" s="3231">
        <v>23</v>
      </c>
      <c r="AG189" s="3861" t="e">
        <f>+'2019-20 MASTER'!AE396</f>
        <v>#REF!</v>
      </c>
      <c r="AH189" s="2843"/>
      <c r="AI189" s="2486" t="e">
        <f>+'2019-20 MASTER'!AD396</f>
        <v>#REF!</v>
      </c>
      <c r="AJ189" s="3231">
        <v>23</v>
      </c>
      <c r="AK189" s="3861">
        <f>+'2019-20 MASTER'!AI396</f>
        <v>0</v>
      </c>
      <c r="AL189" s="2554">
        <v>23</v>
      </c>
      <c r="AM189" s="2268">
        <f>+'2019-20 MASTER'!AJ396</f>
        <v>0</v>
      </c>
      <c r="AN189" s="2843"/>
      <c r="AO189" s="2486">
        <f>+'2019-20 MASTER'!AH396</f>
        <v>0</v>
      </c>
      <c r="AP189" s="3231">
        <v>23</v>
      </c>
      <c r="AQ189" s="3861">
        <f>+'2019-20 MASTER'!AO396</f>
        <v>0</v>
      </c>
      <c r="AR189" s="2843"/>
      <c r="AS189" s="2486">
        <f>+'2019-20 MASTER'!AN396</f>
        <v>0</v>
      </c>
      <c r="AT189" s="3231">
        <v>23</v>
      </c>
      <c r="AU189" s="3861">
        <f>+'2019-20 MASTER'!AS396</f>
        <v>0</v>
      </c>
      <c r="AV189" s="2843"/>
      <c r="AW189" s="2486">
        <f>+'2019-20 MASTER'!AR396</f>
        <v>0</v>
      </c>
      <c r="AX189" s="3231">
        <v>23</v>
      </c>
      <c r="AY189" s="3861">
        <f>+'2019-20 MASTER'!AW396</f>
        <v>0</v>
      </c>
      <c r="AZ189" s="2554">
        <v>23</v>
      </c>
      <c r="BA189" s="2268">
        <f>+'2019-20 MASTER'!AX396</f>
        <v>0</v>
      </c>
      <c r="BB189" s="2554"/>
      <c r="BC189" s="2268"/>
      <c r="BD189" s="6720"/>
      <c r="BE189" s="6611">
        <f>+'2019-20 MASTER'!AV396</f>
        <v>0</v>
      </c>
    </row>
    <row r="190" spans="1:57" s="3380" customFormat="1" ht="15.75" hidden="1" customHeight="1" x14ac:dyDescent="0.2">
      <c r="A190" s="3379"/>
      <c r="B190" s="4369" t="s">
        <v>255</v>
      </c>
      <c r="C190" s="4370"/>
      <c r="D190" s="4371"/>
      <c r="E190" s="4372"/>
      <c r="F190" s="4371"/>
      <c r="G190" s="4373"/>
      <c r="H190" s="3437"/>
      <c r="I190" s="4373"/>
      <c r="J190" s="4371"/>
      <c r="K190" s="4373"/>
      <c r="L190" s="3439"/>
      <c r="M190" s="4374"/>
      <c r="N190" s="4371"/>
      <c r="O190" s="4373"/>
      <c r="P190" s="3437"/>
      <c r="Q190" s="4373"/>
      <c r="R190" s="4371"/>
      <c r="S190" s="4373"/>
      <c r="T190" s="3437"/>
      <c r="U190" s="4373"/>
      <c r="V190" s="4371"/>
      <c r="W190" s="4373"/>
      <c r="X190" s="3439"/>
      <c r="Y190" s="4374"/>
      <c r="Z190" s="6728"/>
      <c r="AA190" s="6729"/>
      <c r="AB190" s="4371"/>
      <c r="AC190" s="4373"/>
      <c r="AD190" s="3437"/>
      <c r="AE190" s="4373"/>
      <c r="AF190" s="4371"/>
      <c r="AG190" s="4373"/>
      <c r="AH190" s="3437"/>
      <c r="AI190" s="4373"/>
      <c r="AJ190" s="4371"/>
      <c r="AK190" s="4373"/>
      <c r="AL190" s="3439"/>
      <c r="AM190" s="4374"/>
      <c r="AN190" s="3437"/>
      <c r="AO190" s="4373"/>
      <c r="AP190" s="4371"/>
      <c r="AQ190" s="4373"/>
      <c r="AR190" s="3437"/>
      <c r="AS190" s="4373"/>
      <c r="AT190" s="4371"/>
      <c r="AU190" s="4373"/>
      <c r="AV190" s="3437"/>
      <c r="AW190" s="4373"/>
      <c r="AX190" s="4371"/>
      <c r="AY190" s="4373"/>
      <c r="AZ190" s="3439"/>
      <c r="BA190" s="4374"/>
      <c r="BB190" s="3439"/>
      <c r="BC190" s="4374"/>
      <c r="BD190" s="6728"/>
      <c r="BE190" s="6729"/>
    </row>
    <row r="191" spans="1:57" ht="15" hidden="1" customHeight="1" x14ac:dyDescent="0.2">
      <c r="B191" s="1531" t="s">
        <v>698</v>
      </c>
      <c r="C191" s="1545" t="s">
        <v>169</v>
      </c>
      <c r="D191" s="3231"/>
      <c r="E191" s="3851">
        <f>+'2019-20 MASTER'!F402</f>
        <v>9.15</v>
      </c>
      <c r="F191" s="3231"/>
      <c r="G191" s="2067">
        <f>+'2019-20 MASTER'!G402</f>
        <v>8.75</v>
      </c>
      <c r="H191" s="2843"/>
      <c r="I191" s="2486">
        <f>+'2019-20 MASTER'!H402</f>
        <v>8.9333747260774281</v>
      </c>
      <c r="J191" s="3231">
        <v>8</v>
      </c>
      <c r="K191" s="2067">
        <f>+'2019-20 MASTER'!I402</f>
        <v>8.75</v>
      </c>
      <c r="L191" s="2554">
        <v>8</v>
      </c>
      <c r="M191" s="2268">
        <f>+'2019-20 MASTER'!J402</f>
        <v>8.8609765262366817</v>
      </c>
      <c r="N191" s="3231">
        <v>8</v>
      </c>
      <c r="O191" s="3861">
        <f>+'2019-20 MASTER'!M402</f>
        <v>9.7875000000000014</v>
      </c>
      <c r="P191" s="2843"/>
      <c r="Q191" s="2486">
        <f>+'2019-20 MASTER'!L402</f>
        <v>9.064563936138466</v>
      </c>
      <c r="R191" s="3231">
        <v>8</v>
      </c>
      <c r="S191" s="3861" t="e">
        <f>+'2019-20 MASTER'!Q402</f>
        <v>#REF!</v>
      </c>
      <c r="T191" s="2843"/>
      <c r="U191" s="2486" t="e">
        <f>+'2019-20 MASTER'!P402</f>
        <v>#REF!</v>
      </c>
      <c r="V191" s="3231">
        <v>8</v>
      </c>
      <c r="W191" s="3861" t="e">
        <f>+'2019-20 MASTER'!U402</f>
        <v>#REF!</v>
      </c>
      <c r="X191" s="2554">
        <v>8</v>
      </c>
      <c r="Y191" s="2268">
        <f>+'2019-20 MASTER'!V402</f>
        <v>8.8000000000000007</v>
      </c>
      <c r="Z191" s="6720"/>
      <c r="AA191" s="6611">
        <f>+'2019-20 MASTER'!T402</f>
        <v>8.7749999999999986</v>
      </c>
      <c r="AB191" s="3231">
        <v>8</v>
      </c>
      <c r="AC191" s="3861">
        <f>+'2019-20 MASTER'!AA402</f>
        <v>9.25</v>
      </c>
      <c r="AD191" s="2843"/>
      <c r="AE191" s="2486" t="e">
        <f>+'2019-20 MASTER'!Z402</f>
        <v>#REF!</v>
      </c>
      <c r="AF191" s="3231">
        <v>8</v>
      </c>
      <c r="AG191" s="3861" t="e">
        <f>+'2019-20 MASTER'!AE402</f>
        <v>#REF!</v>
      </c>
      <c r="AH191" s="2843"/>
      <c r="AI191" s="2486" t="e">
        <f>+'2019-20 MASTER'!AD402</f>
        <v>#REF!</v>
      </c>
      <c r="AJ191" s="3231">
        <v>8</v>
      </c>
      <c r="AK191" s="3861">
        <f>+'2019-20 MASTER'!AI402</f>
        <v>0</v>
      </c>
      <c r="AL191" s="2554">
        <v>8</v>
      </c>
      <c r="AM191" s="2268">
        <f>+'2019-20 MASTER'!AJ402</f>
        <v>0</v>
      </c>
      <c r="AN191" s="2843"/>
      <c r="AO191" s="2486">
        <f>+'2019-20 MASTER'!AH402</f>
        <v>0</v>
      </c>
      <c r="AP191" s="3231">
        <v>8</v>
      </c>
      <c r="AQ191" s="3861">
        <f>+'2019-20 MASTER'!AO402</f>
        <v>0</v>
      </c>
      <c r="AR191" s="2843"/>
      <c r="AS191" s="2486">
        <f>+'2019-20 MASTER'!AN402</f>
        <v>0</v>
      </c>
      <c r="AT191" s="3231">
        <v>8</v>
      </c>
      <c r="AU191" s="3861">
        <f>+'2019-20 MASTER'!AS402</f>
        <v>0</v>
      </c>
      <c r="AV191" s="2843"/>
      <c r="AW191" s="2486">
        <f>+'2019-20 MASTER'!AR402</f>
        <v>0</v>
      </c>
      <c r="AX191" s="3231">
        <v>8</v>
      </c>
      <c r="AY191" s="3861">
        <f>+'2019-20 MASTER'!AW402</f>
        <v>0</v>
      </c>
      <c r="AZ191" s="2554">
        <v>8</v>
      </c>
      <c r="BA191" s="2268">
        <f>+'2019-20 MASTER'!AX402</f>
        <v>0</v>
      </c>
      <c r="BB191" s="2554"/>
      <c r="BC191" s="2268"/>
      <c r="BD191" s="6720"/>
      <c r="BE191" s="6611">
        <f>+'2019-20 MASTER'!AV402</f>
        <v>0</v>
      </c>
    </row>
    <row r="192" spans="1:57" ht="15" hidden="1" customHeight="1" x14ac:dyDescent="0.2">
      <c r="B192" s="1531" t="s">
        <v>691</v>
      </c>
      <c r="C192" s="1545" t="s">
        <v>169</v>
      </c>
      <c r="D192" s="3231"/>
      <c r="E192" s="3851">
        <f>+'2019-20 MASTER'!F403</f>
        <v>8.9499999999999993</v>
      </c>
      <c r="F192" s="3231"/>
      <c r="G192" s="2067">
        <f>+'2019-20 MASTER'!G403</f>
        <v>8.0750000000000011</v>
      </c>
      <c r="H192" s="2843"/>
      <c r="I192" s="2486">
        <f>+'2019-20 MASTER'!H403</f>
        <v>8.4761322132943757</v>
      </c>
      <c r="J192" s="3231">
        <v>10</v>
      </c>
      <c r="K192" s="2067">
        <f>+'2019-20 MASTER'!I403</f>
        <v>8.2999999999999989</v>
      </c>
      <c r="L192" s="2554">
        <v>10</v>
      </c>
      <c r="M192" s="2268">
        <f>+'2019-20 MASTER'!J403</f>
        <v>8.4065934308828076</v>
      </c>
      <c r="N192" s="3231">
        <v>10</v>
      </c>
      <c r="O192" s="3861">
        <f>+'2019-20 MASTER'!M403</f>
        <v>8.6</v>
      </c>
      <c r="P192" s="2843"/>
      <c r="Q192" s="2486">
        <f>+'2019-20 MASTER'!L403</f>
        <v>8.4816260071620402</v>
      </c>
      <c r="R192" s="3231">
        <v>10</v>
      </c>
      <c r="S192" s="3861" t="e">
        <f>+'2019-20 MASTER'!Q403</f>
        <v>#REF!</v>
      </c>
      <c r="T192" s="2843"/>
      <c r="U192" s="2486" t="e">
        <f>+'2019-20 MASTER'!P403</f>
        <v>#REF!</v>
      </c>
      <c r="V192" s="3231">
        <v>10</v>
      </c>
      <c r="W192" s="3861" t="e">
        <f>+'2019-20 MASTER'!U403</f>
        <v>#REF!</v>
      </c>
      <c r="X192" s="2554">
        <v>10</v>
      </c>
      <c r="Y192" s="2268">
        <f>+'2019-20 MASTER'!V403</f>
        <v>8.5571428571428552</v>
      </c>
      <c r="Z192" s="6720"/>
      <c r="AA192" s="6611">
        <f>+'2019-20 MASTER'!T403</f>
        <v>7.8</v>
      </c>
      <c r="AB192" s="3231">
        <v>10</v>
      </c>
      <c r="AC192" s="3861">
        <f>+'2019-20 MASTER'!AA403</f>
        <v>8.1</v>
      </c>
      <c r="AD192" s="2843"/>
      <c r="AE192" s="2486" t="e">
        <f>+'2019-20 MASTER'!Z403</f>
        <v>#REF!</v>
      </c>
      <c r="AF192" s="3231">
        <v>10</v>
      </c>
      <c r="AG192" s="3861" t="e">
        <f>+'2019-20 MASTER'!AE403</f>
        <v>#REF!</v>
      </c>
      <c r="AH192" s="2843"/>
      <c r="AI192" s="2486" t="e">
        <f>+'2019-20 MASTER'!AD403</f>
        <v>#REF!</v>
      </c>
      <c r="AJ192" s="3231">
        <v>10</v>
      </c>
      <c r="AK192" s="3861">
        <f>+'2019-20 MASTER'!AI403</f>
        <v>0</v>
      </c>
      <c r="AL192" s="2554">
        <v>10</v>
      </c>
      <c r="AM192" s="2268">
        <f>+'2019-20 MASTER'!AJ403</f>
        <v>0</v>
      </c>
      <c r="AN192" s="2843"/>
      <c r="AO192" s="2486">
        <f>+'2019-20 MASTER'!AH403</f>
        <v>0</v>
      </c>
      <c r="AP192" s="3231">
        <v>10</v>
      </c>
      <c r="AQ192" s="3861">
        <f>+'2019-20 MASTER'!AO403</f>
        <v>0</v>
      </c>
      <c r="AR192" s="2843"/>
      <c r="AS192" s="2486">
        <f>+'2019-20 MASTER'!AN403</f>
        <v>0</v>
      </c>
      <c r="AT192" s="3231">
        <v>10</v>
      </c>
      <c r="AU192" s="3861">
        <f>+'2019-20 MASTER'!AS403</f>
        <v>0</v>
      </c>
      <c r="AV192" s="2843"/>
      <c r="AW192" s="2486">
        <f>+'2019-20 MASTER'!AR403</f>
        <v>0</v>
      </c>
      <c r="AX192" s="3231">
        <v>10</v>
      </c>
      <c r="AY192" s="3861">
        <f>+'2019-20 MASTER'!AW403</f>
        <v>0</v>
      </c>
      <c r="AZ192" s="2554">
        <v>10</v>
      </c>
      <c r="BA192" s="2268">
        <f>+'2019-20 MASTER'!AX403</f>
        <v>0</v>
      </c>
      <c r="BB192" s="2554"/>
      <c r="BC192" s="2268"/>
      <c r="BD192" s="6720"/>
      <c r="BE192" s="6611">
        <f>+'2019-20 MASTER'!AV403</f>
        <v>0</v>
      </c>
    </row>
    <row r="193" spans="1:57" ht="15" hidden="1" customHeight="1" x14ac:dyDescent="0.2">
      <c r="B193" s="1531" t="s">
        <v>699</v>
      </c>
      <c r="C193" s="1545" t="s">
        <v>169</v>
      </c>
      <c r="D193" s="3231"/>
      <c r="E193" s="3851">
        <f>+'2019-20 MASTER'!F404</f>
        <v>24.4</v>
      </c>
      <c r="F193" s="3231"/>
      <c r="G193" s="2067">
        <f>+'2019-20 MASTER'!G404</f>
        <v>26.525000000000002</v>
      </c>
      <c r="H193" s="2843"/>
      <c r="I193" s="2486">
        <f>+'2019-20 MASTER'!H404</f>
        <v>25.550821767713661</v>
      </c>
      <c r="J193" s="3231">
        <v>27</v>
      </c>
      <c r="K193" s="2067">
        <f>+'2019-20 MASTER'!I404</f>
        <v>27.116666666666664</v>
      </c>
      <c r="L193" s="2554">
        <v>27</v>
      </c>
      <c r="M193" s="2268">
        <f>+'2019-20 MASTER'!J404</f>
        <v>26.169033199239642</v>
      </c>
      <c r="N193" s="3231">
        <v>27</v>
      </c>
      <c r="O193" s="3861">
        <f>+'2019-20 MASTER'!M404</f>
        <v>26.212499999999999</v>
      </c>
      <c r="P193" s="2843"/>
      <c r="Q193" s="2486">
        <f>+'2019-20 MASTER'!L404</f>
        <v>25.971941584601609</v>
      </c>
      <c r="R193" s="3231">
        <v>27</v>
      </c>
      <c r="S193" s="3861" t="e">
        <f>+'2019-20 MASTER'!Q404</f>
        <v>#REF!</v>
      </c>
      <c r="T193" s="2843"/>
      <c r="U193" s="2486" t="e">
        <f>+'2019-20 MASTER'!P404</f>
        <v>#REF!</v>
      </c>
      <c r="V193" s="3231">
        <v>27</v>
      </c>
      <c r="W193" s="3861" t="e">
        <f>+'2019-20 MASTER'!U404</f>
        <v>#REF!</v>
      </c>
      <c r="X193" s="2554">
        <v>27</v>
      </c>
      <c r="Y193" s="2268">
        <f>+'2019-20 MASTER'!V404</f>
        <v>25.685714285714287</v>
      </c>
      <c r="Z193" s="6720"/>
      <c r="AA193" s="6611">
        <f>+'2019-20 MASTER'!T404</f>
        <v>25.85</v>
      </c>
      <c r="AB193" s="3231">
        <v>27</v>
      </c>
      <c r="AC193" s="3861">
        <f>+'2019-20 MASTER'!AA404</f>
        <v>25.379999999999995</v>
      </c>
      <c r="AD193" s="2843"/>
      <c r="AE193" s="2486" t="e">
        <f>+'2019-20 MASTER'!Z404</f>
        <v>#REF!</v>
      </c>
      <c r="AF193" s="3231">
        <v>27</v>
      </c>
      <c r="AG193" s="3861" t="e">
        <f>+'2019-20 MASTER'!AE404</f>
        <v>#REF!</v>
      </c>
      <c r="AH193" s="2843"/>
      <c r="AI193" s="2486" t="e">
        <f>+'2019-20 MASTER'!AD404</f>
        <v>#REF!</v>
      </c>
      <c r="AJ193" s="3231">
        <v>27</v>
      </c>
      <c r="AK193" s="3861">
        <f>+'2019-20 MASTER'!AI404</f>
        <v>0</v>
      </c>
      <c r="AL193" s="2554">
        <v>27</v>
      </c>
      <c r="AM193" s="2268">
        <f>+'2019-20 MASTER'!AJ404</f>
        <v>0</v>
      </c>
      <c r="AN193" s="2843"/>
      <c r="AO193" s="2486">
        <f>+'2019-20 MASTER'!AH404</f>
        <v>0</v>
      </c>
      <c r="AP193" s="3231">
        <v>27</v>
      </c>
      <c r="AQ193" s="3861">
        <f>+'2019-20 MASTER'!AO404</f>
        <v>0</v>
      </c>
      <c r="AR193" s="2843"/>
      <c r="AS193" s="2486">
        <f>+'2019-20 MASTER'!AN404</f>
        <v>0</v>
      </c>
      <c r="AT193" s="3231">
        <v>27</v>
      </c>
      <c r="AU193" s="3861">
        <f>+'2019-20 MASTER'!AS404</f>
        <v>0</v>
      </c>
      <c r="AV193" s="2843"/>
      <c r="AW193" s="2486">
        <f>+'2019-20 MASTER'!AR404</f>
        <v>0</v>
      </c>
      <c r="AX193" s="3231">
        <v>27</v>
      </c>
      <c r="AY193" s="3861">
        <f>+'2019-20 MASTER'!AW404</f>
        <v>0</v>
      </c>
      <c r="AZ193" s="2554">
        <v>27</v>
      </c>
      <c r="BA193" s="2268">
        <f>+'2019-20 MASTER'!AX404</f>
        <v>0</v>
      </c>
      <c r="BB193" s="2554"/>
      <c r="BC193" s="2268"/>
      <c r="BD193" s="6720"/>
      <c r="BE193" s="6611">
        <f>+'2019-20 MASTER'!AV404</f>
        <v>0</v>
      </c>
    </row>
    <row r="194" spans="1:57" s="3380" customFormat="1" ht="15.75" hidden="1" customHeight="1" x14ac:dyDescent="0.2">
      <c r="A194" s="3379"/>
      <c r="B194" s="4375" t="s">
        <v>1412</v>
      </c>
      <c r="C194" s="4376"/>
      <c r="D194" s="3438"/>
      <c r="E194" s="4377"/>
      <c r="F194" s="3438"/>
      <c r="G194" s="4377"/>
      <c r="H194" s="3438"/>
      <c r="I194" s="4377"/>
      <c r="J194" s="3438"/>
      <c r="K194" s="4378"/>
      <c r="L194" s="4379"/>
      <c r="M194" s="4380"/>
      <c r="N194" s="3438"/>
      <c r="O194" s="4378"/>
      <c r="P194" s="3438"/>
      <c r="Q194" s="4377"/>
      <c r="R194" s="3438"/>
      <c r="S194" s="4378"/>
      <c r="T194" s="3438"/>
      <c r="U194" s="4377"/>
      <c r="V194" s="3438"/>
      <c r="W194" s="4378"/>
      <c r="X194" s="4379"/>
      <c r="Y194" s="4380"/>
      <c r="Z194" s="6730"/>
      <c r="AA194" s="6731"/>
      <c r="AB194" s="3438"/>
      <c r="AC194" s="4378"/>
      <c r="AD194" s="3438"/>
      <c r="AE194" s="4377"/>
      <c r="AF194" s="3438"/>
      <c r="AG194" s="4378"/>
      <c r="AH194" s="3438"/>
      <c r="AI194" s="4377"/>
      <c r="AJ194" s="3438"/>
      <c r="AK194" s="4378"/>
      <c r="AL194" s="4379"/>
      <c r="AM194" s="4380"/>
      <c r="AN194" s="3438"/>
      <c r="AO194" s="4377"/>
      <c r="AP194" s="3438"/>
      <c r="AQ194" s="4378"/>
      <c r="AR194" s="3438"/>
      <c r="AS194" s="4377"/>
      <c r="AT194" s="3438"/>
      <c r="AU194" s="4378"/>
      <c r="AV194" s="3438"/>
      <c r="AW194" s="4377"/>
      <c r="AX194" s="3438"/>
      <c r="AY194" s="4378"/>
      <c r="AZ194" s="4379"/>
      <c r="BA194" s="4380"/>
      <c r="BB194" s="4379"/>
      <c r="BC194" s="4380"/>
      <c r="BD194" s="6730"/>
      <c r="BE194" s="6731"/>
    </row>
    <row r="195" spans="1:57" ht="15" hidden="1" customHeight="1" x14ac:dyDescent="0.2">
      <c r="B195" s="2485" t="s">
        <v>251</v>
      </c>
      <c r="C195" s="2851" t="s">
        <v>169</v>
      </c>
      <c r="D195" s="7184"/>
      <c r="E195" s="5600">
        <f>+'2019-20 MASTER'!F406</f>
        <v>9</v>
      </c>
      <c r="F195" s="7184"/>
      <c r="G195" s="3176">
        <f>+'2019-20 MASTER'!G406</f>
        <v>8.1199999999999992</v>
      </c>
      <c r="H195" s="2976"/>
      <c r="I195" s="2102">
        <f>+'2019-20 MASTER'!H406</f>
        <v>8.5468887288440758</v>
      </c>
      <c r="J195" s="4705" t="s">
        <v>127</v>
      </c>
      <c r="K195" s="3883">
        <f>+'2019-20 MASTER'!I406</f>
        <v>8.7000000000000011</v>
      </c>
      <c r="L195" s="2554" t="s">
        <v>127</v>
      </c>
      <c r="M195" s="2268">
        <f>+'2019-20 MASTER'!J406</f>
        <v>8.5983346284894502</v>
      </c>
      <c r="N195" s="4705" t="s">
        <v>127</v>
      </c>
      <c r="O195" s="3883">
        <f>+'2019-20 MASTER'!M406</f>
        <v>9.3999999999999986</v>
      </c>
      <c r="P195" s="2976"/>
      <c r="Q195" s="2102">
        <f>+'2019-20 MASTER'!L406</f>
        <v>8.5252336575129188</v>
      </c>
      <c r="R195" s="4705" t="s">
        <v>127</v>
      </c>
      <c r="S195" s="3883" t="e">
        <f>+'2019-20 MASTER'!Q406</f>
        <v>#REF!</v>
      </c>
      <c r="T195" s="2976"/>
      <c r="U195" s="2102" t="e">
        <f>+'2019-20 MASTER'!P406</f>
        <v>#REF!</v>
      </c>
      <c r="V195" s="4705" t="s">
        <v>127</v>
      </c>
      <c r="W195" s="3883" t="e">
        <f>+'2019-20 MASTER'!U406</f>
        <v>#REF!</v>
      </c>
      <c r="X195" s="2554" t="s">
        <v>127</v>
      </c>
      <c r="Y195" s="2268">
        <f>+'2019-20 MASTER'!V406</f>
        <v>9.48</v>
      </c>
      <c r="Z195" s="6717"/>
      <c r="AA195" s="6725">
        <f>+'2019-20 MASTER'!T406</f>
        <v>8.9499999999999993</v>
      </c>
      <c r="AB195" s="4705" t="s">
        <v>127</v>
      </c>
      <c r="AC195" s="3883">
        <f>+'2019-20 MASTER'!AA406</f>
        <v>8.75</v>
      </c>
      <c r="AD195" s="2976"/>
      <c r="AE195" s="2102" t="e">
        <f>+'2019-20 MASTER'!Z406</f>
        <v>#REF!</v>
      </c>
      <c r="AF195" s="4705" t="s">
        <v>127</v>
      </c>
      <c r="AG195" s="3883" t="e">
        <f>+'2019-20 MASTER'!AE406</f>
        <v>#REF!</v>
      </c>
      <c r="AH195" s="2976"/>
      <c r="AI195" s="2102" t="e">
        <f>+'2019-20 MASTER'!AD406</f>
        <v>#REF!</v>
      </c>
      <c r="AJ195" s="4705" t="s">
        <v>127</v>
      </c>
      <c r="AK195" s="3883">
        <f>+'2019-20 MASTER'!AI406</f>
        <v>0</v>
      </c>
      <c r="AL195" s="2554" t="s">
        <v>127</v>
      </c>
      <c r="AM195" s="2268">
        <f>+'2019-20 MASTER'!AJ406</f>
        <v>0</v>
      </c>
      <c r="AN195" s="2976"/>
      <c r="AO195" s="2102">
        <f>+'2019-20 MASTER'!AH406</f>
        <v>0</v>
      </c>
      <c r="AP195" s="4705" t="s">
        <v>127</v>
      </c>
      <c r="AQ195" s="3883">
        <f>+'2019-20 MASTER'!AO406</f>
        <v>0</v>
      </c>
      <c r="AR195" s="2976"/>
      <c r="AS195" s="2102">
        <f>+'2019-20 MASTER'!AN406</f>
        <v>0</v>
      </c>
      <c r="AT195" s="4705" t="s">
        <v>127</v>
      </c>
      <c r="AU195" s="3883">
        <f>+'2019-20 MASTER'!AS406</f>
        <v>0</v>
      </c>
      <c r="AV195" s="2976"/>
      <c r="AW195" s="2102">
        <f>+'2019-20 MASTER'!AR406</f>
        <v>0</v>
      </c>
      <c r="AX195" s="4705" t="s">
        <v>127</v>
      </c>
      <c r="AY195" s="3883">
        <f>+'2019-20 MASTER'!AW406</f>
        <v>0</v>
      </c>
      <c r="AZ195" s="2554" t="s">
        <v>127</v>
      </c>
      <c r="BA195" s="2268">
        <f>+'2019-20 MASTER'!AX406</f>
        <v>0</v>
      </c>
      <c r="BB195" s="2554"/>
      <c r="BC195" s="2268"/>
      <c r="BD195" s="6717"/>
      <c r="BE195" s="6725">
        <f>+'2019-20 MASTER'!AV406</f>
        <v>0</v>
      </c>
    </row>
    <row r="196" spans="1:57" ht="15" hidden="1" customHeight="1" x14ac:dyDescent="0.2">
      <c r="B196" s="2485" t="s">
        <v>252</v>
      </c>
      <c r="C196" s="2851" t="s">
        <v>169</v>
      </c>
      <c r="D196" s="7184"/>
      <c r="E196" s="5600">
        <f>+'2019-20 MASTER'!F407</f>
        <v>7.45</v>
      </c>
      <c r="F196" s="7184"/>
      <c r="G196" s="3176">
        <f>+'2019-20 MASTER'!G407</f>
        <v>7.5200000000000005</v>
      </c>
      <c r="H196" s="2976"/>
      <c r="I196" s="2102">
        <f>+'2019-20 MASTER'!H407</f>
        <v>7.486042942023766</v>
      </c>
      <c r="J196" s="4705" t="s">
        <v>127</v>
      </c>
      <c r="K196" s="3883">
        <f>+'2019-20 MASTER'!I407</f>
        <v>8.0599999999999987</v>
      </c>
      <c r="L196" s="2554" t="s">
        <v>127</v>
      </c>
      <c r="M196" s="2268">
        <f>+'2019-20 MASTER'!J407</f>
        <v>7.6788944348137962</v>
      </c>
      <c r="N196" s="4705" t="s">
        <v>127</v>
      </c>
      <c r="O196" s="3883">
        <f>+'2019-20 MASTER'!M407</f>
        <v>7.6749999999999998</v>
      </c>
      <c r="P196" s="2976"/>
      <c r="Q196" s="2102">
        <f>+'2019-20 MASTER'!L407</f>
        <v>7.7943294898120357</v>
      </c>
      <c r="R196" s="4705" t="s">
        <v>127</v>
      </c>
      <c r="S196" s="3883" t="e">
        <f>+'2019-20 MASTER'!Q407</f>
        <v>#REF!</v>
      </c>
      <c r="T196" s="2976"/>
      <c r="U196" s="2102" t="e">
        <f>+'2019-20 MASTER'!P407</f>
        <v>#REF!</v>
      </c>
      <c r="V196" s="4705" t="s">
        <v>127</v>
      </c>
      <c r="W196" s="3883" t="e">
        <f>+'2019-20 MASTER'!U407</f>
        <v>#REF!</v>
      </c>
      <c r="X196" s="2554" t="s">
        <v>127</v>
      </c>
      <c r="Y196" s="2268">
        <f>+'2019-20 MASTER'!V407</f>
        <v>7.919999999999999</v>
      </c>
      <c r="Z196" s="6717"/>
      <c r="AA196" s="6725">
        <f>+'2019-20 MASTER'!T407</f>
        <v>8.375</v>
      </c>
      <c r="AB196" s="4705" t="s">
        <v>127</v>
      </c>
      <c r="AC196" s="3883">
        <f>+'2019-20 MASTER'!AA407</f>
        <v>7.9749999999999996</v>
      </c>
      <c r="AD196" s="2976"/>
      <c r="AE196" s="2102" t="e">
        <f>+'2019-20 MASTER'!Z407</f>
        <v>#REF!</v>
      </c>
      <c r="AF196" s="4705" t="s">
        <v>127</v>
      </c>
      <c r="AG196" s="3883" t="e">
        <f>+'2019-20 MASTER'!AE407</f>
        <v>#REF!</v>
      </c>
      <c r="AH196" s="2976"/>
      <c r="AI196" s="2102" t="e">
        <f>+'2019-20 MASTER'!AD407</f>
        <v>#REF!</v>
      </c>
      <c r="AJ196" s="4705" t="s">
        <v>127</v>
      </c>
      <c r="AK196" s="3883">
        <f>+'2019-20 MASTER'!AI407</f>
        <v>0</v>
      </c>
      <c r="AL196" s="2554" t="s">
        <v>127</v>
      </c>
      <c r="AM196" s="2268">
        <f>+'2019-20 MASTER'!AJ407</f>
        <v>0</v>
      </c>
      <c r="AN196" s="2976"/>
      <c r="AO196" s="2102">
        <f>+'2019-20 MASTER'!AH407</f>
        <v>0</v>
      </c>
      <c r="AP196" s="4705" t="s">
        <v>127</v>
      </c>
      <c r="AQ196" s="3883">
        <f>+'2019-20 MASTER'!AO407</f>
        <v>0</v>
      </c>
      <c r="AR196" s="2976"/>
      <c r="AS196" s="2102">
        <f>+'2019-20 MASTER'!AN407</f>
        <v>0</v>
      </c>
      <c r="AT196" s="4705" t="s">
        <v>127</v>
      </c>
      <c r="AU196" s="3883">
        <f>+'2019-20 MASTER'!AS407</f>
        <v>0</v>
      </c>
      <c r="AV196" s="2976"/>
      <c r="AW196" s="2102">
        <f>+'2019-20 MASTER'!AR407</f>
        <v>0</v>
      </c>
      <c r="AX196" s="4705" t="s">
        <v>127</v>
      </c>
      <c r="AY196" s="3883">
        <f>+'2019-20 MASTER'!AW407</f>
        <v>0</v>
      </c>
      <c r="AZ196" s="2554" t="s">
        <v>127</v>
      </c>
      <c r="BA196" s="2268">
        <f>+'2019-20 MASTER'!AX407</f>
        <v>0</v>
      </c>
      <c r="BB196" s="2554"/>
      <c r="BC196" s="2268"/>
      <c r="BD196" s="6717"/>
      <c r="BE196" s="6725">
        <f>+'2019-20 MASTER'!AV407</f>
        <v>0</v>
      </c>
    </row>
    <row r="197" spans="1:57" ht="15" hidden="1" customHeight="1" x14ac:dyDescent="0.2">
      <c r="B197" s="2485" t="s">
        <v>253</v>
      </c>
      <c r="C197" s="2851" t="s">
        <v>169</v>
      </c>
      <c r="D197" s="7184"/>
      <c r="E197" s="5600">
        <f>+'2019-20 MASTER'!F408</f>
        <v>30.375</v>
      </c>
      <c r="F197" s="7184"/>
      <c r="G197" s="3176">
        <f>+'2019-20 MASTER'!G408</f>
        <v>33.160000000000004</v>
      </c>
      <c r="H197" s="2976"/>
      <c r="I197" s="2102">
        <f>+'2019-20 MASTER'!H408</f>
        <v>31.808994193374144</v>
      </c>
      <c r="J197" s="4705" t="s">
        <v>127</v>
      </c>
      <c r="K197" s="3883">
        <f>+'2019-20 MASTER'!I408</f>
        <v>32.42</v>
      </c>
      <c r="L197" s="2554" t="s">
        <v>127</v>
      </c>
      <c r="M197" s="3902">
        <f>+'2019-20 MASTER'!J408</f>
        <v>32.014294189730407</v>
      </c>
      <c r="N197" s="4705" t="s">
        <v>127</v>
      </c>
      <c r="O197" s="3883">
        <f>+'2019-20 MASTER'!M408</f>
        <v>34.075000000000003</v>
      </c>
      <c r="P197" s="2976"/>
      <c r="Q197" s="2102">
        <f>+'2019-20 MASTER'!L408</f>
        <v>32.310953584403272</v>
      </c>
      <c r="R197" s="4705" t="s">
        <v>127</v>
      </c>
      <c r="S197" s="3883" t="e">
        <f>+'2019-20 MASTER'!Q408</f>
        <v>#REF!</v>
      </c>
      <c r="T197" s="2976"/>
      <c r="U197" s="2102" t="e">
        <f>+'2019-20 MASTER'!P408</f>
        <v>#REF!</v>
      </c>
      <c r="V197" s="4705" t="s">
        <v>127</v>
      </c>
      <c r="W197" s="3883" t="e">
        <f>+'2019-20 MASTER'!U408</f>
        <v>#REF!</v>
      </c>
      <c r="X197" s="2554" t="s">
        <v>127</v>
      </c>
      <c r="Y197" s="3902">
        <f>+'2019-20 MASTER'!V408</f>
        <v>32.480000000000004</v>
      </c>
      <c r="Z197" s="6717"/>
      <c r="AA197" s="6725">
        <f>+'2019-20 MASTER'!T408</f>
        <v>33.174999999999997</v>
      </c>
      <c r="AB197" s="4705" t="s">
        <v>127</v>
      </c>
      <c r="AC197" s="3883">
        <f>+'2019-20 MASTER'!AA408</f>
        <v>33</v>
      </c>
      <c r="AD197" s="2976"/>
      <c r="AE197" s="2102" t="e">
        <f>+'2019-20 MASTER'!Z408</f>
        <v>#REF!</v>
      </c>
      <c r="AF197" s="4705" t="s">
        <v>127</v>
      </c>
      <c r="AG197" s="3883" t="e">
        <f>+'2019-20 MASTER'!AE408</f>
        <v>#REF!</v>
      </c>
      <c r="AH197" s="2976"/>
      <c r="AI197" s="2102" t="e">
        <f>+'2019-20 MASTER'!AD408</f>
        <v>#REF!</v>
      </c>
      <c r="AJ197" s="4705" t="s">
        <v>127</v>
      </c>
      <c r="AK197" s="3883">
        <f>+'2019-20 MASTER'!AI408</f>
        <v>0</v>
      </c>
      <c r="AL197" s="2554" t="s">
        <v>127</v>
      </c>
      <c r="AM197" s="3902">
        <f>+'2019-20 MASTER'!AJ408</f>
        <v>0</v>
      </c>
      <c r="AN197" s="2976"/>
      <c r="AO197" s="2102">
        <f>+'2019-20 MASTER'!AH408</f>
        <v>0</v>
      </c>
      <c r="AP197" s="4705" t="s">
        <v>127</v>
      </c>
      <c r="AQ197" s="3883">
        <f>+'2019-20 MASTER'!AO408</f>
        <v>0</v>
      </c>
      <c r="AR197" s="2976"/>
      <c r="AS197" s="2102">
        <f>+'2019-20 MASTER'!AN408</f>
        <v>0</v>
      </c>
      <c r="AT197" s="4705" t="s">
        <v>127</v>
      </c>
      <c r="AU197" s="3883">
        <f>+'2019-20 MASTER'!AS408</f>
        <v>0</v>
      </c>
      <c r="AV197" s="2976"/>
      <c r="AW197" s="2102">
        <f>+'2019-20 MASTER'!AR408</f>
        <v>0</v>
      </c>
      <c r="AX197" s="4705" t="s">
        <v>127</v>
      </c>
      <c r="AY197" s="3883">
        <f>+'2019-20 MASTER'!AW408</f>
        <v>0</v>
      </c>
      <c r="AZ197" s="2554" t="s">
        <v>127</v>
      </c>
      <c r="BA197" s="3902">
        <f>+'2019-20 MASTER'!AX408</f>
        <v>0</v>
      </c>
      <c r="BB197" s="2554"/>
      <c r="BC197" s="3902"/>
      <c r="BD197" s="6717"/>
      <c r="BE197" s="6725">
        <f>+'2019-20 MASTER'!AV408</f>
        <v>0</v>
      </c>
    </row>
    <row r="198" spans="1:57" s="3380" customFormat="1" ht="15.75" hidden="1" customHeight="1" x14ac:dyDescent="0.2">
      <c r="A198" s="3379"/>
      <c r="B198" s="4369" t="s">
        <v>1369</v>
      </c>
      <c r="C198" s="4381"/>
      <c r="D198" s="3825"/>
      <c r="E198" s="3884"/>
      <c r="F198" s="3825"/>
      <c r="G198" s="3884"/>
      <c r="H198" s="3825"/>
      <c r="I198" s="3884"/>
      <c r="J198" s="3825"/>
      <c r="K198" s="3884"/>
      <c r="L198" s="3825"/>
      <c r="M198" s="3884"/>
      <c r="N198" s="3825"/>
      <c r="O198" s="3884"/>
      <c r="P198" s="3825"/>
      <c r="Q198" s="3884"/>
      <c r="R198" s="3825"/>
      <c r="S198" s="3884"/>
      <c r="T198" s="3825"/>
      <c r="U198" s="3884"/>
      <c r="V198" s="3825"/>
      <c r="W198" s="3884"/>
      <c r="X198" s="3825"/>
      <c r="Y198" s="3884"/>
      <c r="Z198" s="6732"/>
      <c r="AA198" s="6733"/>
      <c r="AB198" s="3825"/>
      <c r="AC198" s="3884"/>
      <c r="AD198" s="3825"/>
      <c r="AE198" s="3884"/>
      <c r="AF198" s="3825"/>
      <c r="AG198" s="3884"/>
      <c r="AH198" s="3825"/>
      <c r="AI198" s="3884"/>
      <c r="AJ198" s="3825"/>
      <c r="AK198" s="3884"/>
      <c r="AL198" s="3825"/>
      <c r="AM198" s="3884"/>
      <c r="AN198" s="3825"/>
      <c r="AO198" s="3884"/>
      <c r="AP198" s="3825"/>
      <c r="AQ198" s="3884"/>
      <c r="AR198" s="3825"/>
      <c r="AS198" s="3884"/>
      <c r="AT198" s="3825"/>
      <c r="AU198" s="3884"/>
      <c r="AV198" s="3825"/>
      <c r="AW198" s="3884"/>
      <c r="AX198" s="3825"/>
      <c r="AY198" s="3884"/>
      <c r="AZ198" s="3825"/>
      <c r="BA198" s="3884"/>
      <c r="BB198" s="3825"/>
      <c r="BC198" s="3884"/>
      <c r="BD198" s="6732"/>
      <c r="BE198" s="6733"/>
    </row>
    <row r="199" spans="1:57" ht="15" hidden="1" customHeight="1" x14ac:dyDescent="0.2">
      <c r="B199" s="1531" t="s">
        <v>698</v>
      </c>
      <c r="C199" s="1545" t="s">
        <v>169</v>
      </c>
      <c r="D199" s="7174"/>
      <c r="E199" s="5600" t="s">
        <v>127</v>
      </c>
      <c r="F199" s="7174"/>
      <c r="G199" s="3859" t="s">
        <v>127</v>
      </c>
      <c r="H199" s="3827"/>
      <c r="I199" s="1962" t="s">
        <v>127</v>
      </c>
      <c r="J199" s="7173" t="s">
        <v>127</v>
      </c>
      <c r="K199" s="3885" t="s">
        <v>127</v>
      </c>
      <c r="L199" s="3777" t="s">
        <v>127</v>
      </c>
      <c r="M199" s="2911" t="s">
        <v>127</v>
      </c>
      <c r="N199" s="7173" t="s">
        <v>127</v>
      </c>
      <c r="O199" s="3885" t="s">
        <v>127</v>
      </c>
      <c r="P199" s="3827"/>
      <c r="Q199" s="1962" t="s">
        <v>127</v>
      </c>
      <c r="R199" s="7173" t="s">
        <v>127</v>
      </c>
      <c r="S199" s="3885" t="s">
        <v>127</v>
      </c>
      <c r="T199" s="3827"/>
      <c r="U199" s="1962" t="s">
        <v>127</v>
      </c>
      <c r="V199" s="7173" t="s">
        <v>127</v>
      </c>
      <c r="W199" s="3885" t="s">
        <v>127</v>
      </c>
      <c r="X199" s="3777" t="s">
        <v>127</v>
      </c>
      <c r="Y199" s="2911" t="s">
        <v>127</v>
      </c>
      <c r="Z199" s="6734"/>
      <c r="AA199" s="6735" t="s">
        <v>127</v>
      </c>
      <c r="AB199" s="7173" t="s">
        <v>127</v>
      </c>
      <c r="AC199" s="3885" t="s">
        <v>127</v>
      </c>
      <c r="AD199" s="3827"/>
      <c r="AE199" s="1962" t="s">
        <v>127</v>
      </c>
      <c r="AF199" s="7173" t="s">
        <v>127</v>
      </c>
      <c r="AG199" s="3885" t="s">
        <v>127</v>
      </c>
      <c r="AH199" s="3827"/>
      <c r="AI199" s="1962" t="s">
        <v>127</v>
      </c>
      <c r="AJ199" s="7173" t="s">
        <v>127</v>
      </c>
      <c r="AK199" s="3885" t="s">
        <v>127</v>
      </c>
      <c r="AL199" s="3777" t="s">
        <v>127</v>
      </c>
      <c r="AM199" s="2911" t="s">
        <v>127</v>
      </c>
      <c r="AN199" s="3827"/>
      <c r="AO199" s="1962" t="s">
        <v>127</v>
      </c>
      <c r="AP199" s="7173" t="s">
        <v>127</v>
      </c>
      <c r="AQ199" s="3885" t="s">
        <v>127</v>
      </c>
      <c r="AR199" s="3827"/>
      <c r="AS199" s="1962" t="s">
        <v>127</v>
      </c>
      <c r="AT199" s="7173" t="s">
        <v>127</v>
      </c>
      <c r="AU199" s="3885" t="s">
        <v>127</v>
      </c>
      <c r="AV199" s="3827"/>
      <c r="AW199" s="1962" t="s">
        <v>127</v>
      </c>
      <c r="AX199" s="7173" t="s">
        <v>127</v>
      </c>
      <c r="AY199" s="3885" t="s">
        <v>127</v>
      </c>
      <c r="AZ199" s="3777" t="s">
        <v>127</v>
      </c>
      <c r="BA199" s="2911" t="s">
        <v>127</v>
      </c>
      <c r="BB199" s="3777"/>
      <c r="BC199" s="2911"/>
      <c r="BD199" s="6734"/>
      <c r="BE199" s="6735" t="s">
        <v>127</v>
      </c>
    </row>
    <row r="200" spans="1:57" ht="15" hidden="1" customHeight="1" x14ac:dyDescent="0.2">
      <c r="B200" s="1531" t="s">
        <v>691</v>
      </c>
      <c r="C200" s="1545" t="s">
        <v>169</v>
      </c>
      <c r="D200" s="7174"/>
      <c r="E200" s="5600" t="s">
        <v>127</v>
      </c>
      <c r="F200" s="7174"/>
      <c r="G200" s="3860" t="s">
        <v>127</v>
      </c>
      <c r="H200" s="3078"/>
      <c r="I200" s="2102" t="s">
        <v>127</v>
      </c>
      <c r="J200" s="7174" t="s">
        <v>127</v>
      </c>
      <c r="K200" s="3886" t="s">
        <v>127</v>
      </c>
      <c r="L200" s="3778" t="s">
        <v>127</v>
      </c>
      <c r="M200" s="3903" t="s">
        <v>127</v>
      </c>
      <c r="N200" s="7174" t="s">
        <v>127</v>
      </c>
      <c r="O200" s="3886" t="s">
        <v>127</v>
      </c>
      <c r="P200" s="3078"/>
      <c r="Q200" s="2102" t="s">
        <v>127</v>
      </c>
      <c r="R200" s="7174" t="s">
        <v>127</v>
      </c>
      <c r="S200" s="3886" t="s">
        <v>127</v>
      </c>
      <c r="T200" s="3078"/>
      <c r="U200" s="2102" t="s">
        <v>127</v>
      </c>
      <c r="V200" s="7174" t="s">
        <v>127</v>
      </c>
      <c r="W200" s="3886" t="s">
        <v>127</v>
      </c>
      <c r="X200" s="3778" t="s">
        <v>127</v>
      </c>
      <c r="Y200" s="3903" t="s">
        <v>127</v>
      </c>
      <c r="Z200" s="6736"/>
      <c r="AA200" s="6725" t="s">
        <v>127</v>
      </c>
      <c r="AB200" s="7174" t="s">
        <v>127</v>
      </c>
      <c r="AC200" s="3886" t="s">
        <v>127</v>
      </c>
      <c r="AD200" s="3078"/>
      <c r="AE200" s="2102" t="s">
        <v>127</v>
      </c>
      <c r="AF200" s="7174" t="s">
        <v>127</v>
      </c>
      <c r="AG200" s="3886" t="s">
        <v>127</v>
      </c>
      <c r="AH200" s="3078"/>
      <c r="AI200" s="2102" t="s">
        <v>127</v>
      </c>
      <c r="AJ200" s="7174" t="s">
        <v>127</v>
      </c>
      <c r="AK200" s="3886" t="s">
        <v>127</v>
      </c>
      <c r="AL200" s="3778" t="s">
        <v>127</v>
      </c>
      <c r="AM200" s="3903" t="s">
        <v>127</v>
      </c>
      <c r="AN200" s="3078"/>
      <c r="AO200" s="2102" t="s">
        <v>127</v>
      </c>
      <c r="AP200" s="7174" t="s">
        <v>127</v>
      </c>
      <c r="AQ200" s="3886" t="s">
        <v>127</v>
      </c>
      <c r="AR200" s="3078"/>
      <c r="AS200" s="2102" t="s">
        <v>127</v>
      </c>
      <c r="AT200" s="7174" t="s">
        <v>127</v>
      </c>
      <c r="AU200" s="3886" t="s">
        <v>127</v>
      </c>
      <c r="AV200" s="3078"/>
      <c r="AW200" s="2102" t="s">
        <v>127</v>
      </c>
      <c r="AX200" s="7174" t="s">
        <v>127</v>
      </c>
      <c r="AY200" s="3886" t="s">
        <v>127</v>
      </c>
      <c r="AZ200" s="3778" t="s">
        <v>127</v>
      </c>
      <c r="BA200" s="3903" t="s">
        <v>127</v>
      </c>
      <c r="BB200" s="3778"/>
      <c r="BC200" s="3903"/>
      <c r="BD200" s="6736"/>
      <c r="BE200" s="6725" t="s">
        <v>127</v>
      </c>
    </row>
    <row r="201" spans="1:57" ht="15" hidden="1" customHeight="1" x14ac:dyDescent="0.2">
      <c r="B201" s="1531" t="s">
        <v>699</v>
      </c>
      <c r="C201" s="1545" t="s">
        <v>169</v>
      </c>
      <c r="D201" s="7174"/>
      <c r="E201" s="5600" t="s">
        <v>127</v>
      </c>
      <c r="F201" s="7174"/>
      <c r="G201" s="3860" t="s">
        <v>127</v>
      </c>
      <c r="H201" s="3078"/>
      <c r="I201" s="2102" t="s">
        <v>127</v>
      </c>
      <c r="J201" s="7174" t="s">
        <v>127</v>
      </c>
      <c r="K201" s="3886" t="s">
        <v>127</v>
      </c>
      <c r="L201" s="3778" t="s">
        <v>127</v>
      </c>
      <c r="M201" s="3901" t="s">
        <v>127</v>
      </c>
      <c r="N201" s="7174" t="s">
        <v>127</v>
      </c>
      <c r="O201" s="3886" t="s">
        <v>127</v>
      </c>
      <c r="P201" s="3078"/>
      <c r="Q201" s="2102" t="s">
        <v>127</v>
      </c>
      <c r="R201" s="7174" t="s">
        <v>127</v>
      </c>
      <c r="S201" s="3886" t="s">
        <v>127</v>
      </c>
      <c r="T201" s="3078"/>
      <c r="U201" s="2102" t="s">
        <v>127</v>
      </c>
      <c r="V201" s="7174" t="s">
        <v>127</v>
      </c>
      <c r="W201" s="3886" t="s">
        <v>127</v>
      </c>
      <c r="X201" s="3778" t="s">
        <v>127</v>
      </c>
      <c r="Y201" s="3901" t="s">
        <v>127</v>
      </c>
      <c r="Z201" s="6736"/>
      <c r="AA201" s="6725" t="s">
        <v>127</v>
      </c>
      <c r="AB201" s="7174" t="s">
        <v>127</v>
      </c>
      <c r="AC201" s="3886" t="s">
        <v>127</v>
      </c>
      <c r="AD201" s="3078"/>
      <c r="AE201" s="2102" t="s">
        <v>127</v>
      </c>
      <c r="AF201" s="7174" t="s">
        <v>127</v>
      </c>
      <c r="AG201" s="3886" t="s">
        <v>127</v>
      </c>
      <c r="AH201" s="3078"/>
      <c r="AI201" s="2102" t="s">
        <v>127</v>
      </c>
      <c r="AJ201" s="7174" t="s">
        <v>127</v>
      </c>
      <c r="AK201" s="3886" t="s">
        <v>127</v>
      </c>
      <c r="AL201" s="3778" t="s">
        <v>127</v>
      </c>
      <c r="AM201" s="3901" t="s">
        <v>127</v>
      </c>
      <c r="AN201" s="3078"/>
      <c r="AO201" s="2102" t="s">
        <v>127</v>
      </c>
      <c r="AP201" s="7174" t="s">
        <v>127</v>
      </c>
      <c r="AQ201" s="3886" t="s">
        <v>127</v>
      </c>
      <c r="AR201" s="3078"/>
      <c r="AS201" s="2102" t="s">
        <v>127</v>
      </c>
      <c r="AT201" s="7174" t="s">
        <v>127</v>
      </c>
      <c r="AU201" s="3886" t="s">
        <v>127</v>
      </c>
      <c r="AV201" s="3078"/>
      <c r="AW201" s="2102" t="s">
        <v>127</v>
      </c>
      <c r="AX201" s="7174" t="s">
        <v>127</v>
      </c>
      <c r="AY201" s="3886" t="s">
        <v>127</v>
      </c>
      <c r="AZ201" s="3778" t="s">
        <v>127</v>
      </c>
      <c r="BA201" s="3901" t="s">
        <v>127</v>
      </c>
      <c r="BB201" s="3778"/>
      <c r="BC201" s="3901"/>
      <c r="BD201" s="6736"/>
      <c r="BE201" s="6725" t="s">
        <v>127</v>
      </c>
    </row>
    <row r="202" spans="1:57" s="3380" customFormat="1" ht="15.75" hidden="1" customHeight="1" x14ac:dyDescent="0.2">
      <c r="A202" s="3379"/>
      <c r="B202" s="4369" t="s">
        <v>1367</v>
      </c>
      <c r="C202" s="4370"/>
      <c r="D202" s="3441"/>
      <c r="E202" s="4382"/>
      <c r="F202" s="3441"/>
      <c r="G202" s="4383"/>
      <c r="H202" s="4384"/>
      <c r="I202" s="4383"/>
      <c r="J202" s="3382"/>
      <c r="K202" s="4383"/>
      <c r="L202" s="4384"/>
      <c r="M202" s="4383"/>
      <c r="N202" s="3382"/>
      <c r="O202" s="4383"/>
      <c r="P202" s="4384"/>
      <c r="Q202" s="4383"/>
      <c r="R202" s="3382"/>
      <c r="S202" s="4383"/>
      <c r="T202" s="4384"/>
      <c r="U202" s="4383"/>
      <c r="V202" s="3382"/>
      <c r="W202" s="4383"/>
      <c r="X202" s="4384"/>
      <c r="Y202" s="4383"/>
      <c r="Z202" s="6737"/>
      <c r="AA202" s="6738"/>
      <c r="AB202" s="3382"/>
      <c r="AC202" s="4383"/>
      <c r="AD202" s="4384"/>
      <c r="AE202" s="4383"/>
      <c r="AF202" s="3382"/>
      <c r="AG202" s="4383"/>
      <c r="AH202" s="4384"/>
      <c r="AI202" s="4383"/>
      <c r="AJ202" s="3382"/>
      <c r="AK202" s="4383"/>
      <c r="AL202" s="4384"/>
      <c r="AM202" s="4383"/>
      <c r="AN202" s="4384"/>
      <c r="AO202" s="4383"/>
      <c r="AP202" s="3382"/>
      <c r="AQ202" s="4383"/>
      <c r="AR202" s="4384"/>
      <c r="AS202" s="4383"/>
      <c r="AT202" s="3382"/>
      <c r="AU202" s="4383"/>
      <c r="AV202" s="4384"/>
      <c r="AW202" s="4383"/>
      <c r="AX202" s="3382"/>
      <c r="AY202" s="4383"/>
      <c r="AZ202" s="4384"/>
      <c r="BA202" s="4383"/>
      <c r="BB202" s="4384"/>
      <c r="BC202" s="4383"/>
      <c r="BD202" s="6737"/>
      <c r="BE202" s="6738"/>
    </row>
    <row r="203" spans="1:57" ht="15" hidden="1" customHeight="1" x14ac:dyDescent="0.2">
      <c r="B203" s="1531" t="s">
        <v>698</v>
      </c>
      <c r="C203" s="1545" t="s">
        <v>169</v>
      </c>
      <c r="D203" s="3224"/>
      <c r="E203" s="4406">
        <f>+'2019-20 MASTER'!F414</f>
        <v>0</v>
      </c>
      <c r="F203" s="3224"/>
      <c r="G203" s="1646">
        <f>+'2019-20 MASTER'!G414</f>
        <v>0</v>
      </c>
      <c r="H203" s="2976"/>
      <c r="I203" s="1823" t="e">
        <f>+'2019-20 MASTER'!H414</f>
        <v>#DIV/0!</v>
      </c>
      <c r="J203" s="3224">
        <v>8</v>
      </c>
      <c r="K203" s="2067">
        <f>+'2019-20 MASTER'!I414</f>
        <v>0</v>
      </c>
      <c r="L203" s="2881">
        <v>8</v>
      </c>
      <c r="M203" s="2268" t="e">
        <f>+'2019-20 MASTER'!J414</f>
        <v>#DIV/0!</v>
      </c>
      <c r="N203" s="3224">
        <v>8</v>
      </c>
      <c r="O203" s="3861">
        <f>+'2019-20 MASTER'!M414</f>
        <v>0</v>
      </c>
      <c r="P203" s="2976"/>
      <c r="Q203" s="1823" t="e">
        <f>+'2019-20 MASTER'!L414</f>
        <v>#DIV/0!</v>
      </c>
      <c r="R203" s="3224">
        <v>8</v>
      </c>
      <c r="S203" s="3861" t="e">
        <f>+'2019-20 MASTER'!Q414</f>
        <v>#DIV/0!</v>
      </c>
      <c r="T203" s="2976"/>
      <c r="U203" s="1823" t="e">
        <f>+'2019-20 MASTER'!P414</f>
        <v>#REF!</v>
      </c>
      <c r="V203" s="3224">
        <v>8</v>
      </c>
      <c r="W203" s="3861" t="e">
        <f>+'2019-20 MASTER'!U414</f>
        <v>#DIV/0!</v>
      </c>
      <c r="X203" s="2881">
        <v>8</v>
      </c>
      <c r="Y203" s="2268">
        <f>+'2019-20 MASTER'!V414</f>
        <v>0</v>
      </c>
      <c r="Z203" s="6717"/>
      <c r="AA203" s="6531">
        <f>+'2019-20 MASTER'!T414</f>
        <v>0</v>
      </c>
      <c r="AB203" s="3224">
        <v>8</v>
      </c>
      <c r="AC203" s="3861">
        <f>+'2019-20 MASTER'!AA414</f>
        <v>0</v>
      </c>
      <c r="AD203" s="2976"/>
      <c r="AE203" s="1823" t="e">
        <f>+'2019-20 MASTER'!Z414</f>
        <v>#DIV/0!</v>
      </c>
      <c r="AF203" s="3224">
        <v>8</v>
      </c>
      <c r="AG203" s="3861" t="e">
        <f>+'2019-20 MASTER'!AE414</f>
        <v>#REF!</v>
      </c>
      <c r="AH203" s="2976"/>
      <c r="AI203" s="1823" t="e">
        <f>+'2019-20 MASTER'!AD414</f>
        <v>#REF!</v>
      </c>
      <c r="AJ203" s="3224">
        <v>8</v>
      </c>
      <c r="AK203" s="3861">
        <f>+'2019-20 MASTER'!AI414</f>
        <v>0</v>
      </c>
      <c r="AL203" s="2881">
        <v>8</v>
      </c>
      <c r="AM203" s="2268">
        <f>+'2019-20 MASTER'!AJ414</f>
        <v>0</v>
      </c>
      <c r="AN203" s="2976"/>
      <c r="AO203" s="1823">
        <f>+'2019-20 MASTER'!AH414</f>
        <v>0</v>
      </c>
      <c r="AP203" s="3224">
        <v>8</v>
      </c>
      <c r="AQ203" s="3861">
        <f>+'2019-20 MASTER'!AO414</f>
        <v>0</v>
      </c>
      <c r="AR203" s="2976"/>
      <c r="AS203" s="1823">
        <f>+'2019-20 MASTER'!AN414</f>
        <v>0</v>
      </c>
      <c r="AT203" s="3224">
        <v>8</v>
      </c>
      <c r="AU203" s="3861">
        <f>+'2019-20 MASTER'!AS414</f>
        <v>0</v>
      </c>
      <c r="AV203" s="2976"/>
      <c r="AW203" s="1823">
        <f>+'2019-20 MASTER'!AR414</f>
        <v>0</v>
      </c>
      <c r="AX203" s="3224">
        <v>8</v>
      </c>
      <c r="AY203" s="3861">
        <f>+'2019-20 MASTER'!AW414</f>
        <v>0</v>
      </c>
      <c r="AZ203" s="2881">
        <v>8</v>
      </c>
      <c r="BA203" s="2268">
        <f>+'2019-20 MASTER'!AX414</f>
        <v>0</v>
      </c>
      <c r="BB203" s="2881"/>
      <c r="BC203" s="2268"/>
      <c r="BD203" s="6717"/>
      <c r="BE203" s="6531">
        <f>+'2019-20 MASTER'!AV414</f>
        <v>0</v>
      </c>
    </row>
    <row r="204" spans="1:57" ht="15" hidden="1" customHeight="1" x14ac:dyDescent="0.2">
      <c r="B204" s="1531" t="s">
        <v>691</v>
      </c>
      <c r="C204" s="1545" t="s">
        <v>169</v>
      </c>
      <c r="D204" s="3224"/>
      <c r="E204" s="4406">
        <f>+'2019-20 MASTER'!F415</f>
        <v>0</v>
      </c>
      <c r="F204" s="3224"/>
      <c r="G204" s="1646">
        <f>+'2019-20 MASTER'!G415</f>
        <v>0</v>
      </c>
      <c r="H204" s="2976"/>
      <c r="I204" s="1823" t="e">
        <f>+'2019-20 MASTER'!H415</f>
        <v>#DIV/0!</v>
      </c>
      <c r="J204" s="3224">
        <v>9.8000000000000007</v>
      </c>
      <c r="K204" s="2067">
        <f>+'2019-20 MASTER'!I415</f>
        <v>0</v>
      </c>
      <c r="L204" s="2881">
        <v>9.8000000000000007</v>
      </c>
      <c r="M204" s="2268" t="e">
        <f>+'2019-20 MASTER'!J415</f>
        <v>#DIV/0!</v>
      </c>
      <c r="N204" s="3224">
        <v>9.8000000000000007</v>
      </c>
      <c r="O204" s="3861">
        <f>+'2019-20 MASTER'!M415</f>
        <v>0</v>
      </c>
      <c r="P204" s="2976"/>
      <c r="Q204" s="1823" t="e">
        <f>+'2019-20 MASTER'!L415</f>
        <v>#DIV/0!</v>
      </c>
      <c r="R204" s="3224">
        <v>9.8000000000000007</v>
      </c>
      <c r="S204" s="3861" t="e">
        <f>+'2019-20 MASTER'!Q415</f>
        <v>#DIV/0!</v>
      </c>
      <c r="T204" s="2976"/>
      <c r="U204" s="1823" t="e">
        <f>+'2019-20 MASTER'!P415</f>
        <v>#REF!</v>
      </c>
      <c r="V204" s="3224">
        <v>9.8000000000000007</v>
      </c>
      <c r="W204" s="3861" t="e">
        <f>+'2019-20 MASTER'!U415</f>
        <v>#DIV/0!</v>
      </c>
      <c r="X204" s="2881">
        <v>9.8000000000000007</v>
      </c>
      <c r="Y204" s="2268">
        <f>+'2019-20 MASTER'!V415</f>
        <v>0</v>
      </c>
      <c r="Z204" s="6717"/>
      <c r="AA204" s="6531">
        <f>+'2019-20 MASTER'!T415</f>
        <v>0</v>
      </c>
      <c r="AB204" s="3224">
        <v>9.8000000000000007</v>
      </c>
      <c r="AC204" s="3861">
        <f>+'2019-20 MASTER'!AA415</f>
        <v>0</v>
      </c>
      <c r="AD204" s="2976"/>
      <c r="AE204" s="1823" t="e">
        <f>+'2019-20 MASTER'!Z415</f>
        <v>#DIV/0!</v>
      </c>
      <c r="AF204" s="3224">
        <v>9.8000000000000007</v>
      </c>
      <c r="AG204" s="3861" t="e">
        <f>+'2019-20 MASTER'!AE415</f>
        <v>#REF!</v>
      </c>
      <c r="AH204" s="2976"/>
      <c r="AI204" s="1823" t="e">
        <f>+'2019-20 MASTER'!AD415</f>
        <v>#REF!</v>
      </c>
      <c r="AJ204" s="3224">
        <v>9.8000000000000007</v>
      </c>
      <c r="AK204" s="3861">
        <f>+'2019-20 MASTER'!AI415</f>
        <v>0</v>
      </c>
      <c r="AL204" s="2881">
        <v>9.8000000000000007</v>
      </c>
      <c r="AM204" s="2268">
        <f>+'2019-20 MASTER'!AJ415</f>
        <v>0</v>
      </c>
      <c r="AN204" s="2976"/>
      <c r="AO204" s="1823">
        <f>+'2019-20 MASTER'!AH415</f>
        <v>0</v>
      </c>
      <c r="AP204" s="3224">
        <v>9.8000000000000007</v>
      </c>
      <c r="AQ204" s="3861">
        <f>+'2019-20 MASTER'!AO415</f>
        <v>0</v>
      </c>
      <c r="AR204" s="2976"/>
      <c r="AS204" s="1823">
        <f>+'2019-20 MASTER'!AN415</f>
        <v>0</v>
      </c>
      <c r="AT204" s="3224">
        <v>9.8000000000000007</v>
      </c>
      <c r="AU204" s="3861">
        <f>+'2019-20 MASTER'!AS415</f>
        <v>0</v>
      </c>
      <c r="AV204" s="2976"/>
      <c r="AW204" s="1823">
        <f>+'2019-20 MASTER'!AR415</f>
        <v>0</v>
      </c>
      <c r="AX204" s="3224">
        <v>9.8000000000000007</v>
      </c>
      <c r="AY204" s="3861">
        <f>+'2019-20 MASTER'!AW415</f>
        <v>0</v>
      </c>
      <c r="AZ204" s="2881">
        <v>9.8000000000000007</v>
      </c>
      <c r="BA204" s="2268">
        <f>+'2019-20 MASTER'!AX415</f>
        <v>0</v>
      </c>
      <c r="BB204" s="2881"/>
      <c r="BC204" s="2268"/>
      <c r="BD204" s="6717"/>
      <c r="BE204" s="6531">
        <f>+'2019-20 MASTER'!AV415</f>
        <v>0</v>
      </c>
    </row>
    <row r="205" spans="1:57" ht="15" hidden="1" customHeight="1" x14ac:dyDescent="0.2">
      <c r="B205" s="1531" t="s">
        <v>699</v>
      </c>
      <c r="C205" s="1545" t="s">
        <v>169</v>
      </c>
      <c r="D205" s="3224"/>
      <c r="E205" s="4406">
        <f>+'2019-20 MASTER'!F416</f>
        <v>0</v>
      </c>
      <c r="F205" s="3224"/>
      <c r="G205" s="1646">
        <f>+'2019-20 MASTER'!G416</f>
        <v>0</v>
      </c>
      <c r="H205" s="2976"/>
      <c r="I205" s="1823" t="e">
        <f>+'2019-20 MASTER'!H416</f>
        <v>#DIV/0!</v>
      </c>
      <c r="J205" s="3224">
        <v>23</v>
      </c>
      <c r="K205" s="2067">
        <f>+'2019-20 MASTER'!I416</f>
        <v>0</v>
      </c>
      <c r="L205" s="2881">
        <v>23</v>
      </c>
      <c r="M205" s="2268" t="e">
        <f>+'2019-20 MASTER'!J416</f>
        <v>#DIV/0!</v>
      </c>
      <c r="N205" s="3224">
        <v>23</v>
      </c>
      <c r="O205" s="3861">
        <f>+'2019-20 MASTER'!M416</f>
        <v>0</v>
      </c>
      <c r="P205" s="2976"/>
      <c r="Q205" s="1823" t="e">
        <f>+'2019-20 MASTER'!L416</f>
        <v>#DIV/0!</v>
      </c>
      <c r="R205" s="3224">
        <v>23</v>
      </c>
      <c r="S205" s="3861" t="e">
        <f>+'2019-20 MASTER'!Q416</f>
        <v>#DIV/0!</v>
      </c>
      <c r="T205" s="2976"/>
      <c r="U205" s="1823" t="e">
        <f>+'2019-20 MASTER'!P416</f>
        <v>#REF!</v>
      </c>
      <c r="V205" s="3224">
        <v>23</v>
      </c>
      <c r="W205" s="3861" t="e">
        <f>+'2019-20 MASTER'!U416</f>
        <v>#DIV/0!</v>
      </c>
      <c r="X205" s="2881">
        <v>23</v>
      </c>
      <c r="Y205" s="2268">
        <f>+'2019-20 MASTER'!V416</f>
        <v>0</v>
      </c>
      <c r="Z205" s="6717"/>
      <c r="AA205" s="6531">
        <f>+'2019-20 MASTER'!T416</f>
        <v>0</v>
      </c>
      <c r="AB205" s="3224">
        <v>23</v>
      </c>
      <c r="AC205" s="3861">
        <f>+'2019-20 MASTER'!AA416</f>
        <v>0</v>
      </c>
      <c r="AD205" s="2976"/>
      <c r="AE205" s="1823" t="e">
        <f>+'2019-20 MASTER'!Z416</f>
        <v>#DIV/0!</v>
      </c>
      <c r="AF205" s="3224">
        <v>23</v>
      </c>
      <c r="AG205" s="3861" t="e">
        <f>+'2019-20 MASTER'!AE416</f>
        <v>#REF!</v>
      </c>
      <c r="AH205" s="2976"/>
      <c r="AI205" s="1823" t="e">
        <f>+'2019-20 MASTER'!AD416</f>
        <v>#REF!</v>
      </c>
      <c r="AJ205" s="3224">
        <v>23</v>
      </c>
      <c r="AK205" s="3861">
        <f>+'2019-20 MASTER'!AI416</f>
        <v>0</v>
      </c>
      <c r="AL205" s="2881">
        <v>23</v>
      </c>
      <c r="AM205" s="2268">
        <f>+'2019-20 MASTER'!AJ416</f>
        <v>0</v>
      </c>
      <c r="AN205" s="2976"/>
      <c r="AO205" s="1823">
        <f>+'2019-20 MASTER'!AH416</f>
        <v>0</v>
      </c>
      <c r="AP205" s="3224">
        <v>23</v>
      </c>
      <c r="AQ205" s="3861">
        <f>+'2019-20 MASTER'!AO416</f>
        <v>0</v>
      </c>
      <c r="AR205" s="2976"/>
      <c r="AS205" s="1823">
        <f>+'2019-20 MASTER'!AN416</f>
        <v>0</v>
      </c>
      <c r="AT205" s="3224">
        <v>23</v>
      </c>
      <c r="AU205" s="3861">
        <f>+'2019-20 MASTER'!AS416</f>
        <v>0</v>
      </c>
      <c r="AV205" s="2976"/>
      <c r="AW205" s="1823">
        <f>+'2019-20 MASTER'!AR416</f>
        <v>0</v>
      </c>
      <c r="AX205" s="3224">
        <v>23</v>
      </c>
      <c r="AY205" s="3861">
        <f>+'2019-20 MASTER'!AW416</f>
        <v>0</v>
      </c>
      <c r="AZ205" s="2881">
        <v>23</v>
      </c>
      <c r="BA205" s="2268">
        <f>+'2019-20 MASTER'!AX416</f>
        <v>0</v>
      </c>
      <c r="BB205" s="2881"/>
      <c r="BC205" s="2268"/>
      <c r="BD205" s="6717"/>
      <c r="BE205" s="6531">
        <f>+'2019-20 MASTER'!AV416</f>
        <v>0</v>
      </c>
    </row>
    <row r="206" spans="1:57" s="3380" customFormat="1" ht="15.75" hidden="1" customHeight="1" x14ac:dyDescent="0.2">
      <c r="A206" s="3379"/>
      <c r="B206" s="4375" t="s">
        <v>1368</v>
      </c>
      <c r="C206" s="4376"/>
      <c r="D206" s="3440"/>
      <c r="E206" s="4385"/>
      <c r="F206" s="3440"/>
      <c r="G206" s="4385"/>
      <c r="H206" s="3440"/>
      <c r="I206" s="4385"/>
      <c r="J206" s="3440"/>
      <c r="K206" s="4385"/>
      <c r="L206" s="4379"/>
      <c r="M206" s="4378"/>
      <c r="N206" s="3440"/>
      <c r="O206" s="4385"/>
      <c r="P206" s="3440"/>
      <c r="Q206" s="4385"/>
      <c r="R206" s="3440"/>
      <c r="S206" s="4385"/>
      <c r="T206" s="3440"/>
      <c r="U206" s="4385"/>
      <c r="V206" s="3440"/>
      <c r="W206" s="4385"/>
      <c r="X206" s="4379"/>
      <c r="Y206" s="4378"/>
      <c r="Z206" s="6739"/>
      <c r="AA206" s="6740"/>
      <c r="AB206" s="3440"/>
      <c r="AC206" s="4385"/>
      <c r="AD206" s="3440"/>
      <c r="AE206" s="4385"/>
      <c r="AF206" s="3440"/>
      <c r="AG206" s="4385"/>
      <c r="AH206" s="3440"/>
      <c r="AI206" s="4385"/>
      <c r="AJ206" s="3440"/>
      <c r="AK206" s="4385"/>
      <c r="AL206" s="4379"/>
      <c r="AM206" s="4378"/>
      <c r="AN206" s="3440"/>
      <c r="AO206" s="4385"/>
      <c r="AP206" s="3440"/>
      <c r="AQ206" s="4385"/>
      <c r="AR206" s="3440"/>
      <c r="AS206" s="4385"/>
      <c r="AT206" s="3440"/>
      <c r="AU206" s="4385"/>
      <c r="AV206" s="3440"/>
      <c r="AW206" s="4385"/>
      <c r="AX206" s="3440"/>
      <c r="AY206" s="4385"/>
      <c r="AZ206" s="4379"/>
      <c r="BA206" s="4378"/>
      <c r="BB206" s="4379"/>
      <c r="BC206" s="4378"/>
      <c r="BD206" s="6739"/>
      <c r="BE206" s="6740"/>
    </row>
    <row r="207" spans="1:57" ht="15" hidden="1" customHeight="1" x14ac:dyDescent="0.2">
      <c r="B207" s="2485" t="s">
        <v>251</v>
      </c>
      <c r="C207" s="1545" t="s">
        <v>169</v>
      </c>
      <c r="D207" s="3220"/>
      <c r="E207" s="4406">
        <f>+'2019-20 MASTER'!F418</f>
        <v>9</v>
      </c>
      <c r="F207" s="3220"/>
      <c r="G207" s="1646">
        <f>+'2019-20 MASTER'!G418</f>
        <v>9.1</v>
      </c>
      <c r="H207" s="3128"/>
      <c r="I207" s="1823">
        <f>+'2019-20 MASTER'!H418</f>
        <v>9.0519630484988447</v>
      </c>
      <c r="J207" s="3220">
        <v>8.5</v>
      </c>
      <c r="K207" s="1646" t="str">
        <f>+'2019-20 MASTER'!I418</f>
        <v>-</v>
      </c>
      <c r="L207" s="3077">
        <v>8.5</v>
      </c>
      <c r="M207" s="2011" t="e">
        <f>+'2019-20 MASTER'!J418</f>
        <v>#VALUE!</v>
      </c>
      <c r="N207" s="3220">
        <v>8.5</v>
      </c>
      <c r="O207" s="3918">
        <f>+'2019-20 MASTER'!M418</f>
        <v>9.66</v>
      </c>
      <c r="P207" s="3128"/>
      <c r="Q207" s="1823" t="e">
        <f>+'2019-20 MASTER'!L418</f>
        <v>#VALUE!</v>
      </c>
      <c r="R207" s="3220">
        <v>8.5</v>
      </c>
      <c r="S207" s="3918" t="e">
        <f>+'2019-20 MASTER'!Q418</f>
        <v>#VALUE!</v>
      </c>
      <c r="T207" s="3128"/>
      <c r="U207" s="1823" t="e">
        <f>+'2019-20 MASTER'!P418</f>
        <v>#VALUE!</v>
      </c>
      <c r="V207" s="3220">
        <v>8.5</v>
      </c>
      <c r="W207" s="3918" t="e">
        <f>+'2019-20 MASTER'!U418</f>
        <v>#VALUE!</v>
      </c>
      <c r="X207" s="3077">
        <v>8.5</v>
      </c>
      <c r="Y207" s="2011">
        <f>+'2019-20 MASTER'!V418</f>
        <v>9.15</v>
      </c>
      <c r="Z207" s="6741"/>
      <c r="AA207" s="6531">
        <f>+'2019-20 MASTER'!T418</f>
        <v>8.4333333333333336</v>
      </c>
      <c r="AB207" s="3220">
        <v>8.5</v>
      </c>
      <c r="AC207" s="3918">
        <f>+'2019-20 MASTER'!AA418</f>
        <v>9.7000000000000011</v>
      </c>
      <c r="AD207" s="3128"/>
      <c r="AE207" s="1823" t="e">
        <f>+'2019-20 MASTER'!Z418</f>
        <v>#VALUE!</v>
      </c>
      <c r="AF207" s="3220">
        <v>8.5</v>
      </c>
      <c r="AG207" s="3918" t="e">
        <f>+'2019-20 MASTER'!AE418</f>
        <v>#REF!</v>
      </c>
      <c r="AH207" s="3128"/>
      <c r="AI207" s="1823" t="e">
        <f>+'2019-20 MASTER'!AD418</f>
        <v>#REF!</v>
      </c>
      <c r="AJ207" s="3220">
        <v>8.5</v>
      </c>
      <c r="AK207" s="3918">
        <f>+'2019-20 MASTER'!AI418</f>
        <v>0</v>
      </c>
      <c r="AL207" s="3077">
        <v>8.5</v>
      </c>
      <c r="AM207" s="2011">
        <f>+'2019-20 MASTER'!AJ418</f>
        <v>0</v>
      </c>
      <c r="AN207" s="3128"/>
      <c r="AO207" s="1823">
        <f>+'2019-20 MASTER'!AH418</f>
        <v>0</v>
      </c>
      <c r="AP207" s="3220">
        <v>8.5</v>
      </c>
      <c r="AQ207" s="3918">
        <f>+'2019-20 MASTER'!AO418</f>
        <v>0</v>
      </c>
      <c r="AR207" s="3128"/>
      <c r="AS207" s="1823">
        <f>+'2019-20 MASTER'!AN418</f>
        <v>0</v>
      </c>
      <c r="AT207" s="3220">
        <v>8.5</v>
      </c>
      <c r="AU207" s="3918">
        <f>+'2019-20 MASTER'!AS418</f>
        <v>0</v>
      </c>
      <c r="AV207" s="3128"/>
      <c r="AW207" s="1823">
        <f>+'2019-20 MASTER'!AR418</f>
        <v>0</v>
      </c>
      <c r="AX207" s="3220">
        <v>8.5</v>
      </c>
      <c r="AY207" s="3918">
        <f>+'2019-20 MASTER'!AW418</f>
        <v>0</v>
      </c>
      <c r="AZ207" s="3077">
        <v>8.5</v>
      </c>
      <c r="BA207" s="2011">
        <f>+'2019-20 MASTER'!AX418</f>
        <v>0</v>
      </c>
      <c r="BB207" s="3077"/>
      <c r="BC207" s="2011"/>
      <c r="BD207" s="6741"/>
      <c r="BE207" s="6531">
        <f>+'2019-20 MASTER'!AV418</f>
        <v>0</v>
      </c>
    </row>
    <row r="208" spans="1:57" ht="15" hidden="1" customHeight="1" x14ac:dyDescent="0.2">
      <c r="B208" s="2485" t="s">
        <v>252</v>
      </c>
      <c r="C208" s="1545" t="s">
        <v>169</v>
      </c>
      <c r="D208" s="3220"/>
      <c r="E208" s="4406">
        <f>+'2019-20 MASTER'!F419</f>
        <v>9.8000000000000007</v>
      </c>
      <c r="F208" s="3220"/>
      <c r="G208" s="1646">
        <f>+'2019-20 MASTER'!G419</f>
        <v>9.625</v>
      </c>
      <c r="H208" s="3128"/>
      <c r="I208" s="1823">
        <f>+'2019-20 MASTER'!H419</f>
        <v>9.7090646651270216</v>
      </c>
      <c r="J208" s="3220">
        <v>10.5</v>
      </c>
      <c r="K208" s="1646" t="str">
        <f>+'2019-20 MASTER'!I419</f>
        <v>-</v>
      </c>
      <c r="L208" s="3077">
        <v>10.5</v>
      </c>
      <c r="M208" s="2011" t="e">
        <f>+'2019-20 MASTER'!J419</f>
        <v>#VALUE!</v>
      </c>
      <c r="N208" s="3220">
        <v>10.5</v>
      </c>
      <c r="O208" s="3918">
        <f>+'2019-20 MASTER'!M419</f>
        <v>10.199999999999999</v>
      </c>
      <c r="P208" s="3128"/>
      <c r="Q208" s="1823" t="e">
        <f>+'2019-20 MASTER'!L419</f>
        <v>#VALUE!</v>
      </c>
      <c r="R208" s="3220">
        <v>10.5</v>
      </c>
      <c r="S208" s="3918" t="e">
        <f>+'2019-20 MASTER'!Q419</f>
        <v>#VALUE!</v>
      </c>
      <c r="T208" s="3128"/>
      <c r="U208" s="1823" t="e">
        <f>+'2019-20 MASTER'!P419</f>
        <v>#VALUE!</v>
      </c>
      <c r="V208" s="3220">
        <v>10.5</v>
      </c>
      <c r="W208" s="3918" t="e">
        <f>+'2019-20 MASTER'!U419</f>
        <v>#VALUE!</v>
      </c>
      <c r="X208" s="3077">
        <v>10.5</v>
      </c>
      <c r="Y208" s="2011">
        <f>+'2019-20 MASTER'!V419</f>
        <v>10.100000000000001</v>
      </c>
      <c r="Z208" s="6741"/>
      <c r="AA208" s="6531">
        <f>+'2019-20 MASTER'!T419</f>
        <v>9.9249999999999989</v>
      </c>
      <c r="AB208" s="3220">
        <v>10.5</v>
      </c>
      <c r="AC208" s="3918">
        <f>+'2019-20 MASTER'!AA419</f>
        <v>9.4</v>
      </c>
      <c r="AD208" s="3128"/>
      <c r="AE208" s="1823" t="e">
        <f>+'2019-20 MASTER'!Z419</f>
        <v>#VALUE!</v>
      </c>
      <c r="AF208" s="3220">
        <v>10.5</v>
      </c>
      <c r="AG208" s="3918" t="e">
        <f>+'2019-20 MASTER'!AE419</f>
        <v>#REF!</v>
      </c>
      <c r="AH208" s="3128"/>
      <c r="AI208" s="1823" t="e">
        <f>+'2019-20 MASTER'!AD419</f>
        <v>#REF!</v>
      </c>
      <c r="AJ208" s="3220">
        <v>10.5</v>
      </c>
      <c r="AK208" s="3918">
        <f>+'2019-20 MASTER'!AI419</f>
        <v>0</v>
      </c>
      <c r="AL208" s="3077">
        <v>10.5</v>
      </c>
      <c r="AM208" s="2011">
        <f>+'2019-20 MASTER'!AJ419</f>
        <v>0</v>
      </c>
      <c r="AN208" s="3128"/>
      <c r="AO208" s="1823">
        <f>+'2019-20 MASTER'!AH419</f>
        <v>0</v>
      </c>
      <c r="AP208" s="3220">
        <v>10.5</v>
      </c>
      <c r="AQ208" s="3918">
        <f>+'2019-20 MASTER'!AO419</f>
        <v>0</v>
      </c>
      <c r="AR208" s="3128"/>
      <c r="AS208" s="1823">
        <f>+'2019-20 MASTER'!AN419</f>
        <v>0</v>
      </c>
      <c r="AT208" s="3220">
        <v>10.5</v>
      </c>
      <c r="AU208" s="3918">
        <f>+'2019-20 MASTER'!AS419</f>
        <v>0</v>
      </c>
      <c r="AV208" s="3128"/>
      <c r="AW208" s="1823">
        <f>+'2019-20 MASTER'!AR419</f>
        <v>0</v>
      </c>
      <c r="AX208" s="3220">
        <v>10.5</v>
      </c>
      <c r="AY208" s="3918">
        <f>+'2019-20 MASTER'!AW419</f>
        <v>0</v>
      </c>
      <c r="AZ208" s="3077">
        <v>10.5</v>
      </c>
      <c r="BA208" s="2011">
        <f>+'2019-20 MASTER'!AX419</f>
        <v>0</v>
      </c>
      <c r="BB208" s="3077"/>
      <c r="BC208" s="2011"/>
      <c r="BD208" s="6741"/>
      <c r="BE208" s="6531">
        <f>+'2019-20 MASTER'!AV419</f>
        <v>0</v>
      </c>
    </row>
    <row r="209" spans="1:57" ht="15" hidden="1" customHeight="1" x14ac:dyDescent="0.2">
      <c r="B209" s="2485" t="s">
        <v>253</v>
      </c>
      <c r="C209" s="1545" t="s">
        <v>169</v>
      </c>
      <c r="D209" s="3220"/>
      <c r="E209" s="4406">
        <f>+'2019-20 MASTER'!F420</f>
        <v>20</v>
      </c>
      <c r="F209" s="3220"/>
      <c r="G209" s="1646">
        <f>+'2019-20 MASTER'!G420</f>
        <v>20.85</v>
      </c>
      <c r="H209" s="3128"/>
      <c r="I209" s="1823">
        <f>+'2019-20 MASTER'!H420</f>
        <v>20.441685912240185</v>
      </c>
      <c r="J209" s="3220">
        <v>20.5</v>
      </c>
      <c r="K209" s="1646" t="str">
        <f>+'2019-20 MASTER'!I420</f>
        <v>-</v>
      </c>
      <c r="L209" s="3077">
        <v>20.5</v>
      </c>
      <c r="M209" s="2011" t="e">
        <f>+'2019-20 MASTER'!J420</f>
        <v>#VALUE!</v>
      </c>
      <c r="N209" s="3220">
        <v>20.5</v>
      </c>
      <c r="O209" s="3918">
        <f>+'2019-20 MASTER'!M420</f>
        <v>20.96</v>
      </c>
      <c r="P209" s="3128"/>
      <c r="Q209" s="1823" t="e">
        <f>+'2019-20 MASTER'!L420</f>
        <v>#VALUE!</v>
      </c>
      <c r="R209" s="3220">
        <v>20.5</v>
      </c>
      <c r="S209" s="3918" t="e">
        <f>+'2019-20 MASTER'!Q420</f>
        <v>#VALUE!</v>
      </c>
      <c r="T209" s="3128"/>
      <c r="U209" s="1823" t="e">
        <f>+'2019-20 MASTER'!P420</f>
        <v>#VALUE!</v>
      </c>
      <c r="V209" s="3220">
        <v>20.5</v>
      </c>
      <c r="W209" s="3918" t="e">
        <f>+'2019-20 MASTER'!U420</f>
        <v>#VALUE!</v>
      </c>
      <c r="X209" s="3077">
        <v>20.5</v>
      </c>
      <c r="Y209" s="2011">
        <f>+'2019-20 MASTER'!V420</f>
        <v>20.65</v>
      </c>
      <c r="Z209" s="6741"/>
      <c r="AA209" s="6531">
        <f>+'2019-20 MASTER'!T420</f>
        <v>20.725000000000001</v>
      </c>
      <c r="AB209" s="3220">
        <v>20.5</v>
      </c>
      <c r="AC209" s="3918">
        <f>+'2019-20 MASTER'!AA420</f>
        <v>20.400000000000002</v>
      </c>
      <c r="AD209" s="3128"/>
      <c r="AE209" s="1823" t="e">
        <f>+'2019-20 MASTER'!Z420</f>
        <v>#VALUE!</v>
      </c>
      <c r="AF209" s="3220">
        <v>20.5</v>
      </c>
      <c r="AG209" s="3918" t="e">
        <f>+'2019-20 MASTER'!AE420</f>
        <v>#REF!</v>
      </c>
      <c r="AH209" s="3128"/>
      <c r="AI209" s="1823" t="e">
        <f>+'2019-20 MASTER'!AD420</f>
        <v>#REF!</v>
      </c>
      <c r="AJ209" s="3220">
        <v>20.5</v>
      </c>
      <c r="AK209" s="3918">
        <f>+'2019-20 MASTER'!AI420</f>
        <v>0</v>
      </c>
      <c r="AL209" s="3077">
        <v>20.5</v>
      </c>
      <c r="AM209" s="2011">
        <f>+'2019-20 MASTER'!AJ420</f>
        <v>0</v>
      </c>
      <c r="AN209" s="3128"/>
      <c r="AO209" s="1823">
        <f>+'2019-20 MASTER'!AH420</f>
        <v>0</v>
      </c>
      <c r="AP209" s="3220">
        <v>20.5</v>
      </c>
      <c r="AQ209" s="3918">
        <f>+'2019-20 MASTER'!AO420</f>
        <v>0</v>
      </c>
      <c r="AR209" s="3128"/>
      <c r="AS209" s="1823">
        <f>+'2019-20 MASTER'!AN420</f>
        <v>0</v>
      </c>
      <c r="AT209" s="3220">
        <v>20.5</v>
      </c>
      <c r="AU209" s="3918">
        <f>+'2019-20 MASTER'!AS420</f>
        <v>0</v>
      </c>
      <c r="AV209" s="3128"/>
      <c r="AW209" s="1823">
        <f>+'2019-20 MASTER'!AR420</f>
        <v>0</v>
      </c>
      <c r="AX209" s="3220">
        <v>20.5</v>
      </c>
      <c r="AY209" s="3918">
        <f>+'2019-20 MASTER'!AW420</f>
        <v>0</v>
      </c>
      <c r="AZ209" s="3077">
        <v>20.5</v>
      </c>
      <c r="BA209" s="2011">
        <f>+'2019-20 MASTER'!AX420</f>
        <v>0</v>
      </c>
      <c r="BB209" s="3077"/>
      <c r="BC209" s="2011"/>
      <c r="BD209" s="6741"/>
      <c r="BE209" s="6531">
        <f>+'2019-20 MASTER'!AV420</f>
        <v>0</v>
      </c>
    </row>
    <row r="210" spans="1:57" s="3380" customFormat="1" ht="15.75" hidden="1" customHeight="1" x14ac:dyDescent="0.2">
      <c r="A210" s="3379"/>
      <c r="B210" s="4375" t="s">
        <v>1373</v>
      </c>
      <c r="C210" s="4376"/>
      <c r="D210" s="3381"/>
      <c r="E210" s="4385"/>
      <c r="F210" s="3381"/>
      <c r="G210" s="4385"/>
      <c r="H210" s="3440"/>
      <c r="I210" s="4385"/>
      <c r="J210" s="3440"/>
      <c r="K210" s="4385"/>
      <c r="L210" s="3440"/>
      <c r="M210" s="4385"/>
      <c r="N210" s="3440"/>
      <c r="O210" s="4385"/>
      <c r="P210" s="3440"/>
      <c r="Q210" s="4385"/>
      <c r="R210" s="3440"/>
      <c r="S210" s="4385"/>
      <c r="T210" s="3440"/>
      <c r="U210" s="4385"/>
      <c r="V210" s="3440"/>
      <c r="W210" s="4385"/>
      <c r="X210" s="3440"/>
      <c r="Y210" s="4385"/>
      <c r="Z210" s="6739"/>
      <c r="AA210" s="6740"/>
      <c r="AB210" s="3440"/>
      <c r="AC210" s="4385"/>
      <c r="AD210" s="3440"/>
      <c r="AE210" s="4385"/>
      <c r="AF210" s="3440"/>
      <c r="AG210" s="4385"/>
      <c r="AH210" s="3440"/>
      <c r="AI210" s="4385"/>
      <c r="AJ210" s="3440"/>
      <c r="AK210" s="4385"/>
      <c r="AL210" s="3440"/>
      <c r="AM210" s="4385"/>
      <c r="AN210" s="3440"/>
      <c r="AO210" s="4385"/>
      <c r="AP210" s="3440"/>
      <c r="AQ210" s="4385"/>
      <c r="AR210" s="3440"/>
      <c r="AS210" s="4385"/>
      <c r="AT210" s="3440"/>
      <c r="AU210" s="4385"/>
      <c r="AV210" s="3440"/>
      <c r="AW210" s="4385"/>
      <c r="AX210" s="3440"/>
      <c r="AY210" s="4385"/>
      <c r="AZ210" s="3440"/>
      <c r="BA210" s="4385"/>
      <c r="BB210" s="3440"/>
      <c r="BC210" s="4385"/>
      <c r="BD210" s="6739"/>
      <c r="BE210" s="6740"/>
    </row>
    <row r="211" spans="1:57" ht="15" hidden="1" customHeight="1" x14ac:dyDescent="0.2">
      <c r="B211" s="2485" t="s">
        <v>251</v>
      </c>
      <c r="C211" s="1545" t="s">
        <v>169</v>
      </c>
      <c r="D211" s="3381"/>
      <c r="E211" s="4406">
        <f>+'2019-20 MASTER'!F422</f>
        <v>0</v>
      </c>
      <c r="F211" s="3381"/>
      <c r="G211" s="1646">
        <f>+'2019-20 MASTER'!G422</f>
        <v>0</v>
      </c>
      <c r="H211" s="3128"/>
      <c r="I211" s="1823" t="e">
        <f>+'2019-20 MASTER'!H422</f>
        <v>#DIV/0!</v>
      </c>
      <c r="J211" s="3381">
        <v>9.5</v>
      </c>
      <c r="K211" s="1646">
        <f>+'2019-20 MASTER'!I422</f>
        <v>0</v>
      </c>
      <c r="L211" s="3077">
        <v>9.5</v>
      </c>
      <c r="M211" s="2011" t="e">
        <f>+'2019-20 MASTER'!J422</f>
        <v>#DIV/0!</v>
      </c>
      <c r="N211" s="3381">
        <v>9.5</v>
      </c>
      <c r="O211" s="3918">
        <f>+'2019-20 MASTER'!M422</f>
        <v>0</v>
      </c>
      <c r="P211" s="3128"/>
      <c r="Q211" s="1823" t="e">
        <f>+'2019-20 MASTER'!L422</f>
        <v>#DIV/0!</v>
      </c>
      <c r="R211" s="3381">
        <v>9.5</v>
      </c>
      <c r="S211" s="3918" t="e">
        <f>+'2019-20 MASTER'!Q422</f>
        <v>#DIV/0!</v>
      </c>
      <c r="T211" s="3128"/>
      <c r="U211" s="1823" t="e">
        <f>+'2019-20 MASTER'!P422</f>
        <v>#REF!</v>
      </c>
      <c r="V211" s="3381">
        <v>9.5</v>
      </c>
      <c r="W211" s="3918" t="e">
        <f>+'2019-20 MASTER'!U422</f>
        <v>#DIV/0!</v>
      </c>
      <c r="X211" s="3077">
        <v>9.5</v>
      </c>
      <c r="Y211" s="2011">
        <f>+'2019-20 MASTER'!V422</f>
        <v>0</v>
      </c>
      <c r="Z211" s="6741"/>
      <c r="AA211" s="6531">
        <f>+'2019-20 MASTER'!T422</f>
        <v>0</v>
      </c>
      <c r="AB211" s="3381">
        <v>9.5</v>
      </c>
      <c r="AC211" s="3918">
        <f>+'2019-20 MASTER'!AA422</f>
        <v>0</v>
      </c>
      <c r="AD211" s="3128"/>
      <c r="AE211" s="1823" t="e">
        <f>+'2019-20 MASTER'!Z422</f>
        <v>#DIV/0!</v>
      </c>
      <c r="AF211" s="3381">
        <v>9.5</v>
      </c>
      <c r="AG211" s="3918" t="e">
        <f>+'2019-20 MASTER'!AE422</f>
        <v>#REF!</v>
      </c>
      <c r="AH211" s="3128"/>
      <c r="AI211" s="1823" t="e">
        <f>+'2019-20 MASTER'!AD422</f>
        <v>#REF!</v>
      </c>
      <c r="AJ211" s="3381">
        <v>9.5</v>
      </c>
      <c r="AK211" s="3918">
        <f>+'2019-20 MASTER'!AI422</f>
        <v>0</v>
      </c>
      <c r="AL211" s="3077">
        <v>9.5</v>
      </c>
      <c r="AM211" s="2011">
        <f>+'2019-20 MASTER'!AJ422</f>
        <v>0</v>
      </c>
      <c r="AN211" s="3128"/>
      <c r="AO211" s="1823">
        <f>+'2019-20 MASTER'!AH422</f>
        <v>0</v>
      </c>
      <c r="AP211" s="3381">
        <v>9.5</v>
      </c>
      <c r="AQ211" s="3918">
        <f>+'2019-20 MASTER'!AO422</f>
        <v>0</v>
      </c>
      <c r="AR211" s="3128"/>
      <c r="AS211" s="1823">
        <f>+'2019-20 MASTER'!AN422</f>
        <v>0</v>
      </c>
      <c r="AT211" s="3381">
        <v>9.5</v>
      </c>
      <c r="AU211" s="3918">
        <f>+'2019-20 MASTER'!AS422</f>
        <v>0</v>
      </c>
      <c r="AV211" s="3128"/>
      <c r="AW211" s="1823">
        <f>+'2019-20 MASTER'!AR422</f>
        <v>0</v>
      </c>
      <c r="AX211" s="3381">
        <v>9.5</v>
      </c>
      <c r="AY211" s="3918">
        <f>+'2019-20 MASTER'!AW422</f>
        <v>0</v>
      </c>
      <c r="AZ211" s="3077">
        <v>9.5</v>
      </c>
      <c r="BA211" s="2011">
        <f>+'2019-20 MASTER'!AX422</f>
        <v>0</v>
      </c>
      <c r="BB211" s="3077"/>
      <c r="BC211" s="2011"/>
      <c r="BD211" s="6741"/>
      <c r="BE211" s="6531">
        <f>+'2019-20 MASTER'!AV422</f>
        <v>0</v>
      </c>
    </row>
    <row r="212" spans="1:57" ht="15" hidden="1" customHeight="1" x14ac:dyDescent="0.2">
      <c r="B212" s="2485" t="s">
        <v>252</v>
      </c>
      <c r="C212" s="1545" t="s">
        <v>169</v>
      </c>
      <c r="D212" s="3381"/>
      <c r="E212" s="4406">
        <f>+'2019-20 MASTER'!F423</f>
        <v>0</v>
      </c>
      <c r="F212" s="3381"/>
      <c r="G212" s="1646">
        <f>+'2019-20 MASTER'!G423</f>
        <v>0</v>
      </c>
      <c r="H212" s="3128"/>
      <c r="I212" s="1823" t="e">
        <f>+'2019-20 MASTER'!H423</f>
        <v>#DIV/0!</v>
      </c>
      <c r="J212" s="3381">
        <v>4.5</v>
      </c>
      <c r="K212" s="1646">
        <f>+'2019-20 MASTER'!I423</f>
        <v>0</v>
      </c>
      <c r="L212" s="3077">
        <v>4.5</v>
      </c>
      <c r="M212" s="2011" t="e">
        <f>+'2019-20 MASTER'!J423</f>
        <v>#DIV/0!</v>
      </c>
      <c r="N212" s="3381">
        <v>4.5</v>
      </c>
      <c r="O212" s="3918">
        <f>+'2019-20 MASTER'!M423</f>
        <v>0</v>
      </c>
      <c r="P212" s="3128"/>
      <c r="Q212" s="1823" t="e">
        <f>+'2019-20 MASTER'!L423</f>
        <v>#DIV/0!</v>
      </c>
      <c r="R212" s="3381">
        <v>4.5</v>
      </c>
      <c r="S212" s="3918" t="e">
        <f>+'2019-20 MASTER'!Q423</f>
        <v>#DIV/0!</v>
      </c>
      <c r="T212" s="3128"/>
      <c r="U212" s="1823" t="e">
        <f>+'2019-20 MASTER'!P423</f>
        <v>#REF!</v>
      </c>
      <c r="V212" s="3381">
        <v>4.5</v>
      </c>
      <c r="W212" s="3918" t="e">
        <f>+'2019-20 MASTER'!U423</f>
        <v>#DIV/0!</v>
      </c>
      <c r="X212" s="3077">
        <v>4.5</v>
      </c>
      <c r="Y212" s="2011">
        <f>+'2019-20 MASTER'!V423</f>
        <v>0</v>
      </c>
      <c r="Z212" s="6741"/>
      <c r="AA212" s="6531">
        <f>+'2019-20 MASTER'!T423</f>
        <v>0</v>
      </c>
      <c r="AB212" s="3381">
        <v>4.5</v>
      </c>
      <c r="AC212" s="3918">
        <f>+'2019-20 MASTER'!AA423</f>
        <v>0</v>
      </c>
      <c r="AD212" s="3128"/>
      <c r="AE212" s="1823" t="e">
        <f>+'2019-20 MASTER'!Z423</f>
        <v>#DIV/0!</v>
      </c>
      <c r="AF212" s="3381">
        <v>4.5</v>
      </c>
      <c r="AG212" s="3918" t="e">
        <f>+'2019-20 MASTER'!AE423</f>
        <v>#REF!</v>
      </c>
      <c r="AH212" s="3128"/>
      <c r="AI212" s="1823" t="e">
        <f>+'2019-20 MASTER'!AD423</f>
        <v>#REF!</v>
      </c>
      <c r="AJ212" s="3381">
        <v>4.5</v>
      </c>
      <c r="AK212" s="3918">
        <f>+'2019-20 MASTER'!AI423</f>
        <v>0</v>
      </c>
      <c r="AL212" s="3077">
        <v>4.5</v>
      </c>
      <c r="AM212" s="2011">
        <f>+'2019-20 MASTER'!AJ423</f>
        <v>0</v>
      </c>
      <c r="AN212" s="3128"/>
      <c r="AO212" s="1823">
        <f>+'2019-20 MASTER'!AH423</f>
        <v>0</v>
      </c>
      <c r="AP212" s="3381">
        <v>4.5</v>
      </c>
      <c r="AQ212" s="3918">
        <f>+'2019-20 MASTER'!AO423</f>
        <v>0</v>
      </c>
      <c r="AR212" s="3128"/>
      <c r="AS212" s="1823">
        <f>+'2019-20 MASTER'!AN423</f>
        <v>0</v>
      </c>
      <c r="AT212" s="3381">
        <v>4.5</v>
      </c>
      <c r="AU212" s="3918">
        <f>+'2019-20 MASTER'!AS423</f>
        <v>0</v>
      </c>
      <c r="AV212" s="3128"/>
      <c r="AW212" s="1823">
        <f>+'2019-20 MASTER'!AR423</f>
        <v>0</v>
      </c>
      <c r="AX212" s="3381">
        <v>4.5</v>
      </c>
      <c r="AY212" s="3918">
        <f>+'2019-20 MASTER'!AW423</f>
        <v>0</v>
      </c>
      <c r="AZ212" s="3077">
        <v>4.5</v>
      </c>
      <c r="BA212" s="2011">
        <f>+'2019-20 MASTER'!AX423</f>
        <v>0</v>
      </c>
      <c r="BB212" s="3077"/>
      <c r="BC212" s="2011"/>
      <c r="BD212" s="6741"/>
      <c r="BE212" s="6531">
        <f>+'2019-20 MASTER'!AV423</f>
        <v>0</v>
      </c>
    </row>
    <row r="213" spans="1:57" ht="15" hidden="1" customHeight="1" x14ac:dyDescent="0.2">
      <c r="B213" s="2485" t="s">
        <v>253</v>
      </c>
      <c r="C213" s="1545" t="s">
        <v>169</v>
      </c>
      <c r="D213" s="3381"/>
      <c r="E213" s="4406">
        <f>+'2019-20 MASTER'!F424</f>
        <v>0</v>
      </c>
      <c r="F213" s="3381"/>
      <c r="G213" s="1646">
        <f>+'2019-20 MASTER'!G424</f>
        <v>0</v>
      </c>
      <c r="H213" s="3128"/>
      <c r="I213" s="1823" t="e">
        <f>+'2019-20 MASTER'!H424</f>
        <v>#DIV/0!</v>
      </c>
      <c r="J213" s="3381">
        <v>28</v>
      </c>
      <c r="K213" s="1646">
        <f>+'2019-20 MASTER'!I424</f>
        <v>0</v>
      </c>
      <c r="L213" s="3077">
        <v>28</v>
      </c>
      <c r="M213" s="2011" t="e">
        <f>+'2019-20 MASTER'!J424</f>
        <v>#DIV/0!</v>
      </c>
      <c r="N213" s="3381">
        <v>28</v>
      </c>
      <c r="O213" s="3918">
        <f>+'2019-20 MASTER'!M424</f>
        <v>0</v>
      </c>
      <c r="P213" s="3128"/>
      <c r="Q213" s="1823" t="e">
        <f>+'2019-20 MASTER'!L424</f>
        <v>#DIV/0!</v>
      </c>
      <c r="R213" s="3381">
        <v>28</v>
      </c>
      <c r="S213" s="3918" t="e">
        <f>+'2019-20 MASTER'!Q424</f>
        <v>#DIV/0!</v>
      </c>
      <c r="T213" s="3128"/>
      <c r="U213" s="1823" t="e">
        <f>+'2019-20 MASTER'!P424</f>
        <v>#REF!</v>
      </c>
      <c r="V213" s="3381">
        <v>28</v>
      </c>
      <c r="W213" s="3918" t="e">
        <f>+'2019-20 MASTER'!U424</f>
        <v>#DIV/0!</v>
      </c>
      <c r="X213" s="3077">
        <v>28</v>
      </c>
      <c r="Y213" s="2011">
        <f>+'2019-20 MASTER'!V424</f>
        <v>0</v>
      </c>
      <c r="Z213" s="6741"/>
      <c r="AA213" s="6531">
        <f>+'2019-20 MASTER'!T424</f>
        <v>0</v>
      </c>
      <c r="AB213" s="3381">
        <v>28</v>
      </c>
      <c r="AC213" s="3918">
        <f>+'2019-20 MASTER'!AA424</f>
        <v>0</v>
      </c>
      <c r="AD213" s="3128"/>
      <c r="AE213" s="1823" t="e">
        <f>+'2019-20 MASTER'!Z424</f>
        <v>#DIV/0!</v>
      </c>
      <c r="AF213" s="3381">
        <v>28</v>
      </c>
      <c r="AG213" s="3918" t="e">
        <f>+'2019-20 MASTER'!AE424</f>
        <v>#REF!</v>
      </c>
      <c r="AH213" s="3128"/>
      <c r="AI213" s="1823" t="e">
        <f>+'2019-20 MASTER'!AD424</f>
        <v>#REF!</v>
      </c>
      <c r="AJ213" s="3381">
        <v>28</v>
      </c>
      <c r="AK213" s="3918">
        <f>+'2019-20 MASTER'!AI424</f>
        <v>0</v>
      </c>
      <c r="AL213" s="3077">
        <v>28</v>
      </c>
      <c r="AM213" s="2011">
        <f>+'2019-20 MASTER'!AJ424</f>
        <v>0</v>
      </c>
      <c r="AN213" s="3128"/>
      <c r="AO213" s="1823">
        <f>+'2019-20 MASTER'!AH424</f>
        <v>0</v>
      </c>
      <c r="AP213" s="3381">
        <v>28</v>
      </c>
      <c r="AQ213" s="3918">
        <f>+'2019-20 MASTER'!AO424</f>
        <v>0</v>
      </c>
      <c r="AR213" s="3128"/>
      <c r="AS213" s="1823">
        <f>+'2019-20 MASTER'!AN424</f>
        <v>0</v>
      </c>
      <c r="AT213" s="3381">
        <v>28</v>
      </c>
      <c r="AU213" s="3918">
        <f>+'2019-20 MASTER'!AS424</f>
        <v>0</v>
      </c>
      <c r="AV213" s="3128"/>
      <c r="AW213" s="1823">
        <f>+'2019-20 MASTER'!AR424</f>
        <v>0</v>
      </c>
      <c r="AX213" s="3381">
        <v>28</v>
      </c>
      <c r="AY213" s="3918">
        <f>+'2019-20 MASTER'!AW424</f>
        <v>0</v>
      </c>
      <c r="AZ213" s="3077">
        <v>28</v>
      </c>
      <c r="BA213" s="2011">
        <f>+'2019-20 MASTER'!AX424</f>
        <v>0</v>
      </c>
      <c r="BB213" s="3077"/>
      <c r="BC213" s="2011"/>
      <c r="BD213" s="6741"/>
      <c r="BE213" s="6531">
        <f>+'2019-20 MASTER'!AV424</f>
        <v>0</v>
      </c>
    </row>
    <row r="214" spans="1:57" s="3380" customFormat="1" ht="15.75" hidden="1" customHeight="1" x14ac:dyDescent="0.2">
      <c r="A214" s="3379"/>
      <c r="B214" s="4375" t="s">
        <v>1214</v>
      </c>
      <c r="C214" s="4376"/>
      <c r="D214" s="4386"/>
      <c r="E214" s="4387"/>
      <c r="F214" s="4386"/>
      <c r="G214" s="4385"/>
      <c r="H214" s="3440"/>
      <c r="I214" s="4385"/>
      <c r="J214" s="4386"/>
      <c r="K214" s="4385"/>
      <c r="L214" s="3440"/>
      <c r="M214" s="4385"/>
      <c r="N214" s="4386"/>
      <c r="O214" s="4385"/>
      <c r="P214" s="3440"/>
      <c r="Q214" s="4385"/>
      <c r="R214" s="4386"/>
      <c r="S214" s="4385"/>
      <c r="T214" s="3440"/>
      <c r="U214" s="4385"/>
      <c r="V214" s="4386"/>
      <c r="W214" s="4385"/>
      <c r="X214" s="3440"/>
      <c r="Y214" s="4385"/>
      <c r="Z214" s="6739"/>
      <c r="AA214" s="6740"/>
      <c r="AB214" s="4386"/>
      <c r="AC214" s="4385"/>
      <c r="AD214" s="3440"/>
      <c r="AE214" s="4385"/>
      <c r="AF214" s="4386"/>
      <c r="AG214" s="4385"/>
      <c r="AH214" s="3440"/>
      <c r="AI214" s="4385"/>
      <c r="AJ214" s="4386"/>
      <c r="AK214" s="4385"/>
      <c r="AL214" s="3440"/>
      <c r="AM214" s="4385"/>
      <c r="AN214" s="3440"/>
      <c r="AO214" s="4385"/>
      <c r="AP214" s="4386"/>
      <c r="AQ214" s="4385"/>
      <c r="AR214" s="3440"/>
      <c r="AS214" s="4385"/>
      <c r="AT214" s="4386"/>
      <c r="AU214" s="4385"/>
      <c r="AV214" s="3440"/>
      <c r="AW214" s="4385"/>
      <c r="AX214" s="4386"/>
      <c r="AY214" s="4385"/>
      <c r="AZ214" s="3440"/>
      <c r="BA214" s="4385"/>
      <c r="BB214" s="3440"/>
      <c r="BC214" s="4385"/>
      <c r="BD214" s="6739"/>
      <c r="BE214" s="6740"/>
    </row>
    <row r="215" spans="1:57" ht="15" hidden="1" customHeight="1" x14ac:dyDescent="0.2">
      <c r="B215" s="2485" t="s">
        <v>251</v>
      </c>
      <c r="C215" s="1545" t="s">
        <v>169</v>
      </c>
      <c r="D215" s="3220"/>
      <c r="E215" s="3851">
        <f>+'2019-20 MASTER'!F426</f>
        <v>0</v>
      </c>
      <c r="F215" s="3220"/>
      <c r="G215" s="1646">
        <f>+'2019-20 MASTER'!G426</f>
        <v>0</v>
      </c>
      <c r="H215" s="3128"/>
      <c r="I215" s="2486" t="e">
        <f>+'2019-20 MASTER'!H426</f>
        <v>#DIV/0!</v>
      </c>
      <c r="J215" s="3220">
        <v>9.5</v>
      </c>
      <c r="K215" s="1646">
        <f>+'2019-20 MASTER'!I426</f>
        <v>0</v>
      </c>
      <c r="L215" s="3077">
        <v>9.5</v>
      </c>
      <c r="M215" s="2268" t="e">
        <f>+'2019-20 MASTER'!J426</f>
        <v>#DIV/0!</v>
      </c>
      <c r="N215" s="3220">
        <v>9.5</v>
      </c>
      <c r="O215" s="3918">
        <f>+'2019-20 MASTER'!M426</f>
        <v>0</v>
      </c>
      <c r="P215" s="3128"/>
      <c r="Q215" s="2486" t="e">
        <f>+'2019-20 MASTER'!L426</f>
        <v>#DIV/0!</v>
      </c>
      <c r="R215" s="3220">
        <v>9.5</v>
      </c>
      <c r="S215" s="3918" t="e">
        <f>+'2019-20 MASTER'!Q426</f>
        <v>#DIV/0!</v>
      </c>
      <c r="T215" s="3128"/>
      <c r="U215" s="2486" t="e">
        <f>+'2019-20 MASTER'!P426</f>
        <v>#REF!</v>
      </c>
      <c r="V215" s="3220">
        <v>9.5</v>
      </c>
      <c r="W215" s="3918" t="e">
        <f>+'2019-20 MASTER'!U426</f>
        <v>#DIV/0!</v>
      </c>
      <c r="X215" s="3077">
        <v>9.5</v>
      </c>
      <c r="Y215" s="2268">
        <f>+'2019-20 MASTER'!V426</f>
        <v>0</v>
      </c>
      <c r="Z215" s="6741"/>
      <c r="AA215" s="6611">
        <f>+'2019-20 MASTER'!T426</f>
        <v>0</v>
      </c>
      <c r="AB215" s="3220">
        <v>9.5</v>
      </c>
      <c r="AC215" s="3918">
        <f>+'2019-20 MASTER'!AA426</f>
        <v>0</v>
      </c>
      <c r="AD215" s="3128"/>
      <c r="AE215" s="2486" t="e">
        <f>+'2019-20 MASTER'!Z426</f>
        <v>#DIV/0!</v>
      </c>
      <c r="AF215" s="3220">
        <v>9.5</v>
      </c>
      <c r="AG215" s="3918" t="e">
        <f>+'2019-20 MASTER'!AE426</f>
        <v>#REF!</v>
      </c>
      <c r="AH215" s="3128"/>
      <c r="AI215" s="2486" t="e">
        <f>+'2019-20 MASTER'!AD426</f>
        <v>#REF!</v>
      </c>
      <c r="AJ215" s="3220">
        <v>9.5</v>
      </c>
      <c r="AK215" s="3918">
        <f>+'2019-20 MASTER'!AI426</f>
        <v>0</v>
      </c>
      <c r="AL215" s="3077">
        <v>9.5</v>
      </c>
      <c r="AM215" s="2268">
        <f>+'2019-20 MASTER'!AJ426</f>
        <v>0</v>
      </c>
      <c r="AN215" s="3128"/>
      <c r="AO215" s="2486">
        <f>+'2019-20 MASTER'!AH426</f>
        <v>0</v>
      </c>
      <c r="AP215" s="3220">
        <v>9.5</v>
      </c>
      <c r="AQ215" s="3918">
        <f>+'2019-20 MASTER'!AO426</f>
        <v>0</v>
      </c>
      <c r="AR215" s="3128"/>
      <c r="AS215" s="2486">
        <f>+'2019-20 MASTER'!AN426</f>
        <v>0</v>
      </c>
      <c r="AT215" s="3220">
        <v>9.5</v>
      </c>
      <c r="AU215" s="3918">
        <f>+'2019-20 MASTER'!AS426</f>
        <v>0</v>
      </c>
      <c r="AV215" s="3128"/>
      <c r="AW215" s="2486">
        <f>+'2019-20 MASTER'!AR426</f>
        <v>0</v>
      </c>
      <c r="AX215" s="3220">
        <v>9.5</v>
      </c>
      <c r="AY215" s="3918">
        <f>+'2019-20 MASTER'!AW426</f>
        <v>0</v>
      </c>
      <c r="AZ215" s="3077">
        <v>9.5</v>
      </c>
      <c r="BA215" s="2268">
        <f>+'2019-20 MASTER'!AX426</f>
        <v>0</v>
      </c>
      <c r="BB215" s="3077"/>
      <c r="BC215" s="2268"/>
      <c r="BD215" s="6741"/>
      <c r="BE215" s="6611">
        <f>+'2019-20 MASTER'!AV426</f>
        <v>0</v>
      </c>
    </row>
    <row r="216" spans="1:57" ht="15" hidden="1" customHeight="1" x14ac:dyDescent="0.2">
      <c r="B216" s="2485" t="s">
        <v>252</v>
      </c>
      <c r="C216" s="1545" t="s">
        <v>169</v>
      </c>
      <c r="D216" s="3220"/>
      <c r="E216" s="3851">
        <f>+'2019-20 MASTER'!F427</f>
        <v>0</v>
      </c>
      <c r="F216" s="3220"/>
      <c r="G216" s="1646">
        <f>+'2019-20 MASTER'!G427</f>
        <v>0</v>
      </c>
      <c r="H216" s="3128"/>
      <c r="I216" s="2486" t="e">
        <f>+'2019-20 MASTER'!H427</f>
        <v>#DIV/0!</v>
      </c>
      <c r="J216" s="3220">
        <v>10</v>
      </c>
      <c r="K216" s="1646">
        <f>+'2019-20 MASTER'!I427</f>
        <v>0</v>
      </c>
      <c r="L216" s="3077">
        <v>10</v>
      </c>
      <c r="M216" s="2268" t="e">
        <f>+'2019-20 MASTER'!J427</f>
        <v>#DIV/0!</v>
      </c>
      <c r="N216" s="3220">
        <v>10</v>
      </c>
      <c r="O216" s="3918">
        <f>+'2019-20 MASTER'!M427</f>
        <v>0</v>
      </c>
      <c r="P216" s="3128"/>
      <c r="Q216" s="2486" t="e">
        <f>+'2019-20 MASTER'!L427</f>
        <v>#DIV/0!</v>
      </c>
      <c r="R216" s="3220">
        <v>10</v>
      </c>
      <c r="S216" s="3918" t="e">
        <f>+'2019-20 MASTER'!Q427</f>
        <v>#DIV/0!</v>
      </c>
      <c r="T216" s="3128"/>
      <c r="U216" s="2486" t="e">
        <f>+'2019-20 MASTER'!P427</f>
        <v>#REF!</v>
      </c>
      <c r="V216" s="3220">
        <v>10</v>
      </c>
      <c r="W216" s="3918" t="e">
        <f>+'2019-20 MASTER'!U427</f>
        <v>#DIV/0!</v>
      </c>
      <c r="X216" s="3077">
        <v>10</v>
      </c>
      <c r="Y216" s="2268">
        <f>+'2019-20 MASTER'!V427</f>
        <v>0</v>
      </c>
      <c r="Z216" s="6741"/>
      <c r="AA216" s="6611">
        <f>+'2019-20 MASTER'!T427</f>
        <v>0</v>
      </c>
      <c r="AB216" s="3220">
        <v>10</v>
      </c>
      <c r="AC216" s="3918">
        <f>+'2019-20 MASTER'!AA427</f>
        <v>0</v>
      </c>
      <c r="AD216" s="3128"/>
      <c r="AE216" s="2486" t="e">
        <f>+'2019-20 MASTER'!Z427</f>
        <v>#DIV/0!</v>
      </c>
      <c r="AF216" s="3220">
        <v>10</v>
      </c>
      <c r="AG216" s="3918" t="e">
        <f>+'2019-20 MASTER'!AE427</f>
        <v>#REF!</v>
      </c>
      <c r="AH216" s="3128"/>
      <c r="AI216" s="2486" t="e">
        <f>+'2019-20 MASTER'!AD427</f>
        <v>#REF!</v>
      </c>
      <c r="AJ216" s="3220">
        <v>10</v>
      </c>
      <c r="AK216" s="3918">
        <f>+'2019-20 MASTER'!AI427</f>
        <v>0</v>
      </c>
      <c r="AL216" s="3077">
        <v>10</v>
      </c>
      <c r="AM216" s="2268">
        <f>+'2019-20 MASTER'!AJ427</f>
        <v>0</v>
      </c>
      <c r="AN216" s="3128"/>
      <c r="AO216" s="2486">
        <f>+'2019-20 MASTER'!AH427</f>
        <v>0</v>
      </c>
      <c r="AP216" s="3220">
        <v>10</v>
      </c>
      <c r="AQ216" s="3918">
        <f>+'2019-20 MASTER'!AO427</f>
        <v>0</v>
      </c>
      <c r="AR216" s="3128"/>
      <c r="AS216" s="2486">
        <f>+'2019-20 MASTER'!AN427</f>
        <v>0</v>
      </c>
      <c r="AT216" s="3220">
        <v>10</v>
      </c>
      <c r="AU216" s="3918">
        <f>+'2019-20 MASTER'!AS427</f>
        <v>0</v>
      </c>
      <c r="AV216" s="3128"/>
      <c r="AW216" s="2486">
        <f>+'2019-20 MASTER'!AR427</f>
        <v>0</v>
      </c>
      <c r="AX216" s="3220">
        <v>10</v>
      </c>
      <c r="AY216" s="3918">
        <f>+'2019-20 MASTER'!AW427</f>
        <v>0</v>
      </c>
      <c r="AZ216" s="3077">
        <v>10</v>
      </c>
      <c r="BA216" s="2268">
        <f>+'2019-20 MASTER'!AX427</f>
        <v>0</v>
      </c>
      <c r="BB216" s="3077"/>
      <c r="BC216" s="2268"/>
      <c r="BD216" s="6741"/>
      <c r="BE216" s="6611">
        <f>+'2019-20 MASTER'!AV427</f>
        <v>0</v>
      </c>
    </row>
    <row r="217" spans="1:57" ht="15" hidden="1" customHeight="1" x14ac:dyDescent="0.2">
      <c r="B217" s="2485" t="s">
        <v>253</v>
      </c>
      <c r="C217" s="1545" t="s">
        <v>169</v>
      </c>
      <c r="D217" s="3220"/>
      <c r="E217" s="3851">
        <f>+'2019-20 MASTER'!F428</f>
        <v>0</v>
      </c>
      <c r="F217" s="3220"/>
      <c r="G217" s="1646">
        <f>+'2019-20 MASTER'!G428</f>
        <v>0</v>
      </c>
      <c r="H217" s="3128"/>
      <c r="I217" s="2486" t="e">
        <f>+'2019-20 MASTER'!H428</f>
        <v>#DIV/0!</v>
      </c>
      <c r="J217" s="3220">
        <v>27</v>
      </c>
      <c r="K217" s="1646">
        <f>+'2019-20 MASTER'!I428</f>
        <v>0</v>
      </c>
      <c r="L217" s="3077">
        <v>27</v>
      </c>
      <c r="M217" s="2268" t="e">
        <f>+'2019-20 MASTER'!J428</f>
        <v>#DIV/0!</v>
      </c>
      <c r="N217" s="3220">
        <v>27</v>
      </c>
      <c r="O217" s="3918">
        <f>+'2019-20 MASTER'!M428</f>
        <v>0</v>
      </c>
      <c r="P217" s="3128"/>
      <c r="Q217" s="2486" t="e">
        <f>+'2019-20 MASTER'!L428</f>
        <v>#DIV/0!</v>
      </c>
      <c r="R217" s="3220">
        <v>27</v>
      </c>
      <c r="S217" s="3918" t="e">
        <f>+'2019-20 MASTER'!Q428</f>
        <v>#DIV/0!</v>
      </c>
      <c r="T217" s="3128"/>
      <c r="U217" s="2486" t="e">
        <f>+'2019-20 MASTER'!P428</f>
        <v>#REF!</v>
      </c>
      <c r="V217" s="3220">
        <v>27</v>
      </c>
      <c r="W217" s="3918" t="e">
        <f>+'2019-20 MASTER'!U428</f>
        <v>#DIV/0!</v>
      </c>
      <c r="X217" s="3077">
        <v>27</v>
      </c>
      <c r="Y217" s="2268">
        <f>+'2019-20 MASTER'!V428</f>
        <v>0</v>
      </c>
      <c r="Z217" s="6741"/>
      <c r="AA217" s="6611">
        <f>+'2019-20 MASTER'!T428</f>
        <v>0</v>
      </c>
      <c r="AB217" s="3220">
        <v>27</v>
      </c>
      <c r="AC217" s="3918">
        <f>+'2019-20 MASTER'!AA428</f>
        <v>0</v>
      </c>
      <c r="AD217" s="3128"/>
      <c r="AE217" s="2486" t="e">
        <f>+'2019-20 MASTER'!Z428</f>
        <v>#DIV/0!</v>
      </c>
      <c r="AF217" s="3220">
        <v>27</v>
      </c>
      <c r="AG217" s="3918" t="e">
        <f>+'2019-20 MASTER'!AE428</f>
        <v>#REF!</v>
      </c>
      <c r="AH217" s="3128"/>
      <c r="AI217" s="2486" t="e">
        <f>+'2019-20 MASTER'!AD428</f>
        <v>#REF!</v>
      </c>
      <c r="AJ217" s="3220">
        <v>27</v>
      </c>
      <c r="AK217" s="3918">
        <f>+'2019-20 MASTER'!AI428</f>
        <v>0</v>
      </c>
      <c r="AL217" s="3077">
        <v>27</v>
      </c>
      <c r="AM217" s="2268">
        <f>+'2019-20 MASTER'!AJ428</f>
        <v>0</v>
      </c>
      <c r="AN217" s="3128"/>
      <c r="AO217" s="2486">
        <f>+'2019-20 MASTER'!AH428</f>
        <v>0</v>
      </c>
      <c r="AP217" s="3220">
        <v>27</v>
      </c>
      <c r="AQ217" s="3918">
        <f>+'2019-20 MASTER'!AO428</f>
        <v>0</v>
      </c>
      <c r="AR217" s="3128"/>
      <c r="AS217" s="2486">
        <f>+'2019-20 MASTER'!AN428</f>
        <v>0</v>
      </c>
      <c r="AT217" s="3220">
        <v>27</v>
      </c>
      <c r="AU217" s="3918">
        <f>+'2019-20 MASTER'!AS428</f>
        <v>0</v>
      </c>
      <c r="AV217" s="3128"/>
      <c r="AW217" s="2486">
        <f>+'2019-20 MASTER'!AR428</f>
        <v>0</v>
      </c>
      <c r="AX217" s="3220">
        <v>27</v>
      </c>
      <c r="AY217" s="3918">
        <f>+'2019-20 MASTER'!AW428</f>
        <v>0</v>
      </c>
      <c r="AZ217" s="3077">
        <v>27</v>
      </c>
      <c r="BA217" s="2268">
        <f>+'2019-20 MASTER'!AX428</f>
        <v>0</v>
      </c>
      <c r="BB217" s="3077"/>
      <c r="BC217" s="2268"/>
      <c r="BD217" s="6741"/>
      <c r="BE217" s="6611">
        <f>+'2019-20 MASTER'!AV428</f>
        <v>0</v>
      </c>
    </row>
    <row r="218" spans="1:57" s="3380" customFormat="1" ht="15.75" hidden="1" customHeight="1" x14ac:dyDescent="0.2">
      <c r="A218" s="3379"/>
      <c r="B218" s="4369" t="s">
        <v>1411</v>
      </c>
      <c r="C218" s="4370"/>
      <c r="D218" s="3441"/>
      <c r="E218" s="4382"/>
      <c r="F218" s="3441"/>
      <c r="G218" s="4374"/>
      <c r="H218" s="3439"/>
      <c r="I218" s="4374"/>
      <c r="J218" s="3441"/>
      <c r="K218" s="4388"/>
      <c r="L218" s="4389"/>
      <c r="M218" s="4388"/>
      <c r="N218" s="3441"/>
      <c r="O218" s="4388"/>
      <c r="P218" s="3439"/>
      <c r="Q218" s="4374"/>
      <c r="R218" s="3441"/>
      <c r="S218" s="4388"/>
      <c r="T218" s="3439"/>
      <c r="U218" s="4374"/>
      <c r="V218" s="3441"/>
      <c r="W218" s="4388"/>
      <c r="X218" s="4389"/>
      <c r="Y218" s="4388"/>
      <c r="Z218" s="6742"/>
      <c r="AA218" s="6743"/>
      <c r="AB218" s="3441"/>
      <c r="AC218" s="4388"/>
      <c r="AD218" s="3439"/>
      <c r="AE218" s="4374"/>
      <c r="AF218" s="3441"/>
      <c r="AG218" s="4388"/>
      <c r="AH218" s="3439"/>
      <c r="AI218" s="4374"/>
      <c r="AJ218" s="3441"/>
      <c r="AK218" s="4388"/>
      <c r="AL218" s="4389"/>
      <c r="AM218" s="4388"/>
      <c r="AN218" s="3439"/>
      <c r="AO218" s="4374"/>
      <c r="AP218" s="3441"/>
      <c r="AQ218" s="4388"/>
      <c r="AR218" s="3439"/>
      <c r="AS218" s="4374"/>
      <c r="AT218" s="3441"/>
      <c r="AU218" s="4388"/>
      <c r="AV218" s="3439"/>
      <c r="AW218" s="4374"/>
      <c r="AX218" s="3441"/>
      <c r="AY218" s="4388"/>
      <c r="AZ218" s="4389"/>
      <c r="BA218" s="4388"/>
      <c r="BB218" s="4389"/>
      <c r="BC218" s="4388"/>
      <c r="BD218" s="6742"/>
      <c r="BE218" s="6743"/>
    </row>
    <row r="219" spans="1:57" ht="15" hidden="1" customHeight="1" x14ac:dyDescent="0.2">
      <c r="B219" s="1531" t="s">
        <v>698</v>
      </c>
      <c r="C219" s="1545" t="s">
        <v>169</v>
      </c>
      <c r="D219" s="3231"/>
      <c r="E219" s="4406">
        <f>+'2019-20 MASTER'!F434</f>
        <v>8.1</v>
      </c>
      <c r="F219" s="3231"/>
      <c r="G219" s="1646">
        <f>+'2019-20 MASTER'!G434</f>
        <v>8.6</v>
      </c>
      <c r="H219" s="2843"/>
      <c r="I219" s="2807">
        <f>+'2019-20 MASTER'!H434</f>
        <v>8.3677249017966382</v>
      </c>
      <c r="J219" s="3231">
        <v>8</v>
      </c>
      <c r="K219" s="2067">
        <f>+'2019-20 MASTER'!I434</f>
        <v>9.0500000000000007</v>
      </c>
      <c r="L219" s="2554">
        <v>8</v>
      </c>
      <c r="M219" s="2888">
        <f>+'2019-20 MASTER'!J434</f>
        <v>8.6797249598098833</v>
      </c>
      <c r="N219" s="3231">
        <v>8</v>
      </c>
      <c r="O219" s="3861">
        <f>+'2019-20 MASTER'!M434</f>
        <v>9</v>
      </c>
      <c r="P219" s="2843"/>
      <c r="Q219" s="2807">
        <f>+'2019-20 MASTER'!L434</f>
        <v>8.7057782054843447</v>
      </c>
      <c r="R219" s="3231">
        <v>8</v>
      </c>
      <c r="S219" s="3861" t="e">
        <f>+'2019-20 MASTER'!Q434</f>
        <v>#REF!</v>
      </c>
      <c r="T219" s="2843"/>
      <c r="U219" s="2807" t="e">
        <f>+'2019-20 MASTER'!P434</f>
        <v>#REF!</v>
      </c>
      <c r="V219" s="3231">
        <v>8</v>
      </c>
      <c r="W219" s="3861" t="e">
        <f>+'2019-20 MASTER'!U434</f>
        <v>#REF!</v>
      </c>
      <c r="X219" s="2554">
        <v>8</v>
      </c>
      <c r="Y219" s="2888">
        <f>+'2019-20 MASTER'!V434</f>
        <v>8.9</v>
      </c>
      <c r="Z219" s="6720"/>
      <c r="AA219" s="6686">
        <f>+'2019-20 MASTER'!T434</f>
        <v>8.74</v>
      </c>
      <c r="AB219" s="3231">
        <v>8</v>
      </c>
      <c r="AC219" s="3861">
        <f>+'2019-20 MASTER'!AA434</f>
        <v>9.1399999999999988</v>
      </c>
      <c r="AD219" s="2843"/>
      <c r="AE219" s="2807" t="e">
        <f>+'2019-20 MASTER'!Z434</f>
        <v>#REF!</v>
      </c>
      <c r="AF219" s="3231">
        <v>8</v>
      </c>
      <c r="AG219" s="3861" t="e">
        <f>+'2019-20 MASTER'!AE434</f>
        <v>#REF!</v>
      </c>
      <c r="AH219" s="2843"/>
      <c r="AI219" s="2807" t="e">
        <f>+'2019-20 MASTER'!AD434</f>
        <v>#REF!</v>
      </c>
      <c r="AJ219" s="3231">
        <v>8</v>
      </c>
      <c r="AK219" s="3861">
        <f>+'2019-20 MASTER'!AI434</f>
        <v>0</v>
      </c>
      <c r="AL219" s="2554">
        <v>8</v>
      </c>
      <c r="AM219" s="2888">
        <f>+'2019-20 MASTER'!AJ434</f>
        <v>0</v>
      </c>
      <c r="AN219" s="2843"/>
      <c r="AO219" s="2807">
        <f>+'2019-20 MASTER'!AH434</f>
        <v>0</v>
      </c>
      <c r="AP219" s="3231">
        <v>8</v>
      </c>
      <c r="AQ219" s="3861">
        <f>+'2019-20 MASTER'!AO434</f>
        <v>0</v>
      </c>
      <c r="AR219" s="2843"/>
      <c r="AS219" s="2807">
        <f>+'2019-20 MASTER'!AN434</f>
        <v>0</v>
      </c>
      <c r="AT219" s="3231">
        <v>8</v>
      </c>
      <c r="AU219" s="3861">
        <f>+'2019-20 MASTER'!AS434</f>
        <v>0</v>
      </c>
      <c r="AV219" s="2843"/>
      <c r="AW219" s="2807">
        <f>+'2019-20 MASTER'!AR434</f>
        <v>0</v>
      </c>
      <c r="AX219" s="3231">
        <v>8</v>
      </c>
      <c r="AY219" s="3861">
        <f>+'2019-20 MASTER'!AW434</f>
        <v>0</v>
      </c>
      <c r="AZ219" s="2554">
        <v>8</v>
      </c>
      <c r="BA219" s="2888">
        <f>+'2019-20 MASTER'!AX434</f>
        <v>0</v>
      </c>
      <c r="BB219" s="2554"/>
      <c r="BC219" s="2888"/>
      <c r="BD219" s="6720"/>
      <c r="BE219" s="6686">
        <f>+'2019-20 MASTER'!AV434</f>
        <v>0</v>
      </c>
    </row>
    <row r="220" spans="1:57" ht="15" hidden="1" customHeight="1" x14ac:dyDescent="0.2">
      <c r="B220" s="1531" t="s">
        <v>691</v>
      </c>
      <c r="C220" s="1545" t="s">
        <v>169</v>
      </c>
      <c r="D220" s="3231"/>
      <c r="E220" s="4406">
        <f>+'2019-20 MASTER'!F435</f>
        <v>13</v>
      </c>
      <c r="F220" s="3231"/>
      <c r="G220" s="1646">
        <f>+'2019-20 MASTER'!G435</f>
        <v>13.333333333333334</v>
      </c>
      <c r="H220" s="2843"/>
      <c r="I220" s="2807">
        <f>+'2019-20 MASTER'!H435</f>
        <v>13.178483267864427</v>
      </c>
      <c r="J220" s="3231">
        <v>10.5</v>
      </c>
      <c r="K220" s="2067">
        <f>+'2019-20 MASTER'!I435</f>
        <v>12.9</v>
      </c>
      <c r="L220" s="2554">
        <v>10.5</v>
      </c>
      <c r="M220" s="2888">
        <f>+'2019-20 MASTER'!J435</f>
        <v>13.051134642715688</v>
      </c>
      <c r="N220" s="3231">
        <v>10.5</v>
      </c>
      <c r="O220" s="3861">
        <f>+'2019-20 MASTER'!M435</f>
        <v>12.925000000000001</v>
      </c>
      <c r="P220" s="2843"/>
      <c r="Q220" s="2807">
        <f>+'2019-20 MASTER'!L435</f>
        <v>13.383468523883225</v>
      </c>
      <c r="R220" s="3231">
        <v>10.5</v>
      </c>
      <c r="S220" s="3861" t="e">
        <f>+'2019-20 MASTER'!Q435</f>
        <v>#REF!</v>
      </c>
      <c r="T220" s="2843"/>
      <c r="U220" s="2807" t="e">
        <f>+'2019-20 MASTER'!P435</f>
        <v>#REF!</v>
      </c>
      <c r="V220" s="3231">
        <v>10.5</v>
      </c>
      <c r="W220" s="3861" t="e">
        <f>+'2019-20 MASTER'!U435</f>
        <v>#REF!</v>
      </c>
      <c r="X220" s="2554">
        <v>10.5</v>
      </c>
      <c r="Y220" s="2888">
        <f>+'2019-20 MASTER'!V435</f>
        <v>13.766666666666666</v>
      </c>
      <c r="Z220" s="6720"/>
      <c r="AA220" s="6686">
        <f>+'2019-20 MASTER'!T435</f>
        <v>13.959999999999999</v>
      </c>
      <c r="AB220" s="3231">
        <v>10.5</v>
      </c>
      <c r="AC220" s="3861">
        <f>+'2019-20 MASTER'!AA435</f>
        <v>12.32</v>
      </c>
      <c r="AD220" s="2843"/>
      <c r="AE220" s="2807" t="e">
        <f>+'2019-20 MASTER'!Z435</f>
        <v>#REF!</v>
      </c>
      <c r="AF220" s="3231">
        <v>10.5</v>
      </c>
      <c r="AG220" s="3861" t="e">
        <f>+'2019-20 MASTER'!AE435</f>
        <v>#REF!</v>
      </c>
      <c r="AH220" s="2843"/>
      <c r="AI220" s="2807" t="e">
        <f>+'2019-20 MASTER'!AD435</f>
        <v>#REF!</v>
      </c>
      <c r="AJ220" s="3231">
        <v>10.5</v>
      </c>
      <c r="AK220" s="3861">
        <f>+'2019-20 MASTER'!AI435</f>
        <v>0</v>
      </c>
      <c r="AL220" s="2554">
        <v>10.5</v>
      </c>
      <c r="AM220" s="2888">
        <f>+'2019-20 MASTER'!AJ435</f>
        <v>0</v>
      </c>
      <c r="AN220" s="2843"/>
      <c r="AO220" s="2807">
        <f>+'2019-20 MASTER'!AH435</f>
        <v>0</v>
      </c>
      <c r="AP220" s="3231">
        <v>10.5</v>
      </c>
      <c r="AQ220" s="3861">
        <f>+'2019-20 MASTER'!AO435</f>
        <v>0</v>
      </c>
      <c r="AR220" s="2843"/>
      <c r="AS220" s="2807">
        <f>+'2019-20 MASTER'!AN435</f>
        <v>0</v>
      </c>
      <c r="AT220" s="3231">
        <v>10.5</v>
      </c>
      <c r="AU220" s="3861">
        <f>+'2019-20 MASTER'!AS435</f>
        <v>0</v>
      </c>
      <c r="AV220" s="2843"/>
      <c r="AW220" s="2807">
        <f>+'2019-20 MASTER'!AR435</f>
        <v>0</v>
      </c>
      <c r="AX220" s="3231">
        <v>10.5</v>
      </c>
      <c r="AY220" s="3861">
        <f>+'2019-20 MASTER'!AW435</f>
        <v>0</v>
      </c>
      <c r="AZ220" s="2554">
        <v>10.5</v>
      </c>
      <c r="BA220" s="2888">
        <f>+'2019-20 MASTER'!AX435</f>
        <v>0</v>
      </c>
      <c r="BB220" s="2554"/>
      <c r="BC220" s="2888"/>
      <c r="BD220" s="6720"/>
      <c r="BE220" s="6686">
        <f>+'2019-20 MASTER'!AV435</f>
        <v>0</v>
      </c>
    </row>
    <row r="221" spans="1:57" ht="15" hidden="1" customHeight="1" x14ac:dyDescent="0.2">
      <c r="B221" s="1531" t="s">
        <v>699</v>
      </c>
      <c r="C221" s="1545" t="s">
        <v>169</v>
      </c>
      <c r="D221" s="3231"/>
      <c r="E221" s="4406">
        <f>+'2019-20 MASTER'!F436</f>
        <v>24.7</v>
      </c>
      <c r="F221" s="3231"/>
      <c r="G221" s="1646">
        <f>+'2019-20 MASTER'!G436</f>
        <v>25.599999999999998</v>
      </c>
      <c r="H221" s="2843"/>
      <c r="I221" s="2807">
        <f>+'2019-20 MASTER'!H436</f>
        <v>25.181904823233946</v>
      </c>
      <c r="J221" s="3231">
        <v>26</v>
      </c>
      <c r="K221" s="2067">
        <f>+'2019-20 MASTER'!I436</f>
        <v>24.65</v>
      </c>
      <c r="L221" s="2554">
        <v>26</v>
      </c>
      <c r="M221" s="2888">
        <f>+'2019-20 MASTER'!J436</f>
        <v>24.938668134479624</v>
      </c>
      <c r="N221" s="3231">
        <v>26</v>
      </c>
      <c r="O221" s="3861">
        <f>+'2019-20 MASTER'!M436</f>
        <v>25.375</v>
      </c>
      <c r="P221" s="2843"/>
      <c r="Q221" s="2807">
        <f>+'2019-20 MASTER'!L436</f>
        <v>25.138073931505218</v>
      </c>
      <c r="R221" s="3231">
        <v>26</v>
      </c>
      <c r="S221" s="3861" t="e">
        <f>+'2019-20 MASTER'!Q436</f>
        <v>#REF!</v>
      </c>
      <c r="T221" s="2843"/>
      <c r="U221" s="2807" t="e">
        <f>+'2019-20 MASTER'!P436</f>
        <v>#REF!</v>
      </c>
      <c r="V221" s="3231">
        <v>26</v>
      </c>
      <c r="W221" s="3861" t="e">
        <f>+'2019-20 MASTER'!U436</f>
        <v>#REF!</v>
      </c>
      <c r="X221" s="2554">
        <v>26</v>
      </c>
      <c r="Y221" s="2888">
        <f>+'2019-20 MASTER'!V436</f>
        <v>23.566666666666666</v>
      </c>
      <c r="Z221" s="6720"/>
      <c r="AA221" s="6686">
        <f>+'2019-20 MASTER'!T436</f>
        <v>24.800000000000004</v>
      </c>
      <c r="AB221" s="3231">
        <v>26</v>
      </c>
      <c r="AC221" s="3861">
        <f>+'2019-20 MASTER'!AA436</f>
        <v>24.599999999999998</v>
      </c>
      <c r="AD221" s="2843"/>
      <c r="AE221" s="2807" t="e">
        <f>+'2019-20 MASTER'!Z436</f>
        <v>#REF!</v>
      </c>
      <c r="AF221" s="3231">
        <v>26</v>
      </c>
      <c r="AG221" s="3861" t="e">
        <f>+'2019-20 MASTER'!AE436</f>
        <v>#REF!</v>
      </c>
      <c r="AH221" s="2843"/>
      <c r="AI221" s="2807" t="e">
        <f>+'2019-20 MASTER'!AD436</f>
        <v>#REF!</v>
      </c>
      <c r="AJ221" s="3231">
        <v>26</v>
      </c>
      <c r="AK221" s="3861">
        <f>+'2019-20 MASTER'!AI436</f>
        <v>0</v>
      </c>
      <c r="AL221" s="2554">
        <v>26</v>
      </c>
      <c r="AM221" s="2888">
        <f>+'2019-20 MASTER'!AJ436</f>
        <v>0</v>
      </c>
      <c r="AN221" s="2843"/>
      <c r="AO221" s="2807">
        <f>+'2019-20 MASTER'!AH436</f>
        <v>0</v>
      </c>
      <c r="AP221" s="3231">
        <v>26</v>
      </c>
      <c r="AQ221" s="3861">
        <f>+'2019-20 MASTER'!AO436</f>
        <v>0</v>
      </c>
      <c r="AR221" s="2843"/>
      <c r="AS221" s="2807">
        <f>+'2019-20 MASTER'!AN436</f>
        <v>0</v>
      </c>
      <c r="AT221" s="3231">
        <v>26</v>
      </c>
      <c r="AU221" s="3861">
        <f>+'2019-20 MASTER'!AS436</f>
        <v>0</v>
      </c>
      <c r="AV221" s="2843"/>
      <c r="AW221" s="2807">
        <f>+'2019-20 MASTER'!AR436</f>
        <v>0</v>
      </c>
      <c r="AX221" s="3231">
        <v>26</v>
      </c>
      <c r="AY221" s="3861">
        <f>+'2019-20 MASTER'!AW436</f>
        <v>0</v>
      </c>
      <c r="AZ221" s="2554">
        <v>26</v>
      </c>
      <c r="BA221" s="2888">
        <f>+'2019-20 MASTER'!AX436</f>
        <v>0</v>
      </c>
      <c r="BB221" s="2554"/>
      <c r="BC221" s="2888"/>
      <c r="BD221" s="6720"/>
      <c r="BE221" s="6686">
        <f>+'2019-20 MASTER'!AV436</f>
        <v>0</v>
      </c>
    </row>
    <row r="222" spans="1:57" s="3380" customFormat="1" ht="15.75" hidden="1" customHeight="1" x14ac:dyDescent="0.2">
      <c r="A222" s="3379"/>
      <c r="B222" s="4369" t="s">
        <v>1403</v>
      </c>
      <c r="C222" s="4370"/>
      <c r="D222" s="3441"/>
      <c r="E222" s="4382"/>
      <c r="F222" s="3441"/>
      <c r="G222" s="4374"/>
      <c r="H222" s="3439"/>
      <c r="I222" s="4374"/>
      <c r="J222" s="3441"/>
      <c r="K222" s="4374"/>
      <c r="L222" s="3439"/>
      <c r="M222" s="4374"/>
      <c r="N222" s="3441"/>
      <c r="O222" s="4374"/>
      <c r="P222" s="3439"/>
      <c r="Q222" s="4374"/>
      <c r="R222" s="3441"/>
      <c r="S222" s="4374"/>
      <c r="T222" s="3439"/>
      <c r="U222" s="4374"/>
      <c r="V222" s="3441"/>
      <c r="W222" s="4374"/>
      <c r="X222" s="3439"/>
      <c r="Y222" s="4374"/>
      <c r="Z222" s="6742"/>
      <c r="AA222" s="6743"/>
      <c r="AB222" s="3441"/>
      <c r="AC222" s="4374"/>
      <c r="AD222" s="3439"/>
      <c r="AE222" s="4374"/>
      <c r="AF222" s="3441"/>
      <c r="AG222" s="4374"/>
      <c r="AH222" s="3439"/>
      <c r="AI222" s="4374"/>
      <c r="AJ222" s="3441"/>
      <c r="AK222" s="4374"/>
      <c r="AL222" s="3439"/>
      <c r="AM222" s="4374"/>
      <c r="AN222" s="3439"/>
      <c r="AO222" s="4374"/>
      <c r="AP222" s="3441"/>
      <c r="AQ222" s="4374"/>
      <c r="AR222" s="3439"/>
      <c r="AS222" s="4374"/>
      <c r="AT222" s="3441"/>
      <c r="AU222" s="4374"/>
      <c r="AV222" s="3439"/>
      <c r="AW222" s="4374"/>
      <c r="AX222" s="3441"/>
      <c r="AY222" s="4374"/>
      <c r="AZ222" s="3439"/>
      <c r="BA222" s="4374"/>
      <c r="BB222" s="3439"/>
      <c r="BC222" s="4374"/>
      <c r="BD222" s="6742"/>
      <c r="BE222" s="6743"/>
    </row>
    <row r="223" spans="1:57" ht="15" hidden="1" customHeight="1" x14ac:dyDescent="0.2">
      <c r="B223" s="1531" t="s">
        <v>698</v>
      </c>
      <c r="C223" s="1545" t="s">
        <v>169</v>
      </c>
      <c r="D223" s="3231"/>
      <c r="E223" s="3851">
        <f>+'2019-20 MASTER'!F430</f>
        <v>9</v>
      </c>
      <c r="F223" s="3231"/>
      <c r="G223" s="2067">
        <f>+'2019-20 MASTER'!G430</f>
        <v>8.9749999999999996</v>
      </c>
      <c r="H223" s="2843"/>
      <c r="I223" s="2486">
        <f>+'2019-20 MASTER'!H430</f>
        <v>8.9870433062948312</v>
      </c>
      <c r="J223" s="3231">
        <v>7.5</v>
      </c>
      <c r="K223" s="2067">
        <f>+'2019-20 MASTER'!I430</f>
        <v>9.08</v>
      </c>
      <c r="L223" s="2554">
        <v>7.5</v>
      </c>
      <c r="M223" s="2268">
        <f>+'2019-20 MASTER'!J430</f>
        <v>9.0202226613019096</v>
      </c>
      <c r="N223" s="3231">
        <v>7.5</v>
      </c>
      <c r="O223" s="3861">
        <f>+'2019-20 MASTER'!M430</f>
        <v>10.024999999999999</v>
      </c>
      <c r="P223" s="2843"/>
      <c r="Q223" s="2486">
        <f>+'2019-20 MASTER'!L430</f>
        <v>9.1616884887069769</v>
      </c>
      <c r="R223" s="3231">
        <v>7.5</v>
      </c>
      <c r="S223" s="3861" t="e">
        <f>+'2019-20 MASTER'!Q430</f>
        <v>#REF!</v>
      </c>
      <c r="T223" s="2843"/>
      <c r="U223" s="2486" t="e">
        <f>+'2019-20 MASTER'!P430</f>
        <v>#REF!</v>
      </c>
      <c r="V223" s="3231">
        <v>7.5</v>
      </c>
      <c r="W223" s="3861" t="e">
        <f>+'2019-20 MASTER'!U430</f>
        <v>#REF!</v>
      </c>
      <c r="X223" s="2554">
        <v>7.5</v>
      </c>
      <c r="Y223" s="2268">
        <f>+'2019-20 MASTER'!V430</f>
        <v>9.2583333333333329</v>
      </c>
      <c r="Z223" s="6720"/>
      <c r="AA223" s="6611">
        <f>+'2019-20 MASTER'!T430</f>
        <v>9.0125000000000011</v>
      </c>
      <c r="AB223" s="3231">
        <v>7.5</v>
      </c>
      <c r="AC223" s="3861">
        <f>+'2019-20 MASTER'!AA430</f>
        <v>10.45</v>
      </c>
      <c r="AD223" s="2843"/>
      <c r="AE223" s="2486" t="e">
        <f>+'2019-20 MASTER'!Z430</f>
        <v>#REF!</v>
      </c>
      <c r="AF223" s="3231">
        <v>7.5</v>
      </c>
      <c r="AG223" s="3861" t="e">
        <f>+'2019-20 MASTER'!AE430</f>
        <v>#REF!</v>
      </c>
      <c r="AH223" s="2843"/>
      <c r="AI223" s="2486" t="e">
        <f>+'2019-20 MASTER'!AD430</f>
        <v>#REF!</v>
      </c>
      <c r="AJ223" s="3231">
        <v>7.5</v>
      </c>
      <c r="AK223" s="3861">
        <f>+'2019-20 MASTER'!AI430</f>
        <v>0</v>
      </c>
      <c r="AL223" s="2554">
        <v>7.5</v>
      </c>
      <c r="AM223" s="2268">
        <f>+'2019-20 MASTER'!AJ430</f>
        <v>0</v>
      </c>
      <c r="AN223" s="2843"/>
      <c r="AO223" s="2486">
        <f>+'2019-20 MASTER'!AH430</f>
        <v>0</v>
      </c>
      <c r="AP223" s="3231">
        <v>7.5</v>
      </c>
      <c r="AQ223" s="3861">
        <f>+'2019-20 MASTER'!AO430</f>
        <v>0</v>
      </c>
      <c r="AR223" s="2843"/>
      <c r="AS223" s="2486">
        <f>+'2019-20 MASTER'!AN430</f>
        <v>0</v>
      </c>
      <c r="AT223" s="3231">
        <v>7.5</v>
      </c>
      <c r="AU223" s="3861">
        <f>+'2019-20 MASTER'!AS430</f>
        <v>0</v>
      </c>
      <c r="AV223" s="2843"/>
      <c r="AW223" s="2486">
        <f>+'2019-20 MASTER'!AR430</f>
        <v>0</v>
      </c>
      <c r="AX223" s="3231">
        <v>7.5</v>
      </c>
      <c r="AY223" s="3861">
        <f>+'2019-20 MASTER'!AW430</f>
        <v>0</v>
      </c>
      <c r="AZ223" s="2554">
        <v>7.5</v>
      </c>
      <c r="BA223" s="2268">
        <f>+'2019-20 MASTER'!AX430</f>
        <v>0</v>
      </c>
      <c r="BB223" s="2554"/>
      <c r="BC223" s="2268"/>
      <c r="BD223" s="6720"/>
      <c r="BE223" s="6611">
        <f>+'2019-20 MASTER'!AV430</f>
        <v>0</v>
      </c>
    </row>
    <row r="224" spans="1:57" ht="15" hidden="1" customHeight="1" x14ac:dyDescent="0.2">
      <c r="B224" s="1531" t="s">
        <v>691</v>
      </c>
      <c r="C224" s="1545" t="s">
        <v>169</v>
      </c>
      <c r="D224" s="3231"/>
      <c r="E224" s="3851">
        <f>+'2019-20 MASTER'!F431</f>
        <v>8.7333333333333325</v>
      </c>
      <c r="F224" s="3231"/>
      <c r="G224" s="2067">
        <f>+'2019-20 MASTER'!G431</f>
        <v>8.5499999999999989</v>
      </c>
      <c r="H224" s="2843"/>
      <c r="I224" s="2486">
        <f>+'2019-20 MASTER'!H431</f>
        <v>8.6383175794954301</v>
      </c>
      <c r="J224" s="3231">
        <v>9</v>
      </c>
      <c r="K224" s="2067">
        <f>+'2019-20 MASTER'!I431</f>
        <v>8.6100000000000012</v>
      </c>
      <c r="L224" s="2554">
        <v>9</v>
      </c>
      <c r="M224" s="2268">
        <f>+'2019-20 MASTER'!J431</f>
        <v>8.6282100876562726</v>
      </c>
      <c r="N224" s="3231">
        <v>9</v>
      </c>
      <c r="O224" s="3861">
        <f>+'2019-20 MASTER'!M431</f>
        <v>8.9750000000000014</v>
      </c>
      <c r="P224" s="2843"/>
      <c r="Q224" s="2486">
        <f>+'2019-20 MASTER'!L431</f>
        <v>8.6604644661963626</v>
      </c>
      <c r="R224" s="3231">
        <v>9</v>
      </c>
      <c r="S224" s="3861" t="e">
        <f>+'2019-20 MASTER'!Q431</f>
        <v>#REF!</v>
      </c>
      <c r="T224" s="2843"/>
      <c r="U224" s="2486" t="e">
        <f>+'2019-20 MASTER'!P431</f>
        <v>#REF!</v>
      </c>
      <c r="V224" s="3231">
        <v>9</v>
      </c>
      <c r="W224" s="3861" t="e">
        <f>+'2019-20 MASTER'!U431</f>
        <v>#REF!</v>
      </c>
      <c r="X224" s="2554">
        <v>9</v>
      </c>
      <c r="Y224" s="2268">
        <f>+'2019-20 MASTER'!V431</f>
        <v>9.1416666666666675</v>
      </c>
      <c r="Z224" s="6720"/>
      <c r="AA224" s="6611">
        <f>+'2019-20 MASTER'!T431</f>
        <v>8.7624999999999993</v>
      </c>
      <c r="AB224" s="3231">
        <v>9</v>
      </c>
      <c r="AC224" s="3861">
        <f>+'2019-20 MASTER'!AA431</f>
        <v>8.5</v>
      </c>
      <c r="AD224" s="2843"/>
      <c r="AE224" s="2486" t="e">
        <f>+'2019-20 MASTER'!Z431</f>
        <v>#REF!</v>
      </c>
      <c r="AF224" s="3231">
        <v>9</v>
      </c>
      <c r="AG224" s="3861" t="e">
        <f>+'2019-20 MASTER'!AE431</f>
        <v>#REF!</v>
      </c>
      <c r="AH224" s="2843"/>
      <c r="AI224" s="2486" t="e">
        <f>+'2019-20 MASTER'!AD431</f>
        <v>#REF!</v>
      </c>
      <c r="AJ224" s="3231">
        <v>9</v>
      </c>
      <c r="AK224" s="3861">
        <f>+'2019-20 MASTER'!AI431</f>
        <v>0</v>
      </c>
      <c r="AL224" s="2554">
        <v>9</v>
      </c>
      <c r="AM224" s="2268">
        <f>+'2019-20 MASTER'!AJ431</f>
        <v>0</v>
      </c>
      <c r="AN224" s="2843"/>
      <c r="AO224" s="2486">
        <f>+'2019-20 MASTER'!AH431</f>
        <v>0</v>
      </c>
      <c r="AP224" s="3231">
        <v>9</v>
      </c>
      <c r="AQ224" s="3861">
        <f>+'2019-20 MASTER'!AO431</f>
        <v>0</v>
      </c>
      <c r="AR224" s="2843"/>
      <c r="AS224" s="2486">
        <f>+'2019-20 MASTER'!AN431</f>
        <v>0</v>
      </c>
      <c r="AT224" s="3231">
        <v>9</v>
      </c>
      <c r="AU224" s="3861">
        <f>+'2019-20 MASTER'!AS431</f>
        <v>0</v>
      </c>
      <c r="AV224" s="2843"/>
      <c r="AW224" s="2486">
        <f>+'2019-20 MASTER'!AR431</f>
        <v>0</v>
      </c>
      <c r="AX224" s="3231">
        <v>9</v>
      </c>
      <c r="AY224" s="3861">
        <f>+'2019-20 MASTER'!AW431</f>
        <v>0</v>
      </c>
      <c r="AZ224" s="2554">
        <v>9</v>
      </c>
      <c r="BA224" s="2268">
        <f>+'2019-20 MASTER'!AX431</f>
        <v>0</v>
      </c>
      <c r="BB224" s="2554"/>
      <c r="BC224" s="2268"/>
      <c r="BD224" s="6720"/>
      <c r="BE224" s="6611">
        <f>+'2019-20 MASTER'!AV431</f>
        <v>0</v>
      </c>
    </row>
    <row r="225" spans="1:57" ht="15" hidden="1" customHeight="1" x14ac:dyDescent="0.2">
      <c r="B225" s="1531" t="s">
        <v>699</v>
      </c>
      <c r="C225" s="1545" t="s">
        <v>169</v>
      </c>
      <c r="D225" s="3231"/>
      <c r="E225" s="3851">
        <f>+'2019-20 MASTER'!F432</f>
        <v>26.033333333333331</v>
      </c>
      <c r="F225" s="3231"/>
      <c r="G225" s="2067">
        <f>+'2019-20 MASTER'!G432</f>
        <v>26.75</v>
      </c>
      <c r="H225" s="2843"/>
      <c r="I225" s="2486">
        <f>+'2019-20 MASTER'!H432</f>
        <v>26.404758552881503</v>
      </c>
      <c r="J225" s="3231">
        <v>34</v>
      </c>
      <c r="K225" s="2559">
        <f>+'2019-20 MASTER'!I432</f>
        <v>28.73</v>
      </c>
      <c r="L225" s="2554">
        <v>34</v>
      </c>
      <c r="M225" s="2888">
        <f>+'2019-20 MASTER'!J432</f>
        <v>27.234715045265126</v>
      </c>
      <c r="N225" s="3231">
        <v>34</v>
      </c>
      <c r="O225" s="3179">
        <f>+'2019-20 MASTER'!M432</f>
        <v>27.900000000000002</v>
      </c>
      <c r="P225" s="2843"/>
      <c r="Q225" s="2486">
        <f>+'2019-20 MASTER'!L432</f>
        <v>27.586981954871018</v>
      </c>
      <c r="R225" s="3231">
        <v>34</v>
      </c>
      <c r="S225" s="3179" t="e">
        <f>+'2019-20 MASTER'!Q432</f>
        <v>#REF!</v>
      </c>
      <c r="T225" s="2843"/>
      <c r="U225" s="2486" t="e">
        <f>+'2019-20 MASTER'!P432</f>
        <v>#REF!</v>
      </c>
      <c r="V225" s="3231">
        <v>34</v>
      </c>
      <c r="W225" s="3179" t="e">
        <f>+'2019-20 MASTER'!U432</f>
        <v>#REF!</v>
      </c>
      <c r="X225" s="2554">
        <v>34</v>
      </c>
      <c r="Y225" s="2888">
        <f>+'2019-20 MASTER'!V432</f>
        <v>28.366666666666664</v>
      </c>
      <c r="Z225" s="6720"/>
      <c r="AA225" s="6611">
        <f>+'2019-20 MASTER'!T432</f>
        <v>27.212499999999999</v>
      </c>
      <c r="AB225" s="3231">
        <v>34</v>
      </c>
      <c r="AC225" s="3179">
        <f>+'2019-20 MASTER'!AA432</f>
        <v>26.725000000000001</v>
      </c>
      <c r="AD225" s="2843"/>
      <c r="AE225" s="2486" t="e">
        <f>+'2019-20 MASTER'!Z432</f>
        <v>#REF!</v>
      </c>
      <c r="AF225" s="3231">
        <v>34</v>
      </c>
      <c r="AG225" s="3179" t="e">
        <f>+'2019-20 MASTER'!AE432</f>
        <v>#REF!</v>
      </c>
      <c r="AH225" s="2843"/>
      <c r="AI225" s="2486" t="e">
        <f>+'2019-20 MASTER'!AD432</f>
        <v>#REF!</v>
      </c>
      <c r="AJ225" s="3231">
        <v>34</v>
      </c>
      <c r="AK225" s="3179">
        <f>+'2019-20 MASTER'!AI432</f>
        <v>0</v>
      </c>
      <c r="AL225" s="2554">
        <v>34</v>
      </c>
      <c r="AM225" s="2888">
        <f>+'2019-20 MASTER'!AJ432</f>
        <v>0</v>
      </c>
      <c r="AN225" s="2843"/>
      <c r="AO225" s="2486">
        <f>+'2019-20 MASTER'!AH432</f>
        <v>0</v>
      </c>
      <c r="AP225" s="3231">
        <v>34</v>
      </c>
      <c r="AQ225" s="3179">
        <f>+'2019-20 MASTER'!AO432</f>
        <v>0</v>
      </c>
      <c r="AR225" s="2843"/>
      <c r="AS225" s="2486">
        <f>+'2019-20 MASTER'!AN432</f>
        <v>0</v>
      </c>
      <c r="AT225" s="3231">
        <v>34</v>
      </c>
      <c r="AU225" s="3179">
        <f>+'2019-20 MASTER'!AS432</f>
        <v>0</v>
      </c>
      <c r="AV225" s="2843"/>
      <c r="AW225" s="2486">
        <f>+'2019-20 MASTER'!AR432</f>
        <v>0</v>
      </c>
      <c r="AX225" s="3231">
        <v>34</v>
      </c>
      <c r="AY225" s="3179">
        <f>+'2019-20 MASTER'!AW432</f>
        <v>0</v>
      </c>
      <c r="AZ225" s="2554">
        <v>34</v>
      </c>
      <c r="BA225" s="2888">
        <f>+'2019-20 MASTER'!AX432</f>
        <v>0</v>
      </c>
      <c r="BB225" s="2554"/>
      <c r="BC225" s="2888"/>
      <c r="BD225" s="6720"/>
      <c r="BE225" s="6611">
        <f>+'2019-20 MASTER'!AV432</f>
        <v>0</v>
      </c>
    </row>
    <row r="226" spans="1:57" s="3380" customFormat="1" ht="15.75" hidden="1" customHeight="1" x14ac:dyDescent="0.2">
      <c r="A226" s="3379"/>
      <c r="B226" s="4369" t="s">
        <v>1323</v>
      </c>
      <c r="C226" s="4370"/>
      <c r="D226" s="3441"/>
      <c r="E226" s="4382"/>
      <c r="F226" s="3441"/>
      <c r="G226" s="4374"/>
      <c r="H226" s="3439"/>
      <c r="I226" s="4374"/>
      <c r="J226" s="3441"/>
      <c r="K226" s="4374"/>
      <c r="L226" s="3439"/>
      <c r="M226" s="4374"/>
      <c r="N226" s="3441"/>
      <c r="O226" s="4374"/>
      <c r="P226" s="3439"/>
      <c r="Q226" s="4374"/>
      <c r="R226" s="3441"/>
      <c r="S226" s="4374"/>
      <c r="T226" s="3439"/>
      <c r="U226" s="4374"/>
      <c r="V226" s="3441"/>
      <c r="W226" s="4374"/>
      <c r="X226" s="3439"/>
      <c r="Y226" s="4374"/>
      <c r="Z226" s="6742"/>
      <c r="AA226" s="6743"/>
      <c r="AB226" s="3441"/>
      <c r="AC226" s="4374"/>
      <c r="AD226" s="3439"/>
      <c r="AE226" s="4374"/>
      <c r="AF226" s="3441"/>
      <c r="AG226" s="4374"/>
      <c r="AH226" s="3439"/>
      <c r="AI226" s="4374"/>
      <c r="AJ226" s="3441"/>
      <c r="AK226" s="4374"/>
      <c r="AL226" s="3439"/>
      <c r="AM226" s="4374"/>
      <c r="AN226" s="3439"/>
      <c r="AO226" s="4374"/>
      <c r="AP226" s="3441"/>
      <c r="AQ226" s="4374"/>
      <c r="AR226" s="3439"/>
      <c r="AS226" s="4374"/>
      <c r="AT226" s="3441"/>
      <c r="AU226" s="4374"/>
      <c r="AV226" s="3439"/>
      <c r="AW226" s="4374"/>
      <c r="AX226" s="3441"/>
      <c r="AY226" s="4374"/>
      <c r="AZ226" s="3439"/>
      <c r="BA226" s="4374"/>
      <c r="BB226" s="3439"/>
      <c r="BC226" s="4374"/>
      <c r="BD226" s="6742"/>
      <c r="BE226" s="6743"/>
    </row>
    <row r="227" spans="1:57" ht="15" hidden="1" customHeight="1" x14ac:dyDescent="0.2">
      <c r="B227" s="1531" t="s">
        <v>698</v>
      </c>
      <c r="C227" s="1545" t="s">
        <v>169</v>
      </c>
      <c r="D227" s="3224"/>
      <c r="E227" s="3851">
        <f>+'2019-20 MASTER'!F398</f>
        <v>0</v>
      </c>
      <c r="F227" s="3224"/>
      <c r="G227" s="2067">
        <f>+'2019-20 MASTER'!G398</f>
        <v>0</v>
      </c>
      <c r="H227" s="2976"/>
      <c r="I227" s="2486">
        <f>+'2019-20 MASTER'!H398</f>
        <v>0</v>
      </c>
      <c r="J227" s="3224" t="s">
        <v>127</v>
      </c>
      <c r="K227" s="3179">
        <f>+'2019-20 MASTER'!I398</f>
        <v>0</v>
      </c>
      <c r="L227" s="2554" t="s">
        <v>127</v>
      </c>
      <c r="M227" s="2888">
        <f>+'2019-20 MASTER'!J398</f>
        <v>0</v>
      </c>
      <c r="N227" s="3224" t="s">
        <v>127</v>
      </c>
      <c r="O227" s="3179">
        <f>+'2019-20 MASTER'!M398</f>
        <v>0</v>
      </c>
      <c r="P227" s="2976"/>
      <c r="Q227" s="2486">
        <f>+'2019-20 MASTER'!L398</f>
        <v>0.99214728784479334</v>
      </c>
      <c r="R227" s="3224" t="s">
        <v>127</v>
      </c>
      <c r="S227" s="3179" t="e">
        <f>+'2019-20 MASTER'!Q398</f>
        <v>#REF!</v>
      </c>
      <c r="T227" s="2976"/>
      <c r="U227" s="2486" t="e">
        <f>+'2019-20 MASTER'!P398</f>
        <v>#REF!</v>
      </c>
      <c r="V227" s="3224" t="s">
        <v>127</v>
      </c>
      <c r="W227" s="3179" t="e">
        <f>+'2019-20 MASTER'!U398</f>
        <v>#REF!</v>
      </c>
      <c r="X227" s="2554" t="s">
        <v>127</v>
      </c>
      <c r="Y227" s="2888">
        <f>+'2019-20 MASTER'!V398</f>
        <v>0</v>
      </c>
      <c r="Z227" s="6717"/>
      <c r="AA227" s="6611">
        <f>+'2019-20 MASTER'!T398</f>
        <v>0</v>
      </c>
      <c r="AB227" s="3224" t="s">
        <v>127</v>
      </c>
      <c r="AC227" s="3179">
        <f>+'2019-20 MASTER'!AA398</f>
        <v>0</v>
      </c>
      <c r="AD227" s="2976"/>
      <c r="AE227" s="2486" t="e">
        <f>+'2019-20 MASTER'!Z398</f>
        <v>#REF!</v>
      </c>
      <c r="AF227" s="3224" t="s">
        <v>127</v>
      </c>
      <c r="AG227" s="3179" t="e">
        <f>+'2019-20 MASTER'!AE398</f>
        <v>#REF!</v>
      </c>
      <c r="AH227" s="2976"/>
      <c r="AI227" s="2486" t="e">
        <f>+'2019-20 MASTER'!AD398</f>
        <v>#REF!</v>
      </c>
      <c r="AJ227" s="3224" t="s">
        <v>127</v>
      </c>
      <c r="AK227" s="3179">
        <f>+'2019-20 MASTER'!AI398</f>
        <v>0</v>
      </c>
      <c r="AL227" s="2554" t="s">
        <v>127</v>
      </c>
      <c r="AM227" s="2888">
        <f>+'2019-20 MASTER'!AJ398</f>
        <v>0</v>
      </c>
      <c r="AN227" s="2976"/>
      <c r="AO227" s="2486">
        <f>+'2019-20 MASTER'!AH398</f>
        <v>0</v>
      </c>
      <c r="AP227" s="3224" t="s">
        <v>127</v>
      </c>
      <c r="AQ227" s="3179">
        <f>+'2019-20 MASTER'!AO398</f>
        <v>0</v>
      </c>
      <c r="AR227" s="2976"/>
      <c r="AS227" s="2486">
        <f>+'2019-20 MASTER'!AN398</f>
        <v>0</v>
      </c>
      <c r="AT227" s="3224" t="s">
        <v>127</v>
      </c>
      <c r="AU227" s="3179">
        <f>+'2019-20 MASTER'!AS398</f>
        <v>0</v>
      </c>
      <c r="AV227" s="2976"/>
      <c r="AW227" s="2486">
        <f>+'2019-20 MASTER'!AR398</f>
        <v>0</v>
      </c>
      <c r="AX227" s="3224" t="s">
        <v>127</v>
      </c>
      <c r="AY227" s="3179">
        <f>+'2019-20 MASTER'!AW398</f>
        <v>0</v>
      </c>
      <c r="AZ227" s="2554" t="s">
        <v>127</v>
      </c>
      <c r="BA227" s="2888">
        <f>+'2019-20 MASTER'!AX398</f>
        <v>0</v>
      </c>
      <c r="BB227" s="2554"/>
      <c r="BC227" s="2888"/>
      <c r="BD227" s="6717"/>
      <c r="BE227" s="6611">
        <f>+'2019-20 MASTER'!AV398</f>
        <v>0</v>
      </c>
    </row>
    <row r="228" spans="1:57" ht="15" hidden="1" customHeight="1" x14ac:dyDescent="0.2">
      <c r="B228" s="1531" t="s">
        <v>691</v>
      </c>
      <c r="C228" s="1545" t="s">
        <v>169</v>
      </c>
      <c r="D228" s="3224"/>
      <c r="E228" s="3851">
        <f>+'2019-20 MASTER'!F399</f>
        <v>0</v>
      </c>
      <c r="F228" s="3224"/>
      <c r="G228" s="2067">
        <f>+'2019-20 MASTER'!G399</f>
        <v>0</v>
      </c>
      <c r="H228" s="2976"/>
      <c r="I228" s="2486">
        <f>+'2019-20 MASTER'!H399</f>
        <v>0</v>
      </c>
      <c r="J228" s="3224" t="s">
        <v>127</v>
      </c>
      <c r="K228" s="3179">
        <f>+'2019-20 MASTER'!I399</f>
        <v>0</v>
      </c>
      <c r="L228" s="2554" t="s">
        <v>127</v>
      </c>
      <c r="M228" s="2888">
        <f>+'2019-20 MASTER'!J399</f>
        <v>0</v>
      </c>
      <c r="N228" s="3224" t="s">
        <v>127</v>
      </c>
      <c r="O228" s="3179">
        <f>+'2019-20 MASTER'!M399</f>
        <v>0</v>
      </c>
      <c r="P228" s="2976"/>
      <c r="Q228" s="2486">
        <f>+'2019-20 MASTER'!L399</f>
        <v>0.82337996568562766</v>
      </c>
      <c r="R228" s="3224" t="s">
        <v>127</v>
      </c>
      <c r="S228" s="3179" t="e">
        <f>+'2019-20 MASTER'!Q399</f>
        <v>#REF!</v>
      </c>
      <c r="T228" s="2976"/>
      <c r="U228" s="2486" t="e">
        <f>+'2019-20 MASTER'!P399</f>
        <v>#REF!</v>
      </c>
      <c r="V228" s="3224" t="s">
        <v>127</v>
      </c>
      <c r="W228" s="3179" t="e">
        <f>+'2019-20 MASTER'!U399</f>
        <v>#REF!</v>
      </c>
      <c r="X228" s="2554" t="s">
        <v>127</v>
      </c>
      <c r="Y228" s="2888">
        <f>+'2019-20 MASTER'!V399</f>
        <v>0</v>
      </c>
      <c r="Z228" s="6717"/>
      <c r="AA228" s="6611">
        <f>+'2019-20 MASTER'!T399</f>
        <v>0</v>
      </c>
      <c r="AB228" s="3224" t="s">
        <v>127</v>
      </c>
      <c r="AC228" s="3179">
        <f>+'2019-20 MASTER'!AA399</f>
        <v>0</v>
      </c>
      <c r="AD228" s="2976"/>
      <c r="AE228" s="2486" t="e">
        <f>+'2019-20 MASTER'!Z399</f>
        <v>#REF!</v>
      </c>
      <c r="AF228" s="3224" t="s">
        <v>127</v>
      </c>
      <c r="AG228" s="3179" t="e">
        <f>+'2019-20 MASTER'!AE399</f>
        <v>#REF!</v>
      </c>
      <c r="AH228" s="2976"/>
      <c r="AI228" s="2486" t="e">
        <f>+'2019-20 MASTER'!AD399</f>
        <v>#REF!</v>
      </c>
      <c r="AJ228" s="3224" t="s">
        <v>127</v>
      </c>
      <c r="AK228" s="3179">
        <f>+'2019-20 MASTER'!AI399</f>
        <v>0</v>
      </c>
      <c r="AL228" s="2554" t="s">
        <v>127</v>
      </c>
      <c r="AM228" s="2888">
        <f>+'2019-20 MASTER'!AJ399</f>
        <v>0</v>
      </c>
      <c r="AN228" s="2976"/>
      <c r="AO228" s="2486">
        <f>+'2019-20 MASTER'!AH399</f>
        <v>0</v>
      </c>
      <c r="AP228" s="3224" t="s">
        <v>127</v>
      </c>
      <c r="AQ228" s="3179">
        <f>+'2019-20 MASTER'!AO399</f>
        <v>0</v>
      </c>
      <c r="AR228" s="2976"/>
      <c r="AS228" s="2486">
        <f>+'2019-20 MASTER'!AN399</f>
        <v>0</v>
      </c>
      <c r="AT228" s="3224" t="s">
        <v>127</v>
      </c>
      <c r="AU228" s="3179">
        <f>+'2019-20 MASTER'!AS399</f>
        <v>0</v>
      </c>
      <c r="AV228" s="2976"/>
      <c r="AW228" s="2486">
        <f>+'2019-20 MASTER'!AR399</f>
        <v>0</v>
      </c>
      <c r="AX228" s="3224" t="s">
        <v>127</v>
      </c>
      <c r="AY228" s="3179">
        <f>+'2019-20 MASTER'!AW399</f>
        <v>0</v>
      </c>
      <c r="AZ228" s="2554" t="s">
        <v>127</v>
      </c>
      <c r="BA228" s="2888">
        <f>+'2019-20 MASTER'!AX399</f>
        <v>0</v>
      </c>
      <c r="BB228" s="2554"/>
      <c r="BC228" s="2888"/>
      <c r="BD228" s="6717"/>
      <c r="BE228" s="6611">
        <f>+'2019-20 MASTER'!AV399</f>
        <v>0</v>
      </c>
    </row>
    <row r="229" spans="1:57" ht="15" hidden="1" customHeight="1" x14ac:dyDescent="0.2">
      <c r="B229" s="1531" t="s">
        <v>699</v>
      </c>
      <c r="C229" s="1545" t="s">
        <v>169</v>
      </c>
      <c r="D229" s="3224"/>
      <c r="E229" s="3851">
        <f>+'2019-20 MASTER'!F400</f>
        <v>0</v>
      </c>
      <c r="F229" s="3224"/>
      <c r="G229" s="2067">
        <f>+'2019-20 MASTER'!G400</f>
        <v>0</v>
      </c>
      <c r="H229" s="2976"/>
      <c r="I229" s="2486">
        <f>+'2019-20 MASTER'!H400</f>
        <v>0</v>
      </c>
      <c r="J229" s="3224" t="s">
        <v>127</v>
      </c>
      <c r="K229" s="3179">
        <f>+'2019-20 MASTER'!I400</f>
        <v>0</v>
      </c>
      <c r="L229" s="2554" t="s">
        <v>127</v>
      </c>
      <c r="M229" s="2888">
        <f>+'2019-20 MASTER'!J400</f>
        <v>0</v>
      </c>
      <c r="N229" s="3224" t="s">
        <v>127</v>
      </c>
      <c r="O229" s="3179">
        <f>+'2019-20 MASTER'!M400</f>
        <v>0</v>
      </c>
      <c r="P229" s="2976"/>
      <c r="Q229" s="2486">
        <f>+'2019-20 MASTER'!L400</f>
        <v>2.7463046060446086</v>
      </c>
      <c r="R229" s="3224" t="s">
        <v>127</v>
      </c>
      <c r="S229" s="3179" t="e">
        <f>+'2019-20 MASTER'!Q400</f>
        <v>#REF!</v>
      </c>
      <c r="T229" s="2976"/>
      <c r="U229" s="2486" t="e">
        <f>+'2019-20 MASTER'!P400</f>
        <v>#REF!</v>
      </c>
      <c r="V229" s="3224" t="s">
        <v>127</v>
      </c>
      <c r="W229" s="3179" t="e">
        <f>+'2019-20 MASTER'!U400</f>
        <v>#REF!</v>
      </c>
      <c r="X229" s="2554" t="s">
        <v>127</v>
      </c>
      <c r="Y229" s="2888">
        <f>+'2019-20 MASTER'!V400</f>
        <v>0</v>
      </c>
      <c r="Z229" s="6717"/>
      <c r="AA229" s="6611">
        <f>+'2019-20 MASTER'!T400</f>
        <v>0</v>
      </c>
      <c r="AB229" s="3224" t="s">
        <v>127</v>
      </c>
      <c r="AC229" s="3179">
        <f>+'2019-20 MASTER'!AA400</f>
        <v>0</v>
      </c>
      <c r="AD229" s="2976"/>
      <c r="AE229" s="2486" t="e">
        <f>+'2019-20 MASTER'!Z400</f>
        <v>#REF!</v>
      </c>
      <c r="AF229" s="3224" t="s">
        <v>127</v>
      </c>
      <c r="AG229" s="3179" t="e">
        <f>+'2019-20 MASTER'!AE400</f>
        <v>#REF!</v>
      </c>
      <c r="AH229" s="2976"/>
      <c r="AI229" s="2486" t="e">
        <f>+'2019-20 MASTER'!AD400</f>
        <v>#REF!</v>
      </c>
      <c r="AJ229" s="3224" t="s">
        <v>127</v>
      </c>
      <c r="AK229" s="3179">
        <f>+'2019-20 MASTER'!AI400</f>
        <v>0</v>
      </c>
      <c r="AL229" s="2554" t="s">
        <v>127</v>
      </c>
      <c r="AM229" s="2888">
        <f>+'2019-20 MASTER'!AJ400</f>
        <v>0</v>
      </c>
      <c r="AN229" s="2976"/>
      <c r="AO229" s="2486">
        <f>+'2019-20 MASTER'!AH400</f>
        <v>0</v>
      </c>
      <c r="AP229" s="3224" t="s">
        <v>127</v>
      </c>
      <c r="AQ229" s="3179">
        <f>+'2019-20 MASTER'!AO400</f>
        <v>0</v>
      </c>
      <c r="AR229" s="2976"/>
      <c r="AS229" s="2486">
        <f>+'2019-20 MASTER'!AN400</f>
        <v>0</v>
      </c>
      <c r="AT229" s="3224" t="s">
        <v>127</v>
      </c>
      <c r="AU229" s="3179">
        <f>+'2019-20 MASTER'!AS400</f>
        <v>0</v>
      </c>
      <c r="AV229" s="2976"/>
      <c r="AW229" s="2486">
        <f>+'2019-20 MASTER'!AR400</f>
        <v>0</v>
      </c>
      <c r="AX229" s="3224" t="s">
        <v>127</v>
      </c>
      <c r="AY229" s="3179">
        <f>+'2019-20 MASTER'!AW400</f>
        <v>0</v>
      </c>
      <c r="AZ229" s="2554" t="s">
        <v>127</v>
      </c>
      <c r="BA229" s="2888">
        <f>+'2019-20 MASTER'!AX400</f>
        <v>0</v>
      </c>
      <c r="BB229" s="2554"/>
      <c r="BC229" s="2888"/>
      <c r="BD229" s="6717"/>
      <c r="BE229" s="6611">
        <f>+'2019-20 MASTER'!AV400</f>
        <v>0</v>
      </c>
    </row>
    <row r="230" spans="1:57" s="3380" customFormat="1" ht="15.75" hidden="1" customHeight="1" x14ac:dyDescent="0.2">
      <c r="A230" s="3379"/>
      <c r="B230" s="4369" t="s">
        <v>256</v>
      </c>
      <c r="C230" s="4370"/>
      <c r="D230" s="3441"/>
      <c r="E230" s="4382"/>
      <c r="F230" s="3441"/>
      <c r="G230" s="4374"/>
      <c r="H230" s="3439"/>
      <c r="I230" s="4374"/>
      <c r="J230" s="3441"/>
      <c r="K230" s="4374"/>
      <c r="L230" s="3439"/>
      <c r="M230" s="4374"/>
      <c r="N230" s="3441"/>
      <c r="O230" s="4374"/>
      <c r="P230" s="3439"/>
      <c r="Q230" s="4374"/>
      <c r="R230" s="3441"/>
      <c r="S230" s="4374"/>
      <c r="T230" s="3439"/>
      <c r="U230" s="4374"/>
      <c r="V230" s="3441"/>
      <c r="W230" s="4374"/>
      <c r="X230" s="3439"/>
      <c r="Y230" s="4374"/>
      <c r="Z230" s="6742"/>
      <c r="AA230" s="6743"/>
      <c r="AB230" s="3441"/>
      <c r="AC230" s="4374"/>
      <c r="AD230" s="3439"/>
      <c r="AE230" s="4374"/>
      <c r="AF230" s="3441"/>
      <c r="AG230" s="4374"/>
      <c r="AH230" s="3439"/>
      <c r="AI230" s="4374"/>
      <c r="AJ230" s="3441"/>
      <c r="AK230" s="4374"/>
      <c r="AL230" s="3439"/>
      <c r="AM230" s="4374"/>
      <c r="AN230" s="3439"/>
      <c r="AO230" s="4374"/>
      <c r="AP230" s="3441"/>
      <c r="AQ230" s="4374"/>
      <c r="AR230" s="3439"/>
      <c r="AS230" s="4374"/>
      <c r="AT230" s="3441"/>
      <c r="AU230" s="4374"/>
      <c r="AV230" s="3439"/>
      <c r="AW230" s="4374"/>
      <c r="AX230" s="3441"/>
      <c r="AY230" s="4374"/>
      <c r="AZ230" s="3439"/>
      <c r="BA230" s="4374"/>
      <c r="BB230" s="3439"/>
      <c r="BC230" s="4374"/>
      <c r="BD230" s="6742"/>
      <c r="BE230" s="6743"/>
    </row>
    <row r="231" spans="1:57" ht="15" hidden="1" customHeight="1" x14ac:dyDescent="0.2">
      <c r="B231" s="1531" t="s">
        <v>698</v>
      </c>
      <c r="C231" s="1545" t="s">
        <v>169</v>
      </c>
      <c r="D231" s="3231"/>
      <c r="E231" s="3851">
        <f>+'2019-20 MASTER'!F438</f>
        <v>8.1</v>
      </c>
      <c r="F231" s="3231"/>
      <c r="G231" s="2067">
        <f>+'2019-20 MASTER'!G438</f>
        <v>7.8</v>
      </c>
      <c r="H231" s="2843"/>
      <c r="I231" s="2486">
        <f>+'2019-20 MASTER'!H438</f>
        <v>8.1</v>
      </c>
      <c r="J231" s="3231">
        <v>6.5</v>
      </c>
      <c r="K231" s="2067">
        <f>+'2019-20 MASTER'!I438</f>
        <v>7.9</v>
      </c>
      <c r="L231" s="2554">
        <v>6.5</v>
      </c>
      <c r="M231" s="2268">
        <f>+'2019-20 MASTER'!J438</f>
        <v>7.9</v>
      </c>
      <c r="N231" s="3231">
        <v>6.5</v>
      </c>
      <c r="O231" s="3861" t="str">
        <f>+'2019-20 MASTER'!M438</f>
        <v>-</v>
      </c>
      <c r="P231" s="2843"/>
      <c r="Q231" s="2486">
        <f>+'2019-20 MASTER'!L438</f>
        <v>8.5360141871165656</v>
      </c>
      <c r="R231" s="3231">
        <v>6.5</v>
      </c>
      <c r="S231" s="3861">
        <f>+'2019-20 MASTER'!Q438</f>
        <v>6.3999999999999995</v>
      </c>
      <c r="T231" s="2843"/>
      <c r="U231" s="2486">
        <f>+'2019-20 MASTER'!P438</f>
        <v>6.3999999999999995</v>
      </c>
      <c r="V231" s="3231">
        <v>6.5</v>
      </c>
      <c r="W231" s="3861">
        <f>+'2019-20 MASTER'!U438</f>
        <v>6.3999999999999995</v>
      </c>
      <c r="X231" s="2554">
        <v>6.5</v>
      </c>
      <c r="Y231" s="2268" t="str">
        <f>+'2019-20 MASTER'!V438</f>
        <v>-</v>
      </c>
      <c r="Z231" s="6720"/>
      <c r="AA231" s="6611" t="str">
        <f>+'2019-20 MASTER'!T438</f>
        <v>-</v>
      </c>
      <c r="AB231" s="3231">
        <v>6.5</v>
      </c>
      <c r="AC231" s="3861" t="str">
        <f>+'2019-20 MASTER'!AA438</f>
        <v>-</v>
      </c>
      <c r="AD231" s="2843"/>
      <c r="AE231" s="2486">
        <f>+'2019-20 MASTER'!Z438</f>
        <v>6.3999999999999995</v>
      </c>
      <c r="AF231" s="3231">
        <v>6.5</v>
      </c>
      <c r="AG231" s="3861">
        <f>+'2019-20 MASTER'!AE438</f>
        <v>6.3999999999999995</v>
      </c>
      <c r="AH231" s="2843"/>
      <c r="AI231" s="2486">
        <f>+'2019-20 MASTER'!AD438</f>
        <v>6.3999999999999995</v>
      </c>
      <c r="AJ231" s="3231">
        <v>6.5</v>
      </c>
      <c r="AK231" s="3861">
        <f>+'2019-20 MASTER'!AI438</f>
        <v>0</v>
      </c>
      <c r="AL231" s="2554">
        <v>6.5</v>
      </c>
      <c r="AM231" s="2268">
        <f>+'2019-20 MASTER'!AJ438</f>
        <v>0</v>
      </c>
      <c r="AN231" s="2843"/>
      <c r="AO231" s="2486">
        <f>+'2019-20 MASTER'!AH438</f>
        <v>0</v>
      </c>
      <c r="AP231" s="3231">
        <v>6.5</v>
      </c>
      <c r="AQ231" s="3861">
        <f>+'2019-20 MASTER'!AO438</f>
        <v>0</v>
      </c>
      <c r="AR231" s="2843"/>
      <c r="AS231" s="2486">
        <f>+'2019-20 MASTER'!AN438</f>
        <v>0</v>
      </c>
      <c r="AT231" s="3231">
        <v>6.5</v>
      </c>
      <c r="AU231" s="3861">
        <f>+'2019-20 MASTER'!AS438</f>
        <v>0</v>
      </c>
      <c r="AV231" s="2843"/>
      <c r="AW231" s="2486">
        <f>+'2019-20 MASTER'!AR438</f>
        <v>0</v>
      </c>
      <c r="AX231" s="3231">
        <v>6.5</v>
      </c>
      <c r="AY231" s="3861">
        <f>+'2019-20 MASTER'!AW438</f>
        <v>0</v>
      </c>
      <c r="AZ231" s="2554">
        <v>6.5</v>
      </c>
      <c r="BA231" s="2268">
        <f>+'2019-20 MASTER'!AX438</f>
        <v>0</v>
      </c>
      <c r="BB231" s="2554"/>
      <c r="BC231" s="2268"/>
      <c r="BD231" s="6720"/>
      <c r="BE231" s="6611">
        <f>+'2019-20 MASTER'!AV438</f>
        <v>0</v>
      </c>
    </row>
    <row r="232" spans="1:57" ht="15" hidden="1" customHeight="1" x14ac:dyDescent="0.2">
      <c r="B232" s="1531" t="s">
        <v>691</v>
      </c>
      <c r="C232" s="1545" t="s">
        <v>169</v>
      </c>
      <c r="D232" s="3224"/>
      <c r="E232" s="4146">
        <f>+'2019-20 MASTER'!F439</f>
        <v>22</v>
      </c>
      <c r="F232" s="3224"/>
      <c r="G232" s="2559">
        <f>+'2019-20 MASTER'!G439</f>
        <v>21.9</v>
      </c>
      <c r="H232" s="2976"/>
      <c r="I232" s="2807">
        <f>+'2019-20 MASTER'!H439</f>
        <v>22</v>
      </c>
      <c r="J232" s="3224">
        <v>18</v>
      </c>
      <c r="K232" s="2559">
        <f>+'2019-20 MASTER'!I439</f>
        <v>22.9</v>
      </c>
      <c r="L232" s="2554">
        <v>18</v>
      </c>
      <c r="M232" s="2888">
        <f>+'2019-20 MASTER'!J439</f>
        <v>22.45</v>
      </c>
      <c r="N232" s="3224">
        <v>18</v>
      </c>
      <c r="O232" s="3179" t="str">
        <f>+'2019-20 MASTER'!M439</f>
        <v>-</v>
      </c>
      <c r="P232" s="2976"/>
      <c r="Q232" s="2807">
        <f>+'2019-20 MASTER'!L439</f>
        <v>21.947105061349692</v>
      </c>
      <c r="R232" s="3224">
        <v>18</v>
      </c>
      <c r="S232" s="3179">
        <f>+'2019-20 MASTER'!Q439</f>
        <v>20.8</v>
      </c>
      <c r="T232" s="2976"/>
      <c r="U232" s="2807">
        <f>+'2019-20 MASTER'!P439</f>
        <v>20.8</v>
      </c>
      <c r="V232" s="3224">
        <v>18</v>
      </c>
      <c r="W232" s="3179">
        <f>+'2019-20 MASTER'!U439</f>
        <v>20.8</v>
      </c>
      <c r="X232" s="2554">
        <v>18</v>
      </c>
      <c r="Y232" s="2888" t="str">
        <f>+'2019-20 MASTER'!V439</f>
        <v>-</v>
      </c>
      <c r="Z232" s="6717"/>
      <c r="AA232" s="6686" t="str">
        <f>+'2019-20 MASTER'!T439</f>
        <v>-</v>
      </c>
      <c r="AB232" s="3224">
        <v>18</v>
      </c>
      <c r="AC232" s="3179" t="str">
        <f>+'2019-20 MASTER'!AA439</f>
        <v>-</v>
      </c>
      <c r="AD232" s="2976"/>
      <c r="AE232" s="2807">
        <f>+'2019-20 MASTER'!Z439</f>
        <v>20.8</v>
      </c>
      <c r="AF232" s="3224">
        <v>18</v>
      </c>
      <c r="AG232" s="3179">
        <f>+'2019-20 MASTER'!AE439</f>
        <v>20.8</v>
      </c>
      <c r="AH232" s="2976"/>
      <c r="AI232" s="2807">
        <f>+'2019-20 MASTER'!AD439</f>
        <v>20.8</v>
      </c>
      <c r="AJ232" s="3224">
        <v>18</v>
      </c>
      <c r="AK232" s="3179">
        <f>+'2019-20 MASTER'!AI439</f>
        <v>0</v>
      </c>
      <c r="AL232" s="2554">
        <v>18</v>
      </c>
      <c r="AM232" s="2888">
        <f>+'2019-20 MASTER'!AJ439</f>
        <v>0</v>
      </c>
      <c r="AN232" s="2976"/>
      <c r="AO232" s="2807">
        <f>+'2019-20 MASTER'!AH439</f>
        <v>0</v>
      </c>
      <c r="AP232" s="3224">
        <v>18</v>
      </c>
      <c r="AQ232" s="3179">
        <f>+'2019-20 MASTER'!AO439</f>
        <v>0</v>
      </c>
      <c r="AR232" s="2976"/>
      <c r="AS232" s="2807">
        <f>+'2019-20 MASTER'!AN439</f>
        <v>0</v>
      </c>
      <c r="AT232" s="3224">
        <v>18</v>
      </c>
      <c r="AU232" s="3179">
        <f>+'2019-20 MASTER'!AS439</f>
        <v>0</v>
      </c>
      <c r="AV232" s="2976"/>
      <c r="AW232" s="2807">
        <f>+'2019-20 MASTER'!AR439</f>
        <v>0</v>
      </c>
      <c r="AX232" s="3224">
        <v>18</v>
      </c>
      <c r="AY232" s="3179">
        <f>+'2019-20 MASTER'!AW439</f>
        <v>0</v>
      </c>
      <c r="AZ232" s="2554">
        <v>18</v>
      </c>
      <c r="BA232" s="2888">
        <f>+'2019-20 MASTER'!AX439</f>
        <v>0</v>
      </c>
      <c r="BB232" s="2554"/>
      <c r="BC232" s="2888"/>
      <c r="BD232" s="6717"/>
      <c r="BE232" s="6686">
        <f>+'2019-20 MASTER'!AV439</f>
        <v>0</v>
      </c>
    </row>
    <row r="233" spans="1:57" ht="15" hidden="1" customHeight="1" x14ac:dyDescent="0.2">
      <c r="B233" s="1531" t="s">
        <v>699</v>
      </c>
      <c r="C233" s="1545" t="s">
        <v>169</v>
      </c>
      <c r="D233" s="3229"/>
      <c r="E233" s="4146">
        <f>+'2019-20 MASTER'!F440</f>
        <v>20.85</v>
      </c>
      <c r="F233" s="3229"/>
      <c r="G233" s="2559">
        <f>+'2019-20 MASTER'!G440</f>
        <v>22.2</v>
      </c>
      <c r="H233" s="2553"/>
      <c r="I233" s="2807">
        <f>+'2019-20 MASTER'!H440</f>
        <v>20.85</v>
      </c>
      <c r="J233" s="3229" t="s">
        <v>964</v>
      </c>
      <c r="K233" s="2559">
        <f>+'2019-20 MASTER'!I440</f>
        <v>21.7</v>
      </c>
      <c r="L233" s="2554" t="s">
        <v>964</v>
      </c>
      <c r="M233" s="2888">
        <f>+'2019-20 MASTER'!J440</f>
        <v>21.274999999999999</v>
      </c>
      <c r="N233" s="3229" t="s">
        <v>964</v>
      </c>
      <c r="O233" s="3179" t="str">
        <f>+'2019-20 MASTER'!M440</f>
        <v>-</v>
      </c>
      <c r="P233" s="2553"/>
      <c r="Q233" s="2807">
        <f>+'2019-20 MASTER'!L440</f>
        <v>21.090112154907974</v>
      </c>
      <c r="R233" s="3229" t="s">
        <v>964</v>
      </c>
      <c r="S233" s="3179">
        <f>+'2019-20 MASTER'!Q440</f>
        <v>25.4</v>
      </c>
      <c r="T233" s="2553"/>
      <c r="U233" s="2807">
        <f>+'2019-20 MASTER'!P440</f>
        <v>25.4</v>
      </c>
      <c r="V233" s="3229" t="s">
        <v>964</v>
      </c>
      <c r="W233" s="3179">
        <f>+'2019-20 MASTER'!U440</f>
        <v>25.4</v>
      </c>
      <c r="X233" s="2554" t="s">
        <v>964</v>
      </c>
      <c r="Y233" s="2888" t="str">
        <f>+'2019-20 MASTER'!V440</f>
        <v>-</v>
      </c>
      <c r="Z233" s="6719"/>
      <c r="AA233" s="6686" t="str">
        <f>+'2019-20 MASTER'!T440</f>
        <v>-</v>
      </c>
      <c r="AB233" s="3229" t="s">
        <v>964</v>
      </c>
      <c r="AC233" s="3179" t="str">
        <f>+'2019-20 MASTER'!AA440</f>
        <v>-</v>
      </c>
      <c r="AD233" s="2553"/>
      <c r="AE233" s="2807">
        <f>+'2019-20 MASTER'!Z440</f>
        <v>25.4</v>
      </c>
      <c r="AF233" s="3229" t="s">
        <v>964</v>
      </c>
      <c r="AG233" s="3179">
        <f>+'2019-20 MASTER'!AE440</f>
        <v>25.4</v>
      </c>
      <c r="AH233" s="2553"/>
      <c r="AI233" s="2807">
        <f>+'2019-20 MASTER'!AD440</f>
        <v>25.4</v>
      </c>
      <c r="AJ233" s="3229" t="s">
        <v>964</v>
      </c>
      <c r="AK233" s="3179">
        <f>+'2019-20 MASTER'!AI440</f>
        <v>0</v>
      </c>
      <c r="AL233" s="2554" t="s">
        <v>964</v>
      </c>
      <c r="AM233" s="2888">
        <f>+'2019-20 MASTER'!AJ440</f>
        <v>0</v>
      </c>
      <c r="AN233" s="2553"/>
      <c r="AO233" s="2807">
        <f>+'2019-20 MASTER'!AH440</f>
        <v>0</v>
      </c>
      <c r="AP233" s="3229" t="s">
        <v>964</v>
      </c>
      <c r="AQ233" s="3179">
        <f>+'2019-20 MASTER'!AO440</f>
        <v>0</v>
      </c>
      <c r="AR233" s="2553"/>
      <c r="AS233" s="2807">
        <f>+'2019-20 MASTER'!AN440</f>
        <v>0</v>
      </c>
      <c r="AT233" s="3229" t="s">
        <v>964</v>
      </c>
      <c r="AU233" s="3179">
        <f>+'2019-20 MASTER'!AS440</f>
        <v>0</v>
      </c>
      <c r="AV233" s="2553"/>
      <c r="AW233" s="2807">
        <f>+'2019-20 MASTER'!AR440</f>
        <v>0</v>
      </c>
      <c r="AX233" s="3229" t="s">
        <v>964</v>
      </c>
      <c r="AY233" s="3179">
        <f>+'2019-20 MASTER'!AW440</f>
        <v>0</v>
      </c>
      <c r="AZ233" s="2554" t="s">
        <v>964</v>
      </c>
      <c r="BA233" s="2888">
        <f>+'2019-20 MASTER'!AX440</f>
        <v>0</v>
      </c>
      <c r="BB233" s="2554"/>
      <c r="BC233" s="2888"/>
      <c r="BD233" s="6719"/>
      <c r="BE233" s="6686">
        <f>+'2019-20 MASTER'!AV440</f>
        <v>0</v>
      </c>
    </row>
    <row r="234" spans="1:57" s="3380" customFormat="1" ht="15.75" hidden="1" customHeight="1" x14ac:dyDescent="0.2">
      <c r="A234" s="3379"/>
      <c r="B234" s="4390" t="s">
        <v>1061</v>
      </c>
      <c r="C234" s="4391"/>
      <c r="D234" s="3382"/>
      <c r="E234" s="4392"/>
      <c r="F234" s="3382"/>
      <c r="G234" s="4383"/>
      <c r="H234" s="3439"/>
      <c r="I234" s="4374"/>
      <c r="J234" s="3382"/>
      <c r="K234" s="4374"/>
      <c r="L234" s="3439"/>
      <c r="M234" s="4374"/>
      <c r="N234" s="3382"/>
      <c r="O234" s="4374"/>
      <c r="P234" s="3439"/>
      <c r="Q234" s="4374"/>
      <c r="R234" s="3382"/>
      <c r="S234" s="4374"/>
      <c r="T234" s="3439"/>
      <c r="U234" s="4374"/>
      <c r="V234" s="3382"/>
      <c r="W234" s="4374"/>
      <c r="X234" s="3439"/>
      <c r="Y234" s="4374"/>
      <c r="Z234" s="6742"/>
      <c r="AA234" s="6743"/>
      <c r="AB234" s="3382"/>
      <c r="AC234" s="4374"/>
      <c r="AD234" s="3439"/>
      <c r="AE234" s="4374"/>
      <c r="AF234" s="3382"/>
      <c r="AG234" s="4374"/>
      <c r="AH234" s="3439"/>
      <c r="AI234" s="4374"/>
      <c r="AJ234" s="3382"/>
      <c r="AK234" s="4374"/>
      <c r="AL234" s="3439"/>
      <c r="AM234" s="4374"/>
      <c r="AN234" s="3439"/>
      <c r="AO234" s="4374"/>
      <c r="AP234" s="3382"/>
      <c r="AQ234" s="4374"/>
      <c r="AR234" s="3439"/>
      <c r="AS234" s="4374"/>
      <c r="AT234" s="3382"/>
      <c r="AU234" s="4374"/>
      <c r="AV234" s="3439"/>
      <c r="AW234" s="4374"/>
      <c r="AX234" s="3382"/>
      <c r="AY234" s="4374"/>
      <c r="AZ234" s="3439"/>
      <c r="BA234" s="4374"/>
      <c r="BB234" s="3439"/>
      <c r="BC234" s="4374"/>
      <c r="BD234" s="6742"/>
      <c r="BE234" s="6743"/>
    </row>
    <row r="235" spans="1:57" ht="15" hidden="1" customHeight="1" x14ac:dyDescent="0.2">
      <c r="B235" s="1531" t="s">
        <v>698</v>
      </c>
      <c r="C235" s="1545" t="s">
        <v>169</v>
      </c>
      <c r="D235" s="3231"/>
      <c r="E235" s="3851">
        <f>+'2019-20 MASTER'!F442</f>
        <v>8.1999999999999993</v>
      </c>
      <c r="F235" s="3231"/>
      <c r="G235" s="3861">
        <f>+'2019-20 MASTER'!G442</f>
        <v>8.1</v>
      </c>
      <c r="H235" s="2843"/>
      <c r="I235" s="2486" t="e">
        <f>+'2019-20 MASTER'!H442</f>
        <v>#DIV/0!</v>
      </c>
      <c r="J235" s="3231">
        <v>6.5</v>
      </c>
      <c r="K235" s="3887" t="str">
        <f>+'2019-20 MASTER'!I442</f>
        <v>-</v>
      </c>
      <c r="L235" s="3140">
        <v>6.5</v>
      </c>
      <c r="M235" s="2888" t="e">
        <f>+'2019-20 MASTER'!J442</f>
        <v>#DIV/0!</v>
      </c>
      <c r="N235" s="3231">
        <v>6.5</v>
      </c>
      <c r="O235" s="3861">
        <f>+'2019-20 MASTER'!M442</f>
        <v>9.7666666666666657</v>
      </c>
      <c r="P235" s="2843"/>
      <c r="Q235" s="2486" t="e">
        <f>+'2019-20 MASTER'!L442</f>
        <v>#DIV/0!</v>
      </c>
      <c r="R235" s="3231">
        <v>6.5</v>
      </c>
      <c r="S235" s="3861" t="e">
        <f>+'2019-20 MASTER'!Q442</f>
        <v>#DIV/0!</v>
      </c>
      <c r="T235" s="2843"/>
      <c r="U235" s="2486" t="e">
        <f>+'2019-20 MASTER'!P442</f>
        <v>#REF!</v>
      </c>
      <c r="V235" s="3231">
        <v>6.5</v>
      </c>
      <c r="W235" s="3861" t="e">
        <f>+'2019-20 MASTER'!U442</f>
        <v>#DIV/0!</v>
      </c>
      <c r="X235" s="3140">
        <v>6.5</v>
      </c>
      <c r="Y235" s="2888">
        <f>+'2019-20 MASTER'!V442</f>
        <v>8.1333333333333329</v>
      </c>
      <c r="Z235" s="6720"/>
      <c r="AA235" s="6611">
        <f>+'2019-20 MASTER'!T442</f>
        <v>8.1666666666666661</v>
      </c>
      <c r="AB235" s="3231">
        <v>6.5</v>
      </c>
      <c r="AC235" s="3861">
        <f>+'2019-20 MASTER'!AA442</f>
        <v>8.1</v>
      </c>
      <c r="AD235" s="2843"/>
      <c r="AE235" s="2486" t="e">
        <f>+'2019-20 MASTER'!Z442</f>
        <v>#DIV/0!</v>
      </c>
      <c r="AF235" s="3231">
        <v>6.5</v>
      </c>
      <c r="AG235" s="3861" t="e">
        <f>+'2019-20 MASTER'!AE442</f>
        <v>#REF!</v>
      </c>
      <c r="AH235" s="2843"/>
      <c r="AI235" s="2486" t="e">
        <f>+'2019-20 MASTER'!AD442</f>
        <v>#REF!</v>
      </c>
      <c r="AJ235" s="3231">
        <v>6.5</v>
      </c>
      <c r="AK235" s="3861">
        <f>+'2019-20 MASTER'!AI442</f>
        <v>0</v>
      </c>
      <c r="AL235" s="3140">
        <v>6.5</v>
      </c>
      <c r="AM235" s="2888">
        <f>+'2019-20 MASTER'!AJ442</f>
        <v>0</v>
      </c>
      <c r="AN235" s="2843"/>
      <c r="AO235" s="2486">
        <f>+'2019-20 MASTER'!AH442</f>
        <v>0</v>
      </c>
      <c r="AP235" s="3231">
        <v>6.5</v>
      </c>
      <c r="AQ235" s="3861">
        <f>+'2019-20 MASTER'!AO442</f>
        <v>0</v>
      </c>
      <c r="AR235" s="2843"/>
      <c r="AS235" s="2486">
        <f>+'2019-20 MASTER'!AN442</f>
        <v>0</v>
      </c>
      <c r="AT235" s="3231">
        <v>6.5</v>
      </c>
      <c r="AU235" s="3861">
        <f>+'2019-20 MASTER'!AS442</f>
        <v>0</v>
      </c>
      <c r="AV235" s="2843"/>
      <c r="AW235" s="2486">
        <f>+'2019-20 MASTER'!AR442</f>
        <v>0</v>
      </c>
      <c r="AX235" s="3231">
        <v>6.5</v>
      </c>
      <c r="AY235" s="3861">
        <f>+'2019-20 MASTER'!AW442</f>
        <v>0</v>
      </c>
      <c r="AZ235" s="3140">
        <v>6.5</v>
      </c>
      <c r="BA235" s="2888">
        <f>+'2019-20 MASTER'!AX442</f>
        <v>0</v>
      </c>
      <c r="BB235" s="3140"/>
      <c r="BC235" s="2888"/>
      <c r="BD235" s="6720"/>
      <c r="BE235" s="6611">
        <f>+'2019-20 MASTER'!AV442</f>
        <v>0</v>
      </c>
    </row>
    <row r="236" spans="1:57" ht="15" hidden="1" customHeight="1" x14ac:dyDescent="0.2">
      <c r="B236" s="1531" t="s">
        <v>691</v>
      </c>
      <c r="C236" s="1545" t="s">
        <v>169</v>
      </c>
      <c r="D236" s="3231"/>
      <c r="E236" s="3851">
        <f>+'2019-20 MASTER'!F443</f>
        <v>28.8</v>
      </c>
      <c r="F236" s="3231"/>
      <c r="G236" s="2067">
        <f>+'2019-20 MASTER'!G443</f>
        <v>29.1</v>
      </c>
      <c r="H236" s="2843"/>
      <c r="I236" s="2486" t="e">
        <f>+'2019-20 MASTER'!H443</f>
        <v>#DIV/0!</v>
      </c>
      <c r="J236" s="3231">
        <v>18</v>
      </c>
      <c r="K236" s="2559" t="str">
        <f>+'2019-20 MASTER'!I443</f>
        <v>-</v>
      </c>
      <c r="L236" s="3140">
        <v>18</v>
      </c>
      <c r="M236" s="2888" t="e">
        <f>+'2019-20 MASTER'!J443</f>
        <v>#DIV/0!</v>
      </c>
      <c r="N236" s="3231">
        <v>18</v>
      </c>
      <c r="O236" s="3179">
        <f>+'2019-20 MASTER'!M443</f>
        <v>23.466666666666669</v>
      </c>
      <c r="P236" s="2843"/>
      <c r="Q236" s="2486" t="e">
        <f>+'2019-20 MASTER'!L443</f>
        <v>#DIV/0!</v>
      </c>
      <c r="R236" s="3231">
        <v>18</v>
      </c>
      <c r="S236" s="3179" t="e">
        <f>+'2019-20 MASTER'!Q443</f>
        <v>#DIV/0!</v>
      </c>
      <c r="T236" s="2843"/>
      <c r="U236" s="2486" t="e">
        <f>+'2019-20 MASTER'!P443</f>
        <v>#REF!</v>
      </c>
      <c r="V236" s="3231">
        <v>18</v>
      </c>
      <c r="W236" s="3179" t="e">
        <f>+'2019-20 MASTER'!U443</f>
        <v>#DIV/0!</v>
      </c>
      <c r="X236" s="3140">
        <v>18</v>
      </c>
      <c r="Y236" s="2888">
        <f>+'2019-20 MASTER'!V443</f>
        <v>21.766666666666666</v>
      </c>
      <c r="Z236" s="6720"/>
      <c r="AA236" s="6611">
        <f>+'2019-20 MASTER'!T443</f>
        <v>22.433333333333334</v>
      </c>
      <c r="AB236" s="3231">
        <v>18</v>
      </c>
      <c r="AC236" s="3179">
        <f>+'2019-20 MASTER'!AA443</f>
        <v>23.2</v>
      </c>
      <c r="AD236" s="2843"/>
      <c r="AE236" s="2486" t="e">
        <f>+'2019-20 MASTER'!Z443</f>
        <v>#DIV/0!</v>
      </c>
      <c r="AF236" s="3231">
        <v>18</v>
      </c>
      <c r="AG236" s="3179" t="e">
        <f>+'2019-20 MASTER'!AE443</f>
        <v>#REF!</v>
      </c>
      <c r="AH236" s="2843"/>
      <c r="AI236" s="2486" t="e">
        <f>+'2019-20 MASTER'!AD443</f>
        <v>#REF!</v>
      </c>
      <c r="AJ236" s="3231">
        <v>18</v>
      </c>
      <c r="AK236" s="3179">
        <f>+'2019-20 MASTER'!AI443</f>
        <v>0</v>
      </c>
      <c r="AL236" s="3140">
        <v>18</v>
      </c>
      <c r="AM236" s="2888">
        <f>+'2019-20 MASTER'!AJ443</f>
        <v>0</v>
      </c>
      <c r="AN236" s="2843"/>
      <c r="AO236" s="2486">
        <f>+'2019-20 MASTER'!AH443</f>
        <v>0</v>
      </c>
      <c r="AP236" s="3231">
        <v>18</v>
      </c>
      <c r="AQ236" s="3179">
        <f>+'2019-20 MASTER'!AO443</f>
        <v>0</v>
      </c>
      <c r="AR236" s="2843"/>
      <c r="AS236" s="2486">
        <f>+'2019-20 MASTER'!AN443</f>
        <v>0</v>
      </c>
      <c r="AT236" s="3231">
        <v>18</v>
      </c>
      <c r="AU236" s="3179">
        <f>+'2019-20 MASTER'!AS443</f>
        <v>0</v>
      </c>
      <c r="AV236" s="2843"/>
      <c r="AW236" s="2486">
        <f>+'2019-20 MASTER'!AR443</f>
        <v>0</v>
      </c>
      <c r="AX236" s="3231">
        <v>18</v>
      </c>
      <c r="AY236" s="3179">
        <f>+'2019-20 MASTER'!AW443</f>
        <v>0</v>
      </c>
      <c r="AZ236" s="3140">
        <v>18</v>
      </c>
      <c r="BA236" s="2888">
        <f>+'2019-20 MASTER'!AX443</f>
        <v>0</v>
      </c>
      <c r="BB236" s="3140"/>
      <c r="BC236" s="2888"/>
      <c r="BD236" s="6720"/>
      <c r="BE236" s="6611">
        <f>+'2019-20 MASTER'!AV443</f>
        <v>0</v>
      </c>
    </row>
    <row r="237" spans="1:57" ht="15.75" hidden="1" customHeight="1" thickBot="1" x14ac:dyDescent="0.25">
      <c r="B237" s="1569" t="s">
        <v>699</v>
      </c>
      <c r="C237" s="1577" t="s">
        <v>169</v>
      </c>
      <c r="D237" s="7175"/>
      <c r="E237" s="7185">
        <f>+'2019-20 MASTER'!F444</f>
        <v>21</v>
      </c>
      <c r="F237" s="7175"/>
      <c r="G237" s="3181">
        <f>+'2019-20 MASTER'!G444</f>
        <v>20.3</v>
      </c>
      <c r="H237" s="2990"/>
      <c r="I237" s="3868" t="e">
        <f>+'2019-20 MASTER'!H444</f>
        <v>#DIV/0!</v>
      </c>
      <c r="J237" s="7175">
        <v>20</v>
      </c>
      <c r="K237" s="3180" t="str">
        <f>+'2019-20 MASTER'!I444</f>
        <v>-</v>
      </c>
      <c r="L237" s="3403">
        <v>20</v>
      </c>
      <c r="M237" s="3904" t="e">
        <f>+'2019-20 MASTER'!J444</f>
        <v>#DIV/0!</v>
      </c>
      <c r="N237" s="7175">
        <v>20</v>
      </c>
      <c r="O237" s="6097">
        <f>+'2019-20 MASTER'!M444</f>
        <v>19.5</v>
      </c>
      <c r="P237" s="2990"/>
      <c r="Q237" s="3868" t="e">
        <f>+'2019-20 MASTER'!L444</f>
        <v>#DIV/0!</v>
      </c>
      <c r="R237" s="7175">
        <v>20</v>
      </c>
      <c r="S237" s="6097" t="e">
        <f>+'2019-20 MASTER'!Q444</f>
        <v>#DIV/0!</v>
      </c>
      <c r="T237" s="2990"/>
      <c r="U237" s="3868" t="e">
        <f>+'2019-20 MASTER'!P444</f>
        <v>#REF!</v>
      </c>
      <c r="V237" s="7175">
        <v>20</v>
      </c>
      <c r="W237" s="6097" t="e">
        <f>+'2019-20 MASTER'!U444</f>
        <v>#DIV/0!</v>
      </c>
      <c r="X237" s="3403">
        <v>20</v>
      </c>
      <c r="Y237" s="3904">
        <f>+'2019-20 MASTER'!V444</f>
        <v>20.533333333333331</v>
      </c>
      <c r="Z237" s="6744"/>
      <c r="AA237" s="6690">
        <f>+'2019-20 MASTER'!T444</f>
        <v>20.2</v>
      </c>
      <c r="AB237" s="7175">
        <v>20</v>
      </c>
      <c r="AC237" s="6097">
        <f>+'2019-20 MASTER'!AA444</f>
        <v>20.3</v>
      </c>
      <c r="AD237" s="2990"/>
      <c r="AE237" s="3868" t="e">
        <f>+'2019-20 MASTER'!Z444</f>
        <v>#DIV/0!</v>
      </c>
      <c r="AF237" s="7175">
        <v>20</v>
      </c>
      <c r="AG237" s="6097" t="e">
        <f>+'2019-20 MASTER'!AE444</f>
        <v>#REF!</v>
      </c>
      <c r="AH237" s="2990"/>
      <c r="AI237" s="3868" t="e">
        <f>+'2019-20 MASTER'!AD444</f>
        <v>#REF!</v>
      </c>
      <c r="AJ237" s="7175">
        <v>20</v>
      </c>
      <c r="AK237" s="6097">
        <f>+'2019-20 MASTER'!AI444</f>
        <v>0</v>
      </c>
      <c r="AL237" s="3403">
        <v>20</v>
      </c>
      <c r="AM237" s="3904">
        <f>+'2019-20 MASTER'!AJ444</f>
        <v>0</v>
      </c>
      <c r="AN237" s="2990"/>
      <c r="AO237" s="3868">
        <f>+'2019-20 MASTER'!AH444</f>
        <v>0</v>
      </c>
      <c r="AP237" s="7175">
        <v>20</v>
      </c>
      <c r="AQ237" s="6097">
        <f>+'2019-20 MASTER'!AO444</f>
        <v>0</v>
      </c>
      <c r="AR237" s="2990"/>
      <c r="AS237" s="3868">
        <f>+'2019-20 MASTER'!AN444</f>
        <v>0</v>
      </c>
      <c r="AT237" s="7175">
        <v>20</v>
      </c>
      <c r="AU237" s="6097">
        <f>+'2019-20 MASTER'!AS444</f>
        <v>0</v>
      </c>
      <c r="AV237" s="2990"/>
      <c r="AW237" s="3868">
        <f>+'2019-20 MASTER'!AR444</f>
        <v>0</v>
      </c>
      <c r="AX237" s="7175">
        <v>20</v>
      </c>
      <c r="AY237" s="6097">
        <f>+'2019-20 MASTER'!AW444</f>
        <v>0</v>
      </c>
      <c r="AZ237" s="3403">
        <v>20</v>
      </c>
      <c r="BA237" s="3904">
        <f>+'2019-20 MASTER'!AX444</f>
        <v>0</v>
      </c>
      <c r="BB237" s="3403"/>
      <c r="BC237" s="3904"/>
      <c r="BD237" s="6744"/>
      <c r="BE237" s="6690">
        <f>+'2019-20 MASTER'!AV444</f>
        <v>0</v>
      </c>
    </row>
    <row r="238" spans="1:57" ht="15" hidden="1" customHeight="1" x14ac:dyDescent="0.2">
      <c r="B238" s="2317" t="s">
        <v>963</v>
      </c>
      <c r="C238" s="1537"/>
      <c r="D238" s="4517"/>
      <c r="E238" s="7186"/>
      <c r="F238" s="4517"/>
      <c r="G238" s="1833"/>
      <c r="H238" s="2883"/>
      <c r="I238" s="3878"/>
      <c r="J238" s="7176"/>
      <c r="K238" s="3878"/>
      <c r="L238" s="2883"/>
      <c r="M238" s="3878"/>
      <c r="N238" s="7176"/>
      <c r="O238" s="7041"/>
      <c r="P238" s="2883"/>
      <c r="Q238" s="3878"/>
      <c r="R238" s="7176"/>
      <c r="S238" s="7041"/>
      <c r="T238" s="2883"/>
      <c r="U238" s="3878"/>
      <c r="V238" s="7176"/>
      <c r="W238" s="7041"/>
      <c r="X238" s="2883"/>
      <c r="Y238" s="3878"/>
      <c r="Z238" s="6745"/>
      <c r="AA238" s="6746"/>
      <c r="AB238" s="7176"/>
      <c r="AC238" s="7041"/>
      <c r="AD238" s="2883"/>
      <c r="AE238" s="3878"/>
      <c r="AF238" s="7176"/>
      <c r="AG238" s="7041"/>
      <c r="AH238" s="2883"/>
      <c r="AI238" s="3878"/>
      <c r="AJ238" s="7176"/>
      <c r="AK238" s="7041"/>
      <c r="AL238" s="2883"/>
      <c r="AM238" s="3878"/>
      <c r="AN238" s="2883"/>
      <c r="AO238" s="3878"/>
      <c r="AP238" s="7176"/>
      <c r="AQ238" s="7041"/>
      <c r="AR238" s="2883"/>
      <c r="AS238" s="3878"/>
      <c r="AT238" s="7176"/>
      <c r="AU238" s="7041"/>
      <c r="AV238" s="2883"/>
      <c r="AW238" s="3878"/>
      <c r="AX238" s="7176"/>
      <c r="AY238" s="7041"/>
      <c r="AZ238" s="2883"/>
      <c r="BA238" s="3878"/>
      <c r="BB238" s="2883"/>
      <c r="BC238" s="3878"/>
      <c r="BD238" s="6745"/>
      <c r="BE238" s="6746"/>
    </row>
    <row r="239" spans="1:57" s="3380" customFormat="1" ht="16" thickBot="1" x14ac:dyDescent="0.25">
      <c r="A239" s="3379"/>
      <c r="B239" s="7408"/>
      <c r="C239" s="3458"/>
      <c r="D239" s="4517"/>
      <c r="E239" s="7187"/>
      <c r="F239" s="4517"/>
      <c r="G239" s="7409"/>
      <c r="H239" s="4517"/>
      <c r="I239" s="7042"/>
      <c r="J239" s="7177"/>
      <c r="K239" s="7042"/>
      <c r="L239" s="4517"/>
      <c r="M239" s="7042"/>
      <c r="N239" s="7177"/>
      <c r="O239" s="7042"/>
      <c r="P239" s="4517"/>
      <c r="Q239" s="7042"/>
      <c r="R239" s="7177"/>
      <c r="S239" s="7042"/>
      <c r="T239" s="4517"/>
      <c r="U239" s="7042"/>
      <c r="V239" s="7177"/>
      <c r="W239" s="7042"/>
      <c r="X239" s="4517"/>
      <c r="Y239" s="7042"/>
      <c r="Z239" s="4517"/>
      <c r="AA239" s="7042"/>
      <c r="AB239" s="7177"/>
      <c r="AC239" s="7042"/>
      <c r="AD239" s="4517"/>
      <c r="AE239" s="7042"/>
      <c r="AF239" s="7177"/>
      <c r="AG239" s="7042"/>
      <c r="AH239" s="4517"/>
      <c r="AI239" s="7042"/>
      <c r="AJ239" s="7177"/>
      <c r="AK239" s="7042"/>
      <c r="AL239" s="4517"/>
      <c r="AM239" s="7042"/>
      <c r="AN239" s="4517"/>
      <c r="AO239" s="7042"/>
      <c r="AP239" s="7177"/>
      <c r="AQ239" s="7042"/>
      <c r="AR239" s="4517"/>
      <c r="AS239" s="7042"/>
      <c r="AT239" s="7177"/>
      <c r="AU239" s="7042"/>
      <c r="AV239" s="4517"/>
      <c r="AW239" s="7042"/>
      <c r="AX239" s="7177"/>
      <c r="AY239" s="7042"/>
      <c r="AZ239" s="4517"/>
      <c r="BA239" s="7042"/>
      <c r="BB239" s="4517"/>
      <c r="BC239" s="7042"/>
      <c r="BD239" s="4517"/>
      <c r="BE239" s="7042"/>
    </row>
    <row r="240" spans="1:57" ht="16" thickBot="1" x14ac:dyDescent="0.25">
      <c r="B240" s="1916" t="s">
        <v>1064</v>
      </c>
      <c r="C240" s="2098" t="s">
        <v>169</v>
      </c>
      <c r="D240" s="7188">
        <v>8.9477535270796231</v>
      </c>
      <c r="E240" s="7180">
        <f>+((E140*E91)+(E166*E109))/E131</f>
        <v>8.651469781344316</v>
      </c>
      <c r="F240" s="7188">
        <v>8.9436418222211742</v>
      </c>
      <c r="G240" s="3852">
        <f>+((G140*G91)+(G166*G109))/G131</f>
        <v>8.7001996605523626</v>
      </c>
      <c r="H240" s="2991">
        <f>+((H140*H91)+(H166*H109))/H131</f>
        <v>8.9456543930741734</v>
      </c>
      <c r="I240" s="3879">
        <f>+((I140*I91)+(I166*I109))/I131</f>
        <v>8.6763737104866223</v>
      </c>
      <c r="J240" s="7178">
        <v>8.9454234420980239</v>
      </c>
      <c r="K240" s="5817">
        <f>+((K140*K91)+(K166*K109))/K131</f>
        <v>8.7221388520291292</v>
      </c>
      <c r="L240" s="3057">
        <f>+((L140*L91)+(L166*L109))/L131</f>
        <v>8.9455716692372871</v>
      </c>
      <c r="M240" s="3905">
        <f>+((M140*M91)+(M166*M109))/M131</f>
        <v>8.6927265922316419</v>
      </c>
      <c r="N240" s="7178">
        <v>8.9476070508171528</v>
      </c>
      <c r="O240" s="7043">
        <f>+((O140*O91)+(O166*O109))/O131</f>
        <v>8.7667471378539492</v>
      </c>
      <c r="P240" s="2991">
        <f>+((P140*P91)+(P166*P109))/P131</f>
        <v>8.9485948570643856</v>
      </c>
      <c r="Q240" s="3879">
        <f>+((Q140*Q91)+(Q166*Q109))/Q131</f>
        <v>8.7138222873443709</v>
      </c>
      <c r="R240" s="7178">
        <v>8.9476070508171528</v>
      </c>
      <c r="S240" s="7043">
        <f>+((S140*S91)+(S166*S109))/S131</f>
        <v>8.9129637625788369</v>
      </c>
      <c r="T240" s="2991">
        <f>+((T140*T91)+(T166*T109))/T131</f>
        <v>8.9502486995024313</v>
      </c>
      <c r="U240" s="3879">
        <f>+((U140*U91)+(U166*U109))/U131</f>
        <v>8.7594740039223087</v>
      </c>
      <c r="V240" s="7178">
        <v>8.947607050817151</v>
      </c>
      <c r="W240" s="7043">
        <f>+((W140*W91)+(W166*W109))/W131</f>
        <v>8.8136239827971448</v>
      </c>
      <c r="X240" s="3057">
        <f>+((X140*X91)+(X166*X109))/X131</f>
        <v>8.9531940494582152</v>
      </c>
      <c r="Y240" s="3905">
        <f>+((Y140*Y91)+(Y166*Y109))/Y131</f>
        <v>8.832932298466682</v>
      </c>
      <c r="Z240" s="6747">
        <f>+((Z140*Z91)+(Z166*Z109))/Z131</f>
        <v>8.9497738140225138</v>
      </c>
      <c r="AA240" s="6748">
        <f>+((AA140*AA91)+(AA166*AA109))/AA131</f>
        <v>8.7683944700555827</v>
      </c>
      <c r="AB240" s="7178">
        <v>8.947607050817151</v>
      </c>
      <c r="AC240" s="7043">
        <f>+((AC140*AC91)+(AC166*AC109))/AC131</f>
        <v>8.8193331960431891</v>
      </c>
      <c r="AD240" s="2991">
        <f>+((AD140*AD91)+(AD166*AD109))/AD131</f>
        <v>8.949434369658551</v>
      </c>
      <c r="AE240" s="3879">
        <f>+((AE140*AE91)+(AE166*AE109))/AE131</f>
        <v>8.7762080208869779</v>
      </c>
      <c r="AF240" s="7178">
        <v>8.947607050817151</v>
      </c>
      <c r="AG240" s="7043">
        <f>+((AG140*AG91)+(AG166*AG109))/AG131</f>
        <v>8.6566190081363281</v>
      </c>
      <c r="AH240" s="2991">
        <f>+((AH140*AH91)+(AH166*AH109))/AH131</f>
        <v>8.9491938076274309</v>
      </c>
      <c r="AI240" s="3879">
        <f>+((AI140*AI91)+(AI166*AI109))/AI131</f>
        <v>8.7610278368025352</v>
      </c>
      <c r="AJ240" s="7178">
        <v>8.9477535270796231</v>
      </c>
      <c r="AK240" s="7043">
        <f>+((AK140*AK91)+(AK166*AK109))/AK131</f>
        <v>8.2759007408171374</v>
      </c>
      <c r="AL240" s="3057">
        <f>+((AL140*AL91)+(AL166*AL109))/AL131</f>
        <v>8.9476070508171528</v>
      </c>
      <c r="AM240" s="3905">
        <f>+((AM140*AM91)+(AM166*AM109))/AM131</f>
        <v>8.5776837190976529</v>
      </c>
      <c r="AN240" s="2991">
        <f>+((AN140*AN91)+(AN166*AN109))/AN131</f>
        <v>8.949003799776742</v>
      </c>
      <c r="AO240" s="3879">
        <f>+((AO140*AO91)+(AO166*AO109))/AO131</f>
        <v>8.7012877376812821</v>
      </c>
      <c r="AP240" s="7178">
        <v>8.9476070508171528</v>
      </c>
      <c r="AQ240" s="7043">
        <f>+((AQ140*AQ91)+(AQ166*AQ109))/AQ131</f>
        <v>8.2861213888369178</v>
      </c>
      <c r="AR240" s="2991">
        <f>+((AR140*AR91)+(AR166*AR109))/AR131</f>
        <v>8.9488544309415836</v>
      </c>
      <c r="AS240" s="3879">
        <f>+((AS140*AS91)+(AS166*AS109))/AS131</f>
        <v>8.6557252818425621</v>
      </c>
      <c r="AT240" s="7178">
        <v>8.9476070508171528</v>
      </c>
      <c r="AU240" s="7043">
        <f>+((AU140*AU91)+(AU166*AU109))/AU131</f>
        <v>8.0997309374532502</v>
      </c>
      <c r="AV240" s="2991">
        <f>+((AV140*AV91)+(AV166*AV109))/AV131</f>
        <v>8.9487445743789298</v>
      </c>
      <c r="AW240" s="3879">
        <f>+((AW140*AW91)+(AW166*AW109))/AW131</f>
        <v>8.6055823362408539</v>
      </c>
      <c r="AX240" s="7178">
        <v>8.9476070508171528</v>
      </c>
      <c r="AY240" s="7043">
        <f t="shared" ref="AY240:BE240" si="984">+((AY140*AY91)+(AY166*AY109))/AY131</f>
        <v>8.0084075419852425</v>
      </c>
      <c r="AZ240" s="3057">
        <f t="shared" si="984"/>
        <v>8.9476071081584756</v>
      </c>
      <c r="BA240" s="3905">
        <f t="shared" si="984"/>
        <v>8.1324490813063779</v>
      </c>
      <c r="BB240" s="3057">
        <f t="shared" si="984"/>
        <v>8.947607079172732</v>
      </c>
      <c r="BC240" s="3905">
        <f t="shared" si="984"/>
        <v>8.3582566703696877</v>
      </c>
      <c r="BD240" s="6747">
        <f t="shared" si="984"/>
        <v>8.9486434991696004</v>
      </c>
      <c r="BE240" s="6748">
        <f t="shared" si="984"/>
        <v>8.5513377517580551</v>
      </c>
    </row>
    <row r="241" spans="1:57" ht="16" thickBot="1" x14ac:dyDescent="0.25">
      <c r="B241" s="1531" t="s">
        <v>1910</v>
      </c>
      <c r="C241" s="2098" t="s">
        <v>169</v>
      </c>
      <c r="D241" s="5247">
        <v>2.0593419978934016</v>
      </c>
      <c r="E241" s="5248">
        <f>+((E144*E17)+(E18*E170))/(E17+E18)</f>
        <v>1.8530730364805577</v>
      </c>
      <c r="F241" s="5247">
        <v>2.13897704462113</v>
      </c>
      <c r="G241" s="5248">
        <f>+((G144*G17)+(G18*G170))/(G17+G18)</f>
        <v>1.9157846051503238</v>
      </c>
      <c r="H241" s="5793">
        <f>+((H144*H17)+(H18*H170))/(H17+H18)</f>
        <v>2.1045092715137907</v>
      </c>
      <c r="I241" s="5608">
        <f>+((I144*I17)+(I18*I170))/(I17+I18)</f>
        <v>1.8852415267076732</v>
      </c>
      <c r="J241" s="7179">
        <v>2.1025756011416217</v>
      </c>
      <c r="K241" s="5248">
        <f>+((K144*K17)+(K18*K170))/(K17+K18)</f>
        <v>1.9051539529121961</v>
      </c>
      <c r="L241" s="3057">
        <f>+((L144*L17)+(L18*L170))/(L17+L18)</f>
        <v>2.1038182713366496</v>
      </c>
      <c r="M241" s="3905">
        <f>+((M144*M17)+(M18*M170))/(M17+M18)</f>
        <v>1.8924221715042013</v>
      </c>
      <c r="N241" s="7179">
        <v>2.0584615384615383</v>
      </c>
      <c r="O241" s="7044">
        <f>+((O144*O17)+(O18*O170))/(O17+O18)</f>
        <v>2.0008841387243748</v>
      </c>
      <c r="P241" s="5793">
        <f>+((P144*P17)+(P18*P170))/(P17+P18)</f>
        <v>2.0905606256773157</v>
      </c>
      <c r="Q241" s="5608">
        <f>+((Q144*Q17)+(Q18*Q170))/(Q17+Q18)</f>
        <v>1.9229766610535415</v>
      </c>
      <c r="R241" s="2884">
        <v>2.0584615384615383</v>
      </c>
      <c r="S241" s="5248">
        <f>+((S144*S17)+(S18*S170))/(S17+S18)</f>
        <v>1.9830796830943012</v>
      </c>
      <c r="T241" s="5793">
        <f>+((T144*T17)+(T18*T170))/(T17+T18)</f>
        <v>2.0833003196750139</v>
      </c>
      <c r="U241" s="5608">
        <f>+((U144*U17)+(U18*U170))/(U17+U18)</f>
        <v>1.9369605490974671</v>
      </c>
      <c r="V241" s="7179">
        <v>2.0584615384615383</v>
      </c>
      <c r="W241" s="7044">
        <f>+((W144*W17)+(W18*W170))/(W17+W18)</f>
        <v>2.021115943593633</v>
      </c>
      <c r="X241" s="3057">
        <f>+((X144*X17)+(X18*X170))/(X17+X18)</f>
        <v>2.0584615384615383</v>
      </c>
      <c r="Y241" s="3905">
        <f>+((Y144*Y17)+(Y18*Y170))/(Y17+Y18)</f>
        <v>2.0009222354327272</v>
      </c>
      <c r="Z241" s="6749">
        <f>+((Z144*Z17)+(Z18*Z170))/(Z17+Z18)</f>
        <v>2.0788397707105863</v>
      </c>
      <c r="AA241" s="6750">
        <f>+((AA144*AA17)+(AA18*AA170))/(AA17+AA18)</f>
        <v>1.9513344174565244</v>
      </c>
      <c r="AB241" s="2884">
        <v>2.0584615384615383</v>
      </c>
      <c r="AC241" s="5248">
        <f>+((AC144*AC17)+(AC18*AC170))/(AC17+AC18)</f>
        <v>1.9785917214339084</v>
      </c>
      <c r="AD241" s="5793">
        <f>+((AD144*AD17)+(AD18*AD170))/(AD17+AD18)</f>
        <v>2.0756501486237822</v>
      </c>
      <c r="AE241" s="5608">
        <f>+((AE144*AE17)+(AE18*AE170))/(AE17+AE18)</f>
        <v>1.9556508858883654</v>
      </c>
      <c r="AF241" s="2884">
        <v>2.0584615384615383</v>
      </c>
      <c r="AG241" s="5248">
        <f>+((AG144*AG17)+(AG18*AG170))/(AG17+AG18)</f>
        <v>2.0209167140959972</v>
      </c>
      <c r="AH241" s="5793">
        <f>+((AH144*AH17)+(AH18*AH170))/(AH17+AH18)</f>
        <v>2.0733890491264582</v>
      </c>
      <c r="AI241" s="5608">
        <f>+((AI144*AI17)+(AI18*AI170))/(AI17+AI18)</f>
        <v>1.9641132934667029</v>
      </c>
      <c r="AJ241" s="7179">
        <v>2.0593419978934016</v>
      </c>
      <c r="AK241" s="7044">
        <f>+((AK144*AK17)+(AK18*AK170))/(AK17+AK18)</f>
        <v>1.9399923204779905</v>
      </c>
      <c r="AL241" s="3057">
        <f>+((AL144*AL17)+(AL18*AL170))/(AL17+AL18)</f>
        <v>2.0584615384615383</v>
      </c>
      <c r="AM241" s="3905">
        <f>+((AM144*AM17)+(AM18*AM170))/(AM17+AM18)</f>
        <v>1.9786151705507062</v>
      </c>
      <c r="AN241" s="5793">
        <f>+((AN144*AN17)+(AN18*AN170))/(AN17+AN18)</f>
        <v>2.0716027479319186</v>
      </c>
      <c r="AO241" s="5608">
        <f>+((AO144*AO17)+(AO18*AO170))/(AO17+AO18)</f>
        <v>1.9611153695436501</v>
      </c>
      <c r="AP241" s="7179">
        <v>2.0584615384615383</v>
      </c>
      <c r="AQ241" s="7044">
        <f>+((AQ144*AQ17)+(AQ18*AQ170))/(AQ17+AQ18)</f>
        <v>1.9277064250940064</v>
      </c>
      <c r="AR241" s="5793">
        <f>+((AR144*AR17)+(AR18*AR170))/(AR17+AR18)</f>
        <v>2.070198271300733</v>
      </c>
      <c r="AS241" s="5608">
        <f>+((AS144*AS17)+(AS18*AS170))/(AS17+AS18)</f>
        <v>1.9574221581343354</v>
      </c>
      <c r="AT241" s="7179">
        <v>2.0584615384615383</v>
      </c>
      <c r="AU241" s="7044">
        <f>+((AU144*AU17)+(AU18*AU170))/(AU17+AU18)</f>
        <v>1.929929751527204</v>
      </c>
      <c r="AV241" s="5793">
        <f>+((AV144*AV17)+(AV18*AV170))/(AV17+AV18)</f>
        <v>2.0691650316715759</v>
      </c>
      <c r="AW241" s="5608">
        <f>+((AW144*AW17)+(AW18*AW170))/(AW17+AW18)</f>
        <v>1.9549081424749759</v>
      </c>
      <c r="AX241" s="7179">
        <v>2.0584615384615383</v>
      </c>
      <c r="AY241" s="7044">
        <f t="shared" ref="AY241:BE241" si="985">+((AY144*AY17)+(AY18*AY170))/(AY17+AY18)</f>
        <v>1.9061366355266234</v>
      </c>
      <c r="AZ241" s="3057">
        <f t="shared" si="985"/>
        <v>2.0584615384615383</v>
      </c>
      <c r="BA241" s="3905">
        <f t="shared" si="985"/>
        <v>1.9208258568947139</v>
      </c>
      <c r="BB241" s="3057">
        <f t="shared" si="985"/>
        <v>2.0584615384615379</v>
      </c>
      <c r="BC241" s="3905">
        <f t="shared" si="985"/>
        <v>1.9495569916292688</v>
      </c>
      <c r="BD241" s="6749">
        <f t="shared" si="985"/>
        <v>2.0682144453187195</v>
      </c>
      <c r="BE241" s="6750">
        <f t="shared" si="985"/>
        <v>1.9503249509850076</v>
      </c>
    </row>
    <row r="242" spans="1:57" ht="16" thickBot="1" x14ac:dyDescent="0.25">
      <c r="B242" s="1917" t="s">
        <v>1065</v>
      </c>
      <c r="C242" s="2098" t="s">
        <v>169</v>
      </c>
      <c r="D242" s="3852">
        <f t="shared" ref="D242:AJ242" si="986">+((D126*3)+((D127+D128+D129+D130)*4))/D131</f>
        <v>3.0804713830438439</v>
      </c>
      <c r="E242" s="3852">
        <f t="shared" si="986"/>
        <v>3.0830925607267199</v>
      </c>
      <c r="F242" s="3852">
        <f t="shared" si="986"/>
        <v>3.076930321222715</v>
      </c>
      <c r="G242" s="3852">
        <f t="shared" si="986"/>
        <v>3.0782018101349178</v>
      </c>
      <c r="H242" s="3852">
        <f t="shared" si="986"/>
        <v>3.0786635773914384</v>
      </c>
      <c r="I242" s="3852">
        <f t="shared" si="986"/>
        <v>3.0805930900083354</v>
      </c>
      <c r="J242" s="3852">
        <f t="shared" si="986"/>
        <v>3.0492108534824474</v>
      </c>
      <c r="K242" s="3852">
        <f t="shared" si="986"/>
        <v>3.0542022395990962</v>
      </c>
      <c r="L242" s="3852">
        <f t="shared" si="986"/>
        <v>3.0681139691189814</v>
      </c>
      <c r="M242" s="3852">
        <f t="shared" si="986"/>
        <v>3.0711630644179646</v>
      </c>
      <c r="N242" s="3852">
        <f t="shared" si="986"/>
        <v>3.0492108534824469</v>
      </c>
      <c r="O242" s="3852">
        <f t="shared" si="986"/>
        <v>3.048722009451641</v>
      </c>
      <c r="P242" s="3852">
        <f t="shared" si="986"/>
        <v>3.0625794968645206</v>
      </c>
      <c r="Q242" s="3852">
        <f t="shared" si="986"/>
        <v>3.0647674123784197</v>
      </c>
      <c r="R242" s="3852">
        <f t="shared" si="986"/>
        <v>3.0492108534824469</v>
      </c>
      <c r="S242" s="3852">
        <f t="shared" si="986"/>
        <v>3.0496487345981307</v>
      </c>
      <c r="T242" s="3852">
        <f t="shared" si="986"/>
        <v>3.0595518500195089</v>
      </c>
      <c r="U242" s="3852">
        <f t="shared" si="986"/>
        <v>3.0613015668419923</v>
      </c>
      <c r="V242" s="3852">
        <f t="shared" si="986"/>
        <v>3.0492108534824474</v>
      </c>
      <c r="W242" s="3852">
        <f t="shared" si="986"/>
        <v>3.0377296172927997</v>
      </c>
      <c r="X242" s="3852">
        <f t="shared" si="986"/>
        <v>3.0492108534824469</v>
      </c>
      <c r="Y242" s="3852">
        <f t="shared" si="986"/>
        <v>3.0456954707793948</v>
      </c>
      <c r="Z242" s="3852">
        <f t="shared" si="986"/>
        <v>3.0576928635726426</v>
      </c>
      <c r="AA242" s="3852">
        <f t="shared" si="986"/>
        <v>3.057418411538555</v>
      </c>
      <c r="AB242" s="3852">
        <f t="shared" si="986"/>
        <v>3.0492108534824469</v>
      </c>
      <c r="AC242" s="3852">
        <f t="shared" si="986"/>
        <v>3.0499907353570723</v>
      </c>
      <c r="AD242" s="3852">
        <f t="shared" si="986"/>
        <v>3.0563640748461798</v>
      </c>
      <c r="AE242" s="3852">
        <f t="shared" si="986"/>
        <v>3.0562790715908443</v>
      </c>
      <c r="AF242" s="3852">
        <f t="shared" si="986"/>
        <v>3.0492108534824474</v>
      </c>
      <c r="AG242" s="3852">
        <f t="shared" si="986"/>
        <v>3.0428522315921454</v>
      </c>
      <c r="AH242" s="3852">
        <f t="shared" si="986"/>
        <v>3.0554223708472192</v>
      </c>
      <c r="AI242" s="3852">
        <f t="shared" si="986"/>
        <v>3.0545747185055188</v>
      </c>
      <c r="AJ242" s="3852">
        <f t="shared" si="986"/>
        <v>3.0492108534824469</v>
      </c>
      <c r="AK242" s="3852">
        <f>+((AK126*3)+((AK127+AK128+AK129+AK130)*4))/AK131</f>
        <v>3.0491649657273414</v>
      </c>
      <c r="AL242" s="3852">
        <f t="shared" ref="AL242:AP242" si="987">+((AL126*3)+((AL127+AL128+AL129+AL130)*4))/AL131</f>
        <v>3.0492108534824469</v>
      </c>
      <c r="AM242" s="3852">
        <f t="shared" si="987"/>
        <v>3.0474437130715319</v>
      </c>
      <c r="AN242" s="3852">
        <f t="shared" si="987"/>
        <v>3.0546785662160714</v>
      </c>
      <c r="AO242" s="3852">
        <f t="shared" si="987"/>
        <v>3.053908544280528</v>
      </c>
      <c r="AP242" s="3852">
        <f t="shared" si="987"/>
        <v>3.0492108534824469</v>
      </c>
      <c r="AQ242" s="3852">
        <f>+((AQ126*3)+((AQ127+AQ128+AQ129+AQ130)*4))/AQ131</f>
        <v>3.0500063907875274</v>
      </c>
      <c r="AR242" s="3852">
        <f t="shared" ref="AR242:AT242" si="988">+((AR126*3)+((AR127+AR128+AR129+AR130)*4))/AR131</f>
        <v>3.0540938470534731</v>
      </c>
      <c r="AS242" s="3852">
        <f t="shared" si="988"/>
        <v>3.0534803022115464</v>
      </c>
      <c r="AT242" s="3852">
        <f t="shared" si="988"/>
        <v>3.0492138724544828</v>
      </c>
      <c r="AU242" s="3852">
        <f>+((AU126*3)+((AU127+AU128+AU129+AU130)*4))/AU131</f>
        <v>3.0467584450239555</v>
      </c>
      <c r="AV242" s="3852">
        <f t="shared" ref="AV242:AX242" si="989">+((AV126*3)+((AV127+AV128+AV129+AV130)*4))/AV131</f>
        <v>3.0536640050169583</v>
      </c>
      <c r="AW242" s="3852">
        <f t="shared" si="989"/>
        <v>3.0528740843197619</v>
      </c>
      <c r="AX242" s="3852">
        <f t="shared" si="989"/>
        <v>3.0492108529596367</v>
      </c>
      <c r="AY242" s="3852">
        <f>+((AY126*3)+((AY127+AY128+AY129+AY130)*4))/AY131</f>
        <v>3.0529369902009087</v>
      </c>
      <c r="AZ242" s="3852">
        <f t="shared" ref="AZ242:BE242" si="990">+((AZ126*3)+((AZ127+AZ128+AZ129+AZ130)*4))/AZ131</f>
        <v>3.0492117925350746</v>
      </c>
      <c r="BA242" s="3852">
        <f t="shared" si="990"/>
        <v>3.0500059735528806</v>
      </c>
      <c r="BB242" s="3852">
        <f t="shared" ref="BB242:BC242" si="991">+((BB126*3)+((BB127+BB128+BB129+BB130)*4))/BB131</f>
        <v>3.0492113178487887</v>
      </c>
      <c r="BC242" s="3852">
        <f t="shared" si="991"/>
        <v>3.0487358416377406</v>
      </c>
      <c r="BD242" s="3852">
        <f t="shared" si="990"/>
        <v>3.0532683179904718</v>
      </c>
      <c r="BE242" s="3852">
        <f t="shared" si="990"/>
        <v>3.0528797983978126</v>
      </c>
    </row>
    <row r="243" spans="1:57" s="3380" customFormat="1" x14ac:dyDescent="0.2">
      <c r="A243" s="3379"/>
      <c r="D243" s="4408"/>
      <c r="E243" s="3453"/>
      <c r="F243" s="4408"/>
      <c r="G243" s="3453"/>
      <c r="H243" s="4408"/>
      <c r="I243" s="3453"/>
      <c r="J243" s="4408"/>
      <c r="K243" s="3453"/>
      <c r="L243" s="4408"/>
      <c r="M243" s="3453"/>
      <c r="N243" s="4408"/>
      <c r="O243" s="3453"/>
      <c r="P243" s="4408"/>
      <c r="Q243" s="3453"/>
      <c r="R243" s="4408"/>
      <c r="S243" s="3453"/>
      <c r="T243" s="4408"/>
      <c r="U243" s="3453"/>
      <c r="V243" s="4408"/>
      <c r="W243" s="3453"/>
      <c r="X243" s="4408"/>
      <c r="Y243" s="3453"/>
      <c r="Z243" s="4408"/>
      <c r="AA243" s="3453"/>
      <c r="AB243" s="4408"/>
      <c r="AC243" s="3453"/>
      <c r="AD243" s="4408"/>
      <c r="AE243" s="3453"/>
      <c r="AF243" s="4408"/>
      <c r="AG243" s="3453"/>
      <c r="AH243" s="4408"/>
      <c r="AI243" s="3453"/>
      <c r="AJ243" s="4408"/>
      <c r="AK243" s="3453"/>
      <c r="AL243" s="4408"/>
      <c r="AM243" s="3453"/>
      <c r="AN243" s="4408"/>
      <c r="AO243" s="3453"/>
      <c r="AP243" s="4408"/>
      <c r="AQ243" s="3453"/>
      <c r="AR243" s="4408"/>
      <c r="AS243" s="3453"/>
      <c r="AT243" s="4408"/>
      <c r="AU243" s="3453"/>
      <c r="AV243" s="4408"/>
      <c r="AW243" s="3453"/>
      <c r="AX243" s="4408"/>
      <c r="AY243" s="3453"/>
      <c r="AZ243" s="4408"/>
      <c r="BA243" s="3453"/>
      <c r="BB243" s="4408"/>
      <c r="BC243" s="3453"/>
      <c r="BD243" s="4408"/>
      <c r="BE243" s="3453"/>
    </row>
    <row r="244" spans="1:57" s="3380" customFormat="1" ht="16" thickBot="1" x14ac:dyDescent="0.25">
      <c r="A244" s="3379"/>
      <c r="D244" s="4408"/>
      <c r="E244" s="3453"/>
      <c r="F244" s="4408"/>
      <c r="G244" s="3453"/>
      <c r="H244" s="4408"/>
      <c r="I244" s="3453"/>
      <c r="J244" s="4408"/>
      <c r="K244" s="3453"/>
      <c r="L244" s="4408"/>
      <c r="M244" s="3453"/>
      <c r="N244" s="4408"/>
      <c r="O244" s="3453"/>
      <c r="P244" s="4408"/>
      <c r="Q244" s="3453"/>
      <c r="R244" s="4408"/>
      <c r="S244" s="3453"/>
      <c r="T244" s="4408"/>
      <c r="U244" s="3453"/>
      <c r="V244" s="4408"/>
      <c r="W244" s="3453"/>
      <c r="X244" s="4408"/>
      <c r="Y244" s="3453"/>
      <c r="Z244" s="4408"/>
      <c r="AA244" s="3453"/>
      <c r="AB244" s="4408"/>
      <c r="AC244" s="3453"/>
      <c r="AD244" s="4408"/>
      <c r="AE244" s="3453"/>
      <c r="AF244" s="4408"/>
      <c r="AG244" s="3453"/>
      <c r="AH244" s="4408"/>
      <c r="AI244" s="3453"/>
      <c r="AJ244" s="4408"/>
      <c r="AK244" s="3453"/>
      <c r="AL244" s="4408"/>
      <c r="AM244" s="3453"/>
      <c r="AN244" s="4408"/>
      <c r="AO244" s="3453"/>
      <c r="AP244" s="4408"/>
      <c r="AQ244" s="3453"/>
      <c r="AR244" s="4408"/>
      <c r="AS244" s="3453"/>
      <c r="AT244" s="4408"/>
      <c r="AU244" s="3453"/>
      <c r="AV244" s="4408"/>
      <c r="AW244" s="3453"/>
      <c r="AX244" s="4408"/>
      <c r="AY244" s="3453"/>
      <c r="AZ244" s="4408"/>
      <c r="BA244" s="3453"/>
      <c r="BB244" s="4408"/>
      <c r="BC244" s="3453"/>
      <c r="BD244" s="4408"/>
      <c r="BE244" s="3453"/>
    </row>
    <row r="245" spans="1:57" s="3380" customFormat="1" ht="18" x14ac:dyDescent="0.2">
      <c r="A245" s="3379"/>
      <c r="B245" s="5052" t="s">
        <v>1622</v>
      </c>
      <c r="C245" s="3290"/>
      <c r="D245" s="3435"/>
      <c r="E245" s="5756"/>
      <c r="F245" s="3435"/>
      <c r="G245" s="5756"/>
      <c r="H245" s="3435"/>
      <c r="I245" s="5756"/>
      <c r="J245" s="3435"/>
      <c r="K245" s="5756"/>
      <c r="L245" s="3435"/>
      <c r="M245" s="5756"/>
      <c r="N245" s="3435"/>
      <c r="O245" s="5756"/>
      <c r="P245" s="3435"/>
      <c r="Q245" s="5756"/>
      <c r="R245" s="3435"/>
      <c r="S245" s="5756"/>
      <c r="T245" s="3435"/>
      <c r="U245" s="5756"/>
      <c r="V245" s="3435"/>
      <c r="W245" s="5756"/>
      <c r="X245" s="3435"/>
      <c r="Y245" s="5756"/>
      <c r="Z245" s="3435"/>
      <c r="AA245" s="5756"/>
      <c r="AB245" s="3435"/>
      <c r="AC245" s="5756"/>
      <c r="AD245" s="3435"/>
      <c r="AE245" s="5756"/>
      <c r="AF245" s="3435"/>
      <c r="AG245" s="5756"/>
      <c r="AH245" s="3435"/>
      <c r="AI245" s="5756"/>
      <c r="AJ245" s="3435"/>
      <c r="AK245" s="5756"/>
      <c r="AL245" s="3435"/>
      <c r="AM245" s="5756"/>
      <c r="AN245" s="3435"/>
      <c r="AO245" s="5756"/>
      <c r="AP245" s="3435"/>
      <c r="AQ245" s="5756"/>
      <c r="AR245" s="3435"/>
      <c r="AS245" s="5756"/>
      <c r="AT245" s="3435"/>
      <c r="AU245" s="5756"/>
      <c r="AV245" s="3435"/>
      <c r="AW245" s="5756"/>
      <c r="AX245" s="3435"/>
      <c r="AY245" s="5756"/>
      <c r="AZ245" s="3435"/>
      <c r="BA245" s="5756"/>
      <c r="BB245" s="3435"/>
      <c r="BC245" s="5756"/>
      <c r="BD245" s="3435"/>
      <c r="BE245" s="5756"/>
    </row>
    <row r="246" spans="1:57" x14ac:dyDescent="0.2">
      <c r="B246" s="1531" t="s">
        <v>36</v>
      </c>
      <c r="C246" s="1923" t="s">
        <v>169</v>
      </c>
      <c r="D246" s="6335">
        <f t="shared" ref="D246:D255" si="992">+D111/D$131*100</f>
        <v>44.28610236201073</v>
      </c>
      <c r="E246" s="3836">
        <f t="shared" ref="E246:E255" si="993">+E111/$E$131*100</f>
        <v>44.165032614350316</v>
      </c>
      <c r="F246" s="6335">
        <f t="shared" ref="F246:K255" si="994">+F111/F$131*100</f>
        <v>41.965989461338474</v>
      </c>
      <c r="G246" s="1862">
        <f t="shared" si="994"/>
        <v>41.9110552994686</v>
      </c>
      <c r="H246" s="6336">
        <f t="shared" si="994"/>
        <v>43.101623404025077</v>
      </c>
      <c r="I246" s="5729">
        <f t="shared" si="994"/>
        <v>43.013113252955471</v>
      </c>
      <c r="J246" s="6335">
        <f t="shared" si="994"/>
        <v>49.305873034411199</v>
      </c>
      <c r="K246" s="1862">
        <f t="shared" si="994"/>
        <v>41.913301754657624</v>
      </c>
      <c r="L246" s="6340">
        <f t="shared" ref="L246" si="995">+L111/L$131*100</f>
        <v>45.32391032822806</v>
      </c>
      <c r="M246" s="5733">
        <f t="shared" ref="M246:Q255" si="996">+M111/M$131*100</f>
        <v>42.620126652951804</v>
      </c>
      <c r="N246" s="6335">
        <f t="shared" si="996"/>
        <v>49.335306839327004</v>
      </c>
      <c r="O246" s="1862">
        <f t="shared" si="996"/>
        <v>39.571963076767766</v>
      </c>
      <c r="P246" s="6336">
        <f t="shared" si="996"/>
        <v>46.498370830887737</v>
      </c>
      <c r="Q246" s="5729">
        <f t="shared" si="996"/>
        <v>41.75140663857885</v>
      </c>
      <c r="R246" s="6335">
        <f t="shared" ref="R246:U246" si="997">+R111/R$131*100</f>
        <v>49.335306839327004</v>
      </c>
      <c r="S246" s="1862">
        <f t="shared" si="997"/>
        <v>41.6905478772929</v>
      </c>
      <c r="T246" s="6336">
        <f t="shared" si="997"/>
        <v>47.140862376961053</v>
      </c>
      <c r="U246" s="5729">
        <f t="shared" si="997"/>
        <v>41.73745521576128</v>
      </c>
      <c r="V246" s="6556">
        <f t="shared" ref="V246:AI246" si="998">+V111/V$131*100</f>
        <v>49.335306839327004</v>
      </c>
      <c r="W246" s="1862">
        <f t="shared" si="998"/>
        <v>47.56363227502073</v>
      </c>
      <c r="X246" s="6557">
        <f t="shared" si="998"/>
        <v>49.335306839327004</v>
      </c>
      <c r="Y246" s="5733">
        <f t="shared" si="998"/>
        <v>42.76300689625586</v>
      </c>
      <c r="Z246" s="6628">
        <f t="shared" si="998"/>
        <v>47.535354580813781</v>
      </c>
      <c r="AA246" s="6751">
        <f t="shared" si="998"/>
        <v>42.69723795665054</v>
      </c>
      <c r="AB246" s="7340">
        <f t="shared" si="998"/>
        <v>49.335306839327004</v>
      </c>
      <c r="AC246" s="1862">
        <f t="shared" si="998"/>
        <v>47.634321348932012</v>
      </c>
      <c r="AD246" s="7342">
        <f t="shared" si="998"/>
        <v>47.817334470468424</v>
      </c>
      <c r="AE246" s="5729">
        <f t="shared" si="998"/>
        <v>43.454542959799127</v>
      </c>
      <c r="AF246" s="7340">
        <f t="shared" si="998"/>
        <v>49.335306839327004</v>
      </c>
      <c r="AG246" s="1862">
        <f t="shared" si="998"/>
        <v>47.297889407942186</v>
      </c>
      <c r="AH246" s="7342">
        <f t="shared" si="998"/>
        <v>48.017171799327492</v>
      </c>
      <c r="AI246" s="5729">
        <f t="shared" si="998"/>
        <v>43.942403050297216</v>
      </c>
      <c r="AJ246" s="7340">
        <f t="shared" ref="AJ246:AO246" si="999">+AJ111/AJ$131*100</f>
        <v>49.335306839327004</v>
      </c>
      <c r="AK246" s="1862">
        <f t="shared" si="999"/>
        <v>47.563198781416602</v>
      </c>
      <c r="AL246" s="6390">
        <f t="shared" si="999"/>
        <v>49.335306839326996</v>
      </c>
      <c r="AM246" s="5733">
        <f t="shared" si="999"/>
        <v>47.503011849094108</v>
      </c>
      <c r="AN246" s="6389">
        <f t="shared" si="999"/>
        <v>48.17501325571466</v>
      </c>
      <c r="AO246" s="5729">
        <f t="shared" si="999"/>
        <v>44.388279394176756</v>
      </c>
      <c r="AP246" s="7340">
        <f t="shared" ref="AP246:AS246" si="1000">+AP111/AP$131*100</f>
        <v>49.335306839327004</v>
      </c>
      <c r="AQ246" s="1862">
        <f t="shared" si="1000"/>
        <v>47.64727722019002</v>
      </c>
      <c r="AR246" s="7342">
        <f t="shared" si="1000"/>
        <v>48.29909546808215</v>
      </c>
      <c r="AS246" s="5729">
        <f t="shared" si="1000"/>
        <v>44.745938305934743</v>
      </c>
      <c r="AT246" s="7340">
        <f t="shared" ref="AT246:AW246" si="1001">+AT111/AT$131*100</f>
        <v>49.335468898113952</v>
      </c>
      <c r="AU246" s="1862">
        <f t="shared" si="1001"/>
        <v>47.810998578176694</v>
      </c>
      <c r="AV246" s="7342">
        <f t="shared" si="1001"/>
        <v>48.390382186223434</v>
      </c>
      <c r="AW246" s="5729">
        <f t="shared" si="1001"/>
        <v>45.02236405027535</v>
      </c>
      <c r="AX246" s="7340">
        <f t="shared" ref="AX246:BE246" si="1002">+AX111/AX$131*100</f>
        <v>49.335306811880045</v>
      </c>
      <c r="AY246" s="1862">
        <f t="shared" si="1002"/>
        <v>46.576400673953636</v>
      </c>
      <c r="AZ246" s="6557">
        <f t="shared" si="1002"/>
        <v>49.335357247999262</v>
      </c>
      <c r="BA246" s="5733">
        <f t="shared" si="1002"/>
        <v>47.329193067325086</v>
      </c>
      <c r="BB246" s="6557">
        <f t="shared" ref="BB246:BC246" si="1003">+BB111/BB$131*100</f>
        <v>49.335331766674024</v>
      </c>
      <c r="BC246" s="5733">
        <f t="shared" si="1003"/>
        <v>47.415356353135664</v>
      </c>
      <c r="BD246" s="6628">
        <f t="shared" si="1002"/>
        <v>48.474343930751104</v>
      </c>
      <c r="BE246" s="6751">
        <f t="shared" si="1002"/>
        <v>45.163525518799084</v>
      </c>
    </row>
    <row r="247" spans="1:57" ht="15" hidden="1" customHeight="1" x14ac:dyDescent="0.2">
      <c r="B247" s="1531" t="s">
        <v>1193</v>
      </c>
      <c r="C247" s="1923" t="s">
        <v>169</v>
      </c>
      <c r="D247" s="6335">
        <f t="shared" si="992"/>
        <v>0</v>
      </c>
      <c r="E247" s="3836">
        <f t="shared" si="993"/>
        <v>0</v>
      </c>
      <c r="F247" s="6335">
        <f t="shared" si="994"/>
        <v>0</v>
      </c>
      <c r="G247" s="1862">
        <f t="shared" si="994"/>
        <v>0</v>
      </c>
      <c r="H247" s="6336">
        <f t="shared" si="994"/>
        <v>0</v>
      </c>
      <c r="I247" s="5729">
        <f t="shared" si="994"/>
        <v>0</v>
      </c>
      <c r="J247" s="6335">
        <f t="shared" si="994"/>
        <v>0</v>
      </c>
      <c r="K247" s="1862">
        <f t="shared" si="994"/>
        <v>0</v>
      </c>
      <c r="L247" s="6340">
        <f t="shared" ref="L247" si="1004">+L112/L$131*100</f>
        <v>0</v>
      </c>
      <c r="M247" s="5733">
        <f t="shared" si="996"/>
        <v>0</v>
      </c>
      <c r="N247" s="6335">
        <f t="shared" si="996"/>
        <v>0</v>
      </c>
      <c r="O247" s="1862">
        <f t="shared" si="996"/>
        <v>0</v>
      </c>
      <c r="P247" s="6336">
        <f t="shared" si="996"/>
        <v>0</v>
      </c>
      <c r="Q247" s="5729">
        <f t="shared" si="996"/>
        <v>0</v>
      </c>
      <c r="R247" s="6335">
        <f t="shared" ref="R247:U247" si="1005">+R112/R$131*100</f>
        <v>0</v>
      </c>
      <c r="S247" s="1862">
        <f t="shared" si="1005"/>
        <v>0</v>
      </c>
      <c r="T247" s="6336">
        <f t="shared" si="1005"/>
        <v>0</v>
      </c>
      <c r="U247" s="5729">
        <f t="shared" si="1005"/>
        <v>0</v>
      </c>
      <c r="V247" s="6556">
        <f t="shared" ref="V247:AI247" si="1006">+V112/V$131*100</f>
        <v>0</v>
      </c>
      <c r="W247" s="1862">
        <f t="shared" si="1006"/>
        <v>0</v>
      </c>
      <c r="X247" s="6557">
        <f t="shared" ref="X247:Y255" si="1007">+X112/X$131*100</f>
        <v>0</v>
      </c>
      <c r="Y247" s="5733">
        <f t="shared" si="1007"/>
        <v>0</v>
      </c>
      <c r="Z247" s="6628">
        <f t="shared" si="1006"/>
        <v>0</v>
      </c>
      <c r="AA247" s="6751">
        <f t="shared" si="1006"/>
        <v>0</v>
      </c>
      <c r="AB247" s="7340">
        <f t="shared" si="1006"/>
        <v>0</v>
      </c>
      <c r="AC247" s="1862">
        <f t="shared" si="1006"/>
        <v>0</v>
      </c>
      <c r="AD247" s="7342">
        <f t="shared" si="1006"/>
        <v>0</v>
      </c>
      <c r="AE247" s="5729">
        <f t="shared" si="1006"/>
        <v>0</v>
      </c>
      <c r="AF247" s="7340">
        <f t="shared" si="1006"/>
        <v>0</v>
      </c>
      <c r="AG247" s="1862">
        <f t="shared" si="1006"/>
        <v>0</v>
      </c>
      <c r="AH247" s="7342">
        <f t="shared" si="1006"/>
        <v>0</v>
      </c>
      <c r="AI247" s="5729">
        <f t="shared" si="1006"/>
        <v>0</v>
      </c>
      <c r="AJ247" s="7340">
        <f t="shared" ref="AJ247:AO247" si="1008">+AJ112/AJ$131*100</f>
        <v>0</v>
      </c>
      <c r="AK247" s="1862">
        <f t="shared" si="1008"/>
        <v>0</v>
      </c>
      <c r="AL247" s="6390">
        <f t="shared" si="1008"/>
        <v>0</v>
      </c>
      <c r="AM247" s="5733">
        <f t="shared" si="1008"/>
        <v>0</v>
      </c>
      <c r="AN247" s="6389">
        <f t="shared" si="1008"/>
        <v>0</v>
      </c>
      <c r="AO247" s="5729">
        <f t="shared" si="1008"/>
        <v>0</v>
      </c>
      <c r="AP247" s="7340">
        <f t="shared" ref="AP247:AS247" si="1009">+AP112/AP$131*100</f>
        <v>0</v>
      </c>
      <c r="AQ247" s="1862">
        <f t="shared" si="1009"/>
        <v>0</v>
      </c>
      <c r="AR247" s="7342">
        <f t="shared" si="1009"/>
        <v>0</v>
      </c>
      <c r="AS247" s="5729">
        <f t="shared" si="1009"/>
        <v>0</v>
      </c>
      <c r="AT247" s="7340">
        <f t="shared" ref="AT247:AW247" si="1010">+AT112/AT$131*100</f>
        <v>0</v>
      </c>
      <c r="AU247" s="1862">
        <f t="shared" si="1010"/>
        <v>0</v>
      </c>
      <c r="AV247" s="7342">
        <f t="shared" si="1010"/>
        <v>0</v>
      </c>
      <c r="AW247" s="5729">
        <f t="shared" si="1010"/>
        <v>0</v>
      </c>
      <c r="AX247" s="7340">
        <f t="shared" ref="AX247:BE247" si="1011">+AX112/AX$131*100</f>
        <v>0</v>
      </c>
      <c r="AY247" s="1862">
        <f t="shared" si="1011"/>
        <v>0</v>
      </c>
      <c r="AZ247" s="6557">
        <f t="shared" si="1011"/>
        <v>0</v>
      </c>
      <c r="BA247" s="5733">
        <f t="shared" si="1011"/>
        <v>0</v>
      </c>
      <c r="BB247" s="6557">
        <f t="shared" ref="BB247:BC247" si="1012">+BB112/BB$131*100</f>
        <v>0</v>
      </c>
      <c r="BC247" s="5733">
        <f t="shared" si="1012"/>
        <v>0</v>
      </c>
      <c r="BD247" s="6628">
        <f t="shared" si="1011"/>
        <v>0</v>
      </c>
      <c r="BE247" s="6751">
        <f t="shared" si="1011"/>
        <v>0</v>
      </c>
    </row>
    <row r="248" spans="1:57" ht="15" hidden="1" customHeight="1" x14ac:dyDescent="0.2">
      <c r="B248" s="1531" t="s">
        <v>1442</v>
      </c>
      <c r="C248" s="1923" t="s">
        <v>169</v>
      </c>
      <c r="D248" s="6335">
        <f t="shared" si="992"/>
        <v>0</v>
      </c>
      <c r="E248" s="3836">
        <f t="shared" si="993"/>
        <v>0</v>
      </c>
      <c r="F248" s="6335">
        <f t="shared" si="994"/>
        <v>0</v>
      </c>
      <c r="G248" s="1862">
        <f t="shared" si="994"/>
        <v>0</v>
      </c>
      <c r="H248" s="6336">
        <f t="shared" si="994"/>
        <v>0</v>
      </c>
      <c r="I248" s="5729">
        <f t="shared" si="994"/>
        <v>0</v>
      </c>
      <c r="J248" s="6335">
        <f t="shared" si="994"/>
        <v>0</v>
      </c>
      <c r="K248" s="1862">
        <f t="shared" si="994"/>
        <v>0</v>
      </c>
      <c r="L248" s="6340">
        <f t="shared" ref="L248" si="1013">+L113/L$131*100</f>
        <v>0</v>
      </c>
      <c r="M248" s="5733">
        <f t="shared" si="996"/>
        <v>0</v>
      </c>
      <c r="N248" s="6335">
        <f t="shared" si="996"/>
        <v>0</v>
      </c>
      <c r="O248" s="1862">
        <f t="shared" si="996"/>
        <v>0</v>
      </c>
      <c r="P248" s="6336">
        <f t="shared" si="996"/>
        <v>0</v>
      </c>
      <c r="Q248" s="5729">
        <f t="shared" si="996"/>
        <v>0</v>
      </c>
      <c r="R248" s="6335">
        <f t="shared" ref="R248:U248" si="1014">+R113/R$131*100</f>
        <v>0</v>
      </c>
      <c r="S248" s="1862">
        <f t="shared" si="1014"/>
        <v>0</v>
      </c>
      <c r="T248" s="6336">
        <f t="shared" si="1014"/>
        <v>0</v>
      </c>
      <c r="U248" s="5729">
        <f t="shared" si="1014"/>
        <v>0</v>
      </c>
      <c r="V248" s="6556">
        <f t="shared" ref="V248:AI248" si="1015">+V113/V$131*100</f>
        <v>0</v>
      </c>
      <c r="W248" s="1862">
        <f t="shared" si="1015"/>
        <v>0</v>
      </c>
      <c r="X248" s="6557">
        <f t="shared" si="1007"/>
        <v>0</v>
      </c>
      <c r="Y248" s="5733">
        <f t="shared" si="1007"/>
        <v>0</v>
      </c>
      <c r="Z248" s="6628">
        <f t="shared" si="1015"/>
        <v>0</v>
      </c>
      <c r="AA248" s="6751">
        <f t="shared" si="1015"/>
        <v>0</v>
      </c>
      <c r="AB248" s="7340">
        <f t="shared" si="1015"/>
        <v>0</v>
      </c>
      <c r="AC248" s="1862">
        <f t="shared" si="1015"/>
        <v>0</v>
      </c>
      <c r="AD248" s="7342">
        <f t="shared" si="1015"/>
        <v>0</v>
      </c>
      <c r="AE248" s="5729">
        <f t="shared" si="1015"/>
        <v>0</v>
      </c>
      <c r="AF248" s="7340">
        <f t="shared" si="1015"/>
        <v>0</v>
      </c>
      <c r="AG248" s="1862">
        <f t="shared" si="1015"/>
        <v>0</v>
      </c>
      <c r="AH248" s="7342">
        <f t="shared" si="1015"/>
        <v>0</v>
      </c>
      <c r="AI248" s="5729">
        <f t="shared" si="1015"/>
        <v>0</v>
      </c>
      <c r="AJ248" s="7340">
        <f t="shared" ref="AJ248:AO248" si="1016">+AJ113/AJ$131*100</f>
        <v>0</v>
      </c>
      <c r="AK248" s="1862">
        <f t="shared" si="1016"/>
        <v>0</v>
      </c>
      <c r="AL248" s="6390">
        <f t="shared" si="1016"/>
        <v>0</v>
      </c>
      <c r="AM248" s="5733">
        <f t="shared" si="1016"/>
        <v>0</v>
      </c>
      <c r="AN248" s="6389">
        <f t="shared" si="1016"/>
        <v>0</v>
      </c>
      <c r="AO248" s="5729">
        <f t="shared" si="1016"/>
        <v>0</v>
      </c>
      <c r="AP248" s="7340">
        <f t="shared" ref="AP248:AS248" si="1017">+AP113/AP$131*100</f>
        <v>0</v>
      </c>
      <c r="AQ248" s="1862">
        <f t="shared" si="1017"/>
        <v>0</v>
      </c>
      <c r="AR248" s="7342">
        <f t="shared" si="1017"/>
        <v>0</v>
      </c>
      <c r="AS248" s="5729">
        <f t="shared" si="1017"/>
        <v>0</v>
      </c>
      <c r="AT248" s="7340">
        <f t="shared" ref="AT248:AW248" si="1018">+AT113/AT$131*100</f>
        <v>0</v>
      </c>
      <c r="AU248" s="1862">
        <f t="shared" si="1018"/>
        <v>0</v>
      </c>
      <c r="AV248" s="7342">
        <f t="shared" si="1018"/>
        <v>0</v>
      </c>
      <c r="AW248" s="5729">
        <f t="shared" si="1018"/>
        <v>0</v>
      </c>
      <c r="AX248" s="7340">
        <f t="shared" ref="AX248:BE248" si="1019">+AX113/AX$131*100</f>
        <v>0</v>
      </c>
      <c r="AY248" s="1862">
        <f t="shared" si="1019"/>
        <v>0</v>
      </c>
      <c r="AZ248" s="6557">
        <f t="shared" si="1019"/>
        <v>0</v>
      </c>
      <c r="BA248" s="5733">
        <f t="shared" si="1019"/>
        <v>0</v>
      </c>
      <c r="BB248" s="6557">
        <f t="shared" ref="BB248:BC248" si="1020">+BB113/BB$131*100</f>
        <v>0</v>
      </c>
      <c r="BC248" s="5733">
        <f t="shared" si="1020"/>
        <v>0</v>
      </c>
      <c r="BD248" s="6628">
        <f t="shared" si="1019"/>
        <v>0</v>
      </c>
      <c r="BE248" s="6751">
        <f t="shared" si="1019"/>
        <v>0</v>
      </c>
    </row>
    <row r="249" spans="1:57" x14ac:dyDescent="0.2">
      <c r="B249" s="1531" t="s">
        <v>1371</v>
      </c>
      <c r="C249" s="1923" t="s">
        <v>169</v>
      </c>
      <c r="D249" s="6335">
        <f t="shared" si="992"/>
        <v>0</v>
      </c>
      <c r="E249" s="3836">
        <f t="shared" si="993"/>
        <v>0</v>
      </c>
      <c r="F249" s="6335">
        <f t="shared" si="994"/>
        <v>0</v>
      </c>
      <c r="G249" s="1862">
        <f t="shared" si="994"/>
        <v>0</v>
      </c>
      <c r="H249" s="6336">
        <f t="shared" si="994"/>
        <v>0</v>
      </c>
      <c r="I249" s="5729">
        <f t="shared" si="994"/>
        <v>0</v>
      </c>
      <c r="J249" s="6335">
        <f t="shared" si="994"/>
        <v>0</v>
      </c>
      <c r="K249" s="1862">
        <f t="shared" si="994"/>
        <v>0</v>
      </c>
      <c r="L249" s="6340">
        <f t="shared" ref="L249" si="1021">+L114/L$131*100</f>
        <v>0</v>
      </c>
      <c r="M249" s="5733">
        <f t="shared" si="996"/>
        <v>0</v>
      </c>
      <c r="N249" s="6335">
        <f t="shared" si="996"/>
        <v>0</v>
      </c>
      <c r="O249" s="1862">
        <f t="shared" si="996"/>
        <v>3.977512918714627</v>
      </c>
      <c r="P249" s="6336">
        <f t="shared" si="996"/>
        <v>0</v>
      </c>
      <c r="Q249" s="5729">
        <f t="shared" si="996"/>
        <v>1.133582563256029</v>
      </c>
      <c r="R249" s="6335">
        <f t="shared" ref="R249:U249" si="1022">+R114/R$131*100</f>
        <v>0</v>
      </c>
      <c r="S249" s="1862">
        <f t="shared" si="1022"/>
        <v>2.0961052466112866</v>
      </c>
      <c r="T249" s="6336">
        <f t="shared" si="1022"/>
        <v>0</v>
      </c>
      <c r="U249" s="5729">
        <f t="shared" si="1022"/>
        <v>1.3542337997131038</v>
      </c>
      <c r="V249" s="6556">
        <f t="shared" ref="V249:AI249" si="1023">+V114/V$131*100</f>
        <v>0</v>
      </c>
      <c r="W249" s="1862">
        <f t="shared" si="1023"/>
        <v>0</v>
      </c>
      <c r="X249" s="6557">
        <f t="shared" si="1007"/>
        <v>0</v>
      </c>
      <c r="Y249" s="5733">
        <f t="shared" si="1007"/>
        <v>2.0959040744752735</v>
      </c>
      <c r="Z249" s="6628">
        <f t="shared" si="1023"/>
        <v>0</v>
      </c>
      <c r="AA249" s="6751">
        <f t="shared" si="1023"/>
        <v>1.1311423600137529</v>
      </c>
      <c r="AB249" s="7340">
        <f t="shared" si="1023"/>
        <v>0</v>
      </c>
      <c r="AC249" s="1862">
        <f t="shared" si="1023"/>
        <v>0</v>
      </c>
      <c r="AD249" s="7342">
        <f t="shared" si="1023"/>
        <v>0</v>
      </c>
      <c r="AE249" s="5729">
        <f t="shared" si="1023"/>
        <v>0.95763510877895885</v>
      </c>
      <c r="AF249" s="7340">
        <f t="shared" si="1023"/>
        <v>0</v>
      </c>
      <c r="AG249" s="1862">
        <f t="shared" si="1023"/>
        <v>0</v>
      </c>
      <c r="AH249" s="7342">
        <f t="shared" si="1023"/>
        <v>0</v>
      </c>
      <c r="AI249" s="5729">
        <f t="shared" si="1023"/>
        <v>0.83607647305961541</v>
      </c>
      <c r="AJ249" s="7340">
        <f t="shared" ref="AJ249:AO249" si="1024">+AJ114/AJ$131*100</f>
        <v>0</v>
      </c>
      <c r="AK249" s="1862">
        <f t="shared" si="1024"/>
        <v>0</v>
      </c>
      <c r="AL249" s="6390">
        <f t="shared" si="1024"/>
        <v>0</v>
      </c>
      <c r="AM249" s="5733">
        <f t="shared" si="1024"/>
        <v>0</v>
      </c>
      <c r="AN249" s="6389">
        <f t="shared" si="1024"/>
        <v>0</v>
      </c>
      <c r="AO249" s="5729">
        <f t="shared" si="1024"/>
        <v>0.73311934741798812</v>
      </c>
      <c r="AP249" s="7340">
        <f t="shared" ref="AP249:AS249" si="1025">+AP114/AP$131*100</f>
        <v>0</v>
      </c>
      <c r="AQ249" s="1862">
        <f t="shared" si="1025"/>
        <v>0</v>
      </c>
      <c r="AR249" s="7342">
        <f t="shared" si="1025"/>
        <v>0</v>
      </c>
      <c r="AS249" s="5729">
        <f t="shared" si="1025"/>
        <v>0.65266312069291432</v>
      </c>
      <c r="AT249" s="7340">
        <f t="shared" ref="AT249:AW249" si="1026">+AT114/AT$131*100</f>
        <v>0</v>
      </c>
      <c r="AU249" s="1862">
        <f t="shared" si="1026"/>
        <v>0</v>
      </c>
      <c r="AV249" s="7342">
        <f t="shared" si="1026"/>
        <v>0</v>
      </c>
      <c r="AW249" s="5729">
        <f t="shared" si="1026"/>
        <v>0.59380199793618704</v>
      </c>
      <c r="AX249" s="7340">
        <f t="shared" ref="AX249:BE249" si="1027">+AX114/AX$131*100</f>
        <v>0</v>
      </c>
      <c r="AY249" s="1862">
        <f t="shared" si="1027"/>
        <v>0</v>
      </c>
      <c r="AZ249" s="6557">
        <f t="shared" si="1027"/>
        <v>0</v>
      </c>
      <c r="BA249" s="5733">
        <f t="shared" si="1027"/>
        <v>0</v>
      </c>
      <c r="BB249" s="6557">
        <f t="shared" ref="BB249:BC249" si="1028">+BB114/BB$131*100</f>
        <v>0</v>
      </c>
      <c r="BC249" s="5733">
        <f t="shared" si="1028"/>
        <v>0</v>
      </c>
      <c r="BD249" s="6628">
        <f t="shared" si="1027"/>
        <v>0</v>
      </c>
      <c r="BE249" s="6751">
        <f t="shared" si="1027"/>
        <v>0.53986378260468382</v>
      </c>
    </row>
    <row r="250" spans="1:57" x14ac:dyDescent="0.2">
      <c r="B250" s="1531" t="s">
        <v>37</v>
      </c>
      <c r="C250" s="1923" t="s">
        <v>169</v>
      </c>
      <c r="D250" s="6335">
        <f t="shared" si="992"/>
        <v>10.076693088969908</v>
      </c>
      <c r="E250" s="3836">
        <f t="shared" si="993"/>
        <v>10.046020248909521</v>
      </c>
      <c r="F250" s="6335">
        <f t="shared" si="994"/>
        <v>11.36258758731241</v>
      </c>
      <c r="G250" s="1862">
        <f t="shared" si="994"/>
        <v>11.353925787531201</v>
      </c>
      <c r="H250" s="6336">
        <f t="shared" si="994"/>
        <v>10.733176217456835</v>
      </c>
      <c r="I250" s="5729">
        <f t="shared" si="994"/>
        <v>10.71443944854682</v>
      </c>
      <c r="J250" s="6335">
        <f t="shared" si="994"/>
        <v>12.009968166537515</v>
      </c>
      <c r="K250" s="1862">
        <f t="shared" si="994"/>
        <v>12.571879025049446</v>
      </c>
      <c r="L250" s="6340">
        <f t="shared" ref="L250" si="1029">+L115/L$131*100</f>
        <v>11.190507598752825</v>
      </c>
      <c r="M250" s="5733">
        <f t="shared" si="996"/>
        <v>11.37814306049464</v>
      </c>
      <c r="N250" s="6335">
        <f t="shared" si="996"/>
        <v>12.009968166537513</v>
      </c>
      <c r="O250" s="1862">
        <f t="shared" si="996"/>
        <v>13.740843328643267</v>
      </c>
      <c r="P250" s="6336">
        <f t="shared" si="996"/>
        <v>11.430430046630345</v>
      </c>
      <c r="Q250" s="5729">
        <f t="shared" si="996"/>
        <v>12.051507517357084</v>
      </c>
      <c r="R250" s="6335">
        <f t="shared" ref="R250:U250" si="1030">+R115/R$131*100</f>
        <v>12.009968166537513</v>
      </c>
      <c r="S250" s="1862">
        <f t="shared" si="1030"/>
        <v>16.138861682446404</v>
      </c>
      <c r="T250" s="6336">
        <f t="shared" si="1030"/>
        <v>11.561680219901763</v>
      </c>
      <c r="U250" s="5729">
        <f t="shared" si="1030"/>
        <v>12.988503357518555</v>
      </c>
      <c r="V250" s="6556">
        <f t="shared" ref="V250:AI250" si="1031">+V115/V$131*100</f>
        <v>12.009968166537512</v>
      </c>
      <c r="W250" s="1862">
        <f t="shared" si="1031"/>
        <v>15.079197762505094</v>
      </c>
      <c r="X250" s="6557">
        <f t="shared" si="1007"/>
        <v>12.009968166537513</v>
      </c>
      <c r="Y250" s="5733">
        <f t="shared" si="1007"/>
        <v>15.000160876886282</v>
      </c>
      <c r="Z250" s="6628">
        <f t="shared" si="1031"/>
        <v>11.642268315459345</v>
      </c>
      <c r="AA250" s="6751">
        <f t="shared" si="1031"/>
        <v>13.332916578395656</v>
      </c>
      <c r="AB250" s="7340">
        <f t="shared" si="1031"/>
        <v>12.009968166537513</v>
      </c>
      <c r="AC250" s="1862">
        <f t="shared" si="1031"/>
        <v>14.096952890888065</v>
      </c>
      <c r="AD250" s="7342">
        <f t="shared" si="1031"/>
        <v>11.699872045193098</v>
      </c>
      <c r="AE250" s="5729">
        <f t="shared" si="1031"/>
        <v>13.450113003099009</v>
      </c>
      <c r="AF250" s="7340">
        <f t="shared" si="1031"/>
        <v>12.009968166537512</v>
      </c>
      <c r="AG250" s="1862">
        <f t="shared" si="1031"/>
        <v>13.831759321051319</v>
      </c>
      <c r="AH250" s="7342">
        <f t="shared" si="1031"/>
        <v>11.740695436876846</v>
      </c>
      <c r="AI250" s="5729">
        <f t="shared" si="1031"/>
        <v>13.498557765944794</v>
      </c>
      <c r="AJ250" s="7340">
        <f t="shared" ref="AJ250:AO250" si="1032">+AJ115/AJ$131*100</f>
        <v>12.009968166537513</v>
      </c>
      <c r="AK250" s="1862">
        <f t="shared" si="1032"/>
        <v>11.618644325971056</v>
      </c>
      <c r="AL250" s="6390">
        <f t="shared" si="1032"/>
        <v>12.00996816653751</v>
      </c>
      <c r="AM250" s="5733">
        <f t="shared" si="1032"/>
        <v>13.145756437894073</v>
      </c>
      <c r="AN250" s="6389">
        <f t="shared" si="1032"/>
        <v>11.772939780988208</v>
      </c>
      <c r="AO250" s="5729">
        <f t="shared" si="1032"/>
        <v>13.267059224278546</v>
      </c>
      <c r="AP250" s="7340">
        <f t="shared" ref="AP250:AS250" si="1033">+AP115/AP$131*100</f>
        <v>12.009968166537513</v>
      </c>
      <c r="AQ250" s="1862">
        <f t="shared" si="1033"/>
        <v>11.409077352874942</v>
      </c>
      <c r="AR250" s="7342">
        <f t="shared" si="1033"/>
        <v>11.79828768163012</v>
      </c>
      <c r="AS250" s="5729">
        <f t="shared" si="1033"/>
        <v>13.063154892435158</v>
      </c>
      <c r="AT250" s="7340">
        <f t="shared" ref="AT250:AW250" si="1034">+AT115/AT$131*100</f>
        <v>12.009936913673062</v>
      </c>
      <c r="AU250" s="1862">
        <f t="shared" si="1034"/>
        <v>12.193987911132673</v>
      </c>
      <c r="AV250" s="7342">
        <f t="shared" si="1034"/>
        <v>11.816930347710173</v>
      </c>
      <c r="AW250" s="5729">
        <f t="shared" si="1034"/>
        <v>12.984768137062455</v>
      </c>
      <c r="AX250" s="7340">
        <f t="shared" ref="AX250:BE250" si="1035">+AX115/AX$131*100</f>
        <v>12.009968363336851</v>
      </c>
      <c r="AY250" s="1862">
        <f t="shared" si="1035"/>
        <v>11.120843293613863</v>
      </c>
      <c r="AZ250" s="6557">
        <f t="shared" si="1035"/>
        <v>12.009958511242109</v>
      </c>
      <c r="BA250" s="5733">
        <f t="shared" si="1035"/>
        <v>11.553899262842615</v>
      </c>
      <c r="BB250" s="6557">
        <f t="shared" ref="BB250:BC250" si="1036">+BB115/BB$131*100</f>
        <v>12.009963391944407</v>
      </c>
      <c r="BC250" s="5733">
        <f t="shared" si="1036"/>
        <v>12.34299491377087</v>
      </c>
      <c r="BD250" s="6628">
        <f t="shared" si="1035"/>
        <v>11.834082835974423</v>
      </c>
      <c r="BE250" s="6751">
        <f t="shared" si="1035"/>
        <v>12.815457862059857</v>
      </c>
    </row>
    <row r="251" spans="1:57" x14ac:dyDescent="0.2">
      <c r="B251" s="1531" t="s">
        <v>1398</v>
      </c>
      <c r="C251" s="1923" t="s">
        <v>169</v>
      </c>
      <c r="D251" s="6335">
        <f t="shared" si="992"/>
        <v>5.8397925459110347</v>
      </c>
      <c r="E251" s="3836">
        <f t="shared" si="993"/>
        <v>5.8265636880227305</v>
      </c>
      <c r="F251" s="6335">
        <f t="shared" si="994"/>
        <v>6.0578224831070964</v>
      </c>
      <c r="G251" s="1862">
        <f t="shared" si="994"/>
        <v>6.0299545169145006</v>
      </c>
      <c r="H251" s="6336">
        <f t="shared" si="994"/>
        <v>5.9511025915320204</v>
      </c>
      <c r="I251" s="5729">
        <f t="shared" si="994"/>
        <v>5.9305087597781974</v>
      </c>
      <c r="J251" s="6335">
        <f t="shared" si="994"/>
        <v>0</v>
      </c>
      <c r="K251" s="1862">
        <f t="shared" si="994"/>
        <v>5.489903504388403</v>
      </c>
      <c r="L251" s="6340">
        <f t="shared" ref="L251" si="1037">+L116/L$131*100</f>
        <v>3.8194898645101021</v>
      </c>
      <c r="M251" s="5733">
        <f t="shared" si="996"/>
        <v>5.7730709065393766</v>
      </c>
      <c r="N251" s="6335">
        <f t="shared" si="996"/>
        <v>0</v>
      </c>
      <c r="O251" s="1862">
        <f t="shared" si="996"/>
        <v>0</v>
      </c>
      <c r="P251" s="6336">
        <f t="shared" si="996"/>
        <v>2.7012159731696546</v>
      </c>
      <c r="Q251" s="5729">
        <f t="shared" si="996"/>
        <v>4.1277582074146801</v>
      </c>
      <c r="R251" s="6335">
        <f t="shared" ref="R251:U251" si="1038">+R116/R$131*100</f>
        <v>0</v>
      </c>
      <c r="S251" s="1862">
        <f t="shared" si="1038"/>
        <v>0</v>
      </c>
      <c r="T251" s="6336">
        <f t="shared" si="1038"/>
        <v>2.0894614528995619</v>
      </c>
      <c r="U251" s="5729">
        <f t="shared" si="1038"/>
        <v>3.1815000381142453</v>
      </c>
      <c r="V251" s="6556">
        <f t="shared" ref="V251:AI251" si="1039">+V116/V$131*100</f>
        <v>0</v>
      </c>
      <c r="W251" s="1862">
        <f t="shared" si="1039"/>
        <v>0</v>
      </c>
      <c r="X251" s="6557">
        <f t="shared" si="1007"/>
        <v>0</v>
      </c>
      <c r="Y251" s="5733">
        <f t="shared" si="1007"/>
        <v>0</v>
      </c>
      <c r="Z251" s="6628">
        <f t="shared" si="1039"/>
        <v>1.7138418974467988</v>
      </c>
      <c r="AA251" s="6751">
        <f t="shared" si="1039"/>
        <v>2.657391553998127</v>
      </c>
      <c r="AB251" s="7340">
        <f t="shared" si="1039"/>
        <v>0</v>
      </c>
      <c r="AC251" s="1862">
        <f t="shared" si="1039"/>
        <v>0</v>
      </c>
      <c r="AD251" s="7342">
        <f t="shared" si="1039"/>
        <v>1.4453520267617095</v>
      </c>
      <c r="AE251" s="5729">
        <f t="shared" si="1039"/>
        <v>2.2497711515731247</v>
      </c>
      <c r="AF251" s="7340">
        <f t="shared" si="1039"/>
        <v>0</v>
      </c>
      <c r="AG251" s="1862">
        <f t="shared" si="1039"/>
        <v>0</v>
      </c>
      <c r="AH251" s="7342">
        <f t="shared" si="1039"/>
        <v>1.255074987327655</v>
      </c>
      <c r="AI251" s="5729">
        <f t="shared" si="1039"/>
        <v>1.9641935768174672</v>
      </c>
      <c r="AJ251" s="7340">
        <f t="shared" ref="AJ251:AO251" si="1040">+AJ116/AJ$131*100</f>
        <v>0</v>
      </c>
      <c r="AK251" s="1862">
        <f t="shared" si="1040"/>
        <v>0</v>
      </c>
      <c r="AL251" s="6390">
        <f t="shared" si="1040"/>
        <v>0</v>
      </c>
      <c r="AM251" s="5733">
        <f t="shared" si="1040"/>
        <v>0</v>
      </c>
      <c r="AN251" s="6389">
        <f t="shared" si="1040"/>
        <v>1.1047847227770793</v>
      </c>
      <c r="AO251" s="5729">
        <f t="shared" si="1040"/>
        <v>1.7223165100787963</v>
      </c>
      <c r="AP251" s="7340">
        <f t="shared" ref="AP251:AS251" si="1041">+AP116/AP$131*100</f>
        <v>0</v>
      </c>
      <c r="AQ251" s="1862">
        <f t="shared" si="1041"/>
        <v>0</v>
      </c>
      <c r="AR251" s="7342">
        <f t="shared" si="1041"/>
        <v>0.98663864791455091</v>
      </c>
      <c r="AS251" s="5729">
        <f t="shared" si="1041"/>
        <v>1.5333007814456909</v>
      </c>
      <c r="AT251" s="7340">
        <f t="shared" ref="AT251:AW251" si="1042">+AT116/AT$131*100</f>
        <v>0</v>
      </c>
      <c r="AU251" s="1862">
        <f t="shared" si="1042"/>
        <v>0</v>
      </c>
      <c r="AV251" s="7342">
        <f t="shared" si="1042"/>
        <v>0.8997327107788321</v>
      </c>
      <c r="AW251" s="5729">
        <f t="shared" si="1042"/>
        <v>1.395018407801164</v>
      </c>
      <c r="AX251" s="7340">
        <f t="shared" ref="AX251:BE251" si="1043">+AX116/AX$131*100</f>
        <v>0</v>
      </c>
      <c r="AY251" s="1862">
        <f t="shared" si="1043"/>
        <v>0</v>
      </c>
      <c r="AZ251" s="6557">
        <f t="shared" si="1043"/>
        <v>0</v>
      </c>
      <c r="BA251" s="5733">
        <f t="shared" si="1043"/>
        <v>0</v>
      </c>
      <c r="BB251" s="6557">
        <f t="shared" ref="BB251:BC251" si="1044">+BB116/BB$131*100</f>
        <v>0</v>
      </c>
      <c r="BC251" s="5733">
        <f t="shared" si="1044"/>
        <v>0</v>
      </c>
      <c r="BD251" s="6628">
        <f t="shared" si="1043"/>
        <v>0.81978651617826714</v>
      </c>
      <c r="BE251" s="6751">
        <f t="shared" si="1043"/>
        <v>1.2683014153812833</v>
      </c>
    </row>
    <row r="252" spans="1:57" ht="15" hidden="1" customHeight="1" x14ac:dyDescent="0.2">
      <c r="B252" s="1531" t="s">
        <v>1456</v>
      </c>
      <c r="C252" s="1923" t="s">
        <v>169</v>
      </c>
      <c r="D252" s="6335">
        <f t="shared" si="992"/>
        <v>0</v>
      </c>
      <c r="E252" s="3836">
        <f t="shared" si="993"/>
        <v>0</v>
      </c>
      <c r="F252" s="6335">
        <f t="shared" si="994"/>
        <v>0</v>
      </c>
      <c r="G252" s="1862">
        <f t="shared" si="994"/>
        <v>0</v>
      </c>
      <c r="H252" s="6336">
        <f t="shared" si="994"/>
        <v>0</v>
      </c>
      <c r="I252" s="5729">
        <f t="shared" si="994"/>
        <v>0</v>
      </c>
      <c r="J252" s="6335">
        <f t="shared" si="994"/>
        <v>0</v>
      </c>
      <c r="K252" s="1862">
        <f t="shared" si="994"/>
        <v>0</v>
      </c>
      <c r="L252" s="6340">
        <f t="shared" ref="L252" si="1045">+L117/L$131*100</f>
        <v>0</v>
      </c>
      <c r="M252" s="5733">
        <f t="shared" si="996"/>
        <v>0</v>
      </c>
      <c r="N252" s="6335">
        <f t="shared" si="996"/>
        <v>0</v>
      </c>
      <c r="O252" s="1862">
        <f t="shared" si="996"/>
        <v>0</v>
      </c>
      <c r="P252" s="6336">
        <f t="shared" si="996"/>
        <v>0</v>
      </c>
      <c r="Q252" s="5729">
        <f t="shared" si="996"/>
        <v>0</v>
      </c>
      <c r="R252" s="6335">
        <f t="shared" ref="R252:U252" si="1046">+R117/R$131*100</f>
        <v>0</v>
      </c>
      <c r="S252" s="1862">
        <f t="shared" si="1046"/>
        <v>0</v>
      </c>
      <c r="T252" s="6336">
        <f t="shared" si="1046"/>
        <v>0</v>
      </c>
      <c r="U252" s="5729">
        <f t="shared" si="1046"/>
        <v>0</v>
      </c>
      <c r="V252" s="6556">
        <f t="shared" ref="V252:AI252" si="1047">+V117/V$131*100</f>
        <v>0</v>
      </c>
      <c r="W252" s="1862">
        <f t="shared" si="1047"/>
        <v>0</v>
      </c>
      <c r="X252" s="6557">
        <f t="shared" si="1007"/>
        <v>0</v>
      </c>
      <c r="Y252" s="5733">
        <f t="shared" si="1007"/>
        <v>0</v>
      </c>
      <c r="Z252" s="6628">
        <f t="shared" si="1047"/>
        <v>0</v>
      </c>
      <c r="AA252" s="6751">
        <f t="shared" si="1047"/>
        <v>0</v>
      </c>
      <c r="AB252" s="7340">
        <f t="shared" si="1047"/>
        <v>0</v>
      </c>
      <c r="AC252" s="1862">
        <f t="shared" si="1047"/>
        <v>0</v>
      </c>
      <c r="AD252" s="7342">
        <f t="shared" si="1047"/>
        <v>0</v>
      </c>
      <c r="AE252" s="5729">
        <f t="shared" si="1047"/>
        <v>0</v>
      </c>
      <c r="AF252" s="7340">
        <f t="shared" si="1047"/>
        <v>0</v>
      </c>
      <c r="AG252" s="1862">
        <f t="shared" si="1047"/>
        <v>0</v>
      </c>
      <c r="AH252" s="7342">
        <f t="shared" si="1047"/>
        <v>0</v>
      </c>
      <c r="AI252" s="5729">
        <f t="shared" si="1047"/>
        <v>0</v>
      </c>
      <c r="AJ252" s="7340">
        <f t="shared" ref="AJ252:AO252" si="1048">+AJ117/AJ$131*100</f>
        <v>0</v>
      </c>
      <c r="AK252" s="1862">
        <f t="shared" si="1048"/>
        <v>0</v>
      </c>
      <c r="AL252" s="6390">
        <f t="shared" si="1048"/>
        <v>0</v>
      </c>
      <c r="AM252" s="5733">
        <f t="shared" si="1048"/>
        <v>0</v>
      </c>
      <c r="AN252" s="6389">
        <f t="shared" si="1048"/>
        <v>0</v>
      </c>
      <c r="AO252" s="5729">
        <f t="shared" si="1048"/>
        <v>0</v>
      </c>
      <c r="AP252" s="7340">
        <f t="shared" ref="AP252:AS252" si="1049">+AP117/AP$131*100</f>
        <v>0</v>
      </c>
      <c r="AQ252" s="1862">
        <f t="shared" si="1049"/>
        <v>0</v>
      </c>
      <c r="AR252" s="7342">
        <f t="shared" si="1049"/>
        <v>0</v>
      </c>
      <c r="AS252" s="5729">
        <f t="shared" si="1049"/>
        <v>0</v>
      </c>
      <c r="AT252" s="7340">
        <f t="shared" ref="AT252:AW252" si="1050">+AT117/AT$131*100</f>
        <v>0</v>
      </c>
      <c r="AU252" s="1862">
        <f t="shared" si="1050"/>
        <v>0</v>
      </c>
      <c r="AV252" s="7342">
        <f t="shared" si="1050"/>
        <v>0</v>
      </c>
      <c r="AW252" s="5729">
        <f t="shared" si="1050"/>
        <v>0</v>
      </c>
      <c r="AX252" s="7340">
        <f t="shared" ref="AX252:BE252" si="1051">+AX117/AX$131*100</f>
        <v>0</v>
      </c>
      <c r="AY252" s="1862">
        <f t="shared" si="1051"/>
        <v>0</v>
      </c>
      <c r="AZ252" s="6557">
        <f t="shared" si="1051"/>
        <v>0</v>
      </c>
      <c r="BA252" s="5733">
        <f t="shared" si="1051"/>
        <v>0</v>
      </c>
      <c r="BB252" s="6557">
        <f t="shared" ref="BB252:BC252" si="1052">+BB117/BB$131*100</f>
        <v>0</v>
      </c>
      <c r="BC252" s="5733">
        <f t="shared" si="1052"/>
        <v>0</v>
      </c>
      <c r="BD252" s="6628">
        <f t="shared" si="1051"/>
        <v>0</v>
      </c>
      <c r="BE252" s="6751">
        <f t="shared" si="1051"/>
        <v>0</v>
      </c>
    </row>
    <row r="253" spans="1:57" x14ac:dyDescent="0.2">
      <c r="B253" s="1531" t="s">
        <v>1424</v>
      </c>
      <c r="C253" s="1923" t="s">
        <v>169</v>
      </c>
      <c r="D253" s="6335">
        <f t="shared" si="992"/>
        <v>5.792406067091008</v>
      </c>
      <c r="E253" s="3836">
        <f t="shared" si="993"/>
        <v>5.7737404457961503</v>
      </c>
      <c r="F253" s="6335">
        <f t="shared" si="994"/>
        <v>6.3687886168244683</v>
      </c>
      <c r="G253" s="1862">
        <f t="shared" si="994"/>
        <v>6.3668662613516283</v>
      </c>
      <c r="H253" s="6336">
        <f t="shared" si="994"/>
        <v>6.0866645929203242</v>
      </c>
      <c r="I253" s="5729">
        <f t="shared" si="994"/>
        <v>6.0768637763507511</v>
      </c>
      <c r="J253" s="6335">
        <f t="shared" si="994"/>
        <v>6.843305884795055</v>
      </c>
      <c r="K253" s="1862">
        <f t="shared" si="994"/>
        <v>9.2096650455028541</v>
      </c>
      <c r="L253" s="6340">
        <f t="shared" ref="L253" si="1053">+L118/L$131*100</f>
        <v>6.3576843212384802</v>
      </c>
      <c r="M253" s="5733">
        <f t="shared" si="996"/>
        <v>7.1962818958709525</v>
      </c>
      <c r="N253" s="6335">
        <f t="shared" si="996"/>
        <v>6.7697213725055478</v>
      </c>
      <c r="O253" s="1862">
        <f t="shared" si="996"/>
        <v>13.744629032563363</v>
      </c>
      <c r="P253" s="6336">
        <f t="shared" si="996"/>
        <v>6.4783209227328955</v>
      </c>
      <c r="Q253" s="5729">
        <f t="shared" si="996"/>
        <v>9.0625466407007202</v>
      </c>
      <c r="R253" s="6335">
        <f t="shared" ref="R253:U253" si="1054">+R118/R$131*100</f>
        <v>6.7697213725055478</v>
      </c>
      <c r="S253" s="1862">
        <f t="shared" si="1054"/>
        <v>12.799119720438689</v>
      </c>
      <c r="T253" s="6336">
        <f t="shared" si="1054"/>
        <v>6.5443154763442379</v>
      </c>
      <c r="U253" s="5729">
        <f t="shared" si="1054"/>
        <v>9.9191285004469769</v>
      </c>
      <c r="V253" s="6556">
        <f t="shared" ref="V253:AI253" si="1055">+V118/V$131*100</f>
        <v>6.7697213725055452</v>
      </c>
      <c r="W253" s="1862">
        <f t="shared" si="1055"/>
        <v>9.1650152492586194</v>
      </c>
      <c r="X253" s="6557">
        <f t="shared" si="1007"/>
        <v>6.769721372505547</v>
      </c>
      <c r="Y253" s="5733">
        <f t="shared" si="1007"/>
        <v>12.01128283229121</v>
      </c>
      <c r="Z253" s="6628">
        <f t="shared" si="1055"/>
        <v>6.584836378223069</v>
      </c>
      <c r="AA253" s="6751">
        <f t="shared" si="1055"/>
        <v>9.794898688032303</v>
      </c>
      <c r="AB253" s="7340">
        <f t="shared" si="1055"/>
        <v>6.7697213725055478</v>
      </c>
      <c r="AC253" s="1862">
        <f t="shared" si="1055"/>
        <v>9.002038221444133</v>
      </c>
      <c r="AD253" s="7342">
        <f t="shared" si="1055"/>
        <v>6.6138003965963312</v>
      </c>
      <c r="AE253" s="5729">
        <f t="shared" si="1055"/>
        <v>9.6732808925774698</v>
      </c>
      <c r="AF253" s="7340">
        <f t="shared" si="1055"/>
        <v>6.7697213725055452</v>
      </c>
      <c r="AG253" s="1862">
        <f t="shared" si="1055"/>
        <v>9.3935165524075313</v>
      </c>
      <c r="AH253" s="7342">
        <f t="shared" si="1055"/>
        <v>6.6343270095821953</v>
      </c>
      <c r="AI253" s="5729">
        <f t="shared" si="1055"/>
        <v>9.6377686487152516</v>
      </c>
      <c r="AJ253" s="7340">
        <f t="shared" ref="AJ253:AO253" si="1056">+AJ118/AJ$131*100</f>
        <v>6.7697213725055478</v>
      </c>
      <c r="AK253" s="1862">
        <f t="shared" si="1056"/>
        <v>10.128134044173647</v>
      </c>
      <c r="AL253" s="6390">
        <f t="shared" si="1056"/>
        <v>6.7697213725055452</v>
      </c>
      <c r="AM253" s="5733">
        <f t="shared" si="1056"/>
        <v>9.5199592307577507</v>
      </c>
      <c r="AN253" s="6389">
        <f t="shared" si="1056"/>
        <v>6.6505399489108106</v>
      </c>
      <c r="AO253" s="5729">
        <f t="shared" si="1056"/>
        <v>9.6981538087542134</v>
      </c>
      <c r="AP253" s="7340">
        <f t="shared" ref="AP253:AS253" si="1057">+AP118/AP$131*100</f>
        <v>6.7697213725055478</v>
      </c>
      <c r="AQ253" s="1862">
        <f t="shared" si="1057"/>
        <v>10.29464573734472</v>
      </c>
      <c r="AR253" s="7342">
        <f t="shared" si="1057"/>
        <v>6.6632852531351965</v>
      </c>
      <c r="AS253" s="5729">
        <f t="shared" si="1057"/>
        <v>9.7636158512107087</v>
      </c>
      <c r="AT253" s="7340">
        <f t="shared" ref="AT253:AW253" si="1058">+AT118/AT$131*100</f>
        <v>6.7695224397738052</v>
      </c>
      <c r="AU253" s="1862">
        <f t="shared" si="1058"/>
        <v>10.689954919441243</v>
      </c>
      <c r="AV253" s="7342">
        <f t="shared" si="1058"/>
        <v>6.672642926568126</v>
      </c>
      <c r="AW253" s="5729">
        <f t="shared" si="1058"/>
        <v>9.8471587324931402</v>
      </c>
      <c r="AX253" s="7340">
        <f t="shared" ref="AX253:BE253" si="1059">+AX118/AX$131*100</f>
        <v>6.7697212407356933</v>
      </c>
      <c r="AY253" s="1862">
        <f t="shared" si="1059"/>
        <v>10.284483859783581</v>
      </c>
      <c r="AZ253" s="6557">
        <f t="shared" si="1059"/>
        <v>6.769659437135024</v>
      </c>
      <c r="BA253" s="5733">
        <f t="shared" si="1059"/>
        <v>10.414103453551958</v>
      </c>
      <c r="BB253" s="6557">
        <f t="shared" ref="BB253:BC253" si="1060">+BB118/BB$131*100</f>
        <v>6.7696907451471082</v>
      </c>
      <c r="BC253" s="5733">
        <f t="shared" si="1060"/>
        <v>9.9708693942609763</v>
      </c>
      <c r="BD253" s="6628">
        <f t="shared" si="1059"/>
        <v>6.6812688681427241</v>
      </c>
      <c r="BE253" s="6751">
        <f t="shared" si="1059"/>
        <v>9.8868833157172666</v>
      </c>
    </row>
    <row r="254" spans="1:57" ht="16" thickBot="1" x14ac:dyDescent="0.25">
      <c r="B254" s="1531" t="s">
        <v>1211</v>
      </c>
      <c r="C254" s="1923" t="s">
        <v>169</v>
      </c>
      <c r="D254" s="6335">
        <f t="shared" si="992"/>
        <v>0</v>
      </c>
      <c r="E254" s="3836">
        <f t="shared" si="993"/>
        <v>0</v>
      </c>
      <c r="F254" s="6335">
        <f t="shared" si="994"/>
        <v>0</v>
      </c>
      <c r="G254" s="1862">
        <f t="shared" si="994"/>
        <v>0</v>
      </c>
      <c r="H254" s="6336">
        <f t="shared" si="994"/>
        <v>0</v>
      </c>
      <c r="I254" s="5729">
        <f t="shared" si="994"/>
        <v>0</v>
      </c>
      <c r="J254" s="6335">
        <f t="shared" si="994"/>
        <v>0</v>
      </c>
      <c r="K254" s="1862">
        <f t="shared" si="994"/>
        <v>0</v>
      </c>
      <c r="L254" s="6340">
        <f t="shared" ref="L254" si="1061">+L119/L$131*100</f>
        <v>0</v>
      </c>
      <c r="M254" s="5733">
        <f t="shared" si="996"/>
        <v>0</v>
      </c>
      <c r="N254" s="6335">
        <f t="shared" si="996"/>
        <v>0</v>
      </c>
      <c r="O254" s="1862">
        <f t="shared" si="996"/>
        <v>2.5925762346126908</v>
      </c>
      <c r="P254" s="6336">
        <f t="shared" si="996"/>
        <v>0</v>
      </c>
      <c r="Q254" s="5729">
        <f t="shared" si="996"/>
        <v>0.73887860920352511</v>
      </c>
      <c r="R254" s="6335">
        <f t="shared" ref="R254:U254" si="1062">+R119/R$131*100</f>
        <v>0</v>
      </c>
      <c r="S254" s="1862">
        <f t="shared" si="1062"/>
        <v>0.74182899844016403</v>
      </c>
      <c r="T254" s="6336">
        <f t="shared" si="1062"/>
        <v>0</v>
      </c>
      <c r="U254" s="5729">
        <f t="shared" si="1062"/>
        <v>0.7395549642072583</v>
      </c>
      <c r="V254" s="6556">
        <f t="shared" ref="V254:AI254" si="1063">+V119/V$131*100</f>
        <v>0</v>
      </c>
      <c r="W254" s="1862">
        <f t="shared" si="1063"/>
        <v>0</v>
      </c>
      <c r="X254" s="6557">
        <f t="shared" si="1007"/>
        <v>0</v>
      </c>
      <c r="Y254" s="5733">
        <f t="shared" si="1007"/>
        <v>1.1445854202640526</v>
      </c>
      <c r="Z254" s="6628">
        <f t="shared" si="1063"/>
        <v>0</v>
      </c>
      <c r="AA254" s="6751">
        <f t="shared" si="1063"/>
        <v>0.61772342984683104</v>
      </c>
      <c r="AB254" s="7340">
        <f t="shared" si="1063"/>
        <v>0</v>
      </c>
      <c r="AC254" s="1862">
        <f t="shared" si="1063"/>
        <v>0</v>
      </c>
      <c r="AD254" s="7342">
        <f t="shared" si="1063"/>
        <v>0</v>
      </c>
      <c r="AE254" s="5729">
        <f t="shared" si="1063"/>
        <v>0.52297010955322121</v>
      </c>
      <c r="AF254" s="7340">
        <f t="shared" si="1063"/>
        <v>0</v>
      </c>
      <c r="AG254" s="1862">
        <f t="shared" si="1063"/>
        <v>0</v>
      </c>
      <c r="AH254" s="7342">
        <f t="shared" si="1063"/>
        <v>0</v>
      </c>
      <c r="AI254" s="5729">
        <f t="shared" si="1063"/>
        <v>0.4565862307078199</v>
      </c>
      <c r="AJ254" s="7340">
        <f t="shared" ref="AJ254:AO254" si="1064">+AJ119/AJ$131*100</f>
        <v>0</v>
      </c>
      <c r="AK254" s="1862">
        <f t="shared" si="1064"/>
        <v>0</v>
      </c>
      <c r="AL254" s="6390">
        <f t="shared" si="1064"/>
        <v>0</v>
      </c>
      <c r="AM254" s="5733">
        <f t="shared" si="1064"/>
        <v>0</v>
      </c>
      <c r="AN254" s="6389">
        <f t="shared" si="1064"/>
        <v>0</v>
      </c>
      <c r="AO254" s="5729">
        <f t="shared" si="1064"/>
        <v>0.40036074483905282</v>
      </c>
      <c r="AP254" s="7340">
        <f t="shared" ref="AP254:AS254" si="1065">+AP119/AP$131*100</f>
        <v>0</v>
      </c>
      <c r="AQ254" s="1862">
        <f t="shared" si="1065"/>
        <v>0</v>
      </c>
      <c r="AR254" s="7342">
        <f t="shared" si="1065"/>
        <v>0</v>
      </c>
      <c r="AS254" s="5729">
        <f t="shared" si="1065"/>
        <v>0.35642313089933381</v>
      </c>
      <c r="AT254" s="7340">
        <f t="shared" ref="AT254:AW254" si="1066">+AT119/AT$131*100</f>
        <v>0</v>
      </c>
      <c r="AU254" s="1862">
        <f t="shared" si="1066"/>
        <v>0</v>
      </c>
      <c r="AV254" s="7342">
        <f t="shared" si="1066"/>
        <v>0</v>
      </c>
      <c r="AW254" s="5729">
        <f t="shared" si="1066"/>
        <v>0.32427872899268184</v>
      </c>
      <c r="AX254" s="7340">
        <f t="shared" ref="AX254:BE254" si="1067">+AX119/AX$131*100</f>
        <v>0</v>
      </c>
      <c r="AY254" s="1862">
        <f t="shared" si="1067"/>
        <v>0</v>
      </c>
      <c r="AZ254" s="6557">
        <f t="shared" si="1067"/>
        <v>0</v>
      </c>
      <c r="BA254" s="5733">
        <f t="shared" si="1067"/>
        <v>0</v>
      </c>
      <c r="BB254" s="6557">
        <f t="shared" ref="BB254:BC254" si="1068">+BB119/BB$131*100</f>
        <v>0</v>
      </c>
      <c r="BC254" s="5733">
        <f t="shared" si="1068"/>
        <v>0</v>
      </c>
      <c r="BD254" s="6628">
        <f t="shared" si="1067"/>
        <v>0</v>
      </c>
      <c r="BE254" s="6751">
        <f t="shared" si="1067"/>
        <v>0.2948227554987814</v>
      </c>
    </row>
    <row r="255" spans="1:57" ht="15.75" hidden="1" customHeight="1" thickBot="1" x14ac:dyDescent="0.25">
      <c r="B255" s="1564" t="s">
        <v>1431</v>
      </c>
      <c r="C255" s="2708" t="s">
        <v>169</v>
      </c>
      <c r="D255" s="6335">
        <f t="shared" si="992"/>
        <v>0</v>
      </c>
      <c r="E255" s="3836">
        <f t="shared" si="993"/>
        <v>0</v>
      </c>
      <c r="F255" s="6335">
        <f t="shared" si="994"/>
        <v>0</v>
      </c>
      <c r="G255" s="1862">
        <f t="shared" si="994"/>
        <v>0</v>
      </c>
      <c r="H255" s="6336">
        <f t="shared" si="994"/>
        <v>0</v>
      </c>
      <c r="I255" s="5729">
        <f t="shared" si="994"/>
        <v>0</v>
      </c>
      <c r="J255" s="6335">
        <f t="shared" si="994"/>
        <v>0</v>
      </c>
      <c r="K255" s="1862">
        <f t="shared" si="994"/>
        <v>0</v>
      </c>
      <c r="L255" s="6340">
        <f t="shared" ref="L255" si="1069">+L120/L$131*100</f>
        <v>0</v>
      </c>
      <c r="M255" s="5733">
        <f t="shared" si="996"/>
        <v>0</v>
      </c>
      <c r="N255" s="6335">
        <f t="shared" si="996"/>
        <v>0</v>
      </c>
      <c r="O255" s="1862">
        <f t="shared" si="996"/>
        <v>0</v>
      </c>
      <c r="P255" s="6336">
        <f t="shared" si="996"/>
        <v>0</v>
      </c>
      <c r="Q255" s="5729">
        <f t="shared" si="996"/>
        <v>0</v>
      </c>
      <c r="R255" s="6335">
        <f t="shared" ref="R255:U255" si="1070">+R120/R$131*100</f>
        <v>0</v>
      </c>
      <c r="S255" s="1862">
        <f t="shared" si="1070"/>
        <v>0</v>
      </c>
      <c r="T255" s="6336">
        <f t="shared" si="1070"/>
        <v>0</v>
      </c>
      <c r="U255" s="5729">
        <f t="shared" si="1070"/>
        <v>0</v>
      </c>
      <c r="V255" s="6556">
        <f t="shared" ref="V255:AI255" si="1071">+V120/V$131*100</f>
        <v>0</v>
      </c>
      <c r="W255" s="1862">
        <f t="shared" si="1071"/>
        <v>0</v>
      </c>
      <c r="X255" s="6557">
        <f t="shared" si="1007"/>
        <v>0</v>
      </c>
      <c r="Y255" s="5733">
        <f t="shared" si="1007"/>
        <v>0</v>
      </c>
      <c r="Z255" s="6628">
        <f t="shared" si="1071"/>
        <v>0</v>
      </c>
      <c r="AA255" s="6751">
        <f t="shared" si="1071"/>
        <v>0</v>
      </c>
      <c r="AB255" s="7340">
        <f t="shared" si="1071"/>
        <v>0</v>
      </c>
      <c r="AC255" s="1862">
        <f t="shared" si="1071"/>
        <v>0</v>
      </c>
      <c r="AD255" s="7342">
        <f t="shared" si="1071"/>
        <v>0</v>
      </c>
      <c r="AE255" s="5729">
        <f t="shared" si="1071"/>
        <v>0</v>
      </c>
      <c r="AF255" s="7340">
        <f t="shared" si="1071"/>
        <v>0</v>
      </c>
      <c r="AG255" s="1862">
        <f t="shared" si="1071"/>
        <v>0</v>
      </c>
      <c r="AH255" s="7342">
        <f t="shared" si="1071"/>
        <v>0</v>
      </c>
      <c r="AI255" s="5729">
        <f t="shared" si="1071"/>
        <v>0</v>
      </c>
      <c r="AJ255" s="7340">
        <f t="shared" ref="AJ255:AO255" si="1072">+AJ120/AJ$131*100</f>
        <v>0</v>
      </c>
      <c r="AK255" s="1862">
        <f t="shared" si="1072"/>
        <v>0</v>
      </c>
      <c r="AL255" s="6390">
        <f t="shared" si="1072"/>
        <v>0</v>
      </c>
      <c r="AM255" s="5733">
        <f t="shared" si="1072"/>
        <v>0</v>
      </c>
      <c r="AN255" s="6389">
        <f t="shared" si="1072"/>
        <v>0</v>
      </c>
      <c r="AO255" s="5729">
        <f t="shared" si="1072"/>
        <v>0</v>
      </c>
      <c r="AP255" s="7340">
        <f t="shared" ref="AP255:AS255" si="1073">+AP120/AP$131*100</f>
        <v>0</v>
      </c>
      <c r="AQ255" s="1862">
        <f t="shared" si="1073"/>
        <v>0</v>
      </c>
      <c r="AR255" s="7342">
        <f t="shared" si="1073"/>
        <v>0</v>
      </c>
      <c r="AS255" s="5729">
        <f t="shared" si="1073"/>
        <v>0</v>
      </c>
      <c r="AT255" s="7340">
        <f t="shared" ref="AT255:AW255" si="1074">+AT120/AT$131*100</f>
        <v>0</v>
      </c>
      <c r="AU255" s="1862">
        <f t="shared" si="1074"/>
        <v>0</v>
      </c>
      <c r="AV255" s="7342">
        <f t="shared" si="1074"/>
        <v>0</v>
      </c>
      <c r="AW255" s="5729">
        <f t="shared" si="1074"/>
        <v>0</v>
      </c>
      <c r="AX255" s="7340">
        <f t="shared" ref="AX255:BE255" si="1075">+AX120/AX$131*100</f>
        <v>0</v>
      </c>
      <c r="AY255" s="1862">
        <f t="shared" si="1075"/>
        <v>0</v>
      </c>
      <c r="AZ255" s="6557">
        <f t="shared" si="1075"/>
        <v>0</v>
      </c>
      <c r="BA255" s="5733">
        <f t="shared" si="1075"/>
        <v>0</v>
      </c>
      <c r="BB255" s="6557">
        <f t="shared" ref="BB255:BC255" si="1076">+BB120/BB$131*100</f>
        <v>0</v>
      </c>
      <c r="BC255" s="5733">
        <f t="shared" si="1076"/>
        <v>0</v>
      </c>
      <c r="BD255" s="6628">
        <f t="shared" si="1075"/>
        <v>0</v>
      </c>
      <c r="BE255" s="6751">
        <f t="shared" si="1075"/>
        <v>0</v>
      </c>
    </row>
    <row r="256" spans="1:57" ht="19" thickBot="1" x14ac:dyDescent="0.25">
      <c r="B256" s="2961" t="s">
        <v>40</v>
      </c>
      <c r="C256" s="2815" t="s">
        <v>169</v>
      </c>
      <c r="D256" s="5249">
        <f t="shared" ref="D256:G256" si="1077">SUM(D246:D255)</f>
        <v>65.994994063982688</v>
      </c>
      <c r="E256" s="3853">
        <f>SUM(E246:E255)</f>
        <v>65.811356997078718</v>
      </c>
      <c r="F256" s="5249">
        <f t="shared" ref="F256:H256" si="1078">SUM(F246:F255)</f>
        <v>65.755188148582448</v>
      </c>
      <c r="G256" s="1865">
        <f t="shared" si="1077"/>
        <v>65.661801865265929</v>
      </c>
      <c r="H256" s="5730">
        <f t="shared" si="1078"/>
        <v>65.872566805934255</v>
      </c>
      <c r="I256" s="5731">
        <f t="shared" ref="I256" si="1079">SUM(I246:I255)</f>
        <v>65.734925237631245</v>
      </c>
      <c r="J256" s="5249">
        <f t="shared" ref="J256" si="1080">SUM(J246:J255)</f>
        <v>68.159147085743768</v>
      </c>
      <c r="K256" s="1865">
        <f t="shared" ref="K256" si="1081">SUM(K246:K255)</f>
        <v>69.184749329598333</v>
      </c>
      <c r="L256" s="5734">
        <f t="shared" ref="L256" si="1082">SUM(L246:L255)</f>
        <v>66.691592112729467</v>
      </c>
      <c r="M256" s="5735">
        <f t="shared" ref="M256:Q256" si="1083">SUM(M246:M255)</f>
        <v>66.967622515856775</v>
      </c>
      <c r="N256" s="5249">
        <f t="shared" si="1083"/>
        <v>68.114996378370066</v>
      </c>
      <c r="O256" s="1865">
        <f t="shared" si="1083"/>
        <v>73.627524591301722</v>
      </c>
      <c r="P256" s="5730">
        <f t="shared" si="1083"/>
        <v>67.108337773420629</v>
      </c>
      <c r="Q256" s="5731">
        <f t="shared" si="1083"/>
        <v>68.865680176510892</v>
      </c>
      <c r="R256" s="5249">
        <f t="shared" ref="R256:U256" si="1084">SUM(R246:R255)</f>
        <v>68.114996378370066</v>
      </c>
      <c r="S256" s="1865">
        <f t="shared" si="1084"/>
        <v>73.466463525229457</v>
      </c>
      <c r="T256" s="5730">
        <f t="shared" si="1084"/>
        <v>67.336319526106621</v>
      </c>
      <c r="U256" s="5731">
        <f t="shared" si="1084"/>
        <v>69.920375875761422</v>
      </c>
      <c r="V256" s="5249">
        <f t="shared" ref="V256:AI256" si="1085">SUM(V246:V255)</f>
        <v>68.114996378370066</v>
      </c>
      <c r="W256" s="1865">
        <f t="shared" si="1085"/>
        <v>71.807845286784442</v>
      </c>
      <c r="X256" s="5734">
        <f t="shared" si="1085"/>
        <v>68.114996378370066</v>
      </c>
      <c r="Y256" s="5735">
        <f t="shared" si="1085"/>
        <v>73.01494010017268</v>
      </c>
      <c r="Z256" s="6752">
        <f t="shared" si="1085"/>
        <v>67.476301171942993</v>
      </c>
      <c r="AA256" s="6753">
        <f t="shared" si="1085"/>
        <v>70.231310566937211</v>
      </c>
      <c r="AB256" s="5249">
        <f t="shared" si="1085"/>
        <v>68.114996378370066</v>
      </c>
      <c r="AC256" s="1865">
        <f t="shared" si="1085"/>
        <v>70.733312461264219</v>
      </c>
      <c r="AD256" s="5730">
        <f t="shared" si="1085"/>
        <v>67.576358939019556</v>
      </c>
      <c r="AE256" s="5731">
        <f t="shared" si="1085"/>
        <v>70.308313225380914</v>
      </c>
      <c r="AF256" s="5249">
        <f t="shared" si="1085"/>
        <v>68.114996378370066</v>
      </c>
      <c r="AG256" s="1865">
        <f t="shared" si="1085"/>
        <v>70.523165281401035</v>
      </c>
      <c r="AH256" s="5730">
        <f t="shared" si="1085"/>
        <v>67.647269233114187</v>
      </c>
      <c r="AI256" s="5731">
        <f t="shared" si="1085"/>
        <v>70.335585745542147</v>
      </c>
      <c r="AJ256" s="5249">
        <f t="shared" ref="AJ256:AO256" si="1086">SUM(AJ246:AJ255)</f>
        <v>68.114996378370066</v>
      </c>
      <c r="AK256" s="1865">
        <f t="shared" si="1086"/>
        <v>69.309977151561299</v>
      </c>
      <c r="AL256" s="7860">
        <f t="shared" si="1086"/>
        <v>68.114996378370051</v>
      </c>
      <c r="AM256" s="5735">
        <f t="shared" si="1086"/>
        <v>70.168727517745936</v>
      </c>
      <c r="AN256" s="7862">
        <f t="shared" si="1086"/>
        <v>67.703277708390758</v>
      </c>
      <c r="AO256" s="5731">
        <f t="shared" si="1086"/>
        <v>70.209289029545346</v>
      </c>
      <c r="AP256" s="5249">
        <f t="shared" ref="AP256:AS256" si="1087">SUM(AP246:AP255)</f>
        <v>68.114996378370066</v>
      </c>
      <c r="AQ256" s="1865">
        <f t="shared" si="1087"/>
        <v>69.351000310409688</v>
      </c>
      <c r="AR256" s="5730">
        <f t="shared" si="1087"/>
        <v>67.747307050762018</v>
      </c>
      <c r="AS256" s="5731">
        <f t="shared" si="1087"/>
        <v>70.115096082618535</v>
      </c>
      <c r="AT256" s="5249">
        <f t="shared" ref="AT256:AW256" si="1088">SUM(AT246:AT255)</f>
        <v>68.114928251560826</v>
      </c>
      <c r="AU256" s="1865">
        <f t="shared" si="1088"/>
        <v>70.694941408750609</v>
      </c>
      <c r="AV256" s="5730">
        <f t="shared" si="1088"/>
        <v>67.779688171280569</v>
      </c>
      <c r="AW256" s="5731">
        <f t="shared" si="1088"/>
        <v>70.167390054560983</v>
      </c>
      <c r="AX256" s="5249">
        <f t="shared" ref="AX256:BE256" si="1089">SUM(AX246:AX255)</f>
        <v>68.114996415952589</v>
      </c>
      <c r="AY256" s="1865">
        <f t="shared" si="1089"/>
        <v>67.981727827351079</v>
      </c>
      <c r="AZ256" s="5734">
        <f t="shared" si="1089"/>
        <v>68.114975196376392</v>
      </c>
      <c r="BA256" s="5735">
        <f t="shared" si="1089"/>
        <v>69.297195783719658</v>
      </c>
      <c r="BB256" s="5734">
        <f t="shared" ref="BB256:BC256" si="1090">SUM(BB246:BB255)</f>
        <v>68.114985903765529</v>
      </c>
      <c r="BC256" s="5735">
        <f t="shared" si="1090"/>
        <v>69.729220661167503</v>
      </c>
      <c r="BD256" s="6752">
        <f t="shared" si="1089"/>
        <v>67.809482151046524</v>
      </c>
      <c r="BE256" s="6753">
        <f t="shared" si="1089"/>
        <v>69.968854650060962</v>
      </c>
    </row>
    <row r="257" spans="1:57" x14ac:dyDescent="0.2">
      <c r="B257" s="1566" t="s">
        <v>1429</v>
      </c>
      <c r="C257" s="2713" t="s">
        <v>169</v>
      </c>
      <c r="D257" s="5986">
        <f>+D122/D$131*100</f>
        <v>17.306155528161803</v>
      </c>
      <c r="E257" s="3847">
        <f>+E122/$E$131*100</f>
        <v>17.253991756372805</v>
      </c>
      <c r="F257" s="5986">
        <f t="shared" ref="F257:M259" si="1091">+F122/F$131*100</f>
        <v>17.782652923043511</v>
      </c>
      <c r="G257" s="1860">
        <f t="shared" si="1091"/>
        <v>17.759077474387048</v>
      </c>
      <c r="H257" s="6347">
        <f t="shared" si="1091"/>
        <v>17.549420042405409</v>
      </c>
      <c r="I257" s="5732">
        <f t="shared" si="1091"/>
        <v>17.512121247696083</v>
      </c>
      <c r="J257" s="5986">
        <f t="shared" si="1091"/>
        <v>17.544460944694194</v>
      </c>
      <c r="K257" s="1860">
        <f t="shared" si="1091"/>
        <v>17.482527326346613</v>
      </c>
      <c r="L257" s="5783">
        <f t="shared" si="1091"/>
        <v>17.547643753787764</v>
      </c>
      <c r="M257" s="5736">
        <f t="shared" si="1091"/>
        <v>17.501546695102384</v>
      </c>
      <c r="N257" s="5986">
        <f t="shared" ref="N257:Q257" si="1092">+N122/N$131*100</f>
        <v>17.603328554525795</v>
      </c>
      <c r="O257" s="1860">
        <f t="shared" si="1092"/>
        <v>14.648781318813056</v>
      </c>
      <c r="P257" s="6347">
        <f t="shared" si="1092"/>
        <v>17.56394720294427</v>
      </c>
      <c r="Q257" s="5732">
        <f t="shared" si="1092"/>
        <v>16.688514744305564</v>
      </c>
      <c r="R257" s="5986">
        <f t="shared" ref="R257:U257" si="1093">+R122/R$131*100</f>
        <v>17.603328554525795</v>
      </c>
      <c r="S257" s="1860">
        <f t="shared" si="1093"/>
        <v>14.970798418398809</v>
      </c>
      <c r="T257" s="6347">
        <f t="shared" si="1093"/>
        <v>17.572866045452106</v>
      </c>
      <c r="U257" s="5732">
        <f t="shared" si="1093"/>
        <v>16.294740927077054</v>
      </c>
      <c r="V257" s="5986">
        <f t="shared" ref="V257:AI257" si="1094">+V122/V$131*100</f>
        <v>17.603328554525795</v>
      </c>
      <c r="W257" s="1860">
        <f t="shared" si="1094"/>
        <v>18.425601888940424</v>
      </c>
      <c r="X257" s="5783">
        <f t="shared" si="1094"/>
        <v>17.603328554525795</v>
      </c>
      <c r="Y257" s="5736">
        <f t="shared" si="1094"/>
        <v>15.915872113600532</v>
      </c>
      <c r="Z257" s="6614">
        <f t="shared" si="1094"/>
        <v>17.57834224799241</v>
      </c>
      <c r="AA257" s="6754">
        <f t="shared" si="1094"/>
        <v>16.645771037152546</v>
      </c>
      <c r="AB257" s="5986">
        <f t="shared" si="1094"/>
        <v>17.603328554525795</v>
      </c>
      <c r="AC257" s="1860">
        <f t="shared" si="1094"/>
        <v>19.319655738647619</v>
      </c>
      <c r="AD257" s="7348">
        <f t="shared" si="1094"/>
        <v>17.582256594012332</v>
      </c>
      <c r="AE257" s="5732">
        <f t="shared" si="1094"/>
        <v>17.055921342786519</v>
      </c>
      <c r="AF257" s="5986">
        <f t="shared" si="1094"/>
        <v>17.603328554525795</v>
      </c>
      <c r="AG257" s="1860">
        <f t="shared" si="1094"/>
        <v>21.326349707105638</v>
      </c>
      <c r="AH257" s="7394">
        <f t="shared" si="1094"/>
        <v>17.585030665786771</v>
      </c>
      <c r="AI257" s="5732">
        <f t="shared" si="1094"/>
        <v>17.597993621825779</v>
      </c>
      <c r="AJ257" s="5986">
        <f t="shared" ref="AJ257:AO257" si="1095">+AJ122/AJ$131*100</f>
        <v>17.603328554525795</v>
      </c>
      <c r="AK257" s="1860">
        <f t="shared" si="1095"/>
        <v>20.313054074638231</v>
      </c>
      <c r="AL257" s="5714">
        <f t="shared" si="1095"/>
        <v>17.603328554525792</v>
      </c>
      <c r="AM257" s="5736">
        <f t="shared" si="1095"/>
        <v>20.302059145253224</v>
      </c>
      <c r="AN257" s="3194">
        <f t="shared" si="1095"/>
        <v>17.587221765575286</v>
      </c>
      <c r="AO257" s="5732">
        <f t="shared" si="1095"/>
        <v>17.932334832435217</v>
      </c>
      <c r="AP257" s="5986">
        <f t="shared" ref="AP257:AS257" si="1096">+AP122/AP$131*100</f>
        <v>17.603328554525795</v>
      </c>
      <c r="AQ257" s="1860">
        <f t="shared" si="1096"/>
        <v>22.253330817594751</v>
      </c>
      <c r="AR257" s="7394">
        <f t="shared" si="1096"/>
        <v>17.588944231367861</v>
      </c>
      <c r="AS257" s="5732">
        <f t="shared" si="1096"/>
        <v>18.406542795824183</v>
      </c>
      <c r="AT257" s="5986">
        <f t="shared" ref="AT257:AW257" si="1097">+AT122/AT$131*100</f>
        <v>17.603373320694278</v>
      </c>
      <c r="AU257" s="1860">
        <f t="shared" si="1097"/>
        <v>23.621808478379524</v>
      </c>
      <c r="AV257" s="7394">
        <f t="shared" si="1097"/>
        <v>17.590215186577833</v>
      </c>
      <c r="AW257" s="5732">
        <f t="shared" si="1097"/>
        <v>18.876887118671672</v>
      </c>
      <c r="AX257" s="5986">
        <f t="shared" ref="AX257:BE257" si="1098">+AX122/AX$131*100</f>
        <v>17.603328440759679</v>
      </c>
      <c r="AY257" s="1860">
        <f t="shared" si="1098"/>
        <v>21.165063897860744</v>
      </c>
      <c r="AZ257" s="5783">
        <f t="shared" si="1098"/>
        <v>17.60334244254701</v>
      </c>
      <c r="BA257" s="5736">
        <f t="shared" si="1098"/>
        <v>22.303988866135825</v>
      </c>
      <c r="BB257" s="5783">
        <f t="shared" ref="BB257:BC257" si="1099">+BB122/BB$131*100</f>
        <v>17.60333542222353</v>
      </c>
      <c r="BC257" s="5736">
        <f t="shared" si="1099"/>
        <v>21.311617150274181</v>
      </c>
      <c r="BD257" s="6614">
        <f t="shared" si="1098"/>
        <v>17.591380371257802</v>
      </c>
      <c r="BE257" s="6754">
        <f t="shared" si="1098"/>
        <v>19.084734468901885</v>
      </c>
    </row>
    <row r="258" spans="1:57" ht="16" thickBot="1" x14ac:dyDescent="0.25">
      <c r="B258" s="1567" t="s">
        <v>1430</v>
      </c>
      <c r="C258" s="2713" t="s">
        <v>169</v>
      </c>
      <c r="D258" s="5986">
        <f>+D123/D$131*100</f>
        <v>8.6517121034710804</v>
      </c>
      <c r="E258" s="3847">
        <f>+E123/$E$131*100</f>
        <v>8.6253951738765053</v>
      </c>
      <c r="F258" s="5986">
        <f t="shared" si="1091"/>
        <v>8.7691268061025731</v>
      </c>
      <c r="G258" s="1860">
        <f t="shared" si="1091"/>
        <v>8.7589396468552358</v>
      </c>
      <c r="H258" s="6347">
        <f t="shared" si="1091"/>
        <v>8.711655412516448</v>
      </c>
      <c r="I258" s="5732">
        <f t="shared" si="1091"/>
        <v>8.6936445138391569</v>
      </c>
      <c r="J258" s="5986">
        <f t="shared" si="1091"/>
        <v>9.3753066213173533</v>
      </c>
      <c r="K258" s="1860">
        <f t="shared" si="1091"/>
        <v>7.9124993841454394</v>
      </c>
      <c r="L258" s="5783">
        <f t="shared" si="1091"/>
        <v>8.9493672215846409</v>
      </c>
      <c r="M258" s="5736">
        <f t="shared" si="1091"/>
        <v>8.4145243472443667</v>
      </c>
      <c r="N258" s="5986">
        <f t="shared" ref="N258:Q258" si="1100">+N123/N$131*100</f>
        <v>9.3605897188594511</v>
      </c>
      <c r="O258" s="1860">
        <f t="shared" si="1100"/>
        <v>6.851493144721152</v>
      </c>
      <c r="P258" s="6347">
        <f t="shared" si="1100"/>
        <v>9.0697653371830498</v>
      </c>
      <c r="Q258" s="5732">
        <f t="shared" si="1100"/>
        <v>7.9690638413415975</v>
      </c>
      <c r="R258" s="5986">
        <f t="shared" ref="R258:U258" si="1101">+R123/R$131*100</f>
        <v>9.3605897188594511</v>
      </c>
      <c r="S258" s="1860">
        <f t="shared" si="1101"/>
        <v>6.5978645965586873</v>
      </c>
      <c r="T258" s="6347">
        <f t="shared" si="1101"/>
        <v>9.1356294264904019</v>
      </c>
      <c r="U258" s="5732">
        <f t="shared" si="1101"/>
        <v>7.6547265129623083</v>
      </c>
      <c r="V258" s="5986">
        <f t="shared" ref="V258:AI258" si="1102">+V123/V$131*100</f>
        <v>9.3605897188594493</v>
      </c>
      <c r="W258" s="1860">
        <f t="shared" si="1102"/>
        <v>5.9935910949951507</v>
      </c>
      <c r="X258" s="5783">
        <f t="shared" si="1102"/>
        <v>9.3605897188594511</v>
      </c>
      <c r="Y258" s="5736">
        <f t="shared" si="1102"/>
        <v>6.4996407082873047</v>
      </c>
      <c r="Z258" s="6614">
        <f t="shared" si="1102"/>
        <v>9.1760702228003428</v>
      </c>
      <c r="AA258" s="6754">
        <f t="shared" si="1102"/>
        <v>7.381077242054741</v>
      </c>
      <c r="AB258" s="5986">
        <f t="shared" si="1102"/>
        <v>9.3605897188594511</v>
      </c>
      <c r="AC258" s="1860">
        <f t="shared" si="1102"/>
        <v>4.9479582643809614</v>
      </c>
      <c r="AD258" s="7348">
        <f t="shared" si="1102"/>
        <v>9.2049769823500984</v>
      </c>
      <c r="AE258" s="5732">
        <f t="shared" si="1102"/>
        <v>7.0078582727481216</v>
      </c>
      <c r="AF258" s="5986">
        <f t="shared" si="1102"/>
        <v>9.3605897188594493</v>
      </c>
      <c r="AG258" s="1860">
        <f t="shared" si="1102"/>
        <v>3.8652618522787785</v>
      </c>
      <c r="AH258" s="7394">
        <f t="shared" si="1102"/>
        <v>9.2254630163770948</v>
      </c>
      <c r="AI258" s="5732">
        <f t="shared" si="1102"/>
        <v>6.6089487820801889</v>
      </c>
      <c r="AJ258" s="5986">
        <f t="shared" ref="AJ258:AO258" si="1103">+AJ123/AJ$131*100</f>
        <v>9.3605897188594511</v>
      </c>
      <c r="AK258" s="1860">
        <f t="shared" si="1103"/>
        <v>5.4604722010662599</v>
      </c>
      <c r="AL258" s="5714">
        <f t="shared" si="1103"/>
        <v>9.3605897188594493</v>
      </c>
      <c r="AM258" s="5736">
        <f t="shared" si="1103"/>
        <v>4.7848420298476917</v>
      </c>
      <c r="AN258" s="3194">
        <f t="shared" si="1103"/>
        <v>9.2416439044267875</v>
      </c>
      <c r="AO258" s="5732">
        <f t="shared" si="1103"/>
        <v>6.467521709966551</v>
      </c>
      <c r="AP258" s="5986">
        <f t="shared" ref="AP258:AS258" si="1104">+AP123/AP$131*100</f>
        <v>9.3605897188594511</v>
      </c>
      <c r="AQ258" s="1860">
        <f t="shared" si="1104"/>
        <v>3.3950297932428075</v>
      </c>
      <c r="AR258" s="7394">
        <f t="shared" si="1104"/>
        <v>9.2543640125228013</v>
      </c>
      <c r="AS258" s="5732">
        <f t="shared" si="1104"/>
        <v>6.1303309004025781</v>
      </c>
      <c r="AT258" s="5986">
        <f t="shared" ref="AT258:AW258" si="1105">+AT123/AT$131*100</f>
        <v>9.3603111822966039</v>
      </c>
      <c r="AU258" s="1860">
        <f t="shared" si="1105"/>
        <v>1.007405610474323</v>
      </c>
      <c r="AV258" s="7394">
        <f t="shared" si="1105"/>
        <v>9.2636961404457558</v>
      </c>
      <c r="AW258" s="5732">
        <f t="shared" si="1105"/>
        <v>5.6683143947911203</v>
      </c>
      <c r="AX258" s="5986">
        <f t="shared" ref="AX258:BE258" si="1106">+AX123/AX$131*100</f>
        <v>9.3605898473240767</v>
      </c>
      <c r="AY258" s="1860">
        <f t="shared" si="1106"/>
        <v>5.5595092546972991</v>
      </c>
      <c r="AZ258" s="5783">
        <f t="shared" si="1106"/>
        <v>9.3605031075691265</v>
      </c>
      <c r="BA258" s="5736">
        <f t="shared" si="1106"/>
        <v>3.398217994856457</v>
      </c>
      <c r="BB258" s="5783">
        <f t="shared" ref="BB258:BC258" si="1107">+BB123/BB$131*100</f>
        <v>9.3605468891320882</v>
      </c>
      <c r="BC258" s="5736">
        <f t="shared" si="1107"/>
        <v>4.0855780247842688</v>
      </c>
      <c r="BD258" s="6614">
        <f t="shared" si="1106"/>
        <v>9.2723056786484488</v>
      </c>
      <c r="BE258" s="6754">
        <f t="shared" si="1106"/>
        <v>5.6584310412558469</v>
      </c>
    </row>
    <row r="259" spans="1:57" ht="15.75" hidden="1" customHeight="1" thickBot="1" x14ac:dyDescent="0.25">
      <c r="B259" s="1564" t="s">
        <v>1457</v>
      </c>
      <c r="C259" s="2708" t="s">
        <v>169</v>
      </c>
      <c r="D259" s="5986">
        <f>+D124/D$131*100</f>
        <v>0</v>
      </c>
      <c r="E259" s="3847">
        <f>+E124/$E$131*100</f>
        <v>0</v>
      </c>
      <c r="F259" s="5986">
        <f t="shared" si="1091"/>
        <v>0</v>
      </c>
      <c r="G259" s="1860">
        <f t="shared" si="1091"/>
        <v>0</v>
      </c>
      <c r="H259" s="6347">
        <f t="shared" si="1091"/>
        <v>0</v>
      </c>
      <c r="I259" s="5732">
        <f t="shared" si="1091"/>
        <v>0</v>
      </c>
      <c r="J259" s="5986">
        <f t="shared" si="1091"/>
        <v>0</v>
      </c>
      <c r="K259" s="1860">
        <f t="shared" si="1091"/>
        <v>0</v>
      </c>
      <c r="L259" s="5783">
        <f t="shared" si="1091"/>
        <v>0</v>
      </c>
      <c r="M259" s="5736">
        <f t="shared" si="1091"/>
        <v>0</v>
      </c>
      <c r="N259" s="5986">
        <f t="shared" ref="N259:Q259" si="1108">+N124/N$131*100</f>
        <v>0</v>
      </c>
      <c r="O259" s="1860">
        <f t="shared" si="1108"/>
        <v>0</v>
      </c>
      <c r="P259" s="6347">
        <f t="shared" si="1108"/>
        <v>0</v>
      </c>
      <c r="Q259" s="5732">
        <f t="shared" si="1108"/>
        <v>0</v>
      </c>
      <c r="R259" s="5986">
        <f t="shared" ref="R259:U259" si="1109">+R124/R$131*100</f>
        <v>0</v>
      </c>
      <c r="S259" s="1860">
        <f t="shared" si="1109"/>
        <v>0</v>
      </c>
      <c r="T259" s="6347">
        <f t="shared" si="1109"/>
        <v>0</v>
      </c>
      <c r="U259" s="5732">
        <f t="shared" si="1109"/>
        <v>0</v>
      </c>
      <c r="V259" s="5986">
        <f t="shared" ref="V259:AI259" si="1110">+V124/V$131*100</f>
        <v>0</v>
      </c>
      <c r="W259" s="1860">
        <f t="shared" si="1110"/>
        <v>0</v>
      </c>
      <c r="X259" s="5783">
        <f t="shared" si="1110"/>
        <v>0</v>
      </c>
      <c r="Y259" s="5736">
        <f t="shared" si="1110"/>
        <v>0</v>
      </c>
      <c r="Z259" s="6614">
        <f t="shared" si="1110"/>
        <v>0</v>
      </c>
      <c r="AA259" s="6754">
        <f t="shared" si="1110"/>
        <v>0</v>
      </c>
      <c r="AB259" s="5986">
        <f t="shared" si="1110"/>
        <v>0</v>
      </c>
      <c r="AC259" s="1860">
        <f t="shared" si="1110"/>
        <v>0</v>
      </c>
      <c r="AD259" s="7348">
        <f t="shared" si="1110"/>
        <v>0</v>
      </c>
      <c r="AE259" s="5732">
        <f t="shared" si="1110"/>
        <v>0</v>
      </c>
      <c r="AF259" s="5986">
        <f t="shared" si="1110"/>
        <v>0</v>
      </c>
      <c r="AG259" s="1860">
        <f t="shared" si="1110"/>
        <v>0</v>
      </c>
      <c r="AH259" s="7394">
        <f t="shared" si="1110"/>
        <v>0</v>
      </c>
      <c r="AI259" s="5732">
        <f t="shared" si="1110"/>
        <v>0</v>
      </c>
      <c r="AJ259" s="5986">
        <f t="shared" ref="AJ259:AO259" si="1111">+AJ124/AJ$131*100</f>
        <v>0</v>
      </c>
      <c r="AK259" s="1860">
        <f t="shared" si="1111"/>
        <v>0</v>
      </c>
      <c r="AL259" s="5714">
        <f t="shared" si="1111"/>
        <v>0</v>
      </c>
      <c r="AM259" s="5736">
        <f t="shared" si="1111"/>
        <v>0</v>
      </c>
      <c r="AN259" s="3194">
        <f t="shared" si="1111"/>
        <v>0</v>
      </c>
      <c r="AO259" s="5732">
        <f t="shared" si="1111"/>
        <v>0</v>
      </c>
      <c r="AP259" s="5986">
        <f t="shared" ref="AP259:AS259" si="1112">+AP124/AP$131*100</f>
        <v>0</v>
      </c>
      <c r="AQ259" s="1860">
        <f t="shared" si="1112"/>
        <v>0</v>
      </c>
      <c r="AR259" s="7394">
        <f t="shared" si="1112"/>
        <v>0</v>
      </c>
      <c r="AS259" s="5732">
        <f t="shared" si="1112"/>
        <v>0</v>
      </c>
      <c r="AT259" s="5986">
        <f t="shared" ref="AT259:AW259" si="1113">+AT124/AT$131*100</f>
        <v>0</v>
      </c>
      <c r="AU259" s="1860">
        <f t="shared" si="1113"/>
        <v>0</v>
      </c>
      <c r="AV259" s="7394">
        <f t="shared" si="1113"/>
        <v>0</v>
      </c>
      <c r="AW259" s="5732">
        <f t="shared" si="1113"/>
        <v>0</v>
      </c>
      <c r="AX259" s="5986">
        <f t="shared" ref="AX259:BE259" si="1114">+AX124/AX$131*100</f>
        <v>0</v>
      </c>
      <c r="AY259" s="1860">
        <f t="shared" si="1114"/>
        <v>0</v>
      </c>
      <c r="AZ259" s="5783">
        <f t="shared" si="1114"/>
        <v>0</v>
      </c>
      <c r="BA259" s="5736">
        <f t="shared" si="1114"/>
        <v>0</v>
      </c>
      <c r="BB259" s="5783">
        <f t="shared" ref="BB259:BC259" si="1115">+BB124/BB$131*100</f>
        <v>0</v>
      </c>
      <c r="BC259" s="5736">
        <f t="shared" si="1115"/>
        <v>0</v>
      </c>
      <c r="BD259" s="6614">
        <f t="shared" si="1114"/>
        <v>0</v>
      </c>
      <c r="BE259" s="6754">
        <f t="shared" si="1114"/>
        <v>0</v>
      </c>
    </row>
    <row r="260" spans="1:57" ht="19" thickBot="1" x14ac:dyDescent="0.25">
      <c r="B260" s="2961" t="s">
        <v>582</v>
      </c>
      <c r="C260" s="2815" t="s">
        <v>169</v>
      </c>
      <c r="D260" s="2716">
        <f>SUM(D257:D259)</f>
        <v>25.957867631632883</v>
      </c>
      <c r="E260" s="3853">
        <f>SUM(E257:E259)</f>
        <v>25.879386930249311</v>
      </c>
      <c r="F260" s="2716">
        <f>SUM(F257:F259)</f>
        <v>26.551779729146084</v>
      </c>
      <c r="G260" s="1865">
        <f t="shared" ref="G260" si="1116">SUM(G257:G259)</f>
        <v>26.518017121242284</v>
      </c>
      <c r="H260" s="5621">
        <f>SUM(H257:H259)</f>
        <v>26.261075454921858</v>
      </c>
      <c r="I260" s="5731">
        <f t="shared" ref="I260" si="1117">SUM(I257:I259)</f>
        <v>26.20576576153524</v>
      </c>
      <c r="J260" s="2716">
        <f>SUM(J257:J259)</f>
        <v>26.919767566011547</v>
      </c>
      <c r="K260" s="1865">
        <f t="shared" ref="K260" si="1118">SUM(K257:K259)</f>
        <v>25.395026710492054</v>
      </c>
      <c r="L260" s="5737">
        <f>SUM(L257:L259)</f>
        <v>26.497010975372405</v>
      </c>
      <c r="M260" s="5735">
        <f t="shared" ref="M260" si="1119">SUM(M257:M259)</f>
        <v>25.916071042346751</v>
      </c>
      <c r="N260" s="2716">
        <f>SUM(N257:N259)</f>
        <v>26.963918273385246</v>
      </c>
      <c r="O260" s="1865">
        <f t="shared" ref="O260" si="1120">SUM(O257:O259)</f>
        <v>21.500274463534208</v>
      </c>
      <c r="P260" s="5621">
        <f>SUM(P257:P259)</f>
        <v>26.63371254012732</v>
      </c>
      <c r="Q260" s="5731">
        <f t="shared" ref="Q260" si="1121">SUM(Q257:Q259)</f>
        <v>24.657578585647162</v>
      </c>
      <c r="R260" s="2716">
        <f>SUM(R257:R259)</f>
        <v>26.963918273385246</v>
      </c>
      <c r="S260" s="1865">
        <f t="shared" ref="S260" si="1122">SUM(S257:S259)</f>
        <v>21.568663014957497</v>
      </c>
      <c r="T260" s="5621">
        <f>SUM(T257:T259)</f>
        <v>26.708495471942506</v>
      </c>
      <c r="U260" s="5731">
        <f t="shared" ref="U260" si="1123">SUM(U257:U259)</f>
        <v>23.949467440039363</v>
      </c>
      <c r="V260" s="2716">
        <f>SUM(V257:V259)</f>
        <v>26.963918273385246</v>
      </c>
      <c r="W260" s="1865">
        <f t="shared" ref="W260" si="1124">SUM(W257:W259)</f>
        <v>24.419192983935574</v>
      </c>
      <c r="X260" s="5737">
        <f>SUM(X257:X259)</f>
        <v>26.963918273385246</v>
      </c>
      <c r="Y260" s="5735">
        <f t="shared" ref="Y260" si="1125">SUM(Y257:Y259)</f>
        <v>22.415512821887837</v>
      </c>
      <c r="Z260" s="6755">
        <f>SUM(Z257:Z259)</f>
        <v>26.754412470792751</v>
      </c>
      <c r="AA260" s="6753">
        <f t="shared" ref="AA260" si="1126">SUM(AA257:AA259)</f>
        <v>24.026848279207286</v>
      </c>
      <c r="AB260" s="2716">
        <f>SUM(AB257:AB259)</f>
        <v>26.963918273385246</v>
      </c>
      <c r="AC260" s="1865">
        <f t="shared" ref="AC260" si="1127">SUM(AC257:AC259)</f>
        <v>24.26761400302858</v>
      </c>
      <c r="AD260" s="5621">
        <f>SUM(AD257:AD259)</f>
        <v>26.787233576362432</v>
      </c>
      <c r="AE260" s="5731">
        <f t="shared" ref="AE260" si="1128">SUM(AE257:AE259)</f>
        <v>24.063779615534642</v>
      </c>
      <c r="AF260" s="2716">
        <f>SUM(AF257:AF259)</f>
        <v>26.963918273385246</v>
      </c>
      <c r="AG260" s="1865">
        <f t="shared" ref="AG260" si="1129">SUM(AG257:AG259)</f>
        <v>25.191611559384416</v>
      </c>
      <c r="AH260" s="5621">
        <f>SUM(AH257:AH259)</f>
        <v>26.810493682163866</v>
      </c>
      <c r="AI260" s="5731">
        <f t="shared" ref="AI260" si="1130">SUM(AI257:AI259)</f>
        <v>24.20694240390597</v>
      </c>
      <c r="AJ260" s="2716">
        <f>SUM(AJ257:AJ259)</f>
        <v>26.963918273385246</v>
      </c>
      <c r="AK260" s="1865">
        <f t="shared" ref="AK260" si="1131">SUM(AK257:AK259)</f>
        <v>25.773526275704491</v>
      </c>
      <c r="AL260" s="7861">
        <f>SUM(AL257:AL259)</f>
        <v>26.963918273385239</v>
      </c>
      <c r="AM260" s="5735">
        <f t="shared" ref="AM260" si="1132">SUM(AM257:AM259)</f>
        <v>25.086901175100916</v>
      </c>
      <c r="AN260" s="7863">
        <f>SUM(AN257:AN259)</f>
        <v>26.828865670002074</v>
      </c>
      <c r="AO260" s="5731">
        <f t="shared" ref="AO260" si="1133">SUM(AO257:AO259)</f>
        <v>24.399856542401768</v>
      </c>
      <c r="AP260" s="2716">
        <f>SUM(AP257:AP259)</f>
        <v>26.963918273385246</v>
      </c>
      <c r="AQ260" s="1865">
        <f t="shared" ref="AQ260" si="1134">SUM(AQ257:AQ259)</f>
        <v>25.648360610837557</v>
      </c>
      <c r="AR260" s="5621">
        <f>SUM(AR257:AR259)</f>
        <v>26.843308243890661</v>
      </c>
      <c r="AS260" s="5731">
        <f t="shared" ref="AS260" si="1135">SUM(AS257:AS259)</f>
        <v>24.536873696226763</v>
      </c>
      <c r="AT260" s="2716">
        <f>SUM(AT257:AT259)</f>
        <v>26.96368450299088</v>
      </c>
      <c r="AU260" s="1865">
        <f t="shared" ref="AU260" si="1136">SUM(AU257:AU259)</f>
        <v>24.629214088853846</v>
      </c>
      <c r="AV260" s="5621">
        <f>SUM(AV257:AV259)</f>
        <v>26.853911327023589</v>
      </c>
      <c r="AW260" s="5731">
        <f t="shared" ref="AW260" si="1137">SUM(AW257:AW259)</f>
        <v>24.545201513462793</v>
      </c>
      <c r="AX260" s="2716">
        <f>SUM(AX257:AX259)</f>
        <v>26.963918288083754</v>
      </c>
      <c r="AY260" s="1865">
        <f t="shared" ref="AY260" si="1138">SUM(AY257:AY259)</f>
        <v>26.724573152558044</v>
      </c>
      <c r="AZ260" s="5737">
        <f>SUM(AZ257:AZ259)</f>
        <v>26.963845550116137</v>
      </c>
      <c r="BA260" s="5735">
        <f t="shared" ref="BA260" si="1139">SUM(BA257:BA259)</f>
        <v>25.70220686099228</v>
      </c>
      <c r="BB260" s="5737">
        <f>SUM(BB257:BB259)</f>
        <v>26.963882311355619</v>
      </c>
      <c r="BC260" s="5735">
        <f t="shared" ref="BC260" si="1140">SUM(BC257:BC259)</f>
        <v>25.397195175058449</v>
      </c>
      <c r="BD260" s="6755">
        <f>SUM(BD257:BD259)</f>
        <v>26.863686049906249</v>
      </c>
      <c r="BE260" s="6753">
        <f t="shared" ref="BE260" si="1141">SUM(BE257:BE259)</f>
        <v>24.743165510157731</v>
      </c>
    </row>
    <row r="261" spans="1:57" ht="19" thickBot="1" x14ac:dyDescent="0.25">
      <c r="B261" s="2961" t="s">
        <v>39</v>
      </c>
      <c r="C261" s="2815" t="s">
        <v>169</v>
      </c>
      <c r="D261" s="2716">
        <f>+D256+D260</f>
        <v>91.952861695615567</v>
      </c>
      <c r="E261" s="3853">
        <f>+E256+E260</f>
        <v>91.690743927328029</v>
      </c>
      <c r="F261" s="2716">
        <f>+F256+F260</f>
        <v>92.306967877728539</v>
      </c>
      <c r="G261" s="1865">
        <f t="shared" ref="G261" si="1142">+G256+G260</f>
        <v>92.179818986508209</v>
      </c>
      <c r="H261" s="5621">
        <f>+H256+H260</f>
        <v>92.133642260856107</v>
      </c>
      <c r="I261" s="5731">
        <f t="shared" ref="I261" si="1143">+I256+I260</f>
        <v>91.940690999166492</v>
      </c>
      <c r="J261" s="2716">
        <f>+J256+J260</f>
        <v>95.078914651755312</v>
      </c>
      <c r="K261" s="1865">
        <f t="shared" ref="K261" si="1144">+K256+K260</f>
        <v>94.579776040090394</v>
      </c>
      <c r="L261" s="5737">
        <f>+L256+L260</f>
        <v>93.188603088101871</v>
      </c>
      <c r="M261" s="5735">
        <f t="shared" ref="M261" si="1145">+M256+M260</f>
        <v>92.883693558203532</v>
      </c>
      <c r="N261" s="2716">
        <f>+N256+N260</f>
        <v>95.078914651755312</v>
      </c>
      <c r="O261" s="1865">
        <f t="shared" ref="O261" si="1146">+O256+O260</f>
        <v>95.127799054835933</v>
      </c>
      <c r="P261" s="5621">
        <f>+P256+P260</f>
        <v>93.742050313547949</v>
      </c>
      <c r="Q261" s="5731">
        <f t="shared" ref="Q261" si="1147">+Q256+Q260</f>
        <v>93.523258762158051</v>
      </c>
      <c r="R261" s="2716">
        <f>+R256+R260</f>
        <v>95.078914651755312</v>
      </c>
      <c r="S261" s="1865">
        <f t="shared" ref="S261" si="1148">+S256+S260</f>
        <v>95.035126540186951</v>
      </c>
      <c r="T261" s="5621">
        <f>+T256+T260</f>
        <v>94.044814998049134</v>
      </c>
      <c r="U261" s="5731">
        <f t="shared" ref="U261" si="1149">+U256+U260</f>
        <v>93.869843315800779</v>
      </c>
      <c r="V261" s="2716">
        <f>+V256+V260</f>
        <v>95.078914651755312</v>
      </c>
      <c r="W261" s="1865">
        <f t="shared" ref="W261" si="1150">+W256+W260</f>
        <v>96.227038270720016</v>
      </c>
      <c r="X261" s="5737">
        <f>+X256+X260</f>
        <v>95.078914651755312</v>
      </c>
      <c r="Y261" s="5735">
        <f t="shared" ref="Y261" si="1151">+Y256+Y260</f>
        <v>95.43045292206051</v>
      </c>
      <c r="Z261" s="6755">
        <f>+Z256+Z260</f>
        <v>94.230713642735736</v>
      </c>
      <c r="AA261" s="6753">
        <f t="shared" ref="AA261" si="1152">+AA256+AA260</f>
        <v>94.258158846144497</v>
      </c>
      <c r="AB261" s="2716">
        <f>+AB256+AB260</f>
        <v>95.078914651755312</v>
      </c>
      <c r="AC261" s="1865">
        <f t="shared" ref="AC261" si="1153">+AC256+AC260</f>
        <v>95.000926464292803</v>
      </c>
      <c r="AD261" s="5621">
        <f>+AD256+AD260</f>
        <v>94.363592515381981</v>
      </c>
      <c r="AE261" s="5731">
        <f t="shared" ref="AE261" si="1154">+AE256+AE260</f>
        <v>94.372092840915556</v>
      </c>
      <c r="AF261" s="2716">
        <f>+AF256+AF260</f>
        <v>95.078914651755312</v>
      </c>
      <c r="AG261" s="1865">
        <f t="shared" ref="AG261" si="1155">+AG256+AG260</f>
        <v>95.714776840785447</v>
      </c>
      <c r="AH261" s="5621">
        <f>+AH256+AH260</f>
        <v>94.457762915278053</v>
      </c>
      <c r="AI261" s="5731">
        <f t="shared" ref="AI261" si="1156">+AI256+AI260</f>
        <v>94.542528149448117</v>
      </c>
      <c r="AJ261" s="2716">
        <f>+AJ256+AJ260</f>
        <v>95.078914651755312</v>
      </c>
      <c r="AK261" s="1865">
        <f t="shared" ref="AK261" si="1157">+AK256+AK260</f>
        <v>95.083503427265782</v>
      </c>
      <c r="AL261" s="7861">
        <f>+AL256+AL260</f>
        <v>95.078914651755298</v>
      </c>
      <c r="AM261" s="5735">
        <f t="shared" ref="AM261" si="1158">+AM256+AM260</f>
        <v>95.255628692846855</v>
      </c>
      <c r="AN261" s="7863">
        <f>+AN256+AN260</f>
        <v>94.532143378392831</v>
      </c>
      <c r="AO261" s="5731">
        <f t="shared" ref="AO261" si="1159">+AO256+AO260</f>
        <v>94.60914557194711</v>
      </c>
      <c r="AP261" s="2716">
        <f>+AP256+AP260</f>
        <v>95.078914651755312</v>
      </c>
      <c r="AQ261" s="1865">
        <f t="shared" ref="AQ261" si="1160">+AQ256+AQ260</f>
        <v>94.999360921247245</v>
      </c>
      <c r="AR261" s="5621">
        <f>+AR256+AR260</f>
        <v>94.590615294652679</v>
      </c>
      <c r="AS261" s="5731">
        <f t="shared" ref="AS261" si="1161">+AS256+AS260</f>
        <v>94.651969778845299</v>
      </c>
      <c r="AT261" s="2716">
        <f>+AT256+AT260</f>
        <v>95.078612754551699</v>
      </c>
      <c r="AU261" s="1865">
        <f t="shared" ref="AU261" si="1162">+AU256+AU260</f>
        <v>95.324155497604451</v>
      </c>
      <c r="AV261" s="5621">
        <f>+AV256+AV260</f>
        <v>94.633599498304164</v>
      </c>
      <c r="AW261" s="5731">
        <f t="shared" ref="AW261" si="1163">+AW256+AW260</f>
        <v>94.712591568023782</v>
      </c>
      <c r="AX261" s="2716">
        <f>+AX256+AX260</f>
        <v>95.07891470403635</v>
      </c>
      <c r="AY261" s="1865">
        <f t="shared" ref="AY261" si="1164">+AY256+AY260</f>
        <v>94.706300979909116</v>
      </c>
      <c r="AZ261" s="5737">
        <f>+AZ256+AZ260</f>
        <v>95.078820746492525</v>
      </c>
      <c r="BA261" s="5735">
        <f t="shared" ref="BA261" si="1165">+BA256+BA260</f>
        <v>94.999402644711935</v>
      </c>
      <c r="BB261" s="5737">
        <f>+BB256+BB260</f>
        <v>95.078868215121148</v>
      </c>
      <c r="BC261" s="5735">
        <f t="shared" ref="BC261" si="1166">+BC256+BC260</f>
        <v>95.126415836225959</v>
      </c>
      <c r="BD261" s="6755">
        <f>+BD256+BD260</f>
        <v>94.673168200952773</v>
      </c>
      <c r="BE261" s="6753">
        <f t="shared" ref="BE261" si="1167">+BE256+BE260</f>
        <v>94.712020160218685</v>
      </c>
    </row>
    <row r="262" spans="1:57" x14ac:dyDescent="0.2">
      <c r="B262" s="1566" t="s">
        <v>1137</v>
      </c>
      <c r="C262" s="2713" t="s">
        <v>169</v>
      </c>
      <c r="D262" s="5986">
        <f t="shared" ref="D262:AI262" si="1168">+D127/D$131*100</f>
        <v>4.8566643984899089</v>
      </c>
      <c r="E262" s="1860">
        <f t="shared" si="1168"/>
        <v>1.5638881107687383</v>
      </c>
      <c r="F262" s="5986">
        <f t="shared" si="1168"/>
        <v>5.2632137593391635</v>
      </c>
      <c r="G262" s="1860">
        <f t="shared" si="1168"/>
        <v>5.3607252791007518</v>
      </c>
      <c r="H262" s="7394">
        <f t="shared" si="1168"/>
        <v>5.0642185925849148</v>
      </c>
      <c r="I262" s="5732">
        <f t="shared" si="1168"/>
        <v>3.5043026026930888</v>
      </c>
      <c r="J262" s="5986">
        <f t="shared" si="1168"/>
        <v>1.8086228787033753</v>
      </c>
      <c r="K262" s="1860">
        <f t="shared" si="1168"/>
        <v>4.037894410855932</v>
      </c>
      <c r="L262" s="5783">
        <f t="shared" si="1168"/>
        <v>3.8981037170620936</v>
      </c>
      <c r="M262" s="5736">
        <f t="shared" si="1168"/>
        <v>3.6949665762960806</v>
      </c>
      <c r="N262" s="5986">
        <f t="shared" si="1168"/>
        <v>0</v>
      </c>
      <c r="O262" s="1860">
        <f t="shared" si="1168"/>
        <v>3.8942274324725066</v>
      </c>
      <c r="P262" s="7394">
        <f t="shared" si="1168"/>
        <v>2.7568131868706209</v>
      </c>
      <c r="Q262" s="5732">
        <f t="shared" si="1168"/>
        <v>3.7517554885427962</v>
      </c>
      <c r="R262" s="5986">
        <f t="shared" si="1168"/>
        <v>0</v>
      </c>
      <c r="S262" s="1860">
        <f t="shared" si="1168"/>
        <v>4.9648734598130613</v>
      </c>
      <c r="T262" s="7394">
        <f t="shared" si="1168"/>
        <v>2.1324673569333945</v>
      </c>
      <c r="U262" s="5732">
        <f t="shared" si="1168"/>
        <v>4.0298538491923246</v>
      </c>
      <c r="V262" s="5986">
        <f t="shared" si="1168"/>
        <v>1.7362598562012068</v>
      </c>
      <c r="W262" s="1860">
        <f t="shared" si="1168"/>
        <v>3.7729617292799817</v>
      </c>
      <c r="X262" s="5783">
        <f t="shared" si="1168"/>
        <v>0.56617169223952402</v>
      </c>
      <c r="Y262" s="5736">
        <f t="shared" si="1168"/>
        <v>4.2370681796244067</v>
      </c>
      <c r="Z262" s="6614">
        <f t="shared" si="1168"/>
        <v>2.0612416901063986</v>
      </c>
      <c r="AA262" s="6754">
        <f t="shared" si="1168"/>
        <v>3.9875343967530159</v>
      </c>
      <c r="AB262" s="5986">
        <f t="shared" si="1168"/>
        <v>0</v>
      </c>
      <c r="AC262" s="1860">
        <f t="shared" si="1168"/>
        <v>4.999073535707212</v>
      </c>
      <c r="AD262" s="7394">
        <f t="shared" si="1168"/>
        <v>1.7383282897210743</v>
      </c>
      <c r="AE262" s="5732">
        <f t="shared" si="1168"/>
        <v>4.1426955698472847</v>
      </c>
      <c r="AF262" s="5986">
        <f t="shared" si="1168"/>
        <v>0</v>
      </c>
      <c r="AG262" s="1860">
        <f t="shared" si="1168"/>
        <v>2.4334836565619797</v>
      </c>
      <c r="AH262" s="7394">
        <f t="shared" si="1168"/>
        <v>1.5094816458528251</v>
      </c>
      <c r="AI262" s="5732">
        <f t="shared" si="1168"/>
        <v>3.9257345724595334</v>
      </c>
      <c r="AJ262" s="5986">
        <f>+AJ127/AJ$131*100</f>
        <v>0</v>
      </c>
      <c r="AK262" s="1860">
        <f>+AK127/AK$131*100</f>
        <v>0.79817212490479805</v>
      </c>
      <c r="AL262" s="5714">
        <f t="shared" ref="AL262:AO262" si="1169">+AL127/AL$131*100</f>
        <v>0</v>
      </c>
      <c r="AM262" s="5736">
        <f t="shared" si="1169"/>
        <v>2.7173808747049457</v>
      </c>
      <c r="AN262" s="3194">
        <f t="shared" si="1169"/>
        <v>1.3287271903979381</v>
      </c>
      <c r="AO262" s="5732">
        <f t="shared" si="1169"/>
        <v>3.5405965495146297</v>
      </c>
      <c r="AP262" s="5986">
        <f>+AP127/AP$131*100</f>
        <v>0</v>
      </c>
      <c r="AQ262" s="1860">
        <f>+AQ127/AQ$131*100</f>
        <v>0</v>
      </c>
      <c r="AR262" s="7394">
        <f t="shared" ref="AR262:AS262" si="1170">+AR127/AR$131*100</f>
        <v>1.1866326276545069</v>
      </c>
      <c r="AS262" s="5732">
        <f t="shared" si="1170"/>
        <v>3.1520335689671408</v>
      </c>
      <c r="AT262" s="5986">
        <f>+AT127/AT$131*100</f>
        <v>0</v>
      </c>
      <c r="AU262" s="1860">
        <f>+AU127/AU$131*100</f>
        <v>0</v>
      </c>
      <c r="AV262" s="7394">
        <f t="shared" ref="AV262:AW262" si="1171">+AV127/AV$131*100</f>
        <v>1.0821106521976256</v>
      </c>
      <c r="AW262" s="5732">
        <f t="shared" si="1171"/>
        <v>2.8677640446843444</v>
      </c>
      <c r="AX262" s="5986">
        <f>+AX127/AX$131*100</f>
        <v>0</v>
      </c>
      <c r="AY262" s="1860">
        <f>+AY127/AY$131*100</f>
        <v>0</v>
      </c>
      <c r="AZ262" s="5783">
        <f t="shared" ref="AZ262:BE262" si="1172">+AZ127/AZ$131*100</f>
        <v>0</v>
      </c>
      <c r="BA262" s="5736">
        <f t="shared" si="1172"/>
        <v>0</v>
      </c>
      <c r="BB262" s="5783">
        <f t="shared" ref="BB262:BC262" si="1173">+BB127/BB$131*100</f>
        <v>0</v>
      </c>
      <c r="BC262" s="5736">
        <f t="shared" si="1173"/>
        <v>1.3470262682806178</v>
      </c>
      <c r="BD262" s="6614">
        <f t="shared" si="1172"/>
        <v>0.98595917549400558</v>
      </c>
      <c r="BE262" s="6754">
        <f t="shared" si="1172"/>
        <v>2.6072696793913037</v>
      </c>
    </row>
    <row r="263" spans="1:57" s="7814" customFormat="1" x14ac:dyDescent="0.2">
      <c r="A263" s="3378"/>
      <c r="B263" s="1567" t="s">
        <v>2451</v>
      </c>
      <c r="C263" s="2713"/>
      <c r="D263" s="5986">
        <f t="shared" ref="D263:AI263" si="1174">+D128/D$131*100</f>
        <v>0</v>
      </c>
      <c r="E263" s="1860">
        <f t="shared" si="1174"/>
        <v>0</v>
      </c>
      <c r="F263" s="5986">
        <f t="shared" si="1174"/>
        <v>0</v>
      </c>
      <c r="G263" s="1860">
        <f t="shared" si="1174"/>
        <v>0</v>
      </c>
      <c r="H263" s="7394">
        <f t="shared" si="1174"/>
        <v>0</v>
      </c>
      <c r="I263" s="5732">
        <f t="shared" si="1174"/>
        <v>0</v>
      </c>
      <c r="J263" s="5986">
        <f t="shared" si="1174"/>
        <v>0</v>
      </c>
      <c r="K263" s="1860">
        <f t="shared" si="1174"/>
        <v>0</v>
      </c>
      <c r="L263" s="5783">
        <f t="shared" si="1174"/>
        <v>0</v>
      </c>
      <c r="M263" s="5736">
        <f t="shared" si="1174"/>
        <v>0</v>
      </c>
      <c r="N263" s="5986">
        <f t="shared" si="1174"/>
        <v>0</v>
      </c>
      <c r="O263" s="1860">
        <f t="shared" si="1174"/>
        <v>0</v>
      </c>
      <c r="P263" s="7394">
        <f t="shared" si="1174"/>
        <v>0</v>
      </c>
      <c r="Q263" s="5732">
        <f t="shared" si="1174"/>
        <v>0</v>
      </c>
      <c r="R263" s="5986">
        <f t="shared" si="1174"/>
        <v>0</v>
      </c>
      <c r="S263" s="1860">
        <f t="shared" si="1174"/>
        <v>0</v>
      </c>
      <c r="T263" s="7394">
        <f t="shared" si="1174"/>
        <v>0</v>
      </c>
      <c r="U263" s="5732">
        <f t="shared" si="1174"/>
        <v>0</v>
      </c>
      <c r="V263" s="5986">
        <f t="shared" si="1174"/>
        <v>0</v>
      </c>
      <c r="W263" s="1860">
        <f t="shared" si="1174"/>
        <v>0</v>
      </c>
      <c r="X263" s="5783">
        <f t="shared" si="1174"/>
        <v>0</v>
      </c>
      <c r="Y263" s="5736">
        <f t="shared" si="1174"/>
        <v>0</v>
      </c>
      <c r="Z263" s="6614">
        <f t="shared" si="1174"/>
        <v>0</v>
      </c>
      <c r="AA263" s="6754">
        <f t="shared" si="1174"/>
        <v>0</v>
      </c>
      <c r="AB263" s="5986">
        <f t="shared" si="1174"/>
        <v>0</v>
      </c>
      <c r="AC263" s="1860">
        <f t="shared" si="1174"/>
        <v>0</v>
      </c>
      <c r="AD263" s="7394">
        <f t="shared" si="1174"/>
        <v>0</v>
      </c>
      <c r="AE263" s="5732">
        <f t="shared" si="1174"/>
        <v>0</v>
      </c>
      <c r="AF263" s="5986">
        <f t="shared" si="1174"/>
        <v>0</v>
      </c>
      <c r="AG263" s="1860">
        <f t="shared" si="1174"/>
        <v>0</v>
      </c>
      <c r="AH263" s="7394">
        <f t="shared" si="1174"/>
        <v>0</v>
      </c>
      <c r="AI263" s="5732">
        <f t="shared" si="1174"/>
        <v>0</v>
      </c>
      <c r="AJ263" s="5986">
        <f t="shared" ref="AJ263:AK263" si="1175">+AJ128/AJ$131*100</f>
        <v>0</v>
      </c>
      <c r="AK263" s="1860">
        <f t="shared" si="1175"/>
        <v>0.96572734196496568</v>
      </c>
      <c r="AL263" s="5714">
        <f t="shared" ref="AL263:AS263" si="1176">+AL128/AL$131*100</f>
        <v>0</v>
      </c>
      <c r="AM263" s="5736">
        <f t="shared" si="1176"/>
        <v>0.33796678330252189</v>
      </c>
      <c r="AN263" s="3194">
        <f t="shared" si="1176"/>
        <v>0</v>
      </c>
      <c r="AO263" s="5732">
        <f t="shared" si="1176"/>
        <v>0.11892274748311445</v>
      </c>
      <c r="AP263" s="5986">
        <f t="shared" si="1176"/>
        <v>0</v>
      </c>
      <c r="AQ263" s="1860">
        <f t="shared" si="1176"/>
        <v>1.7620314183287786</v>
      </c>
      <c r="AR263" s="7394">
        <f t="shared" si="1176"/>
        <v>0</v>
      </c>
      <c r="AS263" s="5732">
        <f t="shared" si="1176"/>
        <v>0.29924580705191445</v>
      </c>
      <c r="AT263" s="5986">
        <f t="shared" ref="AT263:AW263" si="1177">+AT128/AT$131*100</f>
        <v>0</v>
      </c>
      <c r="AU263" s="1860">
        <f t="shared" si="1177"/>
        <v>1.7621175059467253</v>
      </c>
      <c r="AV263" s="7394">
        <f t="shared" si="1177"/>
        <v>0</v>
      </c>
      <c r="AW263" s="5732">
        <f t="shared" si="1177"/>
        <v>0.4311764584338601</v>
      </c>
      <c r="AX263" s="5986">
        <f t="shared" ref="AX263:BE263" si="1178">+AX128/AX$131*100</f>
        <v>0</v>
      </c>
      <c r="AY263" s="1860">
        <f t="shared" si="1178"/>
        <v>2.0680887818348817</v>
      </c>
      <c r="AZ263" s="5783">
        <f t="shared" si="1178"/>
        <v>0</v>
      </c>
      <c r="BA263" s="5736">
        <f t="shared" si="1178"/>
        <v>1.8675212689922303</v>
      </c>
      <c r="BB263" s="5783">
        <f t="shared" ref="BB263:BC263" si="1179">+BB128/BB$131*100</f>
        <v>0</v>
      </c>
      <c r="BC263" s="5736">
        <f t="shared" si="1179"/>
        <v>1.1093095327687605</v>
      </c>
      <c r="BD263" s="6614">
        <f t="shared" si="1178"/>
        <v>0</v>
      </c>
      <c r="BE263" s="6754">
        <f t="shared" si="1178"/>
        <v>0.57986597056966094</v>
      </c>
    </row>
    <row r="264" spans="1:57" s="7814" customFormat="1" x14ac:dyDescent="0.2">
      <c r="A264" s="3378"/>
      <c r="B264" s="1567" t="s">
        <v>2452</v>
      </c>
      <c r="C264" s="2713"/>
      <c r="D264" s="5986">
        <f t="shared" ref="D264:AI264" si="1180">+D129/D$131*100</f>
        <v>0</v>
      </c>
      <c r="E264" s="1860">
        <f t="shared" si="1180"/>
        <v>0</v>
      </c>
      <c r="F264" s="5986">
        <f t="shared" si="1180"/>
        <v>0</v>
      </c>
      <c r="G264" s="1860">
        <f t="shared" si="1180"/>
        <v>0</v>
      </c>
      <c r="H264" s="7394">
        <f t="shared" si="1180"/>
        <v>0</v>
      </c>
      <c r="I264" s="5732">
        <f t="shared" si="1180"/>
        <v>0</v>
      </c>
      <c r="J264" s="5986">
        <f t="shared" si="1180"/>
        <v>0</v>
      </c>
      <c r="K264" s="1860">
        <f t="shared" si="1180"/>
        <v>0</v>
      </c>
      <c r="L264" s="5783">
        <f t="shared" si="1180"/>
        <v>0</v>
      </c>
      <c r="M264" s="5736">
        <f t="shared" si="1180"/>
        <v>0</v>
      </c>
      <c r="N264" s="5986">
        <f t="shared" si="1180"/>
        <v>0</v>
      </c>
      <c r="O264" s="1860">
        <f t="shared" si="1180"/>
        <v>0</v>
      </c>
      <c r="P264" s="7394">
        <f t="shared" si="1180"/>
        <v>0</v>
      </c>
      <c r="Q264" s="5732">
        <f t="shared" si="1180"/>
        <v>0</v>
      </c>
      <c r="R264" s="5986">
        <f t="shared" si="1180"/>
        <v>0</v>
      </c>
      <c r="S264" s="1860">
        <f t="shared" si="1180"/>
        <v>0</v>
      </c>
      <c r="T264" s="7394">
        <f t="shared" si="1180"/>
        <v>0</v>
      </c>
      <c r="U264" s="5732">
        <f t="shared" si="1180"/>
        <v>0</v>
      </c>
      <c r="V264" s="5986">
        <f t="shared" si="1180"/>
        <v>0</v>
      </c>
      <c r="W264" s="1860">
        <f t="shared" si="1180"/>
        <v>0</v>
      </c>
      <c r="X264" s="5783">
        <f t="shared" si="1180"/>
        <v>0</v>
      </c>
      <c r="Y264" s="5736">
        <f t="shared" si="1180"/>
        <v>0</v>
      </c>
      <c r="Z264" s="6614">
        <f t="shared" si="1180"/>
        <v>0</v>
      </c>
      <c r="AA264" s="6754">
        <f t="shared" si="1180"/>
        <v>0</v>
      </c>
      <c r="AB264" s="5986">
        <f t="shared" si="1180"/>
        <v>0</v>
      </c>
      <c r="AC264" s="1860">
        <f t="shared" si="1180"/>
        <v>0</v>
      </c>
      <c r="AD264" s="7394">
        <f t="shared" si="1180"/>
        <v>0</v>
      </c>
      <c r="AE264" s="5732">
        <f t="shared" si="1180"/>
        <v>0</v>
      </c>
      <c r="AF264" s="5986">
        <f t="shared" si="1180"/>
        <v>0</v>
      </c>
      <c r="AG264" s="1860">
        <f t="shared" si="1180"/>
        <v>0</v>
      </c>
      <c r="AH264" s="7394">
        <f t="shared" si="1180"/>
        <v>0</v>
      </c>
      <c r="AI264" s="5732">
        <f t="shared" si="1180"/>
        <v>0</v>
      </c>
      <c r="AJ264" s="5986">
        <f t="shared" ref="AJ264:AK264" si="1181">+AJ129/AJ$131*100</f>
        <v>0</v>
      </c>
      <c r="AK264" s="1860">
        <f t="shared" si="1181"/>
        <v>1.6740898705255136</v>
      </c>
      <c r="AL264" s="5714">
        <f t="shared" ref="AL264:AS264" si="1182">+AL129/AL$131*100</f>
        <v>0</v>
      </c>
      <c r="AM264" s="5736">
        <f t="shared" si="1182"/>
        <v>0.58586595192555779</v>
      </c>
      <c r="AN264" s="3194">
        <f t="shared" si="1182"/>
        <v>0</v>
      </c>
      <c r="AO264" s="5732">
        <f t="shared" si="1182"/>
        <v>0.20615277033729038</v>
      </c>
      <c r="AP264" s="5986">
        <f t="shared" si="1182"/>
        <v>0</v>
      </c>
      <c r="AQ264" s="1860">
        <f t="shared" si="1182"/>
        <v>0.1046871861666839</v>
      </c>
      <c r="AR264" s="7394">
        <f t="shared" si="1182"/>
        <v>0</v>
      </c>
      <c r="AS264" s="5732">
        <f t="shared" si="1182"/>
        <v>0.19501742372070743</v>
      </c>
      <c r="AT264" s="5986">
        <f t="shared" ref="AT264:AW264" si="1183">+AT129/AT$131*100</f>
        <v>0</v>
      </c>
      <c r="AU264" s="1860">
        <f t="shared" si="1183"/>
        <v>1.5262700386115997</v>
      </c>
      <c r="AV264" s="7394">
        <f t="shared" si="1183"/>
        <v>0</v>
      </c>
      <c r="AW264" s="5732">
        <f t="shared" si="1183"/>
        <v>0.31507786700439622</v>
      </c>
      <c r="AX264" s="5986">
        <f t="shared" ref="AX264:BE264" si="1184">+AX129/AX$131*100</f>
        <v>0</v>
      </c>
      <c r="AY264" s="1860">
        <f t="shared" si="1184"/>
        <v>3.2256102382559928</v>
      </c>
      <c r="AZ264" s="5783">
        <f t="shared" si="1184"/>
        <v>0</v>
      </c>
      <c r="BA264" s="5736">
        <f t="shared" si="1184"/>
        <v>1.6222912033669878</v>
      </c>
      <c r="BB264" s="5783">
        <f t="shared" ref="BB264:BC264" si="1185">+BB129/BB$131*100</f>
        <v>0</v>
      </c>
      <c r="BC264" s="5736">
        <f t="shared" si="1185"/>
        <v>1.1085273612068274</v>
      </c>
      <c r="BD264" s="6614">
        <f t="shared" si="1184"/>
        <v>0</v>
      </c>
      <c r="BE264" s="6754">
        <f t="shared" si="1184"/>
        <v>0.57945710842747744</v>
      </c>
    </row>
    <row r="265" spans="1:57" ht="16" thickBot="1" x14ac:dyDescent="0.25">
      <c r="B265" s="1531" t="s">
        <v>1138</v>
      </c>
      <c r="C265" s="1923" t="s">
        <v>169</v>
      </c>
      <c r="D265" s="5986">
        <f t="shared" ref="D265:AI265" si="1186">+D130/D$131*100</f>
        <v>3.1904739058945273</v>
      </c>
      <c r="E265" s="1860">
        <f t="shared" si="1186"/>
        <v>6.745367961903237</v>
      </c>
      <c r="F265" s="5986">
        <f t="shared" si="1186"/>
        <v>2.4298183629323211</v>
      </c>
      <c r="G265" s="1860">
        <f t="shared" si="1186"/>
        <v>2.4594557343910322</v>
      </c>
      <c r="H265" s="7394">
        <f t="shared" si="1186"/>
        <v>2.8021391465589693</v>
      </c>
      <c r="I265" s="5732">
        <f t="shared" si="1186"/>
        <v>4.5550063981404305</v>
      </c>
      <c r="J265" s="5986">
        <f t="shared" si="1186"/>
        <v>3.1124624695413252</v>
      </c>
      <c r="K265" s="1860">
        <f t="shared" si="1186"/>
        <v>1.3823295490536953</v>
      </c>
      <c r="L265" s="5783">
        <f t="shared" si="1186"/>
        <v>2.9132931948360348</v>
      </c>
      <c r="M265" s="5736">
        <f t="shared" si="1186"/>
        <v>3.4213398655003999</v>
      </c>
      <c r="N265" s="5986">
        <f t="shared" si="1186"/>
        <v>4.9210853482446995</v>
      </c>
      <c r="O265" s="1860">
        <f t="shared" si="1186"/>
        <v>0.9779735126915724</v>
      </c>
      <c r="P265" s="7394">
        <f t="shared" si="1186"/>
        <v>3.5011364995814205</v>
      </c>
      <c r="Q265" s="5732">
        <f t="shared" si="1186"/>
        <v>2.7249857492991532</v>
      </c>
      <c r="R265" s="5986">
        <f t="shared" si="1186"/>
        <v>4.9210853482446995</v>
      </c>
      <c r="S265" s="1860">
        <f t="shared" si="1186"/>
        <v>0</v>
      </c>
      <c r="T265" s="7394">
        <f t="shared" si="1186"/>
        <v>3.8227176450174789</v>
      </c>
      <c r="U265" s="5732">
        <f t="shared" si="1186"/>
        <v>2.1003028350068953</v>
      </c>
      <c r="V265" s="5986">
        <f t="shared" si="1186"/>
        <v>3.1848254920434931</v>
      </c>
      <c r="W265" s="1860">
        <f t="shared" si="1186"/>
        <v>0</v>
      </c>
      <c r="X265" s="5783">
        <f t="shared" si="1186"/>
        <v>4.3549136560051753</v>
      </c>
      <c r="Y265" s="5736">
        <f t="shared" si="1186"/>
        <v>0.33247889831508276</v>
      </c>
      <c r="Z265" s="6614">
        <f t="shared" si="1186"/>
        <v>3.7080446671578526</v>
      </c>
      <c r="AA265" s="6754">
        <f t="shared" si="1186"/>
        <v>1.7543067571024882</v>
      </c>
      <c r="AB265" s="5986">
        <f t="shared" si="1186"/>
        <v>4.9210853482446995</v>
      </c>
      <c r="AC265" s="1860">
        <f t="shared" si="1186"/>
        <v>0</v>
      </c>
      <c r="AD265" s="7394">
        <f t="shared" si="1186"/>
        <v>3.8980791948969382</v>
      </c>
      <c r="AE265" s="5732">
        <f t="shared" si="1186"/>
        <v>1.4852115892371653</v>
      </c>
      <c r="AF265" s="5986">
        <f t="shared" si="1186"/>
        <v>4.9210853482446995</v>
      </c>
      <c r="AG265" s="1860">
        <f t="shared" si="1186"/>
        <v>1.8517395026525645</v>
      </c>
      <c r="AH265" s="7394">
        <f t="shared" si="1186"/>
        <v>4.0327554388691089</v>
      </c>
      <c r="AI265" s="5732">
        <f t="shared" si="1186"/>
        <v>1.531737278092332</v>
      </c>
      <c r="AJ265" s="5986">
        <f t="shared" ref="AJ265:AK265" si="1187">+AJ130/AJ$131*100</f>
        <v>4.9210853482446995</v>
      </c>
      <c r="AK265" s="1860">
        <f t="shared" si="1187"/>
        <v>1.4785072353389181</v>
      </c>
      <c r="AL265" s="5714">
        <f t="shared" ref="AL265:AS265" si="1188">+AL130/AL$131*100</f>
        <v>4.9210853482446986</v>
      </c>
      <c r="AM265" s="5736">
        <f t="shared" si="1188"/>
        <v>1.1031576972201436</v>
      </c>
      <c r="AN265" s="3194">
        <f t="shared" si="1188"/>
        <v>4.1391294312092111</v>
      </c>
      <c r="AO265" s="5732">
        <f t="shared" si="1188"/>
        <v>1.5251823607178276</v>
      </c>
      <c r="AP265" s="5986">
        <f t="shared" si="1188"/>
        <v>4.9210853482446995</v>
      </c>
      <c r="AQ265" s="1860">
        <f t="shared" si="1188"/>
        <v>3.133920474257299</v>
      </c>
      <c r="AR265" s="7394">
        <f t="shared" si="1188"/>
        <v>4.2227520776928147</v>
      </c>
      <c r="AS265" s="5732">
        <f t="shared" si="1188"/>
        <v>1.7017334214149114</v>
      </c>
      <c r="AT265" s="5986">
        <f t="shared" ref="AT265:AW265" si="1189">+AT130/AT$131*100</f>
        <v>4.9213872454483054</v>
      </c>
      <c r="AU265" s="1860">
        <f t="shared" si="1189"/>
        <v>1.3874569578372113</v>
      </c>
      <c r="AV265" s="7394">
        <f t="shared" si="1189"/>
        <v>4.2842898494982213</v>
      </c>
      <c r="AW265" s="5732">
        <f t="shared" si="1189"/>
        <v>1.6733900618536148</v>
      </c>
      <c r="AX265" s="5986">
        <f t="shared" ref="AX265:BE265" si="1190">+AX130/AX$131*100</f>
        <v>4.9210852959636568</v>
      </c>
      <c r="AY265" s="1860">
        <f t="shared" si="1190"/>
        <v>0</v>
      </c>
      <c r="AZ265" s="5783">
        <f t="shared" si="1190"/>
        <v>4.9211792535074732</v>
      </c>
      <c r="BA265" s="5736">
        <f t="shared" si="1190"/>
        <v>1.5107848829288435</v>
      </c>
      <c r="BB265" s="5783">
        <f t="shared" ref="BB265:BC265" si="1191">+BB130/BB$131*100</f>
        <v>4.9211317848788552</v>
      </c>
      <c r="BC265" s="5736">
        <f t="shared" si="1191"/>
        <v>1.3087210015178357</v>
      </c>
      <c r="BD265" s="6614">
        <f t="shared" si="1190"/>
        <v>4.3408726235532065</v>
      </c>
      <c r="BE265" s="6754">
        <f t="shared" si="1190"/>
        <v>1.5213870813928494</v>
      </c>
    </row>
    <row r="266" spans="1:57" ht="19" thickBot="1" x14ac:dyDescent="0.25">
      <c r="B266" s="2961" t="s">
        <v>1360</v>
      </c>
      <c r="C266" s="2815" t="s">
        <v>169</v>
      </c>
      <c r="D266" s="2716">
        <f t="shared" ref="D266:AI266" si="1192">SUM(D262:D265)</f>
        <v>8.0471383043844362</v>
      </c>
      <c r="E266" s="1865">
        <f t="shared" si="1192"/>
        <v>8.3092560726719746</v>
      </c>
      <c r="F266" s="2716">
        <f t="shared" si="1192"/>
        <v>7.6930321222714841</v>
      </c>
      <c r="G266" s="1865">
        <f t="shared" si="1192"/>
        <v>7.8201810134917835</v>
      </c>
      <c r="H266" s="5621">
        <f t="shared" si="1192"/>
        <v>7.8663577391438846</v>
      </c>
      <c r="I266" s="5731">
        <f t="shared" si="1192"/>
        <v>8.0593090008335189</v>
      </c>
      <c r="J266" s="2716">
        <f t="shared" si="1192"/>
        <v>4.9210853482447003</v>
      </c>
      <c r="K266" s="1865">
        <f t="shared" si="1192"/>
        <v>5.4202239599096274</v>
      </c>
      <c r="L266" s="5737">
        <f t="shared" si="1192"/>
        <v>6.8113969118981288</v>
      </c>
      <c r="M266" s="5735">
        <f t="shared" si="1192"/>
        <v>7.1163064417964801</v>
      </c>
      <c r="N266" s="2716">
        <f t="shared" si="1192"/>
        <v>4.9210853482446995</v>
      </c>
      <c r="O266" s="1865">
        <f t="shared" si="1192"/>
        <v>4.8722009451640789</v>
      </c>
      <c r="P266" s="5621">
        <f t="shared" si="1192"/>
        <v>6.2579496864520419</v>
      </c>
      <c r="Q266" s="5731">
        <f t="shared" si="1192"/>
        <v>6.4767412378419493</v>
      </c>
      <c r="R266" s="2716">
        <f t="shared" si="1192"/>
        <v>4.9210853482446995</v>
      </c>
      <c r="S266" s="1865">
        <f t="shared" si="1192"/>
        <v>4.9648734598130613</v>
      </c>
      <c r="T266" s="5621">
        <f t="shared" si="1192"/>
        <v>5.9551850019508734</v>
      </c>
      <c r="U266" s="5731">
        <f t="shared" si="1192"/>
        <v>6.1301566841992194</v>
      </c>
      <c r="V266" s="2716">
        <f t="shared" si="1192"/>
        <v>4.9210853482447003</v>
      </c>
      <c r="W266" s="1865">
        <f t="shared" si="1192"/>
        <v>3.7729617292799817</v>
      </c>
      <c r="X266" s="5737">
        <f t="shared" si="1192"/>
        <v>4.9210853482446995</v>
      </c>
      <c r="Y266" s="5735">
        <f t="shared" si="1192"/>
        <v>4.5695470779394896</v>
      </c>
      <c r="Z266" s="6755">
        <f t="shared" si="1192"/>
        <v>5.7692863572642512</v>
      </c>
      <c r="AA266" s="6753">
        <f t="shared" si="1192"/>
        <v>5.7418411538555043</v>
      </c>
      <c r="AB266" s="2716">
        <f t="shared" si="1192"/>
        <v>4.9210853482446995</v>
      </c>
      <c r="AC266" s="1865">
        <f t="shared" si="1192"/>
        <v>4.999073535707212</v>
      </c>
      <c r="AD266" s="5621">
        <f t="shared" si="1192"/>
        <v>5.6364074846180126</v>
      </c>
      <c r="AE266" s="5731">
        <f t="shared" si="1192"/>
        <v>5.6279071590844501</v>
      </c>
      <c r="AF266" s="2716">
        <f t="shared" si="1192"/>
        <v>4.9210853482446995</v>
      </c>
      <c r="AG266" s="1865">
        <f t="shared" si="1192"/>
        <v>4.285223159214544</v>
      </c>
      <c r="AH266" s="5621">
        <f t="shared" si="1192"/>
        <v>5.5422370847219344</v>
      </c>
      <c r="AI266" s="5731">
        <f t="shared" si="1192"/>
        <v>5.4574718505518653</v>
      </c>
      <c r="AJ266" s="2716">
        <f>SUM(AJ262:AJ265)</f>
        <v>4.9210853482446995</v>
      </c>
      <c r="AK266" s="1865">
        <f>SUM(AK262:AK265)</f>
        <v>4.9164965727341947</v>
      </c>
      <c r="AL266" s="7861">
        <f t="shared" ref="AL266:AO266" si="1193">SUM(AL262:AL265)</f>
        <v>4.9210853482446986</v>
      </c>
      <c r="AM266" s="5735">
        <f t="shared" si="1193"/>
        <v>4.7443713071531688</v>
      </c>
      <c r="AN266" s="7863">
        <f t="shared" si="1193"/>
        <v>5.4678566216071491</v>
      </c>
      <c r="AO266" s="5731">
        <f t="shared" si="1193"/>
        <v>5.3908544280528616</v>
      </c>
      <c r="AP266" s="2716">
        <f>SUM(AP262:AP265)</f>
        <v>4.9210853482446995</v>
      </c>
      <c r="AQ266" s="1865">
        <f>SUM(AQ262:AQ265)</f>
        <v>5.0006390787527613</v>
      </c>
      <c r="AR266" s="5621">
        <f t="shared" ref="AR266:AS266" si="1194">SUM(AR262:AR265)</f>
        <v>5.4093847053473212</v>
      </c>
      <c r="AS266" s="5731">
        <f t="shared" si="1194"/>
        <v>5.3480302211546746</v>
      </c>
      <c r="AT266" s="2716">
        <f>SUM(AT262:AT265)</f>
        <v>4.9213872454483054</v>
      </c>
      <c r="AU266" s="1865">
        <f>SUM(AU262:AU265)</f>
        <v>4.6758445023955364</v>
      </c>
      <c r="AV266" s="5621">
        <f t="shared" ref="AV266:AW266" si="1195">SUM(AV262:AV265)</f>
        <v>5.3664005016958471</v>
      </c>
      <c r="AW266" s="5731">
        <f t="shared" si="1195"/>
        <v>5.2874084319762158</v>
      </c>
      <c r="AX266" s="2716">
        <f>SUM(AX262:AX265)</f>
        <v>4.9210852959636568</v>
      </c>
      <c r="AY266" s="1865">
        <f>SUM(AY262:AY265)</f>
        <v>5.2936990200908749</v>
      </c>
      <c r="AZ266" s="5737">
        <f t="shared" ref="AZ266:BE266" si="1196">SUM(AZ262:AZ265)</f>
        <v>4.9211792535074732</v>
      </c>
      <c r="BA266" s="5735">
        <f t="shared" si="1196"/>
        <v>5.0005973552880612</v>
      </c>
      <c r="BB266" s="5737">
        <f t="shared" ref="BB266:BC266" si="1197">SUM(BB262:BB265)</f>
        <v>4.9211317848788552</v>
      </c>
      <c r="BC266" s="5735">
        <f t="shared" si="1197"/>
        <v>4.8735841637740416</v>
      </c>
      <c r="BD266" s="6755">
        <f t="shared" si="1196"/>
        <v>5.3268317990472118</v>
      </c>
      <c r="BE266" s="6753">
        <f t="shared" si="1196"/>
        <v>5.2879798397812916</v>
      </c>
    </row>
    <row r="267" spans="1:57" ht="19" thickBot="1" x14ac:dyDescent="0.25">
      <c r="B267" s="2961" t="s">
        <v>38</v>
      </c>
      <c r="C267" s="2815" t="s">
        <v>169</v>
      </c>
      <c r="D267" s="2716">
        <f t="shared" ref="D267:AI267" si="1198">+D261+D266</f>
        <v>100</v>
      </c>
      <c r="E267" s="3182">
        <f t="shared" si="1198"/>
        <v>100</v>
      </c>
      <c r="F267" s="2716">
        <f t="shared" si="1198"/>
        <v>100.00000000000003</v>
      </c>
      <c r="G267" s="3182">
        <f t="shared" si="1198"/>
        <v>100</v>
      </c>
      <c r="H267" s="5621">
        <f t="shared" si="1198"/>
        <v>99.999999999999986</v>
      </c>
      <c r="I267" s="7858">
        <f t="shared" si="1198"/>
        <v>100.00000000000001</v>
      </c>
      <c r="J267" s="2716">
        <f t="shared" si="1198"/>
        <v>100.00000000000001</v>
      </c>
      <c r="K267" s="3182">
        <f t="shared" si="1198"/>
        <v>100.00000000000003</v>
      </c>
      <c r="L267" s="5737">
        <f t="shared" si="1198"/>
        <v>100</v>
      </c>
      <c r="M267" s="5842">
        <f t="shared" si="1198"/>
        <v>100.00000000000001</v>
      </c>
      <c r="N267" s="2716">
        <f t="shared" si="1198"/>
        <v>100.00000000000001</v>
      </c>
      <c r="O267" s="3182">
        <f t="shared" si="1198"/>
        <v>100.00000000000001</v>
      </c>
      <c r="P267" s="5621">
        <f t="shared" si="1198"/>
        <v>99.999999999999986</v>
      </c>
      <c r="Q267" s="7858">
        <f t="shared" si="1198"/>
        <v>100</v>
      </c>
      <c r="R267" s="2716">
        <f t="shared" si="1198"/>
        <v>100.00000000000001</v>
      </c>
      <c r="S267" s="3182">
        <f t="shared" si="1198"/>
        <v>100.00000000000001</v>
      </c>
      <c r="T267" s="5621">
        <f t="shared" si="1198"/>
        <v>100</v>
      </c>
      <c r="U267" s="7858">
        <f t="shared" si="1198"/>
        <v>100</v>
      </c>
      <c r="V267" s="2716">
        <f t="shared" si="1198"/>
        <v>100.00000000000001</v>
      </c>
      <c r="W267" s="3182">
        <f t="shared" si="1198"/>
        <v>100</v>
      </c>
      <c r="X267" s="5737">
        <f t="shared" si="1198"/>
        <v>100.00000000000001</v>
      </c>
      <c r="Y267" s="5842">
        <f t="shared" si="1198"/>
        <v>100</v>
      </c>
      <c r="Z267" s="6755">
        <f t="shared" si="1198"/>
        <v>99.999999999999986</v>
      </c>
      <c r="AA267" s="7859">
        <f t="shared" si="1198"/>
        <v>100</v>
      </c>
      <c r="AB267" s="2716">
        <f t="shared" si="1198"/>
        <v>100.00000000000001</v>
      </c>
      <c r="AC267" s="3182">
        <f t="shared" si="1198"/>
        <v>100.00000000000001</v>
      </c>
      <c r="AD267" s="5621">
        <f t="shared" si="1198"/>
        <v>100</v>
      </c>
      <c r="AE267" s="7858">
        <f t="shared" si="1198"/>
        <v>100</v>
      </c>
      <c r="AF267" s="2716">
        <f t="shared" si="1198"/>
        <v>100.00000000000001</v>
      </c>
      <c r="AG267" s="3182">
        <f t="shared" si="1198"/>
        <v>99.999999999999986</v>
      </c>
      <c r="AH267" s="5621">
        <f t="shared" si="1198"/>
        <v>99.999999999999986</v>
      </c>
      <c r="AI267" s="7858">
        <f t="shared" si="1198"/>
        <v>99.999999999999986</v>
      </c>
      <c r="AJ267" s="2716">
        <f>+AJ261+AJ266</f>
        <v>100.00000000000001</v>
      </c>
      <c r="AK267" s="3182">
        <f>+AK261+AK266</f>
        <v>99.999999999999972</v>
      </c>
      <c r="AL267" s="7861">
        <f t="shared" ref="AL267:AO267" si="1199">+AL261+AL266</f>
        <v>100</v>
      </c>
      <c r="AM267" s="5735">
        <f t="shared" si="1199"/>
        <v>100.00000000000003</v>
      </c>
      <c r="AN267" s="7863">
        <f t="shared" si="1199"/>
        <v>99.999999999999986</v>
      </c>
      <c r="AO267" s="7858">
        <f t="shared" si="1199"/>
        <v>99.999999999999972</v>
      </c>
      <c r="AP267" s="2716">
        <f>+AP261+AP266</f>
        <v>100.00000000000001</v>
      </c>
      <c r="AQ267" s="3182">
        <f>+AQ261+AQ266</f>
        <v>100</v>
      </c>
      <c r="AR267" s="5621">
        <f t="shared" ref="AR267:AS267" si="1200">+AR261+AR266</f>
        <v>100</v>
      </c>
      <c r="AS267" s="7858">
        <f t="shared" si="1200"/>
        <v>99.999999999999972</v>
      </c>
      <c r="AT267" s="2716">
        <f>+AT261+AT266</f>
        <v>100</v>
      </c>
      <c r="AU267" s="3182">
        <f>+AU261+AU266</f>
        <v>99.999999999999986</v>
      </c>
      <c r="AV267" s="5621">
        <f t="shared" ref="AV267:AW267" si="1201">+AV261+AV266</f>
        <v>100.00000000000001</v>
      </c>
      <c r="AW267" s="7858">
        <f t="shared" si="1201"/>
        <v>100</v>
      </c>
      <c r="AX267" s="2716">
        <f>+AX261+AX266</f>
        <v>100</v>
      </c>
      <c r="AY267" s="3182">
        <f>+AY261+AY266</f>
        <v>99.999999999999986</v>
      </c>
      <c r="AZ267" s="5737">
        <f t="shared" ref="AZ267:BE267" si="1202">+AZ261+AZ266</f>
        <v>100</v>
      </c>
      <c r="BA267" s="5842">
        <f t="shared" si="1202"/>
        <v>100</v>
      </c>
      <c r="BB267" s="5737">
        <f t="shared" ref="BB267:BC267" si="1203">+BB261+BB266</f>
        <v>100</v>
      </c>
      <c r="BC267" s="5842">
        <f t="shared" si="1203"/>
        <v>100</v>
      </c>
      <c r="BD267" s="6755">
        <f t="shared" si="1202"/>
        <v>99.999999999999986</v>
      </c>
      <c r="BE267" s="7859">
        <f t="shared" si="1202"/>
        <v>99.999999999999972</v>
      </c>
    </row>
    <row r="268" spans="1:57" ht="15" hidden="1" customHeight="1" x14ac:dyDescent="0.2">
      <c r="B268" s="1537"/>
      <c r="C268" s="1537"/>
      <c r="D268" s="2883"/>
      <c r="E268" s="1833"/>
      <c r="F268" s="2883"/>
      <c r="G268" s="1833"/>
      <c r="H268" s="2883"/>
      <c r="I268" s="1833"/>
      <c r="J268" s="2883"/>
      <c r="K268" s="1833"/>
      <c r="L268" s="2883"/>
      <c r="M268" s="1833"/>
      <c r="N268" s="2883"/>
      <c r="O268" s="1833"/>
      <c r="P268" s="2883"/>
      <c r="Q268" s="1833"/>
      <c r="R268" s="2883"/>
      <c r="S268" s="1833"/>
      <c r="T268" s="2883"/>
      <c r="U268" s="1833"/>
      <c r="V268" s="2883"/>
      <c r="W268" s="1833"/>
      <c r="X268" s="2883"/>
      <c r="Y268" s="1833"/>
      <c r="Z268" s="2883"/>
      <c r="AA268" s="1833"/>
      <c r="AB268" s="2883"/>
      <c r="AC268" s="1833"/>
      <c r="AD268" s="2883"/>
      <c r="AE268" s="1833"/>
      <c r="AJ268" s="2883"/>
      <c r="AK268" s="1833"/>
      <c r="AL268" s="2883"/>
      <c r="AM268" s="1833"/>
      <c r="AN268" s="2883"/>
      <c r="AO268" s="1833"/>
      <c r="AP268" s="2883"/>
      <c r="AQ268" s="1833"/>
      <c r="AR268" s="8011"/>
      <c r="AS268" s="8011"/>
      <c r="AT268" s="2883"/>
      <c r="AU268" s="1833"/>
      <c r="AV268" s="8143"/>
      <c r="AW268" s="8143"/>
      <c r="AX268" s="2883"/>
      <c r="AY268" s="1833"/>
      <c r="AZ268" s="2883"/>
      <c r="BA268" s="1833"/>
      <c r="BB268" s="2883"/>
      <c r="BC268" s="1833"/>
      <c r="BD268" s="2883"/>
      <c r="BE268" s="1833"/>
    </row>
    <row r="269" spans="1:57" ht="18.75" hidden="1" customHeight="1" x14ac:dyDescent="0.2">
      <c r="B269" s="2964" t="s">
        <v>1361</v>
      </c>
      <c r="C269" s="2962"/>
      <c r="D269" s="2883"/>
      <c r="E269" s="1833"/>
      <c r="F269" s="2883"/>
      <c r="G269" s="1833"/>
      <c r="H269" s="2883"/>
      <c r="I269" s="1833"/>
      <c r="J269" s="2883"/>
      <c r="K269" s="1833"/>
      <c r="L269" s="2883"/>
      <c r="M269" s="1833"/>
      <c r="N269" s="2883"/>
      <c r="O269" s="1833"/>
      <c r="P269" s="2883"/>
      <c r="Q269" s="1833"/>
      <c r="R269" s="2883"/>
      <c r="S269" s="1833"/>
      <c r="T269" s="2883"/>
      <c r="U269" s="1833"/>
      <c r="V269" s="2883"/>
      <c r="W269" s="1833"/>
      <c r="X269" s="2883"/>
      <c r="Y269" s="1833"/>
      <c r="Z269" s="2883"/>
      <c r="AA269" s="1833"/>
      <c r="AB269" s="2883"/>
      <c r="AC269" s="1833"/>
      <c r="AD269" s="2883"/>
      <c r="AE269" s="1833"/>
      <c r="AJ269" s="2883"/>
      <c r="AK269" s="1833"/>
      <c r="AL269" s="2883"/>
      <c r="AM269" s="1833"/>
      <c r="AN269" s="2883"/>
      <c r="AO269" s="1833"/>
      <c r="AP269" s="2883"/>
      <c r="AQ269" s="1833"/>
      <c r="AR269" s="8011"/>
      <c r="AS269" s="8011"/>
      <c r="AT269" s="2883"/>
      <c r="AU269" s="1833"/>
      <c r="AV269" s="8143"/>
      <c r="AW269" s="8143"/>
      <c r="AX269" s="2883"/>
      <c r="AY269" s="1833"/>
      <c r="AZ269" s="2883"/>
      <c r="BA269" s="1833"/>
      <c r="BB269" s="2883"/>
      <c r="BC269" s="1833"/>
      <c r="BD269" s="2883"/>
      <c r="BE269" s="1833"/>
    </row>
    <row r="270" spans="1:57" ht="15" hidden="1" customHeight="1" x14ac:dyDescent="0.2">
      <c r="B270" s="2248" t="s">
        <v>36</v>
      </c>
      <c r="C270" s="1553" t="s">
        <v>169</v>
      </c>
      <c r="D270" s="3828">
        <f t="shared" ref="D270:AE270" si="1204">+D187</f>
        <v>0</v>
      </c>
      <c r="E270" s="3854">
        <f t="shared" si="1204"/>
        <v>8.7307692307692317</v>
      </c>
      <c r="F270" s="3828">
        <f t="shared" si="1204"/>
        <v>0</v>
      </c>
      <c r="G270" s="3863">
        <f t="shared" si="1204"/>
        <v>8.8222222222222229</v>
      </c>
      <c r="H270" s="3110">
        <f t="shared" si="1204"/>
        <v>0</v>
      </c>
      <c r="I270" s="3882">
        <f t="shared" si="1204"/>
        <v>8.7763097703325332</v>
      </c>
      <c r="J270" s="3826">
        <f t="shared" si="1204"/>
        <v>10</v>
      </c>
      <c r="K270" s="3863">
        <f t="shared" si="1204"/>
        <v>9.0052631578947402</v>
      </c>
      <c r="L270" s="3069">
        <f t="shared" si="1204"/>
        <v>10</v>
      </c>
      <c r="M270" s="2267">
        <f t="shared" si="1204"/>
        <v>8.8567630398736803</v>
      </c>
      <c r="N270" s="3826">
        <f t="shared" si="1204"/>
        <v>10</v>
      </c>
      <c r="O270" s="3863">
        <f t="shared" si="1204"/>
        <v>9.9277777777777771</v>
      </c>
      <c r="P270" s="3110">
        <f t="shared" si="1204"/>
        <v>0</v>
      </c>
      <c r="Q270" s="3882">
        <f t="shared" si="1204"/>
        <v>9.0143074792870888</v>
      </c>
      <c r="R270" s="3826">
        <f t="shared" si="1204"/>
        <v>10</v>
      </c>
      <c r="S270" s="3863" t="e">
        <f t="shared" si="1204"/>
        <v>#REF!</v>
      </c>
      <c r="T270" s="3110">
        <f t="shared" si="1204"/>
        <v>0</v>
      </c>
      <c r="U270" s="3882" t="e">
        <f t="shared" si="1204"/>
        <v>#REF!</v>
      </c>
      <c r="V270" s="3826">
        <f t="shared" si="1204"/>
        <v>10</v>
      </c>
      <c r="W270" s="3863" t="e">
        <f t="shared" si="1204"/>
        <v>#REF!</v>
      </c>
      <c r="X270" s="3069">
        <f t="shared" si="1204"/>
        <v>10</v>
      </c>
      <c r="Y270" s="2267">
        <f t="shared" si="1204"/>
        <v>9.2869565217391283</v>
      </c>
      <c r="Z270" s="3110">
        <f t="shared" si="1204"/>
        <v>0</v>
      </c>
      <c r="AA270" s="3882">
        <f t="shared" si="1204"/>
        <v>9.0250000000000004</v>
      </c>
      <c r="AB270" s="3826">
        <f t="shared" si="1204"/>
        <v>10</v>
      </c>
      <c r="AC270" s="3863">
        <f t="shared" si="1204"/>
        <v>9.4928571428571438</v>
      </c>
      <c r="AD270" s="3110">
        <f t="shared" si="1204"/>
        <v>0</v>
      </c>
      <c r="AE270" s="3882" t="e">
        <f t="shared" si="1204"/>
        <v>#REF!</v>
      </c>
      <c r="AJ270" s="3826">
        <f t="shared" ref="AJ270:AO270" si="1205">+AJ187</f>
        <v>10</v>
      </c>
      <c r="AK270" s="3863">
        <f t="shared" si="1205"/>
        <v>0</v>
      </c>
      <c r="AL270" s="3069">
        <f t="shared" si="1205"/>
        <v>10</v>
      </c>
      <c r="AM270" s="2267">
        <f t="shared" si="1205"/>
        <v>0</v>
      </c>
      <c r="AN270" s="3110">
        <f t="shared" si="1205"/>
        <v>0</v>
      </c>
      <c r="AO270" s="3882">
        <f t="shared" si="1205"/>
        <v>0</v>
      </c>
      <c r="AP270" s="3826">
        <f t="shared" ref="AP270:AQ270" si="1206">+AP187</f>
        <v>10</v>
      </c>
      <c r="AQ270" s="3863">
        <f t="shared" si="1206"/>
        <v>0</v>
      </c>
      <c r="AR270" s="8011"/>
      <c r="AS270" s="8011"/>
      <c r="AT270" s="3826">
        <f t="shared" ref="AT270:AU270" si="1207">+AT187</f>
        <v>10</v>
      </c>
      <c r="AU270" s="3863">
        <f t="shared" si="1207"/>
        <v>0</v>
      </c>
      <c r="AV270" s="8143"/>
      <c r="AW270" s="8143"/>
      <c r="AX270" s="3826">
        <f t="shared" ref="AX270:BE270" si="1208">+AX187</f>
        <v>10</v>
      </c>
      <c r="AY270" s="3863">
        <f t="shared" si="1208"/>
        <v>0</v>
      </c>
      <c r="AZ270" s="3069">
        <f t="shared" si="1208"/>
        <v>10</v>
      </c>
      <c r="BA270" s="2267">
        <f t="shared" si="1208"/>
        <v>0</v>
      </c>
      <c r="BB270" s="3069"/>
      <c r="BC270" s="2267"/>
      <c r="BD270" s="3110">
        <f t="shared" si="1208"/>
        <v>0</v>
      </c>
      <c r="BE270" s="3882">
        <f t="shared" si="1208"/>
        <v>0</v>
      </c>
    </row>
    <row r="271" spans="1:57" ht="15" hidden="1" customHeight="1" x14ac:dyDescent="0.2">
      <c r="B271" s="1531" t="s">
        <v>37</v>
      </c>
      <c r="C271" s="1544" t="s">
        <v>169</v>
      </c>
      <c r="D271" s="3377">
        <f t="shared" ref="D271:AE271" si="1209">+D191</f>
        <v>0</v>
      </c>
      <c r="E271" s="3847">
        <f t="shared" si="1209"/>
        <v>9.15</v>
      </c>
      <c r="F271" s="3377">
        <f t="shared" si="1209"/>
        <v>0</v>
      </c>
      <c r="G271" s="2339">
        <f t="shared" si="1209"/>
        <v>8.75</v>
      </c>
      <c r="H271" s="2796">
        <f t="shared" si="1209"/>
        <v>0</v>
      </c>
      <c r="I271" s="2486">
        <f t="shared" si="1209"/>
        <v>8.9333747260774281</v>
      </c>
      <c r="J271" s="2707">
        <f t="shared" si="1209"/>
        <v>8</v>
      </c>
      <c r="K271" s="2339">
        <f t="shared" si="1209"/>
        <v>8.75</v>
      </c>
      <c r="L271" s="3054">
        <f t="shared" si="1209"/>
        <v>8</v>
      </c>
      <c r="M271" s="2268">
        <f t="shared" si="1209"/>
        <v>8.8609765262366817</v>
      </c>
      <c r="N271" s="2707">
        <f t="shared" si="1209"/>
        <v>8</v>
      </c>
      <c r="O271" s="2339">
        <f t="shared" si="1209"/>
        <v>9.7875000000000014</v>
      </c>
      <c r="P271" s="2796">
        <f t="shared" si="1209"/>
        <v>0</v>
      </c>
      <c r="Q271" s="2486">
        <f t="shared" si="1209"/>
        <v>9.064563936138466</v>
      </c>
      <c r="R271" s="2707">
        <f t="shared" si="1209"/>
        <v>8</v>
      </c>
      <c r="S271" s="2339" t="e">
        <f t="shared" si="1209"/>
        <v>#REF!</v>
      </c>
      <c r="T271" s="2796">
        <f t="shared" si="1209"/>
        <v>0</v>
      </c>
      <c r="U271" s="2486" t="e">
        <f t="shared" si="1209"/>
        <v>#REF!</v>
      </c>
      <c r="V271" s="2707">
        <f t="shared" si="1209"/>
        <v>8</v>
      </c>
      <c r="W271" s="2339" t="e">
        <f t="shared" si="1209"/>
        <v>#REF!</v>
      </c>
      <c r="X271" s="3054">
        <f t="shared" si="1209"/>
        <v>8</v>
      </c>
      <c r="Y271" s="2268">
        <f t="shared" si="1209"/>
        <v>8.8000000000000007</v>
      </c>
      <c r="Z271" s="2796">
        <f t="shared" si="1209"/>
        <v>0</v>
      </c>
      <c r="AA271" s="2486">
        <f t="shared" si="1209"/>
        <v>8.7749999999999986</v>
      </c>
      <c r="AB271" s="2707">
        <f t="shared" si="1209"/>
        <v>8</v>
      </c>
      <c r="AC271" s="2339">
        <f t="shared" si="1209"/>
        <v>9.25</v>
      </c>
      <c r="AD271" s="2796">
        <f t="shared" si="1209"/>
        <v>0</v>
      </c>
      <c r="AE271" s="2486" t="e">
        <f t="shared" si="1209"/>
        <v>#REF!</v>
      </c>
      <c r="AJ271" s="2707">
        <f t="shared" ref="AJ271:AO271" si="1210">+AJ191</f>
        <v>8</v>
      </c>
      <c r="AK271" s="2339">
        <f t="shared" si="1210"/>
        <v>0</v>
      </c>
      <c r="AL271" s="3054">
        <f t="shared" si="1210"/>
        <v>8</v>
      </c>
      <c r="AM271" s="2268">
        <f t="shared" si="1210"/>
        <v>0</v>
      </c>
      <c r="AN271" s="2796">
        <f t="shared" si="1210"/>
        <v>0</v>
      </c>
      <c r="AO271" s="2486">
        <f t="shared" si="1210"/>
        <v>0</v>
      </c>
      <c r="AP271" s="2707">
        <f t="shared" ref="AP271:AQ271" si="1211">+AP191</f>
        <v>8</v>
      </c>
      <c r="AQ271" s="2339">
        <f t="shared" si="1211"/>
        <v>0</v>
      </c>
      <c r="AR271" s="8011"/>
      <c r="AS271" s="8011"/>
      <c r="AT271" s="2707">
        <f t="shared" ref="AT271:AU271" si="1212">+AT191</f>
        <v>8</v>
      </c>
      <c r="AU271" s="2339">
        <f t="shared" si="1212"/>
        <v>0</v>
      </c>
      <c r="AV271" s="8143"/>
      <c r="AW271" s="8143"/>
      <c r="AX271" s="2707">
        <f t="shared" ref="AX271:BE271" si="1213">+AX191</f>
        <v>8</v>
      </c>
      <c r="AY271" s="2339">
        <f t="shared" si="1213"/>
        <v>0</v>
      </c>
      <c r="AZ271" s="3054">
        <f t="shared" si="1213"/>
        <v>8</v>
      </c>
      <c r="BA271" s="2268">
        <f t="shared" si="1213"/>
        <v>0</v>
      </c>
      <c r="BB271" s="3054"/>
      <c r="BC271" s="2268"/>
      <c r="BD271" s="2796">
        <f t="shared" si="1213"/>
        <v>0</v>
      </c>
      <c r="BE271" s="2486">
        <f t="shared" si="1213"/>
        <v>0</v>
      </c>
    </row>
    <row r="272" spans="1:57" ht="15" hidden="1" customHeight="1" x14ac:dyDescent="0.2">
      <c r="B272" s="1531" t="s">
        <v>1193</v>
      </c>
      <c r="C272" s="1544" t="s">
        <v>169</v>
      </c>
      <c r="D272" s="3829">
        <f t="shared" ref="D272:AE272" si="1214">+D203</f>
        <v>0</v>
      </c>
      <c r="E272" s="2723">
        <f t="shared" si="1214"/>
        <v>0</v>
      </c>
      <c r="F272" s="3829">
        <f t="shared" si="1214"/>
        <v>0</v>
      </c>
      <c r="G272" s="1860">
        <f t="shared" si="1214"/>
        <v>0</v>
      </c>
      <c r="H272" s="2794">
        <f t="shared" si="1214"/>
        <v>0</v>
      </c>
      <c r="I272" s="2807" t="e">
        <f t="shared" si="1214"/>
        <v>#DIV/0!</v>
      </c>
      <c r="J272" s="2706">
        <f t="shared" si="1214"/>
        <v>8</v>
      </c>
      <c r="K272" s="1860">
        <f t="shared" si="1214"/>
        <v>0</v>
      </c>
      <c r="L272" s="2260">
        <f t="shared" si="1214"/>
        <v>8</v>
      </c>
      <c r="M272" s="2888" t="e">
        <f t="shared" si="1214"/>
        <v>#DIV/0!</v>
      </c>
      <c r="N272" s="2706">
        <f t="shared" si="1214"/>
        <v>8</v>
      </c>
      <c r="O272" s="1860">
        <f t="shared" si="1214"/>
        <v>0</v>
      </c>
      <c r="P272" s="2794">
        <f t="shared" si="1214"/>
        <v>0</v>
      </c>
      <c r="Q272" s="2807" t="e">
        <f t="shared" si="1214"/>
        <v>#DIV/0!</v>
      </c>
      <c r="R272" s="2706">
        <f t="shared" si="1214"/>
        <v>8</v>
      </c>
      <c r="S272" s="1860" t="e">
        <f t="shared" si="1214"/>
        <v>#DIV/0!</v>
      </c>
      <c r="T272" s="2794">
        <f t="shared" si="1214"/>
        <v>0</v>
      </c>
      <c r="U272" s="2807" t="e">
        <f t="shared" si="1214"/>
        <v>#REF!</v>
      </c>
      <c r="V272" s="2706">
        <f t="shared" si="1214"/>
        <v>8</v>
      </c>
      <c r="W272" s="1860" t="e">
        <f t="shared" si="1214"/>
        <v>#DIV/0!</v>
      </c>
      <c r="X272" s="2260">
        <f t="shared" si="1214"/>
        <v>8</v>
      </c>
      <c r="Y272" s="2888">
        <f t="shared" si="1214"/>
        <v>0</v>
      </c>
      <c r="Z272" s="2794">
        <f t="shared" si="1214"/>
        <v>0</v>
      </c>
      <c r="AA272" s="2807">
        <f t="shared" si="1214"/>
        <v>0</v>
      </c>
      <c r="AB272" s="2706">
        <f t="shared" si="1214"/>
        <v>8</v>
      </c>
      <c r="AC272" s="1860">
        <f t="shared" si="1214"/>
        <v>0</v>
      </c>
      <c r="AD272" s="2794">
        <f t="shared" si="1214"/>
        <v>0</v>
      </c>
      <c r="AE272" s="2807" t="e">
        <f t="shared" si="1214"/>
        <v>#DIV/0!</v>
      </c>
      <c r="AJ272" s="2706">
        <f t="shared" ref="AJ272:AO272" si="1215">+AJ203</f>
        <v>8</v>
      </c>
      <c r="AK272" s="1860">
        <f t="shared" si="1215"/>
        <v>0</v>
      </c>
      <c r="AL272" s="2260">
        <f t="shared" si="1215"/>
        <v>8</v>
      </c>
      <c r="AM272" s="2888">
        <f t="shared" si="1215"/>
        <v>0</v>
      </c>
      <c r="AN272" s="2794">
        <f t="shared" si="1215"/>
        <v>0</v>
      </c>
      <c r="AO272" s="2807">
        <f t="shared" si="1215"/>
        <v>0</v>
      </c>
      <c r="AP272" s="2706">
        <f t="shared" ref="AP272:AQ272" si="1216">+AP203</f>
        <v>8</v>
      </c>
      <c r="AQ272" s="1860">
        <f t="shared" si="1216"/>
        <v>0</v>
      </c>
      <c r="AR272" s="8011"/>
      <c r="AS272" s="8011"/>
      <c r="AT272" s="2706">
        <f t="shared" ref="AT272:AU272" si="1217">+AT203</f>
        <v>8</v>
      </c>
      <c r="AU272" s="1860">
        <f t="shared" si="1217"/>
        <v>0</v>
      </c>
      <c r="AV272" s="8143"/>
      <c r="AW272" s="8143"/>
      <c r="AX272" s="2706">
        <f t="shared" ref="AX272:BE272" si="1218">+AX203</f>
        <v>8</v>
      </c>
      <c r="AY272" s="1860">
        <f t="shared" si="1218"/>
        <v>0</v>
      </c>
      <c r="AZ272" s="2260">
        <f t="shared" si="1218"/>
        <v>8</v>
      </c>
      <c r="BA272" s="2888">
        <f t="shared" si="1218"/>
        <v>0</v>
      </c>
      <c r="BB272" s="2260"/>
      <c r="BC272" s="2888"/>
      <c r="BD272" s="2794">
        <f t="shared" si="1218"/>
        <v>0</v>
      </c>
      <c r="BE272" s="2807">
        <f t="shared" si="1218"/>
        <v>0</v>
      </c>
    </row>
    <row r="273" spans="2:57" ht="15" hidden="1" customHeight="1" x14ac:dyDescent="0.2">
      <c r="B273" s="1531" t="s">
        <v>1310</v>
      </c>
      <c r="C273" s="1544" t="s">
        <v>169</v>
      </c>
      <c r="D273" s="5986">
        <f t="shared" ref="D273:AE273" si="1219">+D195</f>
        <v>0</v>
      </c>
      <c r="E273" s="2750">
        <f t="shared" si="1219"/>
        <v>9</v>
      </c>
      <c r="F273" s="5986">
        <f t="shared" si="1219"/>
        <v>0</v>
      </c>
      <c r="G273" s="1675">
        <f t="shared" si="1219"/>
        <v>8.1199999999999992</v>
      </c>
      <c r="H273" s="4809">
        <f t="shared" si="1219"/>
        <v>0</v>
      </c>
      <c r="I273" s="1823">
        <f t="shared" si="1219"/>
        <v>8.5468887288440758</v>
      </c>
      <c r="J273" s="6344" t="str">
        <f t="shared" si="1219"/>
        <v>-</v>
      </c>
      <c r="K273" s="1675">
        <f t="shared" si="1219"/>
        <v>8.7000000000000011</v>
      </c>
      <c r="L273" s="4792" t="str">
        <f t="shared" si="1219"/>
        <v>-</v>
      </c>
      <c r="M273" s="2011">
        <f t="shared" si="1219"/>
        <v>8.5983346284894502</v>
      </c>
      <c r="N273" s="6344" t="str">
        <f t="shared" si="1219"/>
        <v>-</v>
      </c>
      <c r="O273" s="1675">
        <f t="shared" si="1219"/>
        <v>9.3999999999999986</v>
      </c>
      <c r="P273" s="4809">
        <f t="shared" si="1219"/>
        <v>0</v>
      </c>
      <c r="Q273" s="1823">
        <f t="shared" si="1219"/>
        <v>8.5252336575129188</v>
      </c>
      <c r="R273" s="6344" t="str">
        <f t="shared" si="1219"/>
        <v>-</v>
      </c>
      <c r="S273" s="1675" t="e">
        <f t="shared" si="1219"/>
        <v>#REF!</v>
      </c>
      <c r="T273" s="4809">
        <f t="shared" si="1219"/>
        <v>0</v>
      </c>
      <c r="U273" s="1823" t="e">
        <f t="shared" si="1219"/>
        <v>#REF!</v>
      </c>
      <c r="V273" s="6559" t="str">
        <f t="shared" si="1219"/>
        <v>-</v>
      </c>
      <c r="W273" s="1675" t="e">
        <f t="shared" si="1219"/>
        <v>#REF!</v>
      </c>
      <c r="X273" s="4792" t="str">
        <f t="shared" si="1219"/>
        <v>-</v>
      </c>
      <c r="Y273" s="2011">
        <f t="shared" si="1219"/>
        <v>9.48</v>
      </c>
      <c r="Z273" s="4809">
        <f t="shared" si="1219"/>
        <v>0</v>
      </c>
      <c r="AA273" s="1823">
        <f t="shared" si="1219"/>
        <v>8.9499999999999993</v>
      </c>
      <c r="AB273" s="7345" t="str">
        <f t="shared" si="1219"/>
        <v>-</v>
      </c>
      <c r="AC273" s="1675">
        <f t="shared" si="1219"/>
        <v>8.75</v>
      </c>
      <c r="AD273" s="4809">
        <f t="shared" si="1219"/>
        <v>0</v>
      </c>
      <c r="AE273" s="1823" t="e">
        <f t="shared" si="1219"/>
        <v>#REF!</v>
      </c>
      <c r="AJ273" s="7734" t="str">
        <f t="shared" ref="AJ273:AO273" si="1220">+AJ195</f>
        <v>-</v>
      </c>
      <c r="AK273" s="1675">
        <f t="shared" si="1220"/>
        <v>0</v>
      </c>
      <c r="AL273" s="4792" t="str">
        <f t="shared" si="1220"/>
        <v>-</v>
      </c>
      <c r="AM273" s="2011">
        <f t="shared" si="1220"/>
        <v>0</v>
      </c>
      <c r="AN273" s="4809">
        <f t="shared" si="1220"/>
        <v>0</v>
      </c>
      <c r="AO273" s="1823">
        <f t="shared" si="1220"/>
        <v>0</v>
      </c>
      <c r="AP273" s="8049" t="str">
        <f t="shared" ref="AP273:AQ273" si="1221">+AP195</f>
        <v>-</v>
      </c>
      <c r="AQ273" s="1675">
        <f t="shared" si="1221"/>
        <v>0</v>
      </c>
      <c r="AR273" s="8011"/>
      <c r="AS273" s="8011"/>
      <c r="AT273" s="8170" t="str">
        <f t="shared" ref="AT273:AU273" si="1222">+AT195</f>
        <v>-</v>
      </c>
      <c r="AU273" s="1675">
        <f t="shared" si="1222"/>
        <v>0</v>
      </c>
      <c r="AV273" s="8143"/>
      <c r="AW273" s="8143"/>
      <c r="AX273" s="8321" t="str">
        <f t="shared" ref="AX273:BE273" si="1223">+AX195</f>
        <v>-</v>
      </c>
      <c r="AY273" s="1675">
        <f t="shared" si="1223"/>
        <v>0</v>
      </c>
      <c r="AZ273" s="4792" t="str">
        <f t="shared" si="1223"/>
        <v>-</v>
      </c>
      <c r="BA273" s="2011">
        <f t="shared" si="1223"/>
        <v>0</v>
      </c>
      <c r="BB273" s="4792"/>
      <c r="BC273" s="2011"/>
      <c r="BD273" s="4809">
        <f t="shared" si="1223"/>
        <v>0</v>
      </c>
      <c r="BE273" s="1823">
        <f t="shared" si="1223"/>
        <v>0</v>
      </c>
    </row>
    <row r="274" spans="2:57" ht="15" hidden="1" customHeight="1" x14ac:dyDescent="0.2">
      <c r="B274" s="1531" t="s">
        <v>326</v>
      </c>
      <c r="C274" s="1544" t="s">
        <v>169</v>
      </c>
      <c r="D274" s="3377">
        <f t="shared" ref="D274:AE274" si="1224">+D219</f>
        <v>0</v>
      </c>
      <c r="E274" s="3847">
        <f t="shared" si="1224"/>
        <v>8.1</v>
      </c>
      <c r="F274" s="3377">
        <f t="shared" si="1224"/>
        <v>0</v>
      </c>
      <c r="G274" s="2339">
        <f t="shared" si="1224"/>
        <v>8.6</v>
      </c>
      <c r="H274" s="2796">
        <f t="shared" si="1224"/>
        <v>0</v>
      </c>
      <c r="I274" s="2486">
        <f t="shared" si="1224"/>
        <v>8.3677249017966382</v>
      </c>
      <c r="J274" s="2707">
        <f t="shared" si="1224"/>
        <v>8</v>
      </c>
      <c r="K274" s="2339">
        <f t="shared" si="1224"/>
        <v>9.0500000000000007</v>
      </c>
      <c r="L274" s="3054">
        <f t="shared" si="1224"/>
        <v>8</v>
      </c>
      <c r="M274" s="2268">
        <f t="shared" si="1224"/>
        <v>8.6797249598098833</v>
      </c>
      <c r="N274" s="2707">
        <f t="shared" si="1224"/>
        <v>8</v>
      </c>
      <c r="O274" s="2339">
        <f t="shared" si="1224"/>
        <v>9</v>
      </c>
      <c r="P274" s="2796">
        <f t="shared" si="1224"/>
        <v>0</v>
      </c>
      <c r="Q274" s="2486">
        <f t="shared" si="1224"/>
        <v>8.7057782054843447</v>
      </c>
      <c r="R274" s="2707">
        <f t="shared" si="1224"/>
        <v>8</v>
      </c>
      <c r="S274" s="2339" t="e">
        <f t="shared" si="1224"/>
        <v>#REF!</v>
      </c>
      <c r="T274" s="2796">
        <f t="shared" si="1224"/>
        <v>0</v>
      </c>
      <c r="U274" s="2486" t="e">
        <f t="shared" si="1224"/>
        <v>#REF!</v>
      </c>
      <c r="V274" s="2707">
        <f t="shared" si="1224"/>
        <v>8</v>
      </c>
      <c r="W274" s="2339" t="e">
        <f t="shared" si="1224"/>
        <v>#REF!</v>
      </c>
      <c r="X274" s="3054">
        <f t="shared" si="1224"/>
        <v>8</v>
      </c>
      <c r="Y274" s="2268">
        <f t="shared" si="1224"/>
        <v>8.9</v>
      </c>
      <c r="Z274" s="2796">
        <f t="shared" si="1224"/>
        <v>0</v>
      </c>
      <c r="AA274" s="2486">
        <f t="shared" si="1224"/>
        <v>8.74</v>
      </c>
      <c r="AB274" s="2707">
        <f t="shared" si="1224"/>
        <v>8</v>
      </c>
      <c r="AC274" s="2339">
        <f t="shared" si="1224"/>
        <v>9.1399999999999988</v>
      </c>
      <c r="AD274" s="2796">
        <f t="shared" si="1224"/>
        <v>0</v>
      </c>
      <c r="AE274" s="2486" t="e">
        <f t="shared" si="1224"/>
        <v>#REF!</v>
      </c>
      <c r="AJ274" s="2707">
        <f t="shared" ref="AJ274:AO274" si="1225">+AJ219</f>
        <v>8</v>
      </c>
      <c r="AK274" s="2339">
        <f t="shared" si="1225"/>
        <v>0</v>
      </c>
      <c r="AL274" s="3054">
        <f t="shared" si="1225"/>
        <v>8</v>
      </c>
      <c r="AM274" s="2268">
        <f t="shared" si="1225"/>
        <v>0</v>
      </c>
      <c r="AN274" s="2796">
        <f t="shared" si="1225"/>
        <v>0</v>
      </c>
      <c r="AO274" s="2486">
        <f t="shared" si="1225"/>
        <v>0</v>
      </c>
      <c r="AP274" s="2707">
        <f t="shared" ref="AP274:AQ274" si="1226">+AP219</f>
        <v>8</v>
      </c>
      <c r="AQ274" s="2339">
        <f t="shared" si="1226"/>
        <v>0</v>
      </c>
      <c r="AR274" s="8011"/>
      <c r="AS274" s="8011"/>
      <c r="AT274" s="2707">
        <f t="shared" ref="AT274:AU274" si="1227">+AT219</f>
        <v>8</v>
      </c>
      <c r="AU274" s="2339">
        <f t="shared" si="1227"/>
        <v>0</v>
      </c>
      <c r="AV274" s="8143"/>
      <c r="AW274" s="8143"/>
      <c r="AX274" s="2707">
        <f t="shared" ref="AX274:BE274" si="1228">+AX219</f>
        <v>8</v>
      </c>
      <c r="AY274" s="2339">
        <f t="shared" si="1228"/>
        <v>0</v>
      </c>
      <c r="AZ274" s="3054">
        <f t="shared" si="1228"/>
        <v>8</v>
      </c>
      <c r="BA274" s="2268">
        <f t="shared" si="1228"/>
        <v>0</v>
      </c>
      <c r="BB274" s="3054"/>
      <c r="BC274" s="2268"/>
      <c r="BD274" s="2796">
        <f t="shared" si="1228"/>
        <v>0</v>
      </c>
      <c r="BE274" s="2486">
        <f t="shared" si="1228"/>
        <v>0</v>
      </c>
    </row>
    <row r="275" spans="2:57" ht="15" hidden="1" customHeight="1" x14ac:dyDescent="0.2">
      <c r="B275" s="1531" t="s">
        <v>1210</v>
      </c>
      <c r="C275" s="1544" t="s">
        <v>169</v>
      </c>
      <c r="D275" s="3829">
        <f t="shared" ref="D275:AE275" si="1229">+D207</f>
        <v>0</v>
      </c>
      <c r="E275" s="2723">
        <f t="shared" si="1229"/>
        <v>9</v>
      </c>
      <c r="F275" s="3829">
        <f t="shared" si="1229"/>
        <v>0</v>
      </c>
      <c r="G275" s="1860">
        <f t="shared" si="1229"/>
        <v>9.1</v>
      </c>
      <c r="H275" s="2794">
        <f t="shared" si="1229"/>
        <v>0</v>
      </c>
      <c r="I275" s="2807">
        <f t="shared" si="1229"/>
        <v>9.0519630484988447</v>
      </c>
      <c r="J275" s="2706">
        <f t="shared" si="1229"/>
        <v>8.5</v>
      </c>
      <c r="K275" s="1860" t="str">
        <f t="shared" si="1229"/>
        <v>-</v>
      </c>
      <c r="L275" s="2260">
        <f t="shared" si="1229"/>
        <v>8.5</v>
      </c>
      <c r="M275" s="2888" t="e">
        <f t="shared" si="1229"/>
        <v>#VALUE!</v>
      </c>
      <c r="N275" s="2706">
        <f t="shared" si="1229"/>
        <v>8.5</v>
      </c>
      <c r="O275" s="1860">
        <f t="shared" si="1229"/>
        <v>9.66</v>
      </c>
      <c r="P275" s="2794">
        <f t="shared" si="1229"/>
        <v>0</v>
      </c>
      <c r="Q275" s="2807" t="e">
        <f t="shared" si="1229"/>
        <v>#VALUE!</v>
      </c>
      <c r="R275" s="2706">
        <f t="shared" si="1229"/>
        <v>8.5</v>
      </c>
      <c r="S275" s="1860" t="e">
        <f t="shared" si="1229"/>
        <v>#VALUE!</v>
      </c>
      <c r="T275" s="2794">
        <f t="shared" si="1229"/>
        <v>0</v>
      </c>
      <c r="U275" s="2807" t="e">
        <f t="shared" si="1229"/>
        <v>#VALUE!</v>
      </c>
      <c r="V275" s="2706">
        <f t="shared" si="1229"/>
        <v>8.5</v>
      </c>
      <c r="W275" s="1860" t="e">
        <f t="shared" si="1229"/>
        <v>#VALUE!</v>
      </c>
      <c r="X275" s="2260">
        <f t="shared" si="1229"/>
        <v>8.5</v>
      </c>
      <c r="Y275" s="2888">
        <f t="shared" si="1229"/>
        <v>9.15</v>
      </c>
      <c r="Z275" s="2794">
        <f t="shared" si="1229"/>
        <v>0</v>
      </c>
      <c r="AA275" s="2807">
        <f t="shared" si="1229"/>
        <v>8.4333333333333336</v>
      </c>
      <c r="AB275" s="2706">
        <f t="shared" si="1229"/>
        <v>8.5</v>
      </c>
      <c r="AC275" s="1860">
        <f t="shared" si="1229"/>
        <v>9.7000000000000011</v>
      </c>
      <c r="AD275" s="2794">
        <f t="shared" si="1229"/>
        <v>0</v>
      </c>
      <c r="AE275" s="2807" t="e">
        <f t="shared" si="1229"/>
        <v>#VALUE!</v>
      </c>
      <c r="AJ275" s="2706">
        <f t="shared" ref="AJ275:AO275" si="1230">+AJ207</f>
        <v>8.5</v>
      </c>
      <c r="AK275" s="1860">
        <f t="shared" si="1230"/>
        <v>0</v>
      </c>
      <c r="AL275" s="2260">
        <f t="shared" si="1230"/>
        <v>8.5</v>
      </c>
      <c r="AM275" s="2888">
        <f t="shared" si="1230"/>
        <v>0</v>
      </c>
      <c r="AN275" s="2794">
        <f t="shared" si="1230"/>
        <v>0</v>
      </c>
      <c r="AO275" s="2807">
        <f t="shared" si="1230"/>
        <v>0</v>
      </c>
      <c r="AP275" s="2706">
        <f t="shared" ref="AP275:AQ275" si="1231">+AP207</f>
        <v>8.5</v>
      </c>
      <c r="AQ275" s="1860">
        <f t="shared" si="1231"/>
        <v>0</v>
      </c>
      <c r="AR275" s="8011"/>
      <c r="AS275" s="8011"/>
      <c r="AT275" s="2706">
        <f t="shared" ref="AT275:AU275" si="1232">+AT207</f>
        <v>8.5</v>
      </c>
      <c r="AU275" s="1860">
        <f t="shared" si="1232"/>
        <v>0</v>
      </c>
      <c r="AV275" s="8143"/>
      <c r="AW275" s="8143"/>
      <c r="AX275" s="2706">
        <f t="shared" ref="AX275:BE275" si="1233">+AX207</f>
        <v>8.5</v>
      </c>
      <c r="AY275" s="1860">
        <f t="shared" si="1233"/>
        <v>0</v>
      </c>
      <c r="AZ275" s="2260">
        <f t="shared" si="1233"/>
        <v>8.5</v>
      </c>
      <c r="BA275" s="2888">
        <f t="shared" si="1233"/>
        <v>0</v>
      </c>
      <c r="BB275" s="2260"/>
      <c r="BC275" s="2888"/>
      <c r="BD275" s="2794">
        <f t="shared" si="1233"/>
        <v>0</v>
      </c>
      <c r="BE275" s="2807">
        <f t="shared" si="1233"/>
        <v>0</v>
      </c>
    </row>
    <row r="276" spans="2:57" ht="15" hidden="1" customHeight="1" x14ac:dyDescent="0.2">
      <c r="B276" s="1564" t="s">
        <v>1211</v>
      </c>
      <c r="C276" s="1547" t="s">
        <v>169</v>
      </c>
      <c r="D276" s="3830">
        <f t="shared" ref="D276:AE276" si="1234">+D215</f>
        <v>0</v>
      </c>
      <c r="E276" s="3841">
        <f t="shared" si="1234"/>
        <v>0</v>
      </c>
      <c r="F276" s="3830">
        <f t="shared" si="1234"/>
        <v>0</v>
      </c>
      <c r="G276" s="3864">
        <f t="shared" si="1234"/>
        <v>0</v>
      </c>
      <c r="H276" s="2984">
        <f t="shared" si="1234"/>
        <v>0</v>
      </c>
      <c r="I276" s="2808" t="e">
        <f t="shared" si="1234"/>
        <v>#DIV/0!</v>
      </c>
      <c r="J276" s="2799">
        <f t="shared" si="1234"/>
        <v>9.5</v>
      </c>
      <c r="K276" s="3864">
        <f t="shared" si="1234"/>
        <v>0</v>
      </c>
      <c r="L276" s="3127">
        <f t="shared" si="1234"/>
        <v>9.5</v>
      </c>
      <c r="M276" s="2889" t="e">
        <f t="shared" si="1234"/>
        <v>#DIV/0!</v>
      </c>
      <c r="N276" s="2799">
        <f t="shared" si="1234"/>
        <v>9.5</v>
      </c>
      <c r="O276" s="3864">
        <f t="shared" si="1234"/>
        <v>0</v>
      </c>
      <c r="P276" s="2984">
        <f t="shared" si="1234"/>
        <v>0</v>
      </c>
      <c r="Q276" s="2808" t="e">
        <f t="shared" si="1234"/>
        <v>#DIV/0!</v>
      </c>
      <c r="R276" s="2799">
        <f t="shared" si="1234"/>
        <v>9.5</v>
      </c>
      <c r="S276" s="3864" t="e">
        <f t="shared" si="1234"/>
        <v>#DIV/0!</v>
      </c>
      <c r="T276" s="2984">
        <f t="shared" si="1234"/>
        <v>0</v>
      </c>
      <c r="U276" s="2808" t="e">
        <f t="shared" si="1234"/>
        <v>#REF!</v>
      </c>
      <c r="V276" s="2799">
        <f t="shared" si="1234"/>
        <v>9.5</v>
      </c>
      <c r="W276" s="3864" t="e">
        <f t="shared" si="1234"/>
        <v>#DIV/0!</v>
      </c>
      <c r="X276" s="3127">
        <f t="shared" si="1234"/>
        <v>9.5</v>
      </c>
      <c r="Y276" s="2889">
        <f t="shared" si="1234"/>
        <v>0</v>
      </c>
      <c r="Z276" s="2984">
        <f t="shared" si="1234"/>
        <v>0</v>
      </c>
      <c r="AA276" s="2808">
        <f t="shared" si="1234"/>
        <v>0</v>
      </c>
      <c r="AB276" s="2799">
        <f t="shared" si="1234"/>
        <v>9.5</v>
      </c>
      <c r="AC276" s="3864">
        <f t="shared" si="1234"/>
        <v>0</v>
      </c>
      <c r="AD276" s="2984">
        <f t="shared" si="1234"/>
        <v>0</v>
      </c>
      <c r="AE276" s="2808" t="e">
        <f t="shared" si="1234"/>
        <v>#DIV/0!</v>
      </c>
      <c r="AJ276" s="2799">
        <f t="shared" ref="AJ276:AO276" si="1235">+AJ215</f>
        <v>9.5</v>
      </c>
      <c r="AK276" s="3864">
        <f t="shared" si="1235"/>
        <v>0</v>
      </c>
      <c r="AL276" s="3127">
        <f t="shared" si="1235"/>
        <v>9.5</v>
      </c>
      <c r="AM276" s="2889">
        <f t="shared" si="1235"/>
        <v>0</v>
      </c>
      <c r="AN276" s="2984">
        <f t="shared" si="1235"/>
        <v>0</v>
      </c>
      <c r="AO276" s="2808">
        <f t="shared" si="1235"/>
        <v>0</v>
      </c>
      <c r="AP276" s="2799">
        <f t="shared" ref="AP276:AQ276" si="1236">+AP215</f>
        <v>9.5</v>
      </c>
      <c r="AQ276" s="3864">
        <f t="shared" si="1236"/>
        <v>0</v>
      </c>
      <c r="AR276" s="8011"/>
      <c r="AS276" s="8011"/>
      <c r="AT276" s="2799">
        <f t="shared" ref="AT276:AU276" si="1237">+AT215</f>
        <v>9.5</v>
      </c>
      <c r="AU276" s="3864">
        <f t="shared" si="1237"/>
        <v>0</v>
      </c>
      <c r="AV276" s="8143"/>
      <c r="AW276" s="8143"/>
      <c r="AX276" s="2799">
        <f t="shared" ref="AX276:BE276" si="1238">+AX215</f>
        <v>9.5</v>
      </c>
      <c r="AY276" s="3864">
        <f t="shared" si="1238"/>
        <v>0</v>
      </c>
      <c r="AZ276" s="3127">
        <f t="shared" si="1238"/>
        <v>9.5</v>
      </c>
      <c r="BA276" s="2889">
        <f t="shared" si="1238"/>
        <v>0</v>
      </c>
      <c r="BB276" s="3127"/>
      <c r="BC276" s="2889"/>
      <c r="BD276" s="2984">
        <f t="shared" si="1238"/>
        <v>0</v>
      </c>
      <c r="BE276" s="2808">
        <f t="shared" si="1238"/>
        <v>0</v>
      </c>
    </row>
    <row r="277" spans="2:57" ht="19.5" hidden="1" customHeight="1" thickBot="1" x14ac:dyDescent="0.25">
      <c r="B277" s="2961" t="s">
        <v>40</v>
      </c>
      <c r="C277" s="2963" t="s">
        <v>169</v>
      </c>
      <c r="D277" s="2933" t="e">
        <f t="shared" ref="D277:AE277" si="1239">+SUMPRODUCT(D270:D276,D246:D255)/D256</f>
        <v>#VALUE!</v>
      </c>
      <c r="E277" s="3853" t="e">
        <f t="shared" si="1239"/>
        <v>#VALUE!</v>
      </c>
      <c r="F277" s="2933" t="e">
        <f t="shared" si="1239"/>
        <v>#VALUE!</v>
      </c>
      <c r="G277" s="3862" t="e">
        <f t="shared" si="1239"/>
        <v>#VALUE!</v>
      </c>
      <c r="H277" s="2934" t="e">
        <f t="shared" si="1239"/>
        <v>#VALUE!</v>
      </c>
      <c r="I277" s="3880" t="e">
        <f t="shared" si="1239"/>
        <v>#DIV/0!</v>
      </c>
      <c r="J277" s="2871" t="e">
        <f t="shared" si="1239"/>
        <v>#VALUE!</v>
      </c>
      <c r="K277" s="3862" t="e">
        <f t="shared" si="1239"/>
        <v>#VALUE!</v>
      </c>
      <c r="L277" s="2935" t="e">
        <f t="shared" si="1239"/>
        <v>#VALUE!</v>
      </c>
      <c r="M277" s="3906" t="e">
        <f t="shared" si="1239"/>
        <v>#DIV/0!</v>
      </c>
      <c r="N277" s="2871" t="e">
        <f t="shared" si="1239"/>
        <v>#VALUE!</v>
      </c>
      <c r="O277" s="3862" t="e">
        <f t="shared" si="1239"/>
        <v>#VALUE!</v>
      </c>
      <c r="P277" s="2934" t="e">
        <f t="shared" si="1239"/>
        <v>#VALUE!</v>
      </c>
      <c r="Q277" s="3880" t="e">
        <f t="shared" si="1239"/>
        <v>#DIV/0!</v>
      </c>
      <c r="R277" s="2871" t="e">
        <f t="shared" si="1239"/>
        <v>#VALUE!</v>
      </c>
      <c r="S277" s="3862" t="e">
        <f t="shared" si="1239"/>
        <v>#REF!</v>
      </c>
      <c r="T277" s="2934" t="e">
        <f t="shared" si="1239"/>
        <v>#VALUE!</v>
      </c>
      <c r="U277" s="3880" t="e">
        <f t="shared" si="1239"/>
        <v>#REF!</v>
      </c>
      <c r="V277" s="2871" t="e">
        <f t="shared" si="1239"/>
        <v>#VALUE!</v>
      </c>
      <c r="W277" s="3862" t="e">
        <f t="shared" si="1239"/>
        <v>#REF!</v>
      </c>
      <c r="X277" s="2935" t="e">
        <f t="shared" si="1239"/>
        <v>#VALUE!</v>
      </c>
      <c r="Y277" s="3906" t="e">
        <f t="shared" si="1239"/>
        <v>#VALUE!</v>
      </c>
      <c r="Z277" s="2934" t="e">
        <f t="shared" si="1239"/>
        <v>#VALUE!</v>
      </c>
      <c r="AA277" s="3880" t="e">
        <f t="shared" si="1239"/>
        <v>#VALUE!</v>
      </c>
      <c r="AB277" s="2871" t="e">
        <f t="shared" si="1239"/>
        <v>#VALUE!</v>
      </c>
      <c r="AC277" s="3862" t="e">
        <f t="shared" si="1239"/>
        <v>#VALUE!</v>
      </c>
      <c r="AD277" s="2934" t="e">
        <f t="shared" si="1239"/>
        <v>#VALUE!</v>
      </c>
      <c r="AE277" s="3880" t="e">
        <f t="shared" si="1239"/>
        <v>#REF!</v>
      </c>
      <c r="AJ277" s="2871" t="e">
        <f t="shared" ref="AJ277:AO277" si="1240">+SUMPRODUCT(AJ270:AJ276,AJ246:AJ255)/AJ256</f>
        <v>#VALUE!</v>
      </c>
      <c r="AK277" s="3862" t="e">
        <f t="shared" si="1240"/>
        <v>#VALUE!</v>
      </c>
      <c r="AL277" s="2935" t="e">
        <f t="shared" si="1240"/>
        <v>#VALUE!</v>
      </c>
      <c r="AM277" s="3906" t="e">
        <f t="shared" si="1240"/>
        <v>#VALUE!</v>
      </c>
      <c r="AN277" s="2934" t="e">
        <f t="shared" si="1240"/>
        <v>#VALUE!</v>
      </c>
      <c r="AO277" s="3880" t="e">
        <f t="shared" si="1240"/>
        <v>#VALUE!</v>
      </c>
      <c r="AP277" s="2871" t="e">
        <f t="shared" ref="AP277:AQ277" si="1241">+SUMPRODUCT(AP270:AP276,AP246:AP255)/AP256</f>
        <v>#VALUE!</v>
      </c>
      <c r="AQ277" s="3862" t="e">
        <f t="shared" si="1241"/>
        <v>#VALUE!</v>
      </c>
      <c r="AR277" s="8011"/>
      <c r="AS277" s="8011"/>
      <c r="AT277" s="2871" t="e">
        <f t="shared" ref="AT277:AU277" si="1242">+SUMPRODUCT(AT270:AT276,AT246:AT255)/AT256</f>
        <v>#VALUE!</v>
      </c>
      <c r="AU277" s="3862" t="e">
        <f t="shared" si="1242"/>
        <v>#VALUE!</v>
      </c>
      <c r="AV277" s="8143"/>
      <c r="AW277" s="8143"/>
      <c r="AX277" s="2871" t="e">
        <f t="shared" ref="AX277:BE277" si="1243">+SUMPRODUCT(AX270:AX276,AX246:AX255)/AX256</f>
        <v>#VALUE!</v>
      </c>
      <c r="AY277" s="3862" t="e">
        <f t="shared" si="1243"/>
        <v>#VALUE!</v>
      </c>
      <c r="AZ277" s="2935" t="e">
        <f t="shared" si="1243"/>
        <v>#VALUE!</v>
      </c>
      <c r="BA277" s="3906" t="e">
        <f t="shared" si="1243"/>
        <v>#VALUE!</v>
      </c>
      <c r="BB277" s="2935"/>
      <c r="BC277" s="3906"/>
      <c r="BD277" s="2934" t="e">
        <f t="shared" si="1243"/>
        <v>#VALUE!</v>
      </c>
      <c r="BE277" s="3880" t="e">
        <f t="shared" si="1243"/>
        <v>#VALUE!</v>
      </c>
    </row>
    <row r="278" spans="2:57" ht="15" hidden="1" customHeight="1" x14ac:dyDescent="0.2">
      <c r="B278" s="1566" t="s">
        <v>580</v>
      </c>
      <c r="C278" s="1541" t="s">
        <v>169</v>
      </c>
      <c r="D278" s="3831">
        <f t="shared" ref="D278:AE278" si="1244">+D223</f>
        <v>0</v>
      </c>
      <c r="E278" s="3836">
        <f t="shared" si="1244"/>
        <v>9</v>
      </c>
      <c r="F278" s="3831">
        <f t="shared" si="1244"/>
        <v>0</v>
      </c>
      <c r="G278" s="6023">
        <f t="shared" si="1244"/>
        <v>8.9749999999999996</v>
      </c>
      <c r="H278" s="2975">
        <f t="shared" si="1244"/>
        <v>0</v>
      </c>
      <c r="I278" s="2337">
        <f t="shared" si="1244"/>
        <v>8.9870433062948312</v>
      </c>
      <c r="J278" s="2801">
        <f t="shared" si="1244"/>
        <v>7.5</v>
      </c>
      <c r="K278" s="6023">
        <f t="shared" si="1244"/>
        <v>9.08</v>
      </c>
      <c r="L278" s="3067">
        <f t="shared" si="1244"/>
        <v>7.5</v>
      </c>
      <c r="M278" s="2252">
        <f t="shared" si="1244"/>
        <v>9.0202226613019096</v>
      </c>
      <c r="N278" s="2801">
        <f t="shared" si="1244"/>
        <v>7.5</v>
      </c>
      <c r="O278" s="6023">
        <f t="shared" si="1244"/>
        <v>10.024999999999999</v>
      </c>
      <c r="P278" s="2975">
        <f t="shared" si="1244"/>
        <v>0</v>
      </c>
      <c r="Q278" s="2337">
        <f t="shared" si="1244"/>
        <v>9.1616884887069769</v>
      </c>
      <c r="R278" s="2801">
        <f t="shared" si="1244"/>
        <v>7.5</v>
      </c>
      <c r="S278" s="6354" t="e">
        <f t="shared" si="1244"/>
        <v>#REF!</v>
      </c>
      <c r="T278" s="2975">
        <f t="shared" si="1244"/>
        <v>0</v>
      </c>
      <c r="U278" s="2337" t="e">
        <f t="shared" si="1244"/>
        <v>#REF!</v>
      </c>
      <c r="V278" s="2801">
        <f t="shared" si="1244"/>
        <v>7.5</v>
      </c>
      <c r="W278" s="6566" t="e">
        <f t="shared" si="1244"/>
        <v>#REF!</v>
      </c>
      <c r="X278" s="3067">
        <f t="shared" si="1244"/>
        <v>7.5</v>
      </c>
      <c r="Y278" s="2252">
        <f t="shared" si="1244"/>
        <v>9.2583333333333329</v>
      </c>
      <c r="Z278" s="2975">
        <f t="shared" si="1244"/>
        <v>0</v>
      </c>
      <c r="AA278" s="2337">
        <f t="shared" si="1244"/>
        <v>9.0125000000000011</v>
      </c>
      <c r="AB278" s="2801">
        <f t="shared" si="1244"/>
        <v>7.5</v>
      </c>
      <c r="AC278" s="7353">
        <f t="shared" si="1244"/>
        <v>10.45</v>
      </c>
      <c r="AD278" s="2975">
        <f t="shared" si="1244"/>
        <v>0</v>
      </c>
      <c r="AE278" s="2337" t="e">
        <f t="shared" si="1244"/>
        <v>#REF!</v>
      </c>
      <c r="AJ278" s="2801">
        <f t="shared" ref="AJ278:AO278" si="1245">+AJ223</f>
        <v>7.5</v>
      </c>
      <c r="AK278" s="7743">
        <f t="shared" si="1245"/>
        <v>0</v>
      </c>
      <c r="AL278" s="3067">
        <f t="shared" si="1245"/>
        <v>7.5</v>
      </c>
      <c r="AM278" s="2252">
        <f t="shared" si="1245"/>
        <v>0</v>
      </c>
      <c r="AN278" s="2975">
        <f t="shared" si="1245"/>
        <v>0</v>
      </c>
      <c r="AO278" s="2337">
        <f t="shared" si="1245"/>
        <v>0</v>
      </c>
      <c r="AP278" s="2801">
        <f t="shared" ref="AP278:AQ278" si="1246">+AP223</f>
        <v>7.5</v>
      </c>
      <c r="AQ278" s="8054">
        <f t="shared" si="1246"/>
        <v>0</v>
      </c>
      <c r="AR278" s="8011"/>
      <c r="AS278" s="8011"/>
      <c r="AT278" s="2801">
        <f t="shared" ref="AT278:AU278" si="1247">+AT223</f>
        <v>7.5</v>
      </c>
      <c r="AU278" s="8178">
        <f t="shared" si="1247"/>
        <v>0</v>
      </c>
      <c r="AV278" s="8143"/>
      <c r="AW278" s="8143"/>
      <c r="AX278" s="2801">
        <f t="shared" ref="AX278:BE278" si="1248">+AX223</f>
        <v>7.5</v>
      </c>
      <c r="AY278" s="8336">
        <f t="shared" si="1248"/>
        <v>0</v>
      </c>
      <c r="AZ278" s="3067">
        <f t="shared" si="1248"/>
        <v>7.5</v>
      </c>
      <c r="BA278" s="2252">
        <f t="shared" si="1248"/>
        <v>0</v>
      </c>
      <c r="BB278" s="3067"/>
      <c r="BC278" s="2252"/>
      <c r="BD278" s="2975">
        <f t="shared" si="1248"/>
        <v>0</v>
      </c>
      <c r="BE278" s="2337">
        <f t="shared" si="1248"/>
        <v>0</v>
      </c>
    </row>
    <row r="279" spans="2:57" ht="15" hidden="1" customHeight="1" x14ac:dyDescent="0.2">
      <c r="B279" s="1564" t="s">
        <v>581</v>
      </c>
      <c r="C279" s="1547" t="s">
        <v>169</v>
      </c>
      <c r="D279" s="3832"/>
      <c r="E279" s="3855"/>
      <c r="F279" s="3832"/>
      <c r="G279" s="3865"/>
      <c r="H279" s="6351"/>
      <c r="I279" s="3169"/>
      <c r="J279" s="1788"/>
      <c r="K279" s="3865"/>
      <c r="L279" s="6349"/>
      <c r="M279" s="3908"/>
      <c r="N279" s="1788"/>
      <c r="O279" s="3865"/>
      <c r="P279" s="6351"/>
      <c r="Q279" s="3169"/>
      <c r="R279" s="1788"/>
      <c r="S279" s="3865"/>
      <c r="T279" s="6351"/>
      <c r="U279" s="3169"/>
      <c r="V279" s="1788"/>
      <c r="W279" s="3865"/>
      <c r="X279" s="6349"/>
      <c r="Y279" s="3908"/>
      <c r="Z279" s="6563"/>
      <c r="AA279" s="3169"/>
      <c r="AB279" s="1788"/>
      <c r="AC279" s="3865"/>
      <c r="AD279" s="7349"/>
      <c r="AE279" s="3169"/>
      <c r="AJ279" s="1788"/>
      <c r="AK279" s="3865"/>
      <c r="AL279" s="6349"/>
      <c r="AM279" s="3908"/>
      <c r="AN279" s="7738"/>
      <c r="AO279" s="3169"/>
      <c r="AP279" s="1788"/>
      <c r="AQ279" s="3865"/>
      <c r="AR279" s="8011"/>
      <c r="AS279" s="8011"/>
      <c r="AT279" s="1788"/>
      <c r="AU279" s="3865"/>
      <c r="AV279" s="8143"/>
      <c r="AW279" s="8143"/>
      <c r="AX279" s="1788"/>
      <c r="AY279" s="3865"/>
      <c r="AZ279" s="6349"/>
      <c r="BA279" s="3908"/>
      <c r="BB279" s="6349"/>
      <c r="BC279" s="3908"/>
      <c r="BD279" s="8328"/>
      <c r="BE279" s="3169"/>
    </row>
    <row r="280" spans="2:57" ht="19.5" hidden="1" customHeight="1" thickBot="1" x14ac:dyDescent="0.25">
      <c r="B280" s="2961" t="s">
        <v>582</v>
      </c>
      <c r="C280" s="2963" t="s">
        <v>169</v>
      </c>
      <c r="D280" s="2933" t="e">
        <f t="shared" ref="D280:AE280" si="1249">+SUMPRODUCT(D278:D279,D257:D259)/D260</f>
        <v>#VALUE!</v>
      </c>
      <c r="E280" s="3853" t="e">
        <f t="shared" si="1249"/>
        <v>#VALUE!</v>
      </c>
      <c r="F280" s="2933" t="e">
        <f t="shared" si="1249"/>
        <v>#VALUE!</v>
      </c>
      <c r="G280" s="3862" t="e">
        <f t="shared" si="1249"/>
        <v>#VALUE!</v>
      </c>
      <c r="H280" s="2934" t="e">
        <f t="shared" si="1249"/>
        <v>#VALUE!</v>
      </c>
      <c r="I280" s="3880" t="e">
        <f t="shared" si="1249"/>
        <v>#VALUE!</v>
      </c>
      <c r="J280" s="2871" t="e">
        <f t="shared" si="1249"/>
        <v>#VALUE!</v>
      </c>
      <c r="K280" s="3862" t="e">
        <f t="shared" si="1249"/>
        <v>#VALUE!</v>
      </c>
      <c r="L280" s="2935" t="e">
        <f t="shared" si="1249"/>
        <v>#VALUE!</v>
      </c>
      <c r="M280" s="3906" t="e">
        <f t="shared" si="1249"/>
        <v>#VALUE!</v>
      </c>
      <c r="N280" s="2871" t="e">
        <f t="shared" si="1249"/>
        <v>#VALUE!</v>
      </c>
      <c r="O280" s="3862" t="e">
        <f t="shared" si="1249"/>
        <v>#VALUE!</v>
      </c>
      <c r="P280" s="2934" t="e">
        <f t="shared" si="1249"/>
        <v>#VALUE!</v>
      </c>
      <c r="Q280" s="3880" t="e">
        <f t="shared" si="1249"/>
        <v>#VALUE!</v>
      </c>
      <c r="R280" s="2871" t="e">
        <f t="shared" si="1249"/>
        <v>#VALUE!</v>
      </c>
      <c r="S280" s="3862" t="e">
        <f t="shared" si="1249"/>
        <v>#REF!</v>
      </c>
      <c r="T280" s="2934" t="e">
        <f t="shared" si="1249"/>
        <v>#VALUE!</v>
      </c>
      <c r="U280" s="3880" t="e">
        <f t="shared" si="1249"/>
        <v>#REF!</v>
      </c>
      <c r="V280" s="2871" t="e">
        <f t="shared" si="1249"/>
        <v>#VALUE!</v>
      </c>
      <c r="W280" s="3862" t="e">
        <f t="shared" si="1249"/>
        <v>#REF!</v>
      </c>
      <c r="X280" s="2935" t="e">
        <f t="shared" si="1249"/>
        <v>#VALUE!</v>
      </c>
      <c r="Y280" s="3906" t="e">
        <f t="shared" si="1249"/>
        <v>#VALUE!</v>
      </c>
      <c r="Z280" s="2934" t="e">
        <f t="shared" si="1249"/>
        <v>#VALUE!</v>
      </c>
      <c r="AA280" s="3880" t="e">
        <f t="shared" si="1249"/>
        <v>#VALUE!</v>
      </c>
      <c r="AB280" s="2871" t="e">
        <f t="shared" si="1249"/>
        <v>#VALUE!</v>
      </c>
      <c r="AC280" s="3862" t="e">
        <f t="shared" si="1249"/>
        <v>#VALUE!</v>
      </c>
      <c r="AD280" s="2934" t="e">
        <f t="shared" si="1249"/>
        <v>#VALUE!</v>
      </c>
      <c r="AE280" s="3880" t="e">
        <f t="shared" si="1249"/>
        <v>#REF!</v>
      </c>
      <c r="AJ280" s="2871" t="e">
        <f t="shared" ref="AJ280:AO280" si="1250">+SUMPRODUCT(AJ278:AJ279,AJ257:AJ259)/AJ260</f>
        <v>#VALUE!</v>
      </c>
      <c r="AK280" s="3862" t="e">
        <f t="shared" si="1250"/>
        <v>#VALUE!</v>
      </c>
      <c r="AL280" s="2935" t="e">
        <f t="shared" si="1250"/>
        <v>#VALUE!</v>
      </c>
      <c r="AM280" s="3906" t="e">
        <f t="shared" si="1250"/>
        <v>#VALUE!</v>
      </c>
      <c r="AN280" s="2934" t="e">
        <f t="shared" si="1250"/>
        <v>#VALUE!</v>
      </c>
      <c r="AO280" s="3880" t="e">
        <f t="shared" si="1250"/>
        <v>#VALUE!</v>
      </c>
      <c r="AP280" s="2871" t="e">
        <f t="shared" ref="AP280:AQ280" si="1251">+SUMPRODUCT(AP278:AP279,AP257:AP259)/AP260</f>
        <v>#VALUE!</v>
      </c>
      <c r="AQ280" s="3862" t="e">
        <f t="shared" si="1251"/>
        <v>#VALUE!</v>
      </c>
      <c r="AR280" s="8011"/>
      <c r="AS280" s="8011"/>
      <c r="AT280" s="2871" t="e">
        <f t="shared" ref="AT280:AU280" si="1252">+SUMPRODUCT(AT278:AT279,AT257:AT259)/AT260</f>
        <v>#VALUE!</v>
      </c>
      <c r="AU280" s="3862" t="e">
        <f t="shared" si="1252"/>
        <v>#VALUE!</v>
      </c>
      <c r="AV280" s="8143"/>
      <c r="AW280" s="8143"/>
      <c r="AX280" s="2871" t="e">
        <f t="shared" ref="AX280:BE280" si="1253">+SUMPRODUCT(AX278:AX279,AX257:AX259)/AX260</f>
        <v>#VALUE!</v>
      </c>
      <c r="AY280" s="3862" t="e">
        <f t="shared" si="1253"/>
        <v>#VALUE!</v>
      </c>
      <c r="AZ280" s="2935" t="e">
        <f t="shared" si="1253"/>
        <v>#VALUE!</v>
      </c>
      <c r="BA280" s="3906" t="e">
        <f t="shared" si="1253"/>
        <v>#VALUE!</v>
      </c>
      <c r="BB280" s="2935"/>
      <c r="BC280" s="3906"/>
      <c r="BD280" s="2934" t="e">
        <f t="shared" si="1253"/>
        <v>#VALUE!</v>
      </c>
      <c r="BE280" s="3880" t="e">
        <f t="shared" si="1253"/>
        <v>#VALUE!</v>
      </c>
    </row>
    <row r="281" spans="2:57" ht="19.5" hidden="1" customHeight="1" thickBot="1" x14ac:dyDescent="0.25">
      <c r="B281" s="2961" t="s">
        <v>39</v>
      </c>
      <c r="C281" s="2963" t="s">
        <v>169</v>
      </c>
      <c r="D281" s="2933" t="e">
        <f t="shared" ref="D281:AE281" si="1254">+((D256*D277)+(D260*D280))/D261</f>
        <v>#VALUE!</v>
      </c>
      <c r="E281" s="3853" t="e">
        <f t="shared" si="1254"/>
        <v>#VALUE!</v>
      </c>
      <c r="F281" s="2933" t="e">
        <f t="shared" si="1254"/>
        <v>#VALUE!</v>
      </c>
      <c r="G281" s="3862" t="e">
        <f t="shared" si="1254"/>
        <v>#VALUE!</v>
      </c>
      <c r="H281" s="2934" t="e">
        <f t="shared" si="1254"/>
        <v>#VALUE!</v>
      </c>
      <c r="I281" s="3880" t="e">
        <f t="shared" si="1254"/>
        <v>#DIV/0!</v>
      </c>
      <c r="J281" s="2871" t="e">
        <f t="shared" si="1254"/>
        <v>#VALUE!</v>
      </c>
      <c r="K281" s="3862" t="e">
        <f t="shared" si="1254"/>
        <v>#VALUE!</v>
      </c>
      <c r="L281" s="2935" t="e">
        <f t="shared" si="1254"/>
        <v>#VALUE!</v>
      </c>
      <c r="M281" s="3906" t="e">
        <f t="shared" si="1254"/>
        <v>#DIV/0!</v>
      </c>
      <c r="N281" s="2871" t="e">
        <f t="shared" si="1254"/>
        <v>#VALUE!</v>
      </c>
      <c r="O281" s="3862" t="e">
        <f t="shared" si="1254"/>
        <v>#VALUE!</v>
      </c>
      <c r="P281" s="2934" t="e">
        <f t="shared" si="1254"/>
        <v>#VALUE!</v>
      </c>
      <c r="Q281" s="3880" t="e">
        <f t="shared" si="1254"/>
        <v>#DIV/0!</v>
      </c>
      <c r="R281" s="2871" t="e">
        <f t="shared" si="1254"/>
        <v>#VALUE!</v>
      </c>
      <c r="S281" s="3862" t="e">
        <f t="shared" si="1254"/>
        <v>#REF!</v>
      </c>
      <c r="T281" s="2934" t="e">
        <f t="shared" si="1254"/>
        <v>#VALUE!</v>
      </c>
      <c r="U281" s="3880" t="e">
        <f t="shared" si="1254"/>
        <v>#REF!</v>
      </c>
      <c r="V281" s="2871" t="e">
        <f t="shared" si="1254"/>
        <v>#VALUE!</v>
      </c>
      <c r="W281" s="3862" t="e">
        <f t="shared" si="1254"/>
        <v>#REF!</v>
      </c>
      <c r="X281" s="2935" t="e">
        <f t="shared" si="1254"/>
        <v>#VALUE!</v>
      </c>
      <c r="Y281" s="3906" t="e">
        <f t="shared" si="1254"/>
        <v>#VALUE!</v>
      </c>
      <c r="Z281" s="2934" t="e">
        <f t="shared" si="1254"/>
        <v>#VALUE!</v>
      </c>
      <c r="AA281" s="3880" t="e">
        <f t="shared" si="1254"/>
        <v>#VALUE!</v>
      </c>
      <c r="AB281" s="2871" t="e">
        <f t="shared" si="1254"/>
        <v>#VALUE!</v>
      </c>
      <c r="AC281" s="3862" t="e">
        <f t="shared" si="1254"/>
        <v>#VALUE!</v>
      </c>
      <c r="AD281" s="2934" t="e">
        <f t="shared" si="1254"/>
        <v>#VALUE!</v>
      </c>
      <c r="AE281" s="3880" t="e">
        <f t="shared" si="1254"/>
        <v>#REF!</v>
      </c>
      <c r="AJ281" s="2871" t="e">
        <f t="shared" ref="AJ281:AO281" si="1255">+((AJ256*AJ277)+(AJ260*AJ280))/AJ261</f>
        <v>#VALUE!</v>
      </c>
      <c r="AK281" s="3862" t="e">
        <f t="shared" si="1255"/>
        <v>#VALUE!</v>
      </c>
      <c r="AL281" s="2935" t="e">
        <f t="shared" si="1255"/>
        <v>#VALUE!</v>
      </c>
      <c r="AM281" s="3906" t="e">
        <f t="shared" si="1255"/>
        <v>#VALUE!</v>
      </c>
      <c r="AN281" s="2934" t="e">
        <f t="shared" si="1255"/>
        <v>#VALUE!</v>
      </c>
      <c r="AO281" s="3880" t="e">
        <f t="shared" si="1255"/>
        <v>#VALUE!</v>
      </c>
      <c r="AP281" s="2871" t="e">
        <f t="shared" ref="AP281:AQ281" si="1256">+((AP256*AP277)+(AP260*AP280))/AP261</f>
        <v>#VALUE!</v>
      </c>
      <c r="AQ281" s="3862" t="e">
        <f t="shared" si="1256"/>
        <v>#VALUE!</v>
      </c>
      <c r="AR281" s="8011"/>
      <c r="AS281" s="8011"/>
      <c r="AT281" s="2871" t="e">
        <f t="shared" ref="AT281:AU281" si="1257">+((AT256*AT277)+(AT260*AT280))/AT261</f>
        <v>#VALUE!</v>
      </c>
      <c r="AU281" s="3862" t="e">
        <f t="shared" si="1257"/>
        <v>#VALUE!</v>
      </c>
      <c r="AV281" s="8143"/>
      <c r="AW281" s="8143"/>
      <c r="AX281" s="2871" t="e">
        <f t="shared" ref="AX281:BE281" si="1258">+((AX256*AX277)+(AX260*AX280))/AX261</f>
        <v>#VALUE!</v>
      </c>
      <c r="AY281" s="3862" t="e">
        <f t="shared" si="1258"/>
        <v>#VALUE!</v>
      </c>
      <c r="AZ281" s="2935" t="e">
        <f t="shared" si="1258"/>
        <v>#VALUE!</v>
      </c>
      <c r="BA281" s="3906" t="e">
        <f t="shared" si="1258"/>
        <v>#VALUE!</v>
      </c>
      <c r="BB281" s="2935"/>
      <c r="BC281" s="3906"/>
      <c r="BD281" s="2934" t="e">
        <f t="shared" si="1258"/>
        <v>#VALUE!</v>
      </c>
      <c r="BE281" s="3880" t="e">
        <f t="shared" si="1258"/>
        <v>#VALUE!</v>
      </c>
    </row>
    <row r="282" spans="2:57" ht="15" hidden="1" customHeight="1" x14ac:dyDescent="0.2">
      <c r="B282" s="1566" t="s">
        <v>1137</v>
      </c>
      <c r="C282" s="1541" t="s">
        <v>169</v>
      </c>
      <c r="D282" s="3831">
        <f t="shared" ref="D282:AE282" si="1259">+D231</f>
        <v>0</v>
      </c>
      <c r="E282" s="3836">
        <f t="shared" si="1259"/>
        <v>8.1</v>
      </c>
      <c r="F282" s="3831">
        <f t="shared" si="1259"/>
        <v>0</v>
      </c>
      <c r="G282" s="6023">
        <f t="shared" si="1259"/>
        <v>7.8</v>
      </c>
      <c r="H282" s="2975">
        <f t="shared" si="1259"/>
        <v>0</v>
      </c>
      <c r="I282" s="2337">
        <f t="shared" si="1259"/>
        <v>8.1</v>
      </c>
      <c r="J282" s="2801">
        <f t="shared" si="1259"/>
        <v>6.5</v>
      </c>
      <c r="K282" s="6023">
        <f t="shared" si="1259"/>
        <v>7.9</v>
      </c>
      <c r="L282" s="3067">
        <f t="shared" si="1259"/>
        <v>6.5</v>
      </c>
      <c r="M282" s="2252">
        <f t="shared" si="1259"/>
        <v>7.9</v>
      </c>
      <c r="N282" s="2801">
        <f t="shared" si="1259"/>
        <v>6.5</v>
      </c>
      <c r="O282" s="6023" t="str">
        <f t="shared" si="1259"/>
        <v>-</v>
      </c>
      <c r="P282" s="2975">
        <f t="shared" si="1259"/>
        <v>0</v>
      </c>
      <c r="Q282" s="2337">
        <f t="shared" si="1259"/>
        <v>8.5360141871165656</v>
      </c>
      <c r="R282" s="2801">
        <f t="shared" si="1259"/>
        <v>6.5</v>
      </c>
      <c r="S282" s="6354">
        <f t="shared" si="1259"/>
        <v>6.3999999999999995</v>
      </c>
      <c r="T282" s="2975">
        <f t="shared" si="1259"/>
        <v>0</v>
      </c>
      <c r="U282" s="2337">
        <f t="shared" si="1259"/>
        <v>6.3999999999999995</v>
      </c>
      <c r="V282" s="2801">
        <f t="shared" si="1259"/>
        <v>6.5</v>
      </c>
      <c r="W282" s="6566">
        <f t="shared" si="1259"/>
        <v>6.3999999999999995</v>
      </c>
      <c r="X282" s="3067">
        <f t="shared" si="1259"/>
        <v>6.5</v>
      </c>
      <c r="Y282" s="2252" t="str">
        <f t="shared" si="1259"/>
        <v>-</v>
      </c>
      <c r="Z282" s="2975">
        <f t="shared" si="1259"/>
        <v>0</v>
      </c>
      <c r="AA282" s="2337" t="str">
        <f t="shared" si="1259"/>
        <v>-</v>
      </c>
      <c r="AB282" s="2801">
        <f t="shared" si="1259"/>
        <v>6.5</v>
      </c>
      <c r="AC282" s="7353" t="str">
        <f t="shared" si="1259"/>
        <v>-</v>
      </c>
      <c r="AD282" s="2975">
        <f t="shared" si="1259"/>
        <v>0</v>
      </c>
      <c r="AE282" s="2337">
        <f t="shared" si="1259"/>
        <v>6.3999999999999995</v>
      </c>
      <c r="AJ282" s="2801">
        <f t="shared" ref="AJ282:AO282" si="1260">+AJ231</f>
        <v>6.5</v>
      </c>
      <c r="AK282" s="7743">
        <f t="shared" si="1260"/>
        <v>0</v>
      </c>
      <c r="AL282" s="3067">
        <f t="shared" si="1260"/>
        <v>6.5</v>
      </c>
      <c r="AM282" s="2252">
        <f t="shared" si="1260"/>
        <v>0</v>
      </c>
      <c r="AN282" s="2975">
        <f t="shared" si="1260"/>
        <v>0</v>
      </c>
      <c r="AO282" s="2337">
        <f t="shared" si="1260"/>
        <v>0</v>
      </c>
      <c r="AP282" s="2801">
        <f t="shared" ref="AP282:AQ282" si="1261">+AP231</f>
        <v>6.5</v>
      </c>
      <c r="AQ282" s="8054">
        <f t="shared" si="1261"/>
        <v>0</v>
      </c>
      <c r="AR282" s="8011"/>
      <c r="AS282" s="8011"/>
      <c r="AT282" s="2801">
        <f t="shared" ref="AT282:AU282" si="1262">+AT231</f>
        <v>6.5</v>
      </c>
      <c r="AU282" s="8178">
        <f t="shared" si="1262"/>
        <v>0</v>
      </c>
      <c r="AV282" s="8143"/>
      <c r="AW282" s="8143"/>
      <c r="AX282" s="2801">
        <f t="shared" ref="AX282:BE282" si="1263">+AX231</f>
        <v>6.5</v>
      </c>
      <c r="AY282" s="8336">
        <f t="shared" si="1263"/>
        <v>0</v>
      </c>
      <c r="AZ282" s="3067">
        <f t="shared" si="1263"/>
        <v>6.5</v>
      </c>
      <c r="BA282" s="2252">
        <f t="shared" si="1263"/>
        <v>0</v>
      </c>
      <c r="BB282" s="3067"/>
      <c r="BC282" s="2252"/>
      <c r="BD282" s="2975">
        <f t="shared" si="1263"/>
        <v>0</v>
      </c>
      <c r="BE282" s="2337">
        <f t="shared" si="1263"/>
        <v>0</v>
      </c>
    </row>
    <row r="283" spans="2:57" ht="15" hidden="1" customHeight="1" x14ac:dyDescent="0.2">
      <c r="B283" s="1531" t="s">
        <v>1138</v>
      </c>
      <c r="C283" s="1544" t="s">
        <v>169</v>
      </c>
      <c r="D283" s="3377">
        <f t="shared" ref="D283:AE283" si="1264">+D235</f>
        <v>0</v>
      </c>
      <c r="E283" s="3847">
        <f t="shared" si="1264"/>
        <v>8.1999999999999993</v>
      </c>
      <c r="F283" s="3377">
        <f t="shared" si="1264"/>
        <v>0</v>
      </c>
      <c r="G283" s="2339">
        <f t="shared" si="1264"/>
        <v>8.1</v>
      </c>
      <c r="H283" s="2796">
        <f t="shared" si="1264"/>
        <v>0</v>
      </c>
      <c r="I283" s="2486" t="e">
        <f t="shared" si="1264"/>
        <v>#DIV/0!</v>
      </c>
      <c r="J283" s="2707">
        <f t="shared" si="1264"/>
        <v>6.5</v>
      </c>
      <c r="K283" s="2339" t="str">
        <f t="shared" si="1264"/>
        <v>-</v>
      </c>
      <c r="L283" s="3054">
        <f t="shared" si="1264"/>
        <v>6.5</v>
      </c>
      <c r="M283" s="2268" t="e">
        <f t="shared" si="1264"/>
        <v>#DIV/0!</v>
      </c>
      <c r="N283" s="2707">
        <f t="shared" si="1264"/>
        <v>6.5</v>
      </c>
      <c r="O283" s="2339">
        <f t="shared" si="1264"/>
        <v>9.7666666666666657</v>
      </c>
      <c r="P283" s="2796">
        <f t="shared" si="1264"/>
        <v>0</v>
      </c>
      <c r="Q283" s="2486" t="e">
        <f t="shared" si="1264"/>
        <v>#DIV/0!</v>
      </c>
      <c r="R283" s="2707">
        <f t="shared" si="1264"/>
        <v>6.5</v>
      </c>
      <c r="S283" s="2339" t="e">
        <f t="shared" si="1264"/>
        <v>#DIV/0!</v>
      </c>
      <c r="T283" s="2796">
        <f t="shared" si="1264"/>
        <v>0</v>
      </c>
      <c r="U283" s="2486" t="e">
        <f t="shared" si="1264"/>
        <v>#REF!</v>
      </c>
      <c r="V283" s="2707">
        <f t="shared" si="1264"/>
        <v>6.5</v>
      </c>
      <c r="W283" s="2339" t="e">
        <f t="shared" si="1264"/>
        <v>#DIV/0!</v>
      </c>
      <c r="X283" s="3054">
        <f t="shared" si="1264"/>
        <v>6.5</v>
      </c>
      <c r="Y283" s="2268">
        <f t="shared" si="1264"/>
        <v>8.1333333333333329</v>
      </c>
      <c r="Z283" s="2796">
        <f t="shared" si="1264"/>
        <v>0</v>
      </c>
      <c r="AA283" s="2486">
        <f t="shared" si="1264"/>
        <v>8.1666666666666661</v>
      </c>
      <c r="AB283" s="2707">
        <f t="shared" si="1264"/>
        <v>6.5</v>
      </c>
      <c r="AC283" s="2339">
        <f t="shared" si="1264"/>
        <v>8.1</v>
      </c>
      <c r="AD283" s="2796">
        <f t="shared" si="1264"/>
        <v>0</v>
      </c>
      <c r="AE283" s="2486" t="e">
        <f t="shared" si="1264"/>
        <v>#DIV/0!</v>
      </c>
      <c r="AJ283" s="2707">
        <f t="shared" ref="AJ283:AO283" si="1265">+AJ235</f>
        <v>6.5</v>
      </c>
      <c r="AK283" s="2339">
        <f t="shared" si="1265"/>
        <v>0</v>
      </c>
      <c r="AL283" s="3054">
        <f t="shared" si="1265"/>
        <v>6.5</v>
      </c>
      <c r="AM283" s="2268">
        <f t="shared" si="1265"/>
        <v>0</v>
      </c>
      <c r="AN283" s="2796">
        <f t="shared" si="1265"/>
        <v>0</v>
      </c>
      <c r="AO283" s="2486">
        <f t="shared" si="1265"/>
        <v>0</v>
      </c>
      <c r="AP283" s="2707">
        <f t="shared" ref="AP283:AQ283" si="1266">+AP235</f>
        <v>6.5</v>
      </c>
      <c r="AQ283" s="2339">
        <f t="shared" si="1266"/>
        <v>0</v>
      </c>
      <c r="AR283" s="8011"/>
      <c r="AS283" s="8011"/>
      <c r="AT283" s="2707">
        <f t="shared" ref="AT283:AU283" si="1267">+AT235</f>
        <v>6.5</v>
      </c>
      <c r="AU283" s="2339">
        <f t="shared" si="1267"/>
        <v>0</v>
      </c>
      <c r="AV283" s="8143"/>
      <c r="AW283" s="8143"/>
      <c r="AX283" s="2707">
        <f t="shared" ref="AX283:BE283" si="1268">+AX235</f>
        <v>6.5</v>
      </c>
      <c r="AY283" s="2339">
        <f t="shared" si="1268"/>
        <v>0</v>
      </c>
      <c r="AZ283" s="3054">
        <f t="shared" si="1268"/>
        <v>6.5</v>
      </c>
      <c r="BA283" s="2268">
        <f t="shared" si="1268"/>
        <v>0</v>
      </c>
      <c r="BB283" s="3054"/>
      <c r="BC283" s="2268"/>
      <c r="BD283" s="2796">
        <f t="shared" si="1268"/>
        <v>0</v>
      </c>
      <c r="BE283" s="2486">
        <f t="shared" si="1268"/>
        <v>0</v>
      </c>
    </row>
    <row r="284" spans="2:57" ht="15" hidden="1" customHeight="1" x14ac:dyDescent="0.2">
      <c r="B284" s="1564" t="s">
        <v>1314</v>
      </c>
      <c r="C284" s="1547" t="s">
        <v>169</v>
      </c>
      <c r="D284" s="3830">
        <f t="shared" ref="D284:AE284" si="1269">+D227</f>
        <v>0</v>
      </c>
      <c r="E284" s="3841">
        <f t="shared" si="1269"/>
        <v>0</v>
      </c>
      <c r="F284" s="3830">
        <f t="shared" si="1269"/>
        <v>0</v>
      </c>
      <c r="G284" s="3864">
        <f t="shared" si="1269"/>
        <v>0</v>
      </c>
      <c r="H284" s="2984">
        <f t="shared" si="1269"/>
        <v>0</v>
      </c>
      <c r="I284" s="2808">
        <f t="shared" si="1269"/>
        <v>0</v>
      </c>
      <c r="J284" s="2799" t="str">
        <f t="shared" si="1269"/>
        <v>-</v>
      </c>
      <c r="K284" s="3864">
        <f t="shared" si="1269"/>
        <v>0</v>
      </c>
      <c r="L284" s="3127" t="str">
        <f t="shared" si="1269"/>
        <v>-</v>
      </c>
      <c r="M284" s="2889">
        <f t="shared" si="1269"/>
        <v>0</v>
      </c>
      <c r="N284" s="2799" t="str">
        <f t="shared" si="1269"/>
        <v>-</v>
      </c>
      <c r="O284" s="3864">
        <f t="shared" si="1269"/>
        <v>0</v>
      </c>
      <c r="P284" s="2984">
        <f t="shared" si="1269"/>
        <v>0</v>
      </c>
      <c r="Q284" s="2808">
        <f t="shared" si="1269"/>
        <v>0.99214728784479334</v>
      </c>
      <c r="R284" s="2799" t="str">
        <f t="shared" si="1269"/>
        <v>-</v>
      </c>
      <c r="S284" s="3864" t="e">
        <f t="shared" si="1269"/>
        <v>#REF!</v>
      </c>
      <c r="T284" s="2984">
        <f t="shared" si="1269"/>
        <v>0</v>
      </c>
      <c r="U284" s="2808" t="e">
        <f t="shared" si="1269"/>
        <v>#REF!</v>
      </c>
      <c r="V284" s="2799" t="str">
        <f t="shared" si="1269"/>
        <v>-</v>
      </c>
      <c r="W284" s="3864" t="e">
        <f t="shared" si="1269"/>
        <v>#REF!</v>
      </c>
      <c r="X284" s="3127" t="str">
        <f t="shared" si="1269"/>
        <v>-</v>
      </c>
      <c r="Y284" s="2889">
        <f t="shared" si="1269"/>
        <v>0</v>
      </c>
      <c r="Z284" s="2984">
        <f t="shared" si="1269"/>
        <v>0</v>
      </c>
      <c r="AA284" s="2808">
        <f t="shared" si="1269"/>
        <v>0</v>
      </c>
      <c r="AB284" s="2799" t="str">
        <f t="shared" si="1269"/>
        <v>-</v>
      </c>
      <c r="AC284" s="3864">
        <f t="shared" si="1269"/>
        <v>0</v>
      </c>
      <c r="AD284" s="2984">
        <f t="shared" si="1269"/>
        <v>0</v>
      </c>
      <c r="AE284" s="2808" t="e">
        <f t="shared" si="1269"/>
        <v>#REF!</v>
      </c>
      <c r="AJ284" s="2799" t="str">
        <f t="shared" ref="AJ284:AO284" si="1270">+AJ227</f>
        <v>-</v>
      </c>
      <c r="AK284" s="3864">
        <f t="shared" si="1270"/>
        <v>0</v>
      </c>
      <c r="AL284" s="3127" t="str">
        <f t="shared" si="1270"/>
        <v>-</v>
      </c>
      <c r="AM284" s="2889">
        <f t="shared" si="1270"/>
        <v>0</v>
      </c>
      <c r="AN284" s="2984">
        <f t="shared" si="1270"/>
        <v>0</v>
      </c>
      <c r="AO284" s="2808">
        <f t="shared" si="1270"/>
        <v>0</v>
      </c>
      <c r="AP284" s="2799" t="str">
        <f t="shared" ref="AP284:AQ284" si="1271">+AP227</f>
        <v>-</v>
      </c>
      <c r="AQ284" s="3864">
        <f t="shared" si="1271"/>
        <v>0</v>
      </c>
      <c r="AR284" s="8011"/>
      <c r="AS284" s="8011"/>
      <c r="AT284" s="2799" t="str">
        <f t="shared" ref="AT284:AU284" si="1272">+AT227</f>
        <v>-</v>
      </c>
      <c r="AU284" s="3864">
        <f t="shared" si="1272"/>
        <v>0</v>
      </c>
      <c r="AV284" s="8143"/>
      <c r="AW284" s="8143"/>
      <c r="AX284" s="2799" t="str">
        <f t="shared" ref="AX284:BE284" si="1273">+AX227</f>
        <v>-</v>
      </c>
      <c r="AY284" s="3864">
        <f t="shared" si="1273"/>
        <v>0</v>
      </c>
      <c r="AZ284" s="3127" t="str">
        <f t="shared" si="1273"/>
        <v>-</v>
      </c>
      <c r="BA284" s="2889">
        <f t="shared" si="1273"/>
        <v>0</v>
      </c>
      <c r="BB284" s="3127"/>
      <c r="BC284" s="2889"/>
      <c r="BD284" s="2984">
        <f t="shared" si="1273"/>
        <v>0</v>
      </c>
      <c r="BE284" s="2808">
        <f t="shared" si="1273"/>
        <v>0</v>
      </c>
    </row>
    <row r="285" spans="2:57" ht="19.5" hidden="1" customHeight="1" thickBot="1" x14ac:dyDescent="0.25">
      <c r="B285" s="2961" t="s">
        <v>1360</v>
      </c>
      <c r="C285" s="2963" t="s">
        <v>169</v>
      </c>
      <c r="D285" s="2933" t="e">
        <f t="shared" ref="D285:AE285" si="1274">+SUMPRODUCT(D262:D265,D282:D284)/D266</f>
        <v>#VALUE!</v>
      </c>
      <c r="E285" s="3853" t="e">
        <f t="shared" si="1274"/>
        <v>#VALUE!</v>
      </c>
      <c r="F285" s="2933" t="e">
        <f t="shared" si="1274"/>
        <v>#VALUE!</v>
      </c>
      <c r="G285" s="3862" t="e">
        <f t="shared" si="1274"/>
        <v>#VALUE!</v>
      </c>
      <c r="H285" s="2934" t="e">
        <f t="shared" si="1274"/>
        <v>#VALUE!</v>
      </c>
      <c r="I285" s="3880" t="e">
        <f t="shared" si="1274"/>
        <v>#DIV/0!</v>
      </c>
      <c r="J285" s="2871" t="e">
        <f t="shared" si="1274"/>
        <v>#VALUE!</v>
      </c>
      <c r="K285" s="3862" t="e">
        <f t="shared" si="1274"/>
        <v>#VALUE!</v>
      </c>
      <c r="L285" s="2935" t="e">
        <f t="shared" si="1274"/>
        <v>#VALUE!</v>
      </c>
      <c r="M285" s="3906" t="e">
        <f t="shared" si="1274"/>
        <v>#DIV/0!</v>
      </c>
      <c r="N285" s="2871" t="e">
        <f t="shared" si="1274"/>
        <v>#VALUE!</v>
      </c>
      <c r="O285" s="3862" t="e">
        <f t="shared" si="1274"/>
        <v>#VALUE!</v>
      </c>
      <c r="P285" s="2934" t="e">
        <f t="shared" si="1274"/>
        <v>#VALUE!</v>
      </c>
      <c r="Q285" s="3880" t="e">
        <f t="shared" si="1274"/>
        <v>#DIV/0!</v>
      </c>
      <c r="R285" s="2871" t="e">
        <f t="shared" si="1274"/>
        <v>#VALUE!</v>
      </c>
      <c r="S285" s="3862" t="e">
        <f t="shared" si="1274"/>
        <v>#DIV/0!</v>
      </c>
      <c r="T285" s="2934" t="e">
        <f t="shared" si="1274"/>
        <v>#VALUE!</v>
      </c>
      <c r="U285" s="3880" t="e">
        <f t="shared" si="1274"/>
        <v>#REF!</v>
      </c>
      <c r="V285" s="2871" t="e">
        <f t="shared" si="1274"/>
        <v>#VALUE!</v>
      </c>
      <c r="W285" s="3862" t="e">
        <f t="shared" si="1274"/>
        <v>#DIV/0!</v>
      </c>
      <c r="X285" s="2935" t="e">
        <f t="shared" si="1274"/>
        <v>#VALUE!</v>
      </c>
      <c r="Y285" s="3906" t="e">
        <f t="shared" si="1274"/>
        <v>#VALUE!</v>
      </c>
      <c r="Z285" s="2934" t="e">
        <f t="shared" si="1274"/>
        <v>#VALUE!</v>
      </c>
      <c r="AA285" s="3880" t="e">
        <f t="shared" si="1274"/>
        <v>#VALUE!</v>
      </c>
      <c r="AB285" s="2871" t="e">
        <f t="shared" si="1274"/>
        <v>#VALUE!</v>
      </c>
      <c r="AC285" s="3862" t="e">
        <f t="shared" si="1274"/>
        <v>#VALUE!</v>
      </c>
      <c r="AD285" s="2934" t="e">
        <f t="shared" si="1274"/>
        <v>#VALUE!</v>
      </c>
      <c r="AE285" s="3880" t="e">
        <f t="shared" si="1274"/>
        <v>#DIV/0!</v>
      </c>
      <c r="AJ285" s="2871" t="e">
        <f t="shared" ref="AJ285:AO285" si="1275">+SUMPRODUCT(AJ262:AJ265,AJ282:AJ284)/AJ266</f>
        <v>#VALUE!</v>
      </c>
      <c r="AK285" s="3862" t="e">
        <f t="shared" si="1275"/>
        <v>#VALUE!</v>
      </c>
      <c r="AL285" s="2935" t="e">
        <f t="shared" si="1275"/>
        <v>#VALUE!</v>
      </c>
      <c r="AM285" s="3906" t="e">
        <f t="shared" si="1275"/>
        <v>#VALUE!</v>
      </c>
      <c r="AN285" s="2934" t="e">
        <f t="shared" si="1275"/>
        <v>#VALUE!</v>
      </c>
      <c r="AO285" s="3880" t="e">
        <f t="shared" si="1275"/>
        <v>#VALUE!</v>
      </c>
      <c r="AP285" s="2871" t="e">
        <f t="shared" ref="AP285:AQ285" si="1276">+SUMPRODUCT(AP262:AP265,AP282:AP284)/AP266</f>
        <v>#VALUE!</v>
      </c>
      <c r="AQ285" s="3862" t="e">
        <f t="shared" si="1276"/>
        <v>#VALUE!</v>
      </c>
      <c r="AR285" s="8011"/>
      <c r="AS285" s="8011"/>
      <c r="AT285" s="2871" t="e">
        <f t="shared" ref="AT285:AU285" si="1277">+SUMPRODUCT(AT262:AT265,AT282:AT284)/AT266</f>
        <v>#VALUE!</v>
      </c>
      <c r="AU285" s="3862" t="e">
        <f t="shared" si="1277"/>
        <v>#VALUE!</v>
      </c>
      <c r="AV285" s="8143"/>
      <c r="AW285" s="8143"/>
      <c r="AX285" s="2871" t="e">
        <f t="shared" ref="AX285:BE285" si="1278">+SUMPRODUCT(AX262:AX265,AX282:AX284)/AX266</f>
        <v>#VALUE!</v>
      </c>
      <c r="AY285" s="3862" t="e">
        <f t="shared" si="1278"/>
        <v>#VALUE!</v>
      </c>
      <c r="AZ285" s="2935" t="e">
        <f t="shared" si="1278"/>
        <v>#VALUE!</v>
      </c>
      <c r="BA285" s="3906" t="e">
        <f t="shared" si="1278"/>
        <v>#VALUE!</v>
      </c>
      <c r="BB285" s="2935"/>
      <c r="BC285" s="3906"/>
      <c r="BD285" s="2934" t="e">
        <f t="shared" si="1278"/>
        <v>#VALUE!</v>
      </c>
      <c r="BE285" s="3880" t="e">
        <f t="shared" si="1278"/>
        <v>#VALUE!</v>
      </c>
    </row>
    <row r="286" spans="2:57" ht="19.5" hidden="1" customHeight="1" thickBot="1" x14ac:dyDescent="0.25">
      <c r="B286" s="2961" t="s">
        <v>38</v>
      </c>
      <c r="C286" s="2963" t="s">
        <v>169</v>
      </c>
      <c r="D286" s="2933" t="e">
        <f t="shared" ref="D286:AE286" si="1279">+((D261*D281)+(D266*D285))/D267</f>
        <v>#VALUE!</v>
      </c>
      <c r="E286" s="3853" t="e">
        <f t="shared" si="1279"/>
        <v>#VALUE!</v>
      </c>
      <c r="F286" s="2933" t="e">
        <f t="shared" si="1279"/>
        <v>#VALUE!</v>
      </c>
      <c r="G286" s="3862" t="e">
        <f t="shared" si="1279"/>
        <v>#VALUE!</v>
      </c>
      <c r="H286" s="2934" t="e">
        <f t="shared" si="1279"/>
        <v>#VALUE!</v>
      </c>
      <c r="I286" s="3880" t="e">
        <f t="shared" si="1279"/>
        <v>#DIV/0!</v>
      </c>
      <c r="J286" s="2871" t="e">
        <f t="shared" si="1279"/>
        <v>#VALUE!</v>
      </c>
      <c r="K286" s="3862" t="e">
        <f t="shared" si="1279"/>
        <v>#VALUE!</v>
      </c>
      <c r="L286" s="2935" t="e">
        <f t="shared" si="1279"/>
        <v>#VALUE!</v>
      </c>
      <c r="M286" s="3906" t="e">
        <f t="shared" si="1279"/>
        <v>#DIV/0!</v>
      </c>
      <c r="N286" s="2871" t="e">
        <f t="shared" si="1279"/>
        <v>#VALUE!</v>
      </c>
      <c r="O286" s="3862" t="e">
        <f t="shared" si="1279"/>
        <v>#VALUE!</v>
      </c>
      <c r="P286" s="2934" t="e">
        <f t="shared" si="1279"/>
        <v>#VALUE!</v>
      </c>
      <c r="Q286" s="3880" t="e">
        <f t="shared" si="1279"/>
        <v>#DIV/0!</v>
      </c>
      <c r="R286" s="2871" t="e">
        <f t="shared" si="1279"/>
        <v>#VALUE!</v>
      </c>
      <c r="S286" s="3862" t="e">
        <f t="shared" si="1279"/>
        <v>#REF!</v>
      </c>
      <c r="T286" s="2934" t="e">
        <f t="shared" si="1279"/>
        <v>#VALUE!</v>
      </c>
      <c r="U286" s="3880" t="e">
        <f t="shared" si="1279"/>
        <v>#REF!</v>
      </c>
      <c r="V286" s="2871" t="e">
        <f t="shared" si="1279"/>
        <v>#VALUE!</v>
      </c>
      <c r="W286" s="3862" t="e">
        <f t="shared" si="1279"/>
        <v>#REF!</v>
      </c>
      <c r="X286" s="2935" t="e">
        <f t="shared" si="1279"/>
        <v>#VALUE!</v>
      </c>
      <c r="Y286" s="3906" t="e">
        <f t="shared" si="1279"/>
        <v>#VALUE!</v>
      </c>
      <c r="Z286" s="2934" t="e">
        <f t="shared" si="1279"/>
        <v>#VALUE!</v>
      </c>
      <c r="AA286" s="3880" t="e">
        <f t="shared" si="1279"/>
        <v>#VALUE!</v>
      </c>
      <c r="AB286" s="2871" t="e">
        <f t="shared" si="1279"/>
        <v>#VALUE!</v>
      </c>
      <c r="AC286" s="3862" t="e">
        <f t="shared" si="1279"/>
        <v>#VALUE!</v>
      </c>
      <c r="AD286" s="2934" t="e">
        <f t="shared" si="1279"/>
        <v>#VALUE!</v>
      </c>
      <c r="AE286" s="3880" t="e">
        <f t="shared" si="1279"/>
        <v>#REF!</v>
      </c>
      <c r="AJ286" s="2871" t="e">
        <f t="shared" ref="AJ286:AO286" si="1280">+((AJ261*AJ281)+(AJ266*AJ285))/AJ267</f>
        <v>#VALUE!</v>
      </c>
      <c r="AK286" s="3862" t="e">
        <f t="shared" si="1280"/>
        <v>#VALUE!</v>
      </c>
      <c r="AL286" s="2935" t="e">
        <f t="shared" si="1280"/>
        <v>#VALUE!</v>
      </c>
      <c r="AM286" s="3906" t="e">
        <f t="shared" si="1280"/>
        <v>#VALUE!</v>
      </c>
      <c r="AN286" s="2934" t="e">
        <f t="shared" si="1280"/>
        <v>#VALUE!</v>
      </c>
      <c r="AO286" s="3880" t="e">
        <f t="shared" si="1280"/>
        <v>#VALUE!</v>
      </c>
      <c r="AP286" s="2871" t="e">
        <f t="shared" ref="AP286:AQ286" si="1281">+((AP261*AP281)+(AP266*AP285))/AP267</f>
        <v>#VALUE!</v>
      </c>
      <c r="AQ286" s="3862" t="e">
        <f t="shared" si="1281"/>
        <v>#VALUE!</v>
      </c>
      <c r="AR286" s="8011"/>
      <c r="AS286" s="8011"/>
      <c r="AT286" s="2871" t="e">
        <f t="shared" ref="AT286:AU286" si="1282">+((AT261*AT281)+(AT266*AT285))/AT267</f>
        <v>#VALUE!</v>
      </c>
      <c r="AU286" s="3862" t="e">
        <f t="shared" si="1282"/>
        <v>#VALUE!</v>
      </c>
      <c r="AV286" s="8143"/>
      <c r="AW286" s="8143"/>
      <c r="AX286" s="2871" t="e">
        <f t="shared" ref="AX286:BE286" si="1283">+((AX261*AX281)+(AX266*AX285))/AX267</f>
        <v>#VALUE!</v>
      </c>
      <c r="AY286" s="3862" t="e">
        <f t="shared" si="1283"/>
        <v>#VALUE!</v>
      </c>
      <c r="AZ286" s="2935" t="e">
        <f t="shared" si="1283"/>
        <v>#VALUE!</v>
      </c>
      <c r="BA286" s="3906" t="e">
        <f t="shared" si="1283"/>
        <v>#VALUE!</v>
      </c>
      <c r="BB286" s="2935"/>
      <c r="BC286" s="3906"/>
      <c r="BD286" s="2934" t="e">
        <f t="shared" si="1283"/>
        <v>#VALUE!</v>
      </c>
      <c r="BE286" s="3880" t="e">
        <f t="shared" si="1283"/>
        <v>#VALUE!</v>
      </c>
    </row>
    <row r="287" spans="2:57" ht="15" hidden="1" customHeight="1" x14ac:dyDescent="0.2">
      <c r="S287" s="2265"/>
      <c r="U287" s="2265"/>
      <c r="V287" s="2100"/>
      <c r="W287" s="2265"/>
      <c r="X287" s="2100"/>
      <c r="Y287" s="2265"/>
      <c r="Z287" s="2100"/>
      <c r="AA287" s="2265"/>
      <c r="AB287" s="2100"/>
      <c r="AC287" s="2265"/>
      <c r="AD287" s="2100"/>
      <c r="AE287" s="2265"/>
      <c r="AJ287" s="2100"/>
      <c r="AK287" s="2265"/>
      <c r="AL287" s="2100"/>
      <c r="AM287" s="2265"/>
      <c r="AN287" s="2100"/>
      <c r="AO287" s="2265"/>
      <c r="AP287" s="2100"/>
      <c r="AQ287" s="2265"/>
      <c r="AR287" s="8011"/>
      <c r="AS287" s="8011"/>
      <c r="AT287" s="2100"/>
      <c r="AU287" s="2265"/>
      <c r="AV287" s="8143"/>
      <c r="AW287" s="8143"/>
      <c r="AX287" s="2100"/>
      <c r="AY287" s="2265"/>
      <c r="AZ287" s="2100"/>
      <c r="BA287" s="2265"/>
      <c r="BB287" s="2100"/>
      <c r="BC287" s="2265"/>
      <c r="BD287" s="2100"/>
      <c r="BE287" s="2265"/>
    </row>
    <row r="288" spans="2:57" ht="15" hidden="1" customHeight="1" x14ac:dyDescent="0.2">
      <c r="S288" s="2265"/>
      <c r="U288" s="2265"/>
      <c r="V288" s="2100"/>
      <c r="W288" s="2265"/>
      <c r="X288" s="2100"/>
      <c r="Y288" s="2265"/>
      <c r="Z288" s="2100"/>
      <c r="AA288" s="2265"/>
      <c r="AB288" s="2100"/>
      <c r="AC288" s="2265"/>
      <c r="AD288" s="2100"/>
      <c r="AE288" s="2265"/>
      <c r="AJ288" s="2100"/>
      <c r="AK288" s="2265"/>
      <c r="AL288" s="2100"/>
      <c r="AM288" s="2265"/>
      <c r="AN288" s="2100"/>
      <c r="AO288" s="2265"/>
      <c r="AP288" s="2100"/>
      <c r="AQ288" s="2265"/>
      <c r="AR288" s="8011"/>
      <c r="AS288" s="8011"/>
      <c r="AT288" s="2100"/>
      <c r="AU288" s="2265"/>
      <c r="AV288" s="8143"/>
      <c r="AW288" s="8143"/>
      <c r="AX288" s="2100"/>
      <c r="AY288" s="2265"/>
      <c r="AZ288" s="2100"/>
      <c r="BA288" s="2265"/>
      <c r="BB288" s="2100"/>
      <c r="BC288" s="2265"/>
      <c r="BD288" s="2100"/>
      <c r="BE288" s="2265"/>
    </row>
    <row r="289" spans="2:57" x14ac:dyDescent="0.2">
      <c r="S289" s="2265"/>
      <c r="U289" s="2265"/>
      <c r="V289" s="2100"/>
      <c r="W289" s="2265"/>
      <c r="X289" s="2100"/>
      <c r="Y289" s="2265"/>
      <c r="Z289" s="2100"/>
      <c r="AA289" s="2265"/>
      <c r="AB289" s="2100"/>
      <c r="AC289" s="2265"/>
      <c r="AD289" s="2100"/>
      <c r="AE289" s="2265"/>
      <c r="AJ289" s="2100"/>
      <c r="AK289" s="2265"/>
      <c r="AL289" s="2100"/>
      <c r="AM289" s="2265"/>
      <c r="AN289" s="2100"/>
      <c r="AO289" s="2265"/>
      <c r="AP289" s="2100"/>
      <c r="AQ289" s="2265"/>
      <c r="AR289" s="8011"/>
      <c r="AS289" s="8011"/>
      <c r="AT289" s="2100"/>
      <c r="AU289" s="2265"/>
      <c r="AV289" s="8143"/>
      <c r="AW289" s="8143"/>
      <c r="AX289" s="2100"/>
      <c r="AY289" s="2265"/>
      <c r="AZ289" s="2100"/>
      <c r="BA289" s="2265"/>
      <c r="BB289" s="2100"/>
      <c r="BC289" s="2265"/>
      <c r="BD289" s="2100"/>
      <c r="BE289" s="2265"/>
    </row>
    <row r="290" spans="2:57" x14ac:dyDescent="0.2">
      <c r="S290" s="2265"/>
      <c r="U290" s="2265"/>
      <c r="V290" s="2100"/>
      <c r="W290" s="2265"/>
      <c r="X290" s="2100"/>
      <c r="Y290" s="2265"/>
      <c r="Z290" s="2100"/>
      <c r="AA290" s="2265"/>
      <c r="AB290" s="2100"/>
      <c r="AC290" s="2265"/>
      <c r="AD290" s="2100"/>
      <c r="AE290" s="2265"/>
      <c r="AJ290" s="2100"/>
      <c r="AK290" s="2265"/>
      <c r="AL290" s="2100"/>
      <c r="AM290" s="2265"/>
      <c r="AN290" s="2100"/>
      <c r="AO290" s="2265"/>
      <c r="AP290" s="2100"/>
      <c r="AQ290" s="2265"/>
      <c r="AR290" s="8011"/>
      <c r="AS290" s="8011"/>
      <c r="AT290" s="2100"/>
      <c r="AU290" s="2265"/>
      <c r="AV290" s="8143"/>
      <c r="AW290" s="8143"/>
      <c r="AX290" s="2100"/>
      <c r="AY290" s="2265"/>
      <c r="AZ290" s="2100"/>
      <c r="BA290" s="2265"/>
      <c r="BB290" s="2100"/>
      <c r="BC290" s="2265"/>
      <c r="BD290" s="2100"/>
      <c r="BE290" s="2265"/>
    </row>
    <row r="291" spans="2:57" x14ac:dyDescent="0.2">
      <c r="S291" s="2265"/>
      <c r="U291" s="2265"/>
      <c r="V291" s="2100"/>
      <c r="W291" s="2265"/>
      <c r="X291" s="2100"/>
      <c r="Y291" s="2265"/>
      <c r="Z291" s="2100"/>
      <c r="AA291" s="2265"/>
      <c r="AB291" s="2100"/>
      <c r="AC291" s="2265"/>
      <c r="AD291" s="2100"/>
      <c r="AE291" s="2265"/>
      <c r="AJ291" s="2100"/>
      <c r="AK291" s="2265"/>
      <c r="AL291" s="2100"/>
      <c r="AM291" s="2265"/>
      <c r="AN291" s="2100"/>
      <c r="AO291" s="2265"/>
      <c r="AP291" s="2100"/>
      <c r="AQ291" s="2265"/>
      <c r="AR291" s="8011"/>
      <c r="AS291" s="8011"/>
      <c r="AT291" s="2100"/>
      <c r="AU291" s="2265"/>
      <c r="AV291" s="8143"/>
      <c r="AW291" s="8143"/>
      <c r="AX291" s="2100"/>
      <c r="AY291" s="2265"/>
      <c r="AZ291" s="2100"/>
      <c r="BA291" s="2265"/>
      <c r="BB291" s="2100"/>
      <c r="BC291" s="2265"/>
      <c r="BD291" s="2100"/>
      <c r="BE291" s="2265"/>
    </row>
    <row r="292" spans="2:57" ht="15" hidden="1" customHeight="1" x14ac:dyDescent="0.2">
      <c r="S292" s="2265"/>
      <c r="U292" s="2265"/>
      <c r="V292" s="2100"/>
      <c r="W292" s="2265"/>
      <c r="X292" s="2100"/>
      <c r="Y292" s="2265"/>
      <c r="Z292" s="2100"/>
      <c r="AA292" s="2265"/>
      <c r="AB292" s="2100"/>
      <c r="AC292" s="2265"/>
      <c r="AD292" s="2100"/>
      <c r="AE292" s="2265"/>
      <c r="AJ292" s="2100"/>
      <c r="AK292" s="2265"/>
      <c r="AL292" s="2100"/>
      <c r="AM292" s="2265"/>
      <c r="AN292" s="2100"/>
      <c r="AO292" s="2265"/>
      <c r="AP292" s="2100"/>
      <c r="AQ292" s="2265"/>
      <c r="AR292" s="8011"/>
      <c r="AS292" s="8011"/>
      <c r="AT292" s="2100"/>
      <c r="AU292" s="2265"/>
      <c r="AV292" s="8143"/>
      <c r="AW292" s="8143"/>
      <c r="AX292" s="2100"/>
      <c r="AY292" s="2265"/>
      <c r="AZ292" s="2100"/>
      <c r="BA292" s="2265"/>
      <c r="BB292" s="2100"/>
      <c r="BC292" s="2265"/>
      <c r="BD292" s="2100"/>
      <c r="BE292" s="2265"/>
    </row>
    <row r="293" spans="2:57" ht="15" hidden="1" customHeight="1" x14ac:dyDescent="0.2">
      <c r="S293" s="2265"/>
      <c r="U293" s="2265"/>
      <c r="V293" s="2100"/>
      <c r="W293" s="2265"/>
      <c r="X293" s="2100"/>
      <c r="Y293" s="2265"/>
      <c r="Z293" s="2100"/>
      <c r="AA293" s="2265"/>
      <c r="AB293" s="2100"/>
      <c r="AC293" s="2265"/>
      <c r="AD293" s="2100"/>
      <c r="AE293" s="2265"/>
      <c r="AJ293" s="2100"/>
      <c r="AK293" s="2265"/>
      <c r="AL293" s="2100"/>
      <c r="AM293" s="2265"/>
      <c r="AN293" s="2100"/>
      <c r="AO293" s="2265"/>
      <c r="AP293" s="2100"/>
      <c r="AQ293" s="2265"/>
      <c r="AR293" s="8011"/>
      <c r="AS293" s="8011"/>
      <c r="AT293" s="2100"/>
      <c r="AU293" s="2265"/>
      <c r="AV293" s="8143"/>
      <c r="AW293" s="8143"/>
      <c r="AX293" s="2100"/>
      <c r="AY293" s="2265"/>
      <c r="AZ293" s="2100"/>
      <c r="BA293" s="2265"/>
      <c r="BB293" s="2100"/>
      <c r="BC293" s="2265"/>
      <c r="BD293" s="2100"/>
      <c r="BE293" s="2265"/>
    </row>
    <row r="294" spans="2:57" ht="15" hidden="1" customHeight="1" x14ac:dyDescent="0.2">
      <c r="S294" s="2265"/>
      <c r="U294" s="2265"/>
      <c r="V294" s="2100"/>
      <c r="W294" s="2265"/>
      <c r="X294" s="2100"/>
      <c r="Y294" s="2265"/>
      <c r="Z294" s="2100"/>
      <c r="AA294" s="2265"/>
      <c r="AB294" s="2100"/>
      <c r="AC294" s="2265"/>
      <c r="AD294" s="2100"/>
      <c r="AE294" s="2265"/>
      <c r="AJ294" s="2100"/>
      <c r="AK294" s="2265"/>
      <c r="AL294" s="2100"/>
      <c r="AM294" s="2265"/>
      <c r="AN294" s="2100"/>
      <c r="AO294" s="2265"/>
      <c r="AP294" s="2100"/>
      <c r="AQ294" s="2265"/>
      <c r="AR294" s="8011"/>
      <c r="AS294" s="8011"/>
      <c r="AT294" s="2100"/>
      <c r="AU294" s="2265"/>
      <c r="AV294" s="8143"/>
      <c r="AW294" s="8143"/>
      <c r="AX294" s="2100"/>
      <c r="AY294" s="2265"/>
      <c r="AZ294" s="2100"/>
      <c r="BA294" s="2265"/>
      <c r="BB294" s="2100"/>
      <c r="BC294" s="2265"/>
      <c r="BD294" s="2100"/>
      <c r="BE294" s="2265"/>
    </row>
    <row r="295" spans="2:57" ht="15" hidden="1" customHeight="1" x14ac:dyDescent="0.2">
      <c r="B295" s="5416">
        <v>149</v>
      </c>
      <c r="S295" s="2265"/>
      <c r="U295" s="2265"/>
      <c r="V295" s="2100"/>
      <c r="W295" s="2265"/>
      <c r="X295" s="2100"/>
      <c r="Y295" s="2265"/>
      <c r="Z295" s="2100"/>
      <c r="AA295" s="2265"/>
      <c r="AB295" s="2100"/>
      <c r="AC295" s="2265"/>
      <c r="AD295" s="2100"/>
      <c r="AE295" s="2265"/>
      <c r="AJ295" s="2100"/>
      <c r="AK295" s="2265"/>
      <c r="AL295" s="2100"/>
      <c r="AM295" s="2265"/>
      <c r="AN295" s="2100"/>
      <c r="AO295" s="2265"/>
      <c r="AP295" s="2100"/>
      <c r="AQ295" s="2265"/>
      <c r="AR295" s="8011"/>
      <c r="AS295" s="8011"/>
      <c r="AT295" s="2100"/>
      <c r="AU295" s="2265"/>
      <c r="AV295" s="8143"/>
      <c r="AW295" s="8143"/>
      <c r="AX295" s="2100"/>
      <c r="AY295" s="2265"/>
      <c r="AZ295" s="2100"/>
      <c r="BA295" s="2265"/>
      <c r="BB295" s="2100"/>
      <c r="BC295" s="2265"/>
      <c r="BD295" s="2100"/>
      <c r="BE295" s="2265"/>
    </row>
    <row r="296" spans="2:57" ht="15" hidden="1" customHeight="1" x14ac:dyDescent="0.2">
      <c r="B296" s="5416">
        <v>150</v>
      </c>
      <c r="S296" s="2265"/>
      <c r="U296" s="2265"/>
      <c r="V296" s="2100"/>
      <c r="W296" s="2265"/>
      <c r="X296" s="2100"/>
      <c r="Y296" s="2265"/>
      <c r="Z296" s="2100"/>
      <c r="AA296" s="2265"/>
      <c r="AB296" s="2100"/>
      <c r="AC296" s="2265"/>
      <c r="AD296" s="2100"/>
      <c r="AE296" s="2265"/>
      <c r="AJ296" s="2100"/>
      <c r="AK296" s="2265"/>
      <c r="AL296" s="2100"/>
      <c r="AM296" s="2265"/>
      <c r="AN296" s="2100"/>
      <c r="AO296" s="2265"/>
      <c r="AP296" s="2100"/>
      <c r="AQ296" s="2265"/>
      <c r="AR296" s="8011"/>
      <c r="AS296" s="8011"/>
      <c r="AT296" s="2100"/>
      <c r="AU296" s="2265"/>
      <c r="AV296" s="8143"/>
      <c r="AW296" s="8143"/>
      <c r="AX296" s="2100"/>
      <c r="AY296" s="2265"/>
      <c r="AZ296" s="2100"/>
      <c r="BA296" s="2265"/>
      <c r="BB296" s="2100"/>
      <c r="BC296" s="2265"/>
      <c r="BD296" s="2100"/>
      <c r="BE296" s="2265"/>
    </row>
    <row r="297" spans="2:57" ht="15" hidden="1" customHeight="1" x14ac:dyDescent="0.2">
      <c r="B297" s="5416">
        <v>153</v>
      </c>
      <c r="S297" s="2265"/>
      <c r="U297" s="2265"/>
      <c r="V297" s="2100"/>
      <c r="W297" s="2265"/>
      <c r="X297" s="2100"/>
      <c r="Y297" s="2265"/>
      <c r="Z297" s="2100"/>
      <c r="AA297" s="2265"/>
      <c r="AB297" s="2100"/>
      <c r="AC297" s="2265"/>
      <c r="AD297" s="2100"/>
      <c r="AE297" s="2265"/>
      <c r="AJ297" s="2100"/>
      <c r="AK297" s="2265"/>
      <c r="AL297" s="2100"/>
      <c r="AM297" s="2265"/>
      <c r="AN297" s="2100"/>
      <c r="AO297" s="2265"/>
      <c r="AP297" s="2100"/>
      <c r="AQ297" s="2265"/>
      <c r="AR297" s="8011"/>
      <c r="AS297" s="8011"/>
      <c r="AT297" s="2100"/>
      <c r="AU297" s="2265"/>
      <c r="AV297" s="8143"/>
      <c r="AW297" s="8143"/>
      <c r="AX297" s="2100"/>
      <c r="AY297" s="2265"/>
      <c r="AZ297" s="2100"/>
      <c r="BA297" s="2265"/>
      <c r="BB297" s="2100"/>
      <c r="BC297" s="2265"/>
      <c r="BD297" s="2100"/>
      <c r="BE297" s="2265"/>
    </row>
    <row r="298" spans="2:57" ht="15" hidden="1" customHeight="1" x14ac:dyDescent="0.2">
      <c r="B298" s="5416">
        <v>162</v>
      </c>
      <c r="S298" s="2265"/>
      <c r="U298" s="2265"/>
      <c r="V298" s="2100"/>
      <c r="W298" s="2265"/>
      <c r="X298" s="2100"/>
      <c r="Y298" s="2265"/>
      <c r="Z298" s="2100"/>
      <c r="AA298" s="2265"/>
      <c r="AB298" s="2100"/>
      <c r="AC298" s="2265"/>
      <c r="AD298" s="2100"/>
      <c r="AE298" s="2265"/>
      <c r="AJ298" s="2100"/>
      <c r="AK298" s="2265"/>
      <c r="AL298" s="2100"/>
      <c r="AM298" s="2265"/>
      <c r="AN298" s="2100"/>
      <c r="AO298" s="2265"/>
      <c r="AP298" s="2100"/>
      <c r="AQ298" s="2265"/>
      <c r="AR298" s="8011"/>
      <c r="AS298" s="8011"/>
      <c r="AT298" s="2100"/>
      <c r="AU298" s="2265"/>
      <c r="AV298" s="8143"/>
      <c r="AW298" s="8143"/>
      <c r="AX298" s="2100"/>
      <c r="AY298" s="2265"/>
      <c r="AZ298" s="2100"/>
      <c r="BA298" s="2265"/>
      <c r="BB298" s="2100"/>
      <c r="BC298" s="2265"/>
      <c r="BD298" s="2100"/>
      <c r="BE298" s="2265"/>
    </row>
    <row r="299" spans="2:57" ht="15" hidden="1" customHeight="1" x14ac:dyDescent="0.2">
      <c r="B299" s="5416">
        <v>163</v>
      </c>
      <c r="S299" s="2265"/>
      <c r="U299" s="2265"/>
      <c r="V299" s="2100"/>
      <c r="W299" s="2265"/>
      <c r="X299" s="2100"/>
      <c r="Y299" s="2265"/>
      <c r="Z299" s="2100"/>
      <c r="AA299" s="2265"/>
      <c r="AB299" s="2100"/>
      <c r="AC299" s="2265"/>
      <c r="AD299" s="2100"/>
      <c r="AE299" s="2265"/>
      <c r="AJ299" s="2100"/>
      <c r="AK299" s="2265"/>
      <c r="AL299" s="2100"/>
      <c r="AM299" s="2265"/>
      <c r="AN299" s="2100"/>
      <c r="AO299" s="2265"/>
      <c r="AP299" s="2100"/>
      <c r="AQ299" s="2265"/>
      <c r="AR299" s="8011"/>
      <c r="AS299" s="8011"/>
      <c r="AT299" s="2100"/>
      <c r="AU299" s="2265"/>
      <c r="AV299" s="8143"/>
      <c r="AW299" s="8143"/>
      <c r="AX299" s="2100"/>
      <c r="AY299" s="2265"/>
      <c r="AZ299" s="2100"/>
      <c r="BA299" s="2265"/>
      <c r="BB299" s="2100"/>
      <c r="BC299" s="2265"/>
      <c r="BD299" s="2100"/>
      <c r="BE299" s="2265"/>
    </row>
    <row r="300" spans="2:57" ht="15" hidden="1" customHeight="1" x14ac:dyDescent="0.2">
      <c r="B300" s="5416">
        <v>164</v>
      </c>
      <c r="S300" s="2265"/>
      <c r="U300" s="2265"/>
      <c r="V300" s="2100"/>
      <c r="W300" s="2265"/>
      <c r="X300" s="2100"/>
      <c r="Y300" s="2265"/>
      <c r="Z300" s="2100"/>
      <c r="AA300" s="2265"/>
      <c r="AB300" s="2100"/>
      <c r="AC300" s="2265"/>
      <c r="AD300" s="2100"/>
      <c r="AE300" s="2265"/>
      <c r="AJ300" s="2100"/>
      <c r="AK300" s="2265"/>
      <c r="AL300" s="2100"/>
      <c r="AM300" s="2265"/>
      <c r="AN300" s="2100"/>
      <c r="AO300" s="2265"/>
      <c r="AP300" s="2100"/>
      <c r="AQ300" s="2265"/>
      <c r="AR300" s="8011"/>
      <c r="AS300" s="8011"/>
      <c r="AT300" s="2100"/>
      <c r="AU300" s="2265"/>
      <c r="AV300" s="8143"/>
      <c r="AW300" s="8143"/>
      <c r="AX300" s="2100"/>
      <c r="AY300" s="2265"/>
      <c r="AZ300" s="2100"/>
      <c r="BA300" s="2265"/>
      <c r="BB300" s="2100"/>
      <c r="BC300" s="2265"/>
      <c r="BD300" s="2100"/>
      <c r="BE300" s="2265"/>
    </row>
    <row r="301" spans="2:57" ht="15" hidden="1" customHeight="1" x14ac:dyDescent="0.2">
      <c r="B301" s="5416">
        <v>175</v>
      </c>
      <c r="S301" s="2265"/>
      <c r="U301" s="2265"/>
      <c r="V301" s="2100"/>
      <c r="W301" s="2265"/>
      <c r="X301" s="2100"/>
      <c r="Y301" s="2265"/>
      <c r="Z301" s="2100"/>
      <c r="AA301" s="2265"/>
      <c r="AB301" s="2100"/>
      <c r="AC301" s="2265"/>
      <c r="AD301" s="2100"/>
      <c r="AE301" s="2265"/>
      <c r="AJ301" s="2100"/>
      <c r="AK301" s="2265"/>
      <c r="AL301" s="2100"/>
      <c r="AM301" s="2265"/>
      <c r="AN301" s="2100"/>
      <c r="AO301" s="2265"/>
      <c r="AP301" s="2100"/>
      <c r="AQ301" s="2265"/>
      <c r="AR301" s="8011"/>
      <c r="AS301" s="8011"/>
      <c r="AT301" s="2100"/>
      <c r="AU301" s="2265"/>
      <c r="AV301" s="8143"/>
      <c r="AW301" s="8143"/>
      <c r="AX301" s="2100"/>
      <c r="AY301" s="2265"/>
      <c r="AZ301" s="2100"/>
      <c r="BA301" s="2265"/>
      <c r="BB301" s="2100"/>
      <c r="BC301" s="2265"/>
      <c r="BD301" s="2100"/>
      <c r="BE301" s="2265"/>
    </row>
    <row r="302" spans="2:57" ht="15" hidden="1" customHeight="1" x14ac:dyDescent="0.2">
      <c r="B302" s="5416">
        <v>176</v>
      </c>
      <c r="S302" s="2265"/>
      <c r="U302" s="2265"/>
      <c r="V302" s="2100"/>
      <c r="W302" s="2265"/>
      <c r="X302" s="2100"/>
      <c r="Y302" s="2265"/>
      <c r="Z302" s="2100"/>
      <c r="AA302" s="2265"/>
      <c r="AB302" s="2100"/>
      <c r="AC302" s="2265"/>
      <c r="AD302" s="2100"/>
      <c r="AE302" s="2265"/>
      <c r="AJ302" s="2100"/>
      <c r="AK302" s="2265"/>
      <c r="AL302" s="2100"/>
      <c r="AM302" s="2265"/>
      <c r="AN302" s="2100"/>
      <c r="AO302" s="2265"/>
      <c r="AP302" s="2100"/>
      <c r="AQ302" s="2265"/>
      <c r="AR302" s="8011"/>
      <c r="AS302" s="8011"/>
      <c r="AT302" s="2100"/>
      <c r="AU302" s="2265"/>
      <c r="AV302" s="8143"/>
      <c r="AW302" s="8143"/>
      <c r="AX302" s="2100"/>
      <c r="AY302" s="2265"/>
      <c r="AZ302" s="2100"/>
      <c r="BA302" s="2265"/>
      <c r="BB302" s="2100"/>
      <c r="BC302" s="2265"/>
      <c r="BD302" s="2100"/>
      <c r="BE302" s="2265"/>
    </row>
    <row r="303" spans="2:57" ht="15" hidden="1" customHeight="1" x14ac:dyDescent="0.2">
      <c r="B303" s="5416">
        <v>177</v>
      </c>
      <c r="S303" s="2265"/>
      <c r="U303" s="2265"/>
      <c r="V303" s="2100"/>
      <c r="W303" s="2265"/>
      <c r="X303" s="2100"/>
      <c r="Y303" s="2265"/>
      <c r="Z303" s="2100"/>
      <c r="AA303" s="2265"/>
      <c r="AB303" s="2100"/>
      <c r="AC303" s="2265"/>
      <c r="AD303" s="2100"/>
      <c r="AE303" s="2265"/>
      <c r="AJ303" s="2100"/>
      <c r="AK303" s="2265"/>
      <c r="AL303" s="2100"/>
      <c r="AM303" s="2265"/>
      <c r="AN303" s="2100"/>
      <c r="AO303" s="2265"/>
      <c r="AP303" s="2100"/>
      <c r="AQ303" s="2265"/>
      <c r="AR303" s="8011"/>
      <c r="AS303" s="8011"/>
      <c r="AT303" s="2100"/>
      <c r="AU303" s="2265"/>
      <c r="AV303" s="8143"/>
      <c r="AW303" s="8143"/>
      <c r="AX303" s="2100"/>
      <c r="AY303" s="2265"/>
      <c r="AZ303" s="2100"/>
      <c r="BA303" s="2265"/>
      <c r="BB303" s="2100"/>
      <c r="BC303" s="2265"/>
      <c r="BD303" s="2100"/>
      <c r="BE303" s="2265"/>
    </row>
    <row r="304" spans="2:57" ht="15" hidden="1" customHeight="1" x14ac:dyDescent="0.2">
      <c r="B304" s="5416">
        <v>180</v>
      </c>
      <c r="S304" s="2265"/>
      <c r="U304" s="2265"/>
      <c r="V304" s="2100"/>
      <c r="W304" s="2265"/>
      <c r="X304" s="2100"/>
      <c r="Y304" s="2265"/>
      <c r="Z304" s="2100"/>
      <c r="AA304" s="2265"/>
      <c r="AB304" s="2100"/>
      <c r="AC304" s="2265"/>
      <c r="AD304" s="2100"/>
      <c r="AE304" s="2265"/>
      <c r="AJ304" s="2100"/>
      <c r="AK304" s="2265"/>
      <c r="AL304" s="2100"/>
      <c r="AM304" s="2265"/>
      <c r="AN304" s="2100"/>
      <c r="AO304" s="2265"/>
      <c r="AP304" s="2100"/>
      <c r="AQ304" s="2265"/>
      <c r="AR304" s="8011"/>
      <c r="AS304" s="8011"/>
      <c r="AT304" s="2100"/>
      <c r="AU304" s="2265"/>
      <c r="AV304" s="8143"/>
      <c r="AW304" s="8143"/>
      <c r="AX304" s="2100"/>
      <c r="AY304" s="2265"/>
      <c r="AZ304" s="2100"/>
      <c r="BA304" s="2265"/>
      <c r="BB304" s="2100"/>
      <c r="BC304" s="2265"/>
      <c r="BD304" s="2100"/>
      <c r="BE304" s="2265"/>
    </row>
    <row r="305" spans="1:57" ht="15" hidden="1" customHeight="1" x14ac:dyDescent="0.2">
      <c r="S305" s="2265"/>
      <c r="U305" s="2265"/>
      <c r="V305" s="2100"/>
      <c r="W305" s="2265"/>
      <c r="X305" s="2100"/>
      <c r="Y305" s="2265"/>
      <c r="Z305" s="2100"/>
      <c r="AA305" s="2265"/>
      <c r="AB305" s="2100"/>
      <c r="AC305" s="2265"/>
      <c r="AD305" s="2100"/>
      <c r="AE305" s="2265"/>
      <c r="AJ305" s="2100"/>
      <c r="AK305" s="2265"/>
      <c r="AL305" s="2100"/>
      <c r="AM305" s="2265"/>
      <c r="AN305" s="2100"/>
      <c r="AO305" s="2265"/>
      <c r="AP305" s="2100"/>
      <c r="AQ305" s="2265"/>
      <c r="AR305" s="8011"/>
      <c r="AS305" s="8011"/>
      <c r="AT305" s="2100"/>
      <c r="AU305" s="2265"/>
      <c r="AV305" s="8143"/>
      <c r="AW305" s="8143"/>
      <c r="AX305" s="2100"/>
      <c r="AY305" s="2265"/>
      <c r="AZ305" s="2100"/>
      <c r="BA305" s="2265"/>
      <c r="BB305" s="2100"/>
      <c r="BC305" s="2265"/>
      <c r="BD305" s="2100"/>
      <c r="BE305" s="2265"/>
    </row>
    <row r="306" spans="1:57" ht="15" hidden="1" customHeight="1" x14ac:dyDescent="0.2">
      <c r="S306" s="2265"/>
      <c r="U306" s="2265"/>
      <c r="V306" s="2100"/>
      <c r="W306" s="2265"/>
      <c r="X306" s="2100"/>
      <c r="Y306" s="2265"/>
      <c r="Z306" s="2100"/>
      <c r="AA306" s="2265"/>
      <c r="AB306" s="2100"/>
      <c r="AC306" s="2265"/>
      <c r="AD306" s="2100"/>
      <c r="AE306" s="2265"/>
      <c r="AJ306" s="2100"/>
      <c r="AK306" s="2265"/>
      <c r="AL306" s="2100"/>
      <c r="AM306" s="2265"/>
      <c r="AN306" s="2100"/>
      <c r="AO306" s="2265"/>
      <c r="AP306" s="2100"/>
      <c r="AQ306" s="2265"/>
      <c r="AR306" s="8011"/>
      <c r="AS306" s="8011"/>
      <c r="AT306" s="2100"/>
      <c r="AU306" s="2265"/>
      <c r="AV306" s="8143"/>
      <c r="AW306" s="8143"/>
      <c r="AX306" s="2100"/>
      <c r="AY306" s="2265"/>
      <c r="AZ306" s="2100"/>
      <c r="BA306" s="2265"/>
      <c r="BB306" s="2100"/>
      <c r="BC306" s="2265"/>
      <c r="BD306" s="2100"/>
      <c r="BE306" s="2265"/>
    </row>
    <row r="307" spans="1:57" ht="15" hidden="1" customHeight="1" x14ac:dyDescent="0.2">
      <c r="S307" s="2265"/>
      <c r="U307" s="2265"/>
      <c r="V307" s="2100"/>
      <c r="W307" s="2265"/>
      <c r="X307" s="2100"/>
      <c r="Y307" s="2265"/>
      <c r="Z307" s="2100"/>
      <c r="AA307" s="2265"/>
      <c r="AB307" s="2100"/>
      <c r="AC307" s="2265"/>
      <c r="AD307" s="2100"/>
      <c r="AE307" s="2265"/>
      <c r="AJ307" s="2100"/>
      <c r="AK307" s="2265"/>
      <c r="AL307" s="2100"/>
      <c r="AM307" s="2265"/>
      <c r="AN307" s="2100"/>
      <c r="AO307" s="2265"/>
      <c r="AP307" s="2100"/>
      <c r="AQ307" s="2265"/>
      <c r="AR307" s="8011"/>
      <c r="AS307" s="8011"/>
      <c r="AT307" s="2100"/>
      <c r="AU307" s="2265"/>
      <c r="AV307" s="8143"/>
      <c r="AW307" s="8143"/>
      <c r="AX307" s="2100"/>
      <c r="AY307" s="2265"/>
      <c r="AZ307" s="2100"/>
      <c r="BA307" s="2265"/>
      <c r="BB307" s="2100"/>
      <c r="BC307" s="2265"/>
      <c r="BD307" s="2100"/>
      <c r="BE307" s="2265"/>
    </row>
    <row r="308" spans="1:57" ht="16" thickBot="1" x14ac:dyDescent="0.25">
      <c r="S308" s="2265"/>
      <c r="U308" s="2265"/>
      <c r="V308" s="2100"/>
      <c r="W308" s="2265"/>
      <c r="X308" s="2100"/>
      <c r="Y308" s="2265"/>
      <c r="Z308" s="2100"/>
      <c r="AA308" s="2265"/>
      <c r="AB308" s="2100"/>
      <c r="AC308" s="2265"/>
      <c r="AD308" s="2100"/>
      <c r="AE308" s="2265"/>
      <c r="AJ308" s="2100"/>
      <c r="AK308" s="2265"/>
      <c r="AL308" s="2100"/>
      <c r="AM308" s="2265"/>
      <c r="AN308" s="2100"/>
      <c r="AO308" s="2265"/>
      <c r="AP308" s="2100"/>
      <c r="AQ308" s="2265"/>
      <c r="AR308" s="8011"/>
      <c r="AS308" s="8011"/>
      <c r="AT308" s="2100"/>
      <c r="AU308" s="2265"/>
      <c r="AV308" s="8143"/>
      <c r="AW308" s="8143"/>
      <c r="AX308" s="2100"/>
      <c r="AY308" s="2265"/>
      <c r="AZ308" s="2100"/>
      <c r="BA308" s="2265"/>
      <c r="BB308" s="2100"/>
      <c r="BC308" s="2265"/>
      <c r="BD308" s="2100"/>
      <c r="BE308" s="2265"/>
    </row>
    <row r="309" spans="1:57" ht="18" x14ac:dyDescent="0.2">
      <c r="B309" s="5052" t="s">
        <v>2474</v>
      </c>
      <c r="S309" s="2265"/>
      <c r="U309" s="2265"/>
      <c r="V309" s="2100"/>
      <c r="W309" s="2265"/>
      <c r="X309" s="2100"/>
      <c r="Y309" s="2265"/>
      <c r="Z309" s="2100"/>
      <c r="AA309" s="2265"/>
      <c r="AB309" s="2100"/>
      <c r="AC309" s="2265"/>
      <c r="AD309" s="2100"/>
      <c r="AE309" s="2265"/>
      <c r="AJ309" s="2100"/>
      <c r="AK309" s="2265"/>
      <c r="AL309" s="2100"/>
      <c r="AM309" s="2265"/>
      <c r="AN309" s="2100"/>
      <c r="AO309" s="2265"/>
      <c r="AP309" s="2100"/>
      <c r="AQ309" s="2265"/>
      <c r="AR309" s="8011"/>
      <c r="AS309" s="8011"/>
      <c r="AT309" s="2100"/>
      <c r="AU309" s="2265"/>
      <c r="AV309" s="8143"/>
      <c r="AW309" s="8143"/>
      <c r="AX309" s="2100"/>
      <c r="AY309" s="2265"/>
      <c r="AZ309" s="2100"/>
      <c r="BA309" s="2265"/>
      <c r="BB309" s="2100"/>
      <c r="BC309" s="2265"/>
      <c r="BD309" s="2100"/>
      <c r="BE309" s="2265"/>
    </row>
    <row r="310" spans="1:57" s="7897" customFormat="1" x14ac:dyDescent="0.2">
      <c r="A310" s="3378"/>
      <c r="B310" s="3938" t="s">
        <v>2479</v>
      </c>
      <c r="D310" s="7911"/>
      <c r="E310" s="5866">
        <v>44060</v>
      </c>
      <c r="F310" s="7911"/>
      <c r="G310" s="5866">
        <v>49850</v>
      </c>
      <c r="H310" s="7918"/>
      <c r="I310" s="5867">
        <f>+E310+G310</f>
        <v>93910</v>
      </c>
      <c r="J310" s="7911"/>
      <c r="K310" s="5866">
        <v>52110</v>
      </c>
      <c r="L310" s="7924"/>
      <c r="M310" s="6305">
        <f>+I310+K310</f>
        <v>146020</v>
      </c>
      <c r="N310" s="7911"/>
      <c r="O310" s="5866">
        <v>56750</v>
      </c>
      <c r="P310" s="7918"/>
      <c r="Q310" s="5867">
        <f>+M310+O310</f>
        <v>202770</v>
      </c>
      <c r="R310" s="7911"/>
      <c r="S310" s="5866">
        <v>57840</v>
      </c>
      <c r="T310" s="7918"/>
      <c r="U310" s="5867">
        <f>+Q310+S310</f>
        <v>260610</v>
      </c>
      <c r="V310" s="7911"/>
      <c r="W310" s="5866">
        <v>55350</v>
      </c>
      <c r="X310" s="7924"/>
      <c r="Y310" s="6305">
        <f>+O310+S310+W310</f>
        <v>169940</v>
      </c>
      <c r="Z310" s="8055"/>
      <c r="AA310" s="6642">
        <f>+U310+W310</f>
        <v>315960</v>
      </c>
      <c r="AB310" s="7911"/>
      <c r="AC310" s="5866">
        <v>57630</v>
      </c>
      <c r="AD310" s="7918"/>
      <c r="AE310" s="5867">
        <f>+AA310+AC310</f>
        <v>373590</v>
      </c>
      <c r="AF310" s="7911"/>
      <c r="AG310" s="5866">
        <v>56160</v>
      </c>
      <c r="AH310" s="7918"/>
      <c r="AI310" s="5867">
        <f>+AE310+AG310</f>
        <v>429750</v>
      </c>
      <c r="AJ310" s="7911"/>
      <c r="AK310" s="5866">
        <v>57895</v>
      </c>
      <c r="AL310" s="7924"/>
      <c r="AM310" s="6305">
        <f>+AK310+AG310+AC310</f>
        <v>171685</v>
      </c>
      <c r="AN310" s="7918"/>
      <c r="AO310" s="5867">
        <f>+AI310+AK310</f>
        <v>487645</v>
      </c>
      <c r="AP310" s="7911"/>
      <c r="AQ310" s="5866">
        <v>57895</v>
      </c>
      <c r="AR310" s="7918"/>
      <c r="AS310" s="5867">
        <f>+AO310+AQ310</f>
        <v>545540</v>
      </c>
      <c r="AT310" s="7911"/>
      <c r="AU310" s="5866">
        <f>+AU91</f>
        <v>52295</v>
      </c>
      <c r="AV310" s="7918"/>
      <c r="AW310" s="5867">
        <f>+AS310+AU310</f>
        <v>597835</v>
      </c>
      <c r="AX310" s="7911"/>
      <c r="AY310" s="5866">
        <f>+AY91</f>
        <v>57965</v>
      </c>
      <c r="AZ310" s="7924"/>
      <c r="BA310" s="6305">
        <f>+AQ310+AU310+AY310</f>
        <v>168155</v>
      </c>
      <c r="BB310" s="7924"/>
      <c r="BC310" s="6305">
        <f>+AS310+AW310+BA310</f>
        <v>1311530</v>
      </c>
      <c r="BD310" s="8055"/>
      <c r="BE310" s="6642">
        <f>+AW310+AY310</f>
        <v>655800</v>
      </c>
    </row>
    <row r="311" spans="1:57" s="7897" customFormat="1" x14ac:dyDescent="0.2">
      <c r="A311" s="3378"/>
      <c r="B311" s="3938" t="s">
        <v>2480</v>
      </c>
      <c r="D311" s="7911"/>
      <c r="E311" s="5866">
        <v>80886</v>
      </c>
      <c r="F311" s="7911"/>
      <c r="G311" s="5866">
        <v>80747</v>
      </c>
      <c r="H311" s="7918"/>
      <c r="I311" s="5867">
        <f>+E311+G311</f>
        <v>161633</v>
      </c>
      <c r="J311" s="7911"/>
      <c r="K311" s="5866">
        <v>89969</v>
      </c>
      <c r="L311" s="7924"/>
      <c r="M311" s="6305">
        <f>+I311+K311</f>
        <v>251602</v>
      </c>
      <c r="N311" s="7911"/>
      <c r="O311" s="5866">
        <v>97632</v>
      </c>
      <c r="P311" s="7918"/>
      <c r="Q311" s="5867">
        <f>+M311+O311</f>
        <v>349234</v>
      </c>
      <c r="R311" s="7911"/>
      <c r="S311" s="5866">
        <v>106334</v>
      </c>
      <c r="T311" s="7918"/>
      <c r="U311" s="5867">
        <f>+Q311+S311</f>
        <v>455568</v>
      </c>
      <c r="V311" s="7911"/>
      <c r="W311" s="5866">
        <v>86953</v>
      </c>
      <c r="X311" s="7924"/>
      <c r="Y311" s="6305">
        <f>+O311+S311+W311</f>
        <v>290919</v>
      </c>
      <c r="Z311" s="8055"/>
      <c r="AA311" s="6642">
        <f>+U311+W311</f>
        <v>542521</v>
      </c>
      <c r="AB311" s="7911"/>
      <c r="AC311" s="5866">
        <v>98880</v>
      </c>
      <c r="AD311" s="7918"/>
      <c r="AE311" s="5867">
        <f>+AA311+AC311</f>
        <v>641401</v>
      </c>
      <c r="AF311" s="7911"/>
      <c r="AG311" s="5866">
        <v>92187</v>
      </c>
      <c r="AH311" s="7918"/>
      <c r="AI311" s="5867">
        <f>+AE311+AG311</f>
        <v>733588</v>
      </c>
      <c r="AJ311" s="7911"/>
      <c r="AK311" s="5866">
        <v>106230</v>
      </c>
      <c r="AL311" s="7924"/>
      <c r="AM311" s="6305">
        <f>+AK311+AG311+AC311</f>
        <v>297297</v>
      </c>
      <c r="AN311" s="7918"/>
      <c r="AO311" s="5867">
        <f>+AI311+AK311</f>
        <v>839818</v>
      </c>
      <c r="AP311" s="7911"/>
      <c r="AQ311" s="5866">
        <v>106403</v>
      </c>
      <c r="AR311" s="7918"/>
      <c r="AS311" s="5867">
        <f>+AO311+AQ311</f>
        <v>946221</v>
      </c>
      <c r="AT311" s="7911"/>
      <c r="AU311" s="5866">
        <f>+AU109</f>
        <v>96106</v>
      </c>
      <c r="AV311" s="7918"/>
      <c r="AW311" s="5867">
        <f>+AS311+AU311</f>
        <v>1042327</v>
      </c>
      <c r="AX311" s="7911"/>
      <c r="AY311" s="5866">
        <f>+AY109</f>
        <v>106438</v>
      </c>
      <c r="AZ311" s="7924"/>
      <c r="BA311" s="6305">
        <f>+AQ311+AU311+AY311</f>
        <v>308947</v>
      </c>
      <c r="BB311" s="7924"/>
      <c r="BC311" s="6305">
        <f>+AS311+AW311+BA311</f>
        <v>2297495</v>
      </c>
      <c r="BD311" s="8055"/>
      <c r="BE311" s="6642">
        <f>+AW311+AY311</f>
        <v>1148765</v>
      </c>
    </row>
    <row r="312" spans="1:57" s="7897" customFormat="1" x14ac:dyDescent="0.2">
      <c r="A312" s="3378"/>
      <c r="B312" s="3938"/>
      <c r="D312" s="2100"/>
      <c r="E312" s="2265"/>
      <c r="F312" s="2100"/>
      <c r="G312" s="2265"/>
      <c r="H312" s="2100"/>
      <c r="I312" s="2265"/>
      <c r="J312" s="2100"/>
      <c r="K312" s="2265"/>
      <c r="L312" s="2100"/>
      <c r="M312" s="2265"/>
      <c r="N312" s="2100"/>
      <c r="O312" s="2265"/>
      <c r="P312" s="2100"/>
      <c r="Q312" s="2265"/>
      <c r="R312" s="2100"/>
      <c r="S312" s="2265"/>
      <c r="T312" s="2100"/>
      <c r="U312" s="2265"/>
      <c r="V312" s="2100"/>
      <c r="W312" s="2265"/>
      <c r="X312" s="2100"/>
      <c r="Y312" s="2265"/>
      <c r="Z312" s="2100"/>
      <c r="AA312" s="2265"/>
      <c r="AB312" s="2100"/>
      <c r="AC312" s="2265"/>
      <c r="AD312" s="2100"/>
      <c r="AE312" s="2265"/>
      <c r="AH312" s="2100"/>
      <c r="AI312" s="2265"/>
      <c r="AJ312" s="2100"/>
      <c r="AK312" s="2265"/>
      <c r="AL312" s="2100"/>
      <c r="AM312" s="2265"/>
      <c r="AN312" s="2100"/>
      <c r="AO312" s="2265"/>
      <c r="AP312" s="2100"/>
      <c r="AQ312" s="2265"/>
      <c r="AR312" s="2100"/>
      <c r="AS312" s="2265"/>
      <c r="AT312" s="2100"/>
      <c r="AU312" s="2265"/>
      <c r="AV312" s="2100"/>
      <c r="AW312" s="2265"/>
      <c r="AX312" s="2100"/>
      <c r="AY312" s="2265"/>
      <c r="AZ312" s="2100"/>
      <c r="BA312" s="2265"/>
      <c r="BB312" s="2100"/>
      <c r="BC312" s="2265"/>
      <c r="BD312" s="2100"/>
      <c r="BE312" s="2265"/>
    </row>
    <row r="313" spans="1:57" s="7897" customFormat="1" x14ac:dyDescent="0.2">
      <c r="A313" s="3378"/>
      <c r="B313" s="3938" t="s">
        <v>2477</v>
      </c>
      <c r="D313" s="5986"/>
      <c r="E313" s="1860">
        <f>+((E310-E13)/E310)*100</f>
        <v>8.8079891057648894</v>
      </c>
      <c r="F313" s="5986"/>
      <c r="G313" s="1860">
        <f>+((G310-G13)/G310)*100</f>
        <v>8.669207622868603</v>
      </c>
      <c r="H313" s="7394"/>
      <c r="I313" s="5732">
        <f>+((I310-I13)/I310)*100</f>
        <v>8.7343200937067511</v>
      </c>
      <c r="J313" s="5986"/>
      <c r="K313" s="1860">
        <f>+((K310-K13)/K310)*100</f>
        <v>8.7023603914795675</v>
      </c>
      <c r="L313" s="5783"/>
      <c r="M313" s="5736">
        <f>+((M310-M13)/M310)*100</f>
        <v>8.7229146692234014</v>
      </c>
      <c r="N313" s="5986"/>
      <c r="O313" s="1860">
        <f>+((O310-O13)/O310)*100</f>
        <v>8.802114537444929</v>
      </c>
      <c r="P313" s="7394"/>
      <c r="Q313" s="5732">
        <f>+((Q310-Q13)/Q310)*100</f>
        <v>8.7450806332297795</v>
      </c>
      <c r="R313" s="5986"/>
      <c r="S313" s="1860">
        <f>+((S310-S13)/S310)*100</f>
        <v>8.7959889349930815</v>
      </c>
      <c r="T313" s="7394"/>
      <c r="U313" s="5732">
        <f>+((U310-U13)/U310)*100</f>
        <v>8.7563792640343916</v>
      </c>
      <c r="V313" s="5986"/>
      <c r="W313" s="1860">
        <f>+((W310-W13)/W310)*100</f>
        <v>8.7949412827461746</v>
      </c>
      <c r="X313" s="5783"/>
      <c r="Y313" s="5736">
        <f>+((Y310-Y13)/Y310)*100</f>
        <v>8.7976933035188818</v>
      </c>
      <c r="Z313" s="6614"/>
      <c r="AA313" s="6754">
        <f>+((AA310-AA13)/AA310)*100</f>
        <v>8.7631345739967266</v>
      </c>
      <c r="AB313" s="5986"/>
      <c r="AC313" s="1860">
        <f>+((AC310-AC13)/AC310)*100</f>
        <v>8.702411938226625</v>
      </c>
      <c r="AD313" s="7394"/>
      <c r="AE313" s="5732">
        <f>+((AE310-AE13)/AE310)*100</f>
        <v>8.7537674991300811</v>
      </c>
      <c r="AF313" s="5986"/>
      <c r="AG313" s="1860">
        <f>+((AG310-AG13)/AG310)*100</f>
        <v>8.7015669515669565</v>
      </c>
      <c r="AH313" s="7394"/>
      <c r="AI313" s="5732">
        <f>+((AI310-AI13)/AI310)*100</f>
        <v>8.7469458987783728</v>
      </c>
      <c r="AJ313" s="5986"/>
      <c r="AK313" s="1860">
        <f>+((AK310-AK13)/AK310)*100</f>
        <v>8.7043786164608488</v>
      </c>
      <c r="AL313" s="5783"/>
      <c r="AM313" s="5736">
        <f>+((AM310-AM13)/AM310)*100</f>
        <v>8.7027987302327059</v>
      </c>
      <c r="AN313" s="7394"/>
      <c r="AO313" s="5732">
        <f>+((AO310-AO13)/AO310)*100</f>
        <v>8.7418921551538684</v>
      </c>
      <c r="AP313" s="5986"/>
      <c r="AQ313" s="1860">
        <f>+((AQ310-AQ13)/AQ310)*100</f>
        <v>8.7043786164608488</v>
      </c>
      <c r="AR313" s="7394"/>
      <c r="AS313" s="5732">
        <f>+((AS310-AS13)/AS310)*100</f>
        <v>8.7379110606005259</v>
      </c>
      <c r="AT313" s="5986"/>
      <c r="AU313" s="1860">
        <f>+((AU310-AU13)/AU310)*100</f>
        <v>8.6964336934697446</v>
      </c>
      <c r="AV313" s="7394"/>
      <c r="AW313" s="5732">
        <f>+((AW310-AW13)/AW310)*100</f>
        <v>8.7342828706917626</v>
      </c>
      <c r="AX313" s="5986"/>
      <c r="AY313" s="1860">
        <f>+((AY310-AY13)/AY310)*100</f>
        <v>8.6662641249029608</v>
      </c>
      <c r="AZ313" s="5783"/>
      <c r="BA313" s="5736">
        <f>+((BA310-BA13)/BA310)*100</f>
        <v>8.6887692902381772</v>
      </c>
      <c r="BB313" s="5783"/>
      <c r="BC313" s="5736">
        <f>+((BC310-BC13)/BC310)*100</f>
        <v>76.341524784030867</v>
      </c>
      <c r="BD313" s="6614"/>
      <c r="BE313" s="6754">
        <f>+((BE310-BE13)/BE310)*100</f>
        <v>8.7282708142726619</v>
      </c>
    </row>
    <row r="314" spans="1:57" s="7897" customFormat="1" x14ac:dyDescent="0.2">
      <c r="A314" s="3378"/>
      <c r="B314" s="3938" t="s">
        <v>2478</v>
      </c>
      <c r="D314" s="5986"/>
      <c r="E314" s="1860">
        <f>+((E311-E14)/E311)*100</f>
        <v>9.000135993867902</v>
      </c>
      <c r="F314" s="5986"/>
      <c r="G314" s="1860">
        <f>+((G311-G14)/G311)*100</f>
        <v>8.9997770815014846</v>
      </c>
      <c r="H314" s="7394"/>
      <c r="I314" s="5732">
        <f>+((I311-I14)/I311)*100</f>
        <v>8.9999566920121463</v>
      </c>
      <c r="J314" s="5986"/>
      <c r="K314" s="1860">
        <f>+((K311-K14)/K311)*100</f>
        <v>8.999488712778831</v>
      </c>
      <c r="L314" s="5783"/>
      <c r="M314" s="5736">
        <f>+((M311-M14)/M311)*100</f>
        <v>8.9997893498461714</v>
      </c>
      <c r="N314" s="5986"/>
      <c r="O314" s="1860">
        <f>+((O311-O14)/O311)*100</f>
        <v>9.0003277613897055</v>
      </c>
      <c r="P314" s="7394"/>
      <c r="Q314" s="5732">
        <f>+((Q311-Q14)/Q311)*100</f>
        <v>8.9999398683976874</v>
      </c>
      <c r="R314" s="5986"/>
      <c r="S314" s="1860">
        <f>+((S311-S14)/S311)*100</f>
        <v>9.0000846389677758</v>
      </c>
      <c r="T314" s="7394"/>
      <c r="U314" s="5732">
        <f>+((U311-U14)/U311)*100</f>
        <v>8.9999736592561366</v>
      </c>
      <c r="V314" s="5986"/>
      <c r="W314" s="1860">
        <f>+((W311-W14)/W311)*100</f>
        <v>8.9998044920819371</v>
      </c>
      <c r="X314" s="5783"/>
      <c r="Y314" s="5736">
        <f>+((Y311-Y14)/Y311)*100</f>
        <v>9.0000824971899238</v>
      </c>
      <c r="Z314" s="6614"/>
      <c r="AA314" s="6754">
        <f>+((AA311-AA14)/AA311)*100</f>
        <v>8.9999465458479904</v>
      </c>
      <c r="AB314" s="5986"/>
      <c r="AC314" s="1860">
        <f>+((AC311-AC14)/AC311)*100</f>
        <v>9.0002022653721774</v>
      </c>
      <c r="AD314" s="7394"/>
      <c r="AE314" s="5732">
        <f>+((AE311-AE14)/AE311)*100</f>
        <v>8.9999859682164498</v>
      </c>
      <c r="AF314" s="5986"/>
      <c r="AG314" s="1860">
        <f>+((AG311-AG14)/AG311)*100</f>
        <v>8.9986115178929662</v>
      </c>
      <c r="AH314" s="7394"/>
      <c r="AI314" s="5732">
        <f>+((AI311-AI14)/AI311)*100</f>
        <v>8.9998132466725256</v>
      </c>
      <c r="AJ314" s="5986"/>
      <c r="AK314" s="1860">
        <f>+((AK311-AK14)/AK311)*100</f>
        <v>9.000094135366659</v>
      </c>
      <c r="AL314" s="5783"/>
      <c r="AM314" s="5736">
        <f>+((AM311-AM14)/AM311)*100</f>
        <v>8.999670363306727</v>
      </c>
      <c r="AN314" s="7394"/>
      <c r="AO314" s="5732">
        <f>+((AO311-AO14)/AO311)*100</f>
        <v>8.9998487767587854</v>
      </c>
      <c r="AP314" s="5986"/>
      <c r="AQ314" s="1860">
        <f>+((AQ311-AQ14)/AQ311)*100</f>
        <v>8.9997932389124262</v>
      </c>
      <c r="AR314" s="7394"/>
      <c r="AS314" s="5732">
        <f>+((AS311-AS14)/AS311)*100</f>
        <v>8.9998425315016402</v>
      </c>
      <c r="AT314" s="5986"/>
      <c r="AU314" s="1860">
        <f>+((AU311-AU14)/AU311)*100</f>
        <v>8.9998543275133649</v>
      </c>
      <c r="AV314" s="7394"/>
      <c r="AW314" s="5732">
        <f>+((AW311-AW14)/AW311)*100</f>
        <v>8.9998436191329745</v>
      </c>
      <c r="AX314" s="5986"/>
      <c r="AY314" s="1860">
        <f>+((AY311-AY14)/AY311)*100</f>
        <v>9.0000751611266647</v>
      </c>
      <c r="AZ314" s="5783"/>
      <c r="BA314" s="5736">
        <f>+((BA311-BA14)/BA311)*100</f>
        <v>8.9999093695682273</v>
      </c>
      <c r="BB314" s="5783"/>
      <c r="BC314" s="5736">
        <f>+((BC311-BC14)/BC311)*100</f>
        <v>75.987616948023827</v>
      </c>
      <c r="BD314" s="6614"/>
      <c r="BE314" s="6754">
        <f>+((BE311-BE14)/BE311)*100</f>
        <v>8.9998650724909055</v>
      </c>
    </row>
    <row r="315" spans="1:57" x14ac:dyDescent="0.2">
      <c r="S315" s="2265"/>
      <c r="U315" s="2265"/>
      <c r="V315" s="2100"/>
      <c r="W315" s="2265"/>
      <c r="X315" s="2100"/>
      <c r="Y315" s="2265"/>
      <c r="Z315" s="2100"/>
      <c r="AA315" s="2265"/>
      <c r="AB315" s="2100"/>
      <c r="AC315" s="2265"/>
      <c r="AD315" s="2100"/>
      <c r="AE315" s="2265"/>
      <c r="AH315" s="2100"/>
      <c r="AI315" s="2265"/>
      <c r="AJ315" s="2100"/>
      <c r="AK315" s="2265"/>
      <c r="AL315" s="2100"/>
      <c r="AM315" s="2265"/>
      <c r="AN315" s="2100"/>
      <c r="AO315" s="2265"/>
      <c r="AP315" s="2100"/>
      <c r="AQ315" s="2265"/>
      <c r="AR315" s="2100"/>
      <c r="AS315" s="2265"/>
      <c r="AT315" s="2100"/>
      <c r="AU315" s="2265"/>
      <c r="AV315" s="2100"/>
      <c r="AW315" s="2265"/>
      <c r="AX315" s="2100"/>
      <c r="AY315" s="2265"/>
      <c r="AZ315" s="2100"/>
      <c r="BA315" s="2265"/>
      <c r="BB315" s="2100"/>
      <c r="BC315" s="2265"/>
      <c r="BD315" s="2100"/>
      <c r="BE315" s="2265"/>
    </row>
    <row r="316" spans="1:57" x14ac:dyDescent="0.2">
      <c r="B316" s="7912" t="s">
        <v>2470</v>
      </c>
      <c r="C316" s="4200" t="s">
        <v>170</v>
      </c>
      <c r="D316" s="7911"/>
      <c r="E316" s="5866">
        <f>+((100-'Maj Techno Summ'!E7)/100)*'COKE OVENS'!E13</f>
        <v>4194.8325011348152</v>
      </c>
      <c r="F316" s="7911"/>
      <c r="G316" s="5866">
        <f>+((100-'Maj Techno Summ'!G7)/100)*'COKE OVENS'!G13</f>
        <v>4557.4065396188589</v>
      </c>
      <c r="H316" s="7918"/>
      <c r="I316" s="5867">
        <f>+((100-'Maj Techno Summ'!I7)/100)*'COKE OVENS'!I13</f>
        <v>8752.37870301353</v>
      </c>
      <c r="J316" s="7911"/>
      <c r="K316" s="5866">
        <f>+((100-'Maj Techno Summ'!K7)/100)*'COKE OVENS'!K13</f>
        <v>3807.1115716753052</v>
      </c>
      <c r="L316" s="7924"/>
      <c r="M316" s="6305">
        <f>+((100-'Maj Techno Summ'!M7)/100)*'COKE OVENS'!M13</f>
        <v>12559.726941514869</v>
      </c>
      <c r="N316" s="7911"/>
      <c r="O316" s="5866">
        <f>+((100-'Maj Techno Summ'!O7)/100)*'COKE OVENS'!O13</f>
        <v>2590.019947136564</v>
      </c>
      <c r="P316" s="7918"/>
      <c r="Q316" s="5867">
        <f>+((100-'Maj Techno Summ'!Q7)/100)*'COKE OVENS'!Q13</f>
        <v>15148.316614883859</v>
      </c>
      <c r="R316" s="7911"/>
      <c r="S316" s="5866">
        <f>+((100-'Maj Techno Summ'!S7)/100)*'COKE OVENS'!S13</f>
        <v>2640.3561203319455</v>
      </c>
      <c r="T316" s="7918"/>
      <c r="U316" s="5867">
        <f>+((100-'Maj Techno Summ'!U7)/100)*'COKE OVENS'!U13</f>
        <v>17787.943862476495</v>
      </c>
      <c r="V316" s="7911"/>
      <c r="W316" s="5866">
        <f>+((100-'Maj Techno Summ'!W7)/100)*'COKE OVENS'!W13</f>
        <v>2467.0968383017171</v>
      </c>
      <c r="X316" s="7924"/>
      <c r="Y316" s="6305">
        <f>+((100-'Maj Techno Summ'!Y7)/100)*'COKE OVENS'!Y13</f>
        <v>7697.4746851830078</v>
      </c>
      <c r="Z316" s="8055"/>
      <c r="AA316" s="6642">
        <f>+((100-'Maj Techno Summ'!AA7)/100)*'COKE OVENS'!AA13</f>
        <v>20254.584124572775</v>
      </c>
      <c r="AB316" s="7911"/>
      <c r="AC316" s="5866">
        <f>+((100-'Maj Techno Summ'!AC7)/100)*'COKE OVENS'!AC13</f>
        <v>2629.3705361790762</v>
      </c>
      <c r="AD316" s="7918"/>
      <c r="AE316" s="5867">
        <f>+((100-'Maj Techno Summ'!AE7)/100)*'COKE OVENS'!AE13</f>
        <v>22884.5551112182</v>
      </c>
      <c r="AF316" s="7911"/>
      <c r="AG316" s="5866">
        <f>+((100-'Maj Techno Summ'!AG7)/100)*'COKE OVENS'!AG13</f>
        <v>2565.4859686609711</v>
      </c>
      <c r="AH316" s="7918"/>
      <c r="AI316" s="5867">
        <f>+((100-'Maj Techno Summ'!AI7)/100)*'COKE OVENS'!AI13</f>
        <v>25450.476788830696</v>
      </c>
      <c r="AJ316" s="7911"/>
      <c r="AK316" s="5866">
        <f>+((100-'Maj Techno Summ'!AK7)/100)*'COKE OVENS'!AK13</f>
        <v>2643.0082390534603</v>
      </c>
      <c r="AL316" s="7924"/>
      <c r="AM316" s="6305">
        <f>+((100-'Maj Techno Summ'!AM7)/100)*'COKE OVENS'!AM13</f>
        <v>7837.8647290095278</v>
      </c>
      <c r="AN316" s="7918"/>
      <c r="AO316" s="5867">
        <f>+((100-'Maj Techno Summ'!AO7)/100)*'COKE OVENS'!AO13</f>
        <v>28093.808500035855</v>
      </c>
      <c r="AP316" s="7911"/>
      <c r="AQ316" s="5866">
        <f>+((100-'Maj Techno Summ'!AQ7)/100)*'COKE OVENS'!AQ13</f>
        <v>2643.0082390534603</v>
      </c>
      <c r="AR316" s="7918"/>
      <c r="AS316" s="5867">
        <f>+((100-'Maj Techno Summ'!AS7)/100)*'COKE OVENS'!AS13</f>
        <v>30737.07155478976</v>
      </c>
      <c r="AT316" s="7911"/>
      <c r="AU316" s="5866">
        <f>+((100-'Maj Techno Summ'!AU7)/100)*'COKE OVENS'!AU13</f>
        <v>2387.5882589157609</v>
      </c>
      <c r="AV316" s="7918"/>
      <c r="AW316" s="5867">
        <f>+((100-'Maj Techno Summ'!AW7)/100)*'COKE OVENS'!AW13</f>
        <v>33124.892032082411</v>
      </c>
      <c r="AX316" s="7911"/>
      <c r="AY316" s="5866">
        <f>+((100-'Maj Techno Summ'!AY7)/100)*'COKE OVENS'!AY13</f>
        <v>2648.6783403778218</v>
      </c>
      <c r="AZ316" s="7924"/>
      <c r="BA316" s="6305">
        <f>+((100-'Maj Techno Summ'!BA7)/100)*'COKE OVENS'!BA13</f>
        <v>7679.2745026909788</v>
      </c>
      <c r="BB316" s="7924"/>
      <c r="BC316" s="6305">
        <f>+((100-'Maj Techno Summ'!BC7)/100)*'COKE OVENS'!BC13</f>
        <v>15517.139124293773</v>
      </c>
      <c r="BD316" s="8055"/>
      <c r="BE316" s="6642">
        <f>+((100-'Maj Techno Summ'!BC7)/100)*'COKE OVENS'!BE13</f>
        <v>29933.283898305057</v>
      </c>
    </row>
    <row r="317" spans="1:57" s="7896" customFormat="1" x14ac:dyDescent="0.2">
      <c r="A317" s="3378"/>
      <c r="B317" s="7909" t="s">
        <v>698</v>
      </c>
      <c r="C317" s="4200" t="s">
        <v>170</v>
      </c>
      <c r="D317" s="7911"/>
      <c r="E317" s="5866">
        <f>+E316*E313/(100-E313)</f>
        <v>405.16749886518494</v>
      </c>
      <c r="F317" s="7911"/>
      <c r="G317" s="5866">
        <f>+G316*G313/(100-G313)</f>
        <v>432.59346038114353</v>
      </c>
      <c r="H317" s="7918"/>
      <c r="I317" s="5867">
        <f>+I316*I313/(100-I313)</f>
        <v>837.62129698647823</v>
      </c>
      <c r="J317" s="7911"/>
      <c r="K317" s="5866">
        <f>+K316*K313/(100-K313)</f>
        <v>362.88842832469834</v>
      </c>
      <c r="L317" s="7924"/>
      <c r="M317" s="6305">
        <f>+M316*M313/(100-M313)</f>
        <v>1200.2730584851408</v>
      </c>
      <c r="N317" s="7911"/>
      <c r="O317" s="5866">
        <f>+O316*O313/(100-O313)</f>
        <v>249.98005286343599</v>
      </c>
      <c r="P317" s="7918"/>
      <c r="Q317" s="5867">
        <f>+Q316*Q313/(100-Q313)</f>
        <v>1451.6833851161434</v>
      </c>
      <c r="R317" s="7911"/>
      <c r="S317" s="5866">
        <f>+S316*S313/(100-S313)</f>
        <v>254.64387966804924</v>
      </c>
      <c r="T317" s="7918"/>
      <c r="U317" s="5867">
        <f>+U316*U313/(100-U313)</f>
        <v>1707.0561375235047</v>
      </c>
      <c r="V317" s="7911"/>
      <c r="W317" s="5866">
        <f>+W316*W313/(100-W313)</f>
        <v>237.90316169828415</v>
      </c>
      <c r="X317" s="7924"/>
      <c r="Y317" s="6305">
        <f>+Y316*Y313/(100-Y313)</f>
        <v>742.52531481699373</v>
      </c>
      <c r="Z317" s="8055"/>
      <c r="AA317" s="6642">
        <f>+AA316*AA313/(100-AA313)</f>
        <v>1945.4158754272778</v>
      </c>
      <c r="AB317" s="7911"/>
      <c r="AC317" s="5866">
        <f>+AC316*AC313/(100-AC313)</f>
        <v>250.62946382092707</v>
      </c>
      <c r="AD317" s="7918"/>
      <c r="AE317" s="5867">
        <f>+AE316*AE313/(100-AE313)</f>
        <v>2195.4448887818266</v>
      </c>
      <c r="AF317" s="7911"/>
      <c r="AG317" s="5866">
        <f>+AG316*AG313/(100-AG313)</f>
        <v>244.51403133903173</v>
      </c>
      <c r="AH317" s="7918"/>
      <c r="AI317" s="5867">
        <f>+AI316*AI313/(100-AI313)</f>
        <v>2439.5232111692867</v>
      </c>
      <c r="AJ317" s="7911"/>
      <c r="AK317" s="5866">
        <f>+AK316*AK313/(100-AK313)</f>
        <v>251.99176094654175</v>
      </c>
      <c r="AL317" s="7924"/>
      <c r="AM317" s="6305">
        <f>+AM316*AM313/(100-AM313)</f>
        <v>747.13527099047826</v>
      </c>
      <c r="AN317" s="7918"/>
      <c r="AO317" s="5867">
        <f>+AO316*AO313/(100-AO313)</f>
        <v>2691.1914999641158</v>
      </c>
      <c r="AP317" s="7911"/>
      <c r="AQ317" s="5866">
        <f>+AQ316*AQ313/(100-AQ313)</f>
        <v>251.99176094654175</v>
      </c>
      <c r="AR317" s="7918"/>
      <c r="AS317" s="5867">
        <f>+AS316*AS313/(100-AS313)</f>
        <v>2942.9284452102584</v>
      </c>
      <c r="AT317" s="7911"/>
      <c r="AU317" s="5866">
        <f>+AU316*AU313/(100-AU313)</f>
        <v>227.41174108423331</v>
      </c>
      <c r="AV317" s="7918"/>
      <c r="AW317" s="5867">
        <f>+AW316*AW313/(100-AW313)</f>
        <v>3170.1079679175737</v>
      </c>
      <c r="AX317" s="7911"/>
      <c r="AY317" s="5866">
        <f>+AY316*AY313/(100-AY313)</f>
        <v>251.32165962218662</v>
      </c>
      <c r="AZ317" s="7924"/>
      <c r="BA317" s="6305">
        <f>+BA316*BA313/(100-BA313)</f>
        <v>730.72549730903165</v>
      </c>
      <c r="BB317" s="7924"/>
      <c r="BC317" s="6305">
        <f>+BC316*BC313/(100-BC313)</f>
        <v>50070.938647598836</v>
      </c>
      <c r="BD317" s="8055"/>
      <c r="BE317" s="6642">
        <f>+BE316*BE313/(100-BE313)</f>
        <v>2862.5052966101734</v>
      </c>
    </row>
    <row r="318" spans="1:57" s="7896" customFormat="1" x14ac:dyDescent="0.2">
      <c r="A318" s="3378"/>
      <c r="B318" s="7909" t="s">
        <v>2240</v>
      </c>
      <c r="C318" s="4200" t="s">
        <v>170</v>
      </c>
      <c r="D318" s="7911"/>
      <c r="E318" s="5866">
        <f t="shared" ref="E318" si="1284">+E316*4/(100-4)</f>
        <v>174.78468754728397</v>
      </c>
      <c r="F318" s="7911"/>
      <c r="G318" s="5866">
        <f t="shared" ref="G318" si="1285">+G316*4/(100-4)</f>
        <v>189.89193915078579</v>
      </c>
      <c r="H318" s="7918"/>
      <c r="I318" s="5867">
        <f t="shared" ref="I318" si="1286">+I316*4/(100-4)</f>
        <v>364.68244595889706</v>
      </c>
      <c r="J318" s="7911"/>
      <c r="K318" s="5866">
        <f t="shared" ref="K318" si="1287">+K316*4/(100-4)</f>
        <v>158.62964881980437</v>
      </c>
      <c r="L318" s="7924"/>
      <c r="M318" s="6305">
        <f t="shared" ref="M318" si="1288">+M316*4/(100-4)</f>
        <v>523.32195589645289</v>
      </c>
      <c r="N318" s="7911"/>
      <c r="O318" s="5866">
        <f t="shared" ref="O318" si="1289">+O316*4/(100-4)</f>
        <v>107.91749779735683</v>
      </c>
      <c r="P318" s="7918"/>
      <c r="Q318" s="5867">
        <f t="shared" ref="Q318" si="1290">+Q316*4/(100-4)</f>
        <v>631.17985895349409</v>
      </c>
      <c r="R318" s="7911"/>
      <c r="S318" s="5866">
        <f t="shared" ref="S318" si="1291">+S316*4/(100-4)</f>
        <v>110.0148383471644</v>
      </c>
      <c r="T318" s="7918"/>
      <c r="U318" s="5867">
        <f t="shared" ref="U318" si="1292">+U316*4/(100-4)</f>
        <v>741.1643276031873</v>
      </c>
      <c r="V318" s="7911"/>
      <c r="W318" s="5866">
        <f t="shared" ref="W318" si="1293">+W316*4/(100-4)</f>
        <v>102.79570159590487</v>
      </c>
      <c r="X318" s="7924"/>
      <c r="Y318" s="6305">
        <f t="shared" ref="Y318" si="1294">+Y316*4/(100-4)</f>
        <v>320.72811188262534</v>
      </c>
      <c r="Z318" s="8055"/>
      <c r="AA318" s="6642">
        <f t="shared" ref="AA318" si="1295">+AA316*4/(100-4)</f>
        <v>843.94100519053234</v>
      </c>
      <c r="AB318" s="7911"/>
      <c r="AC318" s="5866">
        <f t="shared" ref="AC318" si="1296">+AC316*4/(100-4)</f>
        <v>109.55710567412818</v>
      </c>
      <c r="AD318" s="7918"/>
      <c r="AE318" s="5867">
        <f t="shared" ref="AE318" si="1297">+AE316*4/(100-4)</f>
        <v>953.52312963409167</v>
      </c>
      <c r="AF318" s="7911"/>
      <c r="AG318" s="5866">
        <f t="shared" ref="AG318" si="1298">+AG316*4/(100-4)</f>
        <v>106.89524869420713</v>
      </c>
      <c r="AH318" s="7918"/>
      <c r="AI318" s="5867">
        <f t="shared" ref="AI318" si="1299">+AI316*4/(100-4)</f>
        <v>1060.4365328679457</v>
      </c>
      <c r="AJ318" s="7911"/>
      <c r="AK318" s="5866">
        <f t="shared" ref="AK318" si="1300">+AK316*4/(100-4)</f>
        <v>110.12534329389418</v>
      </c>
      <c r="AL318" s="7924"/>
      <c r="AM318" s="6305">
        <f t="shared" ref="AM318" si="1301">+AM316*4/(100-4)</f>
        <v>326.57769704206368</v>
      </c>
      <c r="AN318" s="7918"/>
      <c r="AO318" s="5867">
        <f t="shared" ref="AO318" si="1302">+AO316*4/(100-4)</f>
        <v>1170.5753541681606</v>
      </c>
      <c r="AP318" s="7911"/>
      <c r="AQ318" s="5866">
        <f t="shared" ref="AQ318" si="1303">+AQ316*4/(100-4)</f>
        <v>110.12534329389418</v>
      </c>
      <c r="AR318" s="7918"/>
      <c r="AS318" s="5867">
        <f t="shared" ref="AS318" si="1304">+AS316*4/(100-4)</f>
        <v>1280.7113147829066</v>
      </c>
      <c r="AT318" s="7911"/>
      <c r="AU318" s="5866">
        <f t="shared" ref="AU318" si="1305">+AU316*4/(100-4)</f>
        <v>99.482844121490032</v>
      </c>
      <c r="AV318" s="7918"/>
      <c r="AW318" s="5867">
        <f t="shared" ref="AW318" si="1306">+AW316*4/(100-4)</f>
        <v>1380.2038346701004</v>
      </c>
      <c r="AX318" s="7911"/>
      <c r="AY318" s="5866">
        <f t="shared" ref="AY318" si="1307">+AY316*4/(100-4)</f>
        <v>110.36159751574257</v>
      </c>
      <c r="AZ318" s="7924"/>
      <c r="BA318" s="6305">
        <f t="shared" ref="BA318" si="1308">+BA316*4/(100-4)</f>
        <v>319.96977094545747</v>
      </c>
      <c r="BB318" s="7924"/>
      <c r="BC318" s="6305">
        <f t="shared" ref="BC318" si="1309">+BC316*4/(100-4)</f>
        <v>646.5474635122406</v>
      </c>
      <c r="BD318" s="8055"/>
      <c r="BE318" s="6642">
        <f t="shared" ref="BE318" si="1310">+BE316*4/(100-4)</f>
        <v>1247.2201624293773</v>
      </c>
    </row>
    <row r="319" spans="1:57" s="7896" customFormat="1" x14ac:dyDescent="0.2">
      <c r="A319" s="3378"/>
      <c r="B319" s="7909" t="s">
        <v>2472</v>
      </c>
      <c r="C319" s="4200" t="s">
        <v>170</v>
      </c>
      <c r="D319" s="7911"/>
      <c r="E319" s="5866">
        <f>+E318*E313/(100-E313)</f>
        <v>16.881979119382702</v>
      </c>
      <c r="F319" s="7911"/>
      <c r="G319" s="5866">
        <f>+G318*G313/(100-G313)</f>
        <v>18.024727515880979</v>
      </c>
      <c r="H319" s="7918"/>
      <c r="I319" s="5867">
        <f>+I318*I313/(100-I313)</f>
        <v>34.900887374436593</v>
      </c>
      <c r="J319" s="7911"/>
      <c r="K319" s="5866">
        <f>+K318*K313/(100-K313)</f>
        <v>15.120351180195762</v>
      </c>
      <c r="L319" s="7924"/>
      <c r="M319" s="6305">
        <f>+M318*M313/(100-M313)</f>
        <v>50.011377436880871</v>
      </c>
      <c r="N319" s="7911"/>
      <c r="O319" s="5866">
        <f>+O318*O313/(100-O313)</f>
        <v>10.4158355359765</v>
      </c>
      <c r="P319" s="7918"/>
      <c r="Q319" s="5867">
        <f>+Q318*Q313/(100-Q313)</f>
        <v>60.486807713172652</v>
      </c>
      <c r="R319" s="7911"/>
      <c r="S319" s="5866">
        <f>+S318*S313/(100-S313)</f>
        <v>10.610161652835385</v>
      </c>
      <c r="T319" s="7918"/>
      <c r="U319" s="5867">
        <f>+U318*U313/(100-U313)</f>
        <v>71.127339063479354</v>
      </c>
      <c r="V319" s="7911"/>
      <c r="W319" s="5866">
        <f>+W318*W313/(100-W313)</f>
        <v>9.9126317374285051</v>
      </c>
      <c r="X319" s="7924"/>
      <c r="Y319" s="6305">
        <f>+Y318*Y313/(100-Y313)</f>
        <v>30.938554784041408</v>
      </c>
      <c r="Z319" s="8055"/>
      <c r="AA319" s="6642">
        <f>+AA318*AA313/(100-AA313)</f>
        <v>81.058994809469922</v>
      </c>
      <c r="AB319" s="7911"/>
      <c r="AC319" s="5866">
        <f>+AC318*AC313/(100-AC313)</f>
        <v>10.442894325871961</v>
      </c>
      <c r="AD319" s="7918"/>
      <c r="AE319" s="5867">
        <f>+AE318*AE313/(100-AE313)</f>
        <v>91.476870365909448</v>
      </c>
      <c r="AF319" s="7911"/>
      <c r="AG319" s="5866">
        <f>+AG318*AG313/(100-AG313)</f>
        <v>10.188084639126322</v>
      </c>
      <c r="AH319" s="7918"/>
      <c r="AI319" s="5867">
        <f>+AI318*AI313/(100-AI313)</f>
        <v>101.64680046538696</v>
      </c>
      <c r="AJ319" s="7911"/>
      <c r="AK319" s="5866">
        <f>+AK318*AK313/(100-AK313)</f>
        <v>10.499656706105906</v>
      </c>
      <c r="AL319" s="7924"/>
      <c r="AM319" s="6305">
        <f>+AM318*AM313/(100-AM313)</f>
        <v>31.13063629126993</v>
      </c>
      <c r="AN319" s="7918"/>
      <c r="AO319" s="5867">
        <f>+AO318*AO313/(100-AO313)</f>
        <v>112.13297916517149</v>
      </c>
      <c r="AP319" s="7911"/>
      <c r="AQ319" s="5866">
        <f>+AQ318*AQ313/(100-AQ313)</f>
        <v>10.499656706105906</v>
      </c>
      <c r="AR319" s="7918"/>
      <c r="AS319" s="5867">
        <f>+AS318*AS313/(100-AS313)</f>
        <v>122.62201855042744</v>
      </c>
      <c r="AT319" s="7911"/>
      <c r="AU319" s="5866">
        <f>+AU318*AU313/(100-AU313)</f>
        <v>9.4754892118430529</v>
      </c>
      <c r="AV319" s="7918"/>
      <c r="AW319" s="5867">
        <f>+AW318*AW313/(100-AW313)</f>
        <v>132.08783199656557</v>
      </c>
      <c r="AX319" s="7911"/>
      <c r="AY319" s="5866">
        <f>+AY318*AY313/(100-AY313)</f>
        <v>10.471735817591108</v>
      </c>
      <c r="AZ319" s="7924"/>
      <c r="BA319" s="6305">
        <f>+BA318*BA313/(100-BA313)</f>
        <v>30.446895721209653</v>
      </c>
      <c r="BB319" s="7924"/>
      <c r="BC319" s="6305">
        <f>+BC318*BC313/(100-BC313)</f>
        <v>2086.2891103166185</v>
      </c>
      <c r="BD319" s="8055"/>
      <c r="BE319" s="6642">
        <f>+BE318*BE313/(100-BE313)</f>
        <v>119.27105402542387</v>
      </c>
    </row>
    <row r="320" spans="1:57" s="7896" customFormat="1" ht="19" x14ac:dyDescent="0.2">
      <c r="A320" s="3378"/>
      <c r="B320" s="7912" t="s">
        <v>2514</v>
      </c>
      <c r="C320" s="4200" t="s">
        <v>170</v>
      </c>
      <c r="D320" s="7914"/>
      <c r="E320" s="7915">
        <f t="shared" ref="E320" si="1311">SUM(E316:E319)</f>
        <v>4791.666666666667</v>
      </c>
      <c r="F320" s="7914"/>
      <c r="G320" s="7915">
        <f t="shared" ref="G320" si="1312">SUM(G316:G319)</f>
        <v>5197.9166666666697</v>
      </c>
      <c r="H320" s="7919"/>
      <c r="I320" s="7920">
        <f t="shared" ref="I320" si="1313">SUM(I316:I319)</f>
        <v>9989.5833333333412</v>
      </c>
      <c r="J320" s="7914"/>
      <c r="K320" s="7915">
        <f t="shared" ref="K320" si="1314">SUM(K316:K319)</f>
        <v>4343.7500000000036</v>
      </c>
      <c r="L320" s="7925"/>
      <c r="M320" s="7926">
        <f t="shared" ref="M320" si="1315">SUM(M316:M319)</f>
        <v>14333.333333333343</v>
      </c>
      <c r="N320" s="7914"/>
      <c r="O320" s="7915">
        <f t="shared" ref="O320" si="1316">SUM(O316:O319)</f>
        <v>2958.333333333333</v>
      </c>
      <c r="P320" s="7919"/>
      <c r="Q320" s="7920">
        <f t="shared" ref="Q320" si="1317">SUM(Q316:Q319)</f>
        <v>17291.666666666672</v>
      </c>
      <c r="R320" s="7914"/>
      <c r="S320" s="7915">
        <f t="shared" ref="S320" si="1318">SUM(S316:S319)</f>
        <v>3015.6249999999941</v>
      </c>
      <c r="T320" s="7919"/>
      <c r="U320" s="7920">
        <f t="shared" ref="U320" si="1319">SUM(U316:U319)</f>
        <v>20307.291666666664</v>
      </c>
      <c r="V320" s="7914"/>
      <c r="W320" s="7915">
        <f t="shared" ref="W320" si="1320">SUM(W316:W319)</f>
        <v>2817.7083333333348</v>
      </c>
      <c r="X320" s="7925"/>
      <c r="Y320" s="7926">
        <f t="shared" ref="Y320" si="1321">SUM(Y316:Y319)</f>
        <v>8791.6666666666679</v>
      </c>
      <c r="Z320" s="8056"/>
      <c r="AA320" s="8057">
        <f t="shared" ref="AA320" si="1322">SUM(AA316:AA319)</f>
        <v>23125.000000000058</v>
      </c>
      <c r="AB320" s="7914"/>
      <c r="AC320" s="7915">
        <f t="shared" ref="AC320" si="1323">SUM(AC316:AC319)</f>
        <v>3000.0000000000032</v>
      </c>
      <c r="AD320" s="7919"/>
      <c r="AE320" s="7920">
        <f t="shared" ref="AE320" si="1324">SUM(AE316:AE319)</f>
        <v>26125.000000000025</v>
      </c>
      <c r="AF320" s="7914"/>
      <c r="AG320" s="7915">
        <f t="shared" ref="AG320" si="1325">SUM(AG316:AG319)</f>
        <v>2927.0833333333362</v>
      </c>
      <c r="AH320" s="7919"/>
      <c r="AI320" s="7920">
        <f t="shared" ref="AI320" si="1326">SUM(AI316:AI319)</f>
        <v>29052.083333333314</v>
      </c>
      <c r="AJ320" s="7914"/>
      <c r="AK320" s="7915">
        <f t="shared" ref="AK320" si="1327">SUM(AK316:AK319)</f>
        <v>3015.6250000000023</v>
      </c>
      <c r="AL320" s="7925"/>
      <c r="AM320" s="7926">
        <f t="shared" ref="AM320" si="1328">SUM(AM316:AM319)</f>
        <v>8942.7083333333376</v>
      </c>
      <c r="AN320" s="7919"/>
      <c r="AO320" s="7920">
        <f t="shared" ref="AO320" si="1329">SUM(AO316:AO319)</f>
        <v>32067.708333333307</v>
      </c>
      <c r="AP320" s="7914"/>
      <c r="AQ320" s="7915">
        <f t="shared" ref="AQ320" si="1330">SUM(AQ316:AQ319)</f>
        <v>3015.6250000000023</v>
      </c>
      <c r="AR320" s="7919"/>
      <c r="AS320" s="7920">
        <f t="shared" ref="AS320" si="1331">SUM(AS316:AS319)</f>
        <v>35083.33333333335</v>
      </c>
      <c r="AT320" s="7914"/>
      <c r="AU320" s="7915">
        <f t="shared" ref="AU320" si="1332">SUM(AU316:AU319)</f>
        <v>2723.9583333333271</v>
      </c>
      <c r="AV320" s="7919"/>
      <c r="AW320" s="7920">
        <f t="shared" ref="AW320" si="1333">SUM(AW316:AW319)</f>
        <v>37807.29166666665</v>
      </c>
      <c r="AX320" s="7914"/>
      <c r="AY320" s="7915">
        <f t="shared" ref="AY320" si="1334">SUM(AY316:AY319)</f>
        <v>3020.8333333333421</v>
      </c>
      <c r="AZ320" s="7925"/>
      <c r="BA320" s="7926">
        <f t="shared" ref="BA320" si="1335">SUM(BA316:BA319)</f>
        <v>8760.4166666666788</v>
      </c>
      <c r="BB320" s="7925"/>
      <c r="BC320" s="7926">
        <f t="shared" ref="BC320" si="1336">SUM(BC316:BC319)</f>
        <v>68320.914345721467</v>
      </c>
      <c r="BD320" s="8056"/>
      <c r="BE320" s="8057">
        <f t="shared" ref="BE320" si="1337">SUM(BE316:BE319)</f>
        <v>34162.280411370033</v>
      </c>
    </row>
    <row r="321" spans="1:57" s="7896" customFormat="1" ht="19" x14ac:dyDescent="0.2">
      <c r="A321" s="3378"/>
      <c r="B321" s="7912"/>
      <c r="C321" s="4200"/>
      <c r="D321" s="7914"/>
      <c r="E321" s="7911"/>
      <c r="F321" s="7914"/>
      <c r="G321" s="7911"/>
      <c r="H321" s="7919"/>
      <c r="I321" s="7918"/>
      <c r="J321" s="7914"/>
      <c r="K321" s="7911"/>
      <c r="L321" s="7925"/>
      <c r="M321" s="7924"/>
      <c r="N321" s="7914"/>
      <c r="O321" s="7911"/>
      <c r="P321" s="7919"/>
      <c r="Q321" s="7918"/>
      <c r="R321" s="7914"/>
      <c r="S321" s="7911"/>
      <c r="T321" s="7919"/>
      <c r="U321" s="7918"/>
      <c r="V321" s="7914"/>
      <c r="W321" s="7911"/>
      <c r="X321" s="7925"/>
      <c r="Y321" s="7924"/>
      <c r="Z321" s="8056"/>
      <c r="AA321" s="8055"/>
      <c r="AB321" s="7914"/>
      <c r="AC321" s="7911"/>
      <c r="AD321" s="7919"/>
      <c r="AE321" s="7918"/>
      <c r="AF321" s="7914"/>
      <c r="AG321" s="7911"/>
      <c r="AH321" s="7919"/>
      <c r="AI321" s="7918"/>
      <c r="AJ321" s="7914"/>
      <c r="AK321" s="7911"/>
      <c r="AL321" s="7925"/>
      <c r="AM321" s="7924"/>
      <c r="AN321" s="7919"/>
      <c r="AO321" s="7918"/>
      <c r="AP321" s="7914"/>
      <c r="AQ321" s="7911"/>
      <c r="AR321" s="7919"/>
      <c r="AS321" s="7918"/>
      <c r="AT321" s="7914"/>
      <c r="AU321" s="7911"/>
      <c r="AV321" s="7919"/>
      <c r="AW321" s="7918"/>
      <c r="AX321" s="7914"/>
      <c r="AY321" s="7911"/>
      <c r="AZ321" s="7925"/>
      <c r="BA321" s="7924"/>
      <c r="BB321" s="7925"/>
      <c r="BC321" s="7924"/>
      <c r="BD321" s="8056"/>
      <c r="BE321" s="8055"/>
    </row>
    <row r="322" spans="1:57" x14ac:dyDescent="0.2">
      <c r="B322" s="7912" t="s">
        <v>2471</v>
      </c>
      <c r="C322" s="4200" t="s">
        <v>170</v>
      </c>
      <c r="D322" s="7911"/>
      <c r="E322" s="5866">
        <f>+((100-'Maj Techno Summ'!E8)/100)*'COKE OVENS'!E14</f>
        <v>5261.6771873647785</v>
      </c>
      <c r="F322" s="7911"/>
      <c r="G322" s="5866">
        <f>+((100-'Maj Techno Summ'!G8)/100)*'COKE OVENS'!G14</f>
        <v>4752.8827816168814</v>
      </c>
      <c r="H322" s="7918"/>
      <c r="I322" s="5867">
        <f>+((100-'Maj Techno Summ'!I8)/100)*'COKE OVENS'!I14</f>
        <v>10014.554766044068</v>
      </c>
      <c r="J322" s="7911"/>
      <c r="K322" s="5866">
        <f>+((100-'Maj Techno Summ'!K8)/100)*'COKE OVENS'!K14</f>
        <v>3213.2280535517762</v>
      </c>
      <c r="L322" s="7924"/>
      <c r="M322" s="6305">
        <f>+((100-'Maj Techno Summ'!M8)/100)*'COKE OVENS'!M14</f>
        <v>13227.790620106329</v>
      </c>
      <c r="N322" s="7911"/>
      <c r="O322" s="5866">
        <f>+((100-'Maj Techno Summ'!O8)/100)*'COKE OVENS'!O14</f>
        <v>4442.6039986889591</v>
      </c>
      <c r="P322" s="7918"/>
      <c r="Q322" s="5867">
        <f>+((100-'Maj Techno Summ'!Q8)/100)*'COKE OVENS'!Q14</f>
        <v>17670.391676354517</v>
      </c>
      <c r="R322" s="7911"/>
      <c r="S322" s="5866">
        <f>+((100-'Maj Techno Summ'!S8)/100)*'COKE OVENS'!S14</f>
        <v>4838.4199976489517</v>
      </c>
      <c r="T322" s="7918"/>
      <c r="U322" s="5867">
        <f>+((100-'Maj Techno Summ'!U8)/100)*'COKE OVENS'!U14</f>
        <v>22508.807107156154</v>
      </c>
      <c r="V322" s="7911"/>
      <c r="W322" s="5866">
        <f>+((100-'Maj Techno Summ'!W8)/100)*'COKE OVENS'!W14</f>
        <v>2424.2730886006061</v>
      </c>
      <c r="X322" s="7924"/>
      <c r="Y322" s="6305">
        <f>+((100-'Maj Techno Summ'!Y8)/100)*'COKE OVENS'!Y14</f>
        <v>11705.319388386462</v>
      </c>
      <c r="Z322" s="8055"/>
      <c r="AA322" s="6642">
        <f>+((100-'Maj Techno Summ'!AA8)/100)*'COKE OVENS'!AA14</f>
        <v>24933.104645903091</v>
      </c>
      <c r="AB322" s="7911"/>
      <c r="AC322" s="5866">
        <f>+((100-'Maj Techno Summ'!AC8)/100)*'COKE OVENS'!AC14</f>
        <v>4499.0755003590266</v>
      </c>
      <c r="AD322" s="7918"/>
      <c r="AE322" s="5867">
        <f>+((100-'Maj Techno Summ'!AE8)/100)*'COKE OVENS'!AE14</f>
        <v>29432.18042563149</v>
      </c>
      <c r="AF322" s="7911"/>
      <c r="AG322" s="5866">
        <f>+((100-'Maj Techno Summ'!AG8)/100)*'COKE OVENS'!AG14</f>
        <v>3227.81924946034</v>
      </c>
      <c r="AH322" s="7918"/>
      <c r="AI322" s="5867">
        <f>+((100-'Maj Techno Summ'!AI8)/100)*'COKE OVENS'!AI14</f>
        <v>32660.011546687703</v>
      </c>
      <c r="AJ322" s="7911"/>
      <c r="AK322" s="5866">
        <f>+((100-'Maj Techno Summ'!AK8)/100)*'COKE OVENS'!AK14</f>
        <v>4708.5171292478681</v>
      </c>
      <c r="AL322" s="7924"/>
      <c r="AM322" s="6305">
        <f>+((100-'Maj Techno Summ'!AM8)/100)*'COKE OVENS'!AM14</f>
        <v>12435.418873782306</v>
      </c>
      <c r="AN322" s="7918"/>
      <c r="AO322" s="5867">
        <f>+((100-'Maj Techno Summ'!AO8)/100)*'COKE OVENS'!AO14</f>
        <v>37368.528594598611</v>
      </c>
      <c r="AP322" s="7911"/>
      <c r="AQ322" s="5866">
        <f>+((100-'Maj Techno Summ'!AQ8)/100)*'COKE OVENS'!AQ14</f>
        <v>4842.0754948122285</v>
      </c>
      <c r="AR322" s="7918"/>
      <c r="AS322" s="5867">
        <f>+((100-'Maj Techno Summ'!AS8)/100)*'COKE OVENS'!AS14</f>
        <v>42210.605042078001</v>
      </c>
      <c r="AT322" s="7911"/>
      <c r="AU322" s="5866">
        <f>+((100-'Maj Techno Summ'!AU8)/100)*'COKE OVENS'!AU14</f>
        <v>3934.8462988783144</v>
      </c>
      <c r="AV322" s="7918"/>
      <c r="AW322" s="5867">
        <f>+((100-'Maj Techno Summ'!AW8)/100)*'COKE OVENS'!AW14</f>
        <v>46145.451299486718</v>
      </c>
      <c r="AX322" s="7911"/>
      <c r="AY322" s="5866">
        <f>+((100-'Maj Techno Summ'!AY8)/100)*'COKE OVENS'!AY14</f>
        <v>5280.7256383998274</v>
      </c>
      <c r="AZ322" s="7924"/>
      <c r="BA322" s="6305">
        <f>+((100-'Maj Techno Summ'!BA8)/100)*'COKE OVENS'!BA14</f>
        <v>14057.648498776483</v>
      </c>
      <c r="BB322" s="7924"/>
      <c r="BC322" s="6305">
        <f>+((100-'Maj Techno Summ'!BC8)/100)*'COKE OVENS'!BC14</f>
        <v>26493.07250803303</v>
      </c>
      <c r="BD322" s="8055"/>
      <c r="BE322" s="6642">
        <f>+((100-'Maj Techno Summ'!BC8)/100)*'COKE OVENS'!BE14</f>
        <v>50201.387651902449</v>
      </c>
    </row>
    <row r="323" spans="1:57" x14ac:dyDescent="0.2">
      <c r="B323" s="7909" t="s">
        <v>698</v>
      </c>
      <c r="C323" s="4200" t="s">
        <v>170</v>
      </c>
      <c r="D323" s="7910"/>
      <c r="E323" s="7913">
        <f>+E322*E314/(100-E314)</f>
        <v>520.39429684119375</v>
      </c>
      <c r="F323" s="7910"/>
      <c r="G323" s="7913">
        <f>+G322*G314/(100-G314)</f>
        <v>470.05253566651828</v>
      </c>
      <c r="H323" s="7921"/>
      <c r="I323" s="7922">
        <f>+I322*I314/(100-I314)</f>
        <v>990.44523395593717</v>
      </c>
      <c r="J323" s="7910"/>
      <c r="K323" s="7913">
        <f>+K322*K314/(100-K314)</f>
        <v>317.77194644822021</v>
      </c>
      <c r="L323" s="7927"/>
      <c r="M323" s="7928">
        <f>+M322*M314/(100-M314)</f>
        <v>1308.2093798936362</v>
      </c>
      <c r="N323" s="7910"/>
      <c r="O323" s="7913">
        <f>+O322*O314/(100-O314)</f>
        <v>439.39600131104589</v>
      </c>
      <c r="P323" s="7921"/>
      <c r="Q323" s="7922">
        <f>+Q322*Q314/(100-Q314)</f>
        <v>1747.608323645461</v>
      </c>
      <c r="R323" s="7910"/>
      <c r="S323" s="7913">
        <f>+S322*S314/(100-S314)</f>
        <v>478.53000000000094</v>
      </c>
      <c r="T323" s="7921"/>
      <c r="U323" s="7922">
        <f>+U322*U314/(100-U314)</f>
        <v>2226.138598104792</v>
      </c>
      <c r="V323" s="7910"/>
      <c r="W323" s="7913">
        <f>+W322*W314/(100-W314)</f>
        <v>239.75754899254773</v>
      </c>
      <c r="X323" s="7927"/>
      <c r="Y323" s="7928">
        <f>+Y322*Y314/(100-Y314)</f>
        <v>1157.6806116135401</v>
      </c>
      <c r="Z323" s="8058"/>
      <c r="AA323" s="8059">
        <f>+AA322*AA314/(100-AA314)</f>
        <v>2465.8953540968892</v>
      </c>
      <c r="AB323" s="7910"/>
      <c r="AC323" s="7913">
        <f>+AC322*AC314/(100-AC314)</f>
        <v>444.97450014664457</v>
      </c>
      <c r="AD323" s="7921"/>
      <c r="AE323" s="7922">
        <f>+AE322*AE314/(100-AE314)</f>
        <v>2910.8700000000049</v>
      </c>
      <c r="AF323" s="7910"/>
      <c r="AG323" s="7913">
        <f>+AG322*AG314/(100-AG314)</f>
        <v>319.18075053966385</v>
      </c>
      <c r="AH323" s="7921"/>
      <c r="AI323" s="7922">
        <f>+AI322*AI314/(100-AI314)</f>
        <v>3230.037377298127</v>
      </c>
      <c r="AJ323" s="7910"/>
      <c r="AK323" s="7913">
        <f>+AK322*AK314/(100-AK314)</f>
        <v>465.68287075214261</v>
      </c>
      <c r="AL323" s="7927"/>
      <c r="AM323" s="7928">
        <f>+AM322*AM314/(100-AM314)</f>
        <v>1229.8270911818472</v>
      </c>
      <c r="AN323" s="7921"/>
      <c r="AO323" s="7922">
        <f>+AO322*AO314/(100-AO314)</f>
        <v>3695.7203020062784</v>
      </c>
      <c r="AP323" s="7910"/>
      <c r="AQ323" s="7913">
        <f>+AQ322*AQ314/(100-AQ314)</f>
        <v>478.87449766926034</v>
      </c>
      <c r="AR323" s="7921"/>
      <c r="AS323" s="7922">
        <f>+AS322*AS314/(100-AS314)</f>
        <v>4174.5949579221087</v>
      </c>
      <c r="AT323" s="7910"/>
      <c r="AU323" s="7913">
        <f>+AU322*AU314/(100-AU314)</f>
        <v>389.1537011216771</v>
      </c>
      <c r="AV323" s="7921"/>
      <c r="AW323" s="7922">
        <f>+AW322*AW314/(100-AW314)</f>
        <v>4563.748700513388</v>
      </c>
      <c r="AX323" s="7910"/>
      <c r="AY323" s="7913">
        <f>+AY322*AY314/(100-AY314)</f>
        <v>522.27436160018112</v>
      </c>
      <c r="AZ323" s="7927"/>
      <c r="BA323" s="7928">
        <f>+BA322*BA314/(100-BA314)</f>
        <v>1390.3014992814287</v>
      </c>
      <c r="BB323" s="7927"/>
      <c r="BC323" s="7928">
        <f>+BC322*BC314/(100-BC314)</f>
        <v>83837.803235066953</v>
      </c>
      <c r="BD323" s="8058"/>
      <c r="BE323" s="8059">
        <f>+BE322*BE314/(100-BE314)</f>
        <v>4964.8906089957172</v>
      </c>
    </row>
    <row r="324" spans="1:57" x14ac:dyDescent="0.2">
      <c r="B324" s="7909" t="s">
        <v>2240</v>
      </c>
      <c r="C324" s="4200" t="s">
        <v>170</v>
      </c>
      <c r="D324" s="7911"/>
      <c r="E324" s="5866">
        <f t="shared" ref="E324" si="1338">+E322*4/(100-4)</f>
        <v>219.23654947353245</v>
      </c>
      <c r="F324" s="7911"/>
      <c r="G324" s="5866">
        <f t="shared" ref="G324" si="1339">+G322*4/(100-4)</f>
        <v>198.03678256737007</v>
      </c>
      <c r="H324" s="7918"/>
      <c r="I324" s="5867">
        <f t="shared" ref="I324" si="1340">+I322*4/(100-4)</f>
        <v>417.27311525183615</v>
      </c>
      <c r="J324" s="7911"/>
      <c r="K324" s="5866">
        <f t="shared" ref="K324" si="1341">+K322*4/(100-4)</f>
        <v>133.88450223132401</v>
      </c>
      <c r="L324" s="7924"/>
      <c r="M324" s="6305">
        <f t="shared" ref="M324" si="1342">+M322*4/(100-4)</f>
        <v>551.15794250443037</v>
      </c>
      <c r="N324" s="7911"/>
      <c r="O324" s="5866">
        <f t="shared" ref="O324" si="1343">+O322*4/(100-4)</f>
        <v>185.1084999453733</v>
      </c>
      <c r="P324" s="7918"/>
      <c r="Q324" s="5867">
        <f t="shared" ref="Q324" si="1344">+Q322*4/(100-4)</f>
        <v>736.2663198481049</v>
      </c>
      <c r="R324" s="7911"/>
      <c r="S324" s="5866">
        <f t="shared" ref="S324" si="1345">+S322*4/(100-4)</f>
        <v>201.60083323537299</v>
      </c>
      <c r="T324" s="7918"/>
      <c r="U324" s="5867">
        <f t="shared" ref="U324" si="1346">+U322*4/(100-4)</f>
        <v>937.86696279817306</v>
      </c>
      <c r="V324" s="7911"/>
      <c r="W324" s="5866">
        <f t="shared" ref="W324" si="1347">+W322*4/(100-4)</f>
        <v>101.01137869169192</v>
      </c>
      <c r="X324" s="7924"/>
      <c r="Y324" s="6305">
        <f t="shared" ref="Y324" si="1348">+Y322*4/(100-4)</f>
        <v>487.72164118276925</v>
      </c>
      <c r="Z324" s="8055"/>
      <c r="AA324" s="6642">
        <f t="shared" ref="AA324" si="1349">+AA322*4/(100-4)</f>
        <v>1038.8793602459621</v>
      </c>
      <c r="AB324" s="7911"/>
      <c r="AC324" s="5866">
        <f t="shared" ref="AC324" si="1350">+AC322*4/(100-4)</f>
        <v>187.46147918162612</v>
      </c>
      <c r="AD324" s="7918"/>
      <c r="AE324" s="5867">
        <f t="shared" ref="AE324" si="1351">+AE322*4/(100-4)</f>
        <v>1226.3408510679787</v>
      </c>
      <c r="AF324" s="7911"/>
      <c r="AG324" s="5866">
        <f t="shared" ref="AG324" si="1352">+AG322*4/(100-4)</f>
        <v>134.49246872751417</v>
      </c>
      <c r="AH324" s="7918"/>
      <c r="AI324" s="5867">
        <f t="shared" ref="AI324" si="1353">+AI322*4/(100-4)</f>
        <v>1360.833814445321</v>
      </c>
      <c r="AJ324" s="7911"/>
      <c r="AK324" s="5866">
        <f t="shared" ref="AK324" si="1354">+AK322*4/(100-4)</f>
        <v>196.18821371866116</v>
      </c>
      <c r="AL324" s="7924"/>
      <c r="AM324" s="6305">
        <f t="shared" ref="AM324" si="1355">+AM322*4/(100-4)</f>
        <v>518.14245307426279</v>
      </c>
      <c r="AN324" s="7918"/>
      <c r="AO324" s="5867">
        <f t="shared" ref="AO324" si="1356">+AO322*4/(100-4)</f>
        <v>1557.0220247749421</v>
      </c>
      <c r="AP324" s="7911"/>
      <c r="AQ324" s="5866">
        <f t="shared" ref="AQ324" si="1357">+AQ322*4/(100-4)</f>
        <v>201.75314561717619</v>
      </c>
      <c r="AR324" s="7918"/>
      <c r="AS324" s="5867">
        <f t="shared" ref="AS324" si="1358">+AS322*4/(100-4)</f>
        <v>1758.7752100865835</v>
      </c>
      <c r="AT324" s="7911"/>
      <c r="AU324" s="5866">
        <f t="shared" ref="AU324" si="1359">+AU322*4/(100-4)</f>
        <v>163.95192911992976</v>
      </c>
      <c r="AV324" s="7918"/>
      <c r="AW324" s="5867">
        <f t="shared" ref="AW324" si="1360">+AW322*4/(100-4)</f>
        <v>1922.7271374786133</v>
      </c>
      <c r="AX324" s="7911"/>
      <c r="AY324" s="5866">
        <f t="shared" ref="AY324" si="1361">+AY322*4/(100-4)</f>
        <v>220.03023493332614</v>
      </c>
      <c r="AZ324" s="7924"/>
      <c r="BA324" s="6305">
        <f t="shared" ref="BA324" si="1362">+BA322*4/(100-4)</f>
        <v>585.73535411568685</v>
      </c>
      <c r="BB324" s="7924"/>
      <c r="BC324" s="6305">
        <f t="shared" ref="BC324" si="1363">+BC322*4/(100-4)</f>
        <v>1103.878021168043</v>
      </c>
      <c r="BD324" s="8055"/>
      <c r="BE324" s="6642">
        <f t="shared" ref="BE324" si="1364">+BE322*4/(100-4)</f>
        <v>2091.7244854959354</v>
      </c>
    </row>
    <row r="325" spans="1:57" x14ac:dyDescent="0.2">
      <c r="B325" s="7909" t="s">
        <v>2472</v>
      </c>
      <c r="C325" s="4200" t="s">
        <v>170</v>
      </c>
      <c r="D325" s="7911"/>
      <c r="E325" s="5866">
        <f>+E324*E314/(100-E314)</f>
        <v>21.683095701716407</v>
      </c>
      <c r="F325" s="7911"/>
      <c r="G325" s="5866">
        <f>+G324*G314/(100-G314)</f>
        <v>19.585522319438262</v>
      </c>
      <c r="H325" s="7918"/>
      <c r="I325" s="5867">
        <f>+I324*I314/(100-I314)</f>
        <v>41.268551414830711</v>
      </c>
      <c r="J325" s="7911"/>
      <c r="K325" s="5866">
        <f>+K324*K314/(100-K314)</f>
        <v>13.240497768675839</v>
      </c>
      <c r="L325" s="7924"/>
      <c r="M325" s="6305">
        <f>+M324*M314/(100-M314)</f>
        <v>54.508724162234849</v>
      </c>
      <c r="N325" s="7911"/>
      <c r="O325" s="5866">
        <f>+O324*O314/(100-O314)</f>
        <v>18.308166721293578</v>
      </c>
      <c r="P325" s="7918"/>
      <c r="Q325" s="5867">
        <f>+Q324*Q314/(100-Q314)</f>
        <v>72.817013485227548</v>
      </c>
      <c r="R325" s="7911"/>
      <c r="S325" s="5866">
        <f>+S324*S314/(100-S314)</f>
        <v>19.938750000000038</v>
      </c>
      <c r="T325" s="7918"/>
      <c r="U325" s="5867">
        <f>+U324*U314/(100-U314)</f>
        <v>92.755774921033009</v>
      </c>
      <c r="V325" s="7911"/>
      <c r="W325" s="5866">
        <f>+W324*W314/(100-W314)</f>
        <v>9.989897874689488</v>
      </c>
      <c r="X325" s="7924"/>
      <c r="Y325" s="6305">
        <f>+Y324*Y314/(100-Y314)</f>
        <v>48.236692150564167</v>
      </c>
      <c r="Z325" s="8055"/>
      <c r="AA325" s="6642">
        <f>+AA324*AA314/(100-AA314)</f>
        <v>102.74563975403704</v>
      </c>
      <c r="AB325" s="7911"/>
      <c r="AC325" s="5866">
        <f>+AC324*AC314/(100-AC314)</f>
        <v>18.54060417277686</v>
      </c>
      <c r="AD325" s="7918"/>
      <c r="AE325" s="5867">
        <f>+AE324*AE314/(100-AE314)</f>
        <v>121.28625000000022</v>
      </c>
      <c r="AF325" s="7911"/>
      <c r="AG325" s="5866">
        <f>+AG324*AG314/(100-AG314)</f>
        <v>13.299197939152661</v>
      </c>
      <c r="AH325" s="7918"/>
      <c r="AI325" s="5867">
        <f>+AI324*AI314/(100-AI314)</f>
        <v>134.58489072075531</v>
      </c>
      <c r="AJ325" s="7911"/>
      <c r="AK325" s="5866">
        <f>+AK324*AK314/(100-AK314)</f>
        <v>19.403452948005942</v>
      </c>
      <c r="AL325" s="7924"/>
      <c r="AM325" s="6305">
        <f>+AM324*AM314/(100-AM314)</f>
        <v>51.242795465910312</v>
      </c>
      <c r="AN325" s="7918"/>
      <c r="AO325" s="5867">
        <f>+AO324*AO314/(100-AO314)</f>
        <v>153.98834591692824</v>
      </c>
      <c r="AP325" s="7911"/>
      <c r="AQ325" s="5866">
        <f>+AQ324*AQ314/(100-AQ314)</f>
        <v>19.953104069552513</v>
      </c>
      <c r="AR325" s="7918"/>
      <c r="AS325" s="5867">
        <f>+AS324*AS314/(100-AS314)</f>
        <v>173.94145658008787</v>
      </c>
      <c r="AT325" s="7911"/>
      <c r="AU325" s="5866">
        <f>+AU324*AU314/(100-AU314)</f>
        <v>16.214737546736544</v>
      </c>
      <c r="AV325" s="7918"/>
      <c r="AW325" s="5867">
        <f>+AW324*AW314/(100-AW314)</f>
        <v>190.1561958547245</v>
      </c>
      <c r="AX325" s="7911"/>
      <c r="AY325" s="5866">
        <f>+AY324*AY314/(100-AY314)</f>
        <v>21.761431733340878</v>
      </c>
      <c r="AZ325" s="7924"/>
      <c r="BA325" s="6305">
        <f>+BA324*BA314/(100-BA314)</f>
        <v>57.929229136726207</v>
      </c>
      <c r="BB325" s="7924"/>
      <c r="BC325" s="6305">
        <f>+BC324*BC314/(100-BC314)</f>
        <v>3493.2418014611235</v>
      </c>
      <c r="BD325" s="8055"/>
      <c r="BE325" s="6642">
        <f>+BE324*BE314/(100-BE314)</f>
        <v>206.87044204148822</v>
      </c>
    </row>
    <row r="326" spans="1:57" ht="19" x14ac:dyDescent="0.2">
      <c r="B326" s="7912" t="s">
        <v>2514</v>
      </c>
      <c r="C326" s="4200" t="s">
        <v>170</v>
      </c>
      <c r="D326" s="7914"/>
      <c r="E326" s="7915">
        <f t="shared" ref="E326" si="1365">SUM(E322:E325)</f>
        <v>6022.9911293812211</v>
      </c>
      <c r="F326" s="7914"/>
      <c r="G326" s="7915">
        <f t="shared" ref="G326" si="1366">SUM(G322:G325)</f>
        <v>5440.5576221702086</v>
      </c>
      <c r="H326" s="7919"/>
      <c r="I326" s="7920">
        <f t="shared" ref="I326" si="1367">SUM(I322:I325)</f>
        <v>11463.541666666672</v>
      </c>
      <c r="J326" s="7914"/>
      <c r="K326" s="7915">
        <f t="shared" ref="K326" si="1368">SUM(K322:K325)</f>
        <v>3678.1249999999964</v>
      </c>
      <c r="L326" s="7925"/>
      <c r="M326" s="7926">
        <f t="shared" ref="M326" si="1369">SUM(M322:M325)</f>
        <v>15141.666666666631</v>
      </c>
      <c r="N326" s="7914"/>
      <c r="O326" s="7915">
        <f t="shared" ref="O326" si="1370">SUM(O322:O325)</f>
        <v>5085.4166666666724</v>
      </c>
      <c r="P326" s="7919"/>
      <c r="Q326" s="7920">
        <f t="shared" ref="Q326" si="1371">SUM(Q322:Q325)</f>
        <v>20227.08333333331</v>
      </c>
      <c r="R326" s="7914"/>
      <c r="S326" s="7915">
        <f t="shared" ref="S326" si="1372">SUM(S322:S325)</f>
        <v>5538.4895808843257</v>
      </c>
      <c r="T326" s="7919"/>
      <c r="U326" s="7920">
        <f t="shared" ref="U326" si="1373">SUM(U322:U325)</f>
        <v>25765.568442980151</v>
      </c>
      <c r="V326" s="7914"/>
      <c r="W326" s="7915">
        <f t="shared" ref="W326" si="1374">SUM(W322:W325)</f>
        <v>2775.0319141595351</v>
      </c>
      <c r="X326" s="7925"/>
      <c r="Y326" s="7926">
        <f t="shared" ref="Y326" si="1375">SUM(Y322:Y325)</f>
        <v>13398.958333333334</v>
      </c>
      <c r="Z326" s="8056"/>
      <c r="AA326" s="8057">
        <f t="shared" ref="AA326" si="1376">SUM(AA322:AA325)</f>
        <v>28540.624999999982</v>
      </c>
      <c r="AB326" s="7914"/>
      <c r="AC326" s="7915">
        <f t="shared" ref="AC326" si="1377">SUM(AC322:AC325)</f>
        <v>5150.0520838600733</v>
      </c>
      <c r="AD326" s="7919"/>
      <c r="AE326" s="7920">
        <f t="shared" ref="AE326" si="1378">SUM(AE322:AE325)</f>
        <v>33690.677526699474</v>
      </c>
      <c r="AF326" s="7914"/>
      <c r="AG326" s="7915">
        <f t="shared" ref="AG326" si="1379">SUM(AG322:AG325)</f>
        <v>3694.7916666666706</v>
      </c>
      <c r="AH326" s="7919"/>
      <c r="AI326" s="7920">
        <f t="shared" ref="AI326" si="1380">SUM(AI322:AI325)</f>
        <v>37385.467629151906</v>
      </c>
      <c r="AJ326" s="7914"/>
      <c r="AK326" s="7915">
        <f t="shared" ref="AK326" si="1381">SUM(AK322:AK325)</f>
        <v>5389.7916666666779</v>
      </c>
      <c r="AL326" s="7925"/>
      <c r="AM326" s="7926">
        <f t="shared" ref="AM326" si="1382">SUM(AM322:AM325)</f>
        <v>14234.631213504326</v>
      </c>
      <c r="AN326" s="7919"/>
      <c r="AO326" s="7920">
        <f t="shared" ref="AO326" si="1383">SUM(AO322:AO325)</f>
        <v>42775.259267296766</v>
      </c>
      <c r="AP326" s="7914"/>
      <c r="AQ326" s="7915">
        <f t="shared" ref="AQ326" si="1384">SUM(AQ322:AQ325)</f>
        <v>5542.6562421682183</v>
      </c>
      <c r="AR326" s="7919"/>
      <c r="AS326" s="7920">
        <f t="shared" ref="AS326" si="1385">SUM(AS322:AS325)</f>
        <v>48317.916666666788</v>
      </c>
      <c r="AT326" s="7914"/>
      <c r="AU326" s="7915">
        <f t="shared" ref="AU326" si="1386">SUM(AU322:AU325)</f>
        <v>4504.1666666666579</v>
      </c>
      <c r="AV326" s="7919"/>
      <c r="AW326" s="7920">
        <f t="shared" ref="AW326" si="1387">SUM(AW322:AW325)</f>
        <v>52822.083333333445</v>
      </c>
      <c r="AX326" s="7914"/>
      <c r="AY326" s="7915">
        <f t="shared" ref="AY326" si="1388">SUM(AY322:AY325)</f>
        <v>6044.7916666666752</v>
      </c>
      <c r="AZ326" s="7925"/>
      <c r="BA326" s="7926">
        <f t="shared" ref="BA326" si="1389">SUM(BA322:BA325)</f>
        <v>16091.614581310325</v>
      </c>
      <c r="BB326" s="7925"/>
      <c r="BC326" s="7926">
        <f t="shared" ref="BC326" si="1390">SUM(BC322:BC325)</f>
        <v>114927.99556572914</v>
      </c>
      <c r="BD326" s="8056"/>
      <c r="BE326" s="8057">
        <f t="shared" ref="BE326" si="1391">SUM(BE322:BE325)</f>
        <v>57464.873188435588</v>
      </c>
    </row>
    <row r="327" spans="1:57" ht="21" x14ac:dyDescent="0.2">
      <c r="B327" s="7916" t="s">
        <v>2473</v>
      </c>
      <c r="C327" s="4200" t="s">
        <v>170</v>
      </c>
      <c r="D327" s="7917"/>
      <c r="E327" s="7917">
        <f t="shared" ref="E327" si="1392">+E320+E326</f>
        <v>10814.657796047888</v>
      </c>
      <c r="F327" s="7917"/>
      <c r="G327" s="7917">
        <f t="shared" ref="G327" si="1393">+G320+G326</f>
        <v>10638.474288836878</v>
      </c>
      <c r="H327" s="7923"/>
      <c r="I327" s="7923">
        <f t="shared" ref="I327" si="1394">+I320+I326</f>
        <v>21453.125000000015</v>
      </c>
      <c r="J327" s="7917"/>
      <c r="K327" s="7917">
        <f t="shared" ref="K327" si="1395">+K320+K326</f>
        <v>8021.875</v>
      </c>
      <c r="L327" s="7929"/>
      <c r="M327" s="7929">
        <f t="shared" ref="M327" si="1396">+M320+M326</f>
        <v>29474.999999999975</v>
      </c>
      <c r="N327" s="7917"/>
      <c r="O327" s="7917">
        <f t="shared" ref="O327" si="1397">+O320+O326</f>
        <v>8043.7500000000055</v>
      </c>
      <c r="P327" s="7923"/>
      <c r="Q327" s="7923">
        <f t="shared" ref="Q327" si="1398">+Q320+Q326</f>
        <v>37518.749999999985</v>
      </c>
      <c r="R327" s="7917"/>
      <c r="S327" s="7917">
        <f t="shared" ref="S327" si="1399">+S320+S326</f>
        <v>8554.1145808843194</v>
      </c>
      <c r="T327" s="7923"/>
      <c r="U327" s="7923">
        <f t="shared" ref="U327" si="1400">+U320+U326</f>
        <v>46072.860109646819</v>
      </c>
      <c r="V327" s="7917"/>
      <c r="W327" s="7917">
        <f t="shared" ref="W327" si="1401">+W320+W326</f>
        <v>5592.7402474928695</v>
      </c>
      <c r="X327" s="7929"/>
      <c r="Y327" s="7929">
        <f t="shared" ref="Y327" si="1402">+Y320+Y326</f>
        <v>22190.625</v>
      </c>
      <c r="Z327" s="8060"/>
      <c r="AA327" s="8060">
        <f t="shared" ref="AA327" si="1403">+AA320+AA326</f>
        <v>51665.625000000044</v>
      </c>
      <c r="AB327" s="7917"/>
      <c r="AC327" s="7917">
        <f t="shared" ref="AC327" si="1404">+AC320+AC326</f>
        <v>8150.0520838600769</v>
      </c>
      <c r="AD327" s="7923"/>
      <c r="AE327" s="7923">
        <f t="shared" ref="AE327" si="1405">+AE320+AE326</f>
        <v>59815.677526699496</v>
      </c>
      <c r="AF327" s="7917"/>
      <c r="AG327" s="7917">
        <f t="shared" ref="AG327" si="1406">+AG320+AG326</f>
        <v>6621.8750000000073</v>
      </c>
      <c r="AH327" s="7923"/>
      <c r="AI327" s="7923">
        <f t="shared" ref="AI327" si="1407">+AI320+AI326</f>
        <v>66437.550962485228</v>
      </c>
      <c r="AJ327" s="7917"/>
      <c r="AK327" s="7917">
        <f t="shared" ref="AK327" si="1408">+AK320+AK326</f>
        <v>8405.4166666666806</v>
      </c>
      <c r="AL327" s="7929"/>
      <c r="AM327" s="7929">
        <f t="shared" ref="AM327" si="1409">+AM320+AM326</f>
        <v>23177.339546837662</v>
      </c>
      <c r="AN327" s="7923"/>
      <c r="AO327" s="7923">
        <f t="shared" ref="AO327" si="1410">+AO320+AO326</f>
        <v>74842.967600630072</v>
      </c>
      <c r="AP327" s="7917"/>
      <c r="AQ327" s="7917">
        <f t="shared" ref="AQ327" si="1411">+AQ320+AQ326</f>
        <v>8558.2812421682211</v>
      </c>
      <c r="AR327" s="7923"/>
      <c r="AS327" s="7923">
        <f t="shared" ref="AS327" si="1412">+AS320+AS326</f>
        <v>83401.250000000146</v>
      </c>
      <c r="AT327" s="7917"/>
      <c r="AU327" s="7917">
        <f t="shared" ref="AU327" si="1413">+AU320+AU326</f>
        <v>7228.1249999999854</v>
      </c>
      <c r="AV327" s="7923"/>
      <c r="AW327" s="7923">
        <f t="shared" ref="AW327" si="1414">+AW320+AW326</f>
        <v>90629.375000000087</v>
      </c>
      <c r="AX327" s="7917"/>
      <c r="AY327" s="7917">
        <f t="shared" ref="AY327" si="1415">+AY320+AY326</f>
        <v>9065.6250000000182</v>
      </c>
      <c r="AZ327" s="7929"/>
      <c r="BA327" s="7929">
        <f t="shared" ref="BA327" si="1416">+BA320+BA326</f>
        <v>24852.031247977004</v>
      </c>
      <c r="BB327" s="7929"/>
      <c r="BC327" s="7929">
        <f t="shared" ref="BC327" si="1417">+BC320+BC326</f>
        <v>183248.90991145061</v>
      </c>
      <c r="BD327" s="8060"/>
      <c r="BE327" s="8060">
        <f t="shared" ref="BE327" si="1418">+BE320+BE326</f>
        <v>91627.153599805621</v>
      </c>
    </row>
    <row r="328" spans="1:57" x14ac:dyDescent="0.2">
      <c r="S328" s="2265"/>
      <c r="U328" s="2265"/>
      <c r="V328" s="2100"/>
      <c r="W328" s="2265"/>
      <c r="X328" s="2265"/>
      <c r="Y328" s="2265"/>
      <c r="Z328" s="2100"/>
      <c r="AA328" s="2265"/>
      <c r="AC328" s="2265"/>
      <c r="AD328" s="2100"/>
      <c r="AE328" s="2265"/>
      <c r="AG328" s="2265"/>
      <c r="AH328" s="2100"/>
      <c r="AI328" s="2265"/>
      <c r="AJ328" s="2100"/>
      <c r="AK328" s="2265"/>
      <c r="AL328" s="2265"/>
      <c r="AM328" s="2265"/>
      <c r="AN328" s="2100"/>
      <c r="AO328" s="2265"/>
      <c r="AP328" s="2100"/>
      <c r="AQ328" s="2265"/>
      <c r="AR328" s="2100"/>
      <c r="AS328" s="2265"/>
      <c r="AT328" s="2100"/>
      <c r="AU328" s="2265"/>
      <c r="AV328" s="2100"/>
      <c r="AW328" s="2265"/>
      <c r="AX328" s="2100"/>
      <c r="AY328" s="2265"/>
      <c r="AZ328" s="2265"/>
      <c r="BA328" s="2265"/>
      <c r="BB328" s="2265"/>
      <c r="BC328" s="2265"/>
      <c r="BD328" s="2100"/>
      <c r="BE328" s="2265"/>
    </row>
    <row r="329" spans="1:57" x14ac:dyDescent="0.2">
      <c r="S329" s="2265"/>
      <c r="U329" s="2265"/>
      <c r="V329" s="2100"/>
      <c r="W329" s="2265"/>
      <c r="X329" s="2265"/>
      <c r="Y329" s="2265"/>
      <c r="Z329" s="2100"/>
      <c r="AA329" s="2265"/>
      <c r="AC329" s="2265"/>
      <c r="AD329" s="2100"/>
      <c r="AE329" s="2265"/>
      <c r="AG329" s="2265"/>
      <c r="AH329" s="2100"/>
      <c r="AI329" s="2265"/>
      <c r="AJ329" s="2100"/>
      <c r="AK329" s="2265"/>
      <c r="AL329" s="2265"/>
      <c r="AM329" s="2265"/>
      <c r="AN329" s="2100"/>
      <c r="AO329" s="2265"/>
      <c r="AP329" s="2100"/>
      <c r="AQ329" s="2265"/>
      <c r="AR329" s="2100"/>
      <c r="AS329" s="2265"/>
      <c r="AT329" s="2100"/>
      <c r="AU329" s="2265"/>
      <c r="AV329" s="2100"/>
      <c r="AW329" s="2265"/>
      <c r="AX329" s="2100"/>
      <c r="AY329" s="2265"/>
      <c r="AZ329" s="2265"/>
      <c r="BA329" s="2265"/>
      <c r="BB329" s="2265"/>
      <c r="BC329" s="2265"/>
      <c r="BD329" s="2100"/>
      <c r="BE329" s="2265"/>
    </row>
    <row r="330" spans="1:57" x14ac:dyDescent="0.2">
      <c r="B330" s="7912" t="s">
        <v>2475</v>
      </c>
      <c r="C330" s="4200" t="s">
        <v>170</v>
      </c>
      <c r="D330" s="7911"/>
      <c r="E330" s="5866">
        <f>+('Maj Techno Summ'!E7/100)*'COKE OVENS'!E13</f>
        <v>35984.367498865176</v>
      </c>
      <c r="F330" s="7911"/>
      <c r="G330" s="5866">
        <f>+('Maj Techno Summ'!G7/100)*'COKE OVENS'!G13</f>
        <v>40970.993460381142</v>
      </c>
      <c r="H330" s="7918"/>
      <c r="I330" s="5867">
        <f>+('Maj Techno Summ'!I7/100)*'COKE OVENS'!I13</f>
        <v>76955.221296986463</v>
      </c>
      <c r="J330" s="7911"/>
      <c r="K330" s="5866">
        <f>+('Maj Techno Summ'!K7/100)*'COKE OVENS'!K13</f>
        <v>43768.088428324692</v>
      </c>
      <c r="L330" s="7924"/>
      <c r="M330" s="6305">
        <f>+('Maj Techno Summ'!M7/100)*'COKE OVENS'!M13</f>
        <v>120723.07305848513</v>
      </c>
      <c r="N330" s="7911"/>
      <c r="O330" s="5866">
        <f>+('Maj Techno Summ'!O7/100)*'COKE OVENS'!O13</f>
        <v>49164.78005286344</v>
      </c>
      <c r="P330" s="7918"/>
      <c r="Q330" s="5867">
        <f>+('Maj Techno Summ'!Q7/100)*'COKE OVENS'!Q13</f>
        <v>169889.28338511611</v>
      </c>
      <c r="R330" s="7911"/>
      <c r="S330" s="5866">
        <f>+('Maj Techno Summ'!S7/100)*'COKE OVENS'!S13</f>
        <v>50112.043879668054</v>
      </c>
      <c r="T330" s="7918"/>
      <c r="U330" s="5867">
        <f>+('Maj Techno Summ'!U7/100)*'COKE OVENS'!U13</f>
        <v>220002.05613752347</v>
      </c>
      <c r="V330" s="7911"/>
      <c r="W330" s="5866">
        <f>+('Maj Techno Summ'!W7/100)*'COKE OVENS'!W13</f>
        <v>48014.903161698276</v>
      </c>
      <c r="X330" s="7924"/>
      <c r="Y330" s="6305">
        <f>+('Maj Techno Summ'!Y7/100)*'COKE OVENS'!Y13</f>
        <v>147291.72531481701</v>
      </c>
      <c r="Z330" s="8055"/>
      <c r="AA330" s="6642">
        <f>+('Maj Techno Summ'!AA7/100)*'COKE OVENS'!AA13</f>
        <v>268017.41587542719</v>
      </c>
      <c r="AB330" s="7911"/>
      <c r="AC330" s="5866">
        <f>+('Maj Techno Summ'!AC7/100)*'COKE OVENS'!AC13</f>
        <v>49985.429463820925</v>
      </c>
      <c r="AD330" s="7918"/>
      <c r="AE330" s="5867">
        <f>+('Maj Techno Summ'!AE7/100)*'COKE OVENS'!AE13</f>
        <v>318002.24488878174</v>
      </c>
      <c r="AF330" s="7911"/>
      <c r="AG330" s="5866">
        <f>+('Maj Techno Summ'!AG7/100)*'COKE OVENS'!AG13</f>
        <v>48707.714031339026</v>
      </c>
      <c r="AH330" s="7918"/>
      <c r="AI330" s="5867">
        <f>+('Maj Techno Summ'!AI7/100)*'COKE OVENS'!AI13</f>
        <v>366709.52321116923</v>
      </c>
      <c r="AJ330" s="7911"/>
      <c r="AK330" s="5866">
        <f>+('Maj Techno Summ'!AK7/100)*'COKE OVENS'!AK13</f>
        <v>50212.591760946532</v>
      </c>
      <c r="AL330" s="7924"/>
      <c r="AM330" s="6305">
        <f>+('Maj Techno Summ'!AM7/100)*'COKE OVENS'!AM13</f>
        <v>148905.73527099044</v>
      </c>
      <c r="AN330" s="7918"/>
      <c r="AO330" s="5867">
        <f>+('Maj Techno Summ'!AO7/100)*'COKE OVENS'!AO13</f>
        <v>416921.79149996408</v>
      </c>
      <c r="AP330" s="7911"/>
      <c r="AQ330" s="5866">
        <f>+('Maj Techno Summ'!AQ7/100)*'COKE OVENS'!AQ13</f>
        <v>50212.591760946532</v>
      </c>
      <c r="AR330" s="7918"/>
      <c r="AS330" s="5867">
        <f>+('Maj Techno Summ'!AS7/100)*'COKE OVENS'!AS13</f>
        <v>467134.12844521017</v>
      </c>
      <c r="AT330" s="7911"/>
      <c r="AU330" s="5866">
        <f>+('Maj Techno Summ'!AU7/100)*'COKE OVENS'!AU13</f>
        <v>45359.611741084234</v>
      </c>
      <c r="AV330" s="7918"/>
      <c r="AW330" s="5867">
        <f>+('Maj Techno Summ'!AW7/100)*'COKE OVENS'!AW13</f>
        <v>512493.50796791754</v>
      </c>
      <c r="AX330" s="7911"/>
      <c r="AY330" s="5866">
        <f>+('Maj Techno Summ'!AY7/100)*'COKE OVENS'!AY13</f>
        <v>50292.921659622181</v>
      </c>
      <c r="AZ330" s="7924"/>
      <c r="BA330" s="6305">
        <f>+('Maj Techno Summ'!BA7/100)*'COKE OVENS'!BA13</f>
        <v>145865.12549730903</v>
      </c>
      <c r="BB330" s="7924"/>
      <c r="BC330" s="6305">
        <f>+('Maj Techno Summ'!BC7/100)*'COKE OVENS'!BC13</f>
        <v>294770.86087570625</v>
      </c>
      <c r="BD330" s="8055"/>
      <c r="BE330" s="6642">
        <f>+('Maj Techno Summ'!BC7/100)*'COKE OVENS'!BE13</f>
        <v>568626.71610169485</v>
      </c>
    </row>
    <row r="331" spans="1:57" x14ac:dyDescent="0.2">
      <c r="B331" s="7909" t="s">
        <v>698</v>
      </c>
      <c r="C331" s="4200" t="s">
        <v>170</v>
      </c>
      <c r="D331" s="7911"/>
      <c r="E331" s="5866">
        <f>+E330*E313/(100-E313)</f>
        <v>3475.6325011348258</v>
      </c>
      <c r="F331" s="7911"/>
      <c r="G331" s="5866">
        <f>+G330*G313/(100-G313)</f>
        <v>3889.0065396188552</v>
      </c>
      <c r="H331" s="7918"/>
      <c r="I331" s="5867">
        <f>+I330*I313/(100-I313)</f>
        <v>7364.7787030135323</v>
      </c>
      <c r="J331" s="7911"/>
      <c r="K331" s="5866">
        <f>+K330*K313/(100-K313)</f>
        <v>4171.911571675304</v>
      </c>
      <c r="L331" s="7924"/>
      <c r="M331" s="6305">
        <f>+M330*M313/(100-M313)</f>
        <v>11536.926941514868</v>
      </c>
      <c r="N331" s="7911"/>
      <c r="O331" s="5866">
        <f>+O330*O313/(100-O313)</f>
        <v>4745.2199471365611</v>
      </c>
      <c r="P331" s="7918"/>
      <c r="Q331" s="5867">
        <f>+Q330*Q313/(100-Q313)</f>
        <v>16280.716614883879</v>
      </c>
      <c r="R331" s="7911"/>
      <c r="S331" s="5866">
        <f>+S330*S313/(100-S313)</f>
        <v>4832.956120331949</v>
      </c>
      <c r="T331" s="7918"/>
      <c r="U331" s="5867">
        <f>+U330*U313/(100-U313)</f>
        <v>21112.943862476524</v>
      </c>
      <c r="V331" s="7911"/>
      <c r="W331" s="5866">
        <f>+W330*W313/(100-W313)</f>
        <v>4630.0968383017234</v>
      </c>
      <c r="X331" s="7924"/>
      <c r="Y331" s="6305">
        <f>+Y330*Y313/(100-Y313)</f>
        <v>14208.274685182994</v>
      </c>
      <c r="Z331" s="8055"/>
      <c r="AA331" s="6642">
        <f>+AA330*AA313/(100-AA313)</f>
        <v>25742.584124572779</v>
      </c>
      <c r="AB331" s="7911"/>
      <c r="AC331" s="5866">
        <f>+AC330*AC313/(100-AC313)</f>
        <v>4764.570536179077</v>
      </c>
      <c r="AD331" s="7918"/>
      <c r="AE331" s="5867">
        <f>+AE330*AE313/(100-AE313)</f>
        <v>30507.755111218245</v>
      </c>
      <c r="AF331" s="7911"/>
      <c r="AG331" s="5866">
        <f>+AG330*AG313/(100-AG313)</f>
        <v>4642.2859686609709</v>
      </c>
      <c r="AH331" s="7918"/>
      <c r="AI331" s="5867">
        <f>+AI330*AI313/(100-AI313)</f>
        <v>35150.476788830769</v>
      </c>
      <c r="AJ331" s="7911"/>
      <c r="AK331" s="5866">
        <f>+AK330*AK313/(100-AK313)</f>
        <v>4787.4082390534668</v>
      </c>
      <c r="AL331" s="7924"/>
      <c r="AM331" s="6305">
        <f>+AM330*AM313/(100-AM313)</f>
        <v>14194.264729009541</v>
      </c>
      <c r="AN331" s="7918"/>
      <c r="AO331" s="5867">
        <f>+AO330*AO313/(100-AO313)</f>
        <v>39938.208500035966</v>
      </c>
      <c r="AP331" s="7911"/>
      <c r="AQ331" s="5866">
        <f>+AQ330*AQ313/(100-AQ313)</f>
        <v>4787.4082390534668</v>
      </c>
      <c r="AR331" s="7918"/>
      <c r="AS331" s="5867">
        <f>+AS330*AS313/(100-AS313)</f>
        <v>44725.871554789854</v>
      </c>
      <c r="AT331" s="7911"/>
      <c r="AU331" s="5866">
        <f>+AU330*AU313/(100-AU313)</f>
        <v>4320.3882589157693</v>
      </c>
      <c r="AV331" s="7918"/>
      <c r="AW331" s="5867">
        <f>+AW330*AW313/(100-AW313)</f>
        <v>49046.492032082526</v>
      </c>
      <c r="AX331" s="7911"/>
      <c r="AY331" s="5866">
        <f>+AY330*AY313/(100-AY313)</f>
        <v>4772.078340377815</v>
      </c>
      <c r="AZ331" s="7924"/>
      <c r="BA331" s="6305">
        <f>+BA330*BA313/(100-BA313)</f>
        <v>13879.874502690978</v>
      </c>
      <c r="BB331" s="7924"/>
      <c r="BC331" s="6305">
        <f>+BC330*BC313/(100-BC313)</f>
        <v>951171.06135240139</v>
      </c>
      <c r="BD331" s="8055"/>
      <c r="BE331" s="6642">
        <f>+BE330*BE313/(100-BE313)</f>
        <v>54377.494703389944</v>
      </c>
    </row>
    <row r="332" spans="1:57" x14ac:dyDescent="0.2">
      <c r="B332" s="7909" t="s">
        <v>2240</v>
      </c>
      <c r="C332" s="4200" t="s">
        <v>170</v>
      </c>
      <c r="D332" s="7911"/>
      <c r="E332" s="5866">
        <f t="shared" ref="E332" si="1419">+E330*3/(100-3)</f>
        <v>1112.9185824391291</v>
      </c>
      <c r="F332" s="7911"/>
      <c r="G332" s="5866">
        <f t="shared" ref="G332" si="1420">+G330*3/(100-3)</f>
        <v>1267.1441276406538</v>
      </c>
      <c r="H332" s="7918"/>
      <c r="I332" s="5867">
        <f t="shared" ref="I332" si="1421">+I330*3/(100-3)</f>
        <v>2380.0583906284473</v>
      </c>
      <c r="J332" s="7911"/>
      <c r="K332" s="5866">
        <f t="shared" ref="K332" si="1422">+K330*3/(100-3)</f>
        <v>1353.6522194327224</v>
      </c>
      <c r="L332" s="7924"/>
      <c r="M332" s="6305">
        <f t="shared" ref="M332" si="1423">+M330*3/(100-3)</f>
        <v>3733.7032904686125</v>
      </c>
      <c r="N332" s="7911"/>
      <c r="O332" s="5866">
        <f t="shared" ref="O332" si="1424">+O330*3/(100-3)</f>
        <v>1520.5602078205188</v>
      </c>
      <c r="P332" s="7918"/>
      <c r="Q332" s="5867">
        <f t="shared" ref="Q332" si="1425">+Q330*3/(100-3)</f>
        <v>5254.307733560292</v>
      </c>
      <c r="R332" s="7911"/>
      <c r="S332" s="5866">
        <f t="shared" ref="S332" si="1426">+S330*3/(100-3)</f>
        <v>1549.8570272062284</v>
      </c>
      <c r="T332" s="7918"/>
      <c r="U332" s="5867">
        <f t="shared" ref="U332" si="1427">+U330*3/(100-3)</f>
        <v>6804.1873032223748</v>
      </c>
      <c r="V332" s="7911"/>
      <c r="W332" s="5866">
        <f t="shared" ref="W332" si="1428">+W330*3/(100-3)</f>
        <v>1484.9970050009774</v>
      </c>
      <c r="X332" s="7924"/>
      <c r="Y332" s="6305">
        <f t="shared" ref="Y332" si="1429">+Y330*3/(100-3)</f>
        <v>4555.4141849943408</v>
      </c>
      <c r="Z332" s="8055"/>
      <c r="AA332" s="6642">
        <f t="shared" ref="AA332" si="1430">+AA330*3/(100-3)</f>
        <v>8289.1984291369226</v>
      </c>
      <c r="AB332" s="7911"/>
      <c r="AC332" s="5866">
        <f t="shared" ref="AC332" si="1431">+AC330*3/(100-3)</f>
        <v>1545.9411174377603</v>
      </c>
      <c r="AD332" s="7918"/>
      <c r="AE332" s="5867">
        <f t="shared" ref="AE332" si="1432">+AE330*3/(100-3)</f>
        <v>9835.1209759417034</v>
      </c>
      <c r="AF332" s="7911"/>
      <c r="AG332" s="5866">
        <f t="shared" ref="AG332" si="1433">+AG330*3/(100-3)</f>
        <v>1506.424145299145</v>
      </c>
      <c r="AH332" s="7918"/>
      <c r="AI332" s="5867">
        <f t="shared" ref="AI332" si="1434">+AI330*3/(100-3)</f>
        <v>11341.531645706264</v>
      </c>
      <c r="AJ332" s="7911"/>
      <c r="AK332" s="5866">
        <f t="shared" ref="AK332" si="1435">+AK330*3/(100-3)</f>
        <v>1552.9667554931918</v>
      </c>
      <c r="AL332" s="7924"/>
      <c r="AM332" s="6305">
        <f t="shared" ref="AM332" si="1436">+AM330*3/(100-3)</f>
        <v>4605.3320186904266</v>
      </c>
      <c r="AN332" s="7918"/>
      <c r="AO332" s="5867">
        <f t="shared" ref="AO332" si="1437">+AO330*3/(100-3)</f>
        <v>12894.488396906107</v>
      </c>
      <c r="AP332" s="7911"/>
      <c r="AQ332" s="5866">
        <f t="shared" ref="AQ332" si="1438">+AQ330*3/(100-3)</f>
        <v>1552.9667554931918</v>
      </c>
      <c r="AR332" s="7918"/>
      <c r="AS332" s="5867">
        <f t="shared" ref="AS332" si="1439">+AS330*3/(100-3)</f>
        <v>14447.447271501345</v>
      </c>
      <c r="AT332" s="7911"/>
      <c r="AU332" s="5866">
        <f t="shared" ref="AU332" si="1440">+AU330*3/(100-3)</f>
        <v>1402.8745899304404</v>
      </c>
      <c r="AV332" s="7918"/>
      <c r="AW332" s="5867">
        <f t="shared" ref="AW332" si="1441">+AW330*3/(100-3)</f>
        <v>15850.314679420131</v>
      </c>
      <c r="AX332" s="7911"/>
      <c r="AY332" s="5866">
        <f t="shared" ref="AY332" si="1442">+AY330*3/(100-3)</f>
        <v>1555.4511853491397</v>
      </c>
      <c r="AZ332" s="7924"/>
      <c r="BA332" s="6305">
        <f t="shared" ref="BA332" si="1443">+BA330*3/(100-3)</f>
        <v>4511.2925411538872</v>
      </c>
      <c r="BB332" s="7924"/>
      <c r="BC332" s="6305">
        <f t="shared" ref="BC332" si="1444">+BC330*3/(100-3)</f>
        <v>9116.6245631661732</v>
      </c>
      <c r="BD332" s="8055"/>
      <c r="BE332" s="6642">
        <f t="shared" ref="BE332" si="1445">+BE330*3/(100-3)</f>
        <v>17586.393281495719</v>
      </c>
    </row>
    <row r="333" spans="1:57" x14ac:dyDescent="0.2">
      <c r="B333" s="7909" t="s">
        <v>2472</v>
      </c>
      <c r="C333" s="4200" t="s">
        <v>170</v>
      </c>
      <c r="D333" s="7911"/>
      <c r="E333" s="5866">
        <f>+E332*E313/(100-E313)</f>
        <v>107.49378869489151</v>
      </c>
      <c r="F333" s="7911"/>
      <c r="G333" s="5866">
        <f>+G332*G313/(100-G313)</f>
        <v>120.27855277171714</v>
      </c>
      <c r="H333" s="7918"/>
      <c r="I333" s="5867">
        <f>+I332*I313/(100-I313)</f>
        <v>227.7766609179443</v>
      </c>
      <c r="J333" s="7911"/>
      <c r="K333" s="5866">
        <f>+K332*K313/(100-K313)</f>
        <v>129.02819293841148</v>
      </c>
      <c r="L333" s="7924"/>
      <c r="M333" s="6305">
        <f>+M332*M313/(100-M313)</f>
        <v>356.81217344891354</v>
      </c>
      <c r="N333" s="7911"/>
      <c r="O333" s="5866">
        <f>+O332*O313/(100-O313)</f>
        <v>146.75937980834729</v>
      </c>
      <c r="P333" s="7918"/>
      <c r="Q333" s="5867">
        <f>+Q332*Q313/(100-Q313)</f>
        <v>503.52731798609932</v>
      </c>
      <c r="R333" s="7911"/>
      <c r="S333" s="5866">
        <f>+S332*S313/(100-S313)</f>
        <v>149.4728697009881</v>
      </c>
      <c r="T333" s="7918"/>
      <c r="U333" s="5867">
        <f>+U332*U313/(100-U313)</f>
        <v>652.9776452312326</v>
      </c>
      <c r="V333" s="7911"/>
      <c r="W333" s="5866">
        <f>+W332*W313/(100-W313)</f>
        <v>143.19887128768215</v>
      </c>
      <c r="X333" s="7924"/>
      <c r="Y333" s="6305">
        <f>+Y332*Y313/(100-Y313)</f>
        <v>439.43117583040191</v>
      </c>
      <c r="Z333" s="8055"/>
      <c r="AA333" s="6642">
        <f>+AA332*AA313/(100-AA313)</f>
        <v>796.1623956053437</v>
      </c>
      <c r="AB333" s="7911"/>
      <c r="AC333" s="5866">
        <f>+AC332*AC313/(100-AC313)</f>
        <v>147.35785163440443</v>
      </c>
      <c r="AD333" s="7918"/>
      <c r="AE333" s="5867">
        <f>+AE332*AE313/(100-AE313)</f>
        <v>943.53881787272917</v>
      </c>
      <c r="AF333" s="7911"/>
      <c r="AG333" s="5866">
        <f>+AG332*AG313/(100-AG313)</f>
        <v>143.57585470085476</v>
      </c>
      <c r="AH333" s="7918"/>
      <c r="AI333" s="5867">
        <f>+AI332*AI313/(100-AI313)</f>
        <v>1087.128148108168</v>
      </c>
      <c r="AJ333" s="7911"/>
      <c r="AK333" s="5866">
        <f>+AK332*AK313/(100-AK313)</f>
        <v>148.0641723418598</v>
      </c>
      <c r="AL333" s="7924"/>
      <c r="AM333" s="6305">
        <f>+AM332*AM313/(100-AM313)</f>
        <v>438.99787821679001</v>
      </c>
      <c r="AN333" s="7918"/>
      <c r="AO333" s="5867">
        <f>+AO332*AO313/(100-AO313)</f>
        <v>1235.2023247433804</v>
      </c>
      <c r="AP333" s="7911"/>
      <c r="AQ333" s="5866">
        <f>+AQ332*AQ313/(100-AQ313)</f>
        <v>148.0641723418598</v>
      </c>
      <c r="AR333" s="7918"/>
      <c r="AS333" s="5867">
        <f>+AS332*AS313/(100-AS313)</f>
        <v>1383.2743779831915</v>
      </c>
      <c r="AT333" s="7911"/>
      <c r="AU333" s="5866">
        <f>+AU332*AU313/(100-AU313)</f>
        <v>133.62025543038465</v>
      </c>
      <c r="AV333" s="7918"/>
      <c r="AW333" s="5867">
        <f>+AW332*AW313/(100-AW313)</f>
        <v>1516.9018154252328</v>
      </c>
      <c r="AX333" s="7911"/>
      <c r="AY333" s="5866">
        <f>+AY332*AY313/(100-AY313)</f>
        <v>147.59005176426231</v>
      </c>
      <c r="AZ333" s="7924"/>
      <c r="BA333" s="6305">
        <f>+BA332*BA313/(100-BA313)</f>
        <v>429.27446915539105</v>
      </c>
      <c r="BB333" s="7924"/>
      <c r="BC333" s="6305">
        <f>+BC332*BC313/(100-BC313)</f>
        <v>29417.661691311383</v>
      </c>
      <c r="BD333" s="8055"/>
      <c r="BE333" s="6642">
        <f>+BE332*BE313/(100-BE313)</f>
        <v>1681.778186702782</v>
      </c>
    </row>
    <row r="334" spans="1:57" ht="19" x14ac:dyDescent="0.2">
      <c r="B334" s="7912" t="s">
        <v>2514</v>
      </c>
      <c r="C334" s="4200" t="s">
        <v>170</v>
      </c>
      <c r="D334" s="7914"/>
      <c r="E334" s="7915">
        <f t="shared" ref="E334" si="1446">SUM(E330:E333)</f>
        <v>40680.412371134022</v>
      </c>
      <c r="F334" s="7914"/>
      <c r="G334" s="7915">
        <f t="shared" ref="G334" si="1447">SUM(G330:G333)</f>
        <v>46247.422680412375</v>
      </c>
      <c r="H334" s="7919"/>
      <c r="I334" s="7920">
        <f t="shared" ref="I334" si="1448">SUM(I330:I333)</f>
        <v>86927.835051546383</v>
      </c>
      <c r="J334" s="7914"/>
      <c r="K334" s="7915">
        <f t="shared" ref="K334" si="1449">SUM(K330:K333)</f>
        <v>49422.680412371134</v>
      </c>
      <c r="L334" s="7925"/>
      <c r="M334" s="7926">
        <f t="shared" ref="M334" si="1450">SUM(M330:M333)</f>
        <v>136350.51546391752</v>
      </c>
      <c r="N334" s="7914"/>
      <c r="O334" s="7915">
        <f t="shared" ref="O334" si="1451">SUM(O330:O333)</f>
        <v>55577.319587628866</v>
      </c>
      <c r="P334" s="7919"/>
      <c r="Q334" s="7920">
        <f t="shared" ref="Q334" si="1452">SUM(Q330:Q333)</f>
        <v>191927.8350515464</v>
      </c>
      <c r="R334" s="7914"/>
      <c r="S334" s="7915">
        <f t="shared" ref="S334" si="1453">SUM(S330:S333)</f>
        <v>56644.329896907213</v>
      </c>
      <c r="T334" s="7919"/>
      <c r="U334" s="7920">
        <f t="shared" ref="U334" si="1454">SUM(U330:U333)</f>
        <v>248572.1649484536</v>
      </c>
      <c r="V334" s="7914"/>
      <c r="W334" s="7915">
        <f t="shared" ref="W334" si="1455">SUM(W330:W333)</f>
        <v>54273.195876288664</v>
      </c>
      <c r="X334" s="7925"/>
      <c r="Y334" s="7926">
        <f t="shared" ref="Y334" si="1456">SUM(Y330:Y333)</f>
        <v>166494.84536082475</v>
      </c>
      <c r="Z334" s="8056"/>
      <c r="AA334" s="8057">
        <f t="shared" ref="AA334" si="1457">SUM(AA330:AA333)</f>
        <v>302845.3608247423</v>
      </c>
      <c r="AB334" s="7914"/>
      <c r="AC334" s="7915">
        <f t="shared" ref="AC334" si="1458">SUM(AC330:AC333)</f>
        <v>56443.298969072166</v>
      </c>
      <c r="AD334" s="7919"/>
      <c r="AE334" s="7920">
        <f t="shared" ref="AE334" si="1459">SUM(AE330:AE333)</f>
        <v>359288.65979381441</v>
      </c>
      <c r="AF334" s="7914"/>
      <c r="AG334" s="7915">
        <f t="shared" ref="AG334" si="1460">SUM(AG330:AG333)</f>
        <v>55000</v>
      </c>
      <c r="AH334" s="7919"/>
      <c r="AI334" s="7920">
        <f t="shared" ref="AI334" si="1461">SUM(AI330:AI333)</f>
        <v>414288.65979381447</v>
      </c>
      <c r="AJ334" s="7914"/>
      <c r="AK334" s="7915">
        <f t="shared" ref="AK334" si="1462">SUM(AK330:AK333)</f>
        <v>56701.030927835054</v>
      </c>
      <c r="AL334" s="7925"/>
      <c r="AM334" s="7926">
        <f t="shared" ref="AM334" si="1463">SUM(AM330:AM333)</f>
        <v>168144.32989690718</v>
      </c>
      <c r="AN334" s="7919"/>
      <c r="AO334" s="7920">
        <f t="shared" ref="AO334" si="1464">SUM(AO330:AO333)</f>
        <v>470989.69072164956</v>
      </c>
      <c r="AP334" s="7914"/>
      <c r="AQ334" s="7915">
        <f t="shared" ref="AQ334" si="1465">SUM(AQ330:AQ333)</f>
        <v>56701.030927835054</v>
      </c>
      <c r="AR334" s="7919"/>
      <c r="AS334" s="7920">
        <f t="shared" ref="AS334" si="1466">SUM(AS330:AS333)</f>
        <v>527690.72164948448</v>
      </c>
      <c r="AT334" s="7914"/>
      <c r="AU334" s="7915">
        <f t="shared" ref="AU334" si="1467">SUM(AU330:AU333)</f>
        <v>51216.494845360823</v>
      </c>
      <c r="AV334" s="7919"/>
      <c r="AW334" s="7920">
        <f t="shared" ref="AW334" si="1468">SUM(AW330:AW333)</f>
        <v>578907.21649484546</v>
      </c>
      <c r="AX334" s="7914"/>
      <c r="AY334" s="7915">
        <f t="shared" ref="AY334" si="1469">SUM(AY330:AY333)</f>
        <v>56768.041237113408</v>
      </c>
      <c r="AZ334" s="7925"/>
      <c r="BA334" s="7926">
        <f t="shared" ref="BA334" si="1470">SUM(BA330:BA333)</f>
        <v>164685.56701030926</v>
      </c>
      <c r="BB334" s="7925"/>
      <c r="BC334" s="7926">
        <f t="shared" ref="BC334" si="1471">SUM(BC330:BC333)</f>
        <v>1284476.2084825851</v>
      </c>
      <c r="BD334" s="8056"/>
      <c r="BE334" s="8057">
        <f t="shared" ref="BE334" si="1472">SUM(BE330:BE333)</f>
        <v>642272.3822732832</v>
      </c>
    </row>
    <row r="335" spans="1:57" ht="19" x14ac:dyDescent="0.2">
      <c r="B335" s="7912"/>
      <c r="C335" s="4200"/>
      <c r="D335" s="7914"/>
      <c r="E335" s="7911"/>
      <c r="F335" s="7914"/>
      <c r="G335" s="7911"/>
      <c r="H335" s="7919"/>
      <c r="I335" s="7918"/>
      <c r="J335" s="7914"/>
      <c r="K335" s="7911"/>
      <c r="L335" s="7925"/>
      <c r="M335" s="7924"/>
      <c r="N335" s="7914"/>
      <c r="O335" s="7911"/>
      <c r="P335" s="7919"/>
      <c r="Q335" s="7918"/>
      <c r="R335" s="7914"/>
      <c r="S335" s="7911"/>
      <c r="T335" s="7919"/>
      <c r="U335" s="7918"/>
      <c r="V335" s="7914"/>
      <c r="W335" s="7911"/>
      <c r="X335" s="7925"/>
      <c r="Y335" s="7924"/>
      <c r="Z335" s="8056"/>
      <c r="AA335" s="8055"/>
      <c r="AB335" s="7914"/>
      <c r="AC335" s="7911"/>
      <c r="AD335" s="7919"/>
      <c r="AE335" s="7918"/>
      <c r="AF335" s="7914"/>
      <c r="AG335" s="7911"/>
      <c r="AH335" s="7919"/>
      <c r="AI335" s="7918"/>
      <c r="AJ335" s="7914"/>
      <c r="AK335" s="7911"/>
      <c r="AL335" s="7925"/>
      <c r="AM335" s="7924"/>
      <c r="AN335" s="7919"/>
      <c r="AO335" s="7918"/>
      <c r="AP335" s="7914"/>
      <c r="AQ335" s="7911"/>
      <c r="AR335" s="7919"/>
      <c r="AS335" s="7918"/>
      <c r="AT335" s="7914"/>
      <c r="AU335" s="7911"/>
      <c r="AV335" s="7919"/>
      <c r="AW335" s="7918"/>
      <c r="AX335" s="7914"/>
      <c r="AY335" s="7911"/>
      <c r="AZ335" s="7925"/>
      <c r="BA335" s="7924"/>
      <c r="BB335" s="7925"/>
      <c r="BC335" s="7924"/>
      <c r="BD335" s="8056"/>
      <c r="BE335" s="8055"/>
    </row>
    <row r="336" spans="1:57" x14ac:dyDescent="0.2">
      <c r="B336" s="7912" t="s">
        <v>2476</v>
      </c>
      <c r="C336" s="4200" t="s">
        <v>170</v>
      </c>
      <c r="D336" s="7911"/>
      <c r="E336" s="5866">
        <f>(+'Maj Techno Summ'!E8/100)*'COKE OVENS'!E14</f>
        <v>68344.472812635227</v>
      </c>
      <c r="F336" s="7911"/>
      <c r="G336" s="5866">
        <f>(+'Maj Techno Summ'!G8/100)*'COKE OVENS'!G14</f>
        <v>68727.067218383119</v>
      </c>
      <c r="H336" s="7918"/>
      <c r="I336" s="5867">
        <f>(+'Maj Techno Summ'!I8/100)*'COKE OVENS'!I14</f>
        <v>137071.54523395593</v>
      </c>
      <c r="J336" s="7911"/>
      <c r="K336" s="5866">
        <f>(+'Maj Techno Summ'!K8/100)*'COKE OVENS'!K14</f>
        <v>78659.021946448236</v>
      </c>
      <c r="L336" s="7924"/>
      <c r="M336" s="6305">
        <f>(+'Maj Techno Summ'!M8/100)*'COKE OVENS'!M14</f>
        <v>215730.5593798937</v>
      </c>
      <c r="N336" s="7911"/>
      <c r="O336" s="5866">
        <f>(+'Maj Techno Summ'!O8/100)*'COKE OVENS'!O14</f>
        <v>84402.196001311037</v>
      </c>
      <c r="P336" s="7918"/>
      <c r="Q336" s="5867">
        <f>(+'Maj Techno Summ'!Q8/100)*'COKE OVENS'!Q14</f>
        <v>300132.75832364551</v>
      </c>
      <c r="R336" s="7911"/>
      <c r="S336" s="5866">
        <f>(+'Maj Techno Summ'!S8/100)*'COKE OVENS'!S14</f>
        <v>91925.430002351059</v>
      </c>
      <c r="T336" s="7918"/>
      <c r="U336" s="5867">
        <f>(+'Maj Techno Summ'!U8/100)*'COKE OVENS'!U14</f>
        <v>392058.19289284386</v>
      </c>
      <c r="V336" s="7911"/>
      <c r="W336" s="5866">
        <f>(+'Maj Techno Summ'!W8/100)*'COKE OVENS'!W14</f>
        <v>76703.126911399391</v>
      </c>
      <c r="X336" s="7924"/>
      <c r="Y336" s="6305">
        <f>(+'Maj Techno Summ'!Y8/100)*'COKE OVENS'!Y14</f>
        <v>253030.7306116136</v>
      </c>
      <c r="Z336" s="8055"/>
      <c r="AA336" s="6642">
        <f>(+'Maj Techno Summ'!AA8/100)*'COKE OVENS'!AA14</f>
        <v>468761.29535409692</v>
      </c>
      <c r="AB336" s="7911"/>
      <c r="AC336" s="5866">
        <f>(+'Maj Techno Summ'!AC8/100)*'COKE OVENS'!AC14</f>
        <v>85481.52449964096</v>
      </c>
      <c r="AD336" s="7918"/>
      <c r="AE336" s="5867">
        <f>(+'Maj Techno Summ'!AE8/100)*'COKE OVENS'!AE14</f>
        <v>554242.81957436854</v>
      </c>
      <c r="AF336" s="7911"/>
      <c r="AG336" s="5866">
        <f>(+'Maj Techno Summ'!AG8/100)*'COKE OVENS'!AG14</f>
        <v>80663.630750539669</v>
      </c>
      <c r="AH336" s="7918"/>
      <c r="AI336" s="5867">
        <f>(+'Maj Techno Summ'!AI8/100)*'COKE OVENS'!AI14</f>
        <v>634906.43845331226</v>
      </c>
      <c r="AJ336" s="7911"/>
      <c r="AK336" s="5866">
        <f>(+'Maj Techno Summ'!AK8/100)*'COKE OVENS'!AK14</f>
        <v>91960.68287075212</v>
      </c>
      <c r="AL336" s="7924"/>
      <c r="AM336" s="6305">
        <f>(+'Maj Techno Summ'!AM8/100)*'COKE OVENS'!AM14</f>
        <v>258105.8311262177</v>
      </c>
      <c r="AN336" s="7918"/>
      <c r="AO336" s="5867">
        <f>(+'Maj Techno Summ'!AO8/100)*'COKE OVENS'!AO14</f>
        <v>726867.12140540127</v>
      </c>
      <c r="AP336" s="7911"/>
      <c r="AQ336" s="5866">
        <f>(+'Maj Techno Summ'!AQ8/100)*'COKE OVENS'!AQ14</f>
        <v>91984.874505187778</v>
      </c>
      <c r="AR336" s="7918"/>
      <c r="AS336" s="5867">
        <f>(+'Maj Techno Summ'!AS8/100)*'COKE OVENS'!AS14</f>
        <v>818851.99495792179</v>
      </c>
      <c r="AT336" s="7911"/>
      <c r="AU336" s="5866">
        <f>(+'Maj Techno Summ'!AU8/100)*'COKE OVENS'!AU14</f>
        <v>83521.753701121692</v>
      </c>
      <c r="AV336" s="7918"/>
      <c r="AW336" s="5867">
        <f>(+'Maj Techno Summ'!AW8/100)*'COKE OVENS'!AW14</f>
        <v>902373.74870051316</v>
      </c>
      <c r="AX336" s="7911"/>
      <c r="AY336" s="5866">
        <f>(+'Maj Techno Summ'!AY8/100)*'COKE OVENS'!AY14</f>
        <v>91577.774361600168</v>
      </c>
      <c r="AZ336" s="7924"/>
      <c r="BA336" s="6305">
        <f>(+'Maj Techno Summ'!BA8/100)*'COKE OVENS'!BA14</f>
        <v>267084.40150122356</v>
      </c>
      <c r="BB336" s="7924"/>
      <c r="BC336" s="6305">
        <f>(+'Maj Techno Summ'!BC8/100)*'COKE OVENS'!BC14</f>
        <v>525190.22749196703</v>
      </c>
      <c r="BD336" s="8055"/>
      <c r="BE336" s="6642">
        <f>(+'Maj Techno Summ'!BC8/100)*'COKE OVENS'!BE14</f>
        <v>995176.31234809745</v>
      </c>
    </row>
    <row r="337" spans="2:57" x14ac:dyDescent="0.2">
      <c r="B337" s="7909" t="s">
        <v>698</v>
      </c>
      <c r="C337" s="4200" t="s">
        <v>170</v>
      </c>
      <c r="D337" s="7910"/>
      <c r="E337" s="7913">
        <f>+E336*E314/(100-E314)</f>
        <v>6759.4557031587965</v>
      </c>
      <c r="F337" s="7910"/>
      <c r="G337" s="7913">
        <f>+G336*G314/(100-G314)</f>
        <v>6796.9974643334872</v>
      </c>
      <c r="H337" s="7921"/>
      <c r="I337" s="7922">
        <f>+I336*I314/(100-I314)</f>
        <v>13556.454766044055</v>
      </c>
      <c r="J337" s="7910"/>
      <c r="K337" s="7913">
        <f>+K336*K314/(100-K314)</f>
        <v>7778.9780535517666</v>
      </c>
      <c r="L337" s="7927"/>
      <c r="M337" s="7928">
        <f>+M336*M314/(100-M314)</f>
        <v>21335.440620106328</v>
      </c>
      <c r="N337" s="7910"/>
      <c r="O337" s="7913">
        <f>+O336*O314/(100-O314)</f>
        <v>8347.8039986889526</v>
      </c>
      <c r="P337" s="7921"/>
      <c r="Q337" s="7922">
        <f>+Q336*Q314/(100-Q314)</f>
        <v>29683.241676354519</v>
      </c>
      <c r="R337" s="7910"/>
      <c r="S337" s="7913">
        <f>+S336*S314/(100-S314)</f>
        <v>9091.6199999999935</v>
      </c>
      <c r="T337" s="7921"/>
      <c r="U337" s="7922">
        <f>+U336*U314/(100-U314)</f>
        <v>38774.861401895207</v>
      </c>
      <c r="V337" s="7910"/>
      <c r="W337" s="7913">
        <f>+W336*W314/(100-W314)</f>
        <v>7585.8424510074592</v>
      </c>
      <c r="X337" s="7927"/>
      <c r="Y337" s="7928">
        <f>+Y336*Y314/(100-Y314)</f>
        <v>25025.269388386416</v>
      </c>
      <c r="Z337" s="8058"/>
      <c r="AA337" s="8059">
        <f>+AA336*AA314/(100-AA314)</f>
        <v>46360.704645903083</v>
      </c>
      <c r="AB337" s="7910"/>
      <c r="AC337" s="7913">
        <f>+AC336*AC314/(100-AC314)</f>
        <v>8454.4254998533652</v>
      </c>
      <c r="AD337" s="7921"/>
      <c r="AE337" s="7922">
        <f>+AE336*AE314/(100-AE314)</f>
        <v>54815.12999999999</v>
      </c>
      <c r="AF337" s="7910"/>
      <c r="AG337" s="7913">
        <f>+AG336*AG314/(100-AG314)</f>
        <v>7976.3692494603256</v>
      </c>
      <c r="AH337" s="7921"/>
      <c r="AI337" s="7922">
        <f>+AI336*AI314/(100-AI314)</f>
        <v>62791.512622701921</v>
      </c>
      <c r="AJ337" s="7910"/>
      <c r="AK337" s="7913">
        <f>+AK336*AK314/(100-AK314)</f>
        <v>9095.1171292478575</v>
      </c>
      <c r="AL337" s="7927"/>
      <c r="AM337" s="7928">
        <f>+AM336*AM314/(100-AM314)</f>
        <v>25525.922908818153</v>
      </c>
      <c r="AN337" s="7921"/>
      <c r="AO337" s="7922">
        <f>+AO336*AO314/(100-AO314)</f>
        <v>71886.629697993805</v>
      </c>
      <c r="AP337" s="7910"/>
      <c r="AQ337" s="7913">
        <f>+AQ336*AQ314/(100-AQ314)</f>
        <v>9097.1755023307287</v>
      </c>
      <c r="AR337" s="7921"/>
      <c r="AS337" s="7922">
        <f>+AS336*AS314/(100-AS314)</f>
        <v>80983.80504207802</v>
      </c>
      <c r="AT337" s="7910"/>
      <c r="AU337" s="7913">
        <f>+AU336*AU314/(100-AU314)</f>
        <v>8260.2462988783172</v>
      </c>
      <c r="AV337" s="7921"/>
      <c r="AW337" s="7922">
        <f>+AW336*AW314/(100-AW314)</f>
        <v>89244.051299486775</v>
      </c>
      <c r="AX337" s="7910"/>
      <c r="AY337" s="7913">
        <f>+AY336*AY314/(100-AY314)</f>
        <v>9057.2256383998174</v>
      </c>
      <c r="AZ337" s="7927"/>
      <c r="BA337" s="7928">
        <f>+BA336*BA314/(100-BA314)</f>
        <v>26414.648500718522</v>
      </c>
      <c r="BB337" s="7927"/>
      <c r="BC337" s="7928">
        <f>+BC336*BC314/(100-BC314)</f>
        <v>1661973.8967649334</v>
      </c>
      <c r="BD337" s="8058"/>
      <c r="BE337" s="8059">
        <f>+BE336*BE314/(100-BE314)</f>
        <v>98422.409391004432</v>
      </c>
    </row>
    <row r="338" spans="2:57" x14ac:dyDescent="0.2">
      <c r="B338" s="7909" t="s">
        <v>2240</v>
      </c>
      <c r="C338" s="4200" t="s">
        <v>170</v>
      </c>
      <c r="D338" s="7911"/>
      <c r="E338" s="5866">
        <f t="shared" ref="E338" si="1473">+E336*3/(100-3)</f>
        <v>2113.7465818340788</v>
      </c>
      <c r="F338" s="7911"/>
      <c r="G338" s="5866">
        <f t="shared" ref="G338" si="1474">+G336*3/(100-3)</f>
        <v>2125.5793985066944</v>
      </c>
      <c r="H338" s="7918"/>
      <c r="I338" s="5867">
        <f t="shared" ref="I338" si="1475">+I336*3/(100-3)</f>
        <v>4239.3261412563688</v>
      </c>
      <c r="J338" s="7911"/>
      <c r="K338" s="5866">
        <f t="shared" ref="K338" si="1476">+K336*3/(100-3)</f>
        <v>2432.7532560757186</v>
      </c>
      <c r="L338" s="7924"/>
      <c r="M338" s="6305">
        <f t="shared" ref="M338" si="1477">+M336*3/(100-3)</f>
        <v>6672.0791560791868</v>
      </c>
      <c r="N338" s="7911"/>
      <c r="O338" s="5866">
        <f t="shared" ref="O338" si="1478">+O336*3/(100-3)</f>
        <v>2610.3771959168362</v>
      </c>
      <c r="P338" s="7918"/>
      <c r="Q338" s="5867">
        <f t="shared" ref="Q338" si="1479">+Q336*3/(100-3)</f>
        <v>9282.4564429993461</v>
      </c>
      <c r="R338" s="7911"/>
      <c r="S338" s="5866">
        <f t="shared" ref="S338" si="1480">+S336*3/(100-3)</f>
        <v>2843.0545361551872</v>
      </c>
      <c r="T338" s="7918"/>
      <c r="U338" s="5867">
        <f t="shared" ref="U338" si="1481">+U336*3/(100-3)</f>
        <v>12125.511120397232</v>
      </c>
      <c r="V338" s="7911"/>
      <c r="W338" s="5866">
        <f t="shared" ref="W338" si="1482">+W336*3/(100-3)</f>
        <v>2372.2616570535893</v>
      </c>
      <c r="X338" s="7924"/>
      <c r="Y338" s="6305">
        <f t="shared" ref="Y338" si="1483">+Y336*3/(100-3)</f>
        <v>7825.6926993282559</v>
      </c>
      <c r="Z338" s="8055"/>
      <c r="AA338" s="6642">
        <f t="shared" ref="AA338" si="1484">+AA336*3/(100-3)</f>
        <v>14497.772021260729</v>
      </c>
      <c r="AB338" s="7911"/>
      <c r="AC338" s="5866">
        <f t="shared" ref="AC338" si="1485">+AC336*3/(100-3)</f>
        <v>2643.758489679617</v>
      </c>
      <c r="AD338" s="7918"/>
      <c r="AE338" s="5867">
        <f t="shared" ref="AE338" si="1486">+AE336*3/(100-3)</f>
        <v>17141.530502300058</v>
      </c>
      <c r="AF338" s="7911"/>
      <c r="AG338" s="5866">
        <f t="shared" ref="AG338" si="1487">+AG336*3/(100-3)</f>
        <v>2494.7514665115364</v>
      </c>
      <c r="AH338" s="7918"/>
      <c r="AI338" s="5867">
        <f t="shared" ref="AI338" si="1488">+AI336*3/(100-3)</f>
        <v>19636.281601648832</v>
      </c>
      <c r="AJ338" s="7911"/>
      <c r="AK338" s="5866">
        <f t="shared" ref="AK338" si="1489">+AK336*3/(100-3)</f>
        <v>2844.1448310541891</v>
      </c>
      <c r="AL338" s="7924"/>
      <c r="AM338" s="6305">
        <f t="shared" ref="AM338" si="1490">+AM336*3/(100-3)</f>
        <v>7982.6545709139491</v>
      </c>
      <c r="AN338" s="7918"/>
      <c r="AO338" s="5867">
        <f t="shared" ref="AO338" si="1491">+AO336*3/(100-3)</f>
        <v>22480.426435218596</v>
      </c>
      <c r="AP338" s="7911"/>
      <c r="AQ338" s="5866">
        <f t="shared" ref="AQ338" si="1492">+AQ336*3/(100-3)</f>
        <v>2844.8930259336425</v>
      </c>
      <c r="AR338" s="7918"/>
      <c r="AS338" s="5867">
        <f t="shared" ref="AS338" si="1493">+AS336*3/(100-3)</f>
        <v>25325.319431688302</v>
      </c>
      <c r="AT338" s="7911"/>
      <c r="AU338" s="5866">
        <f t="shared" ref="AU338" si="1494">+AU336*3/(100-3)</f>
        <v>2583.1470216841763</v>
      </c>
      <c r="AV338" s="7918"/>
      <c r="AW338" s="5867">
        <f t="shared" ref="AW338" si="1495">+AW336*3/(100-3)</f>
        <v>27908.466454655048</v>
      </c>
      <c r="AX338" s="7911"/>
      <c r="AY338" s="5866">
        <f t="shared" ref="AY338" si="1496">+AY336*3/(100-3)</f>
        <v>2832.3022998433044</v>
      </c>
      <c r="AZ338" s="7924"/>
      <c r="BA338" s="6305">
        <f t="shared" ref="BA338" si="1497">+BA336*3/(100-3)</f>
        <v>8260.3423144708322</v>
      </c>
      <c r="BB338" s="7924"/>
      <c r="BC338" s="6305">
        <f t="shared" ref="BC338" si="1498">+BC336*3/(100-3)</f>
        <v>16242.996726555682</v>
      </c>
      <c r="BD338" s="8055"/>
      <c r="BE338" s="6642">
        <f t="shared" ref="BE338" si="1499">+BE336*3/(100-3)</f>
        <v>30778.648835508167</v>
      </c>
    </row>
    <row r="339" spans="2:57" x14ac:dyDescent="0.2">
      <c r="B339" s="7909" t="s">
        <v>2472</v>
      </c>
      <c r="C339" s="4200" t="s">
        <v>170</v>
      </c>
      <c r="D339" s="7911"/>
      <c r="E339" s="5866">
        <f>+E338*E314/(100-E314)</f>
        <v>209.05533102552977</v>
      </c>
      <c r="F339" s="7911"/>
      <c r="G339" s="5866">
        <f>+G338*G314/(100-G314)</f>
        <v>210.21641642268514</v>
      </c>
      <c r="H339" s="7918"/>
      <c r="I339" s="5867">
        <f>+I338*I314/(100-I314)</f>
        <v>419.27179688796042</v>
      </c>
      <c r="J339" s="7911"/>
      <c r="K339" s="5866">
        <f>+K338*K314/(100-K314)</f>
        <v>240.58695010984843</v>
      </c>
      <c r="L339" s="7924"/>
      <c r="M339" s="6305">
        <f>+M338*M314/(100-M314)</f>
        <v>659.85898825071115</v>
      </c>
      <c r="N339" s="7911"/>
      <c r="O339" s="5866">
        <f>+O338*O314/(100-O314)</f>
        <v>258.17950511409128</v>
      </c>
      <c r="P339" s="7918"/>
      <c r="Q339" s="5867">
        <f>+Q338*Q314/(100-Q314)</f>
        <v>918.03840236148005</v>
      </c>
      <c r="R339" s="7911"/>
      <c r="S339" s="5866">
        <f>+S338*S314/(100-S314)</f>
        <v>281.18412371134002</v>
      </c>
      <c r="T339" s="7918"/>
      <c r="U339" s="5867">
        <f>+U338*U314/(100-U314)</f>
        <v>1199.2225175843878</v>
      </c>
      <c r="V339" s="7911"/>
      <c r="W339" s="5866">
        <f>+W338*W314/(100-W314)</f>
        <v>234.61368405177708</v>
      </c>
      <c r="X339" s="7924"/>
      <c r="Y339" s="6305">
        <f>+Y338*Y314/(100-Y314)</f>
        <v>773.97740376452828</v>
      </c>
      <c r="Z339" s="8055"/>
      <c r="AA339" s="6642">
        <f>+AA338*AA314/(100-AA314)</f>
        <v>1433.8362261619511</v>
      </c>
      <c r="AB339" s="7911"/>
      <c r="AC339" s="5866">
        <f>+AC338*AC314/(100-AC314)</f>
        <v>261.4770773150525</v>
      </c>
      <c r="AD339" s="7918"/>
      <c r="AE339" s="5867">
        <f>+AE338*AE314/(100-AE314)</f>
        <v>1695.3132989690719</v>
      </c>
      <c r="AF339" s="7911"/>
      <c r="AG339" s="5866">
        <f>+AG338*AG314/(100-AG314)</f>
        <v>246.69183245753587</v>
      </c>
      <c r="AH339" s="7918"/>
      <c r="AI339" s="5867">
        <f>+AI338*AI314/(100-AI314)</f>
        <v>1942.0055450320183</v>
      </c>
      <c r="AJ339" s="7911"/>
      <c r="AK339" s="5866">
        <f>+AK338*AK314/(100-AK314)</f>
        <v>281.29228234787189</v>
      </c>
      <c r="AL339" s="7924"/>
      <c r="AM339" s="6305">
        <f>+AM338*AM314/(100-AM314)</f>
        <v>789.46153326241711</v>
      </c>
      <c r="AN339" s="7918"/>
      <c r="AO339" s="5867">
        <f>+AO338*AO314/(100-AO314)</f>
        <v>2223.297825711149</v>
      </c>
      <c r="AP339" s="7911"/>
      <c r="AQ339" s="5866">
        <f>+AQ338*AQ314/(100-AQ314)</f>
        <v>281.35594337105346</v>
      </c>
      <c r="AR339" s="7918"/>
      <c r="AS339" s="5867">
        <f>+AS338*AS314/(100-AS314)</f>
        <v>2504.65376418798</v>
      </c>
      <c r="AT339" s="7911"/>
      <c r="AU339" s="5866">
        <f>+AU338*AU314/(100-AU314)</f>
        <v>255.4715350168552</v>
      </c>
      <c r="AV339" s="7918"/>
      <c r="AW339" s="5867">
        <f>+AW338*AW314/(100-AW314)</f>
        <v>2760.1252979222713</v>
      </c>
      <c r="AX339" s="7911"/>
      <c r="AY339" s="5866">
        <f>+AY338*AY314/(100-AY314)</f>
        <v>280.12038056906653</v>
      </c>
      <c r="AZ339" s="7924"/>
      <c r="BA339" s="6305">
        <f>+BA338*BA314/(100-BA314)</f>
        <v>816.94789177479981</v>
      </c>
      <c r="BB339" s="7924"/>
      <c r="BC339" s="6305">
        <f>+BC338*BC314/(100-BC314)</f>
        <v>51401.254539121663</v>
      </c>
      <c r="BD339" s="8055"/>
      <c r="BE339" s="6642">
        <f>+BE338*BE314/(100-BE314)</f>
        <v>3043.9920430207558</v>
      </c>
    </row>
    <row r="340" spans="2:57" ht="19" x14ac:dyDescent="0.2">
      <c r="B340" s="7912" t="s">
        <v>2514</v>
      </c>
      <c r="C340" s="4200" t="s">
        <v>170</v>
      </c>
      <c r="D340" s="7914"/>
      <c r="E340" s="7915">
        <f t="shared" ref="E340" si="1500">SUM(E336:E339)</f>
        <v>77426.730428653624</v>
      </c>
      <c r="F340" s="7914"/>
      <c r="G340" s="7915">
        <f t="shared" ref="G340" si="1501">SUM(G336:G339)</f>
        <v>77859.86049764599</v>
      </c>
      <c r="H340" s="7919"/>
      <c r="I340" s="7920">
        <f t="shared" ref="I340" si="1502">SUM(I336:I339)</f>
        <v>155286.59793814432</v>
      </c>
      <c r="J340" s="7914"/>
      <c r="K340" s="7915">
        <f t="shared" ref="K340" si="1503">SUM(K336:K339)</f>
        <v>89111.340206185574</v>
      </c>
      <c r="L340" s="7925"/>
      <c r="M340" s="7926">
        <f t="shared" ref="M340" si="1504">SUM(M336:M339)</f>
        <v>244397.93814432994</v>
      </c>
      <c r="N340" s="7914"/>
      <c r="O340" s="7915">
        <f t="shared" ref="O340" si="1505">SUM(O336:O339)</f>
        <v>95618.556701030917</v>
      </c>
      <c r="P340" s="7919"/>
      <c r="Q340" s="7920">
        <f t="shared" ref="Q340" si="1506">SUM(Q336:Q339)</f>
        <v>340016.49484536087</v>
      </c>
      <c r="R340" s="7914"/>
      <c r="S340" s="7915">
        <f t="shared" ref="S340" si="1507">SUM(S336:S339)</f>
        <v>104141.28866221759</v>
      </c>
      <c r="T340" s="7919"/>
      <c r="U340" s="7920">
        <f t="shared" ref="U340" si="1508">SUM(U336:U339)</f>
        <v>444157.78793272068</v>
      </c>
      <c r="V340" s="7914"/>
      <c r="W340" s="7915">
        <f t="shared" ref="W340" si="1509">SUM(W336:W339)</f>
        <v>86895.844703512208</v>
      </c>
      <c r="X340" s="7925"/>
      <c r="Y340" s="7926">
        <f t="shared" ref="Y340" si="1510">SUM(Y336:Y339)</f>
        <v>286655.67010309279</v>
      </c>
      <c r="Z340" s="8056"/>
      <c r="AA340" s="8057">
        <f t="shared" ref="AA340" si="1511">SUM(AA336:AA339)</f>
        <v>531053.60824742261</v>
      </c>
      <c r="AB340" s="7914"/>
      <c r="AC340" s="7915">
        <f t="shared" ref="AC340" si="1512">SUM(AC336:AC339)</f>
        <v>96841.185566489003</v>
      </c>
      <c r="AD340" s="7919"/>
      <c r="AE340" s="7920">
        <f t="shared" ref="AE340" si="1513">SUM(AE336:AE339)</f>
        <v>627894.79337563762</v>
      </c>
      <c r="AF340" s="7914"/>
      <c r="AG340" s="7915">
        <f t="shared" ref="AG340" si="1514">SUM(AG336:AG339)</f>
        <v>91381.443298969069</v>
      </c>
      <c r="AH340" s="7919"/>
      <c r="AI340" s="7920">
        <f t="shared" ref="AI340" si="1515">SUM(AI336:AI339)</f>
        <v>719276.23822269496</v>
      </c>
      <c r="AJ340" s="7914"/>
      <c r="AK340" s="7915">
        <f t="shared" ref="AK340" si="1516">SUM(AK336:AK339)</f>
        <v>104181.23711340204</v>
      </c>
      <c r="AL340" s="7925"/>
      <c r="AM340" s="7926">
        <f t="shared" ref="AM340" si="1517">SUM(AM336:AM339)</f>
        <v>292403.87013921217</v>
      </c>
      <c r="AN340" s="7919"/>
      <c r="AO340" s="7920">
        <f t="shared" ref="AO340" si="1518">SUM(AO336:AO339)</f>
        <v>823457.47536432487</v>
      </c>
      <c r="AP340" s="7914"/>
      <c r="AQ340" s="7915">
        <f t="shared" ref="AQ340" si="1519">SUM(AQ336:AQ339)</f>
        <v>104208.29897682321</v>
      </c>
      <c r="AR340" s="7919"/>
      <c r="AS340" s="7920">
        <f t="shared" ref="AS340" si="1520">SUM(AS336:AS339)</f>
        <v>927665.77319587604</v>
      </c>
      <c r="AT340" s="7914"/>
      <c r="AU340" s="7915">
        <f t="shared" ref="AU340" si="1521">SUM(AU336:AU339)</f>
        <v>94620.61855670104</v>
      </c>
      <c r="AV340" s="7919"/>
      <c r="AW340" s="7920">
        <f t="shared" ref="AW340" si="1522">SUM(AW336:AW339)</f>
        <v>1022286.3917525773</v>
      </c>
      <c r="AX340" s="7914"/>
      <c r="AY340" s="7915">
        <f t="shared" ref="AY340" si="1523">SUM(AY336:AY339)</f>
        <v>103747.42268041235</v>
      </c>
      <c r="AZ340" s="7925"/>
      <c r="BA340" s="7926">
        <f t="shared" ref="BA340" si="1524">SUM(BA336:BA339)</f>
        <v>302576.34020818776</v>
      </c>
      <c r="BB340" s="7925"/>
      <c r="BC340" s="7926">
        <f t="shared" ref="BC340" si="1525">SUM(BC336:BC339)</f>
        <v>2254808.3755225781</v>
      </c>
      <c r="BD340" s="8056"/>
      <c r="BE340" s="8057">
        <f t="shared" ref="BE340" si="1526">SUM(BE336:BE339)</f>
        <v>1127421.3626176307</v>
      </c>
    </row>
    <row r="341" spans="2:57" ht="21" x14ac:dyDescent="0.2">
      <c r="B341" s="7916" t="s">
        <v>2481</v>
      </c>
      <c r="C341" s="4200" t="s">
        <v>170</v>
      </c>
      <c r="D341" s="7917"/>
      <c r="E341" s="7917">
        <f t="shared" ref="E341" si="1527">+E334+E340</f>
        <v>118107.14279978765</v>
      </c>
      <c r="F341" s="7917"/>
      <c r="G341" s="7917">
        <f t="shared" ref="G341" si="1528">+G334+G340</f>
        <v>124107.28317805837</v>
      </c>
      <c r="H341" s="7923"/>
      <c r="I341" s="7923">
        <f t="shared" ref="I341" si="1529">+I334+I340</f>
        <v>242214.43298969069</v>
      </c>
      <c r="J341" s="7917"/>
      <c r="K341" s="7917">
        <f t="shared" ref="K341" si="1530">+K334+K340</f>
        <v>138534.02061855671</v>
      </c>
      <c r="L341" s="7929"/>
      <c r="M341" s="7929">
        <f t="shared" ref="M341" si="1531">+M334+M340</f>
        <v>380748.45360824745</v>
      </c>
      <c r="N341" s="7917"/>
      <c r="O341" s="7917">
        <f t="shared" ref="O341" si="1532">+O334+O340</f>
        <v>151195.87628865978</v>
      </c>
      <c r="P341" s="7923"/>
      <c r="Q341" s="7923">
        <f t="shared" ref="Q341" si="1533">+Q334+Q340</f>
        <v>531944.32989690732</v>
      </c>
      <c r="R341" s="7917"/>
      <c r="S341" s="7917">
        <f t="shared" ref="S341" si="1534">+S334+S340</f>
        <v>160785.61855912479</v>
      </c>
      <c r="T341" s="7923"/>
      <c r="U341" s="7923">
        <f t="shared" ref="U341" si="1535">+U334+U340</f>
        <v>692729.95288117428</v>
      </c>
      <c r="V341" s="7917"/>
      <c r="W341" s="7917">
        <f t="shared" ref="W341" si="1536">+W334+W340</f>
        <v>141169.04057980087</v>
      </c>
      <c r="X341" s="7929"/>
      <c r="Y341" s="7929">
        <f t="shared" ref="Y341" si="1537">+Y334+Y340</f>
        <v>453150.51546391752</v>
      </c>
      <c r="Z341" s="8060"/>
      <c r="AA341" s="8060">
        <f t="shared" ref="AA341" si="1538">+AA334+AA340</f>
        <v>833898.96907216497</v>
      </c>
      <c r="AB341" s="7917"/>
      <c r="AC341" s="7917">
        <f t="shared" ref="AC341" si="1539">+AC334+AC340</f>
        <v>153284.48453556118</v>
      </c>
      <c r="AD341" s="7923"/>
      <c r="AE341" s="7923">
        <f t="shared" ref="AE341" si="1540">+AE334+AE340</f>
        <v>987183.45316945203</v>
      </c>
      <c r="AF341" s="7917"/>
      <c r="AG341" s="7917">
        <f t="shared" ref="AG341" si="1541">+AG334+AG340</f>
        <v>146381.44329896907</v>
      </c>
      <c r="AH341" s="7923"/>
      <c r="AI341" s="7923">
        <f t="shared" ref="AI341" si="1542">+AI334+AI340</f>
        <v>1133564.8980165094</v>
      </c>
      <c r="AJ341" s="7917"/>
      <c r="AK341" s="7917">
        <f t="shared" ref="AK341" si="1543">+AK334+AK340</f>
        <v>160882.26804123708</v>
      </c>
      <c r="AL341" s="7929"/>
      <c r="AM341" s="7929">
        <f t="shared" ref="AM341" si="1544">+AM334+AM340</f>
        <v>460548.20003611932</v>
      </c>
      <c r="AN341" s="7923"/>
      <c r="AO341" s="7923">
        <f t="shared" ref="AO341" si="1545">+AO334+AO340</f>
        <v>1294447.1660859743</v>
      </c>
      <c r="AP341" s="7917"/>
      <c r="AQ341" s="7917">
        <f t="shared" ref="AQ341" si="1546">+AQ334+AQ340</f>
        <v>160909.32990465825</v>
      </c>
      <c r="AR341" s="7923"/>
      <c r="AS341" s="7923">
        <f t="shared" ref="AS341" si="1547">+AS334+AS340</f>
        <v>1455356.4948453605</v>
      </c>
      <c r="AT341" s="7917"/>
      <c r="AU341" s="7917">
        <f t="shared" ref="AU341" si="1548">+AU334+AU340</f>
        <v>145837.11340206186</v>
      </c>
      <c r="AV341" s="7923"/>
      <c r="AW341" s="7923">
        <f t="shared" ref="AW341" si="1549">+AW334+AW340</f>
        <v>1601193.6082474226</v>
      </c>
      <c r="AX341" s="7917"/>
      <c r="AY341" s="7917">
        <f t="shared" ref="AY341" si="1550">+AY334+AY340</f>
        <v>160515.46391752575</v>
      </c>
      <c r="AZ341" s="7929"/>
      <c r="BA341" s="7929">
        <f t="shared" ref="BA341" si="1551">+BA334+BA340</f>
        <v>467261.90721849701</v>
      </c>
      <c r="BB341" s="7929"/>
      <c r="BC341" s="7929">
        <f t="shared" ref="BC341" si="1552">+BC334+BC340</f>
        <v>3539284.5840051631</v>
      </c>
      <c r="BD341" s="8060"/>
      <c r="BE341" s="8060">
        <f t="shared" ref="BE341" si="1553">+BE334+BE340</f>
        <v>1769693.7448909138</v>
      </c>
    </row>
    <row r="342" spans="2:57" ht="16" thickBot="1" x14ac:dyDescent="0.25">
      <c r="S342" s="2265"/>
      <c r="U342" s="2265"/>
      <c r="W342" s="2265"/>
      <c r="Y342" s="2265"/>
      <c r="AA342" s="2265"/>
      <c r="AC342" s="2265"/>
      <c r="AE342" s="2265"/>
      <c r="AG342" s="2265"/>
      <c r="AI342" s="2265"/>
      <c r="AK342" s="2265"/>
      <c r="AL342" s="8006"/>
      <c r="AM342" s="2265"/>
      <c r="AO342" s="2265"/>
      <c r="AP342" s="8011"/>
      <c r="AQ342" s="2265"/>
      <c r="AR342" s="8011"/>
      <c r="AS342" s="2265"/>
      <c r="AT342" s="8143"/>
      <c r="AU342" s="2265"/>
      <c r="AV342" s="8143"/>
      <c r="AW342" s="2265"/>
      <c r="AX342" s="8260"/>
      <c r="AY342" s="2265"/>
      <c r="BA342" s="2265"/>
      <c r="BC342" s="2265"/>
      <c r="BE342" s="2265"/>
    </row>
    <row r="343" spans="2:57" ht="27" thickBot="1" x14ac:dyDescent="0.35">
      <c r="B343" s="7930" t="s">
        <v>2482</v>
      </c>
      <c r="C343" s="7934" t="s">
        <v>170</v>
      </c>
      <c r="D343" s="7933"/>
      <c r="E343" s="7932">
        <f t="shared" ref="E343" si="1554">+E327+E341</f>
        <v>128921.80059583554</v>
      </c>
      <c r="F343" s="7932"/>
      <c r="G343" s="7932">
        <f t="shared" ref="G343" si="1555">+G327+G341</f>
        <v>134745.75746689524</v>
      </c>
      <c r="H343" s="7932"/>
      <c r="I343" s="7932">
        <f t="shared" ref="I343" si="1556">+I327+I341</f>
        <v>263667.55798969069</v>
      </c>
      <c r="J343" s="7932"/>
      <c r="K343" s="7932">
        <f t="shared" ref="K343" si="1557">+K327+K341</f>
        <v>146555.89561855671</v>
      </c>
      <c r="L343" s="7932"/>
      <c r="M343" s="7932">
        <f t="shared" ref="M343" si="1558">+M327+M341</f>
        <v>410223.45360824745</v>
      </c>
      <c r="N343" s="7932"/>
      <c r="O343" s="7932">
        <f t="shared" ref="O343" si="1559">+O327+O341</f>
        <v>159239.62628865978</v>
      </c>
      <c r="P343" s="7932"/>
      <c r="Q343" s="7932">
        <f t="shared" ref="Q343" si="1560">+Q327+Q341</f>
        <v>569463.07989690732</v>
      </c>
      <c r="R343" s="7932"/>
      <c r="S343" s="7932">
        <f t="shared" ref="S343" si="1561">+S327+S341</f>
        <v>169339.73314000911</v>
      </c>
      <c r="T343" s="7932"/>
      <c r="U343" s="7932">
        <f t="shared" ref="U343" si="1562">+U327+U341</f>
        <v>738802.81299082108</v>
      </c>
      <c r="V343" s="7932"/>
      <c r="W343" s="7932">
        <f t="shared" ref="W343" si="1563">+W327+W341</f>
        <v>146761.78082729375</v>
      </c>
      <c r="X343" s="7932"/>
      <c r="Y343" s="7932">
        <f t="shared" ref="Y343" si="1564">+Y327+Y341</f>
        <v>475341.14046391752</v>
      </c>
      <c r="Z343" s="7932"/>
      <c r="AA343" s="7932">
        <f t="shared" ref="AA343" si="1565">+AA327+AA341</f>
        <v>885564.59407216497</v>
      </c>
      <c r="AB343" s="7932"/>
      <c r="AC343" s="7932">
        <f t="shared" ref="AC343" si="1566">+AC327+AC341</f>
        <v>161434.53661942124</v>
      </c>
      <c r="AD343" s="7932"/>
      <c r="AE343" s="7932">
        <f t="shared" ref="AE343" si="1567">+AE327+AE341</f>
        <v>1046999.1306961515</v>
      </c>
      <c r="AF343" s="7932"/>
      <c r="AG343" s="7932">
        <f t="shared" ref="AG343" si="1568">+AG327+AG341</f>
        <v>153003.31829896907</v>
      </c>
      <c r="AH343" s="7932"/>
      <c r="AI343" s="7932">
        <f t="shared" ref="AI343" si="1569">+AI327+AI341</f>
        <v>1200002.4489789945</v>
      </c>
      <c r="AJ343" s="7932"/>
      <c r="AK343" s="7932">
        <f t="shared" ref="AK343" si="1570">+AK327+AK341</f>
        <v>169287.68470790377</v>
      </c>
      <c r="AL343" s="7932"/>
      <c r="AM343" s="7932">
        <f t="shared" ref="AM343" si="1571">+AM327+AM341</f>
        <v>483725.53958295699</v>
      </c>
      <c r="AN343" s="7932"/>
      <c r="AO343" s="7932">
        <f t="shared" ref="AO343" si="1572">+AO327+AO341</f>
        <v>1369290.1336866044</v>
      </c>
      <c r="AP343" s="7932"/>
      <c r="AQ343" s="7932">
        <f t="shared" ref="AQ343" si="1573">+AQ327+AQ341</f>
        <v>169467.61114682647</v>
      </c>
      <c r="AR343" s="7932"/>
      <c r="AS343" s="7932">
        <f t="shared" ref="AS343" si="1574">+AS327+AS341</f>
        <v>1538757.7448453608</v>
      </c>
      <c r="AT343" s="7932"/>
      <c r="AU343" s="7932">
        <f t="shared" ref="AU343" si="1575">+AU327+AU341</f>
        <v>153065.23840206186</v>
      </c>
      <c r="AV343" s="7932"/>
      <c r="AW343" s="7932">
        <f t="shared" ref="AW343" si="1576">+AW327+AW341</f>
        <v>1691822.9832474226</v>
      </c>
      <c r="AX343" s="7932"/>
      <c r="AY343" s="7932">
        <f t="shared" ref="AY343" si="1577">+AY327+AY341</f>
        <v>169581.08891752578</v>
      </c>
      <c r="AZ343" s="7932"/>
      <c r="BA343" s="7932">
        <f t="shared" ref="BA343" si="1578">+BA327+BA341</f>
        <v>492113.93846647401</v>
      </c>
      <c r="BB343" s="7932"/>
      <c r="BC343" s="7932">
        <f t="shared" ref="BC343" si="1579">+BC327+BC341</f>
        <v>3722533.4939166135</v>
      </c>
      <c r="BD343" s="7932"/>
      <c r="BE343" s="7932">
        <f t="shared" ref="BE343" si="1580">+BE327+BE341</f>
        <v>1861320.8984907195</v>
      </c>
    </row>
    <row r="344" spans="2:57" x14ac:dyDescent="0.2">
      <c r="S344" s="2265"/>
      <c r="U344" s="2265"/>
      <c r="AP344" s="8011"/>
      <c r="AQ344" s="8011"/>
      <c r="AR344" s="8011"/>
      <c r="AS344" s="8011"/>
    </row>
    <row r="345" spans="2:57" x14ac:dyDescent="0.2">
      <c r="S345" s="2265"/>
      <c r="U345" s="2265"/>
      <c r="AP345" s="8011"/>
      <c r="AQ345" s="8011"/>
      <c r="AR345" s="8011"/>
      <c r="AS345" s="8011"/>
    </row>
    <row r="346" spans="2:57" x14ac:dyDescent="0.2">
      <c r="S346" s="2265"/>
      <c r="U346" s="2265"/>
      <c r="AP346" s="8011"/>
      <c r="AQ346" s="8011"/>
      <c r="AR346" s="8011"/>
      <c r="AS346" s="8011"/>
    </row>
    <row r="347" spans="2:57" x14ac:dyDescent="0.2">
      <c r="S347" s="2265"/>
      <c r="U347" s="2265"/>
      <c r="AP347" s="8011"/>
      <c r="AQ347" s="8011"/>
      <c r="AR347" s="8011"/>
      <c r="AS347" s="8011"/>
    </row>
    <row r="348" spans="2:57" x14ac:dyDescent="0.2">
      <c r="AP348" s="8011"/>
      <c r="AQ348" s="8011"/>
      <c r="AR348" s="8011"/>
      <c r="AS348" s="8011"/>
    </row>
    <row r="349" spans="2:57" x14ac:dyDescent="0.2">
      <c r="AP349" s="8011"/>
      <c r="AQ349" s="8011"/>
    </row>
    <row r="350" spans="2:57" x14ac:dyDescent="0.2">
      <c r="AP350" s="8011"/>
      <c r="AQ350" s="8011"/>
    </row>
  </sheetData>
  <mergeCells count="29">
    <mergeCell ref="AR3:AS3"/>
    <mergeCell ref="V3:W3"/>
    <mergeCell ref="Z3:AA3"/>
    <mergeCell ref="X3:Y3"/>
    <mergeCell ref="AF3:AG3"/>
    <mergeCell ref="AH3:AI3"/>
    <mergeCell ref="AB3:AC3"/>
    <mergeCell ref="AD3:AE3"/>
    <mergeCell ref="AP3:AQ3"/>
    <mergeCell ref="R3:S3"/>
    <mergeCell ref="T3:U3"/>
    <mergeCell ref="AJ3:AK3"/>
    <mergeCell ref="AL3:AM3"/>
    <mergeCell ref="AN3:AO3"/>
    <mergeCell ref="N3:O3"/>
    <mergeCell ref="P3:Q3"/>
    <mergeCell ref="B3:B4"/>
    <mergeCell ref="J3:K3"/>
    <mergeCell ref="L3:M3"/>
    <mergeCell ref="D3:E3"/>
    <mergeCell ref="F3:G3"/>
    <mergeCell ref="H3:I3"/>
    <mergeCell ref="C3:C4"/>
    <mergeCell ref="AX3:AY3"/>
    <mergeCell ref="AZ3:BA3"/>
    <mergeCell ref="BD3:BE3"/>
    <mergeCell ref="BB3:BC3"/>
    <mergeCell ref="AT3:AU3"/>
    <mergeCell ref="AV3:AW3"/>
  </mergeCells>
  <pageMargins left="0.7" right="0.7" top="0.75" bottom="0.75" header="0.3" footer="0.3"/>
  <pageSetup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499984740745262"/>
    <pageSetUpPr fitToPage="1"/>
  </sheetPr>
  <dimension ref="A1:BE151"/>
  <sheetViews>
    <sheetView zoomScaleNormal="100" workbookViewId="0">
      <pane xSplit="3" topLeftCell="AY1" activePane="topRight" state="frozen"/>
      <selection pane="topRight" activeCell="AY73" sqref="AY73"/>
    </sheetView>
  </sheetViews>
  <sheetFormatPr baseColWidth="10" defaultColWidth="8.83203125" defaultRowHeight="15" x14ac:dyDescent="0.2"/>
  <cols>
    <col min="2" max="2" width="61.33203125" bestFit="1" customWidth="1"/>
    <col min="3" max="3" width="12.6640625" bestFit="1" customWidth="1"/>
    <col min="4" max="4" width="12.83203125" style="2100" customWidth="1"/>
    <col min="5" max="5" width="17.5" style="2265" customWidth="1"/>
    <col min="6" max="6" width="13.6640625" style="2100" customWidth="1"/>
    <col min="7" max="7" width="14" style="2265" customWidth="1"/>
    <col min="8" max="8" width="13.5" style="2100" customWidth="1"/>
    <col min="9" max="9" width="10.1640625" style="2265" customWidth="1"/>
    <col min="10" max="10" width="13" style="2100" customWidth="1"/>
    <col min="11" max="11" width="12.5" customWidth="1"/>
    <col min="12" max="12" width="12.6640625" style="2100" customWidth="1"/>
    <col min="13" max="13" width="13.6640625" customWidth="1"/>
    <col min="14" max="14" width="10.1640625" style="2100" customWidth="1"/>
    <col min="15" max="15" width="10.1640625" customWidth="1"/>
    <col min="16" max="16" width="13.5" style="2100" customWidth="1"/>
    <col min="17" max="17" width="10.1640625" customWidth="1"/>
    <col min="18" max="18" width="10.1640625" style="2100" customWidth="1"/>
    <col min="19" max="19" width="9.1640625" customWidth="1"/>
    <col min="20" max="20" width="10.1640625" style="2100" customWidth="1"/>
    <col min="21" max="21" width="12.5" customWidth="1"/>
    <col min="22" max="22" width="10.1640625" style="2100" bestFit="1" customWidth="1"/>
    <col min="23" max="23" width="9.1640625" customWidth="1"/>
    <col min="24" max="24" width="10.1640625" style="2100" customWidth="1"/>
    <col min="25" max="25" width="10.1640625" style="6851" customWidth="1"/>
    <col min="26" max="26" width="10.1640625" style="2100" customWidth="1"/>
    <col min="27" max="27" width="9.1640625" customWidth="1"/>
    <col min="28" max="29" width="10.1640625" bestFit="1" customWidth="1"/>
    <col min="30" max="30" width="13.6640625" bestFit="1" customWidth="1"/>
    <col min="31" max="32" width="10.1640625" bestFit="1" customWidth="1"/>
    <col min="34" max="34" width="13.6640625" bestFit="1" customWidth="1"/>
    <col min="35" max="45" width="10.1640625" bestFit="1" customWidth="1"/>
    <col min="47" max="47" width="11.83203125" customWidth="1"/>
    <col min="48" max="48" width="11.5" customWidth="1"/>
    <col min="50" max="50" width="12" customWidth="1"/>
    <col min="51" max="51" width="12.1640625" customWidth="1"/>
    <col min="52" max="52" width="10.1640625" style="2100" customWidth="1"/>
    <col min="53" max="53" width="10.1640625" style="8260" customWidth="1"/>
    <col min="54" max="54" width="10.1640625" style="2100" customWidth="1"/>
    <col min="55" max="55" width="10.1640625" style="8260" customWidth="1"/>
    <col min="56" max="56" width="10.1640625" style="2100" customWidth="1"/>
    <col min="57" max="57" width="9.1640625" style="8260" customWidth="1"/>
  </cols>
  <sheetData>
    <row r="1" spans="1:57" s="3380" customFormat="1" ht="23" x14ac:dyDescent="0.25">
      <c r="B1" s="3457" t="s">
        <v>428</v>
      </c>
      <c r="C1" s="3458"/>
      <c r="D1" s="6064">
        <f>+D61/24</f>
        <v>27.150000000000002</v>
      </c>
      <c r="E1" s="6925">
        <f t="shared" ref="E1:Q1" si="0">+E61/24</f>
        <v>20.666666666666668</v>
      </c>
      <c r="F1" s="6064">
        <f t="shared" si="0"/>
        <v>28.150000000000002</v>
      </c>
      <c r="G1" s="6925">
        <f t="shared" si="0"/>
        <v>20.91</v>
      </c>
      <c r="H1" s="6064">
        <f t="shared" si="0"/>
        <v>55.300000000000004</v>
      </c>
      <c r="I1" s="6925">
        <f t="shared" si="0"/>
        <v>41.576666666666661</v>
      </c>
      <c r="J1" s="6064">
        <f t="shared" si="0"/>
        <v>27.150000000000002</v>
      </c>
      <c r="K1" s="6925">
        <f t="shared" si="0"/>
        <v>23.256666666666664</v>
      </c>
      <c r="L1" s="6064">
        <f t="shared" si="0"/>
        <v>82.45</v>
      </c>
      <c r="M1" s="6925">
        <f t="shared" si="0"/>
        <v>64.833333333333329</v>
      </c>
      <c r="N1" s="6064">
        <f t="shared" si="0"/>
        <v>27</v>
      </c>
      <c r="O1" s="6925">
        <f t="shared" si="0"/>
        <v>27.3325</v>
      </c>
      <c r="P1" s="6064">
        <f t="shared" si="0"/>
        <v>109.45</v>
      </c>
      <c r="Q1" s="6925">
        <f t="shared" si="0"/>
        <v>92.165833333333339</v>
      </c>
      <c r="R1" s="6064">
        <f t="shared" ref="R1:U1" si="1">+R61/24</f>
        <v>28</v>
      </c>
      <c r="S1" s="6925">
        <f t="shared" si="1"/>
        <v>26.486249999999998</v>
      </c>
      <c r="T1" s="6064">
        <f t="shared" si="1"/>
        <v>137.45000000000002</v>
      </c>
      <c r="U1" s="6925">
        <f t="shared" si="1"/>
        <v>118.65208333333334</v>
      </c>
      <c r="V1" s="6064">
        <f t="shared" ref="V1:AI1" si="2">+V61/24</f>
        <v>27.150000000000002</v>
      </c>
      <c r="W1" s="6925">
        <f t="shared" si="2"/>
        <v>21.830833333333334</v>
      </c>
      <c r="X1" s="6064">
        <f>+N1+R1+V1</f>
        <v>82.15</v>
      </c>
      <c r="Y1" s="6925">
        <f>+O1+S1+W1</f>
        <v>75.649583333333325</v>
      </c>
      <c r="Z1" s="6064">
        <f t="shared" si="2"/>
        <v>164.6</v>
      </c>
      <c r="AA1" s="6925">
        <f t="shared" si="2"/>
        <v>140.48291666666668</v>
      </c>
      <c r="AB1" s="6064">
        <f t="shared" si="2"/>
        <v>28.150000000000002</v>
      </c>
      <c r="AC1" s="6925">
        <f t="shared" si="2"/>
        <v>27.666666666666668</v>
      </c>
      <c r="AD1" s="6064">
        <f t="shared" si="2"/>
        <v>192.75</v>
      </c>
      <c r="AE1" s="6925">
        <f t="shared" si="2"/>
        <v>168.14958333333334</v>
      </c>
      <c r="AF1" s="7640">
        <f t="shared" si="2"/>
        <v>27.150000000000002</v>
      </c>
      <c r="AG1" s="7641">
        <f t="shared" si="2"/>
        <v>27.738333333333333</v>
      </c>
      <c r="AH1" s="6064">
        <f t="shared" si="2"/>
        <v>219.9</v>
      </c>
      <c r="AI1" s="6925">
        <f t="shared" si="2"/>
        <v>195.88791666666668</v>
      </c>
      <c r="AJ1" s="6064">
        <f t="shared" ref="AJ1:AK1" si="3">+AJ61/24</f>
        <v>27.650000000000002</v>
      </c>
      <c r="AK1" s="6925">
        <f t="shared" si="3"/>
        <v>29.215624999999999</v>
      </c>
      <c r="AL1" s="6064">
        <f>+AB1+AF1+AJ1</f>
        <v>82.95</v>
      </c>
      <c r="AM1" s="6925">
        <f>+AC1+AG1+AK1</f>
        <v>84.620625000000004</v>
      </c>
      <c r="AN1" s="6064">
        <f t="shared" ref="AN1:AU1" si="4">+AN61/24</f>
        <v>247.55000000000004</v>
      </c>
      <c r="AO1" s="6925">
        <f t="shared" si="4"/>
        <v>225.1035416666667</v>
      </c>
      <c r="AP1" s="6064">
        <f t="shared" si="4"/>
        <v>28.650000000000002</v>
      </c>
      <c r="AQ1" s="6925">
        <f t="shared" si="4"/>
        <v>28.515833333333333</v>
      </c>
      <c r="AR1" s="6064">
        <f t="shared" si="4"/>
        <v>276.20000000000005</v>
      </c>
      <c r="AS1" s="6925">
        <f t="shared" si="4"/>
        <v>253.61937500000002</v>
      </c>
      <c r="AT1" s="3380">
        <f t="shared" si="4"/>
        <v>28.650000000000002</v>
      </c>
      <c r="AU1" s="3380">
        <f t="shared" si="4"/>
        <v>25.893750000000001</v>
      </c>
      <c r="AV1" s="3380">
        <f t="shared" ref="AV1:AY1" si="5">+AV61/24</f>
        <v>304.85000000000008</v>
      </c>
      <c r="AW1" s="3380">
        <f t="shared" si="5"/>
        <v>279.513125</v>
      </c>
      <c r="AX1" s="3380">
        <f t="shared" si="5"/>
        <v>28.650000000000002</v>
      </c>
      <c r="AY1" s="3380">
        <f t="shared" si="5"/>
        <v>29.346666666666668</v>
      </c>
      <c r="AZ1" s="6064">
        <f>+AP1+AT1+AX1</f>
        <v>85.95</v>
      </c>
      <c r="BA1" s="6925">
        <f>+AQ1+AU1+AY1</f>
        <v>83.756249999999994</v>
      </c>
      <c r="BB1" s="6064">
        <f>+AR1+AV1+AZ1</f>
        <v>667.00000000000023</v>
      </c>
      <c r="BC1" s="6925">
        <f>+AS1+AW1+BA1</f>
        <v>616.88875000000007</v>
      </c>
      <c r="BD1" s="6064">
        <f t="shared" ref="BD1:BE1" si="6">+BD61/24</f>
        <v>333.50000000000006</v>
      </c>
      <c r="BE1" s="6925">
        <f t="shared" si="6"/>
        <v>308.85979166666669</v>
      </c>
    </row>
    <row r="2" spans="1:57" ht="16" thickBot="1" x14ac:dyDescent="0.25">
      <c r="B2" s="1537"/>
      <c r="C2" s="1537"/>
      <c r="D2" s="2842">
        <v>30</v>
      </c>
      <c r="E2" s="2318">
        <v>30</v>
      </c>
      <c r="F2" s="2842">
        <v>31</v>
      </c>
      <c r="G2" s="2318">
        <v>31</v>
      </c>
      <c r="H2" s="2842">
        <f>+D2+F2</f>
        <v>61</v>
      </c>
      <c r="I2" s="2318">
        <f>+E2+G2</f>
        <v>61</v>
      </c>
      <c r="J2" s="2842">
        <v>30</v>
      </c>
      <c r="K2" s="2318">
        <v>30</v>
      </c>
      <c r="L2" s="2842">
        <f>+H2+J2</f>
        <v>91</v>
      </c>
      <c r="M2" s="2318">
        <f>+I2+K2</f>
        <v>91</v>
      </c>
      <c r="N2" s="2842">
        <v>31</v>
      </c>
      <c r="O2" s="2318">
        <v>31</v>
      </c>
      <c r="P2" s="2842">
        <f>+L2+N2</f>
        <v>122</v>
      </c>
      <c r="Q2" s="2318">
        <f>+M2+O2</f>
        <v>122</v>
      </c>
      <c r="R2" s="2842">
        <v>31</v>
      </c>
      <c r="S2" s="2318">
        <v>31</v>
      </c>
      <c r="T2" s="2842">
        <f>+P2+R2</f>
        <v>153</v>
      </c>
      <c r="U2" s="2318">
        <f>+Q2+S2</f>
        <v>153</v>
      </c>
      <c r="V2" s="2842">
        <v>30</v>
      </c>
      <c r="W2" s="2318">
        <v>30</v>
      </c>
      <c r="X2" s="2842">
        <f>+N2+R2+V2</f>
        <v>92</v>
      </c>
      <c r="Y2" s="2318">
        <f>+O2+S2+W2</f>
        <v>92</v>
      </c>
      <c r="Z2" s="2842">
        <f>+T2+V2</f>
        <v>183</v>
      </c>
      <c r="AA2" s="2318">
        <f>+U2+W2</f>
        <v>183</v>
      </c>
      <c r="AB2" s="2842">
        <v>31</v>
      </c>
      <c r="AC2" s="2318">
        <v>31</v>
      </c>
      <c r="AD2" s="2842">
        <f>+Z2+AB2</f>
        <v>214</v>
      </c>
      <c r="AE2" s="2318">
        <f>+AA2+AC2</f>
        <v>214</v>
      </c>
      <c r="AF2" s="2842">
        <v>30</v>
      </c>
      <c r="AG2" s="2318">
        <v>30</v>
      </c>
      <c r="AH2" s="2842">
        <f>+AD2+AF2</f>
        <v>244</v>
      </c>
      <c r="AI2" s="2318">
        <f>+AE2+AG2</f>
        <v>244</v>
      </c>
      <c r="AJ2" s="2842">
        <v>31</v>
      </c>
      <c r="AK2" s="2318">
        <v>31</v>
      </c>
      <c r="AL2" s="2842">
        <f>+AB2+AF2+AJ2</f>
        <v>92</v>
      </c>
      <c r="AM2" s="2318">
        <f>+AC2+AG2+AK2</f>
        <v>92</v>
      </c>
      <c r="AN2" s="2842">
        <f>+AH2+AJ2</f>
        <v>275</v>
      </c>
      <c r="AO2" s="2318">
        <f>+AI2+AK2</f>
        <v>275</v>
      </c>
      <c r="AP2" s="2842">
        <v>31</v>
      </c>
      <c r="AQ2" s="2318">
        <v>31</v>
      </c>
      <c r="AR2" s="2842">
        <f>+AN2+AP2</f>
        <v>306</v>
      </c>
      <c r="AS2" s="2318">
        <f>+AO2+AQ2</f>
        <v>306</v>
      </c>
      <c r="AT2">
        <v>28</v>
      </c>
      <c r="AU2">
        <v>28</v>
      </c>
      <c r="AV2">
        <f>+AR2+AT2</f>
        <v>334</v>
      </c>
      <c r="AW2">
        <f>+AS2+AU2</f>
        <v>334</v>
      </c>
      <c r="AX2" s="8260">
        <v>31</v>
      </c>
      <c r="AY2" s="8260">
        <v>31</v>
      </c>
      <c r="AZ2" s="2842">
        <f>+AP2+AT2+AX2</f>
        <v>90</v>
      </c>
      <c r="BA2" s="2318">
        <f>+AQ2+AU2+AY2</f>
        <v>90</v>
      </c>
      <c r="BB2" s="2842">
        <f>+AZ2+AL2</f>
        <v>182</v>
      </c>
      <c r="BC2" s="2842">
        <f>+BA2+AM2</f>
        <v>182</v>
      </c>
      <c r="BD2" s="2842">
        <f>+AV2+AX2</f>
        <v>365</v>
      </c>
      <c r="BE2" s="2318">
        <f>+AW2+AY2</f>
        <v>365</v>
      </c>
    </row>
    <row r="3" spans="1:57" ht="16" thickBot="1" x14ac:dyDescent="0.25">
      <c r="B3" s="8640" t="s">
        <v>657</v>
      </c>
      <c r="C3" s="8839" t="s">
        <v>658</v>
      </c>
      <c r="D3" s="8644" t="s">
        <v>1859</v>
      </c>
      <c r="E3" s="8645"/>
      <c r="F3" s="8644" t="s">
        <v>1862</v>
      </c>
      <c r="G3" s="8644"/>
      <c r="H3" s="8646" t="s">
        <v>52</v>
      </c>
      <c r="I3" s="8647"/>
      <c r="J3" s="8703" t="s">
        <v>1863</v>
      </c>
      <c r="K3" s="8704"/>
      <c r="L3" s="8700" t="s">
        <v>605</v>
      </c>
      <c r="M3" s="8699"/>
      <c r="N3" s="8644" t="s">
        <v>1864</v>
      </c>
      <c r="O3" s="8644"/>
      <c r="P3" s="8646" t="s">
        <v>62</v>
      </c>
      <c r="Q3" s="8647"/>
      <c r="R3" s="8644" t="s">
        <v>2160</v>
      </c>
      <c r="S3" s="8644"/>
      <c r="T3" s="8646" t="s">
        <v>64</v>
      </c>
      <c r="U3" s="8647"/>
      <c r="V3" s="8644" t="s">
        <v>2227</v>
      </c>
      <c r="W3" s="8644"/>
      <c r="X3" s="8698" t="s">
        <v>1717</v>
      </c>
      <c r="Y3" s="8699"/>
      <c r="Z3" s="8701" t="s">
        <v>1697</v>
      </c>
      <c r="AA3" s="8702"/>
      <c r="AB3" s="8579" t="s">
        <v>2265</v>
      </c>
      <c r="AC3" s="8579"/>
      <c r="AD3" s="8605" t="s">
        <v>101</v>
      </c>
      <c r="AE3" s="8606"/>
      <c r="AF3" s="8644" t="s">
        <v>2423</v>
      </c>
      <c r="AG3" s="8644"/>
      <c r="AH3" s="8646" t="s">
        <v>105</v>
      </c>
      <c r="AI3" s="8647"/>
      <c r="AJ3" s="8644" t="s">
        <v>2449</v>
      </c>
      <c r="AK3" s="8644"/>
      <c r="AL3" s="8698" t="s">
        <v>1756</v>
      </c>
      <c r="AM3" s="8699"/>
      <c r="AN3" s="8646" t="s">
        <v>2448</v>
      </c>
      <c r="AO3" s="8647"/>
      <c r="AP3" s="8644" t="s">
        <v>2533</v>
      </c>
      <c r="AQ3" s="8644"/>
      <c r="AR3" s="8646" t="s">
        <v>110</v>
      </c>
      <c r="AS3" s="8647"/>
      <c r="AT3" s="8644" t="s">
        <v>2577</v>
      </c>
      <c r="AU3" s="8644"/>
      <c r="AV3" s="8646" t="s">
        <v>113</v>
      </c>
      <c r="AW3" s="8647"/>
      <c r="AX3" s="8644" t="s">
        <v>2600</v>
      </c>
      <c r="AY3" s="8644"/>
      <c r="AZ3" s="8698" t="s">
        <v>1757</v>
      </c>
      <c r="BA3" s="8699"/>
      <c r="BB3" s="8698" t="s">
        <v>1842</v>
      </c>
      <c r="BC3" s="8699"/>
      <c r="BD3" s="8701" t="s">
        <v>1865</v>
      </c>
      <c r="BE3" s="8702"/>
    </row>
    <row r="4" spans="1:57" ht="16" thickBot="1" x14ac:dyDescent="0.25">
      <c r="B4" s="8641"/>
      <c r="C4" s="8840"/>
      <c r="D4" s="3910" t="s">
        <v>659</v>
      </c>
      <c r="E4" s="3833" t="s">
        <v>660</v>
      </c>
      <c r="F4" s="6853" t="s">
        <v>659</v>
      </c>
      <c r="G4" s="3856" t="s">
        <v>660</v>
      </c>
      <c r="H4" s="6854" t="s">
        <v>659</v>
      </c>
      <c r="I4" s="3866" t="s">
        <v>660</v>
      </c>
      <c r="J4" s="6853" t="s">
        <v>659</v>
      </c>
      <c r="K4" s="3856" t="s">
        <v>660</v>
      </c>
      <c r="L4" s="6856" t="s">
        <v>659</v>
      </c>
      <c r="M4" s="3888" t="s">
        <v>660</v>
      </c>
      <c r="N4" s="6853" t="s">
        <v>659</v>
      </c>
      <c r="O4" s="3856" t="s">
        <v>660</v>
      </c>
      <c r="P4" s="6854" t="s">
        <v>659</v>
      </c>
      <c r="Q4" s="3866" t="s">
        <v>660</v>
      </c>
      <c r="R4" s="6853" t="s">
        <v>659</v>
      </c>
      <c r="S4" s="3856" t="s">
        <v>660</v>
      </c>
      <c r="T4" s="6854" t="s">
        <v>659</v>
      </c>
      <c r="U4" s="3866" t="s">
        <v>660</v>
      </c>
      <c r="V4" s="6853" t="s">
        <v>659</v>
      </c>
      <c r="W4" s="3856" t="s">
        <v>660</v>
      </c>
      <c r="X4" s="6856" t="s">
        <v>659</v>
      </c>
      <c r="Y4" s="3888" t="s">
        <v>660</v>
      </c>
      <c r="Z4" s="6855" t="s">
        <v>659</v>
      </c>
      <c r="AA4" s="6624" t="s">
        <v>660</v>
      </c>
      <c r="AB4" s="7330" t="s">
        <v>659</v>
      </c>
      <c r="AC4" s="3856" t="s">
        <v>660</v>
      </c>
      <c r="AD4" s="7331" t="s">
        <v>659</v>
      </c>
      <c r="AE4" s="3866" t="s">
        <v>660</v>
      </c>
      <c r="AF4" s="7591" t="s">
        <v>659</v>
      </c>
      <c r="AG4" s="3856" t="s">
        <v>660</v>
      </c>
      <c r="AH4" s="7592" t="s">
        <v>659</v>
      </c>
      <c r="AI4" s="3866" t="s">
        <v>660</v>
      </c>
      <c r="AJ4" s="7704" t="s">
        <v>659</v>
      </c>
      <c r="AK4" s="3856" t="s">
        <v>660</v>
      </c>
      <c r="AL4" s="7706" t="s">
        <v>659</v>
      </c>
      <c r="AM4" s="3888" t="s">
        <v>660</v>
      </c>
      <c r="AN4" s="7705" t="s">
        <v>659</v>
      </c>
      <c r="AO4" s="3866" t="s">
        <v>660</v>
      </c>
      <c r="AP4" s="8024" t="s">
        <v>659</v>
      </c>
      <c r="AQ4" s="3856" t="s">
        <v>660</v>
      </c>
      <c r="AR4" s="8025" t="s">
        <v>659</v>
      </c>
      <c r="AS4" s="3866" t="s">
        <v>660</v>
      </c>
      <c r="AT4" s="8155" t="s">
        <v>659</v>
      </c>
      <c r="AU4" s="3856" t="s">
        <v>660</v>
      </c>
      <c r="AV4" s="8156" t="s">
        <v>659</v>
      </c>
      <c r="AW4" s="3866" t="s">
        <v>660</v>
      </c>
      <c r="AX4" s="8274" t="s">
        <v>659</v>
      </c>
      <c r="AY4" s="3856" t="s">
        <v>660</v>
      </c>
      <c r="AZ4" s="8286" t="s">
        <v>659</v>
      </c>
      <c r="BA4" s="3888" t="s">
        <v>660</v>
      </c>
      <c r="BB4" s="8286" t="s">
        <v>659</v>
      </c>
      <c r="BC4" s="3888" t="s">
        <v>660</v>
      </c>
      <c r="BD4" s="8285" t="s">
        <v>659</v>
      </c>
      <c r="BE4" s="6624" t="s">
        <v>660</v>
      </c>
    </row>
    <row r="5" spans="1:57" s="3380" customFormat="1" ht="18" x14ac:dyDescent="0.2">
      <c r="B5" s="5052" t="s">
        <v>2535</v>
      </c>
      <c r="C5" s="3290"/>
      <c r="D5" s="3435"/>
      <c r="E5" s="6766"/>
      <c r="F5" s="3435"/>
      <c r="G5" s="5756"/>
      <c r="H5" s="3435"/>
      <c r="I5" s="5756"/>
      <c r="J5" s="3435"/>
      <c r="K5" s="5756"/>
      <c r="L5" s="3435"/>
      <c r="M5" s="5756"/>
      <c r="N5" s="3435"/>
      <c r="O5" s="5756"/>
      <c r="P5" s="3435"/>
      <c r="Q5" s="5756"/>
      <c r="R5" s="3435"/>
      <c r="S5" s="5756"/>
      <c r="T5" s="3435"/>
      <c r="U5" s="5756"/>
      <c r="V5" s="3435"/>
      <c r="W5" s="5756"/>
      <c r="X5" s="3435"/>
      <c r="Y5" s="5756"/>
      <c r="Z5" s="3435"/>
      <c r="AA5" s="5756"/>
      <c r="AB5" s="3435"/>
      <c r="AC5" s="5756"/>
      <c r="AD5" s="3435"/>
      <c r="AE5" s="5756"/>
      <c r="AF5" s="3435"/>
      <c r="AG5" s="5756"/>
      <c r="AH5" s="3435"/>
      <c r="AI5" s="5756"/>
      <c r="AJ5" s="3435"/>
      <c r="AK5" s="5756"/>
      <c r="AL5" s="3435"/>
      <c r="AM5" s="5756"/>
      <c r="AN5" s="3435"/>
      <c r="AO5" s="5756"/>
      <c r="AP5" s="3435"/>
      <c r="AQ5" s="5756"/>
      <c r="AR5" s="3435"/>
      <c r="AS5" s="5756"/>
      <c r="AT5" s="3435"/>
      <c r="AU5" s="5756"/>
      <c r="AV5" s="3435"/>
      <c r="AW5" s="5756"/>
      <c r="AX5" s="3435"/>
      <c r="AY5" s="5756"/>
      <c r="AZ5" s="3435"/>
      <c r="BA5" s="5756"/>
      <c r="BB5" s="3435"/>
      <c r="BC5" s="5756"/>
      <c r="BD5" s="3435"/>
      <c r="BE5" s="5756"/>
    </row>
    <row r="6" spans="1:57" x14ac:dyDescent="0.2">
      <c r="B6" s="1533" t="s">
        <v>148</v>
      </c>
      <c r="C6" s="1544" t="s">
        <v>170</v>
      </c>
      <c r="D6" s="2677">
        <v>198460</v>
      </c>
      <c r="E6" s="2750">
        <v>198460</v>
      </c>
      <c r="F6" s="6869">
        <v>202500</v>
      </c>
      <c r="G6" s="1646">
        <v>202500</v>
      </c>
      <c r="H6" s="4809">
        <f>+D6+F6</f>
        <v>400960</v>
      </c>
      <c r="I6" s="3867">
        <f>+E6+G6</f>
        <v>400960</v>
      </c>
      <c r="J6" s="6869">
        <v>225185.84</v>
      </c>
      <c r="K6" s="1646">
        <v>220500</v>
      </c>
      <c r="L6" s="4792">
        <f>+H6+J6</f>
        <v>626145.84</v>
      </c>
      <c r="M6" s="3889">
        <f>+I6+K6</f>
        <v>621460</v>
      </c>
      <c r="N6" s="6869">
        <v>299886.37872741005</v>
      </c>
      <c r="O6" s="3918">
        <v>257300</v>
      </c>
      <c r="P6" s="4809">
        <f>+L6+N6</f>
        <v>926032.21872741007</v>
      </c>
      <c r="Q6" s="3867">
        <f>+M6+O6</f>
        <v>878760</v>
      </c>
      <c r="R6" s="6869">
        <v>298138.58124540001</v>
      </c>
      <c r="S6" s="3918">
        <v>248391</v>
      </c>
      <c r="T6" s="4809">
        <f>+P6+R6</f>
        <v>1224170.7999728101</v>
      </c>
      <c r="U6" s="3867">
        <f>+Q6+S6</f>
        <v>1127151</v>
      </c>
      <c r="V6" s="6869">
        <v>294214.95424404048</v>
      </c>
      <c r="W6" s="3918">
        <v>185174</v>
      </c>
      <c r="X6" s="4792">
        <f>+N6+R6+V6</f>
        <v>892239.91421685042</v>
      </c>
      <c r="Y6" s="3889">
        <f>+O6+S6+W6</f>
        <v>690865</v>
      </c>
      <c r="Z6" s="6519">
        <f>+T6+V6</f>
        <v>1518385.7542168505</v>
      </c>
      <c r="AA6" s="6724">
        <f>+U6+W6</f>
        <v>1312325</v>
      </c>
      <c r="AB6" s="7345">
        <v>155875</v>
      </c>
      <c r="AC6" s="3918">
        <v>251216</v>
      </c>
      <c r="AD6" s="4809">
        <f>+Z6+AB6</f>
        <v>1674260.7542168505</v>
      </c>
      <c r="AE6" s="3867">
        <f>+AA6+AC6</f>
        <v>1563541</v>
      </c>
      <c r="AF6" s="7593">
        <v>289304</v>
      </c>
      <c r="AG6" s="3918">
        <v>265338</v>
      </c>
      <c r="AH6" s="4809">
        <f>+AD6+AF6</f>
        <v>1963564.7542168505</v>
      </c>
      <c r="AI6" s="3867">
        <f>+AE6+AG6</f>
        <v>1828879</v>
      </c>
      <c r="AJ6" s="7734">
        <v>304268</v>
      </c>
      <c r="AK6" s="3918">
        <v>299500</v>
      </c>
      <c r="AL6" s="4792">
        <f>+AB6+AF6+AJ6</f>
        <v>749447</v>
      </c>
      <c r="AM6" s="3889">
        <f>+AC6+AG6+AK6</f>
        <v>816054</v>
      </c>
      <c r="AN6" s="4809">
        <f>+AH6+AJ6</f>
        <v>2267832.7542168507</v>
      </c>
      <c r="AO6" s="3867">
        <f>+AI6+AK6</f>
        <v>2128379</v>
      </c>
      <c r="AP6" s="8049">
        <v>299280</v>
      </c>
      <c r="AQ6" s="3918">
        <v>318500</v>
      </c>
      <c r="AR6" s="4809">
        <f>+AN6+AP6</f>
        <v>2567112.7542168507</v>
      </c>
      <c r="AS6" s="3867">
        <f>+AO6+AQ6</f>
        <v>2446879</v>
      </c>
      <c r="AT6" s="8237">
        <v>274340</v>
      </c>
      <c r="AU6" s="3918">
        <v>292852</v>
      </c>
      <c r="AV6" s="4809">
        <f>+AR6+AT6</f>
        <v>2841452.7542168507</v>
      </c>
      <c r="AW6" s="3867">
        <f>+AS6+AU6</f>
        <v>2739731</v>
      </c>
      <c r="AX6" s="8351">
        <v>304268</v>
      </c>
      <c r="AY6" s="3918">
        <v>338398</v>
      </c>
      <c r="AZ6" s="4792">
        <f>+AP6+AT6+AX6</f>
        <v>877888</v>
      </c>
      <c r="BA6" s="3889">
        <f>+AQ6+AU6+AY6</f>
        <v>949750</v>
      </c>
      <c r="BB6" s="4792">
        <f t="shared" ref="BB6:BB15" si="7">+AZ6+AL6</f>
        <v>1627335</v>
      </c>
      <c r="BC6" s="3889">
        <f>+BA6+AM6</f>
        <v>1765804</v>
      </c>
      <c r="BD6" s="6519">
        <f>+AV6+AX6</f>
        <v>3145720.7542168507</v>
      </c>
      <c r="BE6" s="6724">
        <f>+AW6+AY6</f>
        <v>3078129</v>
      </c>
    </row>
    <row r="7" spans="1:57" x14ac:dyDescent="0.2">
      <c r="B7" s="1533" t="s">
        <v>149</v>
      </c>
      <c r="C7" s="1544" t="s">
        <v>170</v>
      </c>
      <c r="D7" s="2677">
        <v>10012.000000000002</v>
      </c>
      <c r="E7" s="2750">
        <v>10012</v>
      </c>
      <c r="F7" s="6869">
        <v>11571</v>
      </c>
      <c r="G7" s="1646">
        <v>11571</v>
      </c>
      <c r="H7" s="4809">
        <f t="shared" ref="H7:H15" si="8">+D7+F7</f>
        <v>21583</v>
      </c>
      <c r="I7" s="3867">
        <f t="shared" ref="I7:I15" si="9">+E7+G7</f>
        <v>21583</v>
      </c>
      <c r="J7" s="6869">
        <v>10473.76</v>
      </c>
      <c r="K7" s="1646">
        <v>9100</v>
      </c>
      <c r="L7" s="4792">
        <f t="shared" ref="L7:L15" si="10">+H7+J7</f>
        <v>32056.760000000002</v>
      </c>
      <c r="M7" s="3889">
        <f t="shared" ref="M7:M15" si="11">+I7+K7</f>
        <v>30683</v>
      </c>
      <c r="N7" s="6869">
        <v>13948.203661740001</v>
      </c>
      <c r="O7" s="3918">
        <v>16033</v>
      </c>
      <c r="P7" s="4809">
        <f t="shared" ref="P7:P15" si="12">+L7+N7</f>
        <v>46004.963661740003</v>
      </c>
      <c r="Q7" s="3867">
        <f t="shared" ref="Q7:Q15" si="13">+M7+O7</f>
        <v>46716</v>
      </c>
      <c r="R7" s="6869">
        <v>13866.9107556</v>
      </c>
      <c r="S7" s="3918">
        <v>17213</v>
      </c>
      <c r="T7" s="4809">
        <f t="shared" ref="T7:T15" si="14">+P7+R7</f>
        <v>59871.874417340005</v>
      </c>
      <c r="U7" s="3867">
        <f t="shared" ref="U7:U15" si="15">+Q7+S7</f>
        <v>63929</v>
      </c>
      <c r="V7" s="6869">
        <v>13684.416476467</v>
      </c>
      <c r="W7" s="3918">
        <v>10253</v>
      </c>
      <c r="X7" s="4792">
        <f t="shared" ref="X7:X15" si="16">+N7+R7+V7</f>
        <v>41499.530893807001</v>
      </c>
      <c r="Y7" s="3889">
        <f t="shared" ref="Y7:Y15" si="17">+O7+S7+W7</f>
        <v>43499</v>
      </c>
      <c r="Z7" s="6519">
        <f t="shared" ref="Z7:Z15" si="18">+T7+V7</f>
        <v>73556.290893807003</v>
      </c>
      <c r="AA7" s="6724">
        <f t="shared" ref="AA7:AA15" si="19">+U7+W7</f>
        <v>74182</v>
      </c>
      <c r="AB7" s="7345">
        <v>7250</v>
      </c>
      <c r="AC7" s="3918">
        <v>15395</v>
      </c>
      <c r="AD7" s="4809">
        <f t="shared" ref="AD7:AD15" si="20">+Z7+AB7</f>
        <v>80806.290893807003</v>
      </c>
      <c r="AE7" s="3867">
        <f t="shared" ref="AE7:AE15" si="21">+AA7+AC7</f>
        <v>89577</v>
      </c>
      <c r="AF7" s="7593">
        <v>13456</v>
      </c>
      <c r="AG7" s="3918">
        <v>15343</v>
      </c>
      <c r="AH7" s="4809">
        <f t="shared" ref="AH7:AH15" si="22">+AD7+AF7</f>
        <v>94262.290893807003</v>
      </c>
      <c r="AI7" s="3867">
        <f t="shared" ref="AI7:AI15" si="23">+AE7+AG7</f>
        <v>104920</v>
      </c>
      <c r="AJ7" s="7734">
        <v>14152</v>
      </c>
      <c r="AK7" s="3918">
        <v>20500</v>
      </c>
      <c r="AL7" s="4792">
        <f t="shared" ref="AL7:AL15" si="24">+AB7+AF7+AJ7</f>
        <v>34858</v>
      </c>
      <c r="AM7" s="3889">
        <f t="shared" ref="AM7:AM15" si="25">+AC7+AG7+AK7</f>
        <v>51238</v>
      </c>
      <c r="AN7" s="4809">
        <f t="shared" ref="AN7:AN15" si="26">+AH7+AJ7</f>
        <v>108414.290893807</v>
      </c>
      <c r="AO7" s="3867">
        <f t="shared" ref="AO7:AO15" si="27">+AI7+AK7</f>
        <v>125420</v>
      </c>
      <c r="AP7" s="8049">
        <v>13920</v>
      </c>
      <c r="AQ7" s="3918">
        <v>20577</v>
      </c>
      <c r="AR7" s="4809">
        <f t="shared" ref="AR7:AR15" si="28">+AN7+AP7</f>
        <v>122334.290893807</v>
      </c>
      <c r="AS7" s="3867">
        <f t="shared" ref="AS7:AS15" si="29">+AO7+AQ7</f>
        <v>145997</v>
      </c>
      <c r="AT7" s="8237">
        <v>12760</v>
      </c>
      <c r="AU7" s="3918">
        <v>22229</v>
      </c>
      <c r="AV7" s="4809">
        <f t="shared" ref="AV7:AV15" si="30">+AR7+AT7</f>
        <v>135094.29089380702</v>
      </c>
      <c r="AW7" s="3867">
        <f t="shared" ref="AW7:AW15" si="31">+AS7+AU7</f>
        <v>168226</v>
      </c>
      <c r="AX7" s="8351">
        <v>14152</v>
      </c>
      <c r="AY7" s="3918">
        <v>26387</v>
      </c>
      <c r="AZ7" s="4792">
        <f t="shared" ref="AZ7:AZ15" si="32">+AP7+AT7+AX7</f>
        <v>40832</v>
      </c>
      <c r="BA7" s="3889">
        <f t="shared" ref="BA7:BA15" si="33">+AQ7+AU7+AY7</f>
        <v>69193</v>
      </c>
      <c r="BB7" s="4792">
        <f t="shared" si="7"/>
        <v>75690</v>
      </c>
      <c r="BC7" s="3889">
        <f t="shared" ref="BC7:BC15" si="34">+BA7+AM7</f>
        <v>120431</v>
      </c>
      <c r="BD7" s="6519">
        <f t="shared" ref="BD7:BD15" si="35">+AV7+AX7</f>
        <v>149246.29089380702</v>
      </c>
      <c r="BE7" s="6724">
        <f t="shared" ref="BE7:BE15" si="36">+AW7+AY7</f>
        <v>194613</v>
      </c>
    </row>
    <row r="8" spans="1:57" x14ac:dyDescent="0.2">
      <c r="B8" s="1533" t="s">
        <v>150</v>
      </c>
      <c r="C8" s="1544" t="s">
        <v>170</v>
      </c>
      <c r="D8" s="2677">
        <v>21334</v>
      </c>
      <c r="E8" s="2750">
        <v>21334</v>
      </c>
      <c r="F8" s="6869">
        <v>21772</v>
      </c>
      <c r="G8" s="1646">
        <v>21772</v>
      </c>
      <c r="H8" s="4809">
        <f t="shared" si="8"/>
        <v>43106</v>
      </c>
      <c r="I8" s="3867">
        <f t="shared" si="9"/>
        <v>43106</v>
      </c>
      <c r="J8" s="6869">
        <v>26550.981600000003</v>
      </c>
      <c r="K8" s="1646">
        <v>23000</v>
      </c>
      <c r="L8" s="4792">
        <f t="shared" si="10"/>
        <v>69656.981599999999</v>
      </c>
      <c r="M8" s="3889">
        <f t="shared" si="11"/>
        <v>66106</v>
      </c>
      <c r="N8" s="6869">
        <v>35358.696282510908</v>
      </c>
      <c r="O8" s="3918">
        <v>24592</v>
      </c>
      <c r="P8" s="4809">
        <f t="shared" si="12"/>
        <v>105015.67788251091</v>
      </c>
      <c r="Q8" s="3867">
        <f t="shared" si="13"/>
        <v>90698</v>
      </c>
      <c r="R8" s="6869">
        <v>35152.618765446001</v>
      </c>
      <c r="S8" s="3918">
        <v>25734</v>
      </c>
      <c r="T8" s="4809">
        <f t="shared" si="14"/>
        <v>140168.29664795691</v>
      </c>
      <c r="U8" s="3867">
        <f t="shared" si="15"/>
        <v>116432</v>
      </c>
      <c r="V8" s="6869">
        <v>34689.995767843851</v>
      </c>
      <c r="W8" s="3918">
        <v>19979</v>
      </c>
      <c r="X8" s="4792">
        <f t="shared" si="16"/>
        <v>105201.31081580077</v>
      </c>
      <c r="Y8" s="3889">
        <f t="shared" si="17"/>
        <v>70305</v>
      </c>
      <c r="Z8" s="6519">
        <f t="shared" si="18"/>
        <v>174858.29241580077</v>
      </c>
      <c r="AA8" s="6724">
        <f t="shared" si="19"/>
        <v>136411</v>
      </c>
      <c r="AB8" s="7345">
        <v>18378.75</v>
      </c>
      <c r="AC8" s="3918">
        <v>30053</v>
      </c>
      <c r="AD8" s="4809">
        <f t="shared" si="20"/>
        <v>193237.04241580077</v>
      </c>
      <c r="AE8" s="3867">
        <f t="shared" si="21"/>
        <v>166464</v>
      </c>
      <c r="AF8" s="7593">
        <v>34110.959999999999</v>
      </c>
      <c r="AG8" s="3918">
        <v>30839</v>
      </c>
      <c r="AH8" s="4809">
        <f t="shared" si="22"/>
        <v>227348.00241580076</v>
      </c>
      <c r="AI8" s="3867">
        <f t="shared" si="23"/>
        <v>197303</v>
      </c>
      <c r="AJ8" s="7734">
        <v>35875.32</v>
      </c>
      <c r="AK8" s="3918">
        <v>33500</v>
      </c>
      <c r="AL8" s="4792">
        <f t="shared" si="24"/>
        <v>88365.03</v>
      </c>
      <c r="AM8" s="3889">
        <f t="shared" si="25"/>
        <v>94392</v>
      </c>
      <c r="AN8" s="4809">
        <f t="shared" si="26"/>
        <v>263223.32241580077</v>
      </c>
      <c r="AO8" s="3867">
        <f t="shared" si="27"/>
        <v>230803</v>
      </c>
      <c r="AP8" s="8049">
        <v>35287.199999999997</v>
      </c>
      <c r="AQ8" s="3918">
        <v>32633</v>
      </c>
      <c r="AR8" s="4809">
        <f t="shared" si="28"/>
        <v>298510.52241580078</v>
      </c>
      <c r="AS8" s="3867">
        <f t="shared" si="29"/>
        <v>263436</v>
      </c>
      <c r="AT8" s="8237">
        <v>32347</v>
      </c>
      <c r="AU8" s="3918">
        <v>27428</v>
      </c>
      <c r="AV8" s="4809">
        <f t="shared" si="30"/>
        <v>330857.52241580078</v>
      </c>
      <c r="AW8" s="3867">
        <f t="shared" si="31"/>
        <v>290864</v>
      </c>
      <c r="AX8" s="8351">
        <v>35875</v>
      </c>
      <c r="AY8" s="3918">
        <v>36025</v>
      </c>
      <c r="AZ8" s="4792">
        <f t="shared" si="32"/>
        <v>103509.2</v>
      </c>
      <c r="BA8" s="3889">
        <f t="shared" si="33"/>
        <v>96086</v>
      </c>
      <c r="BB8" s="4792">
        <f t="shared" si="7"/>
        <v>191874.22999999998</v>
      </c>
      <c r="BC8" s="3889">
        <f t="shared" si="34"/>
        <v>190478</v>
      </c>
      <c r="BD8" s="6519">
        <f t="shared" si="35"/>
        <v>366732.52241580078</v>
      </c>
      <c r="BE8" s="6724">
        <f t="shared" si="36"/>
        <v>326889</v>
      </c>
    </row>
    <row r="9" spans="1:57" x14ac:dyDescent="0.2">
      <c r="A9">
        <v>10946</v>
      </c>
      <c r="B9" s="1533" t="s">
        <v>151</v>
      </c>
      <c r="C9" s="1544" t="s">
        <v>170</v>
      </c>
      <c r="D9" s="2677">
        <v>13793</v>
      </c>
      <c r="E9" s="2750">
        <v>13793</v>
      </c>
      <c r="F9" s="6869">
        <v>13582</v>
      </c>
      <c r="G9" s="1646">
        <v>13582</v>
      </c>
      <c r="H9" s="4809">
        <f t="shared" si="8"/>
        <v>27375</v>
      </c>
      <c r="I9" s="3867">
        <f t="shared" si="9"/>
        <v>27375</v>
      </c>
      <c r="J9" s="6869">
        <v>10473.76</v>
      </c>
      <c r="K9" s="1646">
        <v>12853</v>
      </c>
      <c r="L9" s="4792">
        <f t="shared" si="10"/>
        <v>37848.76</v>
      </c>
      <c r="M9" s="3889">
        <f t="shared" si="11"/>
        <v>40228</v>
      </c>
      <c r="N9" s="6869">
        <v>13948.203661740001</v>
      </c>
      <c r="O9" s="3918">
        <v>13222</v>
      </c>
      <c r="P9" s="4809">
        <f t="shared" si="12"/>
        <v>51796.963661740003</v>
      </c>
      <c r="Q9" s="3867">
        <f t="shared" si="13"/>
        <v>53450</v>
      </c>
      <c r="R9" s="6869">
        <v>13866.9107556</v>
      </c>
      <c r="S9" s="3918">
        <v>13950</v>
      </c>
      <c r="T9" s="4809">
        <f t="shared" si="14"/>
        <v>65663.874417340005</v>
      </c>
      <c r="U9" s="3867">
        <f t="shared" si="15"/>
        <v>67400</v>
      </c>
      <c r="V9" s="6869">
        <v>13684.416476467</v>
      </c>
      <c r="W9" s="3918">
        <v>12446</v>
      </c>
      <c r="X9" s="4792">
        <f t="shared" si="16"/>
        <v>41499.530893807001</v>
      </c>
      <c r="Y9" s="3889">
        <f t="shared" si="17"/>
        <v>39618</v>
      </c>
      <c r="Z9" s="6519">
        <f t="shared" si="18"/>
        <v>79348.290893807003</v>
      </c>
      <c r="AA9" s="6724">
        <f t="shared" si="19"/>
        <v>79846</v>
      </c>
      <c r="AB9" s="7345">
        <v>7250</v>
      </c>
      <c r="AC9" s="3918">
        <v>18892</v>
      </c>
      <c r="AD9" s="4809">
        <f t="shared" si="20"/>
        <v>86598.290893807003</v>
      </c>
      <c r="AE9" s="3867">
        <f t="shared" si="21"/>
        <v>98738</v>
      </c>
      <c r="AF9" s="7593">
        <v>13456</v>
      </c>
      <c r="AG9" s="3918">
        <v>17620</v>
      </c>
      <c r="AH9" s="4809">
        <f t="shared" si="22"/>
        <v>100054.290893807</v>
      </c>
      <c r="AI9" s="3867">
        <f t="shared" si="23"/>
        <v>116358</v>
      </c>
      <c r="AJ9" s="7734">
        <v>14152</v>
      </c>
      <c r="AK9" s="3918">
        <v>20500</v>
      </c>
      <c r="AL9" s="4792">
        <f t="shared" si="24"/>
        <v>34858</v>
      </c>
      <c r="AM9" s="3889">
        <f t="shared" si="25"/>
        <v>57012</v>
      </c>
      <c r="AN9" s="4809">
        <f t="shared" si="26"/>
        <v>114206.290893807</v>
      </c>
      <c r="AO9" s="3867">
        <f t="shared" si="27"/>
        <v>136858</v>
      </c>
      <c r="AP9" s="8049">
        <v>13920</v>
      </c>
      <c r="AQ9" s="3918">
        <v>21858</v>
      </c>
      <c r="AR9" s="4809">
        <f t="shared" si="28"/>
        <v>128126.290893807</v>
      </c>
      <c r="AS9" s="3867">
        <f t="shared" si="29"/>
        <v>158716</v>
      </c>
      <c r="AT9" s="8237">
        <v>12760</v>
      </c>
      <c r="AU9" s="3918">
        <v>19602</v>
      </c>
      <c r="AV9" s="4809">
        <f t="shared" si="30"/>
        <v>140886.29089380702</v>
      </c>
      <c r="AW9" s="3867">
        <f t="shared" si="31"/>
        <v>178318</v>
      </c>
      <c r="AX9" s="8351">
        <v>14152</v>
      </c>
      <c r="AY9" s="3918">
        <v>22668</v>
      </c>
      <c r="AZ9" s="4792">
        <f t="shared" si="32"/>
        <v>40832</v>
      </c>
      <c r="BA9" s="3889">
        <f t="shared" si="33"/>
        <v>64128</v>
      </c>
      <c r="BB9" s="4792">
        <f t="shared" si="7"/>
        <v>75690</v>
      </c>
      <c r="BC9" s="3889">
        <f t="shared" si="34"/>
        <v>121140</v>
      </c>
      <c r="BD9" s="6519">
        <f t="shared" si="35"/>
        <v>155038.29089380702</v>
      </c>
      <c r="BE9" s="6724">
        <f t="shared" si="36"/>
        <v>200986</v>
      </c>
    </row>
    <row r="10" spans="1:57" ht="15" hidden="1" customHeight="1" x14ac:dyDescent="0.2">
      <c r="B10" s="1533" t="s">
        <v>1391</v>
      </c>
      <c r="C10" s="1544" t="s">
        <v>170</v>
      </c>
      <c r="D10" s="2677">
        <v>0</v>
      </c>
      <c r="E10" s="3835">
        <v>0</v>
      </c>
      <c r="F10" s="6869">
        <v>0</v>
      </c>
      <c r="G10" s="1646">
        <v>0</v>
      </c>
      <c r="H10" s="4809">
        <f t="shared" si="8"/>
        <v>0</v>
      </c>
      <c r="I10" s="3867">
        <f t="shared" si="9"/>
        <v>0</v>
      </c>
      <c r="J10" s="6869">
        <v>0</v>
      </c>
      <c r="K10" s="1646">
        <v>0</v>
      </c>
      <c r="L10" s="4792">
        <f t="shared" si="10"/>
        <v>0</v>
      </c>
      <c r="M10" s="3889">
        <f t="shared" si="11"/>
        <v>0</v>
      </c>
      <c r="N10" s="6869">
        <v>0</v>
      </c>
      <c r="O10" s="3918"/>
      <c r="P10" s="4809">
        <f t="shared" si="12"/>
        <v>0</v>
      </c>
      <c r="Q10" s="3867">
        <f t="shared" si="13"/>
        <v>0</v>
      </c>
      <c r="R10" s="6869"/>
      <c r="S10" s="3918"/>
      <c r="T10" s="4809">
        <f t="shared" si="14"/>
        <v>0</v>
      </c>
      <c r="U10" s="3867">
        <f t="shared" si="15"/>
        <v>0</v>
      </c>
      <c r="V10" s="6869"/>
      <c r="W10" s="3918"/>
      <c r="X10" s="4792">
        <f t="shared" si="16"/>
        <v>0</v>
      </c>
      <c r="Y10" s="3889">
        <f t="shared" si="17"/>
        <v>0</v>
      </c>
      <c r="Z10" s="6519">
        <f t="shared" si="18"/>
        <v>0</v>
      </c>
      <c r="AA10" s="6724">
        <f t="shared" si="19"/>
        <v>0</v>
      </c>
      <c r="AB10" s="7345"/>
      <c r="AC10" s="3918"/>
      <c r="AD10" s="4809">
        <f t="shared" si="20"/>
        <v>0</v>
      </c>
      <c r="AE10" s="3867">
        <f t="shared" si="21"/>
        <v>0</v>
      </c>
      <c r="AF10" s="7593"/>
      <c r="AG10" s="3918"/>
      <c r="AH10" s="4809">
        <f t="shared" si="22"/>
        <v>0</v>
      </c>
      <c r="AI10" s="3867">
        <f t="shared" si="23"/>
        <v>0</v>
      </c>
      <c r="AJ10" s="7734"/>
      <c r="AK10" s="3918"/>
      <c r="AL10" s="4792">
        <f t="shared" si="24"/>
        <v>0</v>
      </c>
      <c r="AM10" s="3889">
        <f t="shared" si="25"/>
        <v>0</v>
      </c>
      <c r="AN10" s="4809">
        <f t="shared" si="26"/>
        <v>0</v>
      </c>
      <c r="AO10" s="3867">
        <f t="shared" si="27"/>
        <v>0</v>
      </c>
      <c r="AP10" s="8049"/>
      <c r="AQ10" s="3918"/>
      <c r="AR10" s="4809">
        <f t="shared" si="28"/>
        <v>0</v>
      </c>
      <c r="AS10" s="3867">
        <f t="shared" si="29"/>
        <v>0</v>
      </c>
      <c r="AT10" s="8170"/>
      <c r="AU10" s="3918"/>
      <c r="AV10" s="4809">
        <f t="shared" si="30"/>
        <v>0</v>
      </c>
      <c r="AW10" s="3867">
        <f t="shared" si="31"/>
        <v>0</v>
      </c>
      <c r="AX10" s="8321"/>
      <c r="AY10" s="3918"/>
      <c r="AZ10" s="4792">
        <f t="shared" si="32"/>
        <v>0</v>
      </c>
      <c r="BA10" s="3889">
        <f t="shared" si="33"/>
        <v>0</v>
      </c>
      <c r="BB10" s="4792">
        <f t="shared" si="7"/>
        <v>0</v>
      </c>
      <c r="BC10" s="3889">
        <f t="shared" si="34"/>
        <v>0</v>
      </c>
      <c r="BD10" s="6519">
        <f t="shared" si="35"/>
        <v>0</v>
      </c>
      <c r="BE10" s="6724">
        <f t="shared" si="36"/>
        <v>0</v>
      </c>
    </row>
    <row r="11" spans="1:57" x14ac:dyDescent="0.2">
      <c r="B11" s="1533" t="s">
        <v>1233</v>
      </c>
      <c r="C11" s="1544" t="s">
        <v>170</v>
      </c>
      <c r="D11" s="2677">
        <v>4785</v>
      </c>
      <c r="E11" s="3835">
        <v>4785</v>
      </c>
      <c r="F11" s="6869">
        <v>4399</v>
      </c>
      <c r="G11" s="1646">
        <v>4399</v>
      </c>
      <c r="H11" s="4809">
        <f t="shared" si="8"/>
        <v>9184</v>
      </c>
      <c r="I11" s="3867">
        <f t="shared" si="9"/>
        <v>9184</v>
      </c>
      <c r="J11" s="6869">
        <v>1309.22</v>
      </c>
      <c r="K11" s="1646">
        <v>4188</v>
      </c>
      <c r="L11" s="4792">
        <f t="shared" si="10"/>
        <v>10493.22</v>
      </c>
      <c r="M11" s="3889">
        <f t="shared" si="11"/>
        <v>13372</v>
      </c>
      <c r="N11" s="6869">
        <v>1743.5254577175001</v>
      </c>
      <c r="O11" s="3918">
        <v>3186</v>
      </c>
      <c r="P11" s="4809">
        <f t="shared" si="12"/>
        <v>12236.745457717499</v>
      </c>
      <c r="Q11" s="3867">
        <f t="shared" si="13"/>
        <v>16558</v>
      </c>
      <c r="R11" s="6869">
        <v>1733.36384445</v>
      </c>
      <c r="S11" s="3918">
        <v>2922</v>
      </c>
      <c r="T11" s="4809">
        <f t="shared" si="14"/>
        <v>13970.109302167499</v>
      </c>
      <c r="U11" s="3867">
        <f t="shared" si="15"/>
        <v>19480</v>
      </c>
      <c r="V11" s="6869">
        <v>1710.552059558375</v>
      </c>
      <c r="W11" s="3918">
        <v>1266</v>
      </c>
      <c r="X11" s="4792">
        <f t="shared" si="16"/>
        <v>5187.4413617258751</v>
      </c>
      <c r="Y11" s="3889">
        <f t="shared" si="17"/>
        <v>7374</v>
      </c>
      <c r="Z11" s="6519">
        <f t="shared" si="18"/>
        <v>15680.661361725874</v>
      </c>
      <c r="AA11" s="6724">
        <f t="shared" si="19"/>
        <v>20746</v>
      </c>
      <c r="AB11" s="7345">
        <v>906.25</v>
      </c>
      <c r="AC11" s="3918">
        <v>1796</v>
      </c>
      <c r="AD11" s="4809">
        <f t="shared" si="20"/>
        <v>16586.911361725874</v>
      </c>
      <c r="AE11" s="3867">
        <f t="shared" si="21"/>
        <v>22542</v>
      </c>
      <c r="AF11" s="7593">
        <v>1682</v>
      </c>
      <c r="AG11" s="3918">
        <v>1936</v>
      </c>
      <c r="AH11" s="4809">
        <f t="shared" si="22"/>
        <v>18268.911361725874</v>
      </c>
      <c r="AI11" s="3867">
        <f t="shared" si="23"/>
        <v>24478</v>
      </c>
      <c r="AJ11" s="7734">
        <v>1769</v>
      </c>
      <c r="AK11" s="3918">
        <v>1722</v>
      </c>
      <c r="AL11" s="4792">
        <f t="shared" si="24"/>
        <v>4357.25</v>
      </c>
      <c r="AM11" s="3889">
        <f t="shared" si="25"/>
        <v>5454</v>
      </c>
      <c r="AN11" s="4809">
        <f t="shared" si="26"/>
        <v>20037.911361725874</v>
      </c>
      <c r="AO11" s="3867">
        <f t="shared" si="27"/>
        <v>26200</v>
      </c>
      <c r="AP11" s="8049">
        <v>1740</v>
      </c>
      <c r="AQ11" s="3918">
        <v>2300</v>
      </c>
      <c r="AR11" s="4809">
        <f t="shared" si="28"/>
        <v>21777.911361725874</v>
      </c>
      <c r="AS11" s="3867">
        <f t="shared" si="29"/>
        <v>28500</v>
      </c>
      <c r="AT11" s="8237">
        <v>1595</v>
      </c>
      <c r="AU11" s="3918">
        <v>4616</v>
      </c>
      <c r="AV11" s="4809">
        <f t="shared" si="30"/>
        <v>23372.911361725874</v>
      </c>
      <c r="AW11" s="3867">
        <f t="shared" si="31"/>
        <v>33116</v>
      </c>
      <c r="AX11" s="8351">
        <v>1769</v>
      </c>
      <c r="AY11" s="3918">
        <v>2934</v>
      </c>
      <c r="AZ11" s="4792">
        <f t="shared" si="32"/>
        <v>5104</v>
      </c>
      <c r="BA11" s="3889">
        <f t="shared" si="33"/>
        <v>9850</v>
      </c>
      <c r="BB11" s="4792">
        <f t="shared" si="7"/>
        <v>9461.25</v>
      </c>
      <c r="BC11" s="3889">
        <f t="shared" si="34"/>
        <v>15304</v>
      </c>
      <c r="BD11" s="6519">
        <f t="shared" si="35"/>
        <v>25141.911361725874</v>
      </c>
      <c r="BE11" s="6724">
        <f t="shared" si="36"/>
        <v>36050</v>
      </c>
    </row>
    <row r="12" spans="1:57" x14ac:dyDescent="0.2">
      <c r="B12" s="1533" t="s">
        <v>152</v>
      </c>
      <c r="C12" s="1544" t="s">
        <v>170</v>
      </c>
      <c r="D12" s="2677">
        <v>1440</v>
      </c>
      <c r="E12" s="3835">
        <v>1440</v>
      </c>
      <c r="F12" s="6869">
        <v>3100</v>
      </c>
      <c r="G12" s="1646">
        <v>3100</v>
      </c>
      <c r="H12" s="4809">
        <f t="shared" si="8"/>
        <v>4540</v>
      </c>
      <c r="I12" s="3867">
        <f t="shared" si="9"/>
        <v>4540</v>
      </c>
      <c r="J12" s="6869">
        <v>1178.298</v>
      </c>
      <c r="K12" s="1646">
        <v>2450</v>
      </c>
      <c r="L12" s="4792">
        <f t="shared" si="10"/>
        <v>5718.2979999999998</v>
      </c>
      <c r="M12" s="3889">
        <f t="shared" si="11"/>
        <v>6990</v>
      </c>
      <c r="N12" s="6869">
        <v>1569.17291194575</v>
      </c>
      <c r="O12" s="3918">
        <v>1200</v>
      </c>
      <c r="P12" s="4809">
        <f t="shared" si="12"/>
        <v>7287.4709119457493</v>
      </c>
      <c r="Q12" s="3867">
        <f t="shared" si="13"/>
        <v>8190</v>
      </c>
      <c r="R12" s="6869">
        <v>1560.027460005</v>
      </c>
      <c r="S12" s="3918">
        <v>1700</v>
      </c>
      <c r="T12" s="4809">
        <f t="shared" si="14"/>
        <v>8847.4983719507491</v>
      </c>
      <c r="U12" s="3867">
        <f t="shared" si="15"/>
        <v>9890</v>
      </c>
      <c r="V12" s="6869">
        <v>1539.4968536025374</v>
      </c>
      <c r="W12" s="3918">
        <v>1464</v>
      </c>
      <c r="X12" s="4792">
        <f t="shared" si="16"/>
        <v>4668.6972255532874</v>
      </c>
      <c r="Y12" s="3889">
        <f t="shared" si="17"/>
        <v>4364</v>
      </c>
      <c r="Z12" s="6519">
        <f t="shared" si="18"/>
        <v>10386.995225553286</v>
      </c>
      <c r="AA12" s="6724">
        <f t="shared" si="19"/>
        <v>11354</v>
      </c>
      <c r="AB12" s="7345">
        <v>815.625</v>
      </c>
      <c r="AC12" s="3918">
        <v>1973</v>
      </c>
      <c r="AD12" s="4809">
        <f t="shared" si="20"/>
        <v>11202.620225553286</v>
      </c>
      <c r="AE12" s="3867">
        <f t="shared" si="21"/>
        <v>13327</v>
      </c>
      <c r="AF12" s="7593">
        <v>1513.8</v>
      </c>
      <c r="AG12" s="3918">
        <v>2013</v>
      </c>
      <c r="AH12" s="4809">
        <f t="shared" si="22"/>
        <v>12716.420225553285</v>
      </c>
      <c r="AI12" s="3867">
        <f t="shared" si="23"/>
        <v>15340</v>
      </c>
      <c r="AJ12" s="7734">
        <v>1592.1</v>
      </c>
      <c r="AK12" s="3918">
        <v>1590</v>
      </c>
      <c r="AL12" s="4792">
        <f t="shared" si="24"/>
        <v>3921.5250000000001</v>
      </c>
      <c r="AM12" s="3889">
        <f t="shared" si="25"/>
        <v>5576</v>
      </c>
      <c r="AN12" s="4809">
        <f t="shared" si="26"/>
        <v>14308.520225553286</v>
      </c>
      <c r="AO12" s="3867">
        <f t="shared" si="27"/>
        <v>16930</v>
      </c>
      <c r="AP12" s="8049">
        <v>1566</v>
      </c>
      <c r="AQ12" s="3918">
        <v>1500</v>
      </c>
      <c r="AR12" s="4809">
        <f t="shared" si="28"/>
        <v>15874.520225553286</v>
      </c>
      <c r="AS12" s="3867">
        <f t="shared" si="29"/>
        <v>18430</v>
      </c>
      <c r="AT12" s="8237">
        <v>1436</v>
      </c>
      <c r="AU12" s="3918">
        <v>1333</v>
      </c>
      <c r="AV12" s="4809">
        <f t="shared" si="30"/>
        <v>17310.520225553286</v>
      </c>
      <c r="AW12" s="3867">
        <f t="shared" si="31"/>
        <v>19763</v>
      </c>
      <c r="AX12" s="8351">
        <v>1592.1</v>
      </c>
      <c r="AY12" s="3918">
        <v>1406</v>
      </c>
      <c r="AZ12" s="4792">
        <f t="shared" si="32"/>
        <v>4594.1000000000004</v>
      </c>
      <c r="BA12" s="3889">
        <f t="shared" si="33"/>
        <v>4239</v>
      </c>
      <c r="BB12" s="4792">
        <f t="shared" si="7"/>
        <v>8515.625</v>
      </c>
      <c r="BC12" s="3889">
        <f t="shared" si="34"/>
        <v>9815</v>
      </c>
      <c r="BD12" s="6519">
        <f t="shared" si="35"/>
        <v>18902.620225553284</v>
      </c>
      <c r="BE12" s="6724">
        <f t="shared" si="36"/>
        <v>21169</v>
      </c>
    </row>
    <row r="13" spans="1:57" x14ac:dyDescent="0.2">
      <c r="B13" s="1533" t="s">
        <v>153</v>
      </c>
      <c r="C13" s="1544" t="s">
        <v>170</v>
      </c>
      <c r="D13" s="2677">
        <v>5000.0000000000009</v>
      </c>
      <c r="E13" s="3835">
        <v>5000</v>
      </c>
      <c r="F13" s="6869">
        <v>5400</v>
      </c>
      <c r="G13" s="1646">
        <v>5400</v>
      </c>
      <c r="H13" s="4809">
        <f t="shared" si="8"/>
        <v>10400</v>
      </c>
      <c r="I13" s="3867">
        <f t="shared" si="9"/>
        <v>10400</v>
      </c>
      <c r="J13" s="6869">
        <v>7855.32</v>
      </c>
      <c r="K13" s="1646">
        <v>5510</v>
      </c>
      <c r="L13" s="4792">
        <f t="shared" si="10"/>
        <v>18255.32</v>
      </c>
      <c r="M13" s="3889">
        <f t="shared" si="11"/>
        <v>15910</v>
      </c>
      <c r="N13" s="6869">
        <v>10461.152746305001</v>
      </c>
      <c r="O13" s="3918">
        <v>6500</v>
      </c>
      <c r="P13" s="4809">
        <f t="shared" si="12"/>
        <v>28716.472746305</v>
      </c>
      <c r="Q13" s="3867">
        <f t="shared" si="13"/>
        <v>22410</v>
      </c>
      <c r="R13" s="6869">
        <v>10400.183066699999</v>
      </c>
      <c r="S13" s="3918">
        <v>7750</v>
      </c>
      <c r="T13" s="4809">
        <f t="shared" si="14"/>
        <v>39116.655813004996</v>
      </c>
      <c r="U13" s="3867">
        <f t="shared" si="15"/>
        <v>30160</v>
      </c>
      <c r="V13" s="6869">
        <v>10263.312357350251</v>
      </c>
      <c r="W13" s="3918">
        <v>6554</v>
      </c>
      <c r="X13" s="4792">
        <f t="shared" si="16"/>
        <v>31124.648170355249</v>
      </c>
      <c r="Y13" s="3889">
        <f t="shared" si="17"/>
        <v>20804</v>
      </c>
      <c r="Z13" s="6519">
        <f t="shared" si="18"/>
        <v>49379.968170355249</v>
      </c>
      <c r="AA13" s="6724">
        <f t="shared" si="19"/>
        <v>36714</v>
      </c>
      <c r="AB13" s="7345">
        <v>5437.5</v>
      </c>
      <c r="AC13" s="3918">
        <v>8716</v>
      </c>
      <c r="AD13" s="4809">
        <f t="shared" si="20"/>
        <v>54817.468170355249</v>
      </c>
      <c r="AE13" s="3867">
        <f t="shared" si="21"/>
        <v>45430</v>
      </c>
      <c r="AF13" s="7593">
        <v>10092</v>
      </c>
      <c r="AG13" s="3918">
        <v>9244</v>
      </c>
      <c r="AH13" s="4809">
        <f t="shared" si="22"/>
        <v>64909.468170355249</v>
      </c>
      <c r="AI13" s="3867">
        <f t="shared" si="23"/>
        <v>54674</v>
      </c>
      <c r="AJ13" s="7734">
        <v>10614</v>
      </c>
      <c r="AK13" s="3918">
        <v>8365</v>
      </c>
      <c r="AL13" s="4792">
        <f t="shared" si="24"/>
        <v>26143.5</v>
      </c>
      <c r="AM13" s="3889">
        <f t="shared" si="25"/>
        <v>26325</v>
      </c>
      <c r="AN13" s="4809">
        <f t="shared" si="26"/>
        <v>75523.468170355249</v>
      </c>
      <c r="AO13" s="3867">
        <f t="shared" si="27"/>
        <v>63039</v>
      </c>
      <c r="AP13" s="8049">
        <v>10440</v>
      </c>
      <c r="AQ13" s="3918">
        <v>7800</v>
      </c>
      <c r="AR13" s="4809">
        <f t="shared" si="28"/>
        <v>85963.468170355249</v>
      </c>
      <c r="AS13" s="3867">
        <f t="shared" si="29"/>
        <v>70839</v>
      </c>
      <c r="AT13" s="8237">
        <v>9570</v>
      </c>
      <c r="AU13" s="3918">
        <v>3229</v>
      </c>
      <c r="AV13" s="4809">
        <f t="shared" si="30"/>
        <v>95533.468170355249</v>
      </c>
      <c r="AW13" s="3867">
        <f t="shared" si="31"/>
        <v>74068</v>
      </c>
      <c r="AX13" s="8351">
        <v>10614</v>
      </c>
      <c r="AY13" s="3918">
        <v>5203</v>
      </c>
      <c r="AZ13" s="4792">
        <f t="shared" si="32"/>
        <v>30624</v>
      </c>
      <c r="BA13" s="3889">
        <f t="shared" si="33"/>
        <v>16232</v>
      </c>
      <c r="BB13" s="4792">
        <f t="shared" si="7"/>
        <v>56767.5</v>
      </c>
      <c r="BC13" s="3889">
        <f t="shared" si="34"/>
        <v>42557</v>
      </c>
      <c r="BD13" s="6519">
        <f t="shared" si="35"/>
        <v>106147.46817035525</v>
      </c>
      <c r="BE13" s="6724">
        <f t="shared" si="36"/>
        <v>79271</v>
      </c>
    </row>
    <row r="14" spans="1:57" x14ac:dyDescent="0.2">
      <c r="B14" s="2395" t="s">
        <v>2048</v>
      </c>
      <c r="C14" s="1544" t="s">
        <v>170</v>
      </c>
      <c r="D14" s="2677">
        <v>0</v>
      </c>
      <c r="E14" s="3835">
        <v>0</v>
      </c>
      <c r="F14" s="6869">
        <v>0</v>
      </c>
      <c r="G14" s="1646">
        <v>92</v>
      </c>
      <c r="H14" s="4809">
        <f t="shared" si="8"/>
        <v>0</v>
      </c>
      <c r="I14" s="3867">
        <f t="shared" si="9"/>
        <v>92</v>
      </c>
      <c r="J14" s="6869">
        <v>0</v>
      </c>
      <c r="K14" s="1646">
        <v>0</v>
      </c>
      <c r="L14" s="4792">
        <f t="shared" si="10"/>
        <v>0</v>
      </c>
      <c r="M14" s="3889">
        <f t="shared" si="11"/>
        <v>92</v>
      </c>
      <c r="N14" s="6869">
        <v>0</v>
      </c>
      <c r="O14" s="3918">
        <v>1000</v>
      </c>
      <c r="P14" s="4809">
        <f t="shared" si="12"/>
        <v>0</v>
      </c>
      <c r="Q14" s="3867">
        <f t="shared" si="13"/>
        <v>1092</v>
      </c>
      <c r="R14" s="6869">
        <v>0</v>
      </c>
      <c r="S14" s="3918">
        <v>145</v>
      </c>
      <c r="T14" s="4809">
        <f t="shared" si="14"/>
        <v>0</v>
      </c>
      <c r="U14" s="3867">
        <f t="shared" si="15"/>
        <v>1237</v>
      </c>
      <c r="V14" s="6869">
        <v>0</v>
      </c>
      <c r="W14" s="3918">
        <v>0</v>
      </c>
      <c r="X14" s="4792">
        <f t="shared" si="16"/>
        <v>0</v>
      </c>
      <c r="Y14" s="3889">
        <f t="shared" si="17"/>
        <v>1145</v>
      </c>
      <c r="Z14" s="6519">
        <f t="shared" si="18"/>
        <v>0</v>
      </c>
      <c r="AA14" s="6724">
        <f t="shared" si="19"/>
        <v>1237</v>
      </c>
      <c r="AB14" s="7345">
        <v>0</v>
      </c>
      <c r="AC14" s="3918">
        <v>0</v>
      </c>
      <c r="AD14" s="4809">
        <f t="shared" si="20"/>
        <v>0</v>
      </c>
      <c r="AE14" s="3867">
        <f t="shared" si="21"/>
        <v>1237</v>
      </c>
      <c r="AF14" s="7593">
        <v>0</v>
      </c>
      <c r="AG14" s="3918">
        <v>0</v>
      </c>
      <c r="AH14" s="4809">
        <f t="shared" si="22"/>
        <v>0</v>
      </c>
      <c r="AI14" s="3867">
        <f t="shared" si="23"/>
        <v>1237</v>
      </c>
      <c r="AJ14" s="7734">
        <v>0</v>
      </c>
      <c r="AK14" s="3918">
        <v>0</v>
      </c>
      <c r="AL14" s="4792">
        <f t="shared" si="24"/>
        <v>0</v>
      </c>
      <c r="AM14" s="3889">
        <f t="shared" si="25"/>
        <v>0</v>
      </c>
      <c r="AN14" s="4809">
        <f t="shared" si="26"/>
        <v>0</v>
      </c>
      <c r="AO14" s="3867">
        <f t="shared" si="27"/>
        <v>1237</v>
      </c>
      <c r="AP14" s="8049">
        <v>0</v>
      </c>
      <c r="AQ14" s="3918">
        <v>0</v>
      </c>
      <c r="AR14" s="4809">
        <f t="shared" si="28"/>
        <v>0</v>
      </c>
      <c r="AS14" s="3867">
        <f t="shared" si="29"/>
        <v>1237</v>
      </c>
      <c r="AT14" s="8170">
        <v>0</v>
      </c>
      <c r="AU14" s="3918">
        <v>0</v>
      </c>
      <c r="AV14" s="4809">
        <f t="shared" si="30"/>
        <v>0</v>
      </c>
      <c r="AW14" s="3867">
        <f t="shared" si="31"/>
        <v>1237</v>
      </c>
      <c r="AX14" s="8351">
        <v>0</v>
      </c>
      <c r="AY14" s="3918"/>
      <c r="AZ14" s="4792">
        <f t="shared" si="32"/>
        <v>0</v>
      </c>
      <c r="BA14" s="3889">
        <f t="shared" si="33"/>
        <v>0</v>
      </c>
      <c r="BB14" s="4792">
        <f t="shared" si="7"/>
        <v>0</v>
      </c>
      <c r="BC14" s="3889">
        <f t="shared" si="34"/>
        <v>0</v>
      </c>
      <c r="BD14" s="6519">
        <f t="shared" si="35"/>
        <v>0</v>
      </c>
      <c r="BE14" s="6724">
        <f t="shared" si="36"/>
        <v>1237</v>
      </c>
    </row>
    <row r="15" spans="1:57" ht="16" thickBot="1" x14ac:dyDescent="0.25">
      <c r="B15" s="2395" t="s">
        <v>358</v>
      </c>
      <c r="C15" s="1547" t="s">
        <v>170</v>
      </c>
      <c r="D15" s="2677">
        <v>34500</v>
      </c>
      <c r="E15" s="3855">
        <v>34500</v>
      </c>
      <c r="F15" s="6869">
        <v>37357.000000000007</v>
      </c>
      <c r="G15" s="1646">
        <v>37357</v>
      </c>
      <c r="H15" s="4809">
        <f t="shared" si="8"/>
        <v>71857</v>
      </c>
      <c r="I15" s="3867">
        <f t="shared" si="9"/>
        <v>71857</v>
      </c>
      <c r="J15" s="6869">
        <v>34039.72</v>
      </c>
      <c r="K15" s="1646">
        <v>40414</v>
      </c>
      <c r="L15" s="4792">
        <f t="shared" si="10"/>
        <v>105896.72</v>
      </c>
      <c r="M15" s="3889">
        <f t="shared" si="11"/>
        <v>112271</v>
      </c>
      <c r="N15" s="6869">
        <v>45331.661900655003</v>
      </c>
      <c r="O15" s="3918">
        <v>47742</v>
      </c>
      <c r="P15" s="4809">
        <f t="shared" si="12"/>
        <v>151228.38190065499</v>
      </c>
      <c r="Q15" s="3867">
        <f t="shared" si="13"/>
        <v>160013</v>
      </c>
      <c r="R15" s="6869">
        <v>45067.459955700004</v>
      </c>
      <c r="S15" s="3918">
        <v>39746</v>
      </c>
      <c r="T15" s="4809">
        <f t="shared" si="14"/>
        <v>196295.84185635499</v>
      </c>
      <c r="U15" s="3867">
        <f t="shared" si="15"/>
        <v>199759</v>
      </c>
      <c r="V15" s="6869">
        <v>44474.353548517749</v>
      </c>
      <c r="W15" s="3918">
        <v>27772</v>
      </c>
      <c r="X15" s="4792">
        <f t="shared" si="16"/>
        <v>134873.47540487276</v>
      </c>
      <c r="Y15" s="3889">
        <f t="shared" si="17"/>
        <v>115260</v>
      </c>
      <c r="Z15" s="6519">
        <f t="shared" si="18"/>
        <v>240770.19540487273</v>
      </c>
      <c r="AA15" s="6724">
        <f t="shared" si="19"/>
        <v>227531</v>
      </c>
      <c r="AB15" s="7345">
        <v>23562.5</v>
      </c>
      <c r="AC15" s="3918">
        <v>33129</v>
      </c>
      <c r="AD15" s="4809">
        <f t="shared" si="20"/>
        <v>264332.69540487276</v>
      </c>
      <c r="AE15" s="3867">
        <f t="shared" si="21"/>
        <v>260660</v>
      </c>
      <c r="AF15" s="7593">
        <v>43732</v>
      </c>
      <c r="AG15" s="3918">
        <v>52172</v>
      </c>
      <c r="AH15" s="4809">
        <f t="shared" si="22"/>
        <v>308064.69540487276</v>
      </c>
      <c r="AI15" s="3867">
        <f t="shared" si="23"/>
        <v>312832</v>
      </c>
      <c r="AJ15" s="7734">
        <v>45994</v>
      </c>
      <c r="AK15" s="3918">
        <v>58000</v>
      </c>
      <c r="AL15" s="4792">
        <f t="shared" si="24"/>
        <v>113288.5</v>
      </c>
      <c r="AM15" s="3889">
        <f t="shared" si="25"/>
        <v>143301</v>
      </c>
      <c r="AN15" s="4809">
        <f t="shared" si="26"/>
        <v>354058.69540487276</v>
      </c>
      <c r="AO15" s="3867">
        <f t="shared" si="27"/>
        <v>370832</v>
      </c>
      <c r="AP15" s="8049">
        <v>45240</v>
      </c>
      <c r="AQ15" s="3918">
        <v>65619</v>
      </c>
      <c r="AR15" s="4809">
        <f t="shared" si="28"/>
        <v>399298.69540487276</v>
      </c>
      <c r="AS15" s="3867">
        <f t="shared" si="29"/>
        <v>436451</v>
      </c>
      <c r="AT15" s="8237">
        <v>41470</v>
      </c>
      <c r="AU15" s="3918">
        <v>53121</v>
      </c>
      <c r="AV15" s="4809">
        <f t="shared" si="30"/>
        <v>440768.69540487276</v>
      </c>
      <c r="AW15" s="3867">
        <f t="shared" si="31"/>
        <v>489572</v>
      </c>
      <c r="AX15" s="8351">
        <v>45994</v>
      </c>
      <c r="AY15" s="3918">
        <v>65183</v>
      </c>
      <c r="AZ15" s="4792">
        <f t="shared" si="32"/>
        <v>132704</v>
      </c>
      <c r="BA15" s="3889">
        <f t="shared" si="33"/>
        <v>183923</v>
      </c>
      <c r="BB15" s="4792">
        <f t="shared" si="7"/>
        <v>245992.5</v>
      </c>
      <c r="BC15" s="3889">
        <f t="shared" si="34"/>
        <v>327224</v>
      </c>
      <c r="BD15" s="6519">
        <f t="shared" si="35"/>
        <v>486762.69540487276</v>
      </c>
      <c r="BE15" s="6724">
        <f t="shared" si="36"/>
        <v>554755</v>
      </c>
    </row>
    <row r="16" spans="1:57" ht="17" thickBot="1" x14ac:dyDescent="0.25">
      <c r="B16" s="1580" t="s">
        <v>97</v>
      </c>
      <c r="C16" s="1561" t="s">
        <v>170</v>
      </c>
      <c r="D16" s="2464">
        <f t="shared" ref="D16:Q16" si="37">SUM(D6:D15)</f>
        <v>289324</v>
      </c>
      <c r="E16" s="4415">
        <f t="shared" si="37"/>
        <v>289324</v>
      </c>
      <c r="F16" s="2319">
        <f t="shared" si="37"/>
        <v>299681</v>
      </c>
      <c r="G16" s="5819">
        <f t="shared" si="37"/>
        <v>299773</v>
      </c>
      <c r="H16" s="2784">
        <f t="shared" si="37"/>
        <v>589005</v>
      </c>
      <c r="I16" s="1822">
        <f t="shared" si="37"/>
        <v>589097</v>
      </c>
      <c r="J16" s="2319">
        <f t="shared" si="37"/>
        <v>317066.8996</v>
      </c>
      <c r="K16" s="6926">
        <f t="shared" si="37"/>
        <v>318015</v>
      </c>
      <c r="L16" s="2951">
        <f t="shared" si="37"/>
        <v>906071.89959999977</v>
      </c>
      <c r="M16" s="2005">
        <f t="shared" si="37"/>
        <v>907112</v>
      </c>
      <c r="N16" s="2319">
        <f t="shared" si="37"/>
        <v>422246.99535002414</v>
      </c>
      <c r="O16" s="6926">
        <f t="shared" si="37"/>
        <v>370775</v>
      </c>
      <c r="P16" s="2784">
        <f t="shared" si="37"/>
        <v>1328318.8949500239</v>
      </c>
      <c r="Q16" s="1822">
        <f t="shared" si="37"/>
        <v>1277887</v>
      </c>
      <c r="R16" s="2319">
        <f t="shared" ref="R16:U16" si="38">SUM(R6:R15)</f>
        <v>419786.05584890104</v>
      </c>
      <c r="S16" s="6926">
        <f t="shared" si="38"/>
        <v>357551</v>
      </c>
      <c r="T16" s="2784">
        <f t="shared" si="38"/>
        <v>1748104.9507989252</v>
      </c>
      <c r="U16" s="1822">
        <f t="shared" si="38"/>
        <v>1635438</v>
      </c>
      <c r="V16" s="2319">
        <f t="shared" ref="V16:AI16" si="39">SUM(V6:V15)</f>
        <v>414261.49778384721</v>
      </c>
      <c r="W16" s="6926">
        <f t="shared" si="39"/>
        <v>264908</v>
      </c>
      <c r="X16" s="2951">
        <f t="shared" ref="X16:Y16" si="40">SUM(X6:X15)</f>
        <v>1256294.5489827723</v>
      </c>
      <c r="Y16" s="2005">
        <f t="shared" si="40"/>
        <v>993234</v>
      </c>
      <c r="Z16" s="6511">
        <f t="shared" si="39"/>
        <v>2162366.4485827726</v>
      </c>
      <c r="AA16" s="6596">
        <f t="shared" si="39"/>
        <v>1900346</v>
      </c>
      <c r="AB16" s="2319">
        <f t="shared" si="39"/>
        <v>219475.625</v>
      </c>
      <c r="AC16" s="6926">
        <f t="shared" si="39"/>
        <v>361170</v>
      </c>
      <c r="AD16" s="2784">
        <f t="shared" si="39"/>
        <v>2381842.0735827726</v>
      </c>
      <c r="AE16" s="1822">
        <f t="shared" si="39"/>
        <v>2261516</v>
      </c>
      <c r="AF16" s="2319">
        <f t="shared" si="39"/>
        <v>407346.76</v>
      </c>
      <c r="AG16" s="6926">
        <f t="shared" si="39"/>
        <v>394505</v>
      </c>
      <c r="AH16" s="2784">
        <f t="shared" si="39"/>
        <v>2789188.8335827724</v>
      </c>
      <c r="AI16" s="1822">
        <f t="shared" si="39"/>
        <v>2656021</v>
      </c>
      <c r="AJ16" s="2319">
        <f t="shared" ref="AJ16:AO16" si="41">SUM(AJ6:AJ15)</f>
        <v>428416.42</v>
      </c>
      <c r="AK16" s="6926">
        <f t="shared" si="41"/>
        <v>443677</v>
      </c>
      <c r="AL16" s="2951">
        <f t="shared" si="41"/>
        <v>1055238.8050000002</v>
      </c>
      <c r="AM16" s="2005">
        <f t="shared" si="41"/>
        <v>1199352</v>
      </c>
      <c r="AN16" s="2784">
        <f t="shared" si="41"/>
        <v>3217605.2535827728</v>
      </c>
      <c r="AO16" s="1822">
        <f t="shared" si="41"/>
        <v>3099698</v>
      </c>
      <c r="AP16" s="2319">
        <f t="shared" ref="AP16:AS16" si="42">SUM(AP6:AP15)</f>
        <v>421393.2</v>
      </c>
      <c r="AQ16" s="6926">
        <f t="shared" si="42"/>
        <v>470787</v>
      </c>
      <c r="AR16" s="2784">
        <f t="shared" si="42"/>
        <v>3638998.453582773</v>
      </c>
      <c r="AS16" s="1822">
        <f t="shared" si="42"/>
        <v>3570485</v>
      </c>
      <c r="AT16" s="2319">
        <f t="shared" ref="AT16:AW16" si="43">SUM(AT6:AT15)</f>
        <v>386278</v>
      </c>
      <c r="AU16" s="6926">
        <f t="shared" si="43"/>
        <v>424410</v>
      </c>
      <c r="AV16" s="2784">
        <f t="shared" si="43"/>
        <v>4025276.453582773</v>
      </c>
      <c r="AW16" s="1822">
        <f t="shared" si="43"/>
        <v>3994895</v>
      </c>
      <c r="AX16" s="2319">
        <f t="shared" ref="AX16:BE16" si="44">SUM(AX6:AX15)</f>
        <v>428416.1</v>
      </c>
      <c r="AY16" s="6926">
        <f t="shared" si="44"/>
        <v>498204</v>
      </c>
      <c r="AZ16" s="2951">
        <f t="shared" si="44"/>
        <v>1236087.3</v>
      </c>
      <c r="BA16" s="2005">
        <f t="shared" si="44"/>
        <v>1393401</v>
      </c>
      <c r="BB16" s="2951">
        <f t="shared" ref="BB16:BC16" si="45">SUM(BB6:BB15)</f>
        <v>2291326.105</v>
      </c>
      <c r="BC16" s="2005">
        <f t="shared" si="45"/>
        <v>2592753</v>
      </c>
      <c r="BD16" s="6511">
        <f t="shared" si="44"/>
        <v>4453692.5535827726</v>
      </c>
      <c r="BE16" s="6596">
        <f t="shared" si="44"/>
        <v>4493099</v>
      </c>
    </row>
    <row r="17" spans="2:57" s="3380" customFormat="1" ht="18" x14ac:dyDescent="0.2">
      <c r="B17" s="5052" t="s">
        <v>2536</v>
      </c>
      <c r="C17" s="3290"/>
      <c r="D17" s="3435"/>
      <c r="E17" s="6766"/>
      <c r="F17" s="3435"/>
      <c r="G17" s="5756"/>
      <c r="H17" s="3435"/>
      <c r="I17" s="5756"/>
      <c r="J17" s="3435"/>
      <c r="K17" s="5756"/>
      <c r="L17" s="3435"/>
      <c r="M17" s="5756"/>
      <c r="N17" s="3435"/>
      <c r="O17" s="5756"/>
      <c r="P17" s="3435"/>
      <c r="Q17" s="5756"/>
      <c r="R17" s="3435"/>
      <c r="S17" s="5756"/>
      <c r="T17" s="3435"/>
      <c r="U17" s="5756"/>
      <c r="V17" s="3435"/>
      <c r="W17" s="5756"/>
      <c r="X17" s="3435"/>
      <c r="Y17" s="5756"/>
      <c r="Z17" s="3435"/>
      <c r="AA17" s="5756"/>
      <c r="AB17" s="3435"/>
      <c r="AC17" s="5756"/>
      <c r="AD17" s="3435"/>
      <c r="AE17" s="5756"/>
      <c r="AF17" s="3435"/>
      <c r="AG17" s="5756"/>
      <c r="AH17" s="3435"/>
      <c r="AI17" s="5756"/>
      <c r="AJ17" s="3435"/>
      <c r="AK17" s="5756"/>
      <c r="AL17" s="3435"/>
      <c r="AM17" s="5756"/>
      <c r="AN17" s="3435"/>
      <c r="AO17" s="5756"/>
      <c r="AP17" s="3435"/>
      <c r="AQ17" s="5756"/>
      <c r="AR17" s="3435"/>
      <c r="AS17" s="5756"/>
      <c r="AT17" s="3435"/>
      <c r="AU17" s="5756"/>
      <c r="AV17" s="3435"/>
      <c r="AW17" s="5756"/>
      <c r="AX17" s="3435"/>
      <c r="AY17" s="5756"/>
      <c r="AZ17" s="3435"/>
      <c r="BA17" s="5756"/>
      <c r="BB17" s="3435"/>
      <c r="BC17" s="5756"/>
      <c r="BD17" s="3435"/>
      <c r="BE17" s="5756"/>
    </row>
    <row r="18" spans="2:57" x14ac:dyDescent="0.2">
      <c r="B18" s="1533" t="s">
        <v>148</v>
      </c>
      <c r="C18" s="1544" t="s">
        <v>709</v>
      </c>
      <c r="D18" s="2680">
        <f t="shared" ref="D18:M18" si="46">+D6/D$54*1000</f>
        <v>843.4733455452656</v>
      </c>
      <c r="E18" s="2750">
        <f t="shared" si="46"/>
        <v>843.4733455452656</v>
      </c>
      <c r="F18" s="2677">
        <f t="shared" si="46"/>
        <v>847.20943854070788</v>
      </c>
      <c r="G18" s="1646">
        <f t="shared" si="46"/>
        <v>847.20943854070788</v>
      </c>
      <c r="H18" s="6870">
        <f t="shared" si="46"/>
        <v>845.35608643310593</v>
      </c>
      <c r="I18" s="1823">
        <f t="shared" si="46"/>
        <v>845.35608643310593</v>
      </c>
      <c r="J18" s="2677">
        <f t="shared" si="46"/>
        <v>860</v>
      </c>
      <c r="K18" s="1646">
        <f t="shared" si="46"/>
        <v>846.31593492003174</v>
      </c>
      <c r="L18" s="6871">
        <f t="shared" si="46"/>
        <v>850.56481465130207</v>
      </c>
      <c r="M18" s="2011">
        <f t="shared" si="46"/>
        <v>845.69640062597807</v>
      </c>
      <c r="N18" s="2677">
        <f t="shared" ref="N18:P18" si="47">+N6/N$54*1000</f>
        <v>860.00000000000023</v>
      </c>
      <c r="O18" s="1646">
        <f t="shared" si="47"/>
        <v>864.5717127457965</v>
      </c>
      <c r="P18" s="6870">
        <f t="shared" si="47"/>
        <v>853.59755893038721</v>
      </c>
      <c r="Q18" s="1823">
        <f t="shared" ref="Q18:T18" si="48">+Q6/Q$54*1000</f>
        <v>851.13719352145472</v>
      </c>
      <c r="R18" s="2677">
        <f t="shared" si="48"/>
        <v>860</v>
      </c>
      <c r="S18" s="1646">
        <f t="shared" si="48"/>
        <v>864.84105706625814</v>
      </c>
      <c r="T18" s="6870">
        <f t="shared" si="48"/>
        <v>855.14803334529836</v>
      </c>
      <c r="U18" s="1823">
        <f t="shared" ref="U18:Z18" si="49">+U6/U$54*1000</f>
        <v>854.11968501073</v>
      </c>
      <c r="V18" s="2677">
        <f t="shared" si="49"/>
        <v>859.99999999999989</v>
      </c>
      <c r="W18" s="1646">
        <f t="shared" si="49"/>
        <v>852.12693504150798</v>
      </c>
      <c r="X18" s="6871">
        <f t="shared" si="49"/>
        <v>859.99999999999989</v>
      </c>
      <c r="Y18" s="2011">
        <f t="shared" si="49"/>
        <v>861.29666060773798</v>
      </c>
      <c r="Z18" s="6509">
        <f t="shared" si="49"/>
        <v>856.08390935173952</v>
      </c>
      <c r="AA18" s="6531">
        <f t="shared" ref="AA18:AN18" si="50">+AA6/AA$54*1000</f>
        <v>853.83793588952824</v>
      </c>
      <c r="AB18" s="2677">
        <f t="shared" si="50"/>
        <v>860</v>
      </c>
      <c r="AC18" s="1646">
        <f t="shared" si="50"/>
        <v>853.06891692276338</v>
      </c>
      <c r="AD18" s="7346">
        <f t="shared" si="50"/>
        <v>856.44699421484074</v>
      </c>
      <c r="AE18" s="1823">
        <f t="shared" si="50"/>
        <v>853.71428321822464</v>
      </c>
      <c r="AF18" s="2677">
        <f t="shared" si="50"/>
        <v>860</v>
      </c>
      <c r="AG18" s="1646">
        <f t="shared" si="50"/>
        <v>828.44341758121675</v>
      </c>
      <c r="AH18" s="7594">
        <f t="shared" si="50"/>
        <v>856.96863507323064</v>
      </c>
      <c r="AI18" s="1823">
        <f t="shared" si="50"/>
        <v>849.95273596927507</v>
      </c>
      <c r="AJ18" s="2677">
        <f t="shared" si="50"/>
        <v>860</v>
      </c>
      <c r="AK18" s="1646">
        <f t="shared" si="50"/>
        <v>845.64387522305799</v>
      </c>
      <c r="AL18" s="7737">
        <f t="shared" si="50"/>
        <v>860</v>
      </c>
      <c r="AM18" s="2011">
        <f t="shared" si="50"/>
        <v>842.21487855776127</v>
      </c>
      <c r="AN18" s="7735">
        <f t="shared" si="50"/>
        <v>857.37410195533948</v>
      </c>
      <c r="AO18" s="1823">
        <f t="shared" ref="AO18:AS18" si="51">+AO6/AO$54*1000</f>
        <v>849.34375137175721</v>
      </c>
      <c r="AP18" s="2677">
        <f t="shared" si="51"/>
        <v>860</v>
      </c>
      <c r="AQ18" s="1646">
        <f t="shared" si="51"/>
        <v>843.20380381546408</v>
      </c>
      <c r="AR18" s="8045">
        <f t="shared" si="51"/>
        <v>857.67940922344224</v>
      </c>
      <c r="AS18" s="1823">
        <f t="shared" si="51"/>
        <v>848.5394827918642</v>
      </c>
      <c r="AT18" s="2677">
        <f t="shared" ref="AT18:AW18" si="52">+AT6/AT$54*1000</f>
        <v>860</v>
      </c>
      <c r="AU18" s="1646">
        <f t="shared" si="52"/>
        <v>848.83161452264596</v>
      </c>
      <c r="AV18" s="8171">
        <f t="shared" si="52"/>
        <v>857.90291407184509</v>
      </c>
      <c r="AW18" s="1823">
        <f t="shared" si="52"/>
        <v>848.57069938382767</v>
      </c>
      <c r="AX18" s="2677">
        <f t="shared" ref="AX18:BE18" si="53">+AX6/AX$54*1000</f>
        <v>860</v>
      </c>
      <c r="AY18" s="1646">
        <f t="shared" si="53"/>
        <v>844.02209834511837</v>
      </c>
      <c r="AZ18" s="8323">
        <f t="shared" si="53"/>
        <v>860</v>
      </c>
      <c r="BA18" s="2011">
        <f t="shared" si="53"/>
        <v>845.2237184147973</v>
      </c>
      <c r="BB18" s="8323">
        <f t="shared" ref="BB18:BC18" si="54">+BB6/BB$54*1000</f>
        <v>860</v>
      </c>
      <c r="BC18" s="2011">
        <f t="shared" si="54"/>
        <v>843.83053658000438</v>
      </c>
      <c r="BD18" s="6509">
        <f t="shared" si="53"/>
        <v>858.10530659968083</v>
      </c>
      <c r="BE18" s="6531">
        <f t="shared" si="53"/>
        <v>848.0682459691584</v>
      </c>
    </row>
    <row r="19" spans="2:57" x14ac:dyDescent="0.2">
      <c r="B19" s="1533" t="s">
        <v>149</v>
      </c>
      <c r="C19" s="1544" t="s">
        <v>709</v>
      </c>
      <c r="D19" s="2680">
        <f t="shared" ref="D19:M19" si="55">+D7/D$54*1000</f>
        <v>42.551925504379732</v>
      </c>
      <c r="E19" s="2750">
        <f t="shared" si="55"/>
        <v>42.551925504379724</v>
      </c>
      <c r="F19" s="2680">
        <f t="shared" si="55"/>
        <v>48.410174880763115</v>
      </c>
      <c r="G19" s="1646">
        <f t="shared" si="55"/>
        <v>48.410174880763115</v>
      </c>
      <c r="H19" s="6870">
        <f t="shared" si="55"/>
        <v>45.504091214798791</v>
      </c>
      <c r="I19" s="1823">
        <f t="shared" si="55"/>
        <v>45.504091214798791</v>
      </c>
      <c r="J19" s="2677">
        <f t="shared" si="55"/>
        <v>40</v>
      </c>
      <c r="K19" s="1646">
        <f t="shared" si="55"/>
        <v>34.927324298287026</v>
      </c>
      <c r="L19" s="6871">
        <f t="shared" si="55"/>
        <v>43.54632800518371</v>
      </c>
      <c r="M19" s="2011">
        <f t="shared" si="55"/>
        <v>41.75409947608356</v>
      </c>
      <c r="N19" s="2677">
        <f t="shared" ref="N19:P19" si="56">+N7/N$54*1000</f>
        <v>40.000000000000007</v>
      </c>
      <c r="O19" s="1646">
        <f t="shared" si="56"/>
        <v>53.873603849410621</v>
      </c>
      <c r="P19" s="6870">
        <f t="shared" si="56"/>
        <v>42.406434556141512</v>
      </c>
      <c r="Q19" s="1823">
        <f t="shared" ref="Q19:T19" si="57">+Q7/Q$54*1000</f>
        <v>45.247536451987209</v>
      </c>
      <c r="R19" s="2677">
        <f t="shared" si="57"/>
        <v>40</v>
      </c>
      <c r="S19" s="1646">
        <f t="shared" si="57"/>
        <v>59.931757250792103</v>
      </c>
      <c r="T19" s="6870">
        <f t="shared" si="57"/>
        <v>41.82367008085977</v>
      </c>
      <c r="U19" s="1823">
        <f t="shared" ref="U19:Z19" si="58">+U7/U$54*1000</f>
        <v>48.443391651208188</v>
      </c>
      <c r="V19" s="2677">
        <f t="shared" si="58"/>
        <v>40</v>
      </c>
      <c r="W19" s="1646">
        <f t="shared" si="58"/>
        <v>47.181880096452957</v>
      </c>
      <c r="X19" s="6871">
        <f t="shared" si="58"/>
        <v>40</v>
      </c>
      <c r="Y19" s="2011">
        <f t="shared" si="58"/>
        <v>54.229905176519281</v>
      </c>
      <c r="Z19" s="6509">
        <f t="shared" si="58"/>
        <v>41.471909816661025</v>
      </c>
      <c r="AA19" s="6531">
        <f t="shared" ref="AA19:AN19" si="59">+AA7/AA$54*1000</f>
        <v>48.26503020224181</v>
      </c>
      <c r="AB19" s="2677">
        <f t="shared" si="59"/>
        <v>40</v>
      </c>
      <c r="AC19" s="1646">
        <f t="shared" si="59"/>
        <v>52.277705146272311</v>
      </c>
      <c r="AD19" s="7346">
        <f t="shared" si="59"/>
        <v>41.335439999621137</v>
      </c>
      <c r="AE19" s="1823">
        <f t="shared" si="59"/>
        <v>48.910239224835749</v>
      </c>
      <c r="AF19" s="2677">
        <f t="shared" si="59"/>
        <v>40</v>
      </c>
      <c r="AG19" s="1646">
        <f t="shared" si="59"/>
        <v>47.90421031269026</v>
      </c>
      <c r="AH19" s="7594">
        <f t="shared" si="59"/>
        <v>41.139375002868128</v>
      </c>
      <c r="AI19" s="1823">
        <f t="shared" si="59"/>
        <v>48.760492661294897</v>
      </c>
      <c r="AJ19" s="2677">
        <f t="shared" si="59"/>
        <v>40</v>
      </c>
      <c r="AK19" s="1646">
        <f t="shared" si="59"/>
        <v>57.882135031962235</v>
      </c>
      <c r="AL19" s="7737">
        <f t="shared" si="59"/>
        <v>40</v>
      </c>
      <c r="AM19" s="2011">
        <f t="shared" si="59"/>
        <v>52.880576466192885</v>
      </c>
      <c r="AN19" s="7735">
        <f t="shared" si="59"/>
        <v>40.986975393739577</v>
      </c>
      <c r="AO19" s="1823">
        <f t="shared" ref="AO19:AS19" si="60">+AO7/AO$54*1000</f>
        <v>50.049682550450733</v>
      </c>
      <c r="AP19" s="2677">
        <f t="shared" si="60"/>
        <v>40</v>
      </c>
      <c r="AQ19" s="1646">
        <f t="shared" si="60"/>
        <v>54.475995827663439</v>
      </c>
      <c r="AR19" s="8045">
        <f t="shared" si="60"/>
        <v>40.872221981374622</v>
      </c>
      <c r="AS19" s="1823">
        <f t="shared" si="60"/>
        <v>50.629483055420309</v>
      </c>
      <c r="AT19" s="2677">
        <f t="shared" ref="AT19:AW19" si="61">+AT7/AT$54*1000</f>
        <v>40</v>
      </c>
      <c r="AU19" s="1646">
        <f t="shared" si="61"/>
        <v>64.430763522953228</v>
      </c>
      <c r="AV19" s="8171">
        <f t="shared" si="61"/>
        <v>40.788214993287767</v>
      </c>
      <c r="AW19" s="1823">
        <f t="shared" si="61"/>
        <v>52.104259313977828</v>
      </c>
      <c r="AX19" s="2677">
        <f t="shared" ref="AX19:BE19" si="62">+AX7/AX$54*1000</f>
        <v>40</v>
      </c>
      <c r="AY19" s="1646">
        <f t="shared" si="62"/>
        <v>65.813660568421327</v>
      </c>
      <c r="AZ19" s="8323">
        <f t="shared" si="62"/>
        <v>40</v>
      </c>
      <c r="BA19" s="2011">
        <f t="shared" si="62"/>
        <v>61.577851801289881</v>
      </c>
      <c r="BB19" s="8323">
        <f t="shared" ref="BB19:BC19" si="63">+BB7/BB$54*1000</f>
        <v>40</v>
      </c>
      <c r="BC19" s="2011">
        <f t="shared" si="63"/>
        <v>57.550756114985873</v>
      </c>
      <c r="BD19" s="6509">
        <f t="shared" si="62"/>
        <v>40.712143325061007</v>
      </c>
      <c r="BE19" s="6531">
        <f t="shared" si="62"/>
        <v>53.618644817288626</v>
      </c>
    </row>
    <row r="20" spans="2:57" x14ac:dyDescent="0.2">
      <c r="B20" s="1533" t="s">
        <v>150</v>
      </c>
      <c r="C20" s="1544" t="s">
        <v>709</v>
      </c>
      <c r="D20" s="2680">
        <f t="shared" ref="D20:M20" si="64">+D8/D$54*1000</f>
        <v>90.671472104518273</v>
      </c>
      <c r="E20" s="2750">
        <f t="shared" si="64"/>
        <v>90.671472104518273</v>
      </c>
      <c r="F20" s="2680">
        <f t="shared" si="64"/>
        <v>91.088611831645892</v>
      </c>
      <c r="G20" s="1646">
        <f t="shared" si="64"/>
        <v>91.088611831645892</v>
      </c>
      <c r="H20" s="6870">
        <f t="shared" si="64"/>
        <v>90.881682616184804</v>
      </c>
      <c r="I20" s="1823">
        <f t="shared" si="64"/>
        <v>90.881682616184804</v>
      </c>
      <c r="J20" s="2677">
        <f t="shared" si="64"/>
        <v>101.4</v>
      </c>
      <c r="K20" s="1646">
        <f t="shared" si="64"/>
        <v>88.277852622044122</v>
      </c>
      <c r="L20" s="6871">
        <f t="shared" si="64"/>
        <v>94.622967779795772</v>
      </c>
      <c r="M20" s="2011">
        <f t="shared" si="64"/>
        <v>89.958494930938286</v>
      </c>
      <c r="N20" s="2677">
        <f t="shared" ref="N20:P20" si="65">+N8/N$54*1000</f>
        <v>101.40000000000003</v>
      </c>
      <c r="O20" s="1646">
        <f t="shared" si="65"/>
        <v>82.633297939543823</v>
      </c>
      <c r="P20" s="6870">
        <f t="shared" si="65"/>
        <v>96.801303968796603</v>
      </c>
      <c r="Q20" s="1823">
        <f t="shared" ref="Q20:T20" si="66">+Q8/Q$54*1000</f>
        <v>87.847013038837559</v>
      </c>
      <c r="R20" s="2677">
        <f t="shared" si="66"/>
        <v>101.4</v>
      </c>
      <c r="S20" s="1646">
        <f t="shared" si="66"/>
        <v>89.599944291633307</v>
      </c>
      <c r="T20" s="6870">
        <f t="shared" si="66"/>
        <v>97.914966782840295</v>
      </c>
      <c r="U20" s="1823">
        <f t="shared" ref="U20:Z20" si="67">+U8/U$54*1000</f>
        <v>88.22851877447593</v>
      </c>
      <c r="V20" s="2677">
        <f t="shared" si="67"/>
        <v>101.40000000000002</v>
      </c>
      <c r="W20" s="1646">
        <f t="shared" si="67"/>
        <v>91.938630883354506</v>
      </c>
      <c r="X20" s="6871">
        <f t="shared" si="67"/>
        <v>101.40000000000002</v>
      </c>
      <c r="Y20" s="2011">
        <f t="shared" si="67"/>
        <v>87.648761659697655</v>
      </c>
      <c r="Z20" s="6509">
        <f t="shared" si="67"/>
        <v>98.587180588438045</v>
      </c>
      <c r="AA20" s="6531">
        <f t="shared" ref="AA20:AN20" si="68">+AA8/AA$54*1000</f>
        <v>88.753080732765454</v>
      </c>
      <c r="AB20" s="2677">
        <f t="shared" si="68"/>
        <v>101.4</v>
      </c>
      <c r="AC20" s="1646">
        <f t="shared" si="68"/>
        <v>102.05273613257042</v>
      </c>
      <c r="AD20" s="7346">
        <f t="shared" si="68"/>
        <v>98.847974385800498</v>
      </c>
      <c r="AE20" s="1823">
        <f t="shared" si="68"/>
        <v>90.891568843822157</v>
      </c>
      <c r="AF20" s="2677">
        <f t="shared" si="68"/>
        <v>101.4</v>
      </c>
      <c r="AG20" s="1646">
        <f t="shared" si="68"/>
        <v>96.286120174219832</v>
      </c>
      <c r="AH20" s="7594">
        <f t="shared" si="68"/>
        <v>99.22265456155047</v>
      </c>
      <c r="AI20" s="1823">
        <f t="shared" si="68"/>
        <v>91.694543304912941</v>
      </c>
      <c r="AJ20" s="2677">
        <f t="shared" si="68"/>
        <v>101.4</v>
      </c>
      <c r="AK20" s="1646">
        <f t="shared" si="68"/>
        <v>94.587879198572423</v>
      </c>
      <c r="AL20" s="7737">
        <f t="shared" si="68"/>
        <v>101.4</v>
      </c>
      <c r="AM20" s="2011">
        <f t="shared" si="68"/>
        <v>97.417997849191579</v>
      </c>
      <c r="AN20" s="7735">
        <f t="shared" si="68"/>
        <v>99.513890188909528</v>
      </c>
      <c r="AO20" s="1823">
        <f t="shared" ref="AO20:AS20" si="69">+AO8/AO$54*1000</f>
        <v>92.10346740305917</v>
      </c>
      <c r="AP20" s="2677">
        <f t="shared" si="69"/>
        <v>101.39999999999999</v>
      </c>
      <c r="AQ20" s="1646">
        <f t="shared" si="69"/>
        <v>86.39331155387768</v>
      </c>
      <c r="AR20" s="8045">
        <f t="shared" si="69"/>
        <v>99.733183940598309</v>
      </c>
      <c r="AS20" s="1823">
        <f t="shared" si="69"/>
        <v>91.355497018347663</v>
      </c>
      <c r="AT20" s="2677">
        <f t="shared" ref="AT20:AW20" si="70">+AT8/AT$54*1000</f>
        <v>101.4012539184953</v>
      </c>
      <c r="AU20" s="1646">
        <f t="shared" si="70"/>
        <v>79.500066665507262</v>
      </c>
      <c r="AV20" s="8171">
        <f t="shared" si="70"/>
        <v>99.893842050292363</v>
      </c>
      <c r="AW20" s="1823">
        <f t="shared" si="70"/>
        <v>90.088650274635583</v>
      </c>
      <c r="AX20" s="2677">
        <f t="shared" ref="AX20:BE20" si="71">+AX8/AX$54*1000</f>
        <v>101.39909553420011</v>
      </c>
      <c r="AY20" s="1646">
        <f t="shared" si="71"/>
        <v>89.852469851721594</v>
      </c>
      <c r="AZ20" s="8323">
        <f t="shared" si="71"/>
        <v>101.40007836990596</v>
      </c>
      <c r="BA20" s="2011">
        <f t="shared" si="71"/>
        <v>85.511098928775155</v>
      </c>
      <c r="BB20" s="8323">
        <f t="shared" ref="BB20:BC20" si="72">+BB8/BB$54*1000</f>
        <v>101.40004227771171</v>
      </c>
      <c r="BC20" s="2011">
        <f t="shared" si="72"/>
        <v>91.024345253882117</v>
      </c>
      <c r="BD20" s="6509">
        <f t="shared" si="71"/>
        <v>100.03911604863053</v>
      </c>
      <c r="BE20" s="6531">
        <f t="shared" si="71"/>
        <v>90.062561009175454</v>
      </c>
    </row>
    <row r="21" spans="2:57" x14ac:dyDescent="0.2">
      <c r="B21" s="1533" t="s">
        <v>151</v>
      </c>
      <c r="C21" s="1544" t="s">
        <v>709</v>
      </c>
      <c r="D21" s="2680">
        <f t="shared" ref="D21:M21" si="73">+D9/D$54*1000</f>
        <v>58.621525018169145</v>
      </c>
      <c r="E21" s="2750">
        <f t="shared" si="73"/>
        <v>58.621525018169145</v>
      </c>
      <c r="F21" s="2680">
        <f t="shared" si="73"/>
        <v>56.823696761777256</v>
      </c>
      <c r="G21" s="1646">
        <f t="shared" si="73"/>
        <v>56.823696761777256</v>
      </c>
      <c r="H21" s="6870">
        <f t="shared" si="73"/>
        <v>57.715539869578691</v>
      </c>
      <c r="I21" s="1823">
        <f t="shared" si="73"/>
        <v>57.715539869578691</v>
      </c>
      <c r="J21" s="2677">
        <f t="shared" si="73"/>
        <v>40</v>
      </c>
      <c r="K21" s="1646">
        <f t="shared" si="73"/>
        <v>49.331966945701446</v>
      </c>
      <c r="L21" s="6871">
        <f t="shared" si="73"/>
        <v>51.414257633942945</v>
      </c>
      <c r="M21" s="2011">
        <f t="shared" si="73"/>
        <v>54.743144859495132</v>
      </c>
      <c r="N21" s="2677">
        <f t="shared" ref="N21:P21" si="74">+N9/N$54*1000</f>
        <v>40.000000000000007</v>
      </c>
      <c r="O21" s="1646">
        <f t="shared" si="74"/>
        <v>44.428166288087525</v>
      </c>
      <c r="P21" s="6870">
        <f t="shared" si="74"/>
        <v>47.745381691392481</v>
      </c>
      <c r="Q21" s="1823">
        <f t="shared" ref="Q21:T21" si="75">+Q9/Q$54*1000</f>
        <v>51.769860933271609</v>
      </c>
      <c r="R21" s="2677">
        <f t="shared" si="75"/>
        <v>40</v>
      </c>
      <c r="S21" s="1646">
        <f t="shared" si="75"/>
        <v>48.570732216844817</v>
      </c>
      <c r="T21" s="6870">
        <f t="shared" si="75"/>
        <v>45.869688340114095</v>
      </c>
      <c r="U21" s="1823">
        <f t="shared" ref="U21:Z21" si="76">+U9/U$54*1000</f>
        <v>51.073606615017155</v>
      </c>
      <c r="V21" s="2677">
        <f t="shared" si="76"/>
        <v>40</v>
      </c>
      <c r="W21" s="2067">
        <f t="shared" si="76"/>
        <v>57.273547223295964</v>
      </c>
      <c r="X21" s="6871">
        <f t="shared" si="76"/>
        <v>40</v>
      </c>
      <c r="Y21" s="2011">
        <f t="shared" si="76"/>
        <v>49.391489075227959</v>
      </c>
      <c r="Z21" s="6509">
        <f t="shared" si="76"/>
        <v>44.737508159634629</v>
      </c>
      <c r="AA21" s="6531">
        <f t="shared" ref="AA21:AN21" si="77">+AA9/AA$54*1000</f>
        <v>51.950198181879692</v>
      </c>
      <c r="AB21" s="2677">
        <f t="shared" si="77"/>
        <v>40</v>
      </c>
      <c r="AC21" s="1646">
        <f t="shared" si="77"/>
        <v>64.152673311034505</v>
      </c>
      <c r="AD21" s="7346">
        <f t="shared" si="77"/>
        <v>44.298264624159806</v>
      </c>
      <c r="AE21" s="1823">
        <f t="shared" si="77"/>
        <v>53.912267664487885</v>
      </c>
      <c r="AF21" s="2677">
        <f t="shared" si="77"/>
        <v>40</v>
      </c>
      <c r="AG21" s="1646">
        <f t="shared" si="77"/>
        <v>55.013503598357715</v>
      </c>
      <c r="AH21" s="7594">
        <f t="shared" si="77"/>
        <v>43.667207264923483</v>
      </c>
      <c r="AI21" s="1823">
        <f t="shared" si="77"/>
        <v>54.076185713714743</v>
      </c>
      <c r="AJ21" s="2677">
        <f t="shared" si="77"/>
        <v>40</v>
      </c>
      <c r="AK21" s="2067">
        <f t="shared" si="77"/>
        <v>57.882135031962235</v>
      </c>
      <c r="AL21" s="7737">
        <f t="shared" si="77"/>
        <v>40</v>
      </c>
      <c r="AM21" s="2011">
        <f t="shared" si="77"/>
        <v>58.839678080537659</v>
      </c>
      <c r="AN21" s="7735">
        <f t="shared" si="77"/>
        <v>43.176691892582639</v>
      </c>
      <c r="AO21" s="1823">
        <f t="shared" ref="AO21:AS21" si="78">+AO9/AO$54*1000</f>
        <v>54.614092285836279</v>
      </c>
      <c r="AP21" s="2677">
        <f t="shared" si="78"/>
        <v>40</v>
      </c>
      <c r="AQ21" s="2067">
        <f t="shared" si="78"/>
        <v>57.867342994657506</v>
      </c>
      <c r="AR21" s="8045">
        <f t="shared" si="78"/>
        <v>42.807345060819443</v>
      </c>
      <c r="AS21" s="1823">
        <f t="shared" si="78"/>
        <v>55.040233926889528</v>
      </c>
      <c r="AT21" s="2677">
        <f t="shared" ref="AT21:AW21" si="79">+AT9/AT$54*1000</f>
        <v>40</v>
      </c>
      <c r="AU21" s="2067">
        <f t="shared" si="79"/>
        <v>56.816403192987949</v>
      </c>
      <c r="AV21" s="8171">
        <f t="shared" si="79"/>
        <v>42.536959071798279</v>
      </c>
      <c r="AW21" s="1823">
        <f t="shared" si="79"/>
        <v>55.230031697537228</v>
      </c>
      <c r="AX21" s="2677">
        <f t="shared" ref="AX21:BE21" si="80">+AX9/AX$54*1000</f>
        <v>40</v>
      </c>
      <c r="AY21" s="2067">
        <f t="shared" si="80"/>
        <v>56.537842792472595</v>
      </c>
      <c r="AZ21" s="8323">
        <f t="shared" si="80"/>
        <v>40</v>
      </c>
      <c r="BA21" s="2011">
        <f t="shared" si="80"/>
        <v>57.070288617535262</v>
      </c>
      <c r="BB21" s="8323">
        <f t="shared" ref="BB21:BC21" si="81">+BB9/BB$54*1000</f>
        <v>40</v>
      </c>
      <c r="BC21" s="2011">
        <f t="shared" si="81"/>
        <v>57.889568265391702</v>
      </c>
      <c r="BD21" s="6509">
        <f t="shared" si="80"/>
        <v>42.2921138069173</v>
      </c>
      <c r="BE21" s="6531">
        <f t="shared" si="80"/>
        <v>55.374496807754731</v>
      </c>
    </row>
    <row r="22" spans="2:57" ht="15" hidden="1" customHeight="1" x14ac:dyDescent="0.2">
      <c r="B22" s="1533" t="s">
        <v>1388</v>
      </c>
      <c r="C22" s="1544" t="s">
        <v>709</v>
      </c>
      <c r="D22" s="2680">
        <f t="shared" ref="D22:F22" si="82">+D10/$D$54*1000</f>
        <v>0</v>
      </c>
      <c r="E22" s="2750">
        <f t="shared" ref="E22" si="83">+E10/$E$54*1000</f>
        <v>0</v>
      </c>
      <c r="F22" s="2680">
        <f t="shared" si="82"/>
        <v>0</v>
      </c>
      <c r="G22" s="1646">
        <f t="shared" ref="G22:G27" si="84">+G10/$G$54*1000</f>
        <v>0</v>
      </c>
      <c r="H22" s="6870">
        <f t="shared" ref="H22" si="85">+H10/$H$54*1000</f>
        <v>0</v>
      </c>
      <c r="I22" s="1823">
        <f t="shared" ref="I22" si="86">+I10/$I$54*1000</f>
        <v>0</v>
      </c>
      <c r="J22" s="2677">
        <f t="shared" ref="J22" si="87">+J10/$D$54*1000</f>
        <v>0</v>
      </c>
      <c r="K22" s="1646">
        <f t="shared" ref="K22" si="88">+K10/$K$54*1000</f>
        <v>0</v>
      </c>
      <c r="L22" s="6871">
        <f t="shared" ref="L22" si="89">+L10/$L$54*1000</f>
        <v>0</v>
      </c>
      <c r="M22" s="2011">
        <f t="shared" ref="M22" si="90">+M10/$M$54*1000</f>
        <v>0</v>
      </c>
      <c r="N22" s="2677">
        <f t="shared" ref="N22" si="91">+N10/$D$54*1000</f>
        <v>0</v>
      </c>
      <c r="O22" s="1646">
        <f t="shared" ref="O22" si="92">+O10/$K$54*1000</f>
        <v>0</v>
      </c>
      <c r="P22" s="6870">
        <f t="shared" ref="P22:Q22" si="93">+P10/$I$54*1000</f>
        <v>0</v>
      </c>
      <c r="Q22" s="1823">
        <f t="shared" si="93"/>
        <v>0</v>
      </c>
      <c r="R22" s="2677">
        <f t="shared" ref="R22" si="94">+R10/$D$54*1000</f>
        <v>0</v>
      </c>
      <c r="S22" s="1646">
        <f t="shared" ref="S22" si="95">+S10/$K$54*1000</f>
        <v>0</v>
      </c>
      <c r="T22" s="6870">
        <f t="shared" ref="T22:U22" si="96">+T10/$I$54*1000</f>
        <v>0</v>
      </c>
      <c r="U22" s="1823">
        <f t="shared" si="96"/>
        <v>0</v>
      </c>
      <c r="V22" s="2677">
        <f t="shared" ref="V22" si="97">+V10/$D$54*1000</f>
        <v>0</v>
      </c>
      <c r="W22" s="1646">
        <f t="shared" ref="W22" si="98">+W10/$K$54*1000</f>
        <v>0</v>
      </c>
      <c r="X22" s="6871">
        <f t="shared" ref="X22" si="99">+X10/$L$54*1000</f>
        <v>0</v>
      </c>
      <c r="Y22" s="2011">
        <f t="shared" ref="Y22" si="100">+Y10/$M$54*1000</f>
        <v>0</v>
      </c>
      <c r="Z22" s="6509">
        <f t="shared" ref="Z22:AA22" si="101">+Z10/$I$54*1000</f>
        <v>0</v>
      </c>
      <c r="AA22" s="6531">
        <f t="shared" si="101"/>
        <v>0</v>
      </c>
      <c r="AB22" s="2677">
        <f t="shared" ref="AB22" si="102">+AB10/$D$54*1000</f>
        <v>0</v>
      </c>
      <c r="AC22" s="1646">
        <f t="shared" ref="AC22" si="103">+AC10/$K$54*1000</f>
        <v>0</v>
      </c>
      <c r="AD22" s="7346">
        <f t="shared" ref="AD22:AE22" si="104">+AD10/$I$54*1000</f>
        <v>0</v>
      </c>
      <c r="AE22" s="1823">
        <f t="shared" si="104"/>
        <v>0</v>
      </c>
      <c r="AF22" s="2677">
        <f t="shared" ref="AF22" si="105">+AF10/$D$54*1000</f>
        <v>0</v>
      </c>
      <c r="AG22" s="1646">
        <f t="shared" ref="AG22" si="106">+AG10/$K$54*1000</f>
        <v>0</v>
      </c>
      <c r="AH22" s="7594">
        <f t="shared" ref="AH22:AI22" si="107">+AH10/$I$54*1000</f>
        <v>0</v>
      </c>
      <c r="AI22" s="1823">
        <f t="shared" si="107"/>
        <v>0</v>
      </c>
      <c r="AJ22" s="2677">
        <f t="shared" ref="AJ22" si="108">+AJ10/$D$54*1000</f>
        <v>0</v>
      </c>
      <c r="AK22" s="1646">
        <f t="shared" ref="AK22" si="109">+AK10/$K$54*1000</f>
        <v>0</v>
      </c>
      <c r="AL22" s="7737">
        <f t="shared" ref="AL22" si="110">+AL10/$L$54*1000</f>
        <v>0</v>
      </c>
      <c r="AM22" s="2011">
        <f t="shared" ref="AM22" si="111">+AM10/$M$54*1000</f>
        <v>0</v>
      </c>
      <c r="AN22" s="7735">
        <f t="shared" ref="AN22:AO22" si="112">+AN10/$I$54*1000</f>
        <v>0</v>
      </c>
      <c r="AO22" s="1823">
        <f t="shared" si="112"/>
        <v>0</v>
      </c>
      <c r="AP22" s="2677">
        <f t="shared" ref="AP22" si="113">+AP10/$D$54*1000</f>
        <v>0</v>
      </c>
      <c r="AQ22" s="1646">
        <f t="shared" ref="AQ22" si="114">+AQ10/$K$54*1000</f>
        <v>0</v>
      </c>
      <c r="AR22" s="8045">
        <f t="shared" ref="AR22:AS22" si="115">+AR10/$I$54*1000</f>
        <v>0</v>
      </c>
      <c r="AS22" s="1823">
        <f t="shared" si="115"/>
        <v>0</v>
      </c>
      <c r="AT22" s="2677">
        <f t="shared" ref="AT22" si="116">+AT10/$D$54*1000</f>
        <v>0</v>
      </c>
      <c r="AU22" s="1646">
        <f t="shared" ref="AU22" si="117">+AU10/$K$54*1000</f>
        <v>0</v>
      </c>
      <c r="AV22" s="8171">
        <f t="shared" ref="AV22:AW22" si="118">+AV10/$I$54*1000</f>
        <v>0</v>
      </c>
      <c r="AW22" s="1823">
        <f t="shared" si="118"/>
        <v>0</v>
      </c>
      <c r="AX22" s="2677">
        <f t="shared" ref="AX22" si="119">+AX10/$D$54*1000</f>
        <v>0</v>
      </c>
      <c r="AY22" s="1646">
        <f t="shared" ref="AY22" si="120">+AY10/$K$54*1000</f>
        <v>0</v>
      </c>
      <c r="AZ22" s="8323">
        <f t="shared" ref="AZ22" si="121">+AZ10/$L$54*1000</f>
        <v>0</v>
      </c>
      <c r="BA22" s="2011">
        <f t="shared" ref="BA22" si="122">+BA10/$M$54*1000</f>
        <v>0</v>
      </c>
      <c r="BB22" s="8323">
        <f t="shared" ref="BB22" si="123">+BB10/$L$54*1000</f>
        <v>0</v>
      </c>
      <c r="BC22" s="2011">
        <f t="shared" ref="BC22" si="124">+BC10/$M$54*1000</f>
        <v>0</v>
      </c>
      <c r="BD22" s="6509">
        <f t="shared" ref="BD22:BE22" si="125">+BD10/$I$54*1000</f>
        <v>0</v>
      </c>
      <c r="BE22" s="6531">
        <f t="shared" si="125"/>
        <v>0</v>
      </c>
    </row>
    <row r="23" spans="2:57" x14ac:dyDescent="0.2">
      <c r="B23" s="1533" t="s">
        <v>1233</v>
      </c>
      <c r="C23" s="1544" t="s">
        <v>709</v>
      </c>
      <c r="D23" s="2680">
        <f t="shared" ref="D23:F27" si="126">+D11/D$54*1000</f>
        <v>20.336692323058028</v>
      </c>
      <c r="E23" s="2750">
        <f t="shared" si="126"/>
        <v>20.336692323058028</v>
      </c>
      <c r="F23" s="2680">
        <f t="shared" si="126"/>
        <v>18.404317630323821</v>
      </c>
      <c r="G23" s="1646">
        <f t="shared" si="84"/>
        <v>18.404317630323821</v>
      </c>
      <c r="H23" s="6870">
        <f t="shared" ref="H23:M27" si="127">+H11/H$54*1000</f>
        <v>19.362904773048793</v>
      </c>
      <c r="I23" s="1823">
        <f t="shared" si="127"/>
        <v>19.362904773048793</v>
      </c>
      <c r="J23" s="2677">
        <f t="shared" si="127"/>
        <v>5</v>
      </c>
      <c r="K23" s="1646">
        <f t="shared" si="127"/>
        <v>16.074245512222642</v>
      </c>
      <c r="L23" s="6871">
        <f t="shared" si="127"/>
        <v>14.25412923672117</v>
      </c>
      <c r="M23" s="2011">
        <f t="shared" si="127"/>
        <v>18.196910934204258</v>
      </c>
      <c r="N23" s="2677">
        <f t="shared" ref="N23:P23" si="128">+N11/N$54*1000</f>
        <v>5.0000000000000009</v>
      </c>
      <c r="O23" s="1646">
        <f t="shared" si="128"/>
        <v>10.705501270144218</v>
      </c>
      <c r="P23" s="6870">
        <f t="shared" si="128"/>
        <v>11.27958168271342</v>
      </c>
      <c r="Q23" s="1823">
        <f t="shared" ref="Q23:T23" si="129">+Q11/Q$54*1000</f>
        <v>16.037518378542774</v>
      </c>
      <c r="R23" s="2677">
        <f t="shared" si="129"/>
        <v>5</v>
      </c>
      <c r="S23" s="1646">
        <f t="shared" si="129"/>
        <v>10.173740468646635</v>
      </c>
      <c r="T23" s="6870">
        <f t="shared" si="129"/>
        <v>9.7588600345905476</v>
      </c>
      <c r="U23" s="1823">
        <f t="shared" ref="U23:Z23" si="130">+U11/U$54*1000</f>
        <v>14.761333187841753</v>
      </c>
      <c r="V23" s="2677">
        <f t="shared" si="130"/>
        <v>5</v>
      </c>
      <c r="W23" s="1646">
        <f t="shared" si="130"/>
        <v>5.8258324589982884</v>
      </c>
      <c r="X23" s="6871">
        <f t="shared" si="130"/>
        <v>5</v>
      </c>
      <c r="Y23" s="2011">
        <f t="shared" si="130"/>
        <v>9.1931152617681597</v>
      </c>
      <c r="Z23" s="6509">
        <f t="shared" si="130"/>
        <v>8.8409429833532887</v>
      </c>
      <c r="AA23" s="6531">
        <f t="shared" ref="AA23:AN23" si="131">+AA11/AA$54*1000</f>
        <v>13.497968733327609</v>
      </c>
      <c r="AB23" s="2677">
        <f t="shared" si="131"/>
        <v>5</v>
      </c>
      <c r="AC23" s="1646">
        <f t="shared" si="131"/>
        <v>6.0987826205069862</v>
      </c>
      <c r="AD23" s="7346">
        <f t="shared" si="131"/>
        <v>8.4848255227143525</v>
      </c>
      <c r="AE23" s="1823">
        <f t="shared" si="131"/>
        <v>12.30823328093425</v>
      </c>
      <c r="AF23" s="2677">
        <f t="shared" si="131"/>
        <v>5</v>
      </c>
      <c r="AG23" s="1646">
        <f t="shared" si="131"/>
        <v>6.0446165134177372</v>
      </c>
      <c r="AH23" s="7594">
        <f t="shared" si="131"/>
        <v>7.9731946707182875</v>
      </c>
      <c r="AI23" s="1823">
        <f t="shared" si="131"/>
        <v>11.375899155196114</v>
      </c>
      <c r="AJ23" s="2677">
        <f t="shared" si="131"/>
        <v>5</v>
      </c>
      <c r="AK23" s="1646">
        <f t="shared" si="131"/>
        <v>4.8620993426848278</v>
      </c>
      <c r="AL23" s="7737">
        <f t="shared" si="131"/>
        <v>5</v>
      </c>
      <c r="AM23" s="2011">
        <f t="shared" si="131"/>
        <v>5.6288431251535185</v>
      </c>
      <c r="AN23" s="7735">
        <f t="shared" si="131"/>
        <v>7.5755084791308471</v>
      </c>
      <c r="AO23" s="1823">
        <f t="shared" ref="AO23:AS23" si="132">+AO11/AO$54*1000</f>
        <v>10.455283709311189</v>
      </c>
      <c r="AP23" s="2677">
        <f t="shared" si="132"/>
        <v>5</v>
      </c>
      <c r="AQ23" s="1646">
        <f t="shared" si="132"/>
        <v>6.0890698548683435</v>
      </c>
      <c r="AR23" s="8045">
        <f t="shared" si="132"/>
        <v>7.2760598926414435</v>
      </c>
      <c r="AS23" s="1823">
        <f t="shared" si="132"/>
        <v>9.8833555968922564</v>
      </c>
      <c r="AT23" s="2677">
        <f t="shared" ref="AT23:AW23" si="133">+AT11/AT$54*1000</f>
        <v>5</v>
      </c>
      <c r="AU23" s="1646">
        <f t="shared" si="133"/>
        <v>13.379477458363043</v>
      </c>
      <c r="AV23" s="8171">
        <f t="shared" si="133"/>
        <v>7.0568439815900179</v>
      </c>
      <c r="AW23" s="1823">
        <f t="shared" si="133"/>
        <v>10.256943941136862</v>
      </c>
      <c r="AX23" s="2677">
        <f t="shared" ref="AX23:BE23" si="134">+AX11/AX$54*1000</f>
        <v>5</v>
      </c>
      <c r="AY23" s="1646">
        <f t="shared" si="134"/>
        <v>7.3178944217890685</v>
      </c>
      <c r="AZ23" s="8323">
        <f t="shared" si="134"/>
        <v>5</v>
      </c>
      <c r="BA23" s="2011">
        <f t="shared" si="134"/>
        <v>8.765942223096344</v>
      </c>
      <c r="BB23" s="8323">
        <f t="shared" ref="BB23:BC23" si="135">+BB11/BB$54*1000</f>
        <v>5</v>
      </c>
      <c r="BC23" s="2011">
        <f t="shared" si="135"/>
        <v>7.3133725667290292</v>
      </c>
      <c r="BD23" s="6509">
        <f t="shared" si="134"/>
        <v>6.858335257074299</v>
      </c>
      <c r="BE23" s="6531">
        <f t="shared" si="134"/>
        <v>9.9322868753025499</v>
      </c>
    </row>
    <row r="24" spans="2:57" x14ac:dyDescent="0.2">
      <c r="B24" s="1533" t="s">
        <v>152</v>
      </c>
      <c r="C24" s="1544" t="s">
        <v>709</v>
      </c>
      <c r="D24" s="2680">
        <f t="shared" si="126"/>
        <v>6.1201331128952052</v>
      </c>
      <c r="E24" s="2750">
        <f t="shared" si="126"/>
        <v>6.1201331128952052</v>
      </c>
      <c r="F24" s="2680">
        <f t="shared" si="126"/>
        <v>12.969625972721948</v>
      </c>
      <c r="G24" s="1646">
        <f t="shared" si="84"/>
        <v>12.969625972721948</v>
      </c>
      <c r="H24" s="6870">
        <f t="shared" si="127"/>
        <v>9.5718192148999908</v>
      </c>
      <c r="I24" s="1823">
        <f t="shared" si="127"/>
        <v>9.5718192148999908</v>
      </c>
      <c r="J24" s="2677">
        <f t="shared" si="127"/>
        <v>4.5</v>
      </c>
      <c r="K24" s="1646">
        <f t="shared" si="127"/>
        <v>9.4035103880003525</v>
      </c>
      <c r="L24" s="6871">
        <f t="shared" si="127"/>
        <v>7.767811854329195</v>
      </c>
      <c r="M24" s="2011">
        <f t="shared" si="127"/>
        <v>9.5121453357828134</v>
      </c>
      <c r="N24" s="2677">
        <f t="shared" ref="N24:P24" si="136">+N12/N$54*1000</f>
        <v>4.5000000000000009</v>
      </c>
      <c r="O24" s="1646">
        <f t="shared" si="136"/>
        <v>4.0322038682275769</v>
      </c>
      <c r="P24" s="6870">
        <f t="shared" si="136"/>
        <v>6.7174416347647634</v>
      </c>
      <c r="Q24" s="1823">
        <f t="shared" ref="Q24:T24" si="137">+Q12/Q$54*1000</f>
        <v>7.9325568015621037</v>
      </c>
      <c r="R24" s="2677">
        <f t="shared" si="137"/>
        <v>4.5</v>
      </c>
      <c r="S24" s="1646">
        <f t="shared" si="137"/>
        <v>5.9190139619094042</v>
      </c>
      <c r="T24" s="6870">
        <f t="shared" si="137"/>
        <v>6.180445435365276</v>
      </c>
      <c r="U24" s="1823">
        <f t="shared" ref="U24:Z24" si="138">+U12/U$54*1000</f>
        <v>7.4943318905418348</v>
      </c>
      <c r="V24" s="2677">
        <f t="shared" si="138"/>
        <v>4.5</v>
      </c>
      <c r="W24" s="1646">
        <f t="shared" si="138"/>
        <v>6.7369816113534711</v>
      </c>
      <c r="X24" s="6871">
        <f t="shared" si="138"/>
        <v>4.5</v>
      </c>
      <c r="Y24" s="2011">
        <f t="shared" si="138"/>
        <v>5.4405688910165786</v>
      </c>
      <c r="Z24" s="6509">
        <f t="shared" si="138"/>
        <v>5.8563111873345237</v>
      </c>
      <c r="AA24" s="6531">
        <f t="shared" ref="AA24:AN24" si="139">+AA12/AA$54*1000</f>
        <v>7.3872523377133739</v>
      </c>
      <c r="AB24" s="2677">
        <f t="shared" si="139"/>
        <v>4.5</v>
      </c>
      <c r="AC24" s="1646">
        <f t="shared" si="139"/>
        <v>6.6998319099444794</v>
      </c>
      <c r="AD24" s="7346">
        <f t="shared" si="139"/>
        <v>5.7305592305980895</v>
      </c>
      <c r="AE24" s="1823">
        <f t="shared" si="139"/>
        <v>7.2767201195550868</v>
      </c>
      <c r="AF24" s="2677">
        <f t="shared" si="139"/>
        <v>4.5</v>
      </c>
      <c r="AG24" s="1646">
        <f t="shared" si="139"/>
        <v>6.2850273974741242</v>
      </c>
      <c r="AH24" s="7594">
        <f t="shared" si="139"/>
        <v>5.5498924903326747</v>
      </c>
      <c r="AI24" s="1823">
        <f t="shared" si="139"/>
        <v>7.1291074859346519</v>
      </c>
      <c r="AJ24" s="2677">
        <f t="shared" si="139"/>
        <v>4.5</v>
      </c>
      <c r="AK24" s="1646">
        <f t="shared" si="139"/>
        <v>4.4893948634546312</v>
      </c>
      <c r="AL24" s="7737">
        <f t="shared" si="139"/>
        <v>4.5000000000000009</v>
      </c>
      <c r="AM24" s="2011">
        <f t="shared" si="139"/>
        <v>5.7547541741576858</v>
      </c>
      <c r="AN24" s="7735">
        <f t="shared" si="139"/>
        <v>5.4094618114508961</v>
      </c>
      <c r="AO24" s="1823">
        <f t="shared" ref="AO24:AS24" si="140">+AO12/AO$54*1000</f>
        <v>6.7560287480396344</v>
      </c>
      <c r="AP24" s="2677">
        <f t="shared" si="140"/>
        <v>4.5</v>
      </c>
      <c r="AQ24" s="1646">
        <f t="shared" si="140"/>
        <v>3.9711325140445721</v>
      </c>
      <c r="AR24" s="8045">
        <f t="shared" si="140"/>
        <v>5.3037207292095481</v>
      </c>
      <c r="AS24" s="1823">
        <f t="shared" si="140"/>
        <v>6.3912366193236601</v>
      </c>
      <c r="AT24" s="2677">
        <f t="shared" ref="AT24:AW24" si="141">+AT12/AT$54*1000</f>
        <v>4.5015673981191222</v>
      </c>
      <c r="AU24" s="1646">
        <f t="shared" si="141"/>
        <v>3.8637009211434004</v>
      </c>
      <c r="AV24" s="8171">
        <f t="shared" si="141"/>
        <v>5.2264623170533335</v>
      </c>
      <c r="AW24" s="1823">
        <f t="shared" si="141"/>
        <v>6.1211493872656062</v>
      </c>
      <c r="AX24" s="2677">
        <f t="shared" ref="AX24:BE24" si="142">+AX12/AX$54*1000</f>
        <v>4.5</v>
      </c>
      <c r="AY24" s="1646">
        <f t="shared" si="142"/>
        <v>3.5068028483420006</v>
      </c>
      <c r="AZ24" s="8323">
        <f t="shared" si="142"/>
        <v>4.5004898119122254</v>
      </c>
      <c r="BA24" s="2011">
        <f t="shared" si="142"/>
        <v>3.7724699577365892</v>
      </c>
      <c r="BB24" s="8323">
        <f t="shared" ref="BB24:BC24" si="143">+BB12/BB$54*1000</f>
        <v>4.5002642356982427</v>
      </c>
      <c r="BC24" s="2011">
        <f t="shared" si="143"/>
        <v>4.6903261724023402</v>
      </c>
      <c r="BD24" s="6509">
        <f t="shared" si="142"/>
        <v>5.156350481027971</v>
      </c>
      <c r="BE24" s="6531">
        <f t="shared" si="142"/>
        <v>5.8323600794252339</v>
      </c>
    </row>
    <row r="25" spans="2:57" x14ac:dyDescent="0.2">
      <c r="B25" s="1533" t="s">
        <v>153</v>
      </c>
      <c r="C25" s="1544" t="s">
        <v>709</v>
      </c>
      <c r="D25" s="2680">
        <f t="shared" si="126"/>
        <v>21.250462197552803</v>
      </c>
      <c r="E25" s="2750">
        <f t="shared" si="126"/>
        <v>21.2504621975528</v>
      </c>
      <c r="F25" s="2680">
        <f t="shared" si="126"/>
        <v>22.592251694418877</v>
      </c>
      <c r="G25" s="1646">
        <f t="shared" si="84"/>
        <v>22.592251694418877</v>
      </c>
      <c r="H25" s="6870">
        <f t="shared" si="127"/>
        <v>21.926634324881039</v>
      </c>
      <c r="I25" s="1823">
        <f t="shared" si="127"/>
        <v>21.926634324881039</v>
      </c>
      <c r="J25" s="2677">
        <f t="shared" si="127"/>
        <v>30</v>
      </c>
      <c r="K25" s="1646">
        <f t="shared" si="127"/>
        <v>21.148302954237529</v>
      </c>
      <c r="L25" s="6871">
        <f t="shared" si="127"/>
        <v>24.798268838135549</v>
      </c>
      <c r="M25" s="2011">
        <f t="shared" si="127"/>
        <v>21.650677008913384</v>
      </c>
      <c r="N25" s="2677">
        <f t="shared" ref="N25:P25" si="144">+N13/N$54*1000</f>
        <v>30.000000000000007</v>
      </c>
      <c r="O25" s="1646">
        <f t="shared" si="144"/>
        <v>21.84110428623271</v>
      </c>
      <c r="P25" s="6870">
        <f t="shared" si="144"/>
        <v>26.470257234702615</v>
      </c>
      <c r="Q25" s="1823">
        <f t="shared" ref="Q25:T25" si="145">+Q13/Q$54*1000</f>
        <v>21.705567511966635</v>
      </c>
      <c r="R25" s="2677">
        <f t="shared" si="145"/>
        <v>30</v>
      </c>
      <c r="S25" s="1646">
        <f t="shared" si="145"/>
        <v>26.983740120469342</v>
      </c>
      <c r="T25" s="6870">
        <f t="shared" si="145"/>
        <v>27.325052427552691</v>
      </c>
      <c r="U25" s="1823">
        <f t="shared" ref="U25:Z25" si="146">+U13/U$54*1000</f>
        <v>22.85430230725397</v>
      </c>
      <c r="V25" s="2677">
        <f t="shared" si="146"/>
        <v>30.000000000000004</v>
      </c>
      <c r="W25" s="1646">
        <f t="shared" si="146"/>
        <v>30.159957295635689</v>
      </c>
      <c r="X25" s="6871">
        <f t="shared" si="146"/>
        <v>30</v>
      </c>
      <c r="Y25" s="2011">
        <f t="shared" si="146"/>
        <v>25.93620421831093</v>
      </c>
      <c r="Z25" s="6509">
        <f t="shared" si="146"/>
        <v>27.841012125898043</v>
      </c>
      <c r="AA25" s="6531">
        <f t="shared" ref="AA25:AN25" si="147">+AA13/AA$54*1000</f>
        <v>23.887227613775661</v>
      </c>
      <c r="AB25" s="2677">
        <f t="shared" si="147"/>
        <v>30</v>
      </c>
      <c r="AC25" s="1646">
        <f t="shared" si="147"/>
        <v>29.597432806424774</v>
      </c>
      <c r="AD25" s="7346">
        <f t="shared" si="147"/>
        <v>28.041185177830258</v>
      </c>
      <c r="AE25" s="1823">
        <f t="shared" si="147"/>
        <v>24.805387186267545</v>
      </c>
      <c r="AF25" s="2677">
        <f t="shared" si="147"/>
        <v>30</v>
      </c>
      <c r="AG25" s="1646">
        <f t="shared" si="147"/>
        <v>28.861794963860312</v>
      </c>
      <c r="AH25" s="7594">
        <f t="shared" si="147"/>
        <v>28.328772056954293</v>
      </c>
      <c r="AI25" s="1823">
        <f t="shared" si="147"/>
        <v>25.409180096870347</v>
      </c>
      <c r="AJ25" s="2677">
        <f t="shared" si="147"/>
        <v>30</v>
      </c>
      <c r="AK25" s="1646">
        <f t="shared" si="147"/>
        <v>23.618734611822635</v>
      </c>
      <c r="AL25" s="7737">
        <f t="shared" si="147"/>
        <v>30</v>
      </c>
      <c r="AM25" s="2011">
        <f t="shared" si="147"/>
        <v>27.168921024874656</v>
      </c>
      <c r="AN25" s="7735">
        <f t="shared" si="147"/>
        <v>28.5523108257036</v>
      </c>
      <c r="AO25" s="1823">
        <f t="shared" ref="AO25:AS25" si="148">+AO13/AO$54*1000</f>
        <v>25.156130906536944</v>
      </c>
      <c r="AP25" s="2677">
        <f t="shared" si="148"/>
        <v>30</v>
      </c>
      <c r="AQ25" s="1646">
        <f t="shared" si="148"/>
        <v>20.649889073031773</v>
      </c>
      <c r="AR25" s="8045">
        <f t="shared" si="148"/>
        <v>28.720630394608829</v>
      </c>
      <c r="AS25" s="1823">
        <f t="shared" si="148"/>
        <v>24.565860600991247</v>
      </c>
      <c r="AT25" s="2677">
        <f t="shared" ref="AT25:AW25" si="149">+AT13/AT$54*1000</f>
        <v>30</v>
      </c>
      <c r="AU25" s="1646">
        <f t="shared" si="149"/>
        <v>9.3592575201590691</v>
      </c>
      <c r="AV25" s="8171">
        <f t="shared" si="149"/>
        <v>28.843851305677145</v>
      </c>
      <c r="AW25" s="1823">
        <f t="shared" si="149"/>
        <v>22.940914477356113</v>
      </c>
      <c r="AX25" s="2677">
        <f t="shared" ref="AX25:BE25" si="150">+AX13/AX$54*1000</f>
        <v>30</v>
      </c>
      <c r="AY25" s="1646">
        <f t="shared" si="150"/>
        <v>12.977165874767731</v>
      </c>
      <c r="AZ25" s="8323">
        <f t="shared" si="150"/>
        <v>30</v>
      </c>
      <c r="BA25" s="2011">
        <f t="shared" si="150"/>
        <v>14.445560828964453</v>
      </c>
      <c r="BB25" s="8323">
        <f t="shared" ref="BB25:BC25" si="151">+BB13/BB$54*1000</f>
        <v>30</v>
      </c>
      <c r="BC25" s="2011">
        <f t="shared" si="151"/>
        <v>20.336852869987407</v>
      </c>
      <c r="BD25" s="6509">
        <f t="shared" si="150"/>
        <v>28.955432740494153</v>
      </c>
      <c r="BE25" s="6531">
        <f t="shared" si="150"/>
        <v>21.840286071903144</v>
      </c>
    </row>
    <row r="26" spans="2:57" x14ac:dyDescent="0.2">
      <c r="B26" s="5602" t="s">
        <v>2048</v>
      </c>
      <c r="C26" s="1544" t="s">
        <v>709</v>
      </c>
      <c r="D26" s="2680">
        <f t="shared" si="126"/>
        <v>0</v>
      </c>
      <c r="E26" s="2750">
        <f t="shared" si="126"/>
        <v>0</v>
      </c>
      <c r="F26" s="2680">
        <f t="shared" si="126"/>
        <v>0</v>
      </c>
      <c r="G26" s="2067">
        <f t="shared" si="84"/>
        <v>0.38490502886787714</v>
      </c>
      <c r="H26" s="6870">
        <f t="shared" si="127"/>
        <v>0</v>
      </c>
      <c r="I26" s="2486">
        <f t="shared" si="127"/>
        <v>0.19396638056625531</v>
      </c>
      <c r="J26" s="2677">
        <f t="shared" si="127"/>
        <v>0</v>
      </c>
      <c r="K26" s="2559">
        <f t="shared" si="127"/>
        <v>0</v>
      </c>
      <c r="L26" s="6871">
        <f t="shared" si="127"/>
        <v>0</v>
      </c>
      <c r="M26" s="2888">
        <f t="shared" si="127"/>
        <v>0.12519561815336464</v>
      </c>
      <c r="N26" s="2677">
        <f t="shared" ref="N26:P26" si="152">+N14/N$54*1000</f>
        <v>0</v>
      </c>
      <c r="O26" s="2559">
        <f t="shared" si="152"/>
        <v>3.3601698901896477</v>
      </c>
      <c r="P26" s="6870">
        <f t="shared" si="152"/>
        <v>0</v>
      </c>
      <c r="Q26" s="2486">
        <f t="shared" ref="Q26:T26" si="153">+Q14/Q$54*1000</f>
        <v>1.0576742402082806</v>
      </c>
      <c r="R26" s="2677">
        <f t="shared" si="153"/>
        <v>0</v>
      </c>
      <c r="S26" s="2559">
        <f t="shared" si="153"/>
        <v>0.50485707322168449</v>
      </c>
      <c r="T26" s="6870">
        <f t="shared" si="153"/>
        <v>0</v>
      </c>
      <c r="U26" s="2486">
        <f t="shared" ref="U26:Z26" si="154">+U14/U$54*1000</f>
        <v>0.93735981280083414</v>
      </c>
      <c r="V26" s="2677">
        <f t="shared" si="154"/>
        <v>0</v>
      </c>
      <c r="W26" s="2559">
        <f t="shared" si="154"/>
        <v>0</v>
      </c>
      <c r="X26" s="6871">
        <f t="shared" si="154"/>
        <v>0</v>
      </c>
      <c r="Y26" s="2888">
        <f t="shared" si="154"/>
        <v>1.427463652661316</v>
      </c>
      <c r="Z26" s="6610">
        <f t="shared" si="154"/>
        <v>0</v>
      </c>
      <c r="AA26" s="6611">
        <f t="shared" ref="AA26:AN26" si="155">+AA14/AA$54*1000</f>
        <v>0.80482923566597186</v>
      </c>
      <c r="AB26" s="2677">
        <f t="shared" si="155"/>
        <v>0</v>
      </c>
      <c r="AC26" s="1646">
        <f t="shared" si="155"/>
        <v>0</v>
      </c>
      <c r="AD26" s="7346">
        <f t="shared" si="155"/>
        <v>0</v>
      </c>
      <c r="AE26" s="2486">
        <f t="shared" si="155"/>
        <v>0.6754185328948481</v>
      </c>
      <c r="AF26" s="2677">
        <f t="shared" si="155"/>
        <v>0</v>
      </c>
      <c r="AG26" s="2559">
        <f t="shared" si="155"/>
        <v>0</v>
      </c>
      <c r="AH26" s="7594">
        <f t="shared" si="155"/>
        <v>0</v>
      </c>
      <c r="AI26" s="2486">
        <f t="shared" si="155"/>
        <v>0.57488304824649061</v>
      </c>
      <c r="AJ26" s="2677">
        <f t="shared" si="155"/>
        <v>0</v>
      </c>
      <c r="AK26" s="2559">
        <f t="shared" si="155"/>
        <v>0</v>
      </c>
      <c r="AL26" s="7737">
        <f t="shared" si="155"/>
        <v>0</v>
      </c>
      <c r="AM26" s="2888">
        <f t="shared" si="155"/>
        <v>0</v>
      </c>
      <c r="AN26" s="7735">
        <f t="shared" si="155"/>
        <v>0</v>
      </c>
      <c r="AO26" s="2486">
        <f t="shared" ref="AO26:AS26" si="156">+AO14/AO$54*1000</f>
        <v>0.49363305146633363</v>
      </c>
      <c r="AP26" s="2677">
        <f t="shared" si="156"/>
        <v>0</v>
      </c>
      <c r="AQ26" s="2559">
        <f t="shared" si="156"/>
        <v>0</v>
      </c>
      <c r="AR26" s="8045">
        <f t="shared" si="156"/>
        <v>0</v>
      </c>
      <c r="AS26" s="2486">
        <f t="shared" si="156"/>
        <v>0.42897231134581482</v>
      </c>
      <c r="AT26" s="2677">
        <f t="shared" ref="AT26:AW26" si="157">+AT14/AT$54*1000</f>
        <v>0</v>
      </c>
      <c r="AU26" s="2559">
        <f t="shared" si="157"/>
        <v>0</v>
      </c>
      <c r="AV26" s="8171">
        <f t="shared" si="157"/>
        <v>0</v>
      </c>
      <c r="AW26" s="2486">
        <f t="shared" si="157"/>
        <v>0.38313321823850399</v>
      </c>
      <c r="AX26" s="2677">
        <f t="shared" ref="AX26:BE26" si="158">+AX14/AX$54*1000</f>
        <v>0</v>
      </c>
      <c r="AY26" s="2559">
        <f t="shared" si="158"/>
        <v>0</v>
      </c>
      <c r="AZ26" s="8323">
        <f t="shared" si="158"/>
        <v>0</v>
      </c>
      <c r="BA26" s="2888">
        <f t="shared" si="158"/>
        <v>0</v>
      </c>
      <c r="BB26" s="8323">
        <f t="shared" ref="BB26:BC26" si="159">+BB14/BB$54*1000</f>
        <v>0</v>
      </c>
      <c r="BC26" s="2888">
        <f t="shared" si="159"/>
        <v>0</v>
      </c>
      <c r="BD26" s="6610">
        <f t="shared" si="158"/>
        <v>0</v>
      </c>
      <c r="BE26" s="6611">
        <f t="shared" si="158"/>
        <v>0.34081106420941065</v>
      </c>
    </row>
    <row r="27" spans="2:57" ht="16" thickBot="1" x14ac:dyDescent="0.25">
      <c r="B27" s="2395" t="s">
        <v>358</v>
      </c>
      <c r="C27" s="1547" t="s">
        <v>709</v>
      </c>
      <c r="D27" s="2680">
        <f t="shared" si="126"/>
        <v>146.62818916311429</v>
      </c>
      <c r="E27" s="2818">
        <f t="shared" si="126"/>
        <v>146.62818916311429</v>
      </c>
      <c r="F27" s="2680">
        <f t="shared" si="126"/>
        <v>156.29236047192708</v>
      </c>
      <c r="G27" s="1817">
        <f t="shared" si="84"/>
        <v>156.29236047192705</v>
      </c>
      <c r="H27" s="6870">
        <f t="shared" si="127"/>
        <v>151.49828487336313</v>
      </c>
      <c r="I27" s="1823">
        <f t="shared" si="127"/>
        <v>151.49828487336313</v>
      </c>
      <c r="J27" s="2677">
        <f t="shared" si="127"/>
        <v>130</v>
      </c>
      <c r="K27" s="1817">
        <f t="shared" si="127"/>
        <v>155.11570155944744</v>
      </c>
      <c r="L27" s="6871">
        <f t="shared" si="127"/>
        <v>143.85150912921634</v>
      </c>
      <c r="M27" s="2011">
        <f t="shared" si="127"/>
        <v>152.78083962713478</v>
      </c>
      <c r="N27" s="2677">
        <f t="shared" ref="N27:P27" si="160">+N15/N$54*1000</f>
        <v>130.00000000000003</v>
      </c>
      <c r="O27" s="1817">
        <f t="shared" si="160"/>
        <v>160.42123089743419</v>
      </c>
      <c r="P27" s="6870">
        <f t="shared" si="160"/>
        <v>139.39922933652298</v>
      </c>
      <c r="Q27" s="1823">
        <f t="shared" ref="Q27:T27" si="161">+Q15/Q$54*1000</f>
        <v>154.9831760059044</v>
      </c>
      <c r="R27" s="2677">
        <f t="shared" si="161"/>
        <v>130</v>
      </c>
      <c r="S27" s="1817">
        <f t="shared" si="161"/>
        <v>138.38654642944186</v>
      </c>
      <c r="T27" s="6870">
        <f t="shared" si="161"/>
        <v>137.12302492515752</v>
      </c>
      <c r="U27" s="1823">
        <f t="shared" ref="U27:Z27" si="162">+U15/U$54*1000</f>
        <v>151.37110658470641</v>
      </c>
      <c r="V27" s="2677">
        <f t="shared" si="162"/>
        <v>130</v>
      </c>
      <c r="W27" s="1817">
        <f t="shared" si="162"/>
        <v>127.80017302630367</v>
      </c>
      <c r="X27" s="6871">
        <f t="shared" si="162"/>
        <v>130</v>
      </c>
      <c r="Y27" s="2011">
        <f t="shared" si="162"/>
        <v>143.6938520574177</v>
      </c>
      <c r="Z27" s="6509">
        <f t="shared" si="162"/>
        <v>135.74909377617121</v>
      </c>
      <c r="AA27" s="6531">
        <f t="shared" ref="AA27:AN27" si="163">+AA15/AA$54*1000</f>
        <v>148.03848085716592</v>
      </c>
      <c r="AB27" s="2677">
        <f t="shared" si="163"/>
        <v>130</v>
      </c>
      <c r="AC27" s="1817">
        <f t="shared" si="163"/>
        <v>112.49808988573272</v>
      </c>
      <c r="AD27" s="7346">
        <f t="shared" si="163"/>
        <v>135.21605991302394</v>
      </c>
      <c r="AE27" s="1823">
        <f t="shared" si="163"/>
        <v>142.32384380304862</v>
      </c>
      <c r="AF27" s="2677">
        <f t="shared" si="163"/>
        <v>130</v>
      </c>
      <c r="AG27" s="1817">
        <f t="shared" si="163"/>
        <v>162.89242393493294</v>
      </c>
      <c r="AH27" s="7594">
        <f t="shared" si="163"/>
        <v>134.45025480744025</v>
      </c>
      <c r="AI27" s="1823">
        <f t="shared" si="163"/>
        <v>145.38545978095888</v>
      </c>
      <c r="AJ27" s="2677">
        <f t="shared" si="163"/>
        <v>130</v>
      </c>
      <c r="AK27" s="1817">
        <f t="shared" si="163"/>
        <v>163.7640893587224</v>
      </c>
      <c r="AL27" s="7737">
        <f t="shared" si="163"/>
        <v>130</v>
      </c>
      <c r="AM27" s="2011">
        <f t="shared" si="163"/>
        <v>147.89491174873933</v>
      </c>
      <c r="AN27" s="7735">
        <f t="shared" si="163"/>
        <v>133.85500118903624</v>
      </c>
      <c r="AO27" s="1823">
        <f t="shared" ref="AO27:AS27" si="164">+AO15/AO$54*1000</f>
        <v>147.98296826302621</v>
      </c>
      <c r="AP27" s="2677">
        <f t="shared" si="164"/>
        <v>130</v>
      </c>
      <c r="AQ27" s="1817">
        <f t="shared" si="164"/>
        <v>173.72116295939387</v>
      </c>
      <c r="AR27" s="8045">
        <f t="shared" si="164"/>
        <v>133.40678885880098</v>
      </c>
      <c r="AS27" s="1823">
        <f t="shared" si="164"/>
        <v>151.35440117962185</v>
      </c>
      <c r="AT27" s="2677">
        <f t="shared" ref="AT27:AW27" si="165">+AT15/AT$54*1000</f>
        <v>130</v>
      </c>
      <c r="AU27" s="1817">
        <f t="shared" si="165"/>
        <v>153.97123528286463</v>
      </c>
      <c r="AV27" s="8171">
        <f t="shared" si="165"/>
        <v>133.07866817715444</v>
      </c>
      <c r="AW27" s="1823">
        <f t="shared" si="165"/>
        <v>151.63403065437419</v>
      </c>
      <c r="AX27" s="2677">
        <f t="shared" ref="AX27:BE27" si="166">+AX15/AX$54*1000</f>
        <v>130</v>
      </c>
      <c r="AY27" s="1817">
        <f t="shared" si="166"/>
        <v>162.5774751518326</v>
      </c>
      <c r="AZ27" s="8323">
        <f t="shared" si="166"/>
        <v>130</v>
      </c>
      <c r="BA27" s="2011">
        <f t="shared" si="166"/>
        <v>163.68105497447198</v>
      </c>
      <c r="BB27" s="8323">
        <f t="shared" ref="BB27:BC27" si="167">+BB15/BB$54*1000</f>
        <v>130</v>
      </c>
      <c r="BC27" s="2011">
        <f t="shared" si="167"/>
        <v>156.37160381438449</v>
      </c>
      <c r="BD27" s="6509">
        <f t="shared" si="166"/>
        <v>132.78154185229744</v>
      </c>
      <c r="BE27" s="6531">
        <f t="shared" si="166"/>
        <v>152.8428794870587</v>
      </c>
    </row>
    <row r="28" spans="2:57" ht="17" thickBot="1" x14ac:dyDescent="0.25">
      <c r="B28" s="1580" t="s">
        <v>97</v>
      </c>
      <c r="C28" s="1561" t="s">
        <v>709</v>
      </c>
      <c r="D28" s="2464">
        <f t="shared" ref="D28:I28" si="168">SUM(D18:D27)</f>
        <v>1229.6537449689533</v>
      </c>
      <c r="E28" s="2817">
        <f t="shared" si="168"/>
        <v>1229.6537449689533</v>
      </c>
      <c r="F28" s="2319">
        <f t="shared" si="168"/>
        <v>1253.7904777842859</v>
      </c>
      <c r="G28" s="1678">
        <f t="shared" si="168"/>
        <v>1254.1753828131536</v>
      </c>
      <c r="H28" s="2784">
        <f t="shared" si="168"/>
        <v>1241.8170433198611</v>
      </c>
      <c r="I28" s="1825">
        <f t="shared" si="168"/>
        <v>1242.0110097004274</v>
      </c>
      <c r="J28" s="2319">
        <f t="shared" ref="J28:M28" si="169">SUM(J18:J27)</f>
        <v>1210.9000000000001</v>
      </c>
      <c r="K28" s="1678">
        <f t="shared" si="169"/>
        <v>1220.5948391999723</v>
      </c>
      <c r="L28" s="2951">
        <f t="shared" si="169"/>
        <v>1230.8200871286267</v>
      </c>
      <c r="M28" s="2005">
        <f t="shared" si="169"/>
        <v>1234.4179084166835</v>
      </c>
      <c r="N28" s="2319">
        <f t="shared" ref="N28:Q28" si="170">SUM(N18:N27)</f>
        <v>1210.9000000000003</v>
      </c>
      <c r="O28" s="1678">
        <f t="shared" si="170"/>
        <v>1245.8669910350666</v>
      </c>
      <c r="P28" s="2784">
        <f t="shared" si="170"/>
        <v>1224.4171890354214</v>
      </c>
      <c r="Q28" s="1825">
        <f t="shared" si="170"/>
        <v>1237.7180968837354</v>
      </c>
      <c r="R28" s="2319">
        <f t="shared" ref="R28:U28" si="171">SUM(R18:R27)</f>
        <v>1210.9000000000001</v>
      </c>
      <c r="S28" s="1678">
        <f t="shared" si="171"/>
        <v>1244.9113888792176</v>
      </c>
      <c r="T28" s="2784">
        <f t="shared" si="171"/>
        <v>1221.1437413717786</v>
      </c>
      <c r="U28" s="1825">
        <f t="shared" si="171"/>
        <v>1239.283635834576</v>
      </c>
      <c r="V28" s="2319">
        <f t="shared" ref="V28:AI28" si="172">SUM(V18:V27)</f>
        <v>1210.8999999999999</v>
      </c>
      <c r="W28" s="1678">
        <f t="shared" si="172"/>
        <v>1219.0439376369025</v>
      </c>
      <c r="X28" s="2951">
        <f t="shared" si="172"/>
        <v>1210.8999999999999</v>
      </c>
      <c r="Y28" s="2005">
        <f t="shared" si="172"/>
        <v>1238.2580206003574</v>
      </c>
      <c r="Z28" s="6511">
        <f t="shared" si="172"/>
        <v>1219.1678679892302</v>
      </c>
      <c r="AA28" s="6594">
        <f t="shared" si="172"/>
        <v>1236.4220037840635</v>
      </c>
      <c r="AB28" s="2319">
        <f t="shared" si="172"/>
        <v>1210.9000000000001</v>
      </c>
      <c r="AC28" s="1678">
        <f t="shared" si="172"/>
        <v>1226.4461687352496</v>
      </c>
      <c r="AD28" s="2784">
        <f t="shared" si="172"/>
        <v>1218.401303068589</v>
      </c>
      <c r="AE28" s="1825">
        <f t="shared" si="172"/>
        <v>1234.817961874071</v>
      </c>
      <c r="AF28" s="2319">
        <f t="shared" si="172"/>
        <v>1210.9000000000001</v>
      </c>
      <c r="AG28" s="1678">
        <f t="shared" si="172"/>
        <v>1231.7311144761698</v>
      </c>
      <c r="AH28" s="2784">
        <f t="shared" si="172"/>
        <v>1217.2999859280183</v>
      </c>
      <c r="AI28" s="1825">
        <f t="shared" si="172"/>
        <v>1234.358487216404</v>
      </c>
      <c r="AJ28" s="2319">
        <f t="shared" ref="AJ28:AO28" si="173">SUM(AJ18:AJ27)</f>
        <v>1210.9000000000001</v>
      </c>
      <c r="AK28" s="1678">
        <f t="shared" si="173"/>
        <v>1252.7303426622395</v>
      </c>
      <c r="AL28" s="2951">
        <f t="shared" si="173"/>
        <v>1210.9000000000001</v>
      </c>
      <c r="AM28" s="2005">
        <f t="shared" si="173"/>
        <v>1237.8005610266084</v>
      </c>
      <c r="AN28" s="2784">
        <f t="shared" si="173"/>
        <v>1216.4439417358928</v>
      </c>
      <c r="AO28" s="1825">
        <f t="shared" si="173"/>
        <v>1236.9550382894836</v>
      </c>
      <c r="AP28" s="2319">
        <f t="shared" ref="AP28:AS28" si="174">SUM(AP18:AP27)</f>
        <v>1210.9000000000001</v>
      </c>
      <c r="AQ28" s="1678">
        <f t="shared" si="174"/>
        <v>1246.3717085930011</v>
      </c>
      <c r="AR28" s="2784">
        <f t="shared" si="174"/>
        <v>1215.7993600814955</v>
      </c>
      <c r="AS28" s="1825">
        <f t="shared" si="174"/>
        <v>1238.1885231006968</v>
      </c>
      <c r="AT28" s="2319">
        <f t="shared" ref="AT28:AW28" si="175">SUM(AT18:AT27)</f>
        <v>1210.9028213166143</v>
      </c>
      <c r="AU28" s="1678">
        <f t="shared" si="175"/>
        <v>1230.1525190866244</v>
      </c>
      <c r="AV28" s="2784">
        <f t="shared" si="175"/>
        <v>1215.3277559686985</v>
      </c>
      <c r="AW28" s="1825">
        <f t="shared" si="175"/>
        <v>1237.3298123483494</v>
      </c>
      <c r="AX28" s="2319">
        <f t="shared" ref="AX28:BE28" si="176">SUM(AX18:AX27)</f>
        <v>1210.8990955342001</v>
      </c>
      <c r="AY28" s="1678">
        <f t="shared" si="176"/>
        <v>1242.6054098544655</v>
      </c>
      <c r="AZ28" s="2951">
        <f t="shared" si="176"/>
        <v>1210.9005681818182</v>
      </c>
      <c r="BA28" s="2005">
        <f t="shared" si="176"/>
        <v>1240.0479857466671</v>
      </c>
      <c r="BB28" s="2951">
        <f t="shared" ref="BB28:BC28" si="177">SUM(BB18:BB27)</f>
        <v>1210.90030651341</v>
      </c>
      <c r="BC28" s="2005">
        <f t="shared" si="177"/>
        <v>1239.0073616377672</v>
      </c>
      <c r="BD28" s="6511">
        <f t="shared" si="176"/>
        <v>1214.9003401111836</v>
      </c>
      <c r="BE28" s="6594">
        <f t="shared" si="176"/>
        <v>1237.9125721812761</v>
      </c>
    </row>
    <row r="29" spans="2:57" s="3380" customFormat="1" ht="18" x14ac:dyDescent="0.2">
      <c r="B29" s="5052" t="s">
        <v>2537</v>
      </c>
      <c r="C29" s="3290"/>
      <c r="D29" s="3435"/>
      <c r="E29" s="6766"/>
      <c r="F29" s="3435"/>
      <c r="G29" s="5756"/>
      <c r="H29" s="3435"/>
      <c r="I29" s="5756"/>
      <c r="J29" s="3435"/>
      <c r="K29" s="5756"/>
      <c r="L29" s="3435"/>
      <c r="M29" s="5756"/>
      <c r="N29" s="3435"/>
      <c r="O29" s="5756"/>
      <c r="P29" s="3435"/>
      <c r="Q29" s="5756"/>
      <c r="R29" s="3435"/>
      <c r="S29" s="5756"/>
      <c r="T29" s="3435"/>
      <c r="U29" s="5756"/>
      <c r="V29" s="3435"/>
      <c r="W29" s="5756"/>
      <c r="X29" s="3435"/>
      <c r="Y29" s="5756"/>
      <c r="Z29" s="3435"/>
      <c r="AA29" s="5756"/>
      <c r="AB29" s="3435"/>
      <c r="AC29" s="5756"/>
      <c r="AD29" s="3435"/>
      <c r="AE29" s="5756"/>
      <c r="AF29" s="3435"/>
      <c r="AG29" s="5756"/>
      <c r="AH29" s="3435"/>
      <c r="AI29" s="5756"/>
      <c r="AJ29" s="3435"/>
      <c r="AK29" s="5756"/>
      <c r="AL29" s="3435"/>
      <c r="AM29" s="5756"/>
      <c r="AN29" s="3435"/>
      <c r="AO29" s="5756"/>
      <c r="AP29" s="3435"/>
      <c r="AQ29" s="5756"/>
      <c r="AR29" s="3435"/>
      <c r="AS29" s="5756"/>
      <c r="AT29" s="3435"/>
      <c r="AU29" s="5756"/>
      <c r="AV29" s="3435"/>
      <c r="AW29" s="5756"/>
      <c r="AX29" s="3435"/>
      <c r="AY29" s="5756"/>
      <c r="AZ29" s="3435"/>
      <c r="BA29" s="5756"/>
      <c r="BB29" s="3435"/>
      <c r="BC29" s="5756"/>
      <c r="BD29" s="3435"/>
      <c r="BE29" s="5756"/>
    </row>
    <row r="30" spans="2:57" x14ac:dyDescent="0.2">
      <c r="B30" s="1533" t="s">
        <v>155</v>
      </c>
      <c r="C30" s="1544" t="s">
        <v>170</v>
      </c>
      <c r="D30" s="2677">
        <f t="shared" ref="D30:D38" si="178">+D41*D$54/1000</f>
        <v>289324.00000000006</v>
      </c>
      <c r="E30" s="3918">
        <f>+E16</f>
        <v>289324</v>
      </c>
      <c r="F30" s="2677">
        <f t="shared" ref="F30:F38" si="179">+F41*F$54/1000</f>
        <v>299681</v>
      </c>
      <c r="G30" s="3918">
        <f>+G16</f>
        <v>299773</v>
      </c>
      <c r="H30" s="4809">
        <f>+D30+F30</f>
        <v>589005</v>
      </c>
      <c r="I30" s="3867">
        <f>+E30+G30</f>
        <v>589097</v>
      </c>
      <c r="J30" s="2677">
        <f t="shared" ref="J30:J38" si="180">+J41*J$54/1000</f>
        <v>317066.8996</v>
      </c>
      <c r="K30" s="3918">
        <f>+K16</f>
        <v>318015</v>
      </c>
      <c r="L30" s="4792">
        <f>+H30+J30</f>
        <v>906071.8996</v>
      </c>
      <c r="M30" s="3889">
        <f>+I30+K30</f>
        <v>907112</v>
      </c>
      <c r="N30" s="2677">
        <f t="shared" ref="N30:N38" si="181">+N41*N$54/1000</f>
        <v>422246.9953500242</v>
      </c>
      <c r="O30" s="3918">
        <f>+O16</f>
        <v>370775</v>
      </c>
      <c r="P30" s="4809">
        <f>+L30+N30</f>
        <v>1328318.8949500243</v>
      </c>
      <c r="Q30" s="3867">
        <f>+M30+O30</f>
        <v>1277887</v>
      </c>
      <c r="R30" s="2677">
        <f t="shared" ref="R30:R38" si="182">+R41*R$54/1000</f>
        <v>419786.05584890104</v>
      </c>
      <c r="S30" s="3918">
        <f>+S16</f>
        <v>357551</v>
      </c>
      <c r="T30" s="4809">
        <f>+P30+R30</f>
        <v>1748104.9507989255</v>
      </c>
      <c r="U30" s="3867">
        <f>+Q30+S30</f>
        <v>1635438</v>
      </c>
      <c r="V30" s="2677">
        <f t="shared" ref="V30:V38" si="183">+V41*V$54/1000</f>
        <v>414261.49778384721</v>
      </c>
      <c r="W30" s="3918">
        <f>+W16</f>
        <v>264908</v>
      </c>
      <c r="X30" s="4792">
        <f t="shared" ref="X30:X38" si="184">+N30+R30+V30</f>
        <v>1256294.5489827725</v>
      </c>
      <c r="Y30" s="3889">
        <f t="shared" ref="Y30:Y38" si="185">+O30+S30+W30</f>
        <v>993234</v>
      </c>
      <c r="Z30" s="6519">
        <f>+T30+V30</f>
        <v>2162366.4485827726</v>
      </c>
      <c r="AA30" s="6724">
        <f>+U30+W30</f>
        <v>1900346</v>
      </c>
      <c r="AB30" s="2677">
        <f t="shared" ref="AB30:AB38" si="186">+AB41*AB$54/1000</f>
        <v>219475.62500000003</v>
      </c>
      <c r="AC30" s="3918">
        <f>+AC16</f>
        <v>361170</v>
      </c>
      <c r="AD30" s="4809">
        <f>+Z30+AB30</f>
        <v>2381842.0735827726</v>
      </c>
      <c r="AE30" s="3867">
        <f>+AA30+AC30</f>
        <v>2261516</v>
      </c>
      <c r="AF30" s="2677">
        <f t="shared" ref="AF30:AF38" si="187">+AF41*AF$54/1000</f>
        <v>407346.76000000007</v>
      </c>
      <c r="AG30" s="3918">
        <f>+AG16</f>
        <v>394505</v>
      </c>
      <c r="AH30" s="4809">
        <f>+AD30+AF30</f>
        <v>2789188.8335827729</v>
      </c>
      <c r="AI30" s="3867">
        <f>+AE30+AG30</f>
        <v>2656021</v>
      </c>
      <c r="AJ30" s="2677">
        <f t="shared" ref="AJ30:AJ38" si="188">+AJ41*AJ$54/1000</f>
        <v>428416.42000000004</v>
      </c>
      <c r="AK30" s="3918">
        <f>+AK16</f>
        <v>443677</v>
      </c>
      <c r="AL30" s="4792">
        <f t="shared" ref="AL30:AL38" si="189">+AB30+AF30+AJ30</f>
        <v>1055238.8050000002</v>
      </c>
      <c r="AM30" s="3889">
        <f t="shared" ref="AM30:AM38" si="190">+AC30+AG30+AK30</f>
        <v>1199352</v>
      </c>
      <c r="AN30" s="4809">
        <f>+AH30+AJ30</f>
        <v>3217605.2535827728</v>
      </c>
      <c r="AO30" s="3867">
        <f>+AI30+AK30</f>
        <v>3099698</v>
      </c>
      <c r="AP30" s="2677">
        <f t="shared" ref="AP30:AP38" si="191">+AP41*AP$54/1000</f>
        <v>421393.20000000007</v>
      </c>
      <c r="AQ30" s="3918">
        <f>+AQ16</f>
        <v>470787</v>
      </c>
      <c r="AR30" s="4809">
        <f>+AN30+AP30</f>
        <v>3638998.453582773</v>
      </c>
      <c r="AS30" s="3867">
        <f>+AO30+AQ30</f>
        <v>3570485</v>
      </c>
      <c r="AT30" s="2677">
        <f t="shared" ref="AT30:AT38" si="192">+AT41*AT$54/1000</f>
        <v>386278</v>
      </c>
      <c r="AU30" s="3918">
        <f>+AU16</f>
        <v>424410</v>
      </c>
      <c r="AV30" s="4809">
        <f>+AR30+AT30</f>
        <v>4025276.453582773</v>
      </c>
      <c r="AW30" s="3867">
        <f>+AS30+AU30</f>
        <v>3994895</v>
      </c>
      <c r="AX30" s="2677">
        <f t="shared" ref="AX30:AX38" si="193">+AX41*AX$54/1000</f>
        <v>428416.1</v>
      </c>
      <c r="AY30" s="3918">
        <f>+AY16</f>
        <v>498204</v>
      </c>
      <c r="AZ30" s="4792">
        <f t="shared" ref="AZ30:AZ38" si="194">+AP30+AT30+AX30</f>
        <v>1236087.3</v>
      </c>
      <c r="BA30" s="3889">
        <f t="shared" ref="BA30:BA38" si="195">+AQ30+AU30+AY30</f>
        <v>1393401</v>
      </c>
      <c r="BB30" s="4792">
        <f t="shared" ref="BB30" si="196">+BB41*BB$54/1000</f>
        <v>2291326.105</v>
      </c>
      <c r="BC30" s="3889">
        <f t="shared" ref="BC30:BC38" si="197">+BA30+AM30</f>
        <v>2592753</v>
      </c>
      <c r="BD30" s="6519">
        <f>+AV30+AX30</f>
        <v>4453692.5535827726</v>
      </c>
      <c r="BE30" s="6724">
        <f>+AW30+AY30</f>
        <v>4493099</v>
      </c>
    </row>
    <row r="31" spans="2:57" x14ac:dyDescent="0.2">
      <c r="B31" s="1533" t="s">
        <v>225</v>
      </c>
      <c r="C31" s="1544" t="s">
        <v>170</v>
      </c>
      <c r="D31" s="2677">
        <f t="shared" si="178"/>
        <v>3488</v>
      </c>
      <c r="E31" s="3835">
        <v>3488</v>
      </c>
      <c r="F31" s="2677">
        <f t="shared" si="179"/>
        <v>929</v>
      </c>
      <c r="G31" s="3918">
        <v>929</v>
      </c>
      <c r="H31" s="4809">
        <f t="shared" ref="H31:H38" si="198">+D31+F31</f>
        <v>4417</v>
      </c>
      <c r="I31" s="3867">
        <f t="shared" ref="I31:I38" si="199">+E31+G31</f>
        <v>4417</v>
      </c>
      <c r="J31" s="2677">
        <f t="shared" si="180"/>
        <v>4503.7168000000001</v>
      </c>
      <c r="K31" s="1646">
        <v>5447</v>
      </c>
      <c r="L31" s="4792">
        <f t="shared" ref="L31:L38" si="200">+H31+J31</f>
        <v>8920.7168000000001</v>
      </c>
      <c r="M31" s="3889">
        <f t="shared" ref="M31:M38" si="201">+I31+K31</f>
        <v>9864</v>
      </c>
      <c r="N31" s="2677">
        <f t="shared" si="181"/>
        <v>5997.7275745481984</v>
      </c>
      <c r="O31" s="3918">
        <v>9467</v>
      </c>
      <c r="P31" s="4809">
        <f t="shared" ref="P31:P38" si="202">+L31+N31</f>
        <v>14918.444374548199</v>
      </c>
      <c r="Q31" s="3867">
        <f t="shared" ref="Q31:Q38" si="203">+M31+O31</f>
        <v>19331</v>
      </c>
      <c r="R31" s="2677">
        <f t="shared" si="182"/>
        <v>5962.7716249080004</v>
      </c>
      <c r="S31" s="3918">
        <v>7287</v>
      </c>
      <c r="T31" s="4809">
        <f t="shared" ref="T31:T38" si="204">+P31+R31</f>
        <v>20881.215999456199</v>
      </c>
      <c r="U31" s="3867">
        <f t="shared" ref="U31:U38" si="205">+Q31+S31</f>
        <v>26618</v>
      </c>
      <c r="V31" s="2677">
        <f t="shared" si="183"/>
        <v>5884.2990848808104</v>
      </c>
      <c r="W31" s="3918">
        <v>5690</v>
      </c>
      <c r="X31" s="4792">
        <f t="shared" si="184"/>
        <v>17844.798284337008</v>
      </c>
      <c r="Y31" s="3889">
        <f t="shared" si="185"/>
        <v>22444</v>
      </c>
      <c r="Z31" s="6519">
        <f t="shared" ref="Z31:Z38" si="206">+T31+V31</f>
        <v>26765.51508433701</v>
      </c>
      <c r="AA31" s="6724">
        <f t="shared" ref="AA31:AA38" si="207">+U31+W31</f>
        <v>32308</v>
      </c>
      <c r="AB31" s="2677">
        <f t="shared" si="186"/>
        <v>3117.5</v>
      </c>
      <c r="AC31" s="3918">
        <v>7133</v>
      </c>
      <c r="AD31" s="4809">
        <f t="shared" ref="AD31:AD38" si="208">+Z31+AB31</f>
        <v>29883.01508433701</v>
      </c>
      <c r="AE31" s="3867">
        <f t="shared" ref="AE31:AE38" si="209">+AA31+AC31</f>
        <v>39441</v>
      </c>
      <c r="AF31" s="2677">
        <f t="shared" si="187"/>
        <v>5786.08</v>
      </c>
      <c r="AG31" s="3918">
        <v>9749</v>
      </c>
      <c r="AH31" s="4809">
        <f t="shared" ref="AH31:AH38" si="210">+AD31+AF31</f>
        <v>35669.095084337008</v>
      </c>
      <c r="AI31" s="3867">
        <f t="shared" ref="AI31:AI38" si="211">+AE31+AG31</f>
        <v>49190</v>
      </c>
      <c r="AJ31" s="2677">
        <f t="shared" si="188"/>
        <v>6085.36</v>
      </c>
      <c r="AK31" s="3918">
        <v>2095</v>
      </c>
      <c r="AL31" s="4792">
        <f t="shared" si="189"/>
        <v>14988.939999999999</v>
      </c>
      <c r="AM31" s="3889">
        <f t="shared" si="190"/>
        <v>18977</v>
      </c>
      <c r="AN31" s="4809">
        <f t="shared" ref="AN31:AN38" si="212">+AH31+AJ31</f>
        <v>41754.455084337009</v>
      </c>
      <c r="AO31" s="3867">
        <f t="shared" ref="AO31:AO38" si="213">+AI31+AK31</f>
        <v>51285</v>
      </c>
      <c r="AP31" s="2677">
        <f t="shared" si="191"/>
        <v>5985.6</v>
      </c>
      <c r="AQ31" s="3918">
        <v>10423</v>
      </c>
      <c r="AR31" s="4809">
        <f t="shared" ref="AR31:AR38" si="214">+AN31+AP31</f>
        <v>47740.055084337007</v>
      </c>
      <c r="AS31" s="3867">
        <f t="shared" ref="AS31:AS38" si="215">+AO31+AQ31</f>
        <v>61708</v>
      </c>
      <c r="AT31" s="2677">
        <f t="shared" si="192"/>
        <v>5486.8</v>
      </c>
      <c r="AU31" s="3918">
        <v>11062</v>
      </c>
      <c r="AV31" s="4809">
        <f t="shared" ref="AV31:AV38" si="216">+AR31+AT31</f>
        <v>53226.85508433701</v>
      </c>
      <c r="AW31" s="3867">
        <f t="shared" ref="AW31:AW38" si="217">+AS31+AU31</f>
        <v>72770</v>
      </c>
      <c r="AX31" s="2677">
        <f t="shared" si="193"/>
        <v>6085.36</v>
      </c>
      <c r="AY31" s="3918">
        <v>1955</v>
      </c>
      <c r="AZ31" s="4792">
        <f t="shared" si="194"/>
        <v>17557.760000000002</v>
      </c>
      <c r="BA31" s="3889">
        <f t="shared" si="195"/>
        <v>23440</v>
      </c>
      <c r="BB31" s="4792">
        <f t="shared" ref="BB31:BB38" si="218">+AZ31+AL31</f>
        <v>32546.7</v>
      </c>
      <c r="BC31" s="3889">
        <f t="shared" si="197"/>
        <v>42417</v>
      </c>
      <c r="BD31" s="6519">
        <f t="shared" ref="BD31:BD38" si="219">+AV31+AX31</f>
        <v>59312.215084337011</v>
      </c>
      <c r="BE31" s="6724">
        <f t="shared" ref="BE31:BE38" si="220">+AW31+AY31</f>
        <v>74725</v>
      </c>
    </row>
    <row r="32" spans="2:57" x14ac:dyDescent="0.2">
      <c r="B32" s="1533" t="s">
        <v>1854</v>
      </c>
      <c r="C32" s="1544" t="s">
        <v>170</v>
      </c>
      <c r="D32" s="2677">
        <f t="shared" si="178"/>
        <v>4166</v>
      </c>
      <c r="E32" s="3835">
        <v>4166</v>
      </c>
      <c r="F32" s="2677">
        <f t="shared" si="179"/>
        <v>2728</v>
      </c>
      <c r="G32" s="3918">
        <v>2728</v>
      </c>
      <c r="H32" s="4809">
        <f t="shared" si="198"/>
        <v>6894</v>
      </c>
      <c r="I32" s="3867">
        <f t="shared" si="199"/>
        <v>6894</v>
      </c>
      <c r="J32" s="2677">
        <f t="shared" si="180"/>
        <v>0</v>
      </c>
      <c r="K32" s="1646">
        <v>3400</v>
      </c>
      <c r="L32" s="4792">
        <f t="shared" si="200"/>
        <v>6894</v>
      </c>
      <c r="M32" s="3889">
        <f t="shared" si="201"/>
        <v>10294</v>
      </c>
      <c r="N32" s="2677">
        <f t="shared" si="181"/>
        <v>0</v>
      </c>
      <c r="O32" s="3918">
        <v>6908</v>
      </c>
      <c r="P32" s="4809">
        <f t="shared" si="202"/>
        <v>6894</v>
      </c>
      <c r="Q32" s="3867">
        <f t="shared" si="203"/>
        <v>17202</v>
      </c>
      <c r="R32" s="2677">
        <f t="shared" si="182"/>
        <v>0</v>
      </c>
      <c r="S32" s="3918">
        <v>4766</v>
      </c>
      <c r="T32" s="4809">
        <f t="shared" si="204"/>
        <v>6894</v>
      </c>
      <c r="U32" s="3867">
        <f t="shared" si="205"/>
        <v>21968</v>
      </c>
      <c r="V32" s="2677">
        <f t="shared" si="183"/>
        <v>0</v>
      </c>
      <c r="W32" s="3918">
        <v>4732</v>
      </c>
      <c r="X32" s="4792">
        <f t="shared" si="184"/>
        <v>0</v>
      </c>
      <c r="Y32" s="3889">
        <f t="shared" si="185"/>
        <v>16406</v>
      </c>
      <c r="Z32" s="6519">
        <f t="shared" si="206"/>
        <v>6894</v>
      </c>
      <c r="AA32" s="6531">
        <f t="shared" si="207"/>
        <v>26700</v>
      </c>
      <c r="AB32" s="2677">
        <f t="shared" si="186"/>
        <v>0</v>
      </c>
      <c r="AC32" s="3918">
        <v>1456</v>
      </c>
      <c r="AD32" s="4809">
        <f t="shared" si="208"/>
        <v>6894</v>
      </c>
      <c r="AE32" s="3867">
        <f t="shared" si="209"/>
        <v>28156</v>
      </c>
      <c r="AF32" s="2677">
        <f t="shared" si="187"/>
        <v>0</v>
      </c>
      <c r="AG32" s="3918">
        <v>2612</v>
      </c>
      <c r="AH32" s="4809">
        <f t="shared" si="210"/>
        <v>6894</v>
      </c>
      <c r="AI32" s="3867">
        <f t="shared" si="211"/>
        <v>30768</v>
      </c>
      <c r="AJ32" s="2677">
        <f t="shared" si="188"/>
        <v>0</v>
      </c>
      <c r="AK32" s="3918">
        <v>4560</v>
      </c>
      <c r="AL32" s="4792">
        <f t="shared" si="189"/>
        <v>0</v>
      </c>
      <c r="AM32" s="3889">
        <f t="shared" si="190"/>
        <v>8628</v>
      </c>
      <c r="AN32" s="4809">
        <f t="shared" si="212"/>
        <v>6894</v>
      </c>
      <c r="AO32" s="3867">
        <f t="shared" si="213"/>
        <v>35328</v>
      </c>
      <c r="AP32" s="2677">
        <f t="shared" si="191"/>
        <v>0</v>
      </c>
      <c r="AQ32" s="3918">
        <v>6867</v>
      </c>
      <c r="AR32" s="4809">
        <f t="shared" si="214"/>
        <v>6894</v>
      </c>
      <c r="AS32" s="3867">
        <f t="shared" si="215"/>
        <v>42195</v>
      </c>
      <c r="AT32" s="2677">
        <f t="shared" si="192"/>
        <v>0</v>
      </c>
      <c r="AU32" s="3918">
        <v>11548</v>
      </c>
      <c r="AV32" s="4809">
        <f t="shared" si="216"/>
        <v>6894</v>
      </c>
      <c r="AW32" s="3867">
        <f t="shared" si="217"/>
        <v>53743</v>
      </c>
      <c r="AX32" s="2677">
        <f t="shared" si="193"/>
        <v>0</v>
      </c>
      <c r="AY32" s="3918">
        <v>13021</v>
      </c>
      <c r="AZ32" s="4792">
        <f t="shared" si="194"/>
        <v>0</v>
      </c>
      <c r="BA32" s="3889">
        <f t="shared" si="195"/>
        <v>31436</v>
      </c>
      <c r="BB32" s="4792">
        <f t="shared" si="218"/>
        <v>0</v>
      </c>
      <c r="BC32" s="3889">
        <f t="shared" si="197"/>
        <v>40064</v>
      </c>
      <c r="BD32" s="6519">
        <f t="shared" si="219"/>
        <v>6894</v>
      </c>
      <c r="BE32" s="6531">
        <f t="shared" si="220"/>
        <v>66764</v>
      </c>
    </row>
    <row r="33" spans="2:57" x14ac:dyDescent="0.2">
      <c r="B33" s="1533" t="s">
        <v>156</v>
      </c>
      <c r="C33" s="1544" t="s">
        <v>170</v>
      </c>
      <c r="D33" s="2677">
        <f t="shared" si="178"/>
        <v>3046</v>
      </c>
      <c r="E33" s="3835">
        <v>3046</v>
      </c>
      <c r="F33" s="2677">
        <f t="shared" si="179"/>
        <v>3133</v>
      </c>
      <c r="G33" s="3918">
        <v>3133</v>
      </c>
      <c r="H33" s="4809">
        <f t="shared" si="198"/>
        <v>6179</v>
      </c>
      <c r="I33" s="3867">
        <f t="shared" si="199"/>
        <v>6179</v>
      </c>
      <c r="J33" s="2677">
        <f t="shared" si="180"/>
        <v>3927.66</v>
      </c>
      <c r="K33" s="1646">
        <v>3477</v>
      </c>
      <c r="L33" s="4792">
        <f t="shared" si="200"/>
        <v>10106.66</v>
      </c>
      <c r="M33" s="3889">
        <f t="shared" si="201"/>
        <v>9656</v>
      </c>
      <c r="N33" s="2677">
        <f t="shared" si="181"/>
        <v>5230.5763731524994</v>
      </c>
      <c r="O33" s="3918">
        <v>3766</v>
      </c>
      <c r="P33" s="4809">
        <f t="shared" si="202"/>
        <v>15337.2363731525</v>
      </c>
      <c r="Q33" s="3867">
        <f t="shared" si="203"/>
        <v>13422</v>
      </c>
      <c r="R33" s="2677">
        <f t="shared" si="182"/>
        <v>5200.0915333499997</v>
      </c>
      <c r="S33" s="3918">
        <v>3264</v>
      </c>
      <c r="T33" s="4809">
        <f t="shared" si="204"/>
        <v>20537.327906502498</v>
      </c>
      <c r="U33" s="3867">
        <f t="shared" si="205"/>
        <v>16686</v>
      </c>
      <c r="V33" s="2677">
        <f t="shared" si="183"/>
        <v>5131.6561786751254</v>
      </c>
      <c r="W33" s="3918">
        <v>2861</v>
      </c>
      <c r="X33" s="4792">
        <f t="shared" si="184"/>
        <v>15562.324085177625</v>
      </c>
      <c r="Y33" s="3889">
        <f t="shared" si="185"/>
        <v>9891</v>
      </c>
      <c r="Z33" s="6519">
        <f t="shared" si="206"/>
        <v>25668.984085177624</v>
      </c>
      <c r="AA33" s="6531">
        <f t="shared" si="207"/>
        <v>19547</v>
      </c>
      <c r="AB33" s="2677">
        <f t="shared" si="186"/>
        <v>2718.75</v>
      </c>
      <c r="AC33" s="3918">
        <v>3150</v>
      </c>
      <c r="AD33" s="4809">
        <f t="shared" si="208"/>
        <v>28387.734085177624</v>
      </c>
      <c r="AE33" s="3867">
        <f t="shared" si="209"/>
        <v>22697</v>
      </c>
      <c r="AF33" s="2677">
        <f t="shared" si="187"/>
        <v>5046</v>
      </c>
      <c r="AG33" s="3918">
        <v>4124</v>
      </c>
      <c r="AH33" s="4809">
        <f t="shared" si="210"/>
        <v>33433.734085177624</v>
      </c>
      <c r="AI33" s="3867">
        <f t="shared" si="211"/>
        <v>26821</v>
      </c>
      <c r="AJ33" s="2677">
        <f t="shared" si="188"/>
        <v>5307</v>
      </c>
      <c r="AK33" s="3918">
        <v>5714</v>
      </c>
      <c r="AL33" s="4792">
        <f t="shared" si="189"/>
        <v>13071.75</v>
      </c>
      <c r="AM33" s="3889">
        <f t="shared" si="190"/>
        <v>12988</v>
      </c>
      <c r="AN33" s="4809">
        <f t="shared" si="212"/>
        <v>38740.734085177624</v>
      </c>
      <c r="AO33" s="3867">
        <f t="shared" si="213"/>
        <v>32535</v>
      </c>
      <c r="AP33" s="2677">
        <f t="shared" si="191"/>
        <v>5220</v>
      </c>
      <c r="AQ33" s="3918">
        <v>6668</v>
      </c>
      <c r="AR33" s="4809">
        <f t="shared" si="214"/>
        <v>43960.734085177624</v>
      </c>
      <c r="AS33" s="3867">
        <f t="shared" si="215"/>
        <v>39203</v>
      </c>
      <c r="AT33" s="2677">
        <f t="shared" si="192"/>
        <v>4785</v>
      </c>
      <c r="AU33" s="3918">
        <v>6003</v>
      </c>
      <c r="AV33" s="4809">
        <f t="shared" si="216"/>
        <v>48745.734085177624</v>
      </c>
      <c r="AW33" s="3867">
        <f t="shared" si="217"/>
        <v>45206</v>
      </c>
      <c r="AX33" s="2677">
        <f t="shared" si="193"/>
        <v>5307</v>
      </c>
      <c r="AY33" s="3918">
        <v>6144</v>
      </c>
      <c r="AZ33" s="4792">
        <f t="shared" si="194"/>
        <v>15312</v>
      </c>
      <c r="BA33" s="3889">
        <f t="shared" si="195"/>
        <v>18815</v>
      </c>
      <c r="BB33" s="4792">
        <f t="shared" si="218"/>
        <v>28383.75</v>
      </c>
      <c r="BC33" s="3889">
        <f t="shared" si="197"/>
        <v>31803</v>
      </c>
      <c r="BD33" s="6519">
        <f t="shared" si="219"/>
        <v>54052.734085177624</v>
      </c>
      <c r="BE33" s="6531">
        <f t="shared" si="220"/>
        <v>51350</v>
      </c>
    </row>
    <row r="34" spans="2:57" x14ac:dyDescent="0.2">
      <c r="B34" s="1533" t="s">
        <v>226</v>
      </c>
      <c r="C34" s="1544" t="s">
        <v>170</v>
      </c>
      <c r="D34" s="2677">
        <f t="shared" si="178"/>
        <v>1216</v>
      </c>
      <c r="E34" s="3835">
        <v>1216</v>
      </c>
      <c r="F34" s="2677">
        <f t="shared" si="179"/>
        <v>1517.9999999999998</v>
      </c>
      <c r="G34" s="3918">
        <v>1518</v>
      </c>
      <c r="H34" s="4809">
        <f t="shared" si="198"/>
        <v>2734</v>
      </c>
      <c r="I34" s="3867">
        <f t="shared" si="199"/>
        <v>2734</v>
      </c>
      <c r="J34" s="2677">
        <f t="shared" si="180"/>
        <v>5498.7240000000002</v>
      </c>
      <c r="K34" s="1646">
        <v>3347</v>
      </c>
      <c r="L34" s="4792">
        <f t="shared" si="200"/>
        <v>8232.7240000000002</v>
      </c>
      <c r="M34" s="3889">
        <f t="shared" si="201"/>
        <v>6081</v>
      </c>
      <c r="N34" s="2677">
        <f t="shared" si="181"/>
        <v>7322.8069224134988</v>
      </c>
      <c r="O34" s="3918">
        <v>5478</v>
      </c>
      <c r="P34" s="4809">
        <f t="shared" si="202"/>
        <v>15555.530922413498</v>
      </c>
      <c r="Q34" s="3867">
        <f t="shared" si="203"/>
        <v>11559</v>
      </c>
      <c r="R34" s="2677">
        <f t="shared" si="182"/>
        <v>7280.12814669</v>
      </c>
      <c r="S34" s="3918">
        <v>4550</v>
      </c>
      <c r="T34" s="4809">
        <f t="shared" si="204"/>
        <v>22835.659069103498</v>
      </c>
      <c r="U34" s="3867">
        <f t="shared" si="205"/>
        <v>16109</v>
      </c>
      <c r="V34" s="2677">
        <f t="shared" si="183"/>
        <v>7184.3186501451746</v>
      </c>
      <c r="W34" s="3918">
        <v>3388</v>
      </c>
      <c r="X34" s="4792">
        <f t="shared" si="184"/>
        <v>21787.253719248674</v>
      </c>
      <c r="Y34" s="3889">
        <f t="shared" si="185"/>
        <v>13416</v>
      </c>
      <c r="Z34" s="6519">
        <f t="shared" si="206"/>
        <v>30019.977719248673</v>
      </c>
      <c r="AA34" s="6531">
        <f t="shared" si="207"/>
        <v>19497</v>
      </c>
      <c r="AB34" s="2677">
        <f t="shared" si="186"/>
        <v>3806.25</v>
      </c>
      <c r="AC34" s="3918">
        <v>1721</v>
      </c>
      <c r="AD34" s="4809">
        <f t="shared" si="208"/>
        <v>33826.227719248673</v>
      </c>
      <c r="AE34" s="3867">
        <f t="shared" si="209"/>
        <v>21218</v>
      </c>
      <c r="AF34" s="2677">
        <f t="shared" si="187"/>
        <v>7064.4</v>
      </c>
      <c r="AG34" s="3918">
        <v>5504</v>
      </c>
      <c r="AH34" s="4809">
        <f t="shared" si="210"/>
        <v>40890.627719248674</v>
      </c>
      <c r="AI34" s="3867">
        <f t="shared" si="211"/>
        <v>26722</v>
      </c>
      <c r="AJ34" s="2677">
        <f t="shared" si="188"/>
        <v>7429.8</v>
      </c>
      <c r="AK34" s="3918">
        <v>6743</v>
      </c>
      <c r="AL34" s="4792">
        <f t="shared" si="189"/>
        <v>18300.45</v>
      </c>
      <c r="AM34" s="3889">
        <f t="shared" si="190"/>
        <v>13968</v>
      </c>
      <c r="AN34" s="4809">
        <f t="shared" si="212"/>
        <v>48320.427719248677</v>
      </c>
      <c r="AO34" s="3867">
        <f t="shared" si="213"/>
        <v>33465</v>
      </c>
      <c r="AP34" s="2677">
        <f t="shared" si="191"/>
        <v>7308</v>
      </c>
      <c r="AQ34" s="3918">
        <v>6417</v>
      </c>
      <c r="AR34" s="4809">
        <f t="shared" si="214"/>
        <v>55628.427719248677</v>
      </c>
      <c r="AS34" s="3867">
        <f t="shared" si="215"/>
        <v>39882</v>
      </c>
      <c r="AT34" s="2677">
        <f t="shared" si="192"/>
        <v>6699</v>
      </c>
      <c r="AU34" s="3918">
        <v>5388</v>
      </c>
      <c r="AV34" s="4809">
        <f t="shared" si="216"/>
        <v>62327.427719248677</v>
      </c>
      <c r="AW34" s="3867">
        <f t="shared" si="217"/>
        <v>45270</v>
      </c>
      <c r="AX34" s="2677">
        <f t="shared" si="193"/>
        <v>7429.8</v>
      </c>
      <c r="AY34" s="3918">
        <v>2795</v>
      </c>
      <c r="AZ34" s="4792">
        <f t="shared" si="194"/>
        <v>21436.799999999999</v>
      </c>
      <c r="BA34" s="3889">
        <f t="shared" si="195"/>
        <v>14600</v>
      </c>
      <c r="BB34" s="4792">
        <f t="shared" si="218"/>
        <v>39737.25</v>
      </c>
      <c r="BC34" s="3889">
        <f t="shared" si="197"/>
        <v>28568</v>
      </c>
      <c r="BD34" s="6519">
        <f t="shared" si="219"/>
        <v>69757.22771924868</v>
      </c>
      <c r="BE34" s="6531">
        <f t="shared" si="220"/>
        <v>48065</v>
      </c>
    </row>
    <row r="35" spans="2:57" x14ac:dyDescent="0.2">
      <c r="B35" s="1533" t="s">
        <v>220</v>
      </c>
      <c r="C35" s="1544" t="s">
        <v>170</v>
      </c>
      <c r="D35" s="2677">
        <f t="shared" si="178"/>
        <v>18823.12</v>
      </c>
      <c r="E35" s="2750">
        <v>18823.12</v>
      </c>
      <c r="F35" s="2677">
        <f t="shared" si="179"/>
        <v>19121.600000000002</v>
      </c>
      <c r="G35" s="3918">
        <v>19121.600000000002</v>
      </c>
      <c r="H35" s="4809">
        <f t="shared" si="198"/>
        <v>37944.720000000001</v>
      </c>
      <c r="I35" s="1823">
        <f t="shared" si="199"/>
        <v>37944.720000000001</v>
      </c>
      <c r="J35" s="2677">
        <f t="shared" si="180"/>
        <v>20947.52</v>
      </c>
      <c r="K35" s="1646">
        <v>20843.28</v>
      </c>
      <c r="L35" s="4792">
        <f t="shared" si="200"/>
        <v>58892.240000000005</v>
      </c>
      <c r="M35" s="2011">
        <f t="shared" si="201"/>
        <v>58788</v>
      </c>
      <c r="N35" s="2677">
        <f t="shared" si="181"/>
        <v>27896.407323479994</v>
      </c>
      <c r="O35" s="3918">
        <v>23808.32</v>
      </c>
      <c r="P35" s="4809">
        <f t="shared" si="202"/>
        <v>86788.647323479992</v>
      </c>
      <c r="Q35" s="1823">
        <f t="shared" si="203"/>
        <v>82596.320000000007</v>
      </c>
      <c r="R35" s="2677">
        <f t="shared" si="182"/>
        <v>27733.8215112</v>
      </c>
      <c r="S35" s="3918">
        <v>22976.799999999999</v>
      </c>
      <c r="T35" s="4809">
        <f t="shared" si="204"/>
        <v>114522.46883468</v>
      </c>
      <c r="U35" s="1823">
        <f t="shared" si="205"/>
        <v>105573.12000000001</v>
      </c>
      <c r="V35" s="2677">
        <f t="shared" si="183"/>
        <v>27368.832952934001</v>
      </c>
      <c r="W35" s="3918">
        <v>17384.64</v>
      </c>
      <c r="X35" s="4792">
        <f t="shared" si="184"/>
        <v>82999.061787613988</v>
      </c>
      <c r="Y35" s="2011">
        <f t="shared" si="185"/>
        <v>64169.759999999995</v>
      </c>
      <c r="Z35" s="6519">
        <f t="shared" si="206"/>
        <v>141891.30178761401</v>
      </c>
      <c r="AA35" s="6531">
        <f t="shared" si="207"/>
        <v>122957.76000000001</v>
      </c>
      <c r="AB35" s="2677">
        <f t="shared" si="186"/>
        <v>14500</v>
      </c>
      <c r="AC35" s="3918">
        <v>23558.799999999999</v>
      </c>
      <c r="AD35" s="4809">
        <f t="shared" si="208"/>
        <v>156391.30178761401</v>
      </c>
      <c r="AE35" s="1823">
        <f t="shared" si="209"/>
        <v>146516.56</v>
      </c>
      <c r="AF35" s="2677">
        <f t="shared" si="187"/>
        <v>26912</v>
      </c>
      <c r="AG35" s="3918">
        <v>25622.799999999999</v>
      </c>
      <c r="AH35" s="4809">
        <f t="shared" si="210"/>
        <v>183303.30178761401</v>
      </c>
      <c r="AI35" s="1823">
        <f t="shared" si="211"/>
        <v>172139.36</v>
      </c>
      <c r="AJ35" s="2677">
        <f t="shared" si="188"/>
        <v>28304</v>
      </c>
      <c r="AK35" s="3918">
        <v>28333.440000000002</v>
      </c>
      <c r="AL35" s="4792">
        <f t="shared" si="189"/>
        <v>69716</v>
      </c>
      <c r="AM35" s="2011">
        <f t="shared" si="190"/>
        <v>77515.040000000008</v>
      </c>
      <c r="AN35" s="4809">
        <f t="shared" si="212"/>
        <v>211607.30178761401</v>
      </c>
      <c r="AO35" s="1823">
        <f t="shared" si="213"/>
        <v>200472.8</v>
      </c>
      <c r="AP35" s="2677">
        <f t="shared" si="191"/>
        <v>27840</v>
      </c>
      <c r="AQ35" s="3918">
        <v>30218.080000000002</v>
      </c>
      <c r="AR35" s="4809">
        <f t="shared" si="214"/>
        <v>239447.30178761401</v>
      </c>
      <c r="AS35" s="1823">
        <f t="shared" si="215"/>
        <v>230690.88</v>
      </c>
      <c r="AT35" s="2677">
        <f t="shared" si="192"/>
        <v>25520</v>
      </c>
      <c r="AU35" s="3918">
        <v>27600</v>
      </c>
      <c r="AV35" s="4809">
        <f t="shared" si="216"/>
        <v>264967.30178761401</v>
      </c>
      <c r="AW35" s="1823">
        <f t="shared" si="217"/>
        <v>258290.88</v>
      </c>
      <c r="AX35" s="2677">
        <f t="shared" si="193"/>
        <v>28304</v>
      </c>
      <c r="AY35" s="3918">
        <v>32075</v>
      </c>
      <c r="AZ35" s="4792">
        <f t="shared" si="194"/>
        <v>81664</v>
      </c>
      <c r="BA35" s="2011">
        <f t="shared" si="195"/>
        <v>89893.08</v>
      </c>
      <c r="BB35" s="4792">
        <f t="shared" si="218"/>
        <v>151380</v>
      </c>
      <c r="BC35" s="2011">
        <f t="shared" si="197"/>
        <v>167408.12</v>
      </c>
      <c r="BD35" s="6519">
        <f t="shared" si="219"/>
        <v>293271.30178761401</v>
      </c>
      <c r="BE35" s="6531">
        <f t="shared" si="220"/>
        <v>290365.88</v>
      </c>
    </row>
    <row r="36" spans="2:57" x14ac:dyDescent="0.2">
      <c r="B36" s="1533" t="s">
        <v>357</v>
      </c>
      <c r="C36" s="1544" t="s">
        <v>170</v>
      </c>
      <c r="D36" s="2677">
        <f t="shared" si="178"/>
        <v>51283</v>
      </c>
      <c r="E36" s="2750">
        <v>51283</v>
      </c>
      <c r="F36" s="2677">
        <f t="shared" si="179"/>
        <v>50232</v>
      </c>
      <c r="G36" s="1646">
        <v>50232</v>
      </c>
      <c r="H36" s="4809">
        <f t="shared" si="198"/>
        <v>101515</v>
      </c>
      <c r="I36" s="1823">
        <f t="shared" si="199"/>
        <v>101515</v>
      </c>
      <c r="J36" s="2677">
        <f t="shared" si="180"/>
        <v>44513.48</v>
      </c>
      <c r="K36" s="1646">
        <v>54507</v>
      </c>
      <c r="L36" s="4792">
        <f t="shared" si="200"/>
        <v>146028.48000000001</v>
      </c>
      <c r="M36" s="2011">
        <f t="shared" si="201"/>
        <v>156022</v>
      </c>
      <c r="N36" s="2677">
        <f t="shared" si="181"/>
        <v>59279.865562394989</v>
      </c>
      <c r="O36" s="3918">
        <v>59776</v>
      </c>
      <c r="P36" s="4809">
        <f t="shared" si="202"/>
        <v>205308.345562395</v>
      </c>
      <c r="Q36" s="1823">
        <f t="shared" si="203"/>
        <v>215798</v>
      </c>
      <c r="R36" s="2677">
        <f t="shared" si="182"/>
        <v>58934.370711299998</v>
      </c>
      <c r="S36" s="3918">
        <v>48126</v>
      </c>
      <c r="T36" s="4809">
        <f t="shared" si="204"/>
        <v>264242.716273695</v>
      </c>
      <c r="U36" s="1823">
        <f t="shared" si="205"/>
        <v>263924</v>
      </c>
      <c r="V36" s="2677">
        <f t="shared" si="183"/>
        <v>58158.770024984755</v>
      </c>
      <c r="W36" s="3918">
        <v>33838</v>
      </c>
      <c r="X36" s="4792">
        <f t="shared" si="184"/>
        <v>176373.00629867974</v>
      </c>
      <c r="Y36" s="2011">
        <f t="shared" si="185"/>
        <v>141740</v>
      </c>
      <c r="Z36" s="6519">
        <f t="shared" si="206"/>
        <v>322401.48629867972</v>
      </c>
      <c r="AA36" s="6531">
        <f t="shared" si="207"/>
        <v>297762</v>
      </c>
      <c r="AB36" s="2677">
        <f t="shared" si="186"/>
        <v>30812.5</v>
      </c>
      <c r="AC36" s="3918">
        <v>70204</v>
      </c>
      <c r="AD36" s="4809">
        <f t="shared" si="208"/>
        <v>353213.98629867972</v>
      </c>
      <c r="AE36" s="1823">
        <f t="shared" si="209"/>
        <v>367966</v>
      </c>
      <c r="AF36" s="2677">
        <f t="shared" si="187"/>
        <v>57188</v>
      </c>
      <c r="AG36" s="3918">
        <v>47375</v>
      </c>
      <c r="AH36" s="4809">
        <f t="shared" si="210"/>
        <v>410401.98629867972</v>
      </c>
      <c r="AI36" s="1823">
        <f t="shared" si="211"/>
        <v>415341</v>
      </c>
      <c r="AJ36" s="2677">
        <f t="shared" si="188"/>
        <v>60146</v>
      </c>
      <c r="AK36" s="3918">
        <v>53600</v>
      </c>
      <c r="AL36" s="4792">
        <f t="shared" si="189"/>
        <v>148146.5</v>
      </c>
      <c r="AM36" s="2011">
        <f t="shared" si="190"/>
        <v>171179</v>
      </c>
      <c r="AN36" s="4809">
        <f t="shared" si="212"/>
        <v>470547.98629867972</v>
      </c>
      <c r="AO36" s="1823">
        <f t="shared" si="213"/>
        <v>468941</v>
      </c>
      <c r="AP36" s="2677">
        <f t="shared" si="191"/>
        <v>59160</v>
      </c>
      <c r="AQ36" s="3918">
        <v>48899</v>
      </c>
      <c r="AR36" s="4809">
        <f t="shared" si="214"/>
        <v>529707.98629867972</v>
      </c>
      <c r="AS36" s="1823">
        <f t="shared" si="215"/>
        <v>517840</v>
      </c>
      <c r="AT36" s="2677">
        <f t="shared" si="192"/>
        <v>54230</v>
      </c>
      <c r="AU36" s="3918">
        <v>40257</v>
      </c>
      <c r="AV36" s="4809">
        <f t="shared" si="216"/>
        <v>583937.98629867972</v>
      </c>
      <c r="AW36" s="1823">
        <f t="shared" si="217"/>
        <v>558097</v>
      </c>
      <c r="AX36" s="2677">
        <f t="shared" si="193"/>
        <v>60146</v>
      </c>
      <c r="AY36" s="7681"/>
      <c r="AZ36" s="4792">
        <f t="shared" si="194"/>
        <v>173536</v>
      </c>
      <c r="BA36" s="2011">
        <f t="shared" si="195"/>
        <v>89156</v>
      </c>
      <c r="BB36" s="4792">
        <f t="shared" si="218"/>
        <v>321682.5</v>
      </c>
      <c r="BC36" s="2011">
        <f t="shared" si="197"/>
        <v>260335</v>
      </c>
      <c r="BD36" s="6519">
        <f t="shared" si="219"/>
        <v>644083.98629867972</v>
      </c>
      <c r="BE36" s="6531">
        <f t="shared" si="220"/>
        <v>558097</v>
      </c>
    </row>
    <row r="37" spans="2:57" s="5164" customFormat="1" x14ac:dyDescent="0.2">
      <c r="B37" s="1533" t="s">
        <v>1878</v>
      </c>
      <c r="C37" s="1544" t="s">
        <v>170</v>
      </c>
      <c r="D37" s="2677">
        <f t="shared" si="178"/>
        <v>1431</v>
      </c>
      <c r="E37" s="2750">
        <v>1431</v>
      </c>
      <c r="F37" s="2677">
        <f t="shared" si="179"/>
        <v>2350</v>
      </c>
      <c r="G37" s="1646">
        <v>2350</v>
      </c>
      <c r="H37" s="4809">
        <f t="shared" ref="H37" si="221">+D37+F37</f>
        <v>3781</v>
      </c>
      <c r="I37" s="1823">
        <f t="shared" ref="I37" si="222">+E37+G37</f>
        <v>3781</v>
      </c>
      <c r="J37" s="2677">
        <f t="shared" si="180"/>
        <v>0</v>
      </c>
      <c r="K37" s="1646">
        <v>2000</v>
      </c>
      <c r="L37" s="4792">
        <f t="shared" ref="L37" si="223">+H37+J37</f>
        <v>3781</v>
      </c>
      <c r="M37" s="2011">
        <f t="shared" ref="M37" si="224">+I37+K37</f>
        <v>5781</v>
      </c>
      <c r="N37" s="2677">
        <f t="shared" si="181"/>
        <v>0</v>
      </c>
      <c r="O37" s="3918">
        <v>500</v>
      </c>
      <c r="P37" s="4809">
        <f t="shared" ref="P37" si="225">+L37+N37</f>
        <v>3781</v>
      </c>
      <c r="Q37" s="1823">
        <f t="shared" ref="Q37" si="226">+M37+O37</f>
        <v>6281</v>
      </c>
      <c r="R37" s="2677">
        <f t="shared" si="182"/>
        <v>0</v>
      </c>
      <c r="S37" s="3918">
        <v>2000</v>
      </c>
      <c r="T37" s="4809">
        <f t="shared" si="204"/>
        <v>3781</v>
      </c>
      <c r="U37" s="1823">
        <f t="shared" si="205"/>
        <v>8281</v>
      </c>
      <c r="V37" s="2677">
        <f t="shared" si="183"/>
        <v>0</v>
      </c>
      <c r="W37" s="3918">
        <v>1000</v>
      </c>
      <c r="X37" s="4792">
        <f t="shared" si="184"/>
        <v>0</v>
      </c>
      <c r="Y37" s="2011">
        <f t="shared" si="185"/>
        <v>3500</v>
      </c>
      <c r="Z37" s="6519">
        <f t="shared" si="206"/>
        <v>3781</v>
      </c>
      <c r="AA37" s="6531">
        <f t="shared" si="207"/>
        <v>9281</v>
      </c>
      <c r="AB37" s="2677">
        <f t="shared" si="186"/>
        <v>0</v>
      </c>
      <c r="AC37" s="3918">
        <v>3505</v>
      </c>
      <c r="AD37" s="4809">
        <f t="shared" si="208"/>
        <v>3781</v>
      </c>
      <c r="AE37" s="1823">
        <f t="shared" si="209"/>
        <v>12786</v>
      </c>
      <c r="AF37" s="2677">
        <f t="shared" si="187"/>
        <v>0</v>
      </c>
      <c r="AG37" s="3918">
        <v>2500</v>
      </c>
      <c r="AH37" s="4809">
        <f t="shared" si="210"/>
        <v>3781</v>
      </c>
      <c r="AI37" s="1823">
        <f t="shared" si="211"/>
        <v>15286</v>
      </c>
      <c r="AJ37" s="2677">
        <f t="shared" si="188"/>
        <v>0</v>
      </c>
      <c r="AK37" s="3918">
        <v>2833.3440000000001</v>
      </c>
      <c r="AL37" s="4792">
        <f t="shared" si="189"/>
        <v>0</v>
      </c>
      <c r="AM37" s="2011">
        <f t="shared" si="190"/>
        <v>8838.344000000001</v>
      </c>
      <c r="AN37" s="4809">
        <f t="shared" si="212"/>
        <v>3781</v>
      </c>
      <c r="AO37" s="1823">
        <f t="shared" si="213"/>
        <v>18119.344000000001</v>
      </c>
      <c r="AP37" s="2677">
        <f t="shared" si="191"/>
        <v>0</v>
      </c>
      <c r="AQ37" s="3918">
        <v>2000</v>
      </c>
      <c r="AR37" s="4809">
        <f t="shared" si="214"/>
        <v>3781</v>
      </c>
      <c r="AS37" s="1823">
        <f t="shared" si="215"/>
        <v>20119.344000000001</v>
      </c>
      <c r="AT37" s="2677">
        <f t="shared" si="192"/>
        <v>0</v>
      </c>
      <c r="AU37" s="3918">
        <v>3052</v>
      </c>
      <c r="AV37" s="4809">
        <f t="shared" si="216"/>
        <v>3781</v>
      </c>
      <c r="AW37" s="1823">
        <f t="shared" si="217"/>
        <v>23171.344000000001</v>
      </c>
      <c r="AX37" s="2677">
        <f t="shared" si="193"/>
        <v>0</v>
      </c>
      <c r="AY37" s="3918">
        <v>4700</v>
      </c>
      <c r="AZ37" s="4792">
        <f t="shared" si="194"/>
        <v>0</v>
      </c>
      <c r="BA37" s="2011">
        <f t="shared" si="195"/>
        <v>9752</v>
      </c>
      <c r="BB37" s="4792">
        <f t="shared" si="218"/>
        <v>0</v>
      </c>
      <c r="BC37" s="2011">
        <f t="shared" si="197"/>
        <v>18590.344000000001</v>
      </c>
      <c r="BD37" s="6519">
        <f t="shared" si="219"/>
        <v>3781</v>
      </c>
      <c r="BE37" s="6531">
        <f t="shared" si="220"/>
        <v>27871.344000000001</v>
      </c>
    </row>
    <row r="38" spans="2:57" ht="16" thickBot="1" x14ac:dyDescent="0.25">
      <c r="B38" s="2395" t="s">
        <v>221</v>
      </c>
      <c r="C38" s="1547" t="s">
        <v>170</v>
      </c>
      <c r="D38" s="2677">
        <f t="shared" si="178"/>
        <v>9411.56</v>
      </c>
      <c r="E38" s="2816">
        <v>9411.56</v>
      </c>
      <c r="F38" s="2677">
        <f t="shared" si="179"/>
        <v>9560.7999999999993</v>
      </c>
      <c r="G38" s="1646">
        <v>9560.8000000000011</v>
      </c>
      <c r="H38" s="4809">
        <f t="shared" si="198"/>
        <v>18972.36</v>
      </c>
      <c r="I38" s="1823">
        <f t="shared" si="199"/>
        <v>18972.36</v>
      </c>
      <c r="J38" s="2677">
        <f t="shared" si="180"/>
        <v>10473.76</v>
      </c>
      <c r="K38" s="1646">
        <v>10421.64</v>
      </c>
      <c r="L38" s="4792">
        <f t="shared" si="200"/>
        <v>29446.120000000003</v>
      </c>
      <c r="M38" s="2011">
        <f t="shared" si="201"/>
        <v>29394</v>
      </c>
      <c r="N38" s="2677">
        <f t="shared" si="181"/>
        <v>13948.203661739997</v>
      </c>
      <c r="O38" s="3918">
        <v>11904.16</v>
      </c>
      <c r="P38" s="4809">
        <f t="shared" si="202"/>
        <v>43394.323661739996</v>
      </c>
      <c r="Q38" s="1823">
        <f t="shared" si="203"/>
        <v>41298.160000000003</v>
      </c>
      <c r="R38" s="2677">
        <f t="shared" si="182"/>
        <v>13866.9107556</v>
      </c>
      <c r="S38" s="3918">
        <v>11488.4</v>
      </c>
      <c r="T38" s="4809">
        <f t="shared" si="204"/>
        <v>57261.234417339998</v>
      </c>
      <c r="U38" s="1823">
        <f t="shared" si="205"/>
        <v>52786.560000000005</v>
      </c>
      <c r="V38" s="2677">
        <f t="shared" si="183"/>
        <v>13684.416476467</v>
      </c>
      <c r="W38" s="3918">
        <v>8692.32</v>
      </c>
      <c r="X38" s="4792">
        <f t="shared" si="184"/>
        <v>41499.530893806994</v>
      </c>
      <c r="Y38" s="2011">
        <f t="shared" si="185"/>
        <v>32084.879999999997</v>
      </c>
      <c r="Z38" s="6519">
        <f t="shared" si="206"/>
        <v>70945.650893807004</v>
      </c>
      <c r="AA38" s="6531">
        <f t="shared" si="207"/>
        <v>61478.880000000005</v>
      </c>
      <c r="AB38" s="2677">
        <f t="shared" si="186"/>
        <v>7250</v>
      </c>
      <c r="AC38" s="3918">
        <v>11779.4</v>
      </c>
      <c r="AD38" s="4809">
        <f t="shared" si="208"/>
        <v>78195.650893807004</v>
      </c>
      <c r="AE38" s="1823">
        <f t="shared" si="209"/>
        <v>73258.28</v>
      </c>
      <c r="AF38" s="2677">
        <f t="shared" si="187"/>
        <v>13456</v>
      </c>
      <c r="AG38" s="3918">
        <v>12811.4</v>
      </c>
      <c r="AH38" s="4809">
        <f t="shared" si="210"/>
        <v>91651.650893807004</v>
      </c>
      <c r="AI38" s="1823">
        <f t="shared" si="211"/>
        <v>86069.68</v>
      </c>
      <c r="AJ38" s="2677">
        <f t="shared" si="188"/>
        <v>14152</v>
      </c>
      <c r="AK38" s="3918">
        <v>14166.720000000001</v>
      </c>
      <c r="AL38" s="4792">
        <f t="shared" si="189"/>
        <v>34858</v>
      </c>
      <c r="AM38" s="2011">
        <f t="shared" si="190"/>
        <v>38757.520000000004</v>
      </c>
      <c r="AN38" s="4809">
        <f t="shared" si="212"/>
        <v>105803.650893807</v>
      </c>
      <c r="AO38" s="1823">
        <f t="shared" si="213"/>
        <v>100236.4</v>
      </c>
      <c r="AP38" s="2677">
        <f t="shared" si="191"/>
        <v>13920</v>
      </c>
      <c r="AQ38" s="3918">
        <v>15109.04</v>
      </c>
      <c r="AR38" s="4809">
        <f t="shared" si="214"/>
        <v>119723.650893807</v>
      </c>
      <c r="AS38" s="1823">
        <f t="shared" si="215"/>
        <v>115345.44</v>
      </c>
      <c r="AT38" s="2677">
        <f t="shared" si="192"/>
        <v>12760</v>
      </c>
      <c r="AU38" s="3918">
        <v>13800</v>
      </c>
      <c r="AV38" s="4809">
        <f t="shared" si="216"/>
        <v>132483.650893807</v>
      </c>
      <c r="AW38" s="1823">
        <f t="shared" si="217"/>
        <v>129145.44</v>
      </c>
      <c r="AX38" s="2677">
        <f t="shared" si="193"/>
        <v>14152</v>
      </c>
      <c r="AY38" s="3918">
        <v>16037</v>
      </c>
      <c r="AZ38" s="4792">
        <f t="shared" si="194"/>
        <v>40832</v>
      </c>
      <c r="BA38" s="2011">
        <f t="shared" si="195"/>
        <v>44946.04</v>
      </c>
      <c r="BB38" s="4792">
        <f t="shared" si="218"/>
        <v>75690</v>
      </c>
      <c r="BC38" s="2011">
        <f t="shared" si="197"/>
        <v>83703.56</v>
      </c>
      <c r="BD38" s="6519">
        <f t="shared" si="219"/>
        <v>146635.650893807</v>
      </c>
      <c r="BE38" s="6531">
        <f t="shared" si="220"/>
        <v>145182.44</v>
      </c>
    </row>
    <row r="39" spans="2:57" ht="17" thickBot="1" x14ac:dyDescent="0.25">
      <c r="B39" s="1580" t="s">
        <v>97</v>
      </c>
      <c r="C39" s="1561" t="s">
        <v>170</v>
      </c>
      <c r="D39" s="2464">
        <f t="shared" ref="D39:I39" si="227">SUM(D30:D38)</f>
        <v>382188.68000000005</v>
      </c>
      <c r="E39" s="2817">
        <f t="shared" si="227"/>
        <v>382188.68</v>
      </c>
      <c r="F39" s="2319">
        <f t="shared" si="227"/>
        <v>389253.39999999997</v>
      </c>
      <c r="G39" s="1678">
        <f t="shared" si="227"/>
        <v>389345.39999999997</v>
      </c>
      <c r="H39" s="2784">
        <f t="shared" si="227"/>
        <v>771442.08</v>
      </c>
      <c r="I39" s="1825">
        <f t="shared" si="227"/>
        <v>771534.08</v>
      </c>
      <c r="J39" s="2319">
        <f t="shared" ref="J39:M39" si="228">SUM(J30:J38)</f>
        <v>406931.76039999997</v>
      </c>
      <c r="K39" s="1678">
        <f t="shared" si="228"/>
        <v>421457.92000000004</v>
      </c>
      <c r="L39" s="2951">
        <f t="shared" si="228"/>
        <v>1178373.8404000003</v>
      </c>
      <c r="M39" s="2005">
        <f t="shared" si="228"/>
        <v>1192992</v>
      </c>
      <c r="N39" s="2319">
        <f t="shared" ref="N39:Q39" si="229">SUM(N30:N38)</f>
        <v>541922.5827677534</v>
      </c>
      <c r="O39" s="1678">
        <f t="shared" si="229"/>
        <v>492382.48</v>
      </c>
      <c r="P39" s="2784">
        <f t="shared" si="229"/>
        <v>1720296.4231677537</v>
      </c>
      <c r="Q39" s="1825">
        <f t="shared" si="229"/>
        <v>1685374.48</v>
      </c>
      <c r="R39" s="2319">
        <f t="shared" ref="R39:U39" si="230">SUM(R30:R38)</f>
        <v>538764.15013194911</v>
      </c>
      <c r="S39" s="1678">
        <f t="shared" si="230"/>
        <v>462009.2</v>
      </c>
      <c r="T39" s="2784">
        <f t="shared" si="230"/>
        <v>2259060.5732997023</v>
      </c>
      <c r="U39" s="1825">
        <f t="shared" si="230"/>
        <v>2147383.6800000002</v>
      </c>
      <c r="V39" s="2319">
        <f t="shared" ref="V39:AI39" si="231">SUM(V30:V38)</f>
        <v>531673.79115193419</v>
      </c>
      <c r="W39" s="1678">
        <f t="shared" si="231"/>
        <v>342493.96</v>
      </c>
      <c r="X39" s="2951">
        <f t="shared" si="231"/>
        <v>1612360.5240516362</v>
      </c>
      <c r="Y39" s="2005">
        <f t="shared" si="231"/>
        <v>1296885.6399999999</v>
      </c>
      <c r="Z39" s="6511">
        <f t="shared" si="231"/>
        <v>2790734.3644516366</v>
      </c>
      <c r="AA39" s="6596">
        <f t="shared" si="231"/>
        <v>2489877.6399999997</v>
      </c>
      <c r="AB39" s="2319">
        <f t="shared" si="231"/>
        <v>281680.625</v>
      </c>
      <c r="AC39" s="1678">
        <f t="shared" si="231"/>
        <v>483677.2</v>
      </c>
      <c r="AD39" s="2784">
        <f t="shared" si="231"/>
        <v>3072414.9894516366</v>
      </c>
      <c r="AE39" s="1825">
        <f t="shared" si="231"/>
        <v>2973554.84</v>
      </c>
      <c r="AF39" s="2319">
        <f t="shared" si="231"/>
        <v>522799.24000000011</v>
      </c>
      <c r="AG39" s="1678">
        <f t="shared" si="231"/>
        <v>504803.2</v>
      </c>
      <c r="AH39" s="2784">
        <f t="shared" si="231"/>
        <v>3595214.2294516368</v>
      </c>
      <c r="AI39" s="1825">
        <f t="shared" si="231"/>
        <v>3478358.04</v>
      </c>
      <c r="AJ39" s="2319">
        <f t="shared" ref="AJ39:AO39" si="232">SUM(AJ30:AJ38)</f>
        <v>549840.58000000007</v>
      </c>
      <c r="AK39" s="1678">
        <f t="shared" si="232"/>
        <v>561722.50399999996</v>
      </c>
      <c r="AL39" s="2951">
        <f t="shared" si="232"/>
        <v>1354320.4450000001</v>
      </c>
      <c r="AM39" s="2005">
        <f t="shared" si="232"/>
        <v>1550202.9040000001</v>
      </c>
      <c r="AN39" s="2784">
        <f t="shared" si="232"/>
        <v>4145054.8094516364</v>
      </c>
      <c r="AO39" s="1825">
        <f t="shared" si="232"/>
        <v>4040080.5439999998</v>
      </c>
      <c r="AP39" s="2319">
        <f t="shared" ref="AP39:AS39" si="233">SUM(AP30:AP38)</f>
        <v>540826.80000000005</v>
      </c>
      <c r="AQ39" s="1678">
        <f t="shared" si="233"/>
        <v>597388.12</v>
      </c>
      <c r="AR39" s="2784">
        <f t="shared" si="233"/>
        <v>4685881.6094516367</v>
      </c>
      <c r="AS39" s="1825">
        <f t="shared" si="233"/>
        <v>4637468.6639999999</v>
      </c>
      <c r="AT39" s="2319">
        <f t="shared" ref="AT39:AW39" si="234">SUM(AT30:AT38)</f>
        <v>495758.8</v>
      </c>
      <c r="AU39" s="1678">
        <f t="shared" si="234"/>
        <v>543120</v>
      </c>
      <c r="AV39" s="2784">
        <f t="shared" si="234"/>
        <v>5181640.4094516365</v>
      </c>
      <c r="AW39" s="1825">
        <f t="shared" si="234"/>
        <v>5180588.6639999999</v>
      </c>
      <c r="AX39" s="2319">
        <f t="shared" ref="AX39:BE39" si="235">SUM(AX30:AX38)</f>
        <v>549840.26</v>
      </c>
      <c r="AY39" s="1678">
        <f t="shared" si="235"/>
        <v>574931</v>
      </c>
      <c r="AZ39" s="2951">
        <f t="shared" si="235"/>
        <v>1586425.86</v>
      </c>
      <c r="BA39" s="2005">
        <f t="shared" si="235"/>
        <v>1715439.12</v>
      </c>
      <c r="BB39" s="2951">
        <f t="shared" ref="BB39:BC39" si="236">SUM(BB30:BB38)</f>
        <v>2940746.3050000002</v>
      </c>
      <c r="BC39" s="2005">
        <f t="shared" si="236"/>
        <v>3265642.0240000002</v>
      </c>
      <c r="BD39" s="6511">
        <f t="shared" si="235"/>
        <v>5731480.6694516363</v>
      </c>
      <c r="BE39" s="6596">
        <f t="shared" si="235"/>
        <v>5755519.6639999999</v>
      </c>
    </row>
    <row r="40" spans="2:57" s="3380" customFormat="1" ht="18" x14ac:dyDescent="0.2">
      <c r="B40" s="5052" t="s">
        <v>2538</v>
      </c>
      <c r="C40" s="3290"/>
      <c r="D40" s="3435"/>
      <c r="E40" s="6766"/>
      <c r="F40" s="3435"/>
      <c r="G40" s="5756"/>
      <c r="H40" s="3435"/>
      <c r="I40" s="5756"/>
      <c r="J40" s="3435"/>
      <c r="K40" s="5756"/>
      <c r="L40" s="3435"/>
      <c r="M40" s="5756"/>
      <c r="N40" s="3435"/>
      <c r="O40" s="5756"/>
      <c r="P40" s="3435"/>
      <c r="Q40" s="5756"/>
      <c r="R40" s="3435"/>
      <c r="S40" s="5756"/>
      <c r="T40" s="3435"/>
      <c r="U40" s="5756"/>
      <c r="V40" s="3435"/>
      <c r="W40" s="5756"/>
      <c r="X40" s="3435"/>
      <c r="Y40" s="5756"/>
      <c r="Z40" s="3435"/>
      <c r="AA40" s="5756"/>
      <c r="AB40" s="3435"/>
      <c r="AC40" s="5756"/>
      <c r="AD40" s="3435"/>
      <c r="AE40" s="5756"/>
      <c r="AF40" s="3435"/>
      <c r="AG40" s="5756"/>
      <c r="AH40" s="3435"/>
      <c r="AI40" s="5756"/>
      <c r="AJ40" s="3435"/>
      <c r="AK40" s="5756"/>
      <c r="AL40" s="3435"/>
      <c r="AM40" s="5756"/>
      <c r="AN40" s="3435"/>
      <c r="AO40" s="5756"/>
      <c r="AP40" s="3435"/>
      <c r="AQ40" s="5756"/>
      <c r="AR40" s="3435"/>
      <c r="AS40" s="5756"/>
      <c r="AT40" s="3435"/>
      <c r="AU40" s="5756"/>
      <c r="AV40" s="3435"/>
      <c r="AW40" s="5756"/>
      <c r="AX40" s="3435"/>
      <c r="AY40" s="5756"/>
      <c r="AZ40" s="3435"/>
      <c r="BA40" s="5756"/>
      <c r="BB40" s="3435"/>
      <c r="BC40" s="5756"/>
      <c r="BD40" s="3435"/>
      <c r="BE40" s="5756"/>
    </row>
    <row r="41" spans="2:57" x14ac:dyDescent="0.2">
      <c r="B41" s="1533" t="s">
        <v>155</v>
      </c>
      <c r="C41" s="1544" t="s">
        <v>709</v>
      </c>
      <c r="D41" s="3174">
        <f>+D28</f>
        <v>1229.6537449689533</v>
      </c>
      <c r="E41" s="2750">
        <f t="shared" ref="E41:E49" si="237">+E30/E$54*1000</f>
        <v>1229.6537449689531</v>
      </c>
      <c r="F41" s="6869">
        <f>+F28</f>
        <v>1253.7904777842859</v>
      </c>
      <c r="G41" s="2750">
        <f t="shared" ref="G41:G49" si="238">+G30/G$54*1000</f>
        <v>1254.1753828131536</v>
      </c>
      <c r="H41" s="3912">
        <f>+H28</f>
        <v>1241.8170433198611</v>
      </c>
      <c r="I41" s="3193">
        <f t="shared" ref="H41:I49" si="239">+I30/I$54*1000</f>
        <v>1242.0110097004274</v>
      </c>
      <c r="J41" s="6869">
        <f>+J28</f>
        <v>1210.9000000000001</v>
      </c>
      <c r="K41" s="2750">
        <f t="shared" ref="K41:M49" si="240">+K30/K$54*1000</f>
        <v>1220.5948391999723</v>
      </c>
      <c r="L41" s="4141">
        <f>+L28</f>
        <v>1230.8200871286267</v>
      </c>
      <c r="M41" s="5029">
        <f t="shared" ref="M41" si="241">+M30/M$54*1000</f>
        <v>1234.4179084166838</v>
      </c>
      <c r="N41" s="4811">
        <f>+N28</f>
        <v>1210.9000000000003</v>
      </c>
      <c r="O41" s="2750">
        <f t="shared" ref="O41:Q49" si="242">+O30/O$54*1000</f>
        <v>1245.8669910350668</v>
      </c>
      <c r="P41" s="3912">
        <f>+P28</f>
        <v>1224.4171890354214</v>
      </c>
      <c r="Q41" s="3193">
        <f t="shared" ref="Q41" si="243">+Q30/Q$54*1000</f>
        <v>1237.7180968837354</v>
      </c>
      <c r="R41" s="4811">
        <f>+R28</f>
        <v>1210.9000000000001</v>
      </c>
      <c r="S41" s="2750">
        <f t="shared" ref="S41:U49" si="244">+S30/S$54*1000</f>
        <v>1244.9113888792174</v>
      </c>
      <c r="T41" s="3912">
        <f>+T28</f>
        <v>1221.1437413717786</v>
      </c>
      <c r="U41" s="3193">
        <f t="shared" ref="U41" si="245">+U30/U$54*1000</f>
        <v>1239.283635834576</v>
      </c>
      <c r="V41" s="4811">
        <f>+V28</f>
        <v>1210.8999999999999</v>
      </c>
      <c r="W41" s="2750">
        <f t="shared" ref="W41" si="246">+W30/W$54*1000</f>
        <v>1219.0439376369025</v>
      </c>
      <c r="X41" s="4141">
        <f>+X28</f>
        <v>1210.8999999999999</v>
      </c>
      <c r="Y41" s="5029">
        <f t="shared" ref="Y41" si="247">+Y30/Y$54*1000</f>
        <v>1238.2580206003574</v>
      </c>
      <c r="Z41" s="6509">
        <f>+Z28</f>
        <v>1219.1678679892302</v>
      </c>
      <c r="AA41" s="6615">
        <f t="shared" ref="AA41" si="248">+AA30/AA$54*1000</f>
        <v>1236.4220037840637</v>
      </c>
      <c r="AB41" s="4811">
        <f>+AB28</f>
        <v>1210.9000000000001</v>
      </c>
      <c r="AC41" s="2750">
        <f t="shared" ref="AC41" si="249">+AC30/AC$54*1000</f>
        <v>1226.4461687352498</v>
      </c>
      <c r="AD41" s="3912">
        <f>+AD28</f>
        <v>1218.401303068589</v>
      </c>
      <c r="AE41" s="3193">
        <f t="shared" ref="AE41" si="250">+AE30/AE$54*1000</f>
        <v>1234.8179618740708</v>
      </c>
      <c r="AF41" s="4811">
        <f>+AF28</f>
        <v>1210.9000000000001</v>
      </c>
      <c r="AG41" s="2750">
        <f t="shared" ref="AG41" si="251">+AG30/AG$54*1000</f>
        <v>1231.7311144761695</v>
      </c>
      <c r="AH41" s="3912">
        <f>+AH28</f>
        <v>1217.2999859280183</v>
      </c>
      <c r="AI41" s="3193">
        <f t="shared" ref="AI41" si="252">+AI30/AI$54*1000</f>
        <v>1234.3584872164042</v>
      </c>
      <c r="AJ41" s="4811">
        <f>+AJ28</f>
        <v>1210.9000000000001</v>
      </c>
      <c r="AK41" s="2723">
        <f t="shared" ref="AK41" si="253">+AK30/AK$54*1000</f>
        <v>1252.7303426622393</v>
      </c>
      <c r="AL41" s="4141">
        <f>+AL28</f>
        <v>1210.9000000000001</v>
      </c>
      <c r="AM41" s="5029">
        <f t="shared" ref="AM41" si="254">+AM30/AM$54*1000</f>
        <v>1237.8005610266084</v>
      </c>
      <c r="AN41" s="3912">
        <f>+AN28</f>
        <v>1216.4439417358928</v>
      </c>
      <c r="AO41" s="3193">
        <f t="shared" ref="AO41" si="255">+AO30/AO$54*1000</f>
        <v>1236.9550382894836</v>
      </c>
      <c r="AP41" s="4811">
        <f>+AP28</f>
        <v>1210.9000000000001</v>
      </c>
      <c r="AQ41" s="2723">
        <f t="shared" ref="AQ41" si="256">+AQ30/AQ$54*1000</f>
        <v>1246.3717085930014</v>
      </c>
      <c r="AR41" s="3912">
        <f>+AR28</f>
        <v>1215.7993600814955</v>
      </c>
      <c r="AS41" s="3193">
        <f t="shared" ref="AS41" si="257">+AS30/AS$54*1000</f>
        <v>1238.1885231006963</v>
      </c>
      <c r="AT41" s="4811">
        <f>+AT28</f>
        <v>1210.9028213166143</v>
      </c>
      <c r="AU41" s="2723">
        <f t="shared" ref="AU41" si="258">+AU30/AU$54*1000</f>
        <v>1230.1525190866246</v>
      </c>
      <c r="AV41" s="3912">
        <f>+AV28</f>
        <v>1215.3277559686985</v>
      </c>
      <c r="AW41" s="3193">
        <f t="shared" ref="AW41" si="259">+AW30/AW$54*1000</f>
        <v>1237.3298123483496</v>
      </c>
      <c r="AX41" s="4811">
        <f>+AX28</f>
        <v>1210.8990955342001</v>
      </c>
      <c r="AY41" s="2723">
        <f t="shared" ref="AY41" si="260">+AY30/AY$54*1000</f>
        <v>1242.6054098544653</v>
      </c>
      <c r="AZ41" s="4141">
        <f>+AZ28</f>
        <v>1210.9005681818182</v>
      </c>
      <c r="BA41" s="5029">
        <f t="shared" ref="BA41" si="261">+BA30/BA$54*1000</f>
        <v>1240.0479857466669</v>
      </c>
      <c r="BB41" s="4141">
        <f>+BB28</f>
        <v>1210.90030651341</v>
      </c>
      <c r="BC41" s="5029">
        <f t="shared" ref="BC41" si="262">+BC30/BC$54*1000</f>
        <v>1239.0073616377672</v>
      </c>
      <c r="BD41" s="6509">
        <f>+BD28</f>
        <v>1214.9003401111836</v>
      </c>
      <c r="BE41" s="6615">
        <f t="shared" ref="BE41" si="263">+BE30/BE$54*1000</f>
        <v>1237.9125721812763</v>
      </c>
    </row>
    <row r="42" spans="2:57" x14ac:dyDescent="0.2">
      <c r="B42" s="1533" t="s">
        <v>225</v>
      </c>
      <c r="C42" s="1544" t="s">
        <v>709</v>
      </c>
      <c r="D42" s="3174">
        <v>14.824322429012831</v>
      </c>
      <c r="E42" s="2723">
        <f t="shared" si="237"/>
        <v>14.824322429012831</v>
      </c>
      <c r="F42" s="6869">
        <v>3.8867040415028034</v>
      </c>
      <c r="G42" s="2723">
        <f t="shared" si="238"/>
        <v>3.8867040415028034</v>
      </c>
      <c r="H42" s="3194">
        <f t="shared" si="239"/>
        <v>9.312494597403802</v>
      </c>
      <c r="I42" s="5307">
        <f t="shared" si="239"/>
        <v>9.312494597403802</v>
      </c>
      <c r="J42" s="1786">
        <v>17.2</v>
      </c>
      <c r="K42" s="2723">
        <f t="shared" si="240"/>
        <v>20.906498401403233</v>
      </c>
      <c r="L42" s="5714">
        <f t="shared" si="240"/>
        <v>12.118020031162001</v>
      </c>
      <c r="M42" s="5709">
        <f t="shared" si="240"/>
        <v>13.423147581139009</v>
      </c>
      <c r="N42" s="3229">
        <v>17.2</v>
      </c>
      <c r="O42" s="2723">
        <f t="shared" si="242"/>
        <v>31.8107283504254</v>
      </c>
      <c r="P42" s="3194">
        <f t="shared" si="242"/>
        <v>13.751516895009496</v>
      </c>
      <c r="Q42" s="5307">
        <f t="shared" si="242"/>
        <v>18.72335232368706</v>
      </c>
      <c r="R42" s="3229">
        <v>17.2</v>
      </c>
      <c r="S42" s="2723">
        <f t="shared" si="244"/>
        <v>25.371679259078721</v>
      </c>
      <c r="T42" s="3194">
        <f t="shared" si="244"/>
        <v>14.586633496069304</v>
      </c>
      <c r="U42" s="5307">
        <f t="shared" si="244"/>
        <v>20.170285769711079</v>
      </c>
      <c r="V42" s="3229">
        <v>17.2</v>
      </c>
      <c r="W42" s="2723">
        <f t="shared" ref="W42:AA42" si="264">+W31/W$54*1000</f>
        <v>26.184033721722162</v>
      </c>
      <c r="X42" s="5714">
        <f t="shared" si="264"/>
        <v>17.199999999999996</v>
      </c>
      <c r="Y42" s="5709">
        <f t="shared" si="264"/>
        <v>27.980780978454646</v>
      </c>
      <c r="Z42" s="6616">
        <f t="shared" si="264"/>
        <v>15.090715073937496</v>
      </c>
      <c r="AA42" s="6617">
        <f t="shared" si="264"/>
        <v>21.02055209854181</v>
      </c>
      <c r="AB42" s="4811">
        <v>17.2</v>
      </c>
      <c r="AC42" s="2723">
        <f t="shared" ref="AC42:AE42" si="265">+AC31/AC$54*1000</f>
        <v>24.22194678846121</v>
      </c>
      <c r="AD42" s="3194">
        <f t="shared" si="265"/>
        <v>15.286279859691641</v>
      </c>
      <c r="AE42" s="5307">
        <f t="shared" si="265"/>
        <v>21.535313141395076</v>
      </c>
      <c r="AF42" s="3229">
        <v>17.2</v>
      </c>
      <c r="AG42" s="2723">
        <f t="shared" ref="AG42:AI42" si="266">+AG31/AG$54*1000</f>
        <v>30.438515696957399</v>
      </c>
      <c r="AH42" s="3194">
        <f t="shared" si="266"/>
        <v>15.567246082960501</v>
      </c>
      <c r="AI42" s="5307">
        <f t="shared" si="266"/>
        <v>22.860547407635302</v>
      </c>
      <c r="AJ42" s="3229">
        <v>17.2</v>
      </c>
      <c r="AK42" s="2723">
        <f t="shared" ref="AK42:AO42" si="267">+AK31/AK$54*1000</f>
        <v>5.9152718483883362</v>
      </c>
      <c r="AL42" s="5714">
        <f t="shared" si="267"/>
        <v>17.2</v>
      </c>
      <c r="AM42" s="5709">
        <f t="shared" si="267"/>
        <v>19.585360466820372</v>
      </c>
      <c r="AN42" s="3194">
        <f t="shared" si="267"/>
        <v>15.785638673752427</v>
      </c>
      <c r="AO42" s="5307">
        <f t="shared" si="267"/>
        <v>20.465619276031461</v>
      </c>
      <c r="AP42" s="3229">
        <v>17.2</v>
      </c>
      <c r="AQ42" s="2723">
        <f t="shared" ref="AQ42:AS42" si="268">+AQ31/AQ$54*1000</f>
        <v>27.594076129257715</v>
      </c>
      <c r="AR42" s="3194">
        <f t="shared" si="268"/>
        <v>15.950083288616611</v>
      </c>
      <c r="AS42" s="5307">
        <f t="shared" si="268"/>
        <v>21.399372181509733</v>
      </c>
      <c r="AT42" s="3229">
        <v>17.2</v>
      </c>
      <c r="AU42" s="2723">
        <f t="shared" ref="AU42:AW42" si="269">+AU31/AU$54*1000</f>
        <v>32.063210494889944</v>
      </c>
      <c r="AV42" s="3194">
        <f t="shared" si="269"/>
        <v>16.070467480399159</v>
      </c>
      <c r="AW42" s="5307">
        <f t="shared" si="269"/>
        <v>22.538887866787338</v>
      </c>
      <c r="AX42" s="3229">
        <v>17.2</v>
      </c>
      <c r="AY42" s="2723">
        <f t="shared" ref="AY42:BE42" si="270">+AY31/AY$54*1000</f>
        <v>4.8761021113148013</v>
      </c>
      <c r="AZ42" s="5714">
        <f t="shared" si="270"/>
        <v>17.200000000000003</v>
      </c>
      <c r="BA42" s="5709">
        <f t="shared" si="270"/>
        <v>20.86027266085059</v>
      </c>
      <c r="BB42" s="5714">
        <f t="shared" ref="BB42:BC42" si="271">+BB31/BB$54*1000</f>
        <v>17.2</v>
      </c>
      <c r="BC42" s="5709">
        <f t="shared" si="271"/>
        <v>20.269950611797256</v>
      </c>
      <c r="BD42" s="6616">
        <f t="shared" si="270"/>
        <v>16.179480153101565</v>
      </c>
      <c r="BE42" s="6617">
        <f t="shared" si="270"/>
        <v>20.587798523078586</v>
      </c>
    </row>
    <row r="43" spans="2:57" x14ac:dyDescent="0.2">
      <c r="B43" s="1533" t="s">
        <v>1854</v>
      </c>
      <c r="C43" s="1544" t="s">
        <v>709</v>
      </c>
      <c r="D43" s="3174">
        <v>17.705885103000991</v>
      </c>
      <c r="E43" s="2723">
        <f t="shared" si="237"/>
        <v>17.705885103000991</v>
      </c>
      <c r="F43" s="6869">
        <v>11.413270855995314</v>
      </c>
      <c r="G43" s="2723">
        <f t="shared" si="238"/>
        <v>11.413270855995314</v>
      </c>
      <c r="H43" s="3194">
        <f t="shared" si="239"/>
        <v>14.534828561127872</v>
      </c>
      <c r="I43" s="5307">
        <f t="shared" si="239"/>
        <v>14.534828561127872</v>
      </c>
      <c r="J43" s="1786">
        <v>0</v>
      </c>
      <c r="K43" s="2723">
        <f t="shared" si="240"/>
        <v>13.049769518041307</v>
      </c>
      <c r="L43" s="5714">
        <f t="shared" si="240"/>
        <v>9.3649010463857376</v>
      </c>
      <c r="M43" s="5709">
        <f t="shared" si="240"/>
        <v>14.008301013812343</v>
      </c>
      <c r="N43" s="3229">
        <v>0</v>
      </c>
      <c r="O43" s="2723">
        <f t="shared" si="242"/>
        <v>23.212053601430089</v>
      </c>
      <c r="P43" s="3194">
        <f t="shared" si="242"/>
        <v>6.3547481958598357</v>
      </c>
      <c r="Q43" s="5307">
        <f t="shared" si="242"/>
        <v>16.661274981742526</v>
      </c>
      <c r="R43" s="3229">
        <v>0</v>
      </c>
      <c r="S43" s="2723">
        <f t="shared" si="244"/>
        <v>16.594129730858953</v>
      </c>
      <c r="T43" s="3194">
        <f t="shared" si="244"/>
        <v>4.8158235288845548</v>
      </c>
      <c r="U43" s="5307">
        <f t="shared" si="244"/>
        <v>16.646661574461376</v>
      </c>
      <c r="V43" s="3229">
        <v>0</v>
      </c>
      <c r="W43" s="2723">
        <f t="shared" ref="W43:AA43" si="272">+W32/W$54*1000</f>
        <v>21.775544388609713</v>
      </c>
      <c r="X43" s="5714">
        <f t="shared" si="272"/>
        <v>0</v>
      </c>
      <c r="Y43" s="5709">
        <f t="shared" si="272"/>
        <v>20.453247760315762</v>
      </c>
      <c r="Z43" s="6616">
        <f t="shared" si="272"/>
        <v>3.8869190221788736</v>
      </c>
      <c r="AA43" s="6617">
        <f t="shared" si="272"/>
        <v>17.371819395538761</v>
      </c>
      <c r="AB43" s="4811">
        <v>0</v>
      </c>
      <c r="AC43" s="2723">
        <f t="shared" ref="AC43:AE43" si="273">+AC32/AC$54*1000</f>
        <v>4.9442246633954188</v>
      </c>
      <c r="AD43" s="3194">
        <f t="shared" si="273"/>
        <v>3.5265388400499891</v>
      </c>
      <c r="AE43" s="5307">
        <f t="shared" si="273"/>
        <v>15.373552313813539</v>
      </c>
      <c r="AF43" s="3229">
        <v>0</v>
      </c>
      <c r="AG43" s="2723">
        <f t="shared" ref="AG43:AI43" si="274">+AG32/AG$54*1000</f>
        <v>8.1552367422764096</v>
      </c>
      <c r="AH43" s="3194">
        <f t="shared" si="274"/>
        <v>3.0087837732406126</v>
      </c>
      <c r="AI43" s="5307">
        <f t="shared" si="274"/>
        <v>14.299112068268407</v>
      </c>
      <c r="AJ43" s="3229">
        <v>0</v>
      </c>
      <c r="AK43" s="2723">
        <f t="shared" ref="AK43:AO43" si="275">+AK32/AK$54*1000</f>
        <v>12.875245646134037</v>
      </c>
      <c r="AL43" s="5714">
        <f t="shared" si="275"/>
        <v>0</v>
      </c>
      <c r="AM43" s="5709">
        <f t="shared" si="275"/>
        <v>8.9045945148193173</v>
      </c>
      <c r="AN43" s="3194">
        <f t="shared" si="275"/>
        <v>2.6063372829806672</v>
      </c>
      <c r="AO43" s="5307">
        <f t="shared" si="275"/>
        <v>14.097872629104797</v>
      </c>
      <c r="AP43" s="3229">
        <v>0</v>
      </c>
      <c r="AQ43" s="2723">
        <f t="shared" ref="AQ43:AS43" si="276">+AQ32/AQ$54*1000</f>
        <v>18.179844649296051</v>
      </c>
      <c r="AR43" s="3194">
        <f t="shared" si="276"/>
        <v>2.3033043007065896</v>
      </c>
      <c r="AS43" s="5307">
        <f t="shared" si="276"/>
        <v>14.632568049504169</v>
      </c>
      <c r="AT43" s="3229">
        <v>0</v>
      </c>
      <c r="AU43" s="2723">
        <f t="shared" ref="AU43:AW43" si="277">+AU32/AU$54*1000</f>
        <v>33.471881648435101</v>
      </c>
      <c r="AV43" s="3194">
        <f t="shared" si="277"/>
        <v>2.0814643779785094</v>
      </c>
      <c r="AW43" s="5307">
        <f t="shared" si="277"/>
        <v>16.645698098457494</v>
      </c>
      <c r="AX43" s="3229">
        <v>0</v>
      </c>
      <c r="AY43" s="2723">
        <f t="shared" ref="AY43:BE43" si="278">+AY32/AY$54*1000</f>
        <v>32.476585980271118</v>
      </c>
      <c r="AZ43" s="5714">
        <f t="shared" si="278"/>
        <v>0</v>
      </c>
      <c r="BA43" s="5709">
        <f t="shared" si="278"/>
        <v>27.976259870584435</v>
      </c>
      <c r="BB43" s="5714">
        <f t="shared" ref="BB43:BC43" si="279">+BB32/BB$54*1000</f>
        <v>0</v>
      </c>
      <c r="BC43" s="5709">
        <f t="shared" si="279"/>
        <v>19.145514800929941</v>
      </c>
      <c r="BD43" s="6616">
        <f t="shared" si="278"/>
        <v>1.8805795065464972</v>
      </c>
      <c r="BE43" s="6617">
        <f t="shared" si="278"/>
        <v>18.394429984540896</v>
      </c>
    </row>
    <row r="44" spans="2:57" x14ac:dyDescent="0.2">
      <c r="B44" s="1533" t="s">
        <v>156</v>
      </c>
      <c r="C44" s="1544" t="s">
        <v>709</v>
      </c>
      <c r="D44" s="2677">
        <v>12.945781570749164</v>
      </c>
      <c r="E44" s="2723">
        <f t="shared" si="237"/>
        <v>12.945781570749164</v>
      </c>
      <c r="F44" s="2677">
        <v>13.107689733076731</v>
      </c>
      <c r="G44" s="2723">
        <f t="shared" si="238"/>
        <v>13.107689733076731</v>
      </c>
      <c r="H44" s="3194">
        <f t="shared" si="239"/>
        <v>13.027372451292301</v>
      </c>
      <c r="I44" s="5307">
        <f t="shared" si="239"/>
        <v>13.027372451292301</v>
      </c>
      <c r="J44" s="1785">
        <v>15</v>
      </c>
      <c r="K44" s="2723">
        <f t="shared" si="240"/>
        <v>13.345308415949889</v>
      </c>
      <c r="L44" s="5714">
        <f t="shared" si="240"/>
        <v>13.729021005144311</v>
      </c>
      <c r="M44" s="5709">
        <f t="shared" si="240"/>
        <v>13.140096618357488</v>
      </c>
      <c r="N44" s="3218">
        <v>15</v>
      </c>
      <c r="O44" s="2723">
        <f t="shared" si="242"/>
        <v>12.654399806454215</v>
      </c>
      <c r="P44" s="3194">
        <f t="shared" si="242"/>
        <v>14.137550793699841</v>
      </c>
      <c r="Q44" s="5307">
        <f t="shared" si="242"/>
        <v>13.000094919483097</v>
      </c>
      <c r="R44" s="3218">
        <v>15</v>
      </c>
      <c r="S44" s="2723">
        <f t="shared" si="244"/>
        <v>11.364506806866057</v>
      </c>
      <c r="T44" s="3194">
        <f t="shared" si="244"/>
        <v>14.346409479627518</v>
      </c>
      <c r="U44" s="5307">
        <f t="shared" si="244"/>
        <v>12.644127596115375</v>
      </c>
      <c r="V44" s="3218">
        <v>15</v>
      </c>
      <c r="W44" s="2723">
        <f t="shared" ref="W44:AA44" si="280">+W33/W$54*1000</f>
        <v>13.165645075192813</v>
      </c>
      <c r="X44" s="5714">
        <f t="shared" si="280"/>
        <v>15</v>
      </c>
      <c r="Y44" s="5709">
        <f t="shared" si="280"/>
        <v>12.331041911330196</v>
      </c>
      <c r="Z44" s="6616">
        <f t="shared" si="280"/>
        <v>14.472477882315589</v>
      </c>
      <c r="AA44" s="6617">
        <f t="shared" si="280"/>
        <v>12.717863435378133</v>
      </c>
      <c r="AB44" s="3174">
        <v>15</v>
      </c>
      <c r="AC44" s="2723">
        <f t="shared" ref="AC44:AE44" si="281">+AC33/AC$54*1000</f>
        <v>10.696639896768936</v>
      </c>
      <c r="AD44" s="3194">
        <f t="shared" si="281"/>
        <v>14.52138770414706</v>
      </c>
      <c r="AE44" s="5307">
        <f t="shared" si="281"/>
        <v>12.392865352558101</v>
      </c>
      <c r="AF44" s="3218">
        <v>15</v>
      </c>
      <c r="AG44" s="2723">
        <f t="shared" ref="AG44:AI44" si="282">+AG33/AG$54*1000</f>
        <v>12.876032283747287</v>
      </c>
      <c r="AH44" s="3194">
        <f t="shared" si="282"/>
        <v>14.591656018903977</v>
      </c>
      <c r="AI44" s="5307">
        <f t="shared" si="282"/>
        <v>12.464784346822249</v>
      </c>
      <c r="AJ44" s="3218">
        <v>15</v>
      </c>
      <c r="AK44" s="2723">
        <f t="shared" ref="AK44:AO44" si="283">+AK33/AK$54*1000</f>
        <v>16.133586320616207</v>
      </c>
      <c r="AL44" s="5714">
        <f t="shared" si="283"/>
        <v>15</v>
      </c>
      <c r="AM44" s="5709">
        <f t="shared" si="283"/>
        <v>13.404366430050221</v>
      </c>
      <c r="AN44" s="3194">
        <f t="shared" si="283"/>
        <v>14.646274966092019</v>
      </c>
      <c r="AO44" s="5307">
        <f t="shared" si="283"/>
        <v>12.983307461161813</v>
      </c>
      <c r="AP44" s="3218">
        <v>15</v>
      </c>
      <c r="AQ44" s="2723">
        <f t="shared" ref="AQ44:AS44" si="284">+AQ33/AQ$54*1000</f>
        <v>17.653007735766138</v>
      </c>
      <c r="AR44" s="3194">
        <f t="shared" si="284"/>
        <v>14.687401781347313</v>
      </c>
      <c r="AS44" s="5307">
        <f t="shared" si="284"/>
        <v>13.594989104033933</v>
      </c>
      <c r="AT44" s="3218">
        <v>15</v>
      </c>
      <c r="AU44" s="2723">
        <f t="shared" ref="AU44:AW44" si="285">+AU33/AU$54*1000</f>
        <v>17.399697396567017</v>
      </c>
      <c r="AV44" s="3194">
        <f t="shared" si="285"/>
        <v>14.71750929456195</v>
      </c>
      <c r="AW44" s="5307">
        <f t="shared" si="285"/>
        <v>14.001552355448514</v>
      </c>
      <c r="AX44" s="3218">
        <v>15</v>
      </c>
      <c r="AY44" s="2723">
        <f t="shared" ref="AY44:BE44" si="286">+AY33/AY$54*1000</f>
        <v>15.324179729881402</v>
      </c>
      <c r="AZ44" s="5714">
        <f t="shared" si="286"/>
        <v>15</v>
      </c>
      <c r="BA44" s="5709">
        <f t="shared" si="286"/>
        <v>16.744284561173373</v>
      </c>
      <c r="BB44" s="5714">
        <f t="shared" ref="BB44:BC44" si="287">+BB33/BB$54*1000</f>
        <v>15</v>
      </c>
      <c r="BC44" s="5709">
        <f t="shared" si="287"/>
        <v>15.197803694438273</v>
      </c>
      <c r="BD44" s="6616">
        <f t="shared" si="286"/>
        <v>14.744772844994541</v>
      </c>
      <c r="BE44" s="6617">
        <f t="shared" si="286"/>
        <v>14.147654120576584</v>
      </c>
    </row>
    <row r="45" spans="2:57" x14ac:dyDescent="0.2">
      <c r="B45" s="1533" t="s">
        <v>226</v>
      </c>
      <c r="C45" s="1544" t="s">
        <v>709</v>
      </c>
      <c r="D45" s="2677">
        <v>5.1681124064448403</v>
      </c>
      <c r="E45" s="2723">
        <f t="shared" si="237"/>
        <v>5.1681124064448403</v>
      </c>
      <c r="F45" s="6869">
        <v>6.3509329763199727</v>
      </c>
      <c r="G45" s="2723">
        <f t="shared" si="238"/>
        <v>6.3509329763199727</v>
      </c>
      <c r="H45" s="3194">
        <f t="shared" si="239"/>
        <v>5.764174831175457</v>
      </c>
      <c r="I45" s="5307">
        <f t="shared" si="239"/>
        <v>5.764174831175457</v>
      </c>
      <c r="J45" s="1786">
        <v>21</v>
      </c>
      <c r="K45" s="2723">
        <f t="shared" si="240"/>
        <v>12.846346640260075</v>
      </c>
      <c r="L45" s="5714">
        <f t="shared" si="240"/>
        <v>11.18344148566942</v>
      </c>
      <c r="M45" s="5709">
        <f t="shared" si="240"/>
        <v>8.2751581955501123</v>
      </c>
      <c r="N45" s="3229">
        <v>21</v>
      </c>
      <c r="O45" s="2723">
        <f t="shared" si="242"/>
        <v>18.407010658458894</v>
      </c>
      <c r="P45" s="3194">
        <f t="shared" si="242"/>
        <v>14.338770244393539</v>
      </c>
      <c r="Q45" s="5307">
        <f t="shared" si="242"/>
        <v>11.195656174512376</v>
      </c>
      <c r="R45" s="3229">
        <v>21</v>
      </c>
      <c r="S45" s="2723">
        <f t="shared" si="244"/>
        <v>15.842066780404583</v>
      </c>
      <c r="T45" s="3194">
        <f t="shared" si="244"/>
        <v>15.951915323843137</v>
      </c>
      <c r="U45" s="5307">
        <f t="shared" si="244"/>
        <v>12.206895088446755</v>
      </c>
      <c r="V45" s="3229">
        <v>21</v>
      </c>
      <c r="W45" s="3913">
        <f t="shared" ref="W45:AA45" si="288">+W34/W$54*1000</f>
        <v>15.590774384744234</v>
      </c>
      <c r="X45" s="5714">
        <f t="shared" si="288"/>
        <v>20.999999999999996</v>
      </c>
      <c r="Y45" s="5709">
        <f t="shared" si="288"/>
        <v>16.725635252492761</v>
      </c>
      <c r="Z45" s="6616">
        <f t="shared" si="288"/>
        <v>16.925619733439749</v>
      </c>
      <c r="AA45" s="6617">
        <f t="shared" si="288"/>
        <v>12.685331938382742</v>
      </c>
      <c r="AB45" s="4811">
        <v>21</v>
      </c>
      <c r="AC45" s="2723">
        <f t="shared" ref="AC45:AE45" si="289">+AC34/AC$54*1000</f>
        <v>5.8441007182029647</v>
      </c>
      <c r="AD45" s="3194">
        <f t="shared" si="289"/>
        <v>17.303380601146795</v>
      </c>
      <c r="AE45" s="5307">
        <f t="shared" si="289"/>
        <v>11.585311585256985</v>
      </c>
      <c r="AF45" s="3229">
        <v>21</v>
      </c>
      <c r="AG45" s="2723">
        <f t="shared" ref="AG45:AI45" si="290">+AG34/AG$54*1000</f>
        <v>17.184694881121501</v>
      </c>
      <c r="AH45" s="3194">
        <f t="shared" si="290"/>
        <v>17.846106347446799</v>
      </c>
      <c r="AI45" s="5307">
        <f t="shared" si="290"/>
        <v>12.418775113373258</v>
      </c>
      <c r="AJ45" s="3229">
        <v>21</v>
      </c>
      <c r="AK45" s="2723">
        <f t="shared" ref="AK45:AO45" si="291">+AK34/AK$54*1000</f>
        <v>19.038987147342503</v>
      </c>
      <c r="AL45" s="5714">
        <f t="shared" si="291"/>
        <v>21</v>
      </c>
      <c r="AM45" s="5709">
        <f t="shared" si="291"/>
        <v>14.415783053198451</v>
      </c>
      <c r="AN45" s="3194">
        <f t="shared" si="291"/>
        <v>18.267962328727926</v>
      </c>
      <c r="AO45" s="5307">
        <f t="shared" si="291"/>
        <v>13.354430127179347</v>
      </c>
      <c r="AP45" s="3229">
        <v>21</v>
      </c>
      <c r="AQ45" s="2723">
        <f t="shared" ref="AQ45:AS45" si="292">+AQ34/AQ$54*1000</f>
        <v>16.988504895082681</v>
      </c>
      <c r="AR45" s="3194">
        <f t="shared" si="292"/>
        <v>18.585610212835963</v>
      </c>
      <c r="AS45" s="5307">
        <f t="shared" si="292"/>
        <v>13.830455716324806</v>
      </c>
      <c r="AT45" s="3229">
        <v>21</v>
      </c>
      <c r="AU45" s="2723">
        <f t="shared" ref="AU45:AW45" si="293">+AU34/AU$54*1000</f>
        <v>15.617119702266049</v>
      </c>
      <c r="AV45" s="3194">
        <f t="shared" si="293"/>
        <v>18.818149197656869</v>
      </c>
      <c r="AW45" s="5307">
        <f t="shared" si="293"/>
        <v>14.021374931008145</v>
      </c>
      <c r="AX45" s="3229">
        <v>21</v>
      </c>
      <c r="AY45" s="2723">
        <f t="shared" ref="AY45:BE45" si="294">+AY34/AY$54*1000</f>
        <v>6.9712048087595244</v>
      </c>
      <c r="AZ45" s="5714">
        <f t="shared" si="294"/>
        <v>20.999999999999996</v>
      </c>
      <c r="BA45" s="5709">
        <f t="shared" si="294"/>
        <v>12.99317324438646</v>
      </c>
      <c r="BB45" s="5714">
        <f t="shared" ref="BB45:BC45" si="295">+BB34/BB$54*1000</f>
        <v>21</v>
      </c>
      <c r="BC45" s="5709">
        <f t="shared" si="295"/>
        <v>13.651883656973007</v>
      </c>
      <c r="BD45" s="6616">
        <f t="shared" si="294"/>
        <v>19.028722495259114</v>
      </c>
      <c r="BE45" s="6617">
        <f t="shared" si="294"/>
        <v>13.242589976738337</v>
      </c>
    </row>
    <row r="46" spans="2:57" x14ac:dyDescent="0.2">
      <c r="B46" s="1533" t="s">
        <v>220</v>
      </c>
      <c r="C46" s="1544" t="s">
        <v>709</v>
      </c>
      <c r="D46" s="2677">
        <v>80</v>
      </c>
      <c r="E46" s="2723">
        <f t="shared" si="237"/>
        <v>80</v>
      </c>
      <c r="F46" s="1786">
        <v>80.000000000000014</v>
      </c>
      <c r="G46" s="2723">
        <f t="shared" si="238"/>
        <v>80.000000000000014</v>
      </c>
      <c r="H46" s="3194">
        <f t="shared" si="239"/>
        <v>80</v>
      </c>
      <c r="I46" s="5307">
        <f t="shared" si="239"/>
        <v>80</v>
      </c>
      <c r="J46" s="1786">
        <v>80</v>
      </c>
      <c r="K46" s="2723">
        <f t="shared" si="240"/>
        <v>80</v>
      </c>
      <c r="L46" s="5714">
        <f t="shared" si="240"/>
        <v>80</v>
      </c>
      <c r="M46" s="5709">
        <f t="shared" si="240"/>
        <v>80</v>
      </c>
      <c r="N46" s="3229">
        <v>80</v>
      </c>
      <c r="O46" s="2750">
        <f t="shared" si="242"/>
        <v>80</v>
      </c>
      <c r="P46" s="3194">
        <f t="shared" si="242"/>
        <v>80</v>
      </c>
      <c r="Q46" s="5307">
        <f t="shared" si="242"/>
        <v>80</v>
      </c>
      <c r="R46" s="3229">
        <v>80</v>
      </c>
      <c r="S46" s="2750">
        <f t="shared" si="244"/>
        <v>80</v>
      </c>
      <c r="T46" s="3194">
        <f t="shared" si="244"/>
        <v>80</v>
      </c>
      <c r="U46" s="5307">
        <f t="shared" si="244"/>
        <v>80</v>
      </c>
      <c r="V46" s="3229">
        <v>80</v>
      </c>
      <c r="W46" s="2750">
        <f t="shared" ref="W46:AA46" si="296">+W35/W$54*1000</f>
        <v>80</v>
      </c>
      <c r="X46" s="5714">
        <f t="shared" si="296"/>
        <v>79.999999999999986</v>
      </c>
      <c r="Y46" s="5709">
        <f t="shared" si="296"/>
        <v>79.999999999999986</v>
      </c>
      <c r="Z46" s="6616">
        <f t="shared" si="296"/>
        <v>80.000000000000014</v>
      </c>
      <c r="AA46" s="6617">
        <f t="shared" si="296"/>
        <v>80</v>
      </c>
      <c r="AB46" s="4811">
        <v>80</v>
      </c>
      <c r="AC46" s="2750">
        <f t="shared" ref="AC46:AE46" si="297">+AC35/AC$54*1000</f>
        <v>80</v>
      </c>
      <c r="AD46" s="3194">
        <f t="shared" si="297"/>
        <v>80.000000000000014</v>
      </c>
      <c r="AE46" s="5307">
        <f t="shared" si="297"/>
        <v>80</v>
      </c>
      <c r="AF46" s="3229">
        <v>80</v>
      </c>
      <c r="AG46" s="2750">
        <f t="shared" ref="AG46:AI46" si="298">+AG35/AG$54*1000</f>
        <v>80</v>
      </c>
      <c r="AH46" s="3194">
        <f t="shared" si="298"/>
        <v>80</v>
      </c>
      <c r="AI46" s="5307">
        <f t="shared" si="298"/>
        <v>79.999999999999986</v>
      </c>
      <c r="AJ46" s="3229">
        <v>80</v>
      </c>
      <c r="AK46" s="2723">
        <f t="shared" ref="AK46:AO46" si="299">+AK35/AK$54*1000</f>
        <v>80</v>
      </c>
      <c r="AL46" s="5714">
        <f t="shared" si="299"/>
        <v>80</v>
      </c>
      <c r="AM46" s="5709">
        <f t="shared" si="299"/>
        <v>80</v>
      </c>
      <c r="AN46" s="3194">
        <f t="shared" si="299"/>
        <v>80</v>
      </c>
      <c r="AO46" s="5307">
        <f t="shared" si="299"/>
        <v>80</v>
      </c>
      <c r="AP46" s="3229">
        <v>80</v>
      </c>
      <c r="AQ46" s="2723">
        <f t="shared" ref="AQ46:AS46" si="300">+AQ35/AQ$54*1000</f>
        <v>80</v>
      </c>
      <c r="AR46" s="3194">
        <f t="shared" si="300"/>
        <v>80</v>
      </c>
      <c r="AS46" s="5307">
        <f t="shared" si="300"/>
        <v>80</v>
      </c>
      <c r="AT46" s="3229">
        <v>80</v>
      </c>
      <c r="AU46" s="2723">
        <f t="shared" ref="AU46:AW46" si="301">+AU35/AU$54*1000</f>
        <v>79.998608719848349</v>
      </c>
      <c r="AV46" s="3194">
        <f t="shared" si="301"/>
        <v>80</v>
      </c>
      <c r="AW46" s="5307">
        <f t="shared" si="301"/>
        <v>79.999851330683313</v>
      </c>
      <c r="AX46" s="3229">
        <v>80</v>
      </c>
      <c r="AY46" s="2723">
        <f t="shared" ref="AY46:BE46" si="302">+AY35/AY$54*1000</f>
        <v>80.000498833975584</v>
      </c>
      <c r="AZ46" s="5714">
        <f t="shared" si="302"/>
        <v>80</v>
      </c>
      <c r="BA46" s="5709">
        <f t="shared" si="302"/>
        <v>79.999750815855592</v>
      </c>
      <c r="BB46" s="5714">
        <f t="shared" ref="BB46:BC46" si="303">+BB35/BB$54*1000</f>
        <v>80</v>
      </c>
      <c r="BC46" s="5709">
        <f t="shared" si="303"/>
        <v>79.999866195483619</v>
      </c>
      <c r="BD46" s="6616">
        <f t="shared" si="302"/>
        <v>80</v>
      </c>
      <c r="BE46" s="6617">
        <f t="shared" si="302"/>
        <v>79.99992285602427</v>
      </c>
    </row>
    <row r="47" spans="2:57" x14ac:dyDescent="0.2">
      <c r="B47" s="1533" t="s">
        <v>357</v>
      </c>
      <c r="C47" s="1544" t="s">
        <v>709</v>
      </c>
      <c r="D47" s="2677">
        <v>217.95749057542002</v>
      </c>
      <c r="E47" s="2723">
        <f t="shared" si="237"/>
        <v>217.95749057542002</v>
      </c>
      <c r="F47" s="6869">
        <v>210.15814576186094</v>
      </c>
      <c r="G47" s="2723">
        <f t="shared" si="238"/>
        <v>210.15814576186094</v>
      </c>
      <c r="H47" s="3194">
        <f t="shared" si="239"/>
        <v>214.02714264329794</v>
      </c>
      <c r="I47" s="5307">
        <f t="shared" si="239"/>
        <v>214.02714264329794</v>
      </c>
      <c r="J47" s="1786">
        <v>170</v>
      </c>
      <c r="K47" s="2723">
        <f t="shared" si="240"/>
        <v>209.20699621172867</v>
      </c>
      <c r="L47" s="5714">
        <f t="shared" si="240"/>
        <v>198.36702424631838</v>
      </c>
      <c r="M47" s="5709">
        <f t="shared" si="240"/>
        <v>212.31816016874191</v>
      </c>
      <c r="N47" s="3229">
        <v>170</v>
      </c>
      <c r="O47" s="2750">
        <f t="shared" si="242"/>
        <v>200.8575153559764</v>
      </c>
      <c r="P47" s="3194">
        <f t="shared" si="242"/>
        <v>189.24903373333294</v>
      </c>
      <c r="Q47" s="5307">
        <f t="shared" si="242"/>
        <v>209.01463890885211</v>
      </c>
      <c r="R47" s="3229">
        <v>170</v>
      </c>
      <c r="S47" s="2750">
        <f t="shared" si="244"/>
        <v>167.56380348873645</v>
      </c>
      <c r="T47" s="3194">
        <f t="shared" si="244"/>
        <v>184.587509481756</v>
      </c>
      <c r="U47" s="5307">
        <f t="shared" si="244"/>
        <v>199.99333163593158</v>
      </c>
      <c r="V47" s="3229">
        <v>170</v>
      </c>
      <c r="W47" s="2750">
        <f t="shared" ref="W47:AA47" si="304">+W36/W$54*1000</f>
        <v>155.71446978482155</v>
      </c>
      <c r="X47" s="5714">
        <f t="shared" si="304"/>
        <v>169.99999999999997</v>
      </c>
      <c r="Y47" s="5709">
        <f t="shared" si="304"/>
        <v>176.70628657486017</v>
      </c>
      <c r="Z47" s="6616">
        <f t="shared" si="304"/>
        <v>181.77378443183633</v>
      </c>
      <c r="AA47" s="6617">
        <f t="shared" si="304"/>
        <v>193.73287216683192</v>
      </c>
      <c r="AB47" s="4811">
        <v>170</v>
      </c>
      <c r="AC47" s="2750">
        <f t="shared" ref="AC47:AE47" si="305">+AC36/AC$54*1000</f>
        <v>238.39584359135441</v>
      </c>
      <c r="AD47" s="3194">
        <f t="shared" si="305"/>
        <v>180.68216442285737</v>
      </c>
      <c r="AE47" s="5307">
        <f t="shared" si="305"/>
        <v>200.91435398155676</v>
      </c>
      <c r="AF47" s="3229">
        <v>170</v>
      </c>
      <c r="AG47" s="2750">
        <f t="shared" ref="AG47:AI47" si="306">+AG36/AG$54*1000</f>
        <v>147.91513808014736</v>
      </c>
      <c r="AH47" s="3194">
        <f t="shared" si="306"/>
        <v>179.11384346985551</v>
      </c>
      <c r="AI47" s="5307">
        <f t="shared" si="306"/>
        <v>193.02546494886468</v>
      </c>
      <c r="AJ47" s="3229">
        <v>170</v>
      </c>
      <c r="AK47" s="2723">
        <f t="shared" ref="AK47:AO47" si="307">+AK36/AK$54*1000</f>
        <v>151.34060671771587</v>
      </c>
      <c r="AL47" s="5714">
        <f t="shared" si="307"/>
        <v>170</v>
      </c>
      <c r="AM47" s="5709">
        <f t="shared" si="307"/>
        <v>176.66661850397034</v>
      </c>
      <c r="AN47" s="3194">
        <f t="shared" si="307"/>
        <v>177.894801294129</v>
      </c>
      <c r="AO47" s="5307">
        <f t="shared" si="307"/>
        <v>187.13401518809533</v>
      </c>
      <c r="AP47" s="3229">
        <v>170</v>
      </c>
      <c r="AQ47" s="2723">
        <f t="shared" ref="AQ47:AS47" si="308">+AQ36/AQ$54*1000</f>
        <v>129.45627253617704</v>
      </c>
      <c r="AR47" s="3194">
        <f t="shared" si="308"/>
        <v>176.97689047873169</v>
      </c>
      <c r="AS47" s="5307">
        <f t="shared" si="308"/>
        <v>179.57883727349778</v>
      </c>
      <c r="AT47" s="3229">
        <v>170</v>
      </c>
      <c r="AU47" s="2723">
        <f t="shared" ref="AU47:AW47" si="309">+AU36/AU$54*1000</f>
        <v>116.68492721865707</v>
      </c>
      <c r="AV47" s="3194">
        <f t="shared" si="309"/>
        <v>176.30491984757828</v>
      </c>
      <c r="AW47" s="5307">
        <f t="shared" si="309"/>
        <v>172.85812425162032</v>
      </c>
      <c r="AX47" s="3229">
        <v>170</v>
      </c>
      <c r="AY47" s="2723">
        <f t="shared" ref="AY47:BE47" si="310">+AY36/AY$54*1000</f>
        <v>0</v>
      </c>
      <c r="AZ47" s="5714">
        <f t="shared" si="310"/>
        <v>170</v>
      </c>
      <c r="BA47" s="5709">
        <f t="shared" si="310"/>
        <v>79.343791354556103</v>
      </c>
      <c r="BB47" s="5714">
        <f t="shared" ref="BB47:BC47" si="311">+BB36/BB$54*1000</f>
        <v>170</v>
      </c>
      <c r="BC47" s="5709">
        <f t="shared" si="311"/>
        <v>124.40713847094889</v>
      </c>
      <c r="BD47" s="6616">
        <f t="shared" si="310"/>
        <v>175.69642372034696</v>
      </c>
      <c r="BE47" s="6617">
        <f t="shared" si="310"/>
        <v>153.76364794024209</v>
      </c>
    </row>
    <row r="48" spans="2:57" s="5164" customFormat="1" x14ac:dyDescent="0.2">
      <c r="B48" s="1533" t="s">
        <v>1878</v>
      </c>
      <c r="C48" s="1544" t="s">
        <v>709</v>
      </c>
      <c r="D48" s="6864">
        <v>6.0818822809396105</v>
      </c>
      <c r="E48" s="2723">
        <f t="shared" si="237"/>
        <v>6.0818822809396105</v>
      </c>
      <c r="F48" s="6861">
        <v>9.8318132373859921</v>
      </c>
      <c r="G48" s="2723">
        <f t="shared" si="238"/>
        <v>9.8318132373859921</v>
      </c>
      <c r="H48" s="3194">
        <f t="shared" si="239"/>
        <v>7.9715965752283848</v>
      </c>
      <c r="I48" s="5307">
        <f t="shared" si="239"/>
        <v>7.9715965752283848</v>
      </c>
      <c r="J48" s="1788">
        <v>0</v>
      </c>
      <c r="K48" s="2723">
        <f t="shared" si="240"/>
        <v>7.676335010612533</v>
      </c>
      <c r="L48" s="5714">
        <f t="shared" si="240"/>
        <v>5.1361605535805737</v>
      </c>
      <c r="M48" s="5709">
        <f t="shared" si="240"/>
        <v>7.8669116146152271</v>
      </c>
      <c r="N48" s="6397">
        <v>0</v>
      </c>
      <c r="O48" s="2723">
        <f t="shared" si="242"/>
        <v>1.6800849450948239</v>
      </c>
      <c r="P48" s="3194">
        <f t="shared" si="242"/>
        <v>3.4852484665718069</v>
      </c>
      <c r="Q48" s="5307">
        <f t="shared" si="242"/>
        <v>6.0835640135056863</v>
      </c>
      <c r="R48" s="6397">
        <v>0</v>
      </c>
      <c r="S48" s="2723">
        <f t="shared" si="244"/>
        <v>6.963545837540476</v>
      </c>
      <c r="T48" s="3194">
        <f t="shared" si="244"/>
        <v>2.6412284251106035</v>
      </c>
      <c r="U48" s="5307">
        <f t="shared" si="244"/>
        <v>6.2750821421210246</v>
      </c>
      <c r="V48" s="6397">
        <v>0</v>
      </c>
      <c r="W48" s="2723">
        <f t="shared" ref="W48:AA48" si="312">+W37/W$54*1000</f>
        <v>4.6017633957332444</v>
      </c>
      <c r="X48" s="5714">
        <f t="shared" si="312"/>
        <v>0</v>
      </c>
      <c r="Y48" s="5709">
        <f t="shared" si="312"/>
        <v>4.3634260125018391</v>
      </c>
      <c r="Z48" s="6616">
        <f t="shared" si="312"/>
        <v>2.131772675204282</v>
      </c>
      <c r="AA48" s="6617">
        <f t="shared" si="312"/>
        <v>6.0384964722844661</v>
      </c>
      <c r="AB48" s="4810">
        <v>0</v>
      </c>
      <c r="AC48" s="2723">
        <f t="shared" ref="AC48:AE48" si="313">+AC37/AC$54*1000</f>
        <v>11.902134234341309</v>
      </c>
      <c r="AD48" s="3194">
        <f t="shared" si="313"/>
        <v>1.9341229118405874</v>
      </c>
      <c r="AE48" s="5307">
        <f t="shared" si="313"/>
        <v>6.981326888919587</v>
      </c>
      <c r="AF48" s="6397">
        <v>0</v>
      </c>
      <c r="AG48" s="2723">
        <f t="shared" ref="AG48:AI48" si="314">+AG37/AG$54*1000</f>
        <v>7.8055481836489378</v>
      </c>
      <c r="AH48" s="3194">
        <f t="shared" si="314"/>
        <v>1.6501612194114819</v>
      </c>
      <c r="AI48" s="5307">
        <f t="shared" si="314"/>
        <v>7.1040115404170203</v>
      </c>
      <c r="AJ48" s="6397">
        <v>0</v>
      </c>
      <c r="AK48" s="2723">
        <f t="shared" ref="AK48:AO48" si="315">+AK37/AK$54*1000</f>
        <v>8</v>
      </c>
      <c r="AL48" s="5714">
        <f t="shared" si="315"/>
        <v>0</v>
      </c>
      <c r="AM48" s="5709">
        <f t="shared" si="315"/>
        <v>9.121681676226963</v>
      </c>
      <c r="AN48" s="3194">
        <f t="shared" si="315"/>
        <v>1.4294402766100818</v>
      </c>
      <c r="AO48" s="5307">
        <f t="shared" si="315"/>
        <v>7.2306443567406653</v>
      </c>
      <c r="AP48" s="6397">
        <v>0</v>
      </c>
      <c r="AQ48" s="2723">
        <f t="shared" ref="AQ48:AS48" si="316">+AQ37/AQ$54*1000</f>
        <v>5.2948433520594289</v>
      </c>
      <c r="AR48" s="3194">
        <f t="shared" si="316"/>
        <v>1.2632424660533239</v>
      </c>
      <c r="AS48" s="5307">
        <f t="shared" si="316"/>
        <v>6.9770747764280934</v>
      </c>
      <c r="AT48" s="6397">
        <v>0</v>
      </c>
      <c r="AU48" s="2723">
        <f t="shared" ref="AU48:AW48" si="317">+AU37/AU$54*1000</f>
        <v>8.8462229642383026</v>
      </c>
      <c r="AV48" s="3194">
        <f t="shared" si="317"/>
        <v>1.1415748205884457</v>
      </c>
      <c r="AW48" s="5307">
        <f t="shared" si="317"/>
        <v>7.1768080821596199</v>
      </c>
      <c r="AX48" s="6397">
        <v>0</v>
      </c>
      <c r="AY48" s="2723">
        <f t="shared" ref="AY48:BE48" si="318">+AY37/AY$54*1000</f>
        <v>11.722598426178806</v>
      </c>
      <c r="AZ48" s="5714">
        <f t="shared" si="318"/>
        <v>0</v>
      </c>
      <c r="BA48" s="5709">
        <f t="shared" si="318"/>
        <v>8.6787277725518326</v>
      </c>
      <c r="BB48" s="5714">
        <f t="shared" ref="BB48:BC48" si="319">+BB37/BB$54*1000</f>
        <v>0</v>
      </c>
      <c r="BC48" s="5709">
        <f t="shared" si="319"/>
        <v>8.8838285295122592</v>
      </c>
      <c r="BD48" s="6616">
        <f t="shared" si="318"/>
        <v>1.0313999295405143</v>
      </c>
      <c r="BE48" s="6617">
        <f t="shared" si="318"/>
        <v>7.6789510182591529</v>
      </c>
    </row>
    <row r="49" spans="2:57" ht="16" thickBot="1" x14ac:dyDescent="0.25">
      <c r="B49" s="2395" t="s">
        <v>221</v>
      </c>
      <c r="C49" s="1547" t="s">
        <v>709</v>
      </c>
      <c r="D49" s="6864">
        <v>40</v>
      </c>
      <c r="E49" s="2750">
        <f t="shared" si="237"/>
        <v>40</v>
      </c>
      <c r="F49" s="1788">
        <v>40</v>
      </c>
      <c r="G49" s="2750">
        <f t="shared" si="238"/>
        <v>40.000000000000007</v>
      </c>
      <c r="H49" s="6873">
        <f t="shared" si="239"/>
        <v>40</v>
      </c>
      <c r="I49" s="3193">
        <f t="shared" si="239"/>
        <v>40</v>
      </c>
      <c r="J49" s="1788">
        <v>40</v>
      </c>
      <c r="K49" s="2750">
        <f t="shared" si="240"/>
        <v>40</v>
      </c>
      <c r="L49" s="5783">
        <f t="shared" si="240"/>
        <v>40</v>
      </c>
      <c r="M49" s="5029">
        <f t="shared" si="240"/>
        <v>40</v>
      </c>
      <c r="N49" s="6397">
        <v>40</v>
      </c>
      <c r="O49" s="2750">
        <f t="shared" si="242"/>
        <v>40</v>
      </c>
      <c r="P49" s="6873">
        <f t="shared" si="242"/>
        <v>40</v>
      </c>
      <c r="Q49" s="3193">
        <f t="shared" si="242"/>
        <v>40</v>
      </c>
      <c r="R49" s="6397">
        <v>40</v>
      </c>
      <c r="S49" s="2750">
        <f t="shared" si="244"/>
        <v>40</v>
      </c>
      <c r="T49" s="6873">
        <f t="shared" si="244"/>
        <v>40</v>
      </c>
      <c r="U49" s="3193">
        <f t="shared" si="244"/>
        <v>40</v>
      </c>
      <c r="V49" s="6397">
        <v>40</v>
      </c>
      <c r="W49" s="2750">
        <f t="shared" ref="W49:AA49" si="320">+W38/W$54*1000</f>
        <v>40</v>
      </c>
      <c r="X49" s="5783">
        <f t="shared" si="320"/>
        <v>39.999999999999993</v>
      </c>
      <c r="Y49" s="5029">
        <f t="shared" si="320"/>
        <v>39.999999999999993</v>
      </c>
      <c r="Z49" s="6614">
        <f t="shared" si="320"/>
        <v>40.000000000000007</v>
      </c>
      <c r="AA49" s="6615">
        <f t="shared" si="320"/>
        <v>40</v>
      </c>
      <c r="AB49" s="4810">
        <v>40</v>
      </c>
      <c r="AC49" s="2750">
        <f t="shared" ref="AC49:AE49" si="321">+AC38/AC$54*1000</f>
        <v>40</v>
      </c>
      <c r="AD49" s="7348">
        <f t="shared" si="321"/>
        <v>40.000000000000007</v>
      </c>
      <c r="AE49" s="3193">
        <f t="shared" si="321"/>
        <v>40</v>
      </c>
      <c r="AF49" s="6397">
        <v>40</v>
      </c>
      <c r="AG49" s="2750">
        <f t="shared" ref="AG49:AI49" si="322">+AG38/AG$54*1000</f>
        <v>40</v>
      </c>
      <c r="AH49" s="7394">
        <f t="shared" si="322"/>
        <v>40</v>
      </c>
      <c r="AI49" s="3193">
        <f t="shared" si="322"/>
        <v>39.999999999999993</v>
      </c>
      <c r="AJ49" s="6397">
        <v>40</v>
      </c>
      <c r="AK49" s="2723">
        <f t="shared" ref="AK49:AO49" si="323">+AK38/AK$54*1000</f>
        <v>40</v>
      </c>
      <c r="AL49" s="5783">
        <f t="shared" si="323"/>
        <v>40</v>
      </c>
      <c r="AM49" s="5029">
        <f t="shared" si="323"/>
        <v>40</v>
      </c>
      <c r="AN49" s="7394">
        <f t="shared" si="323"/>
        <v>40</v>
      </c>
      <c r="AO49" s="3193">
        <f t="shared" si="323"/>
        <v>40</v>
      </c>
      <c r="AP49" s="6397">
        <v>40</v>
      </c>
      <c r="AQ49" s="2723">
        <f t="shared" ref="AQ49:AS49" si="324">+AQ38/AQ$54*1000</f>
        <v>40</v>
      </c>
      <c r="AR49" s="7394">
        <f t="shared" si="324"/>
        <v>40</v>
      </c>
      <c r="AS49" s="3193">
        <f t="shared" si="324"/>
        <v>40</v>
      </c>
      <c r="AT49" s="6397">
        <v>40</v>
      </c>
      <c r="AU49" s="2723">
        <f t="shared" ref="AU49:AW49" si="325">+AU38/AU$54*1000</f>
        <v>39.999304359924174</v>
      </c>
      <c r="AV49" s="7394">
        <f t="shared" si="325"/>
        <v>40</v>
      </c>
      <c r="AW49" s="3193">
        <f t="shared" si="325"/>
        <v>39.999925665341657</v>
      </c>
      <c r="AX49" s="6397">
        <v>40</v>
      </c>
      <c r="AY49" s="2723">
        <f t="shared" ref="AY49:BE49" si="326">+AY38/AY$54*1000</f>
        <v>39.999002332048839</v>
      </c>
      <c r="AZ49" s="5783">
        <f t="shared" si="326"/>
        <v>40</v>
      </c>
      <c r="BA49" s="5029">
        <f t="shared" si="326"/>
        <v>39.999430436241347</v>
      </c>
      <c r="BB49" s="5783">
        <f t="shared" ref="BB49:BC49" si="327">+BB38/BB$54*1000</f>
        <v>40</v>
      </c>
      <c r="BC49" s="5029">
        <f t="shared" si="327"/>
        <v>39.999694161105417</v>
      </c>
      <c r="BD49" s="6614">
        <f t="shared" si="326"/>
        <v>40</v>
      </c>
      <c r="BE49" s="6615">
        <f t="shared" si="326"/>
        <v>39.999823670912612</v>
      </c>
    </row>
    <row r="50" spans="2:57" ht="17" thickBot="1" x14ac:dyDescent="0.25">
      <c r="B50" s="1580" t="s">
        <v>97</v>
      </c>
      <c r="C50" s="1561" t="s">
        <v>709</v>
      </c>
      <c r="D50" s="2464">
        <f t="shared" ref="D50:I50" si="328">SUM(D41:D49)</f>
        <v>1624.337219334521</v>
      </c>
      <c r="E50" s="2817">
        <f t="shared" si="328"/>
        <v>1624.3372193345208</v>
      </c>
      <c r="F50" s="2319">
        <f>SUM(F41:F49)</f>
        <v>1628.5390343904276</v>
      </c>
      <c r="G50" s="1678">
        <f t="shared" si="328"/>
        <v>1628.9239394192953</v>
      </c>
      <c r="H50" s="2320">
        <f>SUM(H41:H49)</f>
        <v>1626.454652979387</v>
      </c>
      <c r="I50" s="1825">
        <f t="shared" si="328"/>
        <v>1626.6486193599533</v>
      </c>
      <c r="J50" s="2319">
        <f t="shared" ref="J50:M50" si="329">SUM(J41:J49)</f>
        <v>1554.1000000000001</v>
      </c>
      <c r="K50" s="1678">
        <f t="shared" si="329"/>
        <v>1617.6260933979679</v>
      </c>
      <c r="L50" s="2951">
        <f t="shared" si="329"/>
        <v>1600.7186554968869</v>
      </c>
      <c r="M50" s="2005">
        <f t="shared" si="329"/>
        <v>1623.4496836089002</v>
      </c>
      <c r="N50" s="2319">
        <f t="shared" ref="N50" si="330">SUM(N41:N49)</f>
        <v>1554.1000000000004</v>
      </c>
      <c r="O50" s="1678">
        <f t="shared" ref="O50:R50" si="331">SUM(O41:O49)</f>
        <v>1654.4887837529068</v>
      </c>
      <c r="P50" s="2320">
        <f t="shared" si="331"/>
        <v>1585.7340573642889</v>
      </c>
      <c r="Q50" s="1825">
        <f t="shared" si="331"/>
        <v>1632.3966782055181</v>
      </c>
      <c r="R50" s="2319">
        <f t="shared" si="331"/>
        <v>1554.1000000000001</v>
      </c>
      <c r="S50" s="1678">
        <f t="shared" ref="S50:V50" si="332">SUM(S41:S49)</f>
        <v>1608.6111207827028</v>
      </c>
      <c r="T50" s="2320">
        <f t="shared" si="332"/>
        <v>1578.0732611070694</v>
      </c>
      <c r="U50" s="1825">
        <f t="shared" si="332"/>
        <v>1627.220019641363</v>
      </c>
      <c r="V50" s="2319">
        <f t="shared" si="332"/>
        <v>1554.1</v>
      </c>
      <c r="W50" s="1678">
        <f t="shared" ref="W50:AJ50" si="333">SUM(W41:W49)</f>
        <v>1576.0761683877263</v>
      </c>
      <c r="X50" s="2951">
        <f t="shared" si="333"/>
        <v>1554.1</v>
      </c>
      <c r="Y50" s="2005">
        <f t="shared" si="333"/>
        <v>1616.8184390903127</v>
      </c>
      <c r="Z50" s="6511">
        <f t="shared" si="333"/>
        <v>1573.4491568081426</v>
      </c>
      <c r="AA50" s="6594">
        <f t="shared" si="333"/>
        <v>1619.9889392910216</v>
      </c>
      <c r="AB50" s="2319">
        <f t="shared" si="333"/>
        <v>1554.1000000000001</v>
      </c>
      <c r="AC50" s="1678">
        <f t="shared" si="333"/>
        <v>1642.451058627774</v>
      </c>
      <c r="AD50" s="2320">
        <f t="shared" si="333"/>
        <v>1571.6551774083223</v>
      </c>
      <c r="AE50" s="1825">
        <f t="shared" si="333"/>
        <v>1623.6006851375707</v>
      </c>
      <c r="AF50" s="2319">
        <f t="shared" si="333"/>
        <v>1554.1000000000001</v>
      </c>
      <c r="AG50" s="1678">
        <f t="shared" si="333"/>
        <v>1576.1062803440684</v>
      </c>
      <c r="AH50" s="2320">
        <f t="shared" si="333"/>
        <v>1569.077782839837</v>
      </c>
      <c r="AI50" s="1825">
        <f t="shared" si="333"/>
        <v>1616.5311826417851</v>
      </c>
      <c r="AJ50" s="2319">
        <f t="shared" si="333"/>
        <v>1554.1000000000001</v>
      </c>
      <c r="AK50" s="1678">
        <f t="shared" ref="AK50:AP50" si="334">SUM(AK41:AK49)</f>
        <v>1586.0340403424364</v>
      </c>
      <c r="AL50" s="2951">
        <f t="shared" si="334"/>
        <v>1554.1000000000001</v>
      </c>
      <c r="AM50" s="2005">
        <f t="shared" si="334"/>
        <v>1599.8989656716942</v>
      </c>
      <c r="AN50" s="2320">
        <f t="shared" si="334"/>
        <v>1567.0743965581848</v>
      </c>
      <c r="AO50" s="1825">
        <f t="shared" si="334"/>
        <v>1612.220927327797</v>
      </c>
      <c r="AP50" s="2319">
        <f t="shared" si="334"/>
        <v>1554.1000000000001</v>
      </c>
      <c r="AQ50" s="1678">
        <f t="shared" ref="AQ50:AT50" si="335">SUM(AQ41:AQ49)</f>
        <v>1581.5382578906404</v>
      </c>
      <c r="AR50" s="2320">
        <f t="shared" si="335"/>
        <v>1565.5658926097869</v>
      </c>
      <c r="AS50" s="1825">
        <f t="shared" si="335"/>
        <v>1608.2018202019949</v>
      </c>
      <c r="AT50" s="2319">
        <f t="shared" si="335"/>
        <v>1554.1028213166144</v>
      </c>
      <c r="AU50" s="1678">
        <f t="shared" ref="AU50:AX50" si="336">SUM(AU41:AU49)</f>
        <v>1574.2334915914507</v>
      </c>
      <c r="AV50" s="2320">
        <f t="shared" si="336"/>
        <v>1564.4618409874618</v>
      </c>
      <c r="AW50" s="1825">
        <f t="shared" si="336"/>
        <v>1604.5720349298554</v>
      </c>
      <c r="AX50" s="2319">
        <f t="shared" si="336"/>
        <v>1554.0990955342002</v>
      </c>
      <c r="AY50" s="1678">
        <f t="shared" ref="AY50:BE50" si="337">SUM(AY41:AY49)</f>
        <v>1433.9755820768953</v>
      </c>
      <c r="AZ50" s="2951">
        <f t="shared" si="337"/>
        <v>1554.1005681818183</v>
      </c>
      <c r="BA50" s="2005">
        <f t="shared" si="337"/>
        <v>1526.6436764628666</v>
      </c>
      <c r="BB50" s="2951">
        <f t="shared" ref="BB50:BC50" si="338">SUM(BB41:BB49)</f>
        <v>1554.10030651341</v>
      </c>
      <c r="BC50" s="2005">
        <f t="shared" si="338"/>
        <v>1560.5630417589562</v>
      </c>
      <c r="BD50" s="6511">
        <f t="shared" si="337"/>
        <v>1563.4617187609731</v>
      </c>
      <c r="BE50" s="6594">
        <f t="shared" si="337"/>
        <v>1585.727390271649</v>
      </c>
    </row>
    <row r="51" spans="2:57" s="3380" customFormat="1" ht="18" x14ac:dyDescent="0.2">
      <c r="B51" s="5052" t="s">
        <v>710</v>
      </c>
      <c r="C51" s="3290"/>
      <c r="D51" s="3435"/>
      <c r="E51" s="6766"/>
      <c r="F51" s="3435"/>
      <c r="G51" s="5756"/>
      <c r="H51" s="3435"/>
      <c r="I51" s="5756"/>
      <c r="J51" s="3435"/>
      <c r="K51" s="5756"/>
      <c r="L51" s="3435"/>
      <c r="M51" s="5756"/>
      <c r="N51" s="3435"/>
      <c r="O51" s="5756"/>
      <c r="P51" s="3435"/>
      <c r="Q51" s="5756"/>
      <c r="R51" s="3435"/>
      <c r="S51" s="5756"/>
      <c r="T51" s="3435"/>
      <c r="U51" s="5756"/>
      <c r="V51" s="3435"/>
      <c r="W51" s="5756"/>
      <c r="X51" s="3435"/>
      <c r="Y51" s="5756"/>
      <c r="Z51" s="3435"/>
      <c r="AA51" s="5756"/>
      <c r="AB51" s="3435"/>
      <c r="AC51" s="5756"/>
      <c r="AD51" s="3435"/>
      <c r="AE51" s="5756"/>
      <c r="AF51" s="3435"/>
      <c r="AG51" s="5756"/>
      <c r="AH51" s="3435"/>
      <c r="AI51" s="5756"/>
      <c r="AJ51" s="3435"/>
      <c r="AK51" s="5756"/>
      <c r="AL51" s="3435"/>
      <c r="AM51" s="5756"/>
      <c r="AN51" s="3435"/>
      <c r="AO51" s="5756"/>
      <c r="AP51" s="3435"/>
      <c r="AQ51" s="5756"/>
      <c r="AR51" s="3435"/>
      <c r="AS51" s="5756"/>
      <c r="AT51" s="3435"/>
      <c r="AU51" s="5756"/>
      <c r="AV51" s="3435"/>
      <c r="AW51" s="5756"/>
      <c r="AX51" s="3435"/>
      <c r="AY51" s="5756"/>
      <c r="AZ51" s="3435"/>
      <c r="BA51" s="5756"/>
      <c r="BB51" s="3435"/>
      <c r="BC51" s="5756"/>
      <c r="BD51" s="3435"/>
      <c r="BE51" s="5756"/>
    </row>
    <row r="52" spans="2:57" x14ac:dyDescent="0.2">
      <c r="B52" s="1533" t="s">
        <v>157</v>
      </c>
      <c r="C52" s="1545" t="s">
        <v>170</v>
      </c>
      <c r="D52" s="6869">
        <v>122801</v>
      </c>
      <c r="E52" s="2750">
        <v>122801</v>
      </c>
      <c r="F52" s="6869">
        <v>120567</v>
      </c>
      <c r="G52" s="1675">
        <v>120567</v>
      </c>
      <c r="H52" s="4809">
        <f>+D52+F52</f>
        <v>243368</v>
      </c>
      <c r="I52" s="1823">
        <f>+E52+G52</f>
        <v>243368</v>
      </c>
      <c r="J52" s="6869">
        <v>132343</v>
      </c>
      <c r="K52" s="1675">
        <v>132342</v>
      </c>
      <c r="L52" s="4792">
        <f>+H52+J52</f>
        <v>375711</v>
      </c>
      <c r="M52" s="2011">
        <f>+I52+K52</f>
        <v>375710</v>
      </c>
      <c r="N52" s="6869">
        <v>167895.04407649999</v>
      </c>
      <c r="O52" s="3184">
        <v>158885</v>
      </c>
      <c r="P52" s="4809">
        <f>+L52+N52</f>
        <v>543606.04407649999</v>
      </c>
      <c r="Q52" s="1823">
        <f>+M52+O52</f>
        <v>534595</v>
      </c>
      <c r="R52" s="6869">
        <v>173336.384445</v>
      </c>
      <c r="S52" s="3184">
        <v>136684</v>
      </c>
      <c r="T52" s="4809">
        <f>+P52+R52</f>
        <v>716942.42852149997</v>
      </c>
      <c r="U52" s="1823">
        <f>+Q52+S52</f>
        <v>671279</v>
      </c>
      <c r="V52" s="6869">
        <v>172000.26234233385</v>
      </c>
      <c r="W52" s="3184">
        <v>129629</v>
      </c>
      <c r="X52" s="4792">
        <f t="shared" ref="X52:X53" si="339">+N52+R52+V52</f>
        <v>513231.69086383382</v>
      </c>
      <c r="Y52" s="2011">
        <f t="shared" ref="Y52:Y53" si="340">+O52+S52+W52</f>
        <v>425198</v>
      </c>
      <c r="Z52" s="6519">
        <f>+T52+V52</f>
        <v>888942.69086383376</v>
      </c>
      <c r="AA52" s="6531">
        <f>+U52+W52</f>
        <v>800908</v>
      </c>
      <c r="AB52" s="7345">
        <v>91107.904085257556</v>
      </c>
      <c r="AC52" s="3184">
        <v>145301</v>
      </c>
      <c r="AD52" s="4809">
        <f>+Z52+AB52</f>
        <v>980050.59494909132</v>
      </c>
      <c r="AE52" s="1823">
        <f>+AA52+AC52</f>
        <v>946209</v>
      </c>
      <c r="AF52" s="7593">
        <v>169129.28176795581</v>
      </c>
      <c r="AG52" s="3184">
        <v>161172</v>
      </c>
      <c r="AH52" s="4809">
        <f>+AD52+AF52</f>
        <v>1149179.8767170471</v>
      </c>
      <c r="AI52" s="1823">
        <f>+AE52+AG52</f>
        <v>1107381</v>
      </c>
      <c r="AJ52" s="7734">
        <v>181058.58951175408</v>
      </c>
      <c r="AK52" s="3184">
        <v>179804</v>
      </c>
      <c r="AL52" s="4792">
        <f t="shared" ref="AL52:AL53" si="341">+AB52+AF52+AJ52</f>
        <v>441295.77536496741</v>
      </c>
      <c r="AM52" s="2011">
        <f t="shared" ref="AM52:AM53" si="342">+AC52+AG52+AK52</f>
        <v>486277</v>
      </c>
      <c r="AN52" s="4809">
        <f>+AH52+AJ52</f>
        <v>1330238.4662288011</v>
      </c>
      <c r="AO52" s="1823">
        <f>+AI52+AK52</f>
        <v>1287185</v>
      </c>
      <c r="AP52" s="8049">
        <v>171874.34554973824</v>
      </c>
      <c r="AQ52" s="3184">
        <v>187434</v>
      </c>
      <c r="AR52" s="4809">
        <f>+AN52+AP52</f>
        <v>1502112.8117785393</v>
      </c>
      <c r="AS52" s="1823">
        <f>+AO52+AQ52</f>
        <v>1474619</v>
      </c>
      <c r="AT52" s="8237">
        <v>160451</v>
      </c>
      <c r="AU52" s="3184">
        <v>178487</v>
      </c>
      <c r="AV52" s="4809">
        <f>+AR52+AT52</f>
        <v>1662563.8117785393</v>
      </c>
      <c r="AW52" s="1823">
        <f>+AS52+AU52</f>
        <v>1653106</v>
      </c>
      <c r="AX52" s="8351">
        <v>177843</v>
      </c>
      <c r="AY52" s="3184">
        <v>200421</v>
      </c>
      <c r="AZ52" s="4792">
        <f t="shared" ref="AZ52:AZ53" si="343">+AP52+AT52+AX52</f>
        <v>510168.34554973827</v>
      </c>
      <c r="BA52" s="2011">
        <f t="shared" ref="BA52:BA53" si="344">+AQ52+AU52+AY52</f>
        <v>566342</v>
      </c>
      <c r="BB52" s="4792">
        <f t="shared" ref="BB52:BC55" si="345">+AZ52+AL52</f>
        <v>951464.12091470568</v>
      </c>
      <c r="BC52" s="2011">
        <f t="shared" si="345"/>
        <v>1052619</v>
      </c>
      <c r="BD52" s="6519">
        <f>+AV52+AX52</f>
        <v>1840406.8117785393</v>
      </c>
      <c r="BE52" s="6531">
        <f>+AW52+AY52</f>
        <v>1853527</v>
      </c>
    </row>
    <row r="53" spans="2:57" ht="16" thickBot="1" x14ac:dyDescent="0.25">
      <c r="B53" s="2395" t="s">
        <v>337</v>
      </c>
      <c r="C53" s="1548" t="s">
        <v>170</v>
      </c>
      <c r="D53" s="6861">
        <v>112488</v>
      </c>
      <c r="E53" s="2816">
        <v>112488</v>
      </c>
      <c r="F53" s="6861">
        <v>118453</v>
      </c>
      <c r="G53" s="1675">
        <v>118453</v>
      </c>
      <c r="H53" s="4809">
        <f>+D53+F53</f>
        <v>230941</v>
      </c>
      <c r="I53" s="1823">
        <f>+E53+G53</f>
        <v>230941</v>
      </c>
      <c r="J53" s="6861">
        <v>129501</v>
      </c>
      <c r="K53" s="1675">
        <v>128199</v>
      </c>
      <c r="L53" s="4792">
        <f>+H53+J53</f>
        <v>360442</v>
      </c>
      <c r="M53" s="2011">
        <f>+I53+K53</f>
        <v>359140</v>
      </c>
      <c r="N53" s="6861">
        <v>180810.047467</v>
      </c>
      <c r="O53" s="3184">
        <v>138719</v>
      </c>
      <c r="P53" s="4809">
        <f>+L53+N53</f>
        <v>541252.04746699997</v>
      </c>
      <c r="Q53" s="1823">
        <f>+M53+O53</f>
        <v>497859</v>
      </c>
      <c r="R53" s="6861">
        <v>173336.384445</v>
      </c>
      <c r="S53" s="3184">
        <v>150526</v>
      </c>
      <c r="T53" s="4809">
        <f>+P53+R53</f>
        <v>714588.43191199994</v>
      </c>
      <c r="U53" s="1823">
        <f>+Q53+S53</f>
        <v>648385</v>
      </c>
      <c r="V53" s="6861">
        <v>170110.14956934116</v>
      </c>
      <c r="W53" s="3184">
        <v>87679</v>
      </c>
      <c r="X53" s="4792">
        <f t="shared" si="339"/>
        <v>524256.58148134116</v>
      </c>
      <c r="Y53" s="2011">
        <f t="shared" si="340"/>
        <v>376924</v>
      </c>
      <c r="Z53" s="6519">
        <f>+T53+V53</f>
        <v>884698.58148134104</v>
      </c>
      <c r="AA53" s="6531">
        <f>+U53+W53</f>
        <v>736064</v>
      </c>
      <c r="AB53" s="7337">
        <v>90142.095914742444</v>
      </c>
      <c r="AC53" s="3184">
        <v>149184</v>
      </c>
      <c r="AD53" s="4809">
        <f>+Z53+AB53</f>
        <v>974840.67739608348</v>
      </c>
      <c r="AE53" s="1823">
        <f>+AA53+AC53</f>
        <v>885248</v>
      </c>
      <c r="AF53" s="7364">
        <v>167270.71823204419</v>
      </c>
      <c r="AG53" s="3184">
        <v>159113</v>
      </c>
      <c r="AH53" s="4809">
        <f>+AD53+AF53</f>
        <v>1142111.3956281277</v>
      </c>
      <c r="AI53" s="1823">
        <f>+AE53+AG53</f>
        <v>1044361</v>
      </c>
      <c r="AJ53" s="7364">
        <v>172741.41048824592</v>
      </c>
      <c r="AK53" s="3184">
        <v>174364</v>
      </c>
      <c r="AL53" s="4792">
        <f t="shared" si="341"/>
        <v>430154.22463503259</v>
      </c>
      <c r="AM53" s="2011">
        <f t="shared" si="342"/>
        <v>482661</v>
      </c>
      <c r="AN53" s="4809">
        <f>+AH53+AJ53</f>
        <v>1314852.8061163737</v>
      </c>
      <c r="AO53" s="1823">
        <f>+AI53+AK53</f>
        <v>1218725</v>
      </c>
      <c r="AP53" s="7364">
        <v>176125.65445026176</v>
      </c>
      <c r="AQ53" s="3184">
        <v>190292</v>
      </c>
      <c r="AR53" s="4809">
        <f>+AN53+AP53</f>
        <v>1490978.4605666355</v>
      </c>
      <c r="AS53" s="1823">
        <f>+AO53+AQ53</f>
        <v>1409017</v>
      </c>
      <c r="AT53" s="7364">
        <v>158549</v>
      </c>
      <c r="AU53" s="3184">
        <v>166519</v>
      </c>
      <c r="AV53" s="4809">
        <f>+AR53+AT53</f>
        <v>1649527.4605666355</v>
      </c>
      <c r="AW53" s="1823">
        <f>+AS53+AU53</f>
        <v>1575536</v>
      </c>
      <c r="AX53" s="7364">
        <v>175957</v>
      </c>
      <c r="AY53" s="3184">
        <v>200514</v>
      </c>
      <c r="AZ53" s="4792">
        <f t="shared" si="343"/>
        <v>510631.65445026173</v>
      </c>
      <c r="BA53" s="2011">
        <f t="shared" si="344"/>
        <v>557325</v>
      </c>
      <c r="BB53" s="4792">
        <f t="shared" si="345"/>
        <v>940785.87908529432</v>
      </c>
      <c r="BC53" s="2011">
        <f t="shared" si="345"/>
        <v>1039986</v>
      </c>
      <c r="BD53" s="6519">
        <f>+AV53+AX53</f>
        <v>1825484.4605666355</v>
      </c>
      <c r="BE53" s="6531">
        <f>+AW53+AY53</f>
        <v>1776050</v>
      </c>
    </row>
    <row r="54" spans="2:57" ht="17" thickBot="1" x14ac:dyDescent="0.25">
      <c r="B54" s="1580" t="s">
        <v>97</v>
      </c>
      <c r="C54" s="1562" t="s">
        <v>170</v>
      </c>
      <c r="D54" s="2319">
        <f t="shared" ref="D54:I54" si="346">SUM(D52:D53)</f>
        <v>235289</v>
      </c>
      <c r="E54" s="2817">
        <f t="shared" si="346"/>
        <v>235289</v>
      </c>
      <c r="F54" s="2319">
        <f t="shared" si="346"/>
        <v>239020</v>
      </c>
      <c r="G54" s="1678">
        <f t="shared" si="346"/>
        <v>239020</v>
      </c>
      <c r="H54" s="2784">
        <f t="shared" si="346"/>
        <v>474309</v>
      </c>
      <c r="I54" s="1825">
        <f t="shared" si="346"/>
        <v>474309</v>
      </c>
      <c r="J54" s="2319">
        <f t="shared" ref="J54:M54" si="347">SUM(J52:J53)</f>
        <v>261844</v>
      </c>
      <c r="K54" s="1678">
        <f t="shared" si="347"/>
        <v>260541</v>
      </c>
      <c r="L54" s="2951">
        <f t="shared" si="347"/>
        <v>736153</v>
      </c>
      <c r="M54" s="2005">
        <f t="shared" si="347"/>
        <v>734850</v>
      </c>
      <c r="N54" s="2319">
        <f t="shared" ref="N54:Q54" si="348">SUM(N52:N53)</f>
        <v>348705.09154349996</v>
      </c>
      <c r="O54" s="1678">
        <f t="shared" si="348"/>
        <v>297604</v>
      </c>
      <c r="P54" s="2784">
        <f t="shared" si="348"/>
        <v>1084858.0915434998</v>
      </c>
      <c r="Q54" s="1825">
        <f t="shared" si="348"/>
        <v>1032454</v>
      </c>
      <c r="R54" s="2319">
        <f t="shared" ref="R54:U54" si="349">SUM(R52:R53)</f>
        <v>346672.76889000001</v>
      </c>
      <c r="S54" s="1678">
        <f t="shared" si="349"/>
        <v>287210</v>
      </c>
      <c r="T54" s="2784">
        <f t="shared" si="349"/>
        <v>1431530.8604334998</v>
      </c>
      <c r="U54" s="1825">
        <f t="shared" si="349"/>
        <v>1319664</v>
      </c>
      <c r="V54" s="2319">
        <f t="shared" ref="V54:AI54" si="350">SUM(V52:V53)</f>
        <v>342110.41191167501</v>
      </c>
      <c r="W54" s="1678">
        <f t="shared" si="350"/>
        <v>217308</v>
      </c>
      <c r="X54" s="2951">
        <f t="shared" si="350"/>
        <v>1037488.272345175</v>
      </c>
      <c r="Y54" s="2005">
        <f t="shared" si="350"/>
        <v>802122</v>
      </c>
      <c r="Z54" s="6511">
        <f t="shared" si="350"/>
        <v>1773641.2723451748</v>
      </c>
      <c r="AA54" s="6594">
        <f t="shared" si="350"/>
        <v>1536972</v>
      </c>
      <c r="AB54" s="2319">
        <f t="shared" si="350"/>
        <v>181250</v>
      </c>
      <c r="AC54" s="1678">
        <f t="shared" si="350"/>
        <v>294485</v>
      </c>
      <c r="AD54" s="2784">
        <f t="shared" si="350"/>
        <v>1954891.2723451748</v>
      </c>
      <c r="AE54" s="1825">
        <f t="shared" si="350"/>
        <v>1831457</v>
      </c>
      <c r="AF54" s="2319">
        <f t="shared" si="350"/>
        <v>336400</v>
      </c>
      <c r="AG54" s="1678">
        <f t="shared" si="350"/>
        <v>320285</v>
      </c>
      <c r="AH54" s="2784">
        <f t="shared" si="350"/>
        <v>2291291.272345175</v>
      </c>
      <c r="AI54" s="1825">
        <f t="shared" si="350"/>
        <v>2151742</v>
      </c>
      <c r="AJ54" s="2319">
        <f t="shared" ref="AJ54:AO54" si="351">SUM(AJ52:AJ53)</f>
        <v>353800</v>
      </c>
      <c r="AK54" s="1678">
        <f t="shared" si="351"/>
        <v>354168</v>
      </c>
      <c r="AL54" s="2951">
        <f t="shared" si="351"/>
        <v>871450</v>
      </c>
      <c r="AM54" s="2005">
        <f t="shared" si="351"/>
        <v>968938</v>
      </c>
      <c r="AN54" s="2784">
        <f t="shared" si="351"/>
        <v>2645091.272345175</v>
      </c>
      <c r="AO54" s="1825">
        <f t="shared" si="351"/>
        <v>2505910</v>
      </c>
      <c r="AP54" s="2319">
        <f t="shared" ref="AP54:AS54" si="352">SUM(AP52:AP53)</f>
        <v>348000</v>
      </c>
      <c r="AQ54" s="1678">
        <f t="shared" si="352"/>
        <v>377726</v>
      </c>
      <c r="AR54" s="2784">
        <f t="shared" si="352"/>
        <v>2993091.272345175</v>
      </c>
      <c r="AS54" s="1825">
        <f t="shared" si="352"/>
        <v>2883636</v>
      </c>
      <c r="AT54" s="2319">
        <f t="shared" ref="AT54:AW54" si="353">SUM(AT52:AT53)</f>
        <v>319000</v>
      </c>
      <c r="AU54" s="1678">
        <f t="shared" si="353"/>
        <v>345006</v>
      </c>
      <c r="AV54" s="2784">
        <f t="shared" si="353"/>
        <v>3312091.272345175</v>
      </c>
      <c r="AW54" s="1825">
        <f t="shared" si="353"/>
        <v>3228642</v>
      </c>
      <c r="AX54" s="2319">
        <f t="shared" ref="AX54:BE54" si="354">SUM(AX52:AX53)</f>
        <v>353800</v>
      </c>
      <c r="AY54" s="1678">
        <f t="shared" si="354"/>
        <v>400935</v>
      </c>
      <c r="AZ54" s="2951">
        <f t="shared" si="354"/>
        <v>1020800</v>
      </c>
      <c r="BA54" s="2005">
        <f t="shared" si="354"/>
        <v>1123667</v>
      </c>
      <c r="BB54" s="2951">
        <f t="shared" ref="BB54:BC54" si="355">SUM(BB52:BB53)</f>
        <v>1892250</v>
      </c>
      <c r="BC54" s="2005">
        <f t="shared" si="355"/>
        <v>2092605</v>
      </c>
      <c r="BD54" s="6511">
        <f t="shared" si="354"/>
        <v>3665891.272345175</v>
      </c>
      <c r="BE54" s="6594">
        <f t="shared" si="354"/>
        <v>3629577</v>
      </c>
    </row>
    <row r="55" spans="2:57" ht="16" x14ac:dyDescent="0.2">
      <c r="B55" s="8837" t="s">
        <v>314</v>
      </c>
      <c r="C55" s="1720" t="s">
        <v>170</v>
      </c>
      <c r="D55" s="2710">
        <f>+D56*D54/1000</f>
        <v>35293.35</v>
      </c>
      <c r="E55" s="4416">
        <v>35293.35</v>
      </c>
      <c r="F55" s="2803">
        <f>+F56*F54/1000</f>
        <v>35853</v>
      </c>
      <c r="G55" s="3145">
        <v>35853</v>
      </c>
      <c r="H55" s="3093">
        <f>+D55+F55</f>
        <v>71146.350000000006</v>
      </c>
      <c r="I55" s="4423">
        <f>+E55+G55</f>
        <v>71146.350000000006</v>
      </c>
      <c r="J55" s="2803">
        <f>+J56*J54/1000</f>
        <v>40062.131999999998</v>
      </c>
      <c r="K55" s="3145">
        <v>39081.15</v>
      </c>
      <c r="L55" s="6939">
        <f>+H55+J55</f>
        <v>111208.482</v>
      </c>
      <c r="M55" s="6927">
        <f>+I55+K55</f>
        <v>110227.5</v>
      </c>
      <c r="N55" s="2803">
        <f>+N56*N54/1000</f>
        <v>53351.87900615549</v>
      </c>
      <c r="O55" s="3145">
        <v>44640.6</v>
      </c>
      <c r="P55" s="3093">
        <f>+L55+N55</f>
        <v>164560.36100615549</v>
      </c>
      <c r="Q55" s="4423">
        <f>+M55+O55</f>
        <v>154868.1</v>
      </c>
      <c r="R55" s="2803">
        <f>+R56*R54/1000</f>
        <v>53040.933640169998</v>
      </c>
      <c r="S55" s="3145">
        <v>43081.5</v>
      </c>
      <c r="T55" s="3093">
        <f>+P55+R55</f>
        <v>217601.29464632549</v>
      </c>
      <c r="U55" s="4423">
        <f>+Q55+S55</f>
        <v>197949.6</v>
      </c>
      <c r="V55" s="2803">
        <f>+V56*V54/1000</f>
        <v>52342.893022486278</v>
      </c>
      <c r="W55" s="3145">
        <v>32596.199999999997</v>
      </c>
      <c r="X55" s="6939">
        <f t="shared" ref="X55" si="356">+N55+R55+V55</f>
        <v>158735.70566881177</v>
      </c>
      <c r="Y55" s="6927">
        <f t="shared" ref="Y55" si="357">+O55+S55+W55</f>
        <v>120318.3</v>
      </c>
      <c r="Z55" s="6915">
        <f>+T55+V55</f>
        <v>269944.18766881176</v>
      </c>
      <c r="AA55" s="6928">
        <f>+U55+W55</f>
        <v>230545.8</v>
      </c>
      <c r="AB55" s="2803">
        <f>+AB56*AB54/1000</f>
        <v>27731.25</v>
      </c>
      <c r="AC55" s="3145">
        <v>44172.75</v>
      </c>
      <c r="AD55" s="3093">
        <f>+Z55+AB55</f>
        <v>297675.43766881176</v>
      </c>
      <c r="AE55" s="4423">
        <f>+AA55+AC55</f>
        <v>274718.55</v>
      </c>
      <c r="AF55" s="2803">
        <v>51469.2</v>
      </c>
      <c r="AG55" s="3145">
        <v>48042.75</v>
      </c>
      <c r="AH55" s="3093">
        <f>+AD55+AF55</f>
        <v>349144.63766881177</v>
      </c>
      <c r="AI55" s="4423">
        <f>+AE55+AG55</f>
        <v>322761.3</v>
      </c>
      <c r="AJ55" s="2803">
        <f>+AJ56*AJ54/1000</f>
        <v>54131.4</v>
      </c>
      <c r="AK55" s="3145">
        <v>53125.2</v>
      </c>
      <c r="AL55" s="6939">
        <f t="shared" ref="AL55" si="358">+AB55+AF55+AJ55</f>
        <v>133331.85</v>
      </c>
      <c r="AM55" s="6927">
        <f t="shared" ref="AM55" si="359">+AC55+AG55+AK55</f>
        <v>145340.70000000001</v>
      </c>
      <c r="AN55" s="3093">
        <f>+AH55+AJ55</f>
        <v>403276.0376688118</v>
      </c>
      <c r="AO55" s="4423">
        <f>+AI55+AK55</f>
        <v>375886.5</v>
      </c>
      <c r="AP55" s="2803">
        <f>+AP56*AP54/1000</f>
        <v>53244</v>
      </c>
      <c r="AQ55" s="3145">
        <v>56658.9</v>
      </c>
      <c r="AR55" s="3093">
        <f>+AN55+AP55</f>
        <v>456520.0376688118</v>
      </c>
      <c r="AS55" s="4423">
        <f>+AO55+AQ55</f>
        <v>432545.4</v>
      </c>
      <c r="AT55" s="2803">
        <f>+AT56*AT54/1000</f>
        <v>48807</v>
      </c>
      <c r="AU55" s="3145">
        <f>+AU54*0.15</f>
        <v>51750.9</v>
      </c>
      <c r="AV55" s="3093">
        <f>+AR55+AT55</f>
        <v>505327.0376688118</v>
      </c>
      <c r="AW55" s="4423">
        <f>+AS55+AU55</f>
        <v>484296.30000000005</v>
      </c>
      <c r="AX55" s="2803">
        <f>+AX56*AX54/1000</f>
        <v>54131.4</v>
      </c>
      <c r="AY55" s="3145">
        <f>+AY54*0.15</f>
        <v>60140.25</v>
      </c>
      <c r="AZ55" s="6939">
        <f t="shared" ref="AZ55" si="360">+AP55+AT55+AX55</f>
        <v>156182.39999999999</v>
      </c>
      <c r="BA55" s="6927">
        <f t="shared" ref="BA55" si="361">+AQ55+AU55+AY55</f>
        <v>168550.05</v>
      </c>
      <c r="BB55" s="6939">
        <f t="shared" si="345"/>
        <v>289514.25</v>
      </c>
      <c r="BC55" s="6927">
        <f t="shared" si="345"/>
        <v>313890.75</v>
      </c>
      <c r="BD55" s="6915">
        <f>+AV55+AX55</f>
        <v>559458.43766881176</v>
      </c>
      <c r="BE55" s="6928">
        <f>+AW55+AY55</f>
        <v>544436.55000000005</v>
      </c>
    </row>
    <row r="56" spans="2:57" ht="16" x14ac:dyDescent="0.2">
      <c r="B56" s="8838"/>
      <c r="C56" s="1581" t="s">
        <v>709</v>
      </c>
      <c r="D56" s="2711">
        <v>150</v>
      </c>
      <c r="E56" s="4395">
        <f>+E55/E54*1000</f>
        <v>150</v>
      </c>
      <c r="F56" s="2804">
        <v>150</v>
      </c>
      <c r="G56" s="3175">
        <f>+G55/G54*1000</f>
        <v>150</v>
      </c>
      <c r="H56" s="6938">
        <f>+H55/H54*1000</f>
        <v>150.00000000000003</v>
      </c>
      <c r="I56" s="4424">
        <f>+I55/I54*1000</f>
        <v>150.00000000000003</v>
      </c>
      <c r="J56" s="2804">
        <v>153</v>
      </c>
      <c r="K56" s="3175">
        <f>+K55/K54*1000</f>
        <v>150</v>
      </c>
      <c r="L56" s="5806">
        <f>+L55/L54*1000</f>
        <v>151.06707708859435</v>
      </c>
      <c r="M56" s="4655">
        <f>+M55/M54*1000</f>
        <v>150</v>
      </c>
      <c r="N56" s="2804">
        <v>153</v>
      </c>
      <c r="O56" s="3175">
        <f>+O55/O54*1000</f>
        <v>150</v>
      </c>
      <c r="P56" s="6938">
        <f>+P55/P54*1000</f>
        <v>151.68837499476498</v>
      </c>
      <c r="Q56" s="4424">
        <f>+Q55/Q54*1000</f>
        <v>150</v>
      </c>
      <c r="R56" s="2804">
        <v>153</v>
      </c>
      <c r="S56" s="3175">
        <f>+S55/S54*1000</f>
        <v>150</v>
      </c>
      <c r="T56" s="6938">
        <f>+T55/T54*1000</f>
        <v>152.00601025145272</v>
      </c>
      <c r="U56" s="4424">
        <f>+U55/U54*1000</f>
        <v>150</v>
      </c>
      <c r="V56" s="2804">
        <v>153</v>
      </c>
      <c r="W56" s="3175">
        <f>+W55/W54*1000</f>
        <v>150</v>
      </c>
      <c r="X56" s="5806">
        <f>+X55/X54*1000</f>
        <v>153</v>
      </c>
      <c r="Y56" s="4655">
        <f>+Y55/Y54*1000</f>
        <v>150</v>
      </c>
      <c r="Z56" s="6906">
        <f>+Z55/Z54*1000</f>
        <v>152.19773686923821</v>
      </c>
      <c r="AA56" s="6929">
        <f>+AA55/AA54*1000</f>
        <v>150</v>
      </c>
      <c r="AB56" s="2804">
        <v>153</v>
      </c>
      <c r="AC56" s="3175">
        <f>+AC55/AC54*1000</f>
        <v>150</v>
      </c>
      <c r="AD56" s="4754">
        <f>+AD55/AD54*1000</f>
        <v>152.27211962111173</v>
      </c>
      <c r="AE56" s="4424">
        <f>+AE55/AE54*1000</f>
        <v>150</v>
      </c>
      <c r="AF56" s="2804">
        <v>153</v>
      </c>
      <c r="AG56" s="3175">
        <f>+AG55/AG54*1000</f>
        <v>150</v>
      </c>
      <c r="AH56" s="4754">
        <f>+AH55/AH54*1000</f>
        <v>152.37898467245344</v>
      </c>
      <c r="AI56" s="4424">
        <f>+AI55/AI54*1000</f>
        <v>150</v>
      </c>
      <c r="AJ56" s="2804">
        <v>153</v>
      </c>
      <c r="AK56" s="3175">
        <f>+AK55/AK54*1000</f>
        <v>150</v>
      </c>
      <c r="AL56" s="5806">
        <f>+AL55/AL54*1000</f>
        <v>153</v>
      </c>
      <c r="AM56" s="4655">
        <f>+AM55/AM54*1000</f>
        <v>150.00000000000003</v>
      </c>
      <c r="AN56" s="4754">
        <f>+AN55/AN54*1000</f>
        <v>152.46204994327533</v>
      </c>
      <c r="AO56" s="4424">
        <f>+AO55/AO54*1000</f>
        <v>150</v>
      </c>
      <c r="AP56" s="2804">
        <v>153</v>
      </c>
      <c r="AQ56" s="3175">
        <f>+AQ55/AQ54*1000</f>
        <v>150</v>
      </c>
      <c r="AR56" s="4754">
        <f>+AR55/AR54*1000</f>
        <v>152.52459618817937</v>
      </c>
      <c r="AS56" s="4424">
        <f>+AS55/AS54*1000</f>
        <v>150</v>
      </c>
      <c r="AT56" s="2804">
        <v>153</v>
      </c>
      <c r="AU56" s="3175">
        <f>+AU55/AU54*1000</f>
        <v>150</v>
      </c>
      <c r="AV56" s="4754">
        <f>+AV55/AV54*1000</f>
        <v>152.5703841219954</v>
      </c>
      <c r="AW56" s="4424">
        <f>+AW55/AW54*1000</f>
        <v>150.00000000000003</v>
      </c>
      <c r="AX56" s="2804">
        <v>153</v>
      </c>
      <c r="AY56" s="3175">
        <f t="shared" ref="AY56:BE56" si="362">+AY55/AY54*1000</f>
        <v>150</v>
      </c>
      <c r="AZ56" s="5806">
        <f t="shared" si="362"/>
        <v>153</v>
      </c>
      <c r="BA56" s="4655">
        <f t="shared" si="362"/>
        <v>150</v>
      </c>
      <c r="BB56" s="5806">
        <f t="shared" si="362"/>
        <v>153</v>
      </c>
      <c r="BC56" s="4655">
        <f t="shared" si="362"/>
        <v>150</v>
      </c>
      <c r="BD56" s="6906">
        <f t="shared" si="362"/>
        <v>152.61184691681001</v>
      </c>
      <c r="BE56" s="6929">
        <f t="shared" si="362"/>
        <v>150.00000000000003</v>
      </c>
    </row>
    <row r="57" spans="2:57" s="3380" customFormat="1" ht="18" x14ac:dyDescent="0.2">
      <c r="B57" s="4961" t="s">
        <v>158</v>
      </c>
      <c r="C57" s="3237"/>
      <c r="D57" s="6791"/>
      <c r="E57" s="6799"/>
      <c r="F57" s="6791"/>
      <c r="G57" s="6790"/>
      <c r="H57" s="5645"/>
      <c r="I57" s="5648"/>
      <c r="J57" s="5645"/>
      <c r="K57" s="5648"/>
      <c r="L57" s="5645"/>
      <c r="M57" s="5648"/>
      <c r="N57" s="5645"/>
      <c r="O57" s="6790"/>
      <c r="P57" s="5645"/>
      <c r="Q57" s="5648"/>
      <c r="R57" s="5645"/>
      <c r="S57" s="6790"/>
      <c r="T57" s="5645"/>
      <c r="U57" s="5648"/>
      <c r="V57" s="5645"/>
      <c r="W57" s="6790"/>
      <c r="X57" s="5645"/>
      <c r="Y57" s="5648"/>
      <c r="Z57" s="5645"/>
      <c r="AA57" s="5648"/>
      <c r="AB57" s="5645"/>
      <c r="AC57" s="6790"/>
      <c r="AD57" s="5645"/>
      <c r="AE57" s="5648"/>
      <c r="AF57" s="5645"/>
      <c r="AG57" s="6790"/>
      <c r="AH57" s="5645"/>
      <c r="AI57" s="5648"/>
      <c r="AJ57" s="5645"/>
      <c r="AK57" s="6790"/>
      <c r="AL57" s="5645"/>
      <c r="AM57" s="5648"/>
      <c r="AN57" s="5645"/>
      <c r="AO57" s="5648"/>
      <c r="AP57" s="5645"/>
      <c r="AQ57" s="6790"/>
      <c r="AR57" s="5645"/>
      <c r="AS57" s="5648"/>
      <c r="AT57" s="5645"/>
      <c r="AU57" s="6790"/>
      <c r="AV57" s="5645"/>
      <c r="AW57" s="5648"/>
      <c r="AX57" s="5645"/>
      <c r="AY57" s="6790"/>
      <c r="AZ57" s="5645"/>
      <c r="BA57" s="5648"/>
      <c r="BB57" s="5645"/>
      <c r="BC57" s="5648"/>
      <c r="BD57" s="5645"/>
      <c r="BE57" s="5648"/>
    </row>
    <row r="58" spans="2:57" x14ac:dyDescent="0.2">
      <c r="B58" s="1533" t="s">
        <v>313</v>
      </c>
      <c r="C58" s="1545" t="s">
        <v>711</v>
      </c>
      <c r="D58" s="4963">
        <f>+D2*24</f>
        <v>720</v>
      </c>
      <c r="E58" s="4417">
        <f>+E2*24</f>
        <v>720</v>
      </c>
      <c r="F58" s="4963">
        <f>+F2*24</f>
        <v>744</v>
      </c>
      <c r="G58" s="4422">
        <f>+G2*24</f>
        <v>744</v>
      </c>
      <c r="H58" s="6874">
        <f>+D58+F58</f>
        <v>1464</v>
      </c>
      <c r="I58" s="3094">
        <f>+E58+G58</f>
        <v>1464</v>
      </c>
      <c r="J58" s="4963">
        <f>+J2*24</f>
        <v>720</v>
      </c>
      <c r="K58" s="4422">
        <f>+K2*24</f>
        <v>720</v>
      </c>
      <c r="L58" s="6875">
        <f>+H58+J58</f>
        <v>2184</v>
      </c>
      <c r="M58" s="6930">
        <f>+I58+K58</f>
        <v>2184</v>
      </c>
      <c r="N58" s="4963">
        <f>+N2*24</f>
        <v>744</v>
      </c>
      <c r="O58" s="6931">
        <f>+O2*24</f>
        <v>744</v>
      </c>
      <c r="P58" s="6874">
        <f>+L58+N58</f>
        <v>2928</v>
      </c>
      <c r="Q58" s="3094">
        <f>+M58+O58</f>
        <v>2928</v>
      </c>
      <c r="R58" s="4963">
        <f>+R2*24</f>
        <v>744</v>
      </c>
      <c r="S58" s="6931">
        <f>+S2*24</f>
        <v>744</v>
      </c>
      <c r="T58" s="6874">
        <f>+P58+R58</f>
        <v>3672</v>
      </c>
      <c r="U58" s="3094">
        <f>+Q58+S58</f>
        <v>3672</v>
      </c>
      <c r="V58" s="4963">
        <f>+V2*24</f>
        <v>720</v>
      </c>
      <c r="W58" s="6931">
        <f>+W2*24</f>
        <v>720</v>
      </c>
      <c r="X58" s="6875">
        <f t="shared" ref="X58:X59" si="363">+N58+R58+V58</f>
        <v>2208</v>
      </c>
      <c r="Y58" s="6930">
        <f t="shared" ref="Y58:Y59" si="364">+O58+S58+W58</f>
        <v>2208</v>
      </c>
      <c r="Z58" s="6668">
        <f>+T58+V58</f>
        <v>4392</v>
      </c>
      <c r="AA58" s="6932">
        <f>+U58+W58</f>
        <v>4392</v>
      </c>
      <c r="AB58" s="4963">
        <f>+AB2*24</f>
        <v>744</v>
      </c>
      <c r="AC58" s="6931">
        <f>+AC2*24</f>
        <v>744</v>
      </c>
      <c r="AD58" s="7350">
        <f>+Z58+AB58</f>
        <v>5136</v>
      </c>
      <c r="AE58" s="3094">
        <f>+AA58+AC58</f>
        <v>5136</v>
      </c>
      <c r="AF58" s="4963">
        <f>+AF2*24</f>
        <v>720</v>
      </c>
      <c r="AG58" s="6931">
        <f>+AG2*24</f>
        <v>720</v>
      </c>
      <c r="AH58" s="7595">
        <f>+AD58+AF58</f>
        <v>5856</v>
      </c>
      <c r="AI58" s="3094">
        <f>+AE58+AG58</f>
        <v>5856</v>
      </c>
      <c r="AJ58" s="4963">
        <f>+AJ2*24</f>
        <v>744</v>
      </c>
      <c r="AK58" s="6931">
        <f>+AK2*24</f>
        <v>744</v>
      </c>
      <c r="AL58" s="7741">
        <f t="shared" ref="AL58:AL59" si="365">+AB58+AF58+AJ58</f>
        <v>2208</v>
      </c>
      <c r="AM58" s="6930">
        <f t="shared" ref="AM58:AM59" si="366">+AC58+AG58+AK58</f>
        <v>2208</v>
      </c>
      <c r="AN58" s="7739">
        <f>+AH58+AJ58</f>
        <v>6600</v>
      </c>
      <c r="AO58" s="3094">
        <f>+AI58+AK58</f>
        <v>6600</v>
      </c>
      <c r="AP58" s="4963">
        <f>+AP2*24</f>
        <v>744</v>
      </c>
      <c r="AQ58" s="6931">
        <f>+AQ2*24</f>
        <v>744</v>
      </c>
      <c r="AR58" s="8051">
        <f>+AN58+AP58</f>
        <v>7344</v>
      </c>
      <c r="AS58" s="3094">
        <f>+AO58+AQ58</f>
        <v>7344</v>
      </c>
      <c r="AT58" s="4963">
        <f>+AT2*24</f>
        <v>672</v>
      </c>
      <c r="AU58" s="6931">
        <f>+AU2*24</f>
        <v>672</v>
      </c>
      <c r="AV58" s="8174">
        <f>+AR58+AT58</f>
        <v>8016</v>
      </c>
      <c r="AW58" s="3094">
        <f>+AS58+AU58</f>
        <v>8016</v>
      </c>
      <c r="AX58" s="4963">
        <f>+AX2*24</f>
        <v>744</v>
      </c>
      <c r="AY58" s="6931">
        <f>+AY2*24</f>
        <v>744</v>
      </c>
      <c r="AZ58" s="8334">
        <f t="shared" ref="AZ58:AZ59" si="367">+AP58+AT58+AX58</f>
        <v>2160</v>
      </c>
      <c r="BA58" s="6930">
        <f t="shared" ref="BA58:BA59" si="368">+AQ58+AU58+AY58</f>
        <v>2160</v>
      </c>
      <c r="BB58" s="8334">
        <f t="shared" ref="BB58:BC59" si="369">+AZ58+AL58</f>
        <v>4368</v>
      </c>
      <c r="BC58" s="6930">
        <f t="shared" si="369"/>
        <v>4368</v>
      </c>
      <c r="BD58" s="8332">
        <f>+AV58+AX58</f>
        <v>8760</v>
      </c>
      <c r="BE58" s="6932">
        <f>+AW58+AY58</f>
        <v>8760</v>
      </c>
    </row>
    <row r="59" spans="2:57" x14ac:dyDescent="0.2">
      <c r="B59" s="1533" t="s">
        <v>712</v>
      </c>
      <c r="C59" s="1545" t="s">
        <v>711</v>
      </c>
      <c r="D59" s="6869">
        <v>651.6</v>
      </c>
      <c r="E59" s="2750">
        <v>605</v>
      </c>
      <c r="F59" s="6869">
        <v>675.6</v>
      </c>
      <c r="G59" s="1675">
        <v>527.21</v>
      </c>
      <c r="H59" s="4809">
        <f>+D59+F59</f>
        <v>1327.2</v>
      </c>
      <c r="I59" s="2103">
        <f>+E59+G59</f>
        <v>1132.21</v>
      </c>
      <c r="J59" s="6869">
        <v>651.6</v>
      </c>
      <c r="K59" s="1675">
        <v>612.38</v>
      </c>
      <c r="L59" s="4792">
        <f>+H59+J59</f>
        <v>1978.8000000000002</v>
      </c>
      <c r="M59" s="3112">
        <f>+I59+K59</f>
        <v>1744.5900000000001</v>
      </c>
      <c r="N59" s="4811">
        <v>648</v>
      </c>
      <c r="O59" s="3184">
        <v>702.15</v>
      </c>
      <c r="P59" s="4809">
        <f>+L59+N59</f>
        <v>2626.8</v>
      </c>
      <c r="Q59" s="2103">
        <f>+M59+O59</f>
        <v>2446.7400000000002</v>
      </c>
      <c r="R59" s="4811">
        <v>672</v>
      </c>
      <c r="S59" s="3184">
        <v>658.54</v>
      </c>
      <c r="T59" s="4809">
        <f>+P59+R59</f>
        <v>3298.8</v>
      </c>
      <c r="U59" s="2103">
        <f>+Q59+S59</f>
        <v>3105.28</v>
      </c>
      <c r="V59" s="4811">
        <v>651.6</v>
      </c>
      <c r="W59" s="3184">
        <v>720</v>
      </c>
      <c r="X59" s="4792">
        <f t="shared" si="363"/>
        <v>1971.6</v>
      </c>
      <c r="Y59" s="3112">
        <f t="shared" si="364"/>
        <v>2080.69</v>
      </c>
      <c r="Z59" s="6519">
        <f>+T59+V59</f>
        <v>3950.4</v>
      </c>
      <c r="AA59" s="6723">
        <f>+U59+W59</f>
        <v>3825.28</v>
      </c>
      <c r="AB59" s="4811">
        <v>675.6</v>
      </c>
      <c r="AC59" s="3184">
        <v>734.12</v>
      </c>
      <c r="AD59" s="4809">
        <f>+Z59+AB59</f>
        <v>4626</v>
      </c>
      <c r="AE59" s="2103">
        <f>+AA59+AC59</f>
        <v>4559.4000000000005</v>
      </c>
      <c r="AF59" s="4811">
        <v>651.6</v>
      </c>
      <c r="AG59" s="3184">
        <v>677</v>
      </c>
      <c r="AH59" s="4809">
        <f>+AD59+AF59</f>
        <v>5277.6</v>
      </c>
      <c r="AI59" s="2103">
        <f>+AE59+AG59</f>
        <v>5236.4000000000005</v>
      </c>
      <c r="AJ59" s="4811">
        <v>663.6</v>
      </c>
      <c r="AK59" s="3184">
        <v>716.16499999999996</v>
      </c>
      <c r="AL59" s="4792">
        <f t="shared" si="365"/>
        <v>1990.8000000000002</v>
      </c>
      <c r="AM59" s="3112">
        <f t="shared" si="366"/>
        <v>2127.2849999999999</v>
      </c>
      <c r="AN59" s="4809">
        <f>+AH59+AJ59</f>
        <v>5941.2000000000007</v>
      </c>
      <c r="AO59" s="2103">
        <f>+AI59+AK59</f>
        <v>5952.5650000000005</v>
      </c>
      <c r="AP59" s="4811">
        <v>687.6</v>
      </c>
      <c r="AQ59" s="3184">
        <v>725.25</v>
      </c>
      <c r="AR59" s="4809">
        <f>+AN59+AP59</f>
        <v>6628.8000000000011</v>
      </c>
      <c r="AS59" s="2103">
        <f>+AO59+AQ59</f>
        <v>6677.8150000000005</v>
      </c>
      <c r="AT59" s="4811">
        <v>687.6</v>
      </c>
      <c r="AU59" s="3184">
        <v>642.91</v>
      </c>
      <c r="AV59" s="4809">
        <f>+AR59+AT59</f>
        <v>7316.4000000000015</v>
      </c>
      <c r="AW59" s="2103">
        <f>+AS59+AU59</f>
        <v>7320.7250000000004</v>
      </c>
      <c r="AX59" s="4811">
        <v>687.6</v>
      </c>
      <c r="AY59" s="3184">
        <v>731.25</v>
      </c>
      <c r="AZ59" s="4792">
        <f t="shared" si="367"/>
        <v>2062.8000000000002</v>
      </c>
      <c r="BA59" s="3112">
        <f t="shared" si="368"/>
        <v>2099.41</v>
      </c>
      <c r="BB59" s="4792">
        <f t="shared" si="369"/>
        <v>4053.6000000000004</v>
      </c>
      <c r="BC59" s="3112">
        <f t="shared" si="369"/>
        <v>4226.6949999999997</v>
      </c>
      <c r="BD59" s="6519">
        <f>+AV59+AX59</f>
        <v>8004.0000000000018</v>
      </c>
      <c r="BE59" s="6723">
        <f>+AW59+AY59</f>
        <v>8051.9750000000004</v>
      </c>
    </row>
    <row r="60" spans="2:57" x14ac:dyDescent="0.2">
      <c r="B60" s="1533" t="s">
        <v>713</v>
      </c>
      <c r="C60" s="1545" t="s">
        <v>169</v>
      </c>
      <c r="D60" s="2706">
        <f>+D59/D58*100</f>
        <v>90.5</v>
      </c>
      <c r="E60" s="1645">
        <f>+E59/E58*100</f>
        <v>84.027777777777786</v>
      </c>
      <c r="F60" s="2706">
        <f t="shared" ref="F60:I60" si="370">+F59/F58*100</f>
        <v>90.806451612903231</v>
      </c>
      <c r="G60" s="2840">
        <f t="shared" si="370"/>
        <v>70.861559139784944</v>
      </c>
      <c r="H60" s="2794">
        <f t="shared" si="370"/>
        <v>90.655737704918039</v>
      </c>
      <c r="I60" s="2805">
        <f t="shared" si="370"/>
        <v>77.336748633879779</v>
      </c>
      <c r="J60" s="2706">
        <f t="shared" ref="J60:K60" si="371">+J59/J58*100</f>
        <v>90.5</v>
      </c>
      <c r="K60" s="2840">
        <f t="shared" si="371"/>
        <v>85.052777777777777</v>
      </c>
      <c r="L60" s="2260">
        <f t="shared" ref="L60:N60" si="372">+L59/L58*100</f>
        <v>90.60439560439562</v>
      </c>
      <c r="M60" s="2887">
        <f t="shared" si="372"/>
        <v>79.880494505494511</v>
      </c>
      <c r="N60" s="2706">
        <f t="shared" si="372"/>
        <v>87.096774193548384</v>
      </c>
      <c r="O60" s="6933">
        <f t="shared" ref="O60:R60" si="373">+O59/O58*100</f>
        <v>94.375</v>
      </c>
      <c r="P60" s="2794">
        <f t="shared" si="373"/>
        <v>89.71311475409837</v>
      </c>
      <c r="Q60" s="2805">
        <f t="shared" si="373"/>
        <v>83.563524590163937</v>
      </c>
      <c r="R60" s="2706">
        <f t="shared" si="373"/>
        <v>90.322580645161281</v>
      </c>
      <c r="S60" s="6933">
        <f t="shared" ref="S60:V60" si="374">+S59/S58*100</f>
        <v>88.513440860215056</v>
      </c>
      <c r="T60" s="2794">
        <f t="shared" si="374"/>
        <v>89.83660130718954</v>
      </c>
      <c r="U60" s="2805">
        <f t="shared" si="374"/>
        <v>84.566448801742922</v>
      </c>
      <c r="V60" s="2706">
        <f t="shared" si="374"/>
        <v>90.5</v>
      </c>
      <c r="W60" s="6933">
        <f t="shared" ref="W60:AJ60" si="375">+W59/W58*100</f>
        <v>100</v>
      </c>
      <c r="X60" s="2260">
        <f t="shared" si="375"/>
        <v>89.293478260869563</v>
      </c>
      <c r="Y60" s="2887">
        <f t="shared" si="375"/>
        <v>94.23414855072464</v>
      </c>
      <c r="Z60" s="6519">
        <f t="shared" si="375"/>
        <v>89.945355191256837</v>
      </c>
      <c r="AA60" s="6723">
        <f t="shared" si="375"/>
        <v>87.096539162112947</v>
      </c>
      <c r="AB60" s="2706">
        <f t="shared" si="375"/>
        <v>90.806451612903231</v>
      </c>
      <c r="AC60" s="6933">
        <f t="shared" si="375"/>
        <v>98.672043010752688</v>
      </c>
      <c r="AD60" s="2794">
        <f t="shared" si="375"/>
        <v>90.070093457943926</v>
      </c>
      <c r="AE60" s="2805">
        <f t="shared" si="375"/>
        <v>88.773364485981318</v>
      </c>
      <c r="AF60" s="2706">
        <f t="shared" si="375"/>
        <v>90.5</v>
      </c>
      <c r="AG60" s="6933">
        <f t="shared" si="375"/>
        <v>94.027777777777771</v>
      </c>
      <c r="AH60" s="2794">
        <f t="shared" si="375"/>
        <v>90.122950819672127</v>
      </c>
      <c r="AI60" s="2805">
        <f t="shared" si="375"/>
        <v>89.419398907103826</v>
      </c>
      <c r="AJ60" s="2706">
        <f t="shared" si="375"/>
        <v>89.193548387096783</v>
      </c>
      <c r="AK60" s="6933">
        <f t="shared" ref="AK60:AP60" si="376">+AK59/AK58*100</f>
        <v>96.258736559139777</v>
      </c>
      <c r="AL60" s="2260">
        <f t="shared" si="376"/>
        <v>90.163043478260875</v>
      </c>
      <c r="AM60" s="2887">
        <f t="shared" si="376"/>
        <v>96.344429347826079</v>
      </c>
      <c r="AN60" s="2794">
        <f t="shared" si="376"/>
        <v>90.01818181818183</v>
      </c>
      <c r="AO60" s="2805">
        <f t="shared" si="376"/>
        <v>90.190378787878799</v>
      </c>
      <c r="AP60" s="2706">
        <f t="shared" si="376"/>
        <v>92.41935483870968</v>
      </c>
      <c r="AQ60" s="6933">
        <f t="shared" ref="AQ60:AT60" si="377">+AQ59/AQ58*100</f>
        <v>97.479838709677423</v>
      </c>
      <c r="AR60" s="2794">
        <f t="shared" si="377"/>
        <v>90.261437908496745</v>
      </c>
      <c r="AS60" s="2805">
        <f t="shared" si="377"/>
        <v>90.928853485838786</v>
      </c>
      <c r="AT60" s="2706">
        <f t="shared" si="377"/>
        <v>102.32142857142858</v>
      </c>
      <c r="AU60" s="6933">
        <f t="shared" ref="AU60:AX60" si="378">+AU59/AU58*100</f>
        <v>95.671130952380949</v>
      </c>
      <c r="AV60" s="2794">
        <f t="shared" si="378"/>
        <v>91.272455089820383</v>
      </c>
      <c r="AW60" s="2805">
        <f t="shared" si="378"/>
        <v>91.326409680638733</v>
      </c>
      <c r="AX60" s="2706">
        <f t="shared" si="378"/>
        <v>92.41935483870968</v>
      </c>
      <c r="AY60" s="6933">
        <f t="shared" ref="AY60:BE60" si="379">+AY59/AY58*100</f>
        <v>98.286290322580655</v>
      </c>
      <c r="AZ60" s="2260">
        <f t="shared" si="379"/>
        <v>95.5</v>
      </c>
      <c r="BA60" s="2887">
        <f t="shared" si="379"/>
        <v>97.194907407407399</v>
      </c>
      <c r="BB60" s="2260">
        <f t="shared" ref="BB60:BC60" si="380">+BB59/BB58*100</f>
        <v>92.80219780219781</v>
      </c>
      <c r="BC60" s="2887">
        <f t="shared" si="380"/>
        <v>96.764995421245416</v>
      </c>
      <c r="BD60" s="6519">
        <f t="shared" si="379"/>
        <v>91.369863013698648</v>
      </c>
      <c r="BE60" s="6723">
        <f t="shared" si="379"/>
        <v>91.917522831050235</v>
      </c>
    </row>
    <row r="61" spans="2:57" x14ac:dyDescent="0.2">
      <c r="B61" s="1533" t="s">
        <v>714</v>
      </c>
      <c r="C61" s="1545" t="s">
        <v>711</v>
      </c>
      <c r="D61" s="6869">
        <v>651.6</v>
      </c>
      <c r="E61" s="2750">
        <v>496</v>
      </c>
      <c r="F61" s="4811">
        <v>675.6</v>
      </c>
      <c r="G61" s="1675">
        <v>501.84</v>
      </c>
      <c r="H61" s="4809">
        <f>+D61+F61</f>
        <v>1327.2</v>
      </c>
      <c r="I61" s="2103">
        <f>+E61+G61</f>
        <v>997.83999999999992</v>
      </c>
      <c r="J61" s="4811">
        <v>651.6</v>
      </c>
      <c r="K61" s="1675">
        <v>558.16</v>
      </c>
      <c r="L61" s="4792">
        <f>+H61+J61</f>
        <v>1978.8000000000002</v>
      </c>
      <c r="M61" s="3112">
        <f>+I61+K61</f>
        <v>1556</v>
      </c>
      <c r="N61" s="4811">
        <v>648</v>
      </c>
      <c r="O61" s="3184">
        <v>655.98</v>
      </c>
      <c r="P61" s="4809">
        <f>+L61+N61</f>
        <v>2626.8</v>
      </c>
      <c r="Q61" s="2103">
        <f>+M61+O61</f>
        <v>2211.98</v>
      </c>
      <c r="R61" s="4811">
        <v>672</v>
      </c>
      <c r="S61" s="3184">
        <v>635.66999999999996</v>
      </c>
      <c r="T61" s="4809">
        <f>+P61+R61</f>
        <v>3298.8</v>
      </c>
      <c r="U61" s="2103">
        <f>+Q61+S61</f>
        <v>2847.65</v>
      </c>
      <c r="V61" s="4811">
        <v>651.6</v>
      </c>
      <c r="W61" s="3184">
        <v>523.94000000000005</v>
      </c>
      <c r="X61" s="4792">
        <f t="shared" ref="X61" si="381">+N61+R61+V61</f>
        <v>1971.6</v>
      </c>
      <c r="Y61" s="3112">
        <f t="shared" ref="Y61" si="382">+O61+S61+W61</f>
        <v>1815.5900000000001</v>
      </c>
      <c r="Z61" s="6519">
        <f>+T61+V61</f>
        <v>3950.4</v>
      </c>
      <c r="AA61" s="6723">
        <f>+U61+W61</f>
        <v>3371.59</v>
      </c>
      <c r="AB61" s="4811">
        <v>675.6</v>
      </c>
      <c r="AC61" s="3184">
        <v>664</v>
      </c>
      <c r="AD61" s="4809">
        <f>+Z61+AB61</f>
        <v>4626</v>
      </c>
      <c r="AE61" s="2103">
        <f>+AA61+AC61</f>
        <v>4035.59</v>
      </c>
      <c r="AF61" s="4811">
        <v>651.6</v>
      </c>
      <c r="AG61" s="3184">
        <v>665.72</v>
      </c>
      <c r="AH61" s="4809">
        <f>+AD61+AF61</f>
        <v>5277.6</v>
      </c>
      <c r="AI61" s="2103">
        <f>+AE61+AG61</f>
        <v>4701.3100000000004</v>
      </c>
      <c r="AJ61" s="4811">
        <v>663.6</v>
      </c>
      <c r="AK61" s="3184">
        <v>701.17499999999995</v>
      </c>
      <c r="AL61" s="4792">
        <f t="shared" ref="AL61" si="383">+AB61+AF61+AJ61</f>
        <v>1990.8000000000002</v>
      </c>
      <c r="AM61" s="3112">
        <f t="shared" ref="AM61" si="384">+AC61+AG61+AK61</f>
        <v>2030.895</v>
      </c>
      <c r="AN61" s="4809">
        <f>+AH61+AJ61</f>
        <v>5941.2000000000007</v>
      </c>
      <c r="AO61" s="2103">
        <f>+AI61+AK61</f>
        <v>5402.4850000000006</v>
      </c>
      <c r="AP61" s="4811">
        <v>687.6</v>
      </c>
      <c r="AQ61" s="3184">
        <v>684.38</v>
      </c>
      <c r="AR61" s="4809">
        <f>+AN61+AP61</f>
        <v>6628.8000000000011</v>
      </c>
      <c r="AS61" s="2103">
        <f>+AO61+AQ61</f>
        <v>6086.8650000000007</v>
      </c>
      <c r="AT61" s="4811">
        <v>687.6</v>
      </c>
      <c r="AU61" s="3184">
        <v>621.45000000000005</v>
      </c>
      <c r="AV61" s="4809">
        <f>+AR61+AT61</f>
        <v>7316.4000000000015</v>
      </c>
      <c r="AW61" s="2103">
        <f>+AS61+AU61</f>
        <v>6708.3150000000005</v>
      </c>
      <c r="AX61" s="4811">
        <v>687.6</v>
      </c>
      <c r="AY61" s="3184">
        <v>704.32</v>
      </c>
      <c r="AZ61" s="4792">
        <f t="shared" ref="AZ61" si="385">+AP61+AT61+AX61</f>
        <v>2062.8000000000002</v>
      </c>
      <c r="BA61" s="3112">
        <f t="shared" ref="BA61" si="386">+AQ61+AU61+AY61</f>
        <v>2010.15</v>
      </c>
      <c r="BB61" s="4792">
        <f t="shared" ref="BB61:BC61" si="387">+AZ61+AL61</f>
        <v>4053.6000000000004</v>
      </c>
      <c r="BC61" s="3112">
        <f t="shared" si="387"/>
        <v>4041.0450000000001</v>
      </c>
      <c r="BD61" s="6519">
        <f>+AV61+AX61</f>
        <v>8004.0000000000018</v>
      </c>
      <c r="BE61" s="6723">
        <f>+AW61+AY61</f>
        <v>7412.6350000000002</v>
      </c>
    </row>
    <row r="62" spans="2:57" x14ac:dyDescent="0.2">
      <c r="B62" s="1533" t="s">
        <v>715</v>
      </c>
      <c r="C62" s="1545" t="s">
        <v>169</v>
      </c>
      <c r="D62" s="2706">
        <f>+D61/D59*100</f>
        <v>100</v>
      </c>
      <c r="E62" s="1859">
        <f>+E61/E59*100</f>
        <v>81.983471074380162</v>
      </c>
      <c r="F62" s="2706">
        <f t="shared" ref="F62:I62" si="388">+F61/F59*100</f>
        <v>100</v>
      </c>
      <c r="G62" s="2806">
        <f t="shared" si="388"/>
        <v>95.187875799017462</v>
      </c>
      <c r="H62" s="2794">
        <f t="shared" si="388"/>
        <v>100</v>
      </c>
      <c r="I62" s="2805">
        <f t="shared" si="388"/>
        <v>88.132060306833523</v>
      </c>
      <c r="J62" s="2706">
        <f t="shared" ref="J62:K62" si="389">+J61/J59*100</f>
        <v>100</v>
      </c>
      <c r="K62" s="2806">
        <f t="shared" si="389"/>
        <v>91.146020444821843</v>
      </c>
      <c r="L62" s="2260">
        <f t="shared" ref="L62:N62" si="390">+L61/L59*100</f>
        <v>100</v>
      </c>
      <c r="M62" s="2887">
        <f t="shared" si="390"/>
        <v>89.190010260290379</v>
      </c>
      <c r="N62" s="2706">
        <f t="shared" si="390"/>
        <v>100</v>
      </c>
      <c r="O62" s="6933">
        <f t="shared" ref="O62:R62" si="391">+O61/O59*100</f>
        <v>93.424481948301647</v>
      </c>
      <c r="P62" s="2794">
        <f t="shared" si="391"/>
        <v>100</v>
      </c>
      <c r="Q62" s="2805">
        <f t="shared" si="391"/>
        <v>90.40519221494722</v>
      </c>
      <c r="R62" s="2706">
        <f t="shared" si="391"/>
        <v>100</v>
      </c>
      <c r="S62" s="6933">
        <f t="shared" ref="S62:V62" si="392">+S61/S59*100</f>
        <v>96.527166155434756</v>
      </c>
      <c r="T62" s="2794">
        <f t="shared" si="392"/>
        <v>100</v>
      </c>
      <c r="U62" s="2805">
        <f t="shared" si="392"/>
        <v>91.70348567600989</v>
      </c>
      <c r="V62" s="2706">
        <f t="shared" si="392"/>
        <v>100</v>
      </c>
      <c r="W62" s="6933">
        <f t="shared" ref="W62:AJ62" si="393">+W61/W59*100</f>
        <v>72.76944444444446</v>
      </c>
      <c r="X62" s="2260">
        <f t="shared" si="393"/>
        <v>100</v>
      </c>
      <c r="Y62" s="2887">
        <f t="shared" si="393"/>
        <v>87.259034262672486</v>
      </c>
      <c r="Z62" s="6612">
        <f t="shared" si="393"/>
        <v>100</v>
      </c>
      <c r="AA62" s="6671">
        <f t="shared" si="393"/>
        <v>88.139691734984098</v>
      </c>
      <c r="AB62" s="2706">
        <f t="shared" si="393"/>
        <v>100</v>
      </c>
      <c r="AC62" s="6933">
        <f t="shared" si="393"/>
        <v>90.448428049910106</v>
      </c>
      <c r="AD62" s="2794">
        <f t="shared" si="393"/>
        <v>100</v>
      </c>
      <c r="AE62" s="2805">
        <f t="shared" si="393"/>
        <v>88.511426942141497</v>
      </c>
      <c r="AF62" s="2706">
        <f t="shared" si="393"/>
        <v>100</v>
      </c>
      <c r="AG62" s="6933">
        <f t="shared" si="393"/>
        <v>98.333825701624818</v>
      </c>
      <c r="AH62" s="2794">
        <f t="shared" si="393"/>
        <v>100</v>
      </c>
      <c r="AI62" s="2805">
        <f t="shared" si="393"/>
        <v>89.78133832403941</v>
      </c>
      <c r="AJ62" s="2706">
        <f t="shared" si="393"/>
        <v>100</v>
      </c>
      <c r="AK62" s="6933">
        <f t="shared" ref="AK62:AP62" si="394">+AK61/AK59*100</f>
        <v>97.906906927872768</v>
      </c>
      <c r="AL62" s="2260">
        <f t="shared" si="394"/>
        <v>100</v>
      </c>
      <c r="AM62" s="2887">
        <f t="shared" si="394"/>
        <v>95.468872294967539</v>
      </c>
      <c r="AN62" s="2794">
        <f t="shared" si="394"/>
        <v>100</v>
      </c>
      <c r="AO62" s="2805">
        <f t="shared" si="394"/>
        <v>90.75894173352161</v>
      </c>
      <c r="AP62" s="2706">
        <f t="shared" si="394"/>
        <v>100</v>
      </c>
      <c r="AQ62" s="6933">
        <f t="shared" ref="AQ62:AT62" si="395">+AQ61/AQ59*100</f>
        <v>94.364701826956221</v>
      </c>
      <c r="AR62" s="2794">
        <f t="shared" si="395"/>
        <v>100</v>
      </c>
      <c r="AS62" s="2805">
        <f t="shared" si="395"/>
        <v>91.15054849527877</v>
      </c>
      <c r="AT62" s="2706">
        <f t="shared" si="395"/>
        <v>100</v>
      </c>
      <c r="AU62" s="6933">
        <f t="shared" ref="AU62:AX62" si="396">+AU61/AU59*100</f>
        <v>96.662052231261001</v>
      </c>
      <c r="AV62" s="2794">
        <f t="shared" si="396"/>
        <v>100</v>
      </c>
      <c r="AW62" s="2805">
        <f t="shared" si="396"/>
        <v>91.634571712501156</v>
      </c>
      <c r="AX62" s="2706">
        <f t="shared" si="396"/>
        <v>100</v>
      </c>
      <c r="AY62" s="6933">
        <f t="shared" ref="AY62:BE62" si="397">+AY61/AY59*100</f>
        <v>96.317264957264953</v>
      </c>
      <c r="AZ62" s="2260">
        <f t="shared" si="397"/>
        <v>100</v>
      </c>
      <c r="BA62" s="2887">
        <f t="shared" si="397"/>
        <v>95.748329292515535</v>
      </c>
      <c r="BB62" s="2260">
        <f t="shared" ref="BB62:BC62" si="398">+BB61/BB59*100</f>
        <v>100</v>
      </c>
      <c r="BC62" s="2887">
        <f t="shared" si="398"/>
        <v>95.607679286061568</v>
      </c>
      <c r="BD62" s="6612">
        <f t="shared" si="397"/>
        <v>100</v>
      </c>
      <c r="BE62" s="6671">
        <f t="shared" si="397"/>
        <v>92.059836251354483</v>
      </c>
    </row>
    <row r="63" spans="2:57" x14ac:dyDescent="0.2">
      <c r="B63" s="1533" t="s">
        <v>716</v>
      </c>
      <c r="C63" s="1545" t="s">
        <v>711</v>
      </c>
      <c r="D63" s="6869">
        <f t="shared" ref="D63:I63" si="399">+D54/D61</f>
        <v>361.09422958870471</v>
      </c>
      <c r="E63" s="1645">
        <f t="shared" si="399"/>
        <v>474.37298387096774</v>
      </c>
      <c r="F63" s="6869">
        <f t="shared" si="399"/>
        <v>353.78922439313203</v>
      </c>
      <c r="G63" s="2840">
        <f t="shared" si="399"/>
        <v>476.28726287262873</v>
      </c>
      <c r="H63" s="4809">
        <f t="shared" si="399"/>
        <v>357.375678119349</v>
      </c>
      <c r="I63" s="2103">
        <f t="shared" si="399"/>
        <v>475.3357251663594</v>
      </c>
      <c r="J63" s="6869">
        <f t="shared" ref="J63:K63" si="400">+J54/J61</f>
        <v>401.84775936157149</v>
      </c>
      <c r="K63" s="2840">
        <f t="shared" si="400"/>
        <v>466.78550953131719</v>
      </c>
      <c r="L63" s="4792">
        <f t="shared" ref="L63:N63" si="401">+L54/L61</f>
        <v>372.01991105720634</v>
      </c>
      <c r="M63" s="3112">
        <f t="shared" si="401"/>
        <v>472.26863753213365</v>
      </c>
      <c r="N63" s="6869">
        <f t="shared" si="401"/>
        <v>538.1251412708333</v>
      </c>
      <c r="O63" s="6933">
        <f t="shared" ref="O63:R63" si="402">+O54/O61</f>
        <v>453.67846580688433</v>
      </c>
      <c r="P63" s="4809">
        <f t="shared" si="402"/>
        <v>412.99607565992835</v>
      </c>
      <c r="Q63" s="2103">
        <f t="shared" si="402"/>
        <v>466.75557645186666</v>
      </c>
      <c r="R63" s="6869">
        <f t="shared" si="402"/>
        <v>515.88209656250001</v>
      </c>
      <c r="S63" s="6933">
        <f t="shared" ref="S63:V63" si="403">+S54/S61</f>
        <v>451.82248651029624</v>
      </c>
      <c r="T63" s="4809">
        <f t="shared" si="403"/>
        <v>433.95503226430816</v>
      </c>
      <c r="U63" s="2103">
        <f t="shared" si="403"/>
        <v>463.42211999367896</v>
      </c>
      <c r="V63" s="6869">
        <f t="shared" si="403"/>
        <v>525.03132583129991</v>
      </c>
      <c r="W63" s="6933">
        <f t="shared" ref="W63:AJ63" si="404">+W54/W61</f>
        <v>414.75741497117986</v>
      </c>
      <c r="X63" s="4792">
        <f t="shared" si="404"/>
        <v>526.2164091829859</v>
      </c>
      <c r="Y63" s="3112">
        <f t="shared" si="404"/>
        <v>441.79688145451337</v>
      </c>
      <c r="Z63" s="6519">
        <f t="shared" si="404"/>
        <v>448.97764083261814</v>
      </c>
      <c r="AA63" s="6723">
        <f t="shared" si="404"/>
        <v>455.85969824326207</v>
      </c>
      <c r="AB63" s="7345">
        <f t="shared" si="404"/>
        <v>268.28004736530488</v>
      </c>
      <c r="AC63" s="6933">
        <f t="shared" si="404"/>
        <v>443.50150602409639</v>
      </c>
      <c r="AD63" s="4809">
        <f t="shared" si="404"/>
        <v>422.58782368032314</v>
      </c>
      <c r="AE63" s="2103">
        <f t="shared" si="404"/>
        <v>453.82633022680699</v>
      </c>
      <c r="AF63" s="7593">
        <f t="shared" si="404"/>
        <v>516.26764886433398</v>
      </c>
      <c r="AG63" s="6933">
        <f t="shared" si="404"/>
        <v>481.11067716156941</v>
      </c>
      <c r="AH63" s="4809">
        <f t="shared" si="404"/>
        <v>434.15402310617986</v>
      </c>
      <c r="AI63" s="2103">
        <f t="shared" si="404"/>
        <v>457.68987792764142</v>
      </c>
      <c r="AJ63" s="7734">
        <f t="shared" si="404"/>
        <v>533.15250150693191</v>
      </c>
      <c r="AK63" s="6933">
        <f t="shared" ref="AK63:AP63" si="405">+AK54/AK61</f>
        <v>505.10642849502625</v>
      </c>
      <c r="AL63" s="4792">
        <f t="shared" si="405"/>
        <v>437.7385975487241</v>
      </c>
      <c r="AM63" s="3112">
        <f t="shared" si="405"/>
        <v>477.09901299673299</v>
      </c>
      <c r="AN63" s="4809">
        <f t="shared" si="405"/>
        <v>445.21161925960661</v>
      </c>
      <c r="AO63" s="2103">
        <f t="shared" si="405"/>
        <v>463.84395329186469</v>
      </c>
      <c r="AP63" s="8049">
        <f t="shared" si="405"/>
        <v>506.10820244328096</v>
      </c>
      <c r="AQ63" s="6933">
        <f t="shared" ref="AQ63:AT63" si="406">+AQ54/AQ61</f>
        <v>551.92436950232332</v>
      </c>
      <c r="AR63" s="4809">
        <f t="shared" si="406"/>
        <v>451.52837200476324</v>
      </c>
      <c r="AS63" s="2103">
        <f t="shared" si="406"/>
        <v>473.74732312939415</v>
      </c>
      <c r="AT63" s="8170">
        <f t="shared" si="406"/>
        <v>463.93251890634087</v>
      </c>
      <c r="AU63" s="6933">
        <f t="shared" ref="AU63:AX63" si="407">+AU54/AU61</f>
        <v>555.16292541636494</v>
      </c>
      <c r="AV63" s="4809">
        <f t="shared" si="407"/>
        <v>452.69412174637449</v>
      </c>
      <c r="AW63" s="2103">
        <f t="shared" si="407"/>
        <v>481.28956377272084</v>
      </c>
      <c r="AX63" s="8321">
        <f t="shared" si="407"/>
        <v>514.543339150669</v>
      </c>
      <c r="AY63" s="6933">
        <f t="shared" ref="AY63:BE63" si="408">+AY54/AY61</f>
        <v>569.25119263970919</v>
      </c>
      <c r="AZ63" s="4792">
        <f t="shared" si="408"/>
        <v>494.86135350009693</v>
      </c>
      <c r="BA63" s="3112">
        <f t="shared" si="408"/>
        <v>558.99659229410736</v>
      </c>
      <c r="BB63" s="4792">
        <f t="shared" ref="BB63:BC63" si="409">+BB54/BB61</f>
        <v>466.80728241563048</v>
      </c>
      <c r="BC63" s="3112">
        <f t="shared" si="409"/>
        <v>517.83758903946875</v>
      </c>
      <c r="BD63" s="6519">
        <f t="shared" si="408"/>
        <v>458.00740534047651</v>
      </c>
      <c r="BE63" s="6723">
        <f t="shared" si="408"/>
        <v>489.64733863194397</v>
      </c>
    </row>
    <row r="64" spans="2:57" x14ac:dyDescent="0.2">
      <c r="B64" s="1533" t="s">
        <v>717</v>
      </c>
      <c r="C64" s="1545" t="s">
        <v>169</v>
      </c>
      <c r="D64" s="6869">
        <f>+(1000/(D41+D42+D43+D44+D45))*100</f>
        <v>78.106825122825626</v>
      </c>
      <c r="E64" s="1645">
        <f t="shared" ref="E64:AA64" si="410">+(1000/(E41+E42+E43+E44+E45))*100</f>
        <v>78.10682512282564</v>
      </c>
      <c r="F64" s="6869">
        <f t="shared" si="410"/>
        <v>77.606667770602201</v>
      </c>
      <c r="G64" s="1645">
        <f t="shared" si="410"/>
        <v>77.58349265290623</v>
      </c>
      <c r="H64" s="6870">
        <f t="shared" si="410"/>
        <v>77.853976091092179</v>
      </c>
      <c r="I64" s="6291">
        <f t="shared" si="410"/>
        <v>77.842221095284742</v>
      </c>
      <c r="J64" s="6869">
        <f t="shared" si="410"/>
        <v>79.107665532790122</v>
      </c>
      <c r="K64" s="1645">
        <f t="shared" si="410"/>
        <v>78.079691686196014</v>
      </c>
      <c r="L64" s="6871">
        <f t="shared" si="410"/>
        <v>78.295324707763754</v>
      </c>
      <c r="M64" s="2010">
        <f t="shared" si="410"/>
        <v>77.926250812560227</v>
      </c>
      <c r="N64" s="6869">
        <f t="shared" si="410"/>
        <v>79.107665532790108</v>
      </c>
      <c r="O64" s="1645">
        <f t="shared" si="410"/>
        <v>75.077826606860839</v>
      </c>
      <c r="P64" s="6870">
        <f t="shared" si="410"/>
        <v>78.554609318047113</v>
      </c>
      <c r="Q64" s="6291">
        <f t="shared" si="410"/>
        <v>77.08326333935841</v>
      </c>
      <c r="R64" s="6869">
        <f t="shared" si="410"/>
        <v>79.107665532790122</v>
      </c>
      <c r="S64" s="1645">
        <f t="shared" si="410"/>
        <v>76.098649243014364</v>
      </c>
      <c r="T64" s="6870">
        <f t="shared" si="410"/>
        <v>78.687831732699266</v>
      </c>
      <c r="U64" s="6291">
        <f t="shared" si="410"/>
        <v>76.866810071416964</v>
      </c>
      <c r="V64" s="6869">
        <f t="shared" si="410"/>
        <v>79.107665532790122</v>
      </c>
      <c r="W64" s="1645">
        <f t="shared" si="410"/>
        <v>77.174789313123497</v>
      </c>
      <c r="X64" s="6871">
        <f t="shared" si="410"/>
        <v>79.107665532790122</v>
      </c>
      <c r="Y64" s="2010">
        <f t="shared" si="410"/>
        <v>76.002353630076442</v>
      </c>
      <c r="Z64" s="6872">
        <f t="shared" si="410"/>
        <v>78.768464528153061</v>
      </c>
      <c r="AA64" s="6634">
        <f t="shared" si="410"/>
        <v>76.910205074264496</v>
      </c>
      <c r="AB64" s="7345">
        <f t="shared" ref="AB64:AO64" si="411">+(1000/(AB41+AB42+AB43+AB44+AB45))*100</f>
        <v>79.107665532790122</v>
      </c>
      <c r="AC64" s="1645">
        <f t="shared" si="411"/>
        <v>78.606892133571776</v>
      </c>
      <c r="AD64" s="7346">
        <f t="shared" si="411"/>
        <v>78.799791544763792</v>
      </c>
      <c r="AE64" s="6291">
        <f t="shared" si="411"/>
        <v>77.178061110109113</v>
      </c>
      <c r="AF64" s="7593">
        <f t="shared" si="411"/>
        <v>79.107665532790122</v>
      </c>
      <c r="AG64" s="1645">
        <f t="shared" si="411"/>
        <v>76.900267470839921</v>
      </c>
      <c r="AH64" s="7594">
        <f t="shared" si="411"/>
        <v>78.844842437821669</v>
      </c>
      <c r="AI64" s="6291">
        <f t="shared" si="411"/>
        <v>77.136584690853851</v>
      </c>
      <c r="AJ64" s="7734">
        <f t="shared" si="411"/>
        <v>79.107665532790122</v>
      </c>
      <c r="AK64" s="1645">
        <f t="shared" si="411"/>
        <v>76.529044553781532</v>
      </c>
      <c r="AL64" s="7737">
        <f t="shared" si="411"/>
        <v>79.107665532790122</v>
      </c>
      <c r="AM64" s="2010">
        <f t="shared" si="411"/>
        <v>77.273144149554227</v>
      </c>
      <c r="AN64" s="7735">
        <f t="shared" si="411"/>
        <v>78.879895700734721</v>
      </c>
      <c r="AO64" s="6291">
        <f t="shared" si="411"/>
        <v>77.050134504357075</v>
      </c>
      <c r="AP64" s="8049">
        <f t="shared" ref="AP64:AS64" si="412">+(1000/(AP41+AP42+AP43+AP44+AP45))*100</f>
        <v>79.107665532790122</v>
      </c>
      <c r="AQ64" s="1645">
        <f t="shared" si="412"/>
        <v>75.370040026977307</v>
      </c>
      <c r="AR64" s="8045">
        <f t="shared" si="412"/>
        <v>78.906310581451024</v>
      </c>
      <c r="AS64" s="6291">
        <f t="shared" si="412"/>
        <v>76.825809057371671</v>
      </c>
      <c r="AT64" s="8170">
        <f t="shared" ref="AT64:AW64" si="413">+(1000/(AT41+AT42+AT43+AT44+AT45))*100</f>
        <v>79.10748897454873</v>
      </c>
      <c r="AU64" s="1645">
        <f t="shared" si="413"/>
        <v>75.261282997135751</v>
      </c>
      <c r="AV64" s="8171">
        <f t="shared" si="413"/>
        <v>78.925642290365303</v>
      </c>
      <c r="AW64" s="6291">
        <f t="shared" si="413"/>
        <v>76.655529924375898</v>
      </c>
      <c r="AX64" s="8321">
        <f t="shared" ref="AX64:BE64" si="414">+(1000/(AX41+AX42+AX43+AX44+AX45))*100</f>
        <v>79.107722134506105</v>
      </c>
      <c r="AY64" s="1645">
        <f t="shared" si="414"/>
        <v>76.789965505947876</v>
      </c>
      <c r="AZ64" s="8323">
        <f t="shared" si="414"/>
        <v>79.107629975858686</v>
      </c>
      <c r="BA64" s="2010">
        <f t="shared" si="414"/>
        <v>75.836746098379422</v>
      </c>
      <c r="BB64" s="8323">
        <f t="shared" ref="BB64:BC64" si="415">+(1000/(BB41+BB42+BB43+BB44+BB45))*100</f>
        <v>79.107646351115861</v>
      </c>
      <c r="BC64" s="2010">
        <f t="shared" si="415"/>
        <v>76.495144584104807</v>
      </c>
      <c r="BD64" s="8324">
        <f t="shared" si="414"/>
        <v>78.943178504930231</v>
      </c>
      <c r="BE64" s="6634">
        <f t="shared" si="414"/>
        <v>76.670356989634342</v>
      </c>
    </row>
    <row r="65" spans="2:57" x14ac:dyDescent="0.2">
      <c r="B65" s="1533" t="s">
        <v>974</v>
      </c>
      <c r="C65" s="1545" t="s">
        <v>169</v>
      </c>
      <c r="D65" s="2706">
        <f t="shared" ref="D65" si="416">+D36/D54*100</f>
        <v>21.795749057542004</v>
      </c>
      <c r="E65" s="1859">
        <f t="shared" ref="E65:Q65" si="417">+E36/E54*100</f>
        <v>21.795749057542004</v>
      </c>
      <c r="F65" s="2706">
        <f t="shared" si="417"/>
        <v>21.015814576186092</v>
      </c>
      <c r="G65" s="2806">
        <f t="shared" si="417"/>
        <v>21.015814576186092</v>
      </c>
      <c r="H65" s="2794">
        <f t="shared" si="417"/>
        <v>21.402714264329795</v>
      </c>
      <c r="I65" s="2805">
        <f t="shared" si="417"/>
        <v>21.402714264329795</v>
      </c>
      <c r="J65" s="2706">
        <f t="shared" ref="J65:K65" si="418">+J36/J54*100</f>
        <v>17</v>
      </c>
      <c r="K65" s="2806">
        <f t="shared" si="418"/>
        <v>20.920699621172865</v>
      </c>
      <c r="L65" s="2260">
        <f t="shared" si="417"/>
        <v>19.836702424631838</v>
      </c>
      <c r="M65" s="2887">
        <f t="shared" si="417"/>
        <v>21.231816016874191</v>
      </c>
      <c r="N65" s="2706">
        <f t="shared" si="417"/>
        <v>17</v>
      </c>
      <c r="O65" s="6062">
        <f>+O36/O54*100</f>
        <v>20.085751535597641</v>
      </c>
      <c r="P65" s="2794">
        <f t="shared" si="417"/>
        <v>18.924903373333294</v>
      </c>
      <c r="Q65" s="2805">
        <f t="shared" si="417"/>
        <v>20.901463890885211</v>
      </c>
      <c r="R65" s="2706">
        <f t="shared" ref="R65" si="419">+R36/R54*100</f>
        <v>17</v>
      </c>
      <c r="S65" s="6062">
        <f>+S36/S54*100</f>
        <v>16.756380348873645</v>
      </c>
      <c r="T65" s="2794">
        <f t="shared" ref="T65:V65" si="420">+T36/T54*100</f>
        <v>18.458750948175602</v>
      </c>
      <c r="U65" s="2805">
        <f t="shared" si="420"/>
        <v>19.999333163593157</v>
      </c>
      <c r="V65" s="2706">
        <f t="shared" si="420"/>
        <v>17</v>
      </c>
      <c r="W65" s="6062">
        <f>+W36/W54*100</f>
        <v>15.571446978482154</v>
      </c>
      <c r="X65" s="2260">
        <f t="shared" ref="X65:Y65" si="421">+X36/X54*100</f>
        <v>17</v>
      </c>
      <c r="Y65" s="2887">
        <f t="shared" si="421"/>
        <v>17.670628657486017</v>
      </c>
      <c r="Z65" s="6612">
        <f t="shared" ref="Z65:AB65" si="422">+Z36/Z54*100</f>
        <v>18.177378443183635</v>
      </c>
      <c r="AA65" s="6671">
        <f t="shared" si="422"/>
        <v>19.373287216683195</v>
      </c>
      <c r="AB65" s="2706">
        <f t="shared" si="422"/>
        <v>17</v>
      </c>
      <c r="AC65" s="6062">
        <f>+AC36/AC54*100</f>
        <v>23.83958435913544</v>
      </c>
      <c r="AD65" s="2794">
        <f t="shared" ref="AD65:AF65" si="423">+AD36/AD54*100</f>
        <v>18.068216442285738</v>
      </c>
      <c r="AE65" s="2805">
        <f t="shared" si="423"/>
        <v>20.091435398155678</v>
      </c>
      <c r="AF65" s="2706">
        <f t="shared" si="423"/>
        <v>17</v>
      </c>
      <c r="AG65" s="6062">
        <f>+AG36/AG54*100</f>
        <v>14.791513808014736</v>
      </c>
      <c r="AH65" s="2794">
        <f t="shared" ref="AH65:AJ65" si="424">+AH36/AH54*100</f>
        <v>17.91138434698555</v>
      </c>
      <c r="AI65" s="2805">
        <f t="shared" si="424"/>
        <v>19.302546494886467</v>
      </c>
      <c r="AJ65" s="2706">
        <f t="shared" si="424"/>
        <v>17</v>
      </c>
      <c r="AK65" s="6062">
        <f>+AK36/AK54*100</f>
        <v>15.134060671771588</v>
      </c>
      <c r="AL65" s="2260">
        <f t="shared" ref="AL65:AP65" si="425">+AL36/AL54*100</f>
        <v>17</v>
      </c>
      <c r="AM65" s="2887">
        <f t="shared" si="425"/>
        <v>17.666661850397034</v>
      </c>
      <c r="AN65" s="2794">
        <f t="shared" si="425"/>
        <v>17.789480129412897</v>
      </c>
      <c r="AO65" s="2805">
        <f t="shared" si="425"/>
        <v>18.713401518809533</v>
      </c>
      <c r="AP65" s="2706">
        <f t="shared" si="425"/>
        <v>17</v>
      </c>
      <c r="AQ65" s="6062">
        <f>+AQ36/AQ54*100</f>
        <v>12.945627253617703</v>
      </c>
      <c r="AR65" s="2794">
        <f t="shared" ref="AR65:AT65" si="426">+AR36/AR54*100</f>
        <v>17.697689047873169</v>
      </c>
      <c r="AS65" s="2805">
        <f t="shared" si="426"/>
        <v>17.957883727349778</v>
      </c>
      <c r="AT65" s="2706">
        <f t="shared" si="426"/>
        <v>17</v>
      </c>
      <c r="AU65" s="6062">
        <f>+AU36/AU54*100</f>
        <v>11.668492721865707</v>
      </c>
      <c r="AV65" s="2794">
        <f t="shared" ref="AV65:AX65" si="427">+AV36/AV54*100</f>
        <v>17.630491984757828</v>
      </c>
      <c r="AW65" s="2805">
        <f t="shared" si="427"/>
        <v>17.285812425162035</v>
      </c>
      <c r="AX65" s="2706">
        <f t="shared" si="427"/>
        <v>17</v>
      </c>
      <c r="AY65" s="6062">
        <f>+AY36/AY54*100</f>
        <v>0</v>
      </c>
      <c r="AZ65" s="2260">
        <f t="shared" ref="AZ65:BE65" si="428">+AZ36/AZ54*100</f>
        <v>17</v>
      </c>
      <c r="BA65" s="2887">
        <f t="shared" si="428"/>
        <v>7.9343791354556101</v>
      </c>
      <c r="BB65" s="2260">
        <f t="shared" ref="BB65:BC65" si="429">+BB36/BB54*100</f>
        <v>17</v>
      </c>
      <c r="BC65" s="2887">
        <f t="shared" si="429"/>
        <v>12.440713847094889</v>
      </c>
      <c r="BD65" s="6612">
        <f t="shared" si="428"/>
        <v>17.569642372034696</v>
      </c>
      <c r="BE65" s="6671">
        <f t="shared" si="428"/>
        <v>15.376364794024209</v>
      </c>
    </row>
    <row r="66" spans="2:57" s="3380" customFormat="1" ht="18" x14ac:dyDescent="0.2">
      <c r="B66" s="4961" t="s">
        <v>162</v>
      </c>
      <c r="C66" s="3237"/>
      <c r="D66" s="6772"/>
      <c r="E66" s="6773"/>
      <c r="F66" s="6772"/>
      <c r="G66" s="6774"/>
      <c r="H66" s="5645"/>
      <c r="I66" s="5648"/>
      <c r="J66" s="5645"/>
      <c r="K66" s="5648"/>
      <c r="L66" s="5645"/>
      <c r="M66" s="5648"/>
      <c r="N66" s="5645"/>
      <c r="O66" s="6774"/>
      <c r="P66" s="5645"/>
      <c r="Q66" s="5648"/>
      <c r="R66" s="5645"/>
      <c r="S66" s="6774"/>
      <c r="T66" s="5645"/>
      <c r="U66" s="5648"/>
      <c r="V66" s="5645"/>
      <c r="W66" s="6774"/>
      <c r="X66" s="5645"/>
      <c r="Y66" s="5648"/>
      <c r="Z66" s="5645"/>
      <c r="AA66" s="5648"/>
      <c r="AB66" s="5645"/>
      <c r="AC66" s="6774"/>
      <c r="AD66" s="5645"/>
      <c r="AE66" s="5648"/>
      <c r="AF66" s="5645"/>
      <c r="AG66" s="6774"/>
      <c r="AH66" s="5645"/>
      <c r="AI66" s="5648"/>
      <c r="AJ66" s="5645"/>
      <c r="AK66" s="6774"/>
      <c r="AL66" s="5645"/>
      <c r="AM66" s="5648"/>
      <c r="AN66" s="5645"/>
      <c r="AO66" s="5648"/>
      <c r="AP66" s="5645"/>
      <c r="AQ66" s="6774"/>
      <c r="AR66" s="5645"/>
      <c r="AS66" s="5648"/>
      <c r="AT66" s="5645"/>
      <c r="AU66" s="6774"/>
      <c r="AV66" s="5645"/>
      <c r="AW66" s="5648"/>
      <c r="AX66" s="5645"/>
      <c r="AY66" s="6774"/>
      <c r="AZ66" s="5645"/>
      <c r="BA66" s="5648"/>
      <c r="BB66" s="5645"/>
      <c r="BC66" s="5648"/>
      <c r="BD66" s="5645"/>
      <c r="BE66" s="5648"/>
    </row>
    <row r="67" spans="2:57" x14ac:dyDescent="0.2">
      <c r="B67" s="1533" t="s">
        <v>976</v>
      </c>
      <c r="C67" s="1545" t="s">
        <v>169</v>
      </c>
      <c r="D67" s="2706">
        <f t="shared" ref="D67:Q67" si="430">+(D54/(3880000/330*D1))*100</f>
        <v>73.707894287178888</v>
      </c>
      <c r="E67" s="1859">
        <f t="shared" si="430"/>
        <v>96.830774027269698</v>
      </c>
      <c r="F67" s="2683">
        <f>+(F54/(3880000/330*F1))*100</f>
        <v>72.216769515299106</v>
      </c>
      <c r="G67" s="2997">
        <f>+(G54/(3880000/330*G1))*100</f>
        <v>97.221523761629371</v>
      </c>
      <c r="H67" s="2793">
        <f t="shared" si="430"/>
        <v>72.948849760444432</v>
      </c>
      <c r="I67" s="3876">
        <f t="shared" si="430"/>
        <v>97.027292353545519</v>
      </c>
      <c r="J67" s="2683">
        <f>+(J54/(3880000/330*J1))*100</f>
        <v>82.026656034630037</v>
      </c>
      <c r="K67" s="2997">
        <f>+(K54/(3880000/330*K1))*100</f>
        <v>95.281990605361656</v>
      </c>
      <c r="L67" s="2879">
        <f t="shared" si="430"/>
        <v>75.93808493745037</v>
      </c>
      <c r="M67" s="3899">
        <f t="shared" si="430"/>
        <v>96.401227042641722</v>
      </c>
      <c r="N67" s="2683">
        <f>+(N54/(3880000/330*N1))*100</f>
        <v>109.84410100167523</v>
      </c>
      <c r="O67" s="2997">
        <f>+(O54/(3880000/330*O1))*100</f>
        <v>92.60653219563207</v>
      </c>
      <c r="P67" s="2793">
        <f t="shared" si="430"/>
        <v>84.302291732645159</v>
      </c>
      <c r="Q67" s="3876">
        <f t="shared" si="430"/>
        <v>95.275880554092353</v>
      </c>
      <c r="R67" s="2683">
        <f>+(R54/(3880000/330*R1))*100</f>
        <v>105.30376816430413</v>
      </c>
      <c r="S67" s="2997">
        <f>+(S54/(3880000/330*S1))*100</f>
        <v>92.227682813441916</v>
      </c>
      <c r="T67" s="2793">
        <f t="shared" ref="T67:U67" si="431">+(T54/(3880000/330*T1))*100</f>
        <v>88.580511740549497</v>
      </c>
      <c r="U67" s="3876">
        <f t="shared" si="431"/>
        <v>94.595443050256108</v>
      </c>
      <c r="V67" s="2683">
        <f>+(V54/(3880000/330*V1))*100</f>
        <v>107.17134279855398</v>
      </c>
      <c r="W67" s="2997">
        <f>+(W54/(3880000/330*W1))*100</f>
        <v>84.661822849787242</v>
      </c>
      <c r="X67" s="2879">
        <f t="shared" ref="X67:Y67" si="432">+(X54/(3880000/330*X1))*100</f>
        <v>107.41324641054763</v>
      </c>
      <c r="Y67" s="3899">
        <f t="shared" si="432"/>
        <v>90.181219101024396</v>
      </c>
      <c r="Z67" s="6618">
        <f t="shared" ref="Z67:AA67" si="433">+(Z54/(3880000/330*Z1))*100</f>
        <v>91.646982355524116</v>
      </c>
      <c r="AA67" s="6715">
        <f t="shared" si="433"/>
        <v>93.051773455841115</v>
      </c>
      <c r="AB67" s="2683">
        <f>+(AB54/(3880000/330*AB1))*100</f>
        <v>54.762318946732336</v>
      </c>
      <c r="AC67" s="2997">
        <f>+(AC54/(3880000/330*AC1))*100</f>
        <v>90.529173394609359</v>
      </c>
      <c r="AD67" s="2793">
        <f t="shared" ref="AD67:AE67" si="434">+(AD54/(3880000/330*AD1))*100</f>
        <v>86.260194936808219</v>
      </c>
      <c r="AE67" s="3876">
        <f t="shared" si="434"/>
        <v>92.636714829801832</v>
      </c>
      <c r="AF67" s="2683">
        <f>+(AF54/(3880000/330*AF1))*100</f>
        <v>105.3824685310702</v>
      </c>
      <c r="AG67" s="2997">
        <f>+(AG54/(3880000/330*AG1))*100</f>
        <v>98.206096987619333</v>
      </c>
      <c r="AH67" s="2793">
        <f t="shared" ref="AH67:AI67" si="435">+(AH54/(3880000/330*AH1))*100</f>
        <v>88.621130489715071</v>
      </c>
      <c r="AI67" s="3876">
        <f t="shared" si="435"/>
        <v>93.425356525436058</v>
      </c>
      <c r="AJ67" s="2683">
        <f>+(AJ54/(3880000/330*AJ1))*100</f>
        <v>108.8290673179098</v>
      </c>
      <c r="AK67" s="2997">
        <f>+(AK54/(3880000/330*AK1))*100</f>
        <v>103.10419880620123</v>
      </c>
      <c r="AL67" s="2879">
        <f t="shared" ref="AL67:AO67" si="436">+(AL54/(3880000/330*AL1))*100</f>
        <v>89.35282712850244</v>
      </c>
      <c r="AM67" s="3899">
        <f t="shared" si="436"/>
        <v>97.387221209642391</v>
      </c>
      <c r="AN67" s="2793">
        <f t="shared" si="436"/>
        <v>90.878248055053717</v>
      </c>
      <c r="AO67" s="3876">
        <f t="shared" si="436"/>
        <v>94.681549228648663</v>
      </c>
      <c r="AP67" s="2683">
        <f>+(AP54/(3880000/330*AP1))*100</f>
        <v>103.30868462244291</v>
      </c>
      <c r="AQ67" s="2997">
        <f>+(AQ54/(3880000/330*AQ1))*100</f>
        <v>112.66085068191754</v>
      </c>
      <c r="AR67" s="2793">
        <f t="shared" ref="AR67:AS67" si="437">+(AR54/(3880000/330*AR1))*100</f>
        <v>92.167647069013526</v>
      </c>
      <c r="AS67" s="3876">
        <f t="shared" si="437"/>
        <v>96.703061834659835</v>
      </c>
      <c r="AT67" s="2683">
        <f>+(AT54/(3880000/330*AT1))*100</f>
        <v>94.699627570572673</v>
      </c>
      <c r="AU67" s="2997">
        <f>+(AU54/(3880000/330*AU1))*100</f>
        <v>113.3219167344745</v>
      </c>
      <c r="AV67" s="2793">
        <f t="shared" ref="AV67:AW67" si="438">+(AV54/(3880000/330*AV1))*100</f>
        <v>92.405604232765086</v>
      </c>
      <c r="AW67" s="3876">
        <f t="shared" si="438"/>
        <v>98.242611986596629</v>
      </c>
      <c r="AX67" s="2683">
        <f>+(AX54/(3880000/330*AX1))*100</f>
        <v>105.03049603281696</v>
      </c>
      <c r="AY67" s="2997">
        <f>+(AY54/(3880000/330*AY1))*100</f>
        <v>116.1976661264561</v>
      </c>
      <c r="AZ67" s="2879">
        <f t="shared" ref="AZ67:BE67" si="439">+(AZ54/(3880000/330*AZ1))*100</f>
        <v>101.01293607527751</v>
      </c>
      <c r="BA67" s="3899">
        <f t="shared" si="439"/>
        <v>114.10445904560132</v>
      </c>
      <c r="BB67" s="2879">
        <f t="shared" ref="BB67:BC67" si="440">+(BB54/(3880000/330*BB1))*100</f>
        <v>24.128753922008059</v>
      </c>
      <c r="BC67" s="3899">
        <f t="shared" si="440"/>
        <v>28.85111638640085</v>
      </c>
      <c r="BD67" s="6618">
        <f t="shared" si="439"/>
        <v>93.490171399396232</v>
      </c>
      <c r="BE67" s="6715">
        <f t="shared" si="439"/>
        <v>99.948632009407106</v>
      </c>
    </row>
    <row r="68" spans="2:57" x14ac:dyDescent="0.2">
      <c r="B68" s="1533" t="s">
        <v>720</v>
      </c>
      <c r="C68" s="1545" t="s">
        <v>718</v>
      </c>
      <c r="D68" s="2706">
        <f>+(D54/408)/D61</f>
        <v>0.8850348764429038</v>
      </c>
      <c r="E68" s="3850">
        <f t="shared" ref="E68:I68" si="441">+(E54/408)/E61</f>
        <v>1.1626788820366858</v>
      </c>
      <c r="F68" s="2707">
        <f>+(F54/408)/F61</f>
        <v>0.86713045194395111</v>
      </c>
      <c r="G68" s="3176">
        <f t="shared" si="441"/>
        <v>1.1673707423348745</v>
      </c>
      <c r="H68" s="2794">
        <f t="shared" si="441"/>
        <v>0.87592077970428683</v>
      </c>
      <c r="I68" s="2102">
        <f t="shared" si="441"/>
        <v>1.1650385420744103</v>
      </c>
      <c r="J68" s="3231">
        <f>+(J54/408)/J61</f>
        <v>0.98492097882738106</v>
      </c>
      <c r="K68" s="3883">
        <f t="shared" ref="K68" si="442">+(K54/408)/K61</f>
        <v>1.1440821312042089</v>
      </c>
      <c r="L68" s="2260">
        <f t="shared" ref="L68:M68" si="443">+(L54/408)/L61</f>
        <v>0.91181350749315282</v>
      </c>
      <c r="M68" s="3901">
        <f t="shared" si="443"/>
        <v>1.1575211704218962</v>
      </c>
      <c r="N68" s="2706">
        <f>+(N54/408)/N61</f>
        <v>1.3189341697814541</v>
      </c>
      <c r="O68" s="3176">
        <f t="shared" ref="O68:Q68" si="444">+(O54/408)/O61</f>
        <v>1.1119570240364811</v>
      </c>
      <c r="P68" s="2794">
        <f t="shared" si="444"/>
        <v>1.0122452834802165</v>
      </c>
      <c r="Q68" s="2102">
        <f t="shared" si="444"/>
        <v>1.1440087658133988</v>
      </c>
      <c r="R68" s="2706">
        <f>+(R54/408)/R61</f>
        <v>1.2644169033394608</v>
      </c>
      <c r="S68" s="3176">
        <f t="shared" ref="S68:U68" si="445">+(S54/408)/S61</f>
        <v>1.1074080551722949</v>
      </c>
      <c r="T68" s="2794">
        <f t="shared" si="445"/>
        <v>1.063615275157618</v>
      </c>
      <c r="U68" s="2102">
        <f t="shared" si="445"/>
        <v>1.1358385293962721</v>
      </c>
      <c r="V68" s="2706">
        <f>+(V54/408)/V61</f>
        <v>1.2868414848806369</v>
      </c>
      <c r="W68" s="3176">
        <f t="shared" ref="W68:AA68" si="446">+(W54/408)/W61</f>
        <v>1.0165622915960291</v>
      </c>
      <c r="X68" s="2260">
        <f t="shared" si="446"/>
        <v>1.289746100938691</v>
      </c>
      <c r="Y68" s="3901">
        <f t="shared" si="446"/>
        <v>1.0828354937610623</v>
      </c>
      <c r="Z68" s="6612">
        <f t="shared" si="446"/>
        <v>1.1004353941975935</v>
      </c>
      <c r="AA68" s="6725">
        <f t="shared" si="446"/>
        <v>1.1173031819687795</v>
      </c>
      <c r="AB68" s="2706">
        <f>+(AB54/408)/AB61</f>
        <v>0.65754913569927675</v>
      </c>
      <c r="AC68" s="3176">
        <f t="shared" ref="AC68:AE68" si="447">+(AC54/408)/AC61</f>
        <v>1.0870134951570989</v>
      </c>
      <c r="AD68" s="2794">
        <f t="shared" si="447"/>
        <v>1.0357544698047134</v>
      </c>
      <c r="AE68" s="2102">
        <f t="shared" si="447"/>
        <v>1.1123194368304092</v>
      </c>
      <c r="AF68" s="2706">
        <f>+(AF54/408)/AF61</f>
        <v>1.2653618844714067</v>
      </c>
      <c r="AG68" s="3176">
        <f t="shared" ref="AG68:AI68" si="448">+(AG54/408)/AG61</f>
        <v>1.1791928361803172</v>
      </c>
      <c r="AH68" s="2794">
        <f t="shared" si="448"/>
        <v>1.0641029978092642</v>
      </c>
      <c r="AI68" s="2102">
        <f t="shared" si="448"/>
        <v>1.1217889164893173</v>
      </c>
      <c r="AJ68" s="2706">
        <f>+(AJ54/408)/AJ61</f>
        <v>1.3067463272228721</v>
      </c>
      <c r="AK68" s="3176">
        <f t="shared" ref="AK68:AO68" si="449">+(AK54/408)/AK61</f>
        <v>1.2380059521936917</v>
      </c>
      <c r="AL68" s="2260">
        <f t="shared" si="449"/>
        <v>1.0728887194821668</v>
      </c>
      <c r="AM68" s="3901">
        <f t="shared" si="449"/>
        <v>1.1693603259723846</v>
      </c>
      <c r="AN68" s="2794">
        <f t="shared" si="449"/>
        <v>1.0912049491657025</v>
      </c>
      <c r="AO68" s="2102">
        <f t="shared" si="449"/>
        <v>1.1368724345388841</v>
      </c>
      <c r="AP68" s="2706">
        <f>+(AP54/408)/AP61</f>
        <v>1.2404612804982378</v>
      </c>
      <c r="AQ68" s="3176">
        <f t="shared" ref="AQ68:AS68" si="450">+(AQ54/408)/AQ61</f>
        <v>1.3527558076037334</v>
      </c>
      <c r="AR68" s="2794">
        <f t="shared" si="450"/>
        <v>1.1066871862861845</v>
      </c>
      <c r="AS68" s="2102">
        <f t="shared" si="450"/>
        <v>1.1611453998269463</v>
      </c>
      <c r="AT68" s="2706">
        <f>+(AT54/408)/AT61</f>
        <v>1.1370895071233846</v>
      </c>
      <c r="AU68" s="3176">
        <f t="shared" ref="AU68:AW68" si="451">+(AU54/408)/AU61</f>
        <v>1.3606934446479533</v>
      </c>
      <c r="AV68" s="2794">
        <f t="shared" si="451"/>
        <v>1.1095444160450354</v>
      </c>
      <c r="AW68" s="2102">
        <f t="shared" si="451"/>
        <v>1.1796312837566687</v>
      </c>
      <c r="AX68" s="2706">
        <f>+(AX54/408)/AX61</f>
        <v>1.2611356351732081</v>
      </c>
      <c r="AY68" s="3176">
        <f t="shared" ref="AY68:BE68" si="452">+(AY54/408)/AY61</f>
        <v>1.3952235113718361</v>
      </c>
      <c r="AZ68" s="2260">
        <f t="shared" si="452"/>
        <v>1.2128954742649434</v>
      </c>
      <c r="BA68" s="3901">
        <f t="shared" si="452"/>
        <v>1.3700896869953612</v>
      </c>
      <c r="BB68" s="2260">
        <f t="shared" ref="BB68:BC68" si="453">+(BB54/408)/BB61</f>
        <v>1.1441354961167414</v>
      </c>
      <c r="BC68" s="3901">
        <f t="shared" si="453"/>
        <v>1.2692097770575215</v>
      </c>
      <c r="BD68" s="6612">
        <f t="shared" si="452"/>
        <v>1.1225671699521482</v>
      </c>
      <c r="BE68" s="6725">
        <f t="shared" si="452"/>
        <v>1.2001160260586863</v>
      </c>
    </row>
    <row r="69" spans="2:57" x14ac:dyDescent="0.2">
      <c r="B69" s="1533" t="s">
        <v>721</v>
      </c>
      <c r="C69" s="1545" t="s">
        <v>703</v>
      </c>
      <c r="D69" s="4811">
        <f>+'POWER DISTRIBUTION'!I21</f>
        <v>7954979.9999999749</v>
      </c>
      <c r="E69" s="5600">
        <f>+'POWER DISTRIBUTION'!J21</f>
        <v>7954979.9999999814</v>
      </c>
      <c r="F69" s="4811">
        <f>+'POWER DISTRIBUTION'!K21</f>
        <v>8018420.0000000456</v>
      </c>
      <c r="G69" s="5600">
        <f>+'POWER DISTRIBUTION'!L21</f>
        <v>8018420.0000000149</v>
      </c>
      <c r="H69" s="4809">
        <f>+D69+F69</f>
        <v>15973400.00000002</v>
      </c>
      <c r="I69" s="3867">
        <f>+E69+G69</f>
        <v>15973399.999999996</v>
      </c>
      <c r="J69" s="4811">
        <f>+'POWER DISTRIBUTION'!O21</f>
        <v>8878109.9999999776</v>
      </c>
      <c r="K69" s="5600">
        <f>+'POWER DISTRIBUTION'!P21</f>
        <v>8878109.9999999907</v>
      </c>
      <c r="L69" s="4792">
        <f>+H69+J69</f>
        <v>24851510</v>
      </c>
      <c r="M69" s="2011">
        <f>+I69+K69</f>
        <v>24851509.999999985</v>
      </c>
      <c r="N69" s="4811">
        <f>+'POWER DISTRIBUTION'!S21</f>
        <v>10820318.990594806</v>
      </c>
      <c r="O69" s="5600">
        <f>+'POWER DISTRIBUTION'!T21</f>
        <v>10499980.000000007</v>
      </c>
      <c r="P69" s="4809">
        <f>+L69+N69</f>
        <v>35671828.990594804</v>
      </c>
      <c r="Q69" s="3867">
        <f>+M69+O69</f>
        <v>35351489.999999993</v>
      </c>
      <c r="R69" s="4811">
        <f>+'POWER DISTRIBUTION'!W21</f>
        <v>10757256.018656703</v>
      </c>
      <c r="S69" s="5600">
        <f>+'POWER DISTRIBUTION'!X21</f>
        <v>9773870.0000000037</v>
      </c>
      <c r="T69" s="4809">
        <f>+P69+R69</f>
        <v>46429085.009251505</v>
      </c>
      <c r="U69" s="3867">
        <f>+Q69+S69</f>
        <v>45125360</v>
      </c>
      <c r="V69" s="4811">
        <f>+'POWER DISTRIBUTION'!AA21</f>
        <v>10615686.081619274</v>
      </c>
      <c r="W69" s="5600">
        <f>+'POWER DISTRIBUTION'!AB21</f>
        <v>8057179.999999987</v>
      </c>
      <c r="X69" s="4792">
        <f t="shared" ref="X69" si="454">+N69+R69+V69</f>
        <v>32193261.090870783</v>
      </c>
      <c r="Y69" s="2011">
        <f t="shared" ref="Y69" si="455">+O69+S69+W69</f>
        <v>28331030</v>
      </c>
      <c r="Z69" s="6519">
        <f>+T69+V69</f>
        <v>57044771.090870783</v>
      </c>
      <c r="AA69" s="6724">
        <f>+U69+W69</f>
        <v>53182539.999999985</v>
      </c>
      <c r="AB69" s="4811">
        <f>+'POWER DISTRIBUTION'!AG21</f>
        <v>5624187.5</v>
      </c>
      <c r="AC69" s="5600">
        <f>+'POWER DISTRIBUTION'!AH21</f>
        <v>10019140.000000006</v>
      </c>
      <c r="AD69" s="4809">
        <f>+Z69+AB69</f>
        <v>62668958.590870783</v>
      </c>
      <c r="AE69" s="3867">
        <f>+AA69+AC69</f>
        <v>63201679.999999993</v>
      </c>
      <c r="AF69" s="4811">
        <f>+'POWER DISTRIBUTION'!AK21</f>
        <v>10438492.000000002</v>
      </c>
      <c r="AG69" s="5600">
        <f>+'POWER DISTRIBUTION'!AL21</f>
        <v>9818794.9999999907</v>
      </c>
      <c r="AH69" s="4809">
        <f>+AD69+AF69</f>
        <v>73107450.590870783</v>
      </c>
      <c r="AI69" s="3867">
        <f>+AE69+AG69</f>
        <v>73020474.999999985</v>
      </c>
      <c r="AJ69" s="4811">
        <f>+'POWER DISTRIBUTION'!AO21</f>
        <v>10978414</v>
      </c>
      <c r="AK69" s="5600">
        <f>+'POWER DISTRIBUTION'!AP21</f>
        <v>10478515.000000004</v>
      </c>
      <c r="AL69" s="4792">
        <f t="shared" ref="AL69" si="456">+AB69+AF69+AJ69</f>
        <v>27041093.5</v>
      </c>
      <c r="AM69" s="2011">
        <f t="shared" ref="AM69" si="457">+AC69+AG69+AK69</f>
        <v>30316450</v>
      </c>
      <c r="AN69" s="4809">
        <f>+AH69+AJ69</f>
        <v>84085864.590870783</v>
      </c>
      <c r="AO69" s="3867">
        <f>+AI69+AK69</f>
        <v>83498989.999999985</v>
      </c>
      <c r="AP69" s="4811">
        <f>+'POWER DISTRIBUTION'!AU21</f>
        <v>10798440</v>
      </c>
      <c r="AQ69" s="5600">
        <f>+'POWER DISTRIBUTION'!AV21</f>
        <v>10621300.000000009</v>
      </c>
      <c r="AR69" s="4809">
        <f>+AN69+AP69</f>
        <v>94884304.590870783</v>
      </c>
      <c r="AS69" s="3867">
        <f>+AO69+AQ69</f>
        <v>94120290</v>
      </c>
      <c r="AT69" s="4811">
        <f>+'POWER DISTRIBUTION'!AY21</f>
        <v>9898570.0000320002</v>
      </c>
      <c r="AU69" s="5600">
        <f>+'POWER DISTRIBUTION'!AZ21</f>
        <v>9821270</v>
      </c>
      <c r="AV69" s="4809">
        <f>+AR69+AT69</f>
        <v>104782874.59090278</v>
      </c>
      <c r="AW69" s="3867">
        <f>+AS69+AU69</f>
        <v>103941560</v>
      </c>
      <c r="AX69" s="4811">
        <f>+'POWER DISTRIBUTION'!BC21</f>
        <v>10978414.000223998</v>
      </c>
      <c r="AY69" s="5600">
        <f>+'POWER DISTRIBUTION'!BD21</f>
        <v>11340320</v>
      </c>
      <c r="AZ69" s="4792">
        <f t="shared" ref="AZ69" si="458">+AP69+AT69+AX69</f>
        <v>31675424.000255998</v>
      </c>
      <c r="BA69" s="2011">
        <f t="shared" ref="BA69" si="459">+AQ69+AU69+AY69</f>
        <v>31782890.000000007</v>
      </c>
      <c r="BB69" s="4792">
        <f t="shared" ref="BB69:BC69" si="460">+AZ69+AL69</f>
        <v>58716517.500256002</v>
      </c>
      <c r="BC69" s="2011">
        <f t="shared" si="460"/>
        <v>62099340.000000007</v>
      </c>
      <c r="BD69" s="6519">
        <f>+AV69+AX69</f>
        <v>115761288.59112677</v>
      </c>
      <c r="BE69" s="6724">
        <f>+AW69+AY69</f>
        <v>115281880</v>
      </c>
    </row>
    <row r="70" spans="2:57" x14ac:dyDescent="0.2">
      <c r="B70" s="1533" t="s">
        <v>722</v>
      </c>
      <c r="C70" s="1545" t="s">
        <v>719</v>
      </c>
      <c r="D70" s="3224">
        <f>+D69/D54</f>
        <v>33.809400354457601</v>
      </c>
      <c r="E70" s="6452">
        <f t="shared" ref="E70:I70" si="461">+E69/E54</f>
        <v>33.80940035445763</v>
      </c>
      <c r="F70" s="3224">
        <f>+F69/F54</f>
        <v>33.54706719103023</v>
      </c>
      <c r="G70" s="7189">
        <f t="shared" si="461"/>
        <v>33.547067191030102</v>
      </c>
      <c r="H70" s="2794">
        <f t="shared" si="461"/>
        <v>33.677201992793769</v>
      </c>
      <c r="I70" s="2805">
        <f t="shared" si="461"/>
        <v>33.677201992793719</v>
      </c>
      <c r="J70" s="3224">
        <f>+J69/J54</f>
        <v>33.906104398038444</v>
      </c>
      <c r="K70" s="7189">
        <f t="shared" ref="K70" si="462">+K69/K54</f>
        <v>34.075673310534583</v>
      </c>
      <c r="L70" s="2260">
        <f t="shared" ref="L70:M70" si="463">+L69/L54</f>
        <v>33.758620830180682</v>
      </c>
      <c r="M70" s="2887">
        <f t="shared" si="463"/>
        <v>33.818479961896962</v>
      </c>
      <c r="N70" s="3224">
        <f>+N69/N54</f>
        <v>31.030000000000008</v>
      </c>
      <c r="O70" s="3177">
        <f>+O69/O54</f>
        <v>35.281716643593526</v>
      </c>
      <c r="P70" s="2794">
        <f t="shared" ref="P70:Q70" si="464">+P69/P54</f>
        <v>32.881562361619224</v>
      </c>
      <c r="Q70" s="2805">
        <f t="shared" si="464"/>
        <v>34.240256708773458</v>
      </c>
      <c r="R70" s="4811">
        <f>+R69/R54</f>
        <v>31.030000000000008</v>
      </c>
      <c r="S70" s="3177">
        <f>+S69/S54</f>
        <v>34.030395877580879</v>
      </c>
      <c r="T70" s="2794">
        <f t="shared" ref="T70:U70" si="465">+T69/T54</f>
        <v>32.433170874983254</v>
      </c>
      <c r="U70" s="2805">
        <f t="shared" si="465"/>
        <v>34.194582863516771</v>
      </c>
      <c r="V70" s="4811">
        <f>+V69/V54</f>
        <v>31.029999999999994</v>
      </c>
      <c r="W70" s="3177">
        <f>+W69/W54</f>
        <v>37.077235996833927</v>
      </c>
      <c r="X70" s="2260">
        <f t="shared" ref="X70:Y70" si="466">+X69/X54</f>
        <v>31.03</v>
      </c>
      <c r="Y70" s="2887">
        <f t="shared" si="466"/>
        <v>35.320100932277136</v>
      </c>
      <c r="Z70" s="6612">
        <f t="shared" ref="Z70:AA70" si="467">+Z69/Z54</f>
        <v>32.16251898302076</v>
      </c>
      <c r="AA70" s="6671">
        <f t="shared" si="467"/>
        <v>34.60215280434516</v>
      </c>
      <c r="AB70" s="4811">
        <f>+AB69/AB54</f>
        <v>31.03</v>
      </c>
      <c r="AC70" s="3177">
        <f>+AC69/AC54</f>
        <v>34.022581795337643</v>
      </c>
      <c r="AD70" s="2794">
        <f t="shared" ref="AD70:AE70" si="468">+AD69/AD54</f>
        <v>32.057516178733714</v>
      </c>
      <c r="AE70" s="2805">
        <f t="shared" si="468"/>
        <v>34.508961990371596</v>
      </c>
      <c r="AF70" s="4811">
        <f>+AF69/AF54</f>
        <v>31.030000000000005</v>
      </c>
      <c r="AG70" s="3177">
        <f>+AG69/AG54</f>
        <v>30.656430991148479</v>
      </c>
      <c r="AH70" s="2794">
        <f t="shared" ref="AH70:AI70" si="469">+AH69/AH54</f>
        <v>31.906659564955302</v>
      </c>
      <c r="AI70" s="2805">
        <f t="shared" si="469"/>
        <v>33.935515967992437</v>
      </c>
      <c r="AJ70" s="4811">
        <f>+AJ69/AJ54</f>
        <v>31.03</v>
      </c>
      <c r="AK70" s="3177">
        <f>+AK69/AK54</f>
        <v>29.586283910460583</v>
      </c>
      <c r="AL70" s="2260">
        <f t="shared" ref="AL70:AO70" si="470">+AL69/AL54</f>
        <v>31.03</v>
      </c>
      <c r="AM70" s="2887">
        <f t="shared" si="470"/>
        <v>31.288328045757314</v>
      </c>
      <c r="AN70" s="2794">
        <f t="shared" si="470"/>
        <v>31.789400036966995</v>
      </c>
      <c r="AO70" s="2805">
        <f t="shared" si="470"/>
        <v>33.320825568356398</v>
      </c>
      <c r="AP70" s="4811">
        <f>+AP69/AP54</f>
        <v>31.03</v>
      </c>
      <c r="AQ70" s="3177">
        <f>+AQ69/AQ54</f>
        <v>28.119059847614434</v>
      </c>
      <c r="AR70" s="2794">
        <f t="shared" ref="AR70:AS70" si="471">+AR69/AR54</f>
        <v>31.701106300218548</v>
      </c>
      <c r="AS70" s="2805">
        <f t="shared" si="471"/>
        <v>32.639448945706043</v>
      </c>
      <c r="AT70" s="4811">
        <f>+AT69/AT54</f>
        <v>31.030000000100316</v>
      </c>
      <c r="AU70" s="3177">
        <f>+AU69/AU54</f>
        <v>28.466954197898009</v>
      </c>
      <c r="AV70" s="2794">
        <f t="shared" ref="AV70:AW70" si="472">+AV69/AV54</f>
        <v>31.636469521780334</v>
      </c>
      <c r="AW70" s="2805">
        <f t="shared" si="472"/>
        <v>32.193584795093415</v>
      </c>
      <c r="AX70" s="4811">
        <f>+AX69/AX54</f>
        <v>31.03000000063312</v>
      </c>
      <c r="AY70" s="3177">
        <f>+AY69/AY54</f>
        <v>28.284684549864693</v>
      </c>
      <c r="AZ70" s="2260">
        <f t="shared" ref="AZ70:BE70" si="473">+AZ69/AZ54</f>
        <v>31.030000000250784</v>
      </c>
      <c r="BA70" s="2887">
        <f t="shared" si="473"/>
        <v>28.284972327210827</v>
      </c>
      <c r="BB70" s="2260">
        <f t="shared" ref="BB70:BC70" si="474">+BB69/BB54</f>
        <v>31.030000000135288</v>
      </c>
      <c r="BC70" s="2887">
        <f t="shared" si="474"/>
        <v>29.675614843699602</v>
      </c>
      <c r="BD70" s="6612">
        <f t="shared" si="473"/>
        <v>31.577938348692751</v>
      </c>
      <c r="BE70" s="6671">
        <f t="shared" si="473"/>
        <v>31.761794831739348</v>
      </c>
    </row>
    <row r="71" spans="2:57" x14ac:dyDescent="0.2">
      <c r="B71" s="1533" t="s">
        <v>723</v>
      </c>
      <c r="C71" s="1545" t="s">
        <v>1438</v>
      </c>
      <c r="D71" s="4811"/>
      <c r="E71" s="4406">
        <f>+(767.76*1000/E2)/24</f>
        <v>1066.3333333333333</v>
      </c>
      <c r="F71" s="4811"/>
      <c r="G71" s="4406">
        <f>+(757.44*1000/G2)/24</f>
        <v>1018.0645161290322</v>
      </c>
      <c r="H71" s="2794">
        <f>+((D71*D2*24)+(F71*F2*24))/(H2*24)</f>
        <v>0</v>
      </c>
      <c r="I71" s="2805">
        <f>+((E71*E2*24)+(G71*G2*24))/(I2*24)</f>
        <v>1041.8032786885246</v>
      </c>
      <c r="J71" s="4811"/>
      <c r="K71" s="4406">
        <f>+(876.7*1000/K2)/24</f>
        <v>1217.6388888888889</v>
      </c>
      <c r="L71" s="2260">
        <f>+((H71*H2*24)+(J71*J2*24))/(L2*24)</f>
        <v>0</v>
      </c>
      <c r="M71" s="2887">
        <f>+((I71*I2*24)+(K71*K2*24))/(M2*24)</f>
        <v>1099.7710622710622</v>
      </c>
      <c r="N71" s="4811"/>
      <c r="O71" s="4406">
        <f>+(1048.56*1000/O2)/24</f>
        <v>1409.3548387096773</v>
      </c>
      <c r="P71" s="2794">
        <f>+((L71*L2*24)+(N71*N2*24))/(P2*24)</f>
        <v>0</v>
      </c>
      <c r="Q71" s="2805">
        <f>+((M71*M2*24)+(O71*O2*24))/(Q2*24)</f>
        <v>1178.4357923497269</v>
      </c>
      <c r="R71" s="4811"/>
      <c r="S71" s="3177">
        <f>+(1052.88*1000/S2)/24</f>
        <v>1415.1612903225805</v>
      </c>
      <c r="T71" s="2794">
        <f>+((P71*P2*24)+(R71*R2*24))/(T2*24)</f>
        <v>0</v>
      </c>
      <c r="U71" s="2805">
        <f>+((Q71*Q2*24)+(S71*S2*24))/(U2*24)</f>
        <v>1226.3997821350763</v>
      </c>
      <c r="V71" s="4811"/>
      <c r="W71" s="3177">
        <f>+(832.08*1000/W2)/24</f>
        <v>1155.6666666666667</v>
      </c>
      <c r="X71" s="2260">
        <f>+((N71*N2*24)+(R71*R2*24)+(V71*V2*24))/(X2*24)</f>
        <v>0</v>
      </c>
      <c r="Y71" s="2887">
        <f>+((O71*O2*24)+(S71*S2*24)+(W71*W2*24))/(Y2*24)</f>
        <v>1328.5869565217392</v>
      </c>
      <c r="Z71" s="6612">
        <f>+((T71*T2*24)+(V71*V2*24))/(Z2*24)</f>
        <v>0</v>
      </c>
      <c r="AA71" s="6671">
        <f>+((U71*U2*24)+(W71*W2*24))/(AA2*24)</f>
        <v>1214.8041894353369</v>
      </c>
      <c r="AB71" s="4811"/>
      <c r="AC71" s="7189">
        <f>+(1080.72*1000/AC2)/24</f>
        <v>1452.5806451612905</v>
      </c>
      <c r="AD71" s="2794">
        <f>+((Z71*Z2*24)+(AB71*AB2*24))/(AD2*24)</f>
        <v>0</v>
      </c>
      <c r="AE71" s="2805">
        <f>+((AA71*AA2*24)+(AC71*AC2*24))/(AE2*24)</f>
        <v>1249.2484423676012</v>
      </c>
      <c r="AF71" s="4811"/>
      <c r="AG71" s="7189">
        <f>+(1093.68*1000/AG2)/24</f>
        <v>1519</v>
      </c>
      <c r="AH71" s="2794">
        <f>+((AD71*AD2*24)+(AF71*AF2*24))/(AH2*24)</f>
        <v>0</v>
      </c>
      <c r="AI71" s="2805">
        <f>+((AE71*AE2*24)+(AG71*AG2*24))/(AI2*24)</f>
        <v>1282.4146174863388</v>
      </c>
      <c r="AJ71" s="4811"/>
      <c r="AK71" s="3177">
        <f>+(832.08*1000/AK2)/24</f>
        <v>1118.3870967741934</v>
      </c>
      <c r="AL71" s="2260">
        <f>+((AB71*AB2*24)+(AF71*AF2*24)+(AJ71*AJ2*24))/(AL2*24)</f>
        <v>0</v>
      </c>
      <c r="AM71" s="2887">
        <f>+((AC71*AC2*24)+(AG71*AG2*24)+(AK71*AK2*24))/(AM2*24)</f>
        <v>1361.6304347826087</v>
      </c>
      <c r="AN71" s="2794">
        <f>+((AH71*AH2*24)+(AJ71*AJ2*24))/(AN2*24)</f>
        <v>0</v>
      </c>
      <c r="AO71" s="2805">
        <f>+((AI71*AI2*24)+(AK71*AK2*24))/(AO2*24)</f>
        <v>1263.9242424242425</v>
      </c>
      <c r="AP71" s="4811"/>
      <c r="AQ71" s="7189">
        <f>+(1142.4*1000/AQ2)/24</f>
        <v>1535.4838709677417</v>
      </c>
      <c r="AR71" s="2794">
        <f>+((AN71*AN2*24)+(AP71*AP2*24))/(AR2*24)</f>
        <v>0</v>
      </c>
      <c r="AS71" s="2805">
        <f>+((AO71*AO2*24)+(AQ71*AQ2*24))/(AS2*24)</f>
        <v>1291.4351851851852</v>
      </c>
      <c r="AT71" s="4811"/>
      <c r="AU71" s="7189">
        <f>+(1003.7*1000/AU2)/24</f>
        <v>1493.6011904761906</v>
      </c>
      <c r="AV71" s="2794">
        <f>+((AR71*AR2*24)+(AT71*AT2*24))/(AV2*24)</f>
        <v>0</v>
      </c>
      <c r="AW71" s="2805">
        <f>+((AS71*AS2*24)+(AU71*AU2*24))/(AW2*24)</f>
        <v>1308.3832335329341</v>
      </c>
      <c r="AX71" s="4811"/>
      <c r="AY71" s="7189">
        <f>+(1115.1*1000/AY2)/24</f>
        <v>1498.7903225806451</v>
      </c>
      <c r="AZ71" s="2260">
        <f>+((AP71*AP2*24)+(AT71*AT2*24)+(AX71*AX2*24))/(AZ2*24)</f>
        <v>0</v>
      </c>
      <c r="BA71" s="2887">
        <f>+((AQ71*AQ2*24)+(AU71*AU2*24)+(AY71*AY2*24))/(BA2*24)</f>
        <v>1509.8148148148148</v>
      </c>
      <c r="BB71" s="2260">
        <f>+((AZ71*AZ2*24)+(AL71*AL2*24))/(BB2*24)</f>
        <v>0</v>
      </c>
      <c r="BC71" s="2887">
        <f>+((BA71*BA2*24)+(AM71*AM2*24))/(BC2*24)</f>
        <v>1434.9084249084249</v>
      </c>
      <c r="BD71" s="6612">
        <f>+((AV71*AV2*24)+(AX71*AX2*24))/(BD2*24)</f>
        <v>0</v>
      </c>
      <c r="BE71" s="6671">
        <f>+((AW71*AW2*24)+(AY71*AY2*24))/(BE2*24)</f>
        <v>1324.5547945205481</v>
      </c>
    </row>
    <row r="72" spans="2:57" x14ac:dyDescent="0.2">
      <c r="B72" s="1533" t="s">
        <v>708</v>
      </c>
      <c r="C72" s="1545" t="s">
        <v>1096</v>
      </c>
      <c r="D72" s="7190"/>
      <c r="E72" s="7191">
        <v>1.4E-2</v>
      </c>
      <c r="F72" s="7190"/>
      <c r="G72" s="7192">
        <v>1.2999999999999999E-2</v>
      </c>
      <c r="H72" s="4164">
        <f>+((D72*D54)+(F72*F54))/H54</f>
        <v>0</v>
      </c>
      <c r="I72" s="4425">
        <f>+((E72*E54)+(G72*G54))/I54</f>
        <v>1.3496066909967975E-2</v>
      </c>
      <c r="J72" s="7190"/>
      <c r="K72" s="7192">
        <v>1.4E-2</v>
      </c>
      <c r="L72" s="6924">
        <f>+((H72*H54)+(J72*J54))/L54</f>
        <v>0</v>
      </c>
      <c r="M72" s="6934">
        <f>+((I72*I54)+(K72*K54))/M54</f>
        <v>1.3674736340749814E-2</v>
      </c>
      <c r="N72" s="7190"/>
      <c r="O72" s="6085">
        <v>1.4999999999999999E-2</v>
      </c>
      <c r="P72" s="4164">
        <f>+((L72*L54)+(N72*N54))/P54</f>
        <v>0</v>
      </c>
      <c r="Q72" s="4425">
        <f>+((M72*M54)+(O72*O54))/Q54</f>
        <v>1.4056742479568098E-2</v>
      </c>
      <c r="R72" s="7190"/>
      <c r="S72" s="6085">
        <v>1.6E-2</v>
      </c>
      <c r="T72" s="4164">
        <f>+((P72*P54)+(R72*R54))/T54</f>
        <v>0</v>
      </c>
      <c r="U72" s="4425">
        <f>+((Q72*Q54)+(S72*S54))/U54</f>
        <v>1.4479670582815019E-2</v>
      </c>
      <c r="V72" s="7190"/>
      <c r="W72" s="6085">
        <v>1.6E-2</v>
      </c>
      <c r="X72" s="6924">
        <f>+((N72*N54)+(R72*R54)+(V72*V54))/X54</f>
        <v>0</v>
      </c>
      <c r="Y72" s="6934">
        <f>+((O72*O54)+(S72*S54)+(W72*W54))/Y54</f>
        <v>1.5628979132850114E-2</v>
      </c>
      <c r="Z72" s="6916">
        <f>+((T72*T54)+(V72*V54))/Z54</f>
        <v>0</v>
      </c>
      <c r="AA72" s="6850">
        <f>+((U72*U54)+(W72*W54))/AA54</f>
        <v>1.4694625536444385E-2</v>
      </c>
      <c r="AB72" s="7190"/>
      <c r="AC72" s="6085">
        <v>1.6E-2</v>
      </c>
      <c r="AD72" s="4164">
        <f>+((Z72*Z54)+(AB72*AB54))/AD54</f>
        <v>0</v>
      </c>
      <c r="AE72" s="4425">
        <f>+((AA72*AA54)+(AC72*AC54))/AE54</f>
        <v>1.4904520280847433E-2</v>
      </c>
      <c r="AF72" s="7190"/>
      <c r="AG72" s="6085">
        <v>1.4999999999999999E-2</v>
      </c>
      <c r="AH72" s="4164">
        <f>+((AD72*AD54)+(AF72*AF54))/AH54</f>
        <v>0</v>
      </c>
      <c r="AI72" s="4425">
        <f>+((AE72*AE54)+(AG72*AG54))/AI54</f>
        <v>1.4918732357317931E-2</v>
      </c>
      <c r="AJ72" s="7190"/>
      <c r="AK72" s="6085">
        <v>1.4E-2</v>
      </c>
      <c r="AL72" s="6924">
        <f>+((AB72*AB54)+(AF72*AF54)+(AJ72*AJ54))/AL54</f>
        <v>0</v>
      </c>
      <c r="AM72" s="6934">
        <f>+((AC72*AC54)+(AG72*AG54)+(AK72*AK54))/AM54</f>
        <v>1.4938403695592493E-2</v>
      </c>
      <c r="AN72" s="4164">
        <f>+((AH72*AH54)+(AJ72*AJ54))/AN54</f>
        <v>0</v>
      </c>
      <c r="AO72" s="4425">
        <f>+((AI72*AI54)+(AK72*AK54))/AO54</f>
        <v>1.478888507568109E-2</v>
      </c>
      <c r="AP72" s="7190"/>
      <c r="AQ72" s="6085">
        <v>1.2999999999999999E-2</v>
      </c>
      <c r="AR72" s="4164">
        <f>+((AN72*AN54)+(AP72*AP54))/AR54</f>
        <v>0</v>
      </c>
      <c r="AS72" s="4425">
        <f>+((AO72*AO54)+(AQ72*AQ54))/AS54</f>
        <v>1.4554559937523321E-2</v>
      </c>
      <c r="AT72" s="7190"/>
      <c r="AU72" s="6085">
        <v>1.2E-2</v>
      </c>
      <c r="AV72" s="4164">
        <f>+((AR72*AR54)+(AT72*AT54))/AV54</f>
        <v>0</v>
      </c>
      <c r="AW72" s="4425">
        <f>+((AS72*AS54)+(AU72*AU54))/AW54</f>
        <v>1.42815849511962E-2</v>
      </c>
      <c r="AX72" s="7190"/>
      <c r="AY72" s="6085">
        <v>1.2E-2</v>
      </c>
      <c r="AZ72" s="6924">
        <f>+((AP72*AP54)+(AT72*AT54)+(AX72*AX54))/AZ54</f>
        <v>0</v>
      </c>
      <c r="BA72" s="6934">
        <f>+((AQ72*AQ54)+(AU72*AU54)+(AY72*AY54))/BA54</f>
        <v>1.2336154750473227E-2</v>
      </c>
      <c r="BB72" s="6924">
        <f>+((AR72*AR54)+(AV72*AV54)+(AZ72*AZ54))/BB54</f>
        <v>0</v>
      </c>
      <c r="BC72" s="6934">
        <f>+((BA72*BA54)+(AM72*AM54))/BC54</f>
        <v>1.3541072968859388E-2</v>
      </c>
      <c r="BD72" s="6916">
        <f>+((AV72*AV54)+(AX72*AX54))/BD54</f>
        <v>0</v>
      </c>
      <c r="BE72" s="6850">
        <f>+((AW72*AW54)+(AY72*AY54))/BE54</f>
        <v>1.4029553581588158E-2</v>
      </c>
    </row>
    <row r="73" spans="2:57" s="3380" customFormat="1" ht="18" x14ac:dyDescent="0.2">
      <c r="B73" s="4961" t="s">
        <v>973</v>
      </c>
      <c r="C73" s="3237"/>
      <c r="D73" s="6772"/>
      <c r="E73" s="6773"/>
      <c r="F73" s="6772"/>
      <c r="G73" s="6774"/>
      <c r="H73" s="5645"/>
      <c r="I73" s="5648"/>
      <c r="J73" s="5645"/>
      <c r="K73" s="5648"/>
      <c r="L73" s="5645"/>
      <c r="M73" s="5648"/>
      <c r="N73" s="5645"/>
      <c r="O73" s="5648"/>
      <c r="P73" s="5645"/>
      <c r="Q73" s="5648"/>
      <c r="R73" s="5645"/>
      <c r="S73" s="5648"/>
      <c r="T73" s="5645"/>
      <c r="U73" s="5648"/>
      <c r="V73" s="5645"/>
      <c r="W73" s="5648"/>
      <c r="X73" s="5645"/>
      <c r="Y73" s="5648"/>
      <c r="Z73" s="5645"/>
      <c r="AA73" s="5648"/>
      <c r="AB73" s="5645"/>
      <c r="AC73" s="5648"/>
      <c r="AD73" s="5645"/>
      <c r="AE73" s="5648"/>
      <c r="AF73" s="5645"/>
      <c r="AG73" s="5648"/>
      <c r="AH73" s="5645"/>
      <c r="AI73" s="5648"/>
      <c r="AJ73" s="5645"/>
      <c r="AK73" s="5648"/>
      <c r="AL73" s="5645"/>
      <c r="AM73" s="5648"/>
      <c r="AN73" s="5645"/>
      <c r="AO73" s="5648"/>
      <c r="AP73" s="5645"/>
      <c r="AQ73" s="5648"/>
      <c r="AR73" s="5645"/>
      <c r="AS73" s="5648"/>
      <c r="AT73" s="5645"/>
      <c r="AU73" s="5648"/>
      <c r="AV73" s="5645"/>
      <c r="AW73" s="5648"/>
      <c r="AX73" s="5645"/>
      <c r="AY73" s="5648"/>
      <c r="AZ73" s="5645"/>
      <c r="BA73" s="5648"/>
      <c r="BB73" s="5645"/>
      <c r="BC73" s="5648"/>
      <c r="BD73" s="5645"/>
      <c r="BE73" s="5648"/>
    </row>
    <row r="74" spans="2:57" x14ac:dyDescent="0.2">
      <c r="B74" s="1533" t="s">
        <v>165</v>
      </c>
      <c r="C74" s="1545" t="s">
        <v>709</v>
      </c>
      <c r="D74" s="7193">
        <f>+D18</f>
        <v>843.4733455452656</v>
      </c>
      <c r="E74" s="4406">
        <f t="shared" ref="E74" si="475">+E18</f>
        <v>843.4733455452656</v>
      </c>
      <c r="F74" s="7193">
        <f>+F18</f>
        <v>847.20943854070788</v>
      </c>
      <c r="G74" s="7194">
        <f t="shared" ref="G74:I74" si="476">+G18</f>
        <v>847.20943854070788</v>
      </c>
      <c r="H74" s="6868">
        <f t="shared" si="476"/>
        <v>845.35608643310593</v>
      </c>
      <c r="I74" s="1906">
        <f t="shared" si="476"/>
        <v>845.35608643310593</v>
      </c>
      <c r="J74" s="7193">
        <f>+J18</f>
        <v>860</v>
      </c>
      <c r="K74" s="7194">
        <f t="shared" ref="K74" si="477">+K18</f>
        <v>846.31593492003174</v>
      </c>
      <c r="L74" s="6866">
        <f t="shared" ref="L74:M74" si="478">+L18</f>
        <v>850.56481465130207</v>
      </c>
      <c r="M74" s="3101">
        <f t="shared" si="478"/>
        <v>845.69640062597807</v>
      </c>
      <c r="N74" s="6852">
        <f>+N18</f>
        <v>860.00000000000023</v>
      </c>
      <c r="O74" s="2087">
        <f t="shared" ref="O74:Q74" si="479">+O18</f>
        <v>864.5717127457965</v>
      </c>
      <c r="P74" s="6868">
        <f t="shared" si="479"/>
        <v>853.59755893038721</v>
      </c>
      <c r="Q74" s="1906">
        <f t="shared" si="479"/>
        <v>851.13719352145472</v>
      </c>
      <c r="R74" s="7030">
        <f>+R18</f>
        <v>860</v>
      </c>
      <c r="S74" s="2087">
        <f t="shared" ref="S74:U74" si="480">+S18</f>
        <v>864.84105706625814</v>
      </c>
      <c r="T74" s="6868">
        <f t="shared" si="480"/>
        <v>855.14803334529836</v>
      </c>
      <c r="U74" s="1906">
        <f t="shared" si="480"/>
        <v>854.11968501073</v>
      </c>
      <c r="V74" s="7030">
        <f>+V18</f>
        <v>859.99999999999989</v>
      </c>
      <c r="W74" s="2087">
        <f t="shared" ref="W74:AA74" si="481">+W18</f>
        <v>852.12693504150798</v>
      </c>
      <c r="X74" s="6866">
        <f t="shared" si="481"/>
        <v>859.99999999999989</v>
      </c>
      <c r="Y74" s="3101">
        <f t="shared" si="481"/>
        <v>861.29666060773798</v>
      </c>
      <c r="Z74" s="6863">
        <f t="shared" si="481"/>
        <v>856.08390935173952</v>
      </c>
      <c r="AA74" s="6700">
        <f t="shared" si="481"/>
        <v>853.83793588952824</v>
      </c>
      <c r="AB74" s="7326">
        <f>+AB18</f>
        <v>860</v>
      </c>
      <c r="AC74" s="2087">
        <f t="shared" ref="AC74:AE74" si="482">+AC18</f>
        <v>853.06891692276338</v>
      </c>
      <c r="AD74" s="7344">
        <f t="shared" si="482"/>
        <v>856.44699421484074</v>
      </c>
      <c r="AE74" s="1906">
        <f t="shared" si="482"/>
        <v>853.71428321822464</v>
      </c>
      <c r="AF74" s="7590">
        <f>+AF18</f>
        <v>860</v>
      </c>
      <c r="AG74" s="2087">
        <f t="shared" ref="AG74:AI74" si="483">+AG18</f>
        <v>828.44341758121675</v>
      </c>
      <c r="AH74" s="7344">
        <f t="shared" si="483"/>
        <v>856.96863507323064</v>
      </c>
      <c r="AI74" s="1906">
        <f t="shared" si="483"/>
        <v>849.95273596927507</v>
      </c>
      <c r="AJ74" s="7698">
        <f>+AJ18</f>
        <v>860</v>
      </c>
      <c r="AK74" s="2087">
        <f t="shared" ref="AK74:AO74" si="484">+AK18</f>
        <v>845.64387522305799</v>
      </c>
      <c r="AL74" s="6866">
        <f t="shared" si="484"/>
        <v>860</v>
      </c>
      <c r="AM74" s="3101">
        <f t="shared" si="484"/>
        <v>842.21487855776127</v>
      </c>
      <c r="AN74" s="7344">
        <f t="shared" si="484"/>
        <v>857.37410195533948</v>
      </c>
      <c r="AO74" s="1906">
        <f t="shared" si="484"/>
        <v>849.34375137175721</v>
      </c>
      <c r="AP74" s="8022">
        <f>+AP18</f>
        <v>860</v>
      </c>
      <c r="AQ74" s="2087">
        <f t="shared" ref="AQ74:AS74" si="485">+AQ18</f>
        <v>843.20380381546408</v>
      </c>
      <c r="AR74" s="7344">
        <f t="shared" si="485"/>
        <v>857.67940922344224</v>
      </c>
      <c r="AS74" s="1906">
        <f t="shared" si="485"/>
        <v>848.5394827918642</v>
      </c>
      <c r="AT74" s="8147">
        <f>+AT18</f>
        <v>860</v>
      </c>
      <c r="AU74" s="2087">
        <f t="shared" ref="AU74:AW74" si="486">+AU18</f>
        <v>848.83161452264596</v>
      </c>
      <c r="AV74" s="7344">
        <f t="shared" si="486"/>
        <v>857.90291407184509</v>
      </c>
      <c r="AW74" s="1906">
        <f t="shared" si="486"/>
        <v>848.57069938382767</v>
      </c>
      <c r="AX74" s="8264">
        <f>+AX18</f>
        <v>860</v>
      </c>
      <c r="AY74" s="2087">
        <f t="shared" ref="AY74:BE74" si="487">+AY18</f>
        <v>844.02209834511837</v>
      </c>
      <c r="AZ74" s="6866">
        <f t="shared" si="487"/>
        <v>860</v>
      </c>
      <c r="BA74" s="3101">
        <f t="shared" si="487"/>
        <v>845.2237184147973</v>
      </c>
      <c r="BB74" s="6866">
        <f t="shared" ref="BB74:BC74" si="488">+BB18</f>
        <v>860</v>
      </c>
      <c r="BC74" s="3101">
        <f t="shared" si="488"/>
        <v>843.83053658000438</v>
      </c>
      <c r="BD74" s="6863">
        <f t="shared" si="487"/>
        <v>858.10530659968083</v>
      </c>
      <c r="BE74" s="6700">
        <f t="shared" si="487"/>
        <v>848.0682459691584</v>
      </c>
    </row>
    <row r="75" spans="2:57" x14ac:dyDescent="0.2">
      <c r="B75" s="1533" t="s">
        <v>2051</v>
      </c>
      <c r="C75" s="1545" t="s">
        <v>709</v>
      </c>
      <c r="D75" s="3220">
        <f>+D19+D42</f>
        <v>57.376247933392563</v>
      </c>
      <c r="E75" s="4146">
        <f t="shared" ref="E75" si="489">+E19+E42</f>
        <v>57.376247933392555</v>
      </c>
      <c r="F75" s="3174">
        <f>+F19+F42</f>
        <v>52.296878922265918</v>
      </c>
      <c r="G75" s="3179">
        <f t="shared" ref="G75:I75" si="490">+G19+G42</f>
        <v>52.296878922265918</v>
      </c>
      <c r="H75" s="6870">
        <f t="shared" si="490"/>
        <v>54.81658581220259</v>
      </c>
      <c r="I75" s="1823">
        <f t="shared" si="490"/>
        <v>54.81658581220259</v>
      </c>
      <c r="J75" s="3174">
        <f>+J19+J42</f>
        <v>57.2</v>
      </c>
      <c r="K75" s="3179">
        <f t="shared" ref="K75" si="491">+K19+K42</f>
        <v>55.833822699690259</v>
      </c>
      <c r="L75" s="6871">
        <f t="shared" ref="L75:M75" si="492">+L19+L42</f>
        <v>55.664348036345714</v>
      </c>
      <c r="M75" s="2888">
        <f t="shared" si="492"/>
        <v>55.177247057222573</v>
      </c>
      <c r="N75" s="2677">
        <f>+N19+N42</f>
        <v>57.2</v>
      </c>
      <c r="O75" s="2559">
        <f t="shared" ref="O75:Q75" si="493">+O19+O42</f>
        <v>85.684332199836021</v>
      </c>
      <c r="P75" s="6870">
        <f t="shared" si="493"/>
        <v>56.157951451151007</v>
      </c>
      <c r="Q75" s="1823">
        <f t="shared" si="493"/>
        <v>63.970888775674268</v>
      </c>
      <c r="R75" s="2677">
        <f>+R19+R42</f>
        <v>57.2</v>
      </c>
      <c r="S75" s="2559">
        <f t="shared" ref="S75:U75" si="494">+S19+S42</f>
        <v>85.303436509870821</v>
      </c>
      <c r="T75" s="6870">
        <f t="shared" si="494"/>
        <v>56.410303576929074</v>
      </c>
      <c r="U75" s="1823">
        <f t="shared" si="494"/>
        <v>68.613677420919259</v>
      </c>
      <c r="V75" s="2677">
        <f>+V19+V42</f>
        <v>57.2</v>
      </c>
      <c r="W75" s="2559">
        <f t="shared" ref="W75:AA75" si="495">+W19+W42</f>
        <v>73.365913818175116</v>
      </c>
      <c r="X75" s="6871">
        <f t="shared" si="495"/>
        <v>57.199999999999996</v>
      </c>
      <c r="Y75" s="2888">
        <f t="shared" si="495"/>
        <v>82.210686154973928</v>
      </c>
      <c r="Z75" s="6872">
        <f t="shared" si="495"/>
        <v>56.562624890598521</v>
      </c>
      <c r="AA75" s="6686">
        <f t="shared" si="495"/>
        <v>69.285582300783616</v>
      </c>
      <c r="AB75" s="2677">
        <f>+AB19+AB42</f>
        <v>57.2</v>
      </c>
      <c r="AC75" s="2559">
        <f t="shared" ref="AC75:AE75" si="496">+AC19+AC42</f>
        <v>76.499651934733521</v>
      </c>
      <c r="AD75" s="7346">
        <f t="shared" si="496"/>
        <v>56.621719859312776</v>
      </c>
      <c r="AE75" s="1823">
        <f t="shared" si="496"/>
        <v>70.445552366230828</v>
      </c>
      <c r="AF75" s="2677">
        <f>+AF19+AF42</f>
        <v>57.2</v>
      </c>
      <c r="AG75" s="2559">
        <f t="shared" ref="AG75:AI75" si="497">+AG19+AG42</f>
        <v>78.342726009647663</v>
      </c>
      <c r="AH75" s="7594">
        <f t="shared" si="497"/>
        <v>56.70662108582863</v>
      </c>
      <c r="AI75" s="1823">
        <f t="shared" si="497"/>
        <v>71.621040068930199</v>
      </c>
      <c r="AJ75" s="2677">
        <f>+AJ19+AJ42</f>
        <v>57.2</v>
      </c>
      <c r="AK75" s="2559">
        <f>+AK19+AK42</f>
        <v>63.797406880350572</v>
      </c>
      <c r="AL75" s="7737">
        <f t="shared" ref="AL75:AO75" si="498">+AL19+AL42</f>
        <v>57.2</v>
      </c>
      <c r="AM75" s="2888">
        <f t="shared" si="498"/>
        <v>72.465936933013253</v>
      </c>
      <c r="AN75" s="7735">
        <f t="shared" si="498"/>
        <v>56.772614067492</v>
      </c>
      <c r="AO75" s="1823">
        <f t="shared" si="498"/>
        <v>70.515301826482187</v>
      </c>
      <c r="AP75" s="2677">
        <f>+AP19+AP42</f>
        <v>57.2</v>
      </c>
      <c r="AQ75" s="2559">
        <f>+AQ19+AQ42</f>
        <v>82.070071956921154</v>
      </c>
      <c r="AR75" s="8045">
        <f t="shared" ref="AR75:AS75" si="499">+AR19+AR42</f>
        <v>56.822305269991233</v>
      </c>
      <c r="AS75" s="1823">
        <f t="shared" si="499"/>
        <v>72.028855236930042</v>
      </c>
      <c r="AT75" s="2677">
        <f>+AT19+AT42</f>
        <v>57.2</v>
      </c>
      <c r="AU75" s="2559">
        <f>+AU19+AU42</f>
        <v>96.493974017843172</v>
      </c>
      <c r="AV75" s="8171">
        <f t="shared" ref="AV75:AW75" si="500">+AV19+AV42</f>
        <v>56.858682473686926</v>
      </c>
      <c r="AW75" s="1823">
        <f t="shared" si="500"/>
        <v>74.643147180765169</v>
      </c>
      <c r="AX75" s="2677">
        <f>+AX19+AX42</f>
        <v>57.2</v>
      </c>
      <c r="AY75" s="2559">
        <f>+AY19+AY42</f>
        <v>70.689762679736134</v>
      </c>
      <c r="AZ75" s="8323">
        <f t="shared" ref="AZ75:BE75" si="501">+AZ19+AZ42</f>
        <v>57.2</v>
      </c>
      <c r="BA75" s="2888">
        <f t="shared" si="501"/>
        <v>82.438124462140479</v>
      </c>
      <c r="BB75" s="8323">
        <f t="shared" ref="BB75:BC75" si="502">+BB19+BB42</f>
        <v>57.2</v>
      </c>
      <c r="BC75" s="2888">
        <f t="shared" si="502"/>
        <v>77.820706726783129</v>
      </c>
      <c r="BD75" s="8324">
        <f t="shared" si="501"/>
        <v>56.891623478162572</v>
      </c>
      <c r="BE75" s="6686">
        <f t="shared" si="501"/>
        <v>74.206443340367215</v>
      </c>
    </row>
    <row r="76" spans="2:57" x14ac:dyDescent="0.2">
      <c r="B76" s="1533" t="s">
        <v>2052</v>
      </c>
      <c r="C76" s="1545" t="s">
        <v>709</v>
      </c>
      <c r="D76" s="3220">
        <f>+D20+D43</f>
        <v>108.37735720751927</v>
      </c>
      <c r="E76" s="4146">
        <f>+E20+E43</f>
        <v>108.37735720751927</v>
      </c>
      <c r="F76" s="3220">
        <f>+F20+F43</f>
        <v>102.5018826876412</v>
      </c>
      <c r="G76" s="4146">
        <f>+G20+G43</f>
        <v>102.5018826876412</v>
      </c>
      <c r="H76" s="6870">
        <f t="shared" ref="H76" si="503">+H20</f>
        <v>90.881682616184804</v>
      </c>
      <c r="I76" s="1823">
        <f>+I20+I43</f>
        <v>105.41651117731267</v>
      </c>
      <c r="J76" s="3220">
        <f>+J20+J43</f>
        <v>101.4</v>
      </c>
      <c r="K76" s="4146">
        <f>+K20+K43</f>
        <v>101.32762214008542</v>
      </c>
      <c r="L76" s="6871">
        <f t="shared" ref="L76" si="504">+L20</f>
        <v>94.622967779795772</v>
      </c>
      <c r="M76" s="2888">
        <f>+M20+M43</f>
        <v>103.96679594475063</v>
      </c>
      <c r="N76" s="2680">
        <f>+N20+N43</f>
        <v>101.40000000000003</v>
      </c>
      <c r="O76" s="2723">
        <f>+O20+O43</f>
        <v>105.84535154097391</v>
      </c>
      <c r="P76" s="6870">
        <f t="shared" ref="P76" si="505">+P20</f>
        <v>96.801303968796603</v>
      </c>
      <c r="Q76" s="1823">
        <f>+Q20+Q43</f>
        <v>104.50828802058008</v>
      </c>
      <c r="R76" s="2680">
        <f>+R20+R43</f>
        <v>101.4</v>
      </c>
      <c r="S76" s="2723">
        <f>+S20+S43</f>
        <v>106.19407402249226</v>
      </c>
      <c r="T76" s="6870">
        <f t="shared" ref="T76" si="506">+T20</f>
        <v>97.914966782840295</v>
      </c>
      <c r="U76" s="1823">
        <f>+U20+U43</f>
        <v>104.87518034893731</v>
      </c>
      <c r="V76" s="2680">
        <f>+V20+V43</f>
        <v>101.40000000000002</v>
      </c>
      <c r="W76" s="2723">
        <f>+W20+W43</f>
        <v>113.71417527196422</v>
      </c>
      <c r="X76" s="6871">
        <f t="shared" ref="X76" si="507">+X20</f>
        <v>101.40000000000002</v>
      </c>
      <c r="Y76" s="2888">
        <f>+Y20+Y43</f>
        <v>108.10200942001342</v>
      </c>
      <c r="Z76" s="6872">
        <f t="shared" ref="Z76" si="508">+Z20</f>
        <v>98.587180588438045</v>
      </c>
      <c r="AA76" s="6686">
        <f>+AA20+AA43</f>
        <v>106.12490012830422</v>
      </c>
      <c r="AB76" s="2680">
        <f>+AB20+AB43</f>
        <v>101.4</v>
      </c>
      <c r="AC76" s="2723">
        <f>+AC20+AC43</f>
        <v>106.99696079596583</v>
      </c>
      <c r="AD76" s="7346">
        <f t="shared" ref="AD76" si="509">+AD20</f>
        <v>98.847974385800498</v>
      </c>
      <c r="AE76" s="1823">
        <f>+AE20+AE43</f>
        <v>106.26512115763569</v>
      </c>
      <c r="AF76" s="2680">
        <f>+AF20+AF43</f>
        <v>101.4</v>
      </c>
      <c r="AG76" s="2723">
        <f>+AG20+AG43</f>
        <v>104.44135691649625</v>
      </c>
      <c r="AH76" s="7594">
        <f t="shared" ref="AH76" si="510">+AH20</f>
        <v>99.22265456155047</v>
      </c>
      <c r="AI76" s="1823">
        <f>+AI20+AI43</f>
        <v>105.99365537318135</v>
      </c>
      <c r="AJ76" s="2680">
        <f>+AJ20+AJ43</f>
        <v>101.4</v>
      </c>
      <c r="AK76" s="2723">
        <f>+AK20+AK43</f>
        <v>107.46312484470646</v>
      </c>
      <c r="AL76" s="7737">
        <f t="shared" ref="AL76" si="511">+AL20</f>
        <v>101.4</v>
      </c>
      <c r="AM76" s="2888">
        <f>+AM20+AM43</f>
        <v>106.3225923640109</v>
      </c>
      <c r="AN76" s="7735">
        <f t="shared" ref="AN76" si="512">+AN20</f>
        <v>99.513890188909528</v>
      </c>
      <c r="AO76" s="1823">
        <f>+AO20+AO43</f>
        <v>106.20134003216397</v>
      </c>
      <c r="AP76" s="2680">
        <f>+AP20+AP43</f>
        <v>101.39999999999999</v>
      </c>
      <c r="AQ76" s="2723">
        <f>+AQ20+AQ43</f>
        <v>104.57315620317374</v>
      </c>
      <c r="AR76" s="8045">
        <f t="shared" ref="AR76" si="513">+AR20</f>
        <v>99.733183940598309</v>
      </c>
      <c r="AS76" s="1823">
        <f>+AS20+AS43</f>
        <v>105.98806506785184</v>
      </c>
      <c r="AT76" s="2680">
        <f>+AT20+AT43</f>
        <v>101.4012539184953</v>
      </c>
      <c r="AU76" s="2723">
        <f>+AU20+AU43</f>
        <v>112.97194831394236</v>
      </c>
      <c r="AV76" s="8171">
        <f t="shared" ref="AV76" si="514">+AV20</f>
        <v>99.893842050292363</v>
      </c>
      <c r="AW76" s="1823">
        <f>+AW20+AW43</f>
        <v>106.73434837309307</v>
      </c>
      <c r="AX76" s="2680">
        <f>+AX20+AX43</f>
        <v>101.39909553420011</v>
      </c>
      <c r="AY76" s="2723">
        <f>+AY20+AY43</f>
        <v>122.32905583199272</v>
      </c>
      <c r="AZ76" s="8323">
        <f t="shared" ref="AZ76" si="515">+AZ20</f>
        <v>101.40007836990596</v>
      </c>
      <c r="BA76" s="2888">
        <f>+BA20+BA43</f>
        <v>113.48735879935958</v>
      </c>
      <c r="BB76" s="8323">
        <f t="shared" ref="BB76" si="516">+BB20</f>
        <v>101.40004227771171</v>
      </c>
      <c r="BC76" s="2888">
        <f>+BC20+BC43</f>
        <v>110.16986005481206</v>
      </c>
      <c r="BD76" s="8324">
        <f t="shared" ref="BD76" si="517">+BD20</f>
        <v>100.03911604863053</v>
      </c>
      <c r="BE76" s="6686">
        <f>+BE20+BE43</f>
        <v>108.45699099371635</v>
      </c>
    </row>
    <row r="77" spans="2:57" x14ac:dyDescent="0.2">
      <c r="B77" s="1533" t="s">
        <v>358</v>
      </c>
      <c r="C77" s="1545" t="s">
        <v>709</v>
      </c>
      <c r="D77" s="3220">
        <f>+D27</f>
        <v>146.62818916311429</v>
      </c>
      <c r="E77" s="4146">
        <f t="shared" ref="E77" si="518">+E27</f>
        <v>146.62818916311429</v>
      </c>
      <c r="F77" s="3220">
        <f>+F27</f>
        <v>156.29236047192708</v>
      </c>
      <c r="G77" s="3179">
        <f t="shared" ref="G77:I77" si="519">+G27</f>
        <v>156.29236047192705</v>
      </c>
      <c r="H77" s="6870">
        <f t="shared" si="519"/>
        <v>151.49828487336313</v>
      </c>
      <c r="I77" s="1823">
        <f t="shared" si="519"/>
        <v>151.49828487336313</v>
      </c>
      <c r="J77" s="3220">
        <f>+J27</f>
        <v>130</v>
      </c>
      <c r="K77" s="3179">
        <f t="shared" ref="K77" si="520">+K27</f>
        <v>155.11570155944744</v>
      </c>
      <c r="L77" s="6871">
        <f t="shared" ref="L77:M77" si="521">+L27</f>
        <v>143.85150912921634</v>
      </c>
      <c r="M77" s="2888">
        <f t="shared" si="521"/>
        <v>152.78083962713478</v>
      </c>
      <c r="N77" s="2680">
        <f>+N27</f>
        <v>130.00000000000003</v>
      </c>
      <c r="O77" s="2559">
        <f t="shared" ref="O77:Q77" si="522">+O27</f>
        <v>160.42123089743419</v>
      </c>
      <c r="P77" s="6870">
        <f t="shared" si="522"/>
        <v>139.39922933652298</v>
      </c>
      <c r="Q77" s="1823">
        <f t="shared" si="522"/>
        <v>154.9831760059044</v>
      </c>
      <c r="R77" s="2680">
        <f>+R27</f>
        <v>130</v>
      </c>
      <c r="S77" s="2559">
        <f t="shared" ref="S77:U77" si="523">+S27</f>
        <v>138.38654642944186</v>
      </c>
      <c r="T77" s="6870">
        <f t="shared" si="523"/>
        <v>137.12302492515752</v>
      </c>
      <c r="U77" s="1823">
        <f t="shared" si="523"/>
        <v>151.37110658470641</v>
      </c>
      <c r="V77" s="2680">
        <f>+V27</f>
        <v>130</v>
      </c>
      <c r="W77" s="2559">
        <f t="shared" ref="W77:AA77" si="524">+W27</f>
        <v>127.80017302630367</v>
      </c>
      <c r="X77" s="6871">
        <f t="shared" si="524"/>
        <v>130</v>
      </c>
      <c r="Y77" s="2888">
        <f t="shared" si="524"/>
        <v>143.6938520574177</v>
      </c>
      <c r="Z77" s="6872">
        <f t="shared" si="524"/>
        <v>135.74909377617121</v>
      </c>
      <c r="AA77" s="6686">
        <f t="shared" si="524"/>
        <v>148.03848085716592</v>
      </c>
      <c r="AB77" s="2680">
        <f>+AB27</f>
        <v>130</v>
      </c>
      <c r="AC77" s="2559">
        <f t="shared" ref="AC77:AE77" si="525">+AC27</f>
        <v>112.49808988573272</v>
      </c>
      <c r="AD77" s="7346">
        <f t="shared" si="525"/>
        <v>135.21605991302394</v>
      </c>
      <c r="AE77" s="1823">
        <f t="shared" si="525"/>
        <v>142.32384380304862</v>
      </c>
      <c r="AF77" s="2680">
        <f>+AF27</f>
        <v>130</v>
      </c>
      <c r="AG77" s="2559">
        <f t="shared" ref="AG77:AI77" si="526">+AG27</f>
        <v>162.89242393493294</v>
      </c>
      <c r="AH77" s="7594">
        <f t="shared" si="526"/>
        <v>134.45025480744025</v>
      </c>
      <c r="AI77" s="1823">
        <f t="shared" si="526"/>
        <v>145.38545978095888</v>
      </c>
      <c r="AJ77" s="2680">
        <f>+AJ27</f>
        <v>130</v>
      </c>
      <c r="AK77" s="2559">
        <f t="shared" ref="AK77:AO77" si="527">+AK27</f>
        <v>163.7640893587224</v>
      </c>
      <c r="AL77" s="7737">
        <f t="shared" si="527"/>
        <v>130</v>
      </c>
      <c r="AM77" s="2888">
        <f t="shared" si="527"/>
        <v>147.89491174873933</v>
      </c>
      <c r="AN77" s="7735">
        <f t="shared" si="527"/>
        <v>133.85500118903624</v>
      </c>
      <c r="AO77" s="1823">
        <f t="shared" si="527"/>
        <v>147.98296826302621</v>
      </c>
      <c r="AP77" s="2680">
        <f>+AP27</f>
        <v>130</v>
      </c>
      <c r="AQ77" s="2559">
        <f t="shared" ref="AQ77:AS77" si="528">+AQ27</f>
        <v>173.72116295939387</v>
      </c>
      <c r="AR77" s="8045">
        <f t="shared" si="528"/>
        <v>133.40678885880098</v>
      </c>
      <c r="AS77" s="1823">
        <f t="shared" si="528"/>
        <v>151.35440117962185</v>
      </c>
      <c r="AT77" s="2680">
        <f>+AT27</f>
        <v>130</v>
      </c>
      <c r="AU77" s="2559">
        <f t="shared" ref="AU77:AW77" si="529">+AU27</f>
        <v>153.97123528286463</v>
      </c>
      <c r="AV77" s="8171">
        <f t="shared" si="529"/>
        <v>133.07866817715444</v>
      </c>
      <c r="AW77" s="1823">
        <f t="shared" si="529"/>
        <v>151.63403065437419</v>
      </c>
      <c r="AX77" s="2680">
        <f>+AX27</f>
        <v>130</v>
      </c>
      <c r="AY77" s="2559">
        <f t="shared" ref="AY77:BE77" si="530">+AY27</f>
        <v>162.5774751518326</v>
      </c>
      <c r="AZ77" s="8323">
        <f t="shared" si="530"/>
        <v>130</v>
      </c>
      <c r="BA77" s="2888">
        <f t="shared" si="530"/>
        <v>163.68105497447198</v>
      </c>
      <c r="BB77" s="8323">
        <f t="shared" ref="BB77:BC77" si="531">+BB27</f>
        <v>130</v>
      </c>
      <c r="BC77" s="2888">
        <f t="shared" si="531"/>
        <v>156.37160381438449</v>
      </c>
      <c r="BD77" s="8324">
        <f t="shared" si="530"/>
        <v>132.78154185229744</v>
      </c>
      <c r="BE77" s="6686">
        <f t="shared" si="530"/>
        <v>152.8428794870587</v>
      </c>
    </row>
    <row r="78" spans="2:57" x14ac:dyDescent="0.2">
      <c r="B78" s="1533" t="s">
        <v>1233</v>
      </c>
      <c r="C78" s="1545" t="s">
        <v>709</v>
      </c>
      <c r="D78" s="3220">
        <f t="shared" ref="D78:F78" si="532">+D23</f>
        <v>20.336692323058028</v>
      </c>
      <c r="E78" s="4146">
        <f t="shared" ref="E78:E80" si="533">+E23</f>
        <v>20.336692323058028</v>
      </c>
      <c r="F78" s="3220">
        <f t="shared" si="532"/>
        <v>18.404317630323821</v>
      </c>
      <c r="G78" s="3179">
        <f t="shared" ref="G78:J78" si="534">+G23</f>
        <v>18.404317630323821</v>
      </c>
      <c r="H78" s="6870">
        <f t="shared" si="534"/>
        <v>19.362904773048793</v>
      </c>
      <c r="I78" s="1823">
        <f t="shared" si="534"/>
        <v>19.362904773048793</v>
      </c>
      <c r="J78" s="3220">
        <f t="shared" si="534"/>
        <v>5</v>
      </c>
      <c r="K78" s="3179">
        <f t="shared" ref="K78" si="535">+K23</f>
        <v>16.074245512222642</v>
      </c>
      <c r="L78" s="6871">
        <f t="shared" ref="L78:N78" si="536">+L23</f>
        <v>14.25412923672117</v>
      </c>
      <c r="M78" s="2888">
        <f t="shared" si="536"/>
        <v>18.196910934204258</v>
      </c>
      <c r="N78" s="2680">
        <f t="shared" si="536"/>
        <v>5.0000000000000009</v>
      </c>
      <c r="O78" s="2559">
        <f t="shared" ref="O78:R78" si="537">+O23</f>
        <v>10.705501270144218</v>
      </c>
      <c r="P78" s="6870">
        <f t="shared" si="537"/>
        <v>11.27958168271342</v>
      </c>
      <c r="Q78" s="1823">
        <f t="shared" si="537"/>
        <v>16.037518378542774</v>
      </c>
      <c r="R78" s="2680">
        <f t="shared" si="537"/>
        <v>5</v>
      </c>
      <c r="S78" s="2559">
        <f t="shared" ref="S78:V78" si="538">+S23</f>
        <v>10.173740468646635</v>
      </c>
      <c r="T78" s="6870">
        <f t="shared" si="538"/>
        <v>9.7588600345905476</v>
      </c>
      <c r="U78" s="1823">
        <f t="shared" si="538"/>
        <v>14.761333187841753</v>
      </c>
      <c r="V78" s="2680">
        <f t="shared" si="538"/>
        <v>5</v>
      </c>
      <c r="W78" s="2559">
        <f t="shared" ref="W78:AJ78" si="539">+W23</f>
        <v>5.8258324589982884</v>
      </c>
      <c r="X78" s="6871">
        <f t="shared" si="539"/>
        <v>5</v>
      </c>
      <c r="Y78" s="2888">
        <f t="shared" si="539"/>
        <v>9.1931152617681597</v>
      </c>
      <c r="Z78" s="6872">
        <f t="shared" si="539"/>
        <v>8.8409429833532887</v>
      </c>
      <c r="AA78" s="6686">
        <f t="shared" si="539"/>
        <v>13.497968733327609</v>
      </c>
      <c r="AB78" s="2680">
        <f t="shared" si="539"/>
        <v>5</v>
      </c>
      <c r="AC78" s="2559">
        <f t="shared" si="539"/>
        <v>6.0987826205069862</v>
      </c>
      <c r="AD78" s="7346">
        <f t="shared" si="539"/>
        <v>8.4848255227143525</v>
      </c>
      <c r="AE78" s="1823">
        <f t="shared" si="539"/>
        <v>12.30823328093425</v>
      </c>
      <c r="AF78" s="2680">
        <f t="shared" si="539"/>
        <v>5</v>
      </c>
      <c r="AG78" s="2559">
        <f t="shared" si="539"/>
        <v>6.0446165134177372</v>
      </c>
      <c r="AH78" s="7594">
        <f t="shared" si="539"/>
        <v>7.9731946707182875</v>
      </c>
      <c r="AI78" s="1823">
        <f t="shared" si="539"/>
        <v>11.375899155196114</v>
      </c>
      <c r="AJ78" s="2680">
        <f t="shared" si="539"/>
        <v>5</v>
      </c>
      <c r="AK78" s="2559">
        <f t="shared" ref="AK78:AP78" si="540">+AK23</f>
        <v>4.8620993426848278</v>
      </c>
      <c r="AL78" s="7737">
        <f t="shared" si="540"/>
        <v>5</v>
      </c>
      <c r="AM78" s="2888">
        <f t="shared" si="540"/>
        <v>5.6288431251535185</v>
      </c>
      <c r="AN78" s="7735">
        <f t="shared" si="540"/>
        <v>7.5755084791308471</v>
      </c>
      <c r="AO78" s="1823">
        <f t="shared" si="540"/>
        <v>10.455283709311189</v>
      </c>
      <c r="AP78" s="2680">
        <f t="shared" si="540"/>
        <v>5</v>
      </c>
      <c r="AQ78" s="2559">
        <f t="shared" ref="AQ78:AT78" si="541">+AQ23</f>
        <v>6.0890698548683435</v>
      </c>
      <c r="AR78" s="8045">
        <f t="shared" si="541"/>
        <v>7.2760598926414435</v>
      </c>
      <c r="AS78" s="1823">
        <f t="shared" si="541"/>
        <v>9.8833555968922564</v>
      </c>
      <c r="AT78" s="2680">
        <f t="shared" si="541"/>
        <v>5</v>
      </c>
      <c r="AU78" s="2559">
        <f t="shared" ref="AU78:AX78" si="542">+AU23</f>
        <v>13.379477458363043</v>
      </c>
      <c r="AV78" s="8171">
        <f t="shared" si="542"/>
        <v>7.0568439815900179</v>
      </c>
      <c r="AW78" s="1823">
        <f t="shared" si="542"/>
        <v>10.256943941136862</v>
      </c>
      <c r="AX78" s="2680">
        <f t="shared" si="542"/>
        <v>5</v>
      </c>
      <c r="AY78" s="2559">
        <f t="shared" ref="AY78:BE78" si="543">+AY23</f>
        <v>7.3178944217890685</v>
      </c>
      <c r="AZ78" s="8323">
        <f t="shared" si="543"/>
        <v>5</v>
      </c>
      <c r="BA78" s="2888">
        <f t="shared" si="543"/>
        <v>8.765942223096344</v>
      </c>
      <c r="BB78" s="8323">
        <f t="shared" ref="BB78:BC78" si="544">+BB23</f>
        <v>5</v>
      </c>
      <c r="BC78" s="2888">
        <f t="shared" si="544"/>
        <v>7.3133725667290292</v>
      </c>
      <c r="BD78" s="8324">
        <f t="shared" si="543"/>
        <v>6.858335257074299</v>
      </c>
      <c r="BE78" s="6686">
        <f t="shared" si="543"/>
        <v>9.9322868753025499</v>
      </c>
    </row>
    <row r="79" spans="2:57" x14ac:dyDescent="0.2">
      <c r="B79" s="1533" t="s">
        <v>152</v>
      </c>
      <c r="C79" s="1545" t="s">
        <v>709</v>
      </c>
      <c r="D79" s="3220">
        <f t="shared" ref="D79:F79" si="545">+D24</f>
        <v>6.1201331128952052</v>
      </c>
      <c r="E79" s="4146">
        <f t="shared" si="533"/>
        <v>6.1201331128952052</v>
      </c>
      <c r="F79" s="3220">
        <f t="shared" si="545"/>
        <v>12.969625972721948</v>
      </c>
      <c r="G79" s="3179">
        <f t="shared" ref="G79:J79" si="546">+G24</f>
        <v>12.969625972721948</v>
      </c>
      <c r="H79" s="6870">
        <f t="shared" si="546"/>
        <v>9.5718192148999908</v>
      </c>
      <c r="I79" s="1823">
        <f t="shared" si="546"/>
        <v>9.5718192148999908</v>
      </c>
      <c r="J79" s="3220">
        <f t="shared" si="546"/>
        <v>4.5</v>
      </c>
      <c r="K79" s="3179">
        <f t="shared" ref="K79" si="547">+K24</f>
        <v>9.4035103880003525</v>
      </c>
      <c r="L79" s="6871">
        <f t="shared" ref="L79:N79" si="548">+L24</f>
        <v>7.767811854329195</v>
      </c>
      <c r="M79" s="2888">
        <f t="shared" si="548"/>
        <v>9.5121453357828134</v>
      </c>
      <c r="N79" s="2680">
        <f t="shared" si="548"/>
        <v>4.5000000000000009</v>
      </c>
      <c r="O79" s="2559">
        <f t="shared" ref="O79:R79" si="549">+O24</f>
        <v>4.0322038682275769</v>
      </c>
      <c r="P79" s="6870">
        <f t="shared" si="549"/>
        <v>6.7174416347647634</v>
      </c>
      <c r="Q79" s="1823">
        <f t="shared" si="549"/>
        <v>7.9325568015621037</v>
      </c>
      <c r="R79" s="2680">
        <f t="shared" si="549"/>
        <v>4.5</v>
      </c>
      <c r="S79" s="2559">
        <f t="shared" ref="S79:V79" si="550">+S24</f>
        <v>5.9190139619094042</v>
      </c>
      <c r="T79" s="6870">
        <f t="shared" si="550"/>
        <v>6.180445435365276</v>
      </c>
      <c r="U79" s="1823">
        <f t="shared" si="550"/>
        <v>7.4943318905418348</v>
      </c>
      <c r="V79" s="2680">
        <f t="shared" si="550"/>
        <v>4.5</v>
      </c>
      <c r="W79" s="2559">
        <f t="shared" ref="W79:AJ79" si="551">+W24</f>
        <v>6.7369816113534711</v>
      </c>
      <c r="X79" s="6871">
        <f t="shared" si="551"/>
        <v>4.5</v>
      </c>
      <c r="Y79" s="2888">
        <f t="shared" si="551"/>
        <v>5.4405688910165786</v>
      </c>
      <c r="Z79" s="6872">
        <f t="shared" si="551"/>
        <v>5.8563111873345237</v>
      </c>
      <c r="AA79" s="6686">
        <f t="shared" si="551"/>
        <v>7.3872523377133739</v>
      </c>
      <c r="AB79" s="2680">
        <f t="shared" si="551"/>
        <v>4.5</v>
      </c>
      <c r="AC79" s="2559">
        <f t="shared" si="551"/>
        <v>6.6998319099444794</v>
      </c>
      <c r="AD79" s="7346">
        <f t="shared" si="551"/>
        <v>5.7305592305980895</v>
      </c>
      <c r="AE79" s="1823">
        <f t="shared" si="551"/>
        <v>7.2767201195550868</v>
      </c>
      <c r="AF79" s="2680">
        <f t="shared" si="551"/>
        <v>4.5</v>
      </c>
      <c r="AG79" s="2559">
        <f t="shared" si="551"/>
        <v>6.2850273974741242</v>
      </c>
      <c r="AH79" s="7594">
        <f t="shared" si="551"/>
        <v>5.5498924903326747</v>
      </c>
      <c r="AI79" s="1823">
        <f t="shared" si="551"/>
        <v>7.1291074859346519</v>
      </c>
      <c r="AJ79" s="2680">
        <f t="shared" si="551"/>
        <v>4.5</v>
      </c>
      <c r="AK79" s="2559">
        <f t="shared" ref="AK79:AP79" si="552">+AK24</f>
        <v>4.4893948634546312</v>
      </c>
      <c r="AL79" s="7737">
        <f t="shared" si="552"/>
        <v>4.5000000000000009</v>
      </c>
      <c r="AM79" s="2888">
        <f t="shared" si="552"/>
        <v>5.7547541741576858</v>
      </c>
      <c r="AN79" s="7735">
        <f t="shared" si="552"/>
        <v>5.4094618114508961</v>
      </c>
      <c r="AO79" s="1823">
        <f t="shared" si="552"/>
        <v>6.7560287480396344</v>
      </c>
      <c r="AP79" s="2680">
        <f t="shared" si="552"/>
        <v>4.5</v>
      </c>
      <c r="AQ79" s="2559">
        <f t="shared" ref="AQ79:AT79" si="553">+AQ24</f>
        <v>3.9711325140445721</v>
      </c>
      <c r="AR79" s="8045">
        <f t="shared" si="553"/>
        <v>5.3037207292095481</v>
      </c>
      <c r="AS79" s="1823">
        <f t="shared" si="553"/>
        <v>6.3912366193236601</v>
      </c>
      <c r="AT79" s="2680">
        <f t="shared" si="553"/>
        <v>4.5015673981191222</v>
      </c>
      <c r="AU79" s="2559">
        <f t="shared" ref="AU79:AX79" si="554">+AU24</f>
        <v>3.8637009211434004</v>
      </c>
      <c r="AV79" s="8171">
        <f t="shared" si="554"/>
        <v>5.2264623170533335</v>
      </c>
      <c r="AW79" s="1823">
        <f t="shared" si="554"/>
        <v>6.1211493872656062</v>
      </c>
      <c r="AX79" s="2680">
        <f t="shared" si="554"/>
        <v>4.5</v>
      </c>
      <c r="AY79" s="2559">
        <f t="shared" ref="AY79:BE79" si="555">+AY24</f>
        <v>3.5068028483420006</v>
      </c>
      <c r="AZ79" s="8323">
        <f t="shared" si="555"/>
        <v>4.5004898119122254</v>
      </c>
      <c r="BA79" s="2888">
        <f t="shared" si="555"/>
        <v>3.7724699577365892</v>
      </c>
      <c r="BB79" s="8323">
        <f t="shared" ref="BB79:BC79" si="556">+BB24</f>
        <v>4.5002642356982427</v>
      </c>
      <c r="BC79" s="2888">
        <f t="shared" si="556"/>
        <v>4.6903261724023402</v>
      </c>
      <c r="BD79" s="8324">
        <f t="shared" si="555"/>
        <v>5.156350481027971</v>
      </c>
      <c r="BE79" s="6686">
        <f t="shared" si="555"/>
        <v>5.8323600794252339</v>
      </c>
    </row>
    <row r="80" spans="2:57" x14ac:dyDescent="0.2">
      <c r="B80" s="1533" t="s">
        <v>153</v>
      </c>
      <c r="C80" s="1545" t="s">
        <v>709</v>
      </c>
      <c r="D80" s="3220">
        <f t="shared" ref="D80:F80" si="557">+D25</f>
        <v>21.250462197552803</v>
      </c>
      <c r="E80" s="4146">
        <f t="shared" si="533"/>
        <v>21.2504621975528</v>
      </c>
      <c r="F80" s="3220">
        <f t="shared" si="557"/>
        <v>22.592251694418877</v>
      </c>
      <c r="G80" s="3179">
        <f t="shared" ref="G80:J80" si="558">+G25</f>
        <v>22.592251694418877</v>
      </c>
      <c r="H80" s="6870">
        <f t="shared" si="558"/>
        <v>21.926634324881039</v>
      </c>
      <c r="I80" s="1823">
        <f t="shared" si="558"/>
        <v>21.926634324881039</v>
      </c>
      <c r="J80" s="3220">
        <f t="shared" si="558"/>
        <v>30</v>
      </c>
      <c r="K80" s="3179">
        <f t="shared" ref="K80" si="559">+K25</f>
        <v>21.148302954237529</v>
      </c>
      <c r="L80" s="6871">
        <f t="shared" ref="L80:N80" si="560">+L25</f>
        <v>24.798268838135549</v>
      </c>
      <c r="M80" s="2888">
        <f t="shared" si="560"/>
        <v>21.650677008913384</v>
      </c>
      <c r="N80" s="2680">
        <f t="shared" si="560"/>
        <v>30.000000000000007</v>
      </c>
      <c r="O80" s="2559">
        <f t="shared" ref="O80:R80" si="561">+O25</f>
        <v>21.84110428623271</v>
      </c>
      <c r="P80" s="6870">
        <f t="shared" si="561"/>
        <v>26.470257234702615</v>
      </c>
      <c r="Q80" s="1823">
        <f t="shared" si="561"/>
        <v>21.705567511966635</v>
      </c>
      <c r="R80" s="2680">
        <f t="shared" si="561"/>
        <v>30</v>
      </c>
      <c r="S80" s="2559">
        <f t="shared" ref="S80:V80" si="562">+S25</f>
        <v>26.983740120469342</v>
      </c>
      <c r="T80" s="6870">
        <f t="shared" si="562"/>
        <v>27.325052427552691</v>
      </c>
      <c r="U80" s="1823">
        <f t="shared" si="562"/>
        <v>22.85430230725397</v>
      </c>
      <c r="V80" s="2680">
        <f t="shared" si="562"/>
        <v>30.000000000000004</v>
      </c>
      <c r="W80" s="2559">
        <f t="shared" ref="W80:AJ80" si="563">+W25</f>
        <v>30.159957295635689</v>
      </c>
      <c r="X80" s="6871">
        <f t="shared" si="563"/>
        <v>30</v>
      </c>
      <c r="Y80" s="2888">
        <f t="shared" si="563"/>
        <v>25.93620421831093</v>
      </c>
      <c r="Z80" s="6872">
        <f t="shared" si="563"/>
        <v>27.841012125898043</v>
      </c>
      <c r="AA80" s="6686">
        <f t="shared" si="563"/>
        <v>23.887227613775661</v>
      </c>
      <c r="AB80" s="2680">
        <f t="shared" si="563"/>
        <v>30</v>
      </c>
      <c r="AC80" s="2559">
        <f t="shared" si="563"/>
        <v>29.597432806424774</v>
      </c>
      <c r="AD80" s="7346">
        <f t="shared" si="563"/>
        <v>28.041185177830258</v>
      </c>
      <c r="AE80" s="1823">
        <f t="shared" si="563"/>
        <v>24.805387186267545</v>
      </c>
      <c r="AF80" s="2680">
        <f t="shared" si="563"/>
        <v>30</v>
      </c>
      <c r="AG80" s="2559">
        <f t="shared" si="563"/>
        <v>28.861794963860312</v>
      </c>
      <c r="AH80" s="7594">
        <f t="shared" si="563"/>
        <v>28.328772056954293</v>
      </c>
      <c r="AI80" s="1823">
        <f t="shared" si="563"/>
        <v>25.409180096870347</v>
      </c>
      <c r="AJ80" s="2680">
        <f t="shared" si="563"/>
        <v>30</v>
      </c>
      <c r="AK80" s="2559">
        <f t="shared" ref="AK80:AP80" si="564">+AK25</f>
        <v>23.618734611822635</v>
      </c>
      <c r="AL80" s="7737">
        <f t="shared" si="564"/>
        <v>30</v>
      </c>
      <c r="AM80" s="2888">
        <f t="shared" si="564"/>
        <v>27.168921024874656</v>
      </c>
      <c r="AN80" s="7735">
        <f t="shared" si="564"/>
        <v>28.5523108257036</v>
      </c>
      <c r="AO80" s="1823">
        <f t="shared" si="564"/>
        <v>25.156130906536944</v>
      </c>
      <c r="AP80" s="2680">
        <f t="shared" si="564"/>
        <v>30</v>
      </c>
      <c r="AQ80" s="2559">
        <f t="shared" ref="AQ80:AT80" si="565">+AQ25</f>
        <v>20.649889073031773</v>
      </c>
      <c r="AR80" s="8045">
        <f t="shared" si="565"/>
        <v>28.720630394608829</v>
      </c>
      <c r="AS80" s="1823">
        <f t="shared" si="565"/>
        <v>24.565860600991247</v>
      </c>
      <c r="AT80" s="2680">
        <f t="shared" si="565"/>
        <v>30</v>
      </c>
      <c r="AU80" s="2559">
        <f t="shared" ref="AU80:AX80" si="566">+AU25</f>
        <v>9.3592575201590691</v>
      </c>
      <c r="AV80" s="8171">
        <f t="shared" si="566"/>
        <v>28.843851305677145</v>
      </c>
      <c r="AW80" s="1823">
        <f t="shared" si="566"/>
        <v>22.940914477356113</v>
      </c>
      <c r="AX80" s="2680">
        <f t="shared" si="566"/>
        <v>30</v>
      </c>
      <c r="AY80" s="2559">
        <f t="shared" ref="AY80:BE80" si="567">+AY25</f>
        <v>12.977165874767731</v>
      </c>
      <c r="AZ80" s="8323">
        <f t="shared" si="567"/>
        <v>30</v>
      </c>
      <c r="BA80" s="2888">
        <f t="shared" si="567"/>
        <v>14.445560828964453</v>
      </c>
      <c r="BB80" s="8323">
        <f t="shared" ref="BB80:BC80" si="568">+BB25</f>
        <v>30</v>
      </c>
      <c r="BC80" s="2888">
        <f t="shared" si="568"/>
        <v>20.336852869987407</v>
      </c>
      <c r="BD80" s="8324">
        <f t="shared" si="567"/>
        <v>28.955432740494153</v>
      </c>
      <c r="BE80" s="6686">
        <f t="shared" si="567"/>
        <v>21.840286071903144</v>
      </c>
    </row>
    <row r="81" spans="2:57" ht="15" hidden="1" customHeight="1" x14ac:dyDescent="0.2">
      <c r="B81" s="1533" t="s">
        <v>1391</v>
      </c>
      <c r="C81" s="1545" t="s">
        <v>709</v>
      </c>
      <c r="D81" s="3224">
        <f t="shared" ref="D81:F81" si="569">+D22</f>
        <v>0</v>
      </c>
      <c r="E81" s="4146">
        <f t="shared" ref="E81" si="570">+E22</f>
        <v>0</v>
      </c>
      <c r="F81" s="3224">
        <f t="shared" si="569"/>
        <v>0</v>
      </c>
      <c r="G81" s="3179">
        <f t="shared" ref="G81:J81" si="571">+G22</f>
        <v>0</v>
      </c>
      <c r="H81" s="6870">
        <f t="shared" si="571"/>
        <v>0</v>
      </c>
      <c r="I81" s="1823">
        <f t="shared" si="571"/>
        <v>0</v>
      </c>
      <c r="J81" s="3224">
        <f t="shared" si="571"/>
        <v>0</v>
      </c>
      <c r="K81" s="3179">
        <f t="shared" ref="K81" si="572">+K22</f>
        <v>0</v>
      </c>
      <c r="L81" s="6871">
        <f t="shared" ref="L81:N81" si="573">+L22</f>
        <v>0</v>
      </c>
      <c r="M81" s="2888">
        <f t="shared" si="573"/>
        <v>0</v>
      </c>
      <c r="N81" s="2706">
        <f t="shared" si="573"/>
        <v>0</v>
      </c>
      <c r="O81" s="2559">
        <f t="shared" ref="O81:R81" si="574">+O22</f>
        <v>0</v>
      </c>
      <c r="P81" s="6870">
        <f t="shared" si="574"/>
        <v>0</v>
      </c>
      <c r="Q81" s="1823">
        <f t="shared" si="574"/>
        <v>0</v>
      </c>
      <c r="R81" s="2706">
        <f t="shared" si="574"/>
        <v>0</v>
      </c>
      <c r="S81" s="2559">
        <f t="shared" ref="S81:V81" si="575">+S22</f>
        <v>0</v>
      </c>
      <c r="T81" s="6870">
        <f t="shared" si="575"/>
        <v>0</v>
      </c>
      <c r="U81" s="1823">
        <f t="shared" si="575"/>
        <v>0</v>
      </c>
      <c r="V81" s="2706">
        <f t="shared" si="575"/>
        <v>0</v>
      </c>
      <c r="W81" s="2559">
        <f t="shared" ref="W81:AJ81" si="576">+W22</f>
        <v>0</v>
      </c>
      <c r="X81" s="6871">
        <f t="shared" si="576"/>
        <v>0</v>
      </c>
      <c r="Y81" s="2888">
        <f t="shared" si="576"/>
        <v>0</v>
      </c>
      <c r="Z81" s="6872">
        <f t="shared" si="576"/>
        <v>0</v>
      </c>
      <c r="AA81" s="6686">
        <f t="shared" si="576"/>
        <v>0</v>
      </c>
      <c r="AB81" s="2706">
        <f t="shared" si="576"/>
        <v>0</v>
      </c>
      <c r="AC81" s="2559">
        <f t="shared" si="576"/>
        <v>0</v>
      </c>
      <c r="AD81" s="7346">
        <f t="shared" si="576"/>
        <v>0</v>
      </c>
      <c r="AE81" s="1823">
        <f t="shared" si="576"/>
        <v>0</v>
      </c>
      <c r="AF81" s="2706">
        <f t="shared" si="576"/>
        <v>0</v>
      </c>
      <c r="AG81" s="2559">
        <f t="shared" si="576"/>
        <v>0</v>
      </c>
      <c r="AH81" s="7594">
        <f t="shared" si="576"/>
        <v>0</v>
      </c>
      <c r="AI81" s="1823">
        <f t="shared" si="576"/>
        <v>0</v>
      </c>
      <c r="AJ81" s="2706">
        <f t="shared" si="576"/>
        <v>0</v>
      </c>
      <c r="AK81" s="2559">
        <f t="shared" ref="AK81:AP81" si="577">+AK22</f>
        <v>0</v>
      </c>
      <c r="AL81" s="7737">
        <f t="shared" si="577"/>
        <v>0</v>
      </c>
      <c r="AM81" s="2888">
        <f t="shared" si="577"/>
        <v>0</v>
      </c>
      <c r="AN81" s="7735">
        <f t="shared" si="577"/>
        <v>0</v>
      </c>
      <c r="AO81" s="1823">
        <f t="shared" si="577"/>
        <v>0</v>
      </c>
      <c r="AP81" s="2706">
        <f t="shared" si="577"/>
        <v>0</v>
      </c>
      <c r="AQ81" s="2559">
        <f t="shared" ref="AQ81:AT81" si="578">+AQ22</f>
        <v>0</v>
      </c>
      <c r="AR81" s="8045">
        <f t="shared" si="578"/>
        <v>0</v>
      </c>
      <c r="AS81" s="1823">
        <f t="shared" si="578"/>
        <v>0</v>
      </c>
      <c r="AT81" s="2706">
        <f t="shared" si="578"/>
        <v>0</v>
      </c>
      <c r="AU81" s="2559">
        <f t="shared" ref="AU81:AX81" si="579">+AU22</f>
        <v>0</v>
      </c>
      <c r="AV81" s="8171">
        <f t="shared" si="579"/>
        <v>0</v>
      </c>
      <c r="AW81" s="1823">
        <f t="shared" si="579"/>
        <v>0</v>
      </c>
      <c r="AX81" s="2706">
        <f t="shared" si="579"/>
        <v>0</v>
      </c>
      <c r="AY81" s="2559">
        <f t="shared" ref="AY81:BE81" si="580">+AY22</f>
        <v>0</v>
      </c>
      <c r="AZ81" s="8323">
        <f t="shared" si="580"/>
        <v>0</v>
      </c>
      <c r="BA81" s="2888">
        <f t="shared" si="580"/>
        <v>0</v>
      </c>
      <c r="BB81" s="8323">
        <f t="shared" ref="BB81:BC81" si="581">+BB22</f>
        <v>0</v>
      </c>
      <c r="BC81" s="2888">
        <f t="shared" si="581"/>
        <v>0</v>
      </c>
      <c r="BD81" s="8324">
        <f t="shared" si="580"/>
        <v>0</v>
      </c>
      <c r="BE81" s="6686">
        <f t="shared" si="580"/>
        <v>0</v>
      </c>
    </row>
    <row r="82" spans="2:57" x14ac:dyDescent="0.2">
      <c r="B82" s="1533" t="s">
        <v>2050</v>
      </c>
      <c r="C82" s="1545" t="s">
        <v>709</v>
      </c>
      <c r="D82" s="3220">
        <f>+D44+D26</f>
        <v>12.945781570749164</v>
      </c>
      <c r="E82" s="4146">
        <f>+E44+E26</f>
        <v>12.945781570749164</v>
      </c>
      <c r="F82" s="3220">
        <f t="shared" ref="F82:N82" si="582">+F44+F26</f>
        <v>13.107689733076731</v>
      </c>
      <c r="G82" s="3179">
        <f t="shared" si="582"/>
        <v>13.492594761944607</v>
      </c>
      <c r="H82" s="6870">
        <f t="shared" si="582"/>
        <v>13.027372451292301</v>
      </c>
      <c r="I82" s="1823">
        <f t="shared" si="582"/>
        <v>13.221338831858557</v>
      </c>
      <c r="J82" s="3220">
        <f t="shared" ref="J82:K82" si="583">+J44+J26</f>
        <v>15</v>
      </c>
      <c r="K82" s="3179">
        <f t="shared" si="583"/>
        <v>13.345308415949889</v>
      </c>
      <c r="L82" s="4792">
        <f t="shared" si="582"/>
        <v>13.729021005144311</v>
      </c>
      <c r="M82" s="2888">
        <f t="shared" si="582"/>
        <v>13.265292236510852</v>
      </c>
      <c r="N82" s="2680">
        <f t="shared" si="582"/>
        <v>15</v>
      </c>
      <c r="O82" s="2559">
        <f>+O44+O26</f>
        <v>16.014569696643864</v>
      </c>
      <c r="P82" s="6870">
        <f t="shared" ref="P82" si="584">+P44</f>
        <v>14.137550793699841</v>
      </c>
      <c r="Q82" s="1823">
        <f>+Q44+Q26</f>
        <v>14.057769159691377</v>
      </c>
      <c r="R82" s="2680">
        <f t="shared" ref="R82" si="585">+R44+R26</f>
        <v>15</v>
      </c>
      <c r="S82" s="2559">
        <f>+S44+S26</f>
        <v>11.869363880087741</v>
      </c>
      <c r="T82" s="6870">
        <f t="shared" ref="T82" si="586">+T44</f>
        <v>14.346409479627518</v>
      </c>
      <c r="U82" s="1823">
        <f>+U44+U26</f>
        <v>13.581487408916209</v>
      </c>
      <c r="V82" s="2680">
        <f t="shared" ref="V82" si="587">+V44+V26</f>
        <v>15</v>
      </c>
      <c r="W82" s="2559">
        <f>+W44+W26</f>
        <v>13.165645075192813</v>
      </c>
      <c r="X82" s="4792">
        <f t="shared" ref="X82:Y82" si="588">+X44+X26</f>
        <v>15</v>
      </c>
      <c r="Y82" s="2888">
        <f t="shared" si="588"/>
        <v>13.758505563991513</v>
      </c>
      <c r="Z82" s="6872">
        <f t="shared" ref="Z82" si="589">+Z44</f>
        <v>14.472477882315589</v>
      </c>
      <c r="AA82" s="6686">
        <f>+AA44+AA26</f>
        <v>13.522692671044105</v>
      </c>
      <c r="AB82" s="2680">
        <f t="shared" ref="AB82" si="590">+AB44+AB26</f>
        <v>15</v>
      </c>
      <c r="AC82" s="2559">
        <f>+AC44+AC26</f>
        <v>10.696639896768936</v>
      </c>
      <c r="AD82" s="7346">
        <f t="shared" ref="AD82" si="591">+AD44</f>
        <v>14.52138770414706</v>
      </c>
      <c r="AE82" s="1823">
        <f>+AE44+AE26</f>
        <v>13.068283885452949</v>
      </c>
      <c r="AF82" s="2680">
        <f t="shared" ref="AF82" si="592">+AF44+AF26</f>
        <v>15</v>
      </c>
      <c r="AG82" s="2559">
        <f>+AG44+AG26</f>
        <v>12.876032283747287</v>
      </c>
      <c r="AH82" s="7594">
        <f t="shared" ref="AH82" si="593">+AH44</f>
        <v>14.591656018903977</v>
      </c>
      <c r="AI82" s="1823">
        <f>+AI44+AI26</f>
        <v>13.03966739506874</v>
      </c>
      <c r="AJ82" s="2680">
        <f t="shared" ref="AJ82" si="594">+AJ44+AJ26</f>
        <v>15</v>
      </c>
      <c r="AK82" s="2559">
        <f>+AK44+AK26</f>
        <v>16.133586320616207</v>
      </c>
      <c r="AL82" s="4792">
        <f t="shared" ref="AL82:AM82" si="595">+AL44+AL26</f>
        <v>15</v>
      </c>
      <c r="AM82" s="2888">
        <f t="shared" si="595"/>
        <v>13.404366430050221</v>
      </c>
      <c r="AN82" s="7735">
        <f t="shared" ref="AN82" si="596">+AN44</f>
        <v>14.646274966092019</v>
      </c>
      <c r="AO82" s="1823">
        <f>+AO44+AO26</f>
        <v>13.476940512628147</v>
      </c>
      <c r="AP82" s="2680">
        <f t="shared" ref="AP82" si="597">+AP44+AP26</f>
        <v>15</v>
      </c>
      <c r="AQ82" s="2559">
        <f>+AQ44+AQ26</f>
        <v>17.653007735766138</v>
      </c>
      <c r="AR82" s="8045">
        <f t="shared" ref="AR82" si="598">+AR44</f>
        <v>14.687401781347313</v>
      </c>
      <c r="AS82" s="1823">
        <f>+AS44+AS26</f>
        <v>14.023961415379748</v>
      </c>
      <c r="AT82" s="2680">
        <f t="shared" ref="AT82" si="599">+AT44+AT26</f>
        <v>15</v>
      </c>
      <c r="AU82" s="2559">
        <f>+AU44+AU26</f>
        <v>17.399697396567017</v>
      </c>
      <c r="AV82" s="8171">
        <f t="shared" ref="AV82" si="600">+AV44</f>
        <v>14.71750929456195</v>
      </c>
      <c r="AW82" s="1823">
        <f>+AW44+AW26</f>
        <v>14.384685573687017</v>
      </c>
      <c r="AX82" s="2680">
        <f t="shared" ref="AX82" si="601">+AX44+AX26</f>
        <v>15</v>
      </c>
      <c r="AY82" s="2559">
        <f>+AY44+AY26</f>
        <v>15.324179729881402</v>
      </c>
      <c r="AZ82" s="4792">
        <f t="shared" ref="AZ82:BA82" si="602">+AZ44+AZ26</f>
        <v>15</v>
      </c>
      <c r="BA82" s="2888">
        <f t="shared" si="602"/>
        <v>16.744284561173373</v>
      </c>
      <c r="BB82" s="4792">
        <f t="shared" ref="BB82:BC82" si="603">+BB44+BB26</f>
        <v>15</v>
      </c>
      <c r="BC82" s="2888">
        <f t="shared" si="603"/>
        <v>15.197803694438273</v>
      </c>
      <c r="BD82" s="8324">
        <f t="shared" ref="BD82" si="604">+BD44</f>
        <v>14.744772844994541</v>
      </c>
      <c r="BE82" s="6686">
        <f>+BE44+BE26</f>
        <v>14.488465184785994</v>
      </c>
    </row>
    <row r="83" spans="2:57" ht="15" hidden="1" customHeight="1" x14ac:dyDescent="0.2">
      <c r="B83" s="2395" t="s">
        <v>1340</v>
      </c>
      <c r="C83" s="1545" t="s">
        <v>709</v>
      </c>
      <c r="D83" s="7032">
        <f t="shared" ref="D83:R83" si="605">+D26</f>
        <v>0</v>
      </c>
      <c r="E83" s="4626">
        <f t="shared" si="605"/>
        <v>0</v>
      </c>
      <c r="F83" s="7032">
        <f t="shared" ref="F83" si="606">+F26</f>
        <v>0</v>
      </c>
      <c r="G83" s="5909">
        <f t="shared" si="605"/>
        <v>0.38490502886787714</v>
      </c>
      <c r="H83" s="6867">
        <f t="shared" si="605"/>
        <v>0</v>
      </c>
      <c r="I83" s="5601">
        <f t="shared" si="605"/>
        <v>0.19396638056625531</v>
      </c>
      <c r="J83" s="7032">
        <f t="shared" si="605"/>
        <v>0</v>
      </c>
      <c r="K83" s="5909">
        <f t="shared" ref="K83" si="607">+K26</f>
        <v>0</v>
      </c>
      <c r="L83" s="6865">
        <f t="shared" si="605"/>
        <v>0</v>
      </c>
      <c r="M83" s="2921">
        <f t="shared" si="605"/>
        <v>0.12519561815336464</v>
      </c>
      <c r="N83" s="2696">
        <f t="shared" ref="N83" si="608">+N26</f>
        <v>0</v>
      </c>
      <c r="O83" s="3138">
        <f t="shared" si="605"/>
        <v>3.3601698901896477</v>
      </c>
      <c r="P83" s="6867">
        <f t="shared" si="605"/>
        <v>0</v>
      </c>
      <c r="Q83" s="5601">
        <f t="shared" si="605"/>
        <v>1.0576742402082806</v>
      </c>
      <c r="R83" s="2696">
        <f t="shared" si="605"/>
        <v>0</v>
      </c>
      <c r="S83" s="3138">
        <f t="shared" ref="S83:V83" si="609">+S26</f>
        <v>0.50485707322168449</v>
      </c>
      <c r="T83" s="6867">
        <f t="shared" si="609"/>
        <v>0</v>
      </c>
      <c r="U83" s="5601">
        <f t="shared" si="609"/>
        <v>0.93735981280083414</v>
      </c>
      <c r="V83" s="2696">
        <f t="shared" si="609"/>
        <v>0</v>
      </c>
      <c r="W83" s="3138">
        <f t="shared" ref="W83:AJ83" si="610">+W26</f>
        <v>0</v>
      </c>
      <c r="X83" s="6865">
        <f t="shared" si="610"/>
        <v>0</v>
      </c>
      <c r="Y83" s="2921">
        <f t="shared" si="610"/>
        <v>1.427463652661316</v>
      </c>
      <c r="Z83" s="6862">
        <f t="shared" si="610"/>
        <v>0</v>
      </c>
      <c r="AA83" s="6917">
        <f t="shared" si="610"/>
        <v>0.80482923566597186</v>
      </c>
      <c r="AB83" s="2696">
        <f t="shared" si="610"/>
        <v>0</v>
      </c>
      <c r="AC83" s="3138">
        <f t="shared" si="610"/>
        <v>0</v>
      </c>
      <c r="AD83" s="7343">
        <f t="shared" si="610"/>
        <v>0</v>
      </c>
      <c r="AE83" s="5601">
        <f t="shared" si="610"/>
        <v>0.6754185328948481</v>
      </c>
      <c r="AF83" s="2696">
        <f t="shared" si="610"/>
        <v>0</v>
      </c>
      <c r="AG83" s="3138">
        <f t="shared" si="610"/>
        <v>0</v>
      </c>
      <c r="AH83" s="7343">
        <f t="shared" si="610"/>
        <v>0</v>
      </c>
      <c r="AI83" s="5601">
        <f t="shared" si="610"/>
        <v>0.57488304824649061</v>
      </c>
      <c r="AJ83" s="2696">
        <f t="shared" si="610"/>
        <v>0</v>
      </c>
      <c r="AK83" s="3138">
        <f t="shared" ref="AK83:AP83" si="611">+AK26</f>
        <v>0</v>
      </c>
      <c r="AL83" s="6865">
        <f t="shared" si="611"/>
        <v>0</v>
      </c>
      <c r="AM83" s="2921">
        <f t="shared" si="611"/>
        <v>0</v>
      </c>
      <c r="AN83" s="7343">
        <f t="shared" si="611"/>
        <v>0</v>
      </c>
      <c r="AO83" s="5601">
        <f t="shared" si="611"/>
        <v>0.49363305146633363</v>
      </c>
      <c r="AP83" s="2696">
        <f t="shared" si="611"/>
        <v>0</v>
      </c>
      <c r="AQ83" s="3138">
        <f t="shared" ref="AQ83:AT83" si="612">+AQ26</f>
        <v>0</v>
      </c>
      <c r="AR83" s="7343">
        <f t="shared" si="612"/>
        <v>0</v>
      </c>
      <c r="AS83" s="5601">
        <f t="shared" si="612"/>
        <v>0.42897231134581482</v>
      </c>
      <c r="AT83" s="2696">
        <f t="shared" si="612"/>
        <v>0</v>
      </c>
      <c r="AU83" s="3138">
        <f t="shared" ref="AU83:AX83" si="613">+AU26</f>
        <v>0</v>
      </c>
      <c r="AV83" s="7343">
        <f t="shared" si="613"/>
        <v>0</v>
      </c>
      <c r="AW83" s="5601">
        <f t="shared" si="613"/>
        <v>0.38313321823850399</v>
      </c>
      <c r="AX83" s="2696">
        <f t="shared" si="613"/>
        <v>0</v>
      </c>
      <c r="AY83" s="3138">
        <f t="shared" ref="AY83:BE83" si="614">+AY26</f>
        <v>0</v>
      </c>
      <c r="AZ83" s="6865">
        <f t="shared" si="614"/>
        <v>0</v>
      </c>
      <c r="BA83" s="2921">
        <f t="shared" si="614"/>
        <v>0</v>
      </c>
      <c r="BB83" s="6865">
        <f t="shared" ref="BB83:BC83" si="615">+BB26</f>
        <v>0</v>
      </c>
      <c r="BC83" s="2921">
        <f t="shared" si="615"/>
        <v>0</v>
      </c>
      <c r="BD83" s="6862">
        <f t="shared" si="614"/>
        <v>0</v>
      </c>
      <c r="BE83" s="6917">
        <f t="shared" si="614"/>
        <v>0.34081106420941065</v>
      </c>
    </row>
    <row r="84" spans="2:57" ht="16" thickBot="1" x14ac:dyDescent="0.25">
      <c r="B84" s="1533" t="s">
        <v>2053</v>
      </c>
      <c r="C84" s="1548" t="s">
        <v>709</v>
      </c>
      <c r="D84" s="7195">
        <f t="shared" ref="D84:R84" si="616">+D21+D45</f>
        <v>63.789637424613986</v>
      </c>
      <c r="E84" s="4146">
        <f>+E21+E45</f>
        <v>63.789637424613986</v>
      </c>
      <c r="F84" s="7195">
        <f t="shared" ref="F84" si="617">+F21+F45</f>
        <v>63.174629738097231</v>
      </c>
      <c r="G84" s="6936">
        <f t="shared" si="616"/>
        <v>63.174629738097231</v>
      </c>
      <c r="H84" s="6867">
        <f t="shared" si="616"/>
        <v>63.479714700754151</v>
      </c>
      <c r="I84" s="1828">
        <f t="shared" si="616"/>
        <v>63.479714700754151</v>
      </c>
      <c r="J84" s="7195">
        <f t="shared" si="616"/>
        <v>61</v>
      </c>
      <c r="K84" s="6936">
        <f t="shared" ref="K84" si="618">+K21+K45</f>
        <v>62.178313585961519</v>
      </c>
      <c r="L84" s="6865">
        <f t="shared" si="616"/>
        <v>62.597699119612365</v>
      </c>
      <c r="M84" s="3904">
        <f t="shared" si="616"/>
        <v>63.018303055045244</v>
      </c>
      <c r="N84" s="2682">
        <f t="shared" ref="N84" si="619">+N21+N45</f>
        <v>61.000000000000007</v>
      </c>
      <c r="O84" s="3178">
        <f t="shared" si="616"/>
        <v>62.835176946546419</v>
      </c>
      <c r="P84" s="6867">
        <f t="shared" si="616"/>
        <v>62.084151935786018</v>
      </c>
      <c r="Q84" s="1828">
        <f t="shared" si="616"/>
        <v>62.965517107783981</v>
      </c>
      <c r="R84" s="2682">
        <f t="shared" si="616"/>
        <v>61</v>
      </c>
      <c r="S84" s="3178">
        <f t="shared" ref="S84:V84" si="620">+S21+S45</f>
        <v>64.412798997249396</v>
      </c>
      <c r="T84" s="6867">
        <f t="shared" si="620"/>
        <v>61.821603663957234</v>
      </c>
      <c r="U84" s="1828">
        <f t="shared" si="620"/>
        <v>63.280501703463912</v>
      </c>
      <c r="V84" s="2682">
        <f t="shared" si="620"/>
        <v>61</v>
      </c>
      <c r="W84" s="7282">
        <f>+W21+W45</f>
        <v>72.8643216080402</v>
      </c>
      <c r="X84" s="6865">
        <f t="shared" ref="X84:AJ84" si="621">+X21+X45</f>
        <v>61</v>
      </c>
      <c r="Y84" s="3904">
        <f t="shared" si="621"/>
        <v>66.117124327720717</v>
      </c>
      <c r="Z84" s="6862">
        <f t="shared" si="621"/>
        <v>61.663127893074375</v>
      </c>
      <c r="AA84" s="6838">
        <f t="shared" si="621"/>
        <v>64.63553012026243</v>
      </c>
      <c r="AB84" s="2682">
        <f t="shared" si="621"/>
        <v>61</v>
      </c>
      <c r="AC84" s="3178">
        <f t="shared" si="621"/>
        <v>69.996774029237471</v>
      </c>
      <c r="AD84" s="7343">
        <f t="shared" si="621"/>
        <v>61.601645225306598</v>
      </c>
      <c r="AE84" s="1828">
        <f t="shared" si="621"/>
        <v>65.497579249744874</v>
      </c>
      <c r="AF84" s="2682">
        <f t="shared" si="621"/>
        <v>61</v>
      </c>
      <c r="AG84" s="3178">
        <f t="shared" si="621"/>
        <v>72.198198479479217</v>
      </c>
      <c r="AH84" s="7343">
        <f t="shared" si="621"/>
        <v>61.513313612370283</v>
      </c>
      <c r="AI84" s="1828">
        <f t="shared" si="621"/>
        <v>66.494960827087993</v>
      </c>
      <c r="AJ84" s="2682">
        <f t="shared" si="621"/>
        <v>61</v>
      </c>
      <c r="AK84" s="7282">
        <f>+AK21+AK45</f>
        <v>76.921122179304746</v>
      </c>
      <c r="AL84" s="6865">
        <f t="shared" ref="AL84:AP84" si="622">+AL21+AL45</f>
        <v>61</v>
      </c>
      <c r="AM84" s="3904">
        <f t="shared" si="622"/>
        <v>73.255461133736105</v>
      </c>
      <c r="AN84" s="7343">
        <f t="shared" si="622"/>
        <v>61.444654221310564</v>
      </c>
      <c r="AO84" s="1828">
        <f t="shared" si="622"/>
        <v>67.96852241301562</v>
      </c>
      <c r="AP84" s="2682">
        <f t="shared" si="622"/>
        <v>61</v>
      </c>
      <c r="AQ84" s="7282">
        <f>+AQ21+AQ45</f>
        <v>74.85584788974019</v>
      </c>
      <c r="AR84" s="7343">
        <f t="shared" ref="AR84:AT84" si="623">+AR21+AR45</f>
        <v>61.392955273655403</v>
      </c>
      <c r="AS84" s="1828">
        <f t="shared" si="623"/>
        <v>68.870689643214334</v>
      </c>
      <c r="AT84" s="2682">
        <f t="shared" si="623"/>
        <v>61</v>
      </c>
      <c r="AU84" s="7282">
        <f>+AU21+AU45</f>
        <v>72.433522895254001</v>
      </c>
      <c r="AV84" s="7343">
        <f t="shared" ref="AV84:AX84" si="624">+AV21+AV45</f>
        <v>61.355108269455144</v>
      </c>
      <c r="AW84" s="1828">
        <f t="shared" si="624"/>
        <v>69.251406628545368</v>
      </c>
      <c r="AX84" s="2682">
        <f t="shared" si="624"/>
        <v>61</v>
      </c>
      <c r="AY84" s="7282">
        <f>+AY21+AY45</f>
        <v>63.509047601232119</v>
      </c>
      <c r="AZ84" s="6865">
        <f t="shared" ref="AZ84:BE84" si="625">+AZ21+AZ45</f>
        <v>61</v>
      </c>
      <c r="BA84" s="3904">
        <f t="shared" si="625"/>
        <v>70.063461861921724</v>
      </c>
      <c r="BB84" s="6865">
        <f t="shared" ref="BB84:BC84" si="626">+BB21+BB45</f>
        <v>61</v>
      </c>
      <c r="BC84" s="3904">
        <f t="shared" si="626"/>
        <v>71.541451922364715</v>
      </c>
      <c r="BD84" s="6862">
        <f t="shared" si="625"/>
        <v>61.320836302176417</v>
      </c>
      <c r="BE84" s="6838">
        <f t="shared" si="625"/>
        <v>68.617086784493068</v>
      </c>
    </row>
    <row r="85" spans="2:57" ht="17" thickBot="1" x14ac:dyDescent="0.25">
      <c r="B85" s="1580" t="s">
        <v>97</v>
      </c>
      <c r="C85" s="1562" t="s">
        <v>709</v>
      </c>
      <c r="D85" s="2319">
        <f t="shared" ref="D85:Q85" si="627">SUM(D74:D84)</f>
        <v>1280.2978464781611</v>
      </c>
      <c r="E85" s="2817">
        <f t="shared" si="627"/>
        <v>1280.2978464781611</v>
      </c>
      <c r="F85" s="2319">
        <f t="shared" si="627"/>
        <v>1288.5490753911811</v>
      </c>
      <c r="G85" s="1682">
        <f t="shared" si="627"/>
        <v>1289.3188854489167</v>
      </c>
      <c r="H85" s="2320">
        <f t="shared" si="627"/>
        <v>1269.9210851997325</v>
      </c>
      <c r="I85" s="1825">
        <f t="shared" si="627"/>
        <v>1284.8438465219929</v>
      </c>
      <c r="J85" s="3222">
        <f t="shared" si="627"/>
        <v>1264.0999999999999</v>
      </c>
      <c r="K85" s="6092">
        <f t="shared" si="627"/>
        <v>1280.7427621756269</v>
      </c>
      <c r="L85" s="2951">
        <f t="shared" si="627"/>
        <v>1267.8505696506024</v>
      </c>
      <c r="M85" s="2005">
        <f t="shared" si="627"/>
        <v>1283.3898074436959</v>
      </c>
      <c r="N85" s="2319">
        <f t="shared" si="627"/>
        <v>1264.1000000000004</v>
      </c>
      <c r="O85" s="1682">
        <f t="shared" si="627"/>
        <v>1335.3113533420249</v>
      </c>
      <c r="P85" s="2320">
        <f t="shared" si="627"/>
        <v>1266.6450269685242</v>
      </c>
      <c r="Q85" s="1825">
        <f t="shared" si="627"/>
        <v>1298.3561495233687</v>
      </c>
      <c r="R85" s="2319">
        <f t="shared" ref="R85:U85" si="628">SUM(R74:R84)</f>
        <v>1264.0999999999999</v>
      </c>
      <c r="S85" s="1682">
        <f t="shared" si="628"/>
        <v>1314.5886285296476</v>
      </c>
      <c r="T85" s="2320">
        <f t="shared" si="628"/>
        <v>1266.0286996713185</v>
      </c>
      <c r="U85" s="1825">
        <f t="shared" si="628"/>
        <v>1301.8889656761114</v>
      </c>
      <c r="V85" s="2319">
        <f t="shared" ref="V85:AI85" si="629">SUM(V74:V84)</f>
        <v>1264.0999999999999</v>
      </c>
      <c r="W85" s="1682">
        <f t="shared" si="629"/>
        <v>1295.7599352071713</v>
      </c>
      <c r="X85" s="2951">
        <f t="shared" ref="X85:Y85" si="630">SUM(X74:X84)</f>
        <v>1264.0999999999999</v>
      </c>
      <c r="Y85" s="2005">
        <f t="shared" si="630"/>
        <v>1317.1761901556119</v>
      </c>
      <c r="Z85" s="6598">
        <f t="shared" si="629"/>
        <v>1265.6566806789233</v>
      </c>
      <c r="AA85" s="6594">
        <f t="shared" si="629"/>
        <v>1301.0223998875711</v>
      </c>
      <c r="AB85" s="2319">
        <f t="shared" si="629"/>
        <v>1264.0999999999999</v>
      </c>
      <c r="AC85" s="1682">
        <f t="shared" si="629"/>
        <v>1272.1530808020782</v>
      </c>
      <c r="AD85" s="2320">
        <f t="shared" si="629"/>
        <v>1265.5123512335745</v>
      </c>
      <c r="AE85" s="1825">
        <f t="shared" si="629"/>
        <v>1296.3804227999894</v>
      </c>
      <c r="AF85" s="2319">
        <f t="shared" si="629"/>
        <v>1264.0999999999999</v>
      </c>
      <c r="AG85" s="1682">
        <f t="shared" si="629"/>
        <v>1300.3855940802725</v>
      </c>
      <c r="AH85" s="2320">
        <f t="shared" si="629"/>
        <v>1265.3049943773294</v>
      </c>
      <c r="AI85" s="1825">
        <f t="shared" si="629"/>
        <v>1296.9765892007499</v>
      </c>
      <c r="AJ85" s="2319">
        <f t="shared" ref="AJ85:AO85" si="631">SUM(AJ74:AJ84)</f>
        <v>1264.0999999999999</v>
      </c>
      <c r="AK85" s="1682">
        <f t="shared" si="631"/>
        <v>1306.6934336247205</v>
      </c>
      <c r="AL85" s="2951">
        <f t="shared" si="631"/>
        <v>1264.0999999999999</v>
      </c>
      <c r="AM85" s="2005">
        <f t="shared" si="631"/>
        <v>1294.1106654914968</v>
      </c>
      <c r="AN85" s="2320">
        <f t="shared" si="631"/>
        <v>1265.1438177044654</v>
      </c>
      <c r="AO85" s="1825">
        <f t="shared" si="631"/>
        <v>1298.3499008344272</v>
      </c>
      <c r="AP85" s="2319">
        <f t="shared" ref="AP85:AS85" si="632">SUM(AP74:AP84)</f>
        <v>1264.0999999999999</v>
      </c>
      <c r="AQ85" s="1682">
        <f t="shared" si="632"/>
        <v>1326.7871420024039</v>
      </c>
      <c r="AR85" s="2320">
        <f t="shared" si="632"/>
        <v>1265.0224553642952</v>
      </c>
      <c r="AS85" s="1825">
        <f t="shared" si="632"/>
        <v>1302.0748804634152</v>
      </c>
      <c r="AT85" s="2319">
        <f t="shared" ref="AT85:AW85" si="633">SUM(AT74:AT84)</f>
        <v>1264.1028213166144</v>
      </c>
      <c r="AU85" s="1682">
        <f t="shared" si="633"/>
        <v>1328.7044283287826</v>
      </c>
      <c r="AV85" s="2320">
        <f t="shared" si="633"/>
        <v>1264.9338819413165</v>
      </c>
      <c r="AW85" s="1825">
        <f t="shared" si="633"/>
        <v>1304.9204588182893</v>
      </c>
      <c r="AX85" s="2319">
        <f t="shared" ref="AX85:BE85" si="634">SUM(AX74:AX84)</f>
        <v>1264.0990955342002</v>
      </c>
      <c r="AY85" s="1682">
        <f t="shared" si="634"/>
        <v>1302.2534824846923</v>
      </c>
      <c r="AZ85" s="2951">
        <f t="shared" si="634"/>
        <v>1264.1005681818183</v>
      </c>
      <c r="BA85" s="2005">
        <f t="shared" si="634"/>
        <v>1318.6219760836616</v>
      </c>
      <c r="BB85" s="2951">
        <f t="shared" ref="BB85:BC85" si="635">SUM(BB74:BB84)</f>
        <v>1264.10030651341</v>
      </c>
      <c r="BC85" s="2005">
        <f t="shared" si="635"/>
        <v>1307.2725144019059</v>
      </c>
      <c r="BD85" s="6598">
        <f t="shared" si="634"/>
        <v>1264.8533156045387</v>
      </c>
      <c r="BE85" s="6594">
        <f t="shared" si="634"/>
        <v>1304.6258558504201</v>
      </c>
    </row>
    <row r="86" spans="2:57" s="3380" customFormat="1" ht="19" thickBot="1" x14ac:dyDescent="0.25">
      <c r="B86" s="6468" t="s">
        <v>972</v>
      </c>
      <c r="C86" s="5051"/>
      <c r="D86" s="6469"/>
      <c r="E86" s="6470"/>
      <c r="F86" s="6469"/>
      <c r="G86" s="6471"/>
      <c r="H86" s="6469"/>
      <c r="I86" s="5050"/>
      <c r="J86" s="5049"/>
      <c r="K86" s="5050"/>
      <c r="L86" s="5049"/>
      <c r="M86" s="5050"/>
      <c r="N86" s="5049"/>
      <c r="O86" s="5050"/>
      <c r="P86" s="6469"/>
      <c r="Q86" s="5050"/>
      <c r="R86" s="5049"/>
      <c r="S86" s="5050"/>
      <c r="T86" s="6469"/>
      <c r="U86" s="5050"/>
      <c r="V86" s="5049"/>
      <c r="W86" s="5050"/>
      <c r="X86" s="5049"/>
      <c r="Y86" s="5050"/>
      <c r="Z86" s="5049"/>
      <c r="AA86" s="6940"/>
      <c r="AB86" s="5049"/>
      <c r="AC86" s="5050"/>
      <c r="AD86" s="6469"/>
      <c r="AE86" s="5050"/>
      <c r="AF86" s="5049"/>
      <c r="AG86" s="5050"/>
      <c r="AH86" s="6469"/>
      <c r="AI86" s="5050"/>
      <c r="AJ86" s="5049"/>
      <c r="AK86" s="5050"/>
      <c r="AL86" s="5049"/>
      <c r="AM86" s="5050"/>
      <c r="AN86" s="6469"/>
      <c r="AO86" s="5050"/>
      <c r="AP86" s="5049"/>
      <c r="AQ86" s="5050"/>
      <c r="AR86" s="6469"/>
      <c r="AS86" s="5050"/>
      <c r="AT86" s="5049"/>
      <c r="AU86" s="5050"/>
      <c r="AV86" s="6469"/>
      <c r="AW86" s="5050"/>
      <c r="AX86" s="5049"/>
      <c r="AY86" s="5050"/>
      <c r="AZ86" s="5049"/>
      <c r="BA86" s="5050"/>
      <c r="BB86" s="5049"/>
      <c r="BC86" s="5050"/>
      <c r="BD86" s="5049"/>
      <c r="BE86" s="6940"/>
    </row>
    <row r="87" spans="2:57" x14ac:dyDescent="0.2">
      <c r="B87" s="3779" t="s">
        <v>965</v>
      </c>
      <c r="C87" s="1554" t="s">
        <v>169</v>
      </c>
      <c r="D87" s="5287">
        <v>57.2</v>
      </c>
      <c r="E87" s="4418">
        <v>56.2</v>
      </c>
      <c r="F87" s="5287">
        <v>57.2</v>
      </c>
      <c r="G87" s="4619">
        <v>56.27</v>
      </c>
      <c r="H87" s="4412">
        <v>57.2</v>
      </c>
      <c r="I87" s="5996">
        <f>+((E87*E$54)+(G87*G$54))/I$54</f>
        <v>56.23527531630225</v>
      </c>
      <c r="J87" s="5287">
        <v>57.2</v>
      </c>
      <c r="K87" s="4619">
        <v>55.92</v>
      </c>
      <c r="L87" s="2877">
        <v>57.2</v>
      </c>
      <c r="M87" s="6002">
        <f>+((I87*I$54)+(K87*K$54))/M$54</f>
        <v>56.123494481867048</v>
      </c>
      <c r="N87" s="2798">
        <v>57.2</v>
      </c>
      <c r="O87" s="6099">
        <v>54.88</v>
      </c>
      <c r="P87" s="4412">
        <v>57.2</v>
      </c>
      <c r="Q87" s="5996">
        <f>+((M87*M$54)+(O87*O$54))/Q$54</f>
        <v>55.765058239882848</v>
      </c>
      <c r="R87" s="2798">
        <v>57.2</v>
      </c>
      <c r="S87" s="6099">
        <v>54.39</v>
      </c>
      <c r="T87" s="4412">
        <v>57.2</v>
      </c>
      <c r="U87" s="5307">
        <f>+((Q87*Q$54)+(S87*S$54))/U$54</f>
        <v>55.465792307738944</v>
      </c>
      <c r="V87" s="5287">
        <v>57.2</v>
      </c>
      <c r="W87" s="6099">
        <v>54.11</v>
      </c>
      <c r="X87" s="2877">
        <v>57.2</v>
      </c>
      <c r="Y87" s="5709">
        <f t="shared" ref="Y87:Y94" si="636">+((O87*O$54)+(S87*S$54)+(W87*W$54))/Y$54</f>
        <v>54.495943634509459</v>
      </c>
      <c r="Z87" s="6918">
        <v>57.2</v>
      </c>
      <c r="AA87" s="6617">
        <f>+((U87*U$54)+(W87*W$54))/AA$54</f>
        <v>55.274100777372652</v>
      </c>
      <c r="AB87" s="2798">
        <v>57.2</v>
      </c>
      <c r="AC87" s="6099">
        <v>54.32</v>
      </c>
      <c r="AD87" s="4412"/>
      <c r="AE87" s="5307">
        <f>+((AA87*AA$54)+(AC87*AC$54))/AE$54</f>
        <v>55.120688293528048</v>
      </c>
      <c r="AF87" s="2798">
        <v>57.2</v>
      </c>
      <c r="AG87" s="6099">
        <v>53.65</v>
      </c>
      <c r="AH87" s="4412">
        <v>57.2</v>
      </c>
      <c r="AI87" s="5307">
        <f>+((AE87*AE$54)+(AG87*AG$54))/AI$54</f>
        <v>54.901777569057998</v>
      </c>
      <c r="AJ87" s="5287">
        <v>57.2</v>
      </c>
      <c r="AK87" s="6099">
        <v>55.11</v>
      </c>
      <c r="AL87" s="2877">
        <v>57.2</v>
      </c>
      <c r="AM87" s="5709">
        <f t="shared" ref="AM87:AM94" si="637">+((AC87*AC$54)+(AG87*AG$54)+(AK87*AK$54))/AM$54</f>
        <v>54.387291993914985</v>
      </c>
      <c r="AN87" s="4412">
        <v>57.2</v>
      </c>
      <c r="AO87" s="5307">
        <f>+((AI87*AI$54)+(AK87*AK$54))/AO$54</f>
        <v>54.93120628833438</v>
      </c>
      <c r="AP87" s="5287">
        <v>57.2</v>
      </c>
      <c r="AQ87" s="6099">
        <v>54.21</v>
      </c>
      <c r="AR87" s="4412">
        <v>57.2</v>
      </c>
      <c r="AS87" s="5307">
        <f>+((AO87*AO$54)+(AQ87*AQ$54))/AS$54</f>
        <v>54.836735846688008</v>
      </c>
      <c r="AT87" s="5287">
        <v>57.2</v>
      </c>
      <c r="AU87" s="6099">
        <v>53.06</v>
      </c>
      <c r="AV87" s="4412">
        <v>57.2</v>
      </c>
      <c r="AW87" s="5307">
        <f>+((AS87*AS$54)+(AU87*AU$54))/AW$54</f>
        <v>54.646877532411466</v>
      </c>
      <c r="AX87" s="5287">
        <v>57.2</v>
      </c>
      <c r="AY87" s="6099">
        <v>54.75</v>
      </c>
      <c r="AZ87" s="2877">
        <v>57.2</v>
      </c>
      <c r="BA87" s="5709">
        <f t="shared" ref="BA87:BA94" si="638">+((AQ87*AQ$54)+(AU87*AU$54)+(AY87*AY$54))/BA$54</f>
        <v>54.049585927147454</v>
      </c>
      <c r="BB87" s="2877">
        <v>57.2</v>
      </c>
      <c r="BC87" s="5709">
        <f>+((AM87*AM$54)+(BA87*BA$54))/BC$54</f>
        <v>54.205953823105652</v>
      </c>
      <c r="BD87" s="6918">
        <v>57.2</v>
      </c>
      <c r="BE87" s="6617">
        <f>+((AW87*AW$54)+(AY87*AY$54))/BE$54</f>
        <v>54.658268778978936</v>
      </c>
    </row>
    <row r="88" spans="2:57" x14ac:dyDescent="0.2">
      <c r="B88" s="1559" t="s">
        <v>966</v>
      </c>
      <c r="C88" s="1545" t="s">
        <v>169</v>
      </c>
      <c r="D88" s="3229" t="s">
        <v>1919</v>
      </c>
      <c r="E88" s="4419">
        <v>10.44</v>
      </c>
      <c r="F88" s="3229" t="s">
        <v>1919</v>
      </c>
      <c r="G88" s="4620">
        <v>10.49</v>
      </c>
      <c r="H88" s="3097" t="s">
        <v>1919</v>
      </c>
      <c r="I88" s="5996">
        <f t="shared" ref="I88:I94" si="639">+((E88*E$54)+(G88*G$54))/I$54</f>
        <v>10.465196654501602</v>
      </c>
      <c r="J88" s="3229" t="s">
        <v>1919</v>
      </c>
      <c r="K88" s="3861">
        <v>10.36</v>
      </c>
      <c r="L88" s="2879" t="s">
        <v>1919</v>
      </c>
      <c r="M88" s="6002">
        <f t="shared" ref="M88:M94" si="640">+((I88*I$54)+(K88*K$54))/M$54</f>
        <v>10.427899190310947</v>
      </c>
      <c r="N88" s="1786" t="s">
        <v>1919</v>
      </c>
      <c r="O88" s="3179">
        <v>10.39</v>
      </c>
      <c r="P88" s="3097" t="s">
        <v>1919</v>
      </c>
      <c r="Q88" s="5996">
        <f t="shared" ref="Q88:Q94" si="641">+((M88*M$54)+(O88*O$54))/Q$54</f>
        <v>10.416974780474481</v>
      </c>
      <c r="R88" s="1786" t="s">
        <v>1919</v>
      </c>
      <c r="S88" s="3179">
        <v>10.4</v>
      </c>
      <c r="T88" s="3097" t="s">
        <v>1919</v>
      </c>
      <c r="U88" s="5307">
        <f t="shared" ref="U88:U94" si="642">+((Q88*Q$54)+(S88*S$54))/U$54</f>
        <v>10.413280410771225</v>
      </c>
      <c r="V88" s="3229" t="s">
        <v>1919</v>
      </c>
      <c r="W88" s="3179">
        <v>10.33</v>
      </c>
      <c r="X88" s="2879" t="s">
        <v>1919</v>
      </c>
      <c r="Y88" s="5709">
        <f t="shared" si="636"/>
        <v>10.377325643730007</v>
      </c>
      <c r="Z88" s="6836" t="s">
        <v>1919</v>
      </c>
      <c r="AA88" s="6617">
        <f t="shared" ref="AA88:AA94" si="643">+((U88*U$54)+(W88*W$54))/AA$54</f>
        <v>10.401505635756537</v>
      </c>
      <c r="AB88" s="1786" t="s">
        <v>1919</v>
      </c>
      <c r="AC88" s="3179">
        <v>10.4</v>
      </c>
      <c r="AD88" s="3097"/>
      <c r="AE88" s="5307">
        <f t="shared" ref="AE88:AE94" si="644">+((AA88*AA$54)+(AC88*AC$54))/AE$54</f>
        <v>10.401263540448941</v>
      </c>
      <c r="AF88" s="1786" t="s">
        <v>1919</v>
      </c>
      <c r="AG88" s="3179">
        <v>10.35</v>
      </c>
      <c r="AH88" s="3097" t="s">
        <v>1919</v>
      </c>
      <c r="AI88" s="5307">
        <f t="shared" ref="AI88:AI94" si="645">+((AE88*AE$54)+(AG88*AG$54))/AI$54</f>
        <v>10.393633005258062</v>
      </c>
      <c r="AJ88" s="3229" t="s">
        <v>1919</v>
      </c>
      <c r="AK88" s="3179">
        <v>10.41</v>
      </c>
      <c r="AL88" s="2879" t="s">
        <v>1919</v>
      </c>
      <c r="AM88" s="5709">
        <f t="shared" si="637"/>
        <v>10.387127587110836</v>
      </c>
      <c r="AN88" s="3097" t="s">
        <v>1919</v>
      </c>
      <c r="AO88" s="5307">
        <f t="shared" ref="AO88:AO94" si="646">+((AI88*AI$54)+(AK88*AK$54))/AO$54</f>
        <v>10.39594620317569</v>
      </c>
      <c r="AP88" s="3229" t="s">
        <v>1919</v>
      </c>
      <c r="AQ88" s="3179">
        <v>10.43</v>
      </c>
      <c r="AR88" s="3097" t="s">
        <v>1919</v>
      </c>
      <c r="AS88" s="5307">
        <f t="shared" ref="AS88:AS94" si="647">+((AO88*AO$54)+(AQ88*AQ$54))/AS$54</f>
        <v>10.400406892548155</v>
      </c>
      <c r="AT88" s="3229" t="s">
        <v>1919</v>
      </c>
      <c r="AU88" s="3179">
        <v>10.39</v>
      </c>
      <c r="AV88" s="3097" t="s">
        <v>1919</v>
      </c>
      <c r="AW88" s="5307">
        <f t="shared" ref="AW88:AW94" si="648">+((AS88*AS$54)+(AU88*AU$54))/AW$54</f>
        <v>10.399294833555405</v>
      </c>
      <c r="AX88" s="3229" t="s">
        <v>1919</v>
      </c>
      <c r="AY88" s="3179">
        <v>10.38</v>
      </c>
      <c r="AZ88" s="2879" t="s">
        <v>1919</v>
      </c>
      <c r="BA88" s="5709">
        <f t="shared" si="638"/>
        <v>10.39987809555678</v>
      </c>
      <c r="BB88" s="2879" t="s">
        <v>1919</v>
      </c>
      <c r="BC88" s="5709">
        <f t="shared" ref="BC88:BC94" si="649">+((AM88*AM$54)+(BA88*BA$54))/BC$54</f>
        <v>10.393974233073131</v>
      </c>
      <c r="BD88" s="6836" t="s">
        <v>1919</v>
      </c>
      <c r="BE88" s="6617">
        <f t="shared" ref="BE88:BE94" si="650">+((AW88*AW$54)+(AY88*AY$54))/BE$54</f>
        <v>10.3971634628498</v>
      </c>
    </row>
    <row r="89" spans="2:57" x14ac:dyDescent="0.2">
      <c r="B89" s="1559" t="s">
        <v>967</v>
      </c>
      <c r="C89" s="1545" t="s">
        <v>169</v>
      </c>
      <c r="D89" s="3229" t="s">
        <v>1920</v>
      </c>
      <c r="E89" s="4419">
        <v>4.92</v>
      </c>
      <c r="F89" s="3229" t="s">
        <v>1920</v>
      </c>
      <c r="G89" s="4620">
        <v>4.8099999999999996</v>
      </c>
      <c r="H89" s="3097" t="s">
        <v>1920</v>
      </c>
      <c r="I89" s="5996">
        <f t="shared" si="639"/>
        <v>4.8645673600964772</v>
      </c>
      <c r="J89" s="3229" t="s">
        <v>1920</v>
      </c>
      <c r="K89" s="3861">
        <v>4.9400000000000004</v>
      </c>
      <c r="L89" s="2048" t="s">
        <v>1920</v>
      </c>
      <c r="M89" s="6002">
        <f t="shared" si="640"/>
        <v>4.8913119956453697</v>
      </c>
      <c r="N89" s="1786" t="s">
        <v>1920</v>
      </c>
      <c r="O89" s="3179">
        <v>5.47</v>
      </c>
      <c r="P89" s="3097" t="s">
        <v>1920</v>
      </c>
      <c r="Q89" s="5996">
        <f t="shared" si="641"/>
        <v>5.0581183277899067</v>
      </c>
      <c r="R89" s="1786" t="s">
        <v>1920</v>
      </c>
      <c r="S89" s="3179">
        <v>5.84</v>
      </c>
      <c r="T89" s="3097" t="s">
        <v>1920</v>
      </c>
      <c r="U89" s="5307">
        <f t="shared" si="642"/>
        <v>5.2282860637253119</v>
      </c>
      <c r="V89" s="3229" t="s">
        <v>1920</v>
      </c>
      <c r="W89" s="3179">
        <v>5.98</v>
      </c>
      <c r="X89" s="2048" t="s">
        <v>1920</v>
      </c>
      <c r="Y89" s="5709">
        <f t="shared" si="636"/>
        <v>5.740650574351533</v>
      </c>
      <c r="Z89" s="6836" t="s">
        <v>1920</v>
      </c>
      <c r="AA89" s="6617">
        <f t="shared" si="643"/>
        <v>5.334568710425434</v>
      </c>
      <c r="AB89" s="1786" t="s">
        <v>1920</v>
      </c>
      <c r="AC89" s="3179">
        <v>5.94</v>
      </c>
      <c r="AD89" s="3097"/>
      <c r="AE89" s="5307">
        <f t="shared" si="644"/>
        <v>5.4319176699207246</v>
      </c>
      <c r="AF89" s="1786" t="s">
        <v>1920</v>
      </c>
      <c r="AG89" s="3179">
        <v>6.28</v>
      </c>
      <c r="AH89" s="3097" t="s">
        <v>1920</v>
      </c>
      <c r="AI89" s="5307">
        <f t="shared" si="645"/>
        <v>5.558154016606081</v>
      </c>
      <c r="AJ89" s="3229" t="s">
        <v>1920</v>
      </c>
      <c r="AK89" s="3179">
        <v>5.62</v>
      </c>
      <c r="AL89" s="2048" t="s">
        <v>1920</v>
      </c>
      <c r="AM89" s="5709">
        <f t="shared" si="637"/>
        <v>5.9354209041238972</v>
      </c>
      <c r="AN89" s="3097" t="s">
        <v>1920</v>
      </c>
      <c r="AO89" s="5307">
        <f t="shared" si="646"/>
        <v>5.5668949004553241</v>
      </c>
      <c r="AP89" s="3229" t="s">
        <v>1920</v>
      </c>
      <c r="AQ89" s="3179">
        <v>6.33</v>
      </c>
      <c r="AR89" s="3097" t="s">
        <v>1920</v>
      </c>
      <c r="AS89" s="5307">
        <f t="shared" si="647"/>
        <v>5.666853645883184</v>
      </c>
      <c r="AT89" s="3229" t="s">
        <v>1920</v>
      </c>
      <c r="AU89" s="3179">
        <v>6.65</v>
      </c>
      <c r="AV89" s="3097" t="s">
        <v>1920</v>
      </c>
      <c r="AW89" s="5307">
        <f t="shared" si="648"/>
        <v>5.7719106299180902</v>
      </c>
      <c r="AX89" s="3229" t="s">
        <v>1920</v>
      </c>
      <c r="AY89" s="3179">
        <v>5.75</v>
      </c>
      <c r="AZ89" s="2048" t="s">
        <v>1920</v>
      </c>
      <c r="BA89" s="5709">
        <f t="shared" si="638"/>
        <v>6.2213019782551244</v>
      </c>
      <c r="BB89" s="2048" t="s">
        <v>1920</v>
      </c>
      <c r="BC89" s="5709">
        <f t="shared" si="649"/>
        <v>6.088930586517761</v>
      </c>
      <c r="BD89" s="6836" t="s">
        <v>1920</v>
      </c>
      <c r="BE89" s="6617">
        <f t="shared" si="650"/>
        <v>5.7694903097523493</v>
      </c>
    </row>
    <row r="90" spans="2:57" x14ac:dyDescent="0.2">
      <c r="B90" s="1559" t="s">
        <v>968</v>
      </c>
      <c r="C90" s="1545" t="s">
        <v>169</v>
      </c>
      <c r="D90" s="3229" t="s">
        <v>1921</v>
      </c>
      <c r="E90" s="4419">
        <v>2.93</v>
      </c>
      <c r="F90" s="3229" t="s">
        <v>1921</v>
      </c>
      <c r="G90" s="4620">
        <v>2.97</v>
      </c>
      <c r="H90" s="3097" t="s">
        <v>1921</v>
      </c>
      <c r="I90" s="5996">
        <f t="shared" si="639"/>
        <v>2.9501573236012808</v>
      </c>
      <c r="J90" s="3229" t="s">
        <v>1921</v>
      </c>
      <c r="K90" s="3861">
        <v>3</v>
      </c>
      <c r="L90" s="2048" t="s">
        <v>1921</v>
      </c>
      <c r="M90" s="6002">
        <f t="shared" si="640"/>
        <v>2.9678290399401237</v>
      </c>
      <c r="N90" s="1786" t="s">
        <v>1921</v>
      </c>
      <c r="O90" s="3179">
        <v>3.03</v>
      </c>
      <c r="P90" s="3097" t="s">
        <v>1921</v>
      </c>
      <c r="Q90" s="5996">
        <f t="shared" si="641"/>
        <v>2.9857497670598399</v>
      </c>
      <c r="R90" s="1786" t="s">
        <v>1921</v>
      </c>
      <c r="S90" s="3179">
        <v>3.05</v>
      </c>
      <c r="T90" s="3097" t="s">
        <v>1921</v>
      </c>
      <c r="U90" s="5307">
        <f t="shared" si="642"/>
        <v>2.9997331063058477</v>
      </c>
      <c r="V90" s="3229" t="s">
        <v>1921</v>
      </c>
      <c r="W90" s="3179">
        <v>3.02</v>
      </c>
      <c r="X90" s="2048" t="s">
        <v>1921</v>
      </c>
      <c r="Y90" s="5709">
        <f t="shared" si="636"/>
        <v>3.0344520908290762</v>
      </c>
      <c r="Z90" s="6836" t="s">
        <v>1921</v>
      </c>
      <c r="AA90" s="6617">
        <f t="shared" si="643"/>
        <v>3.0025985834484952</v>
      </c>
      <c r="AB90" s="1786" t="s">
        <v>1921</v>
      </c>
      <c r="AC90" s="3179">
        <v>2.8</v>
      </c>
      <c r="AD90" s="3097"/>
      <c r="AE90" s="5307">
        <f t="shared" si="644"/>
        <v>2.9700222009034336</v>
      </c>
      <c r="AF90" s="1786" t="s">
        <v>1921</v>
      </c>
      <c r="AG90" s="3179">
        <v>3</v>
      </c>
      <c r="AH90" s="3097" t="s">
        <v>1921</v>
      </c>
      <c r="AI90" s="5307">
        <f t="shared" si="645"/>
        <v>2.9744843712675593</v>
      </c>
      <c r="AJ90" s="3229" t="s">
        <v>1921</v>
      </c>
      <c r="AK90" s="3179">
        <v>2.97</v>
      </c>
      <c r="AL90" s="2048" t="s">
        <v>1921</v>
      </c>
      <c r="AM90" s="5709">
        <f t="shared" si="637"/>
        <v>2.9282492378253302</v>
      </c>
      <c r="AN90" s="3097" t="s">
        <v>1921</v>
      </c>
      <c r="AO90" s="5307">
        <f t="shared" si="646"/>
        <v>2.9738505812259817</v>
      </c>
      <c r="AP90" s="3229" t="s">
        <v>1921</v>
      </c>
      <c r="AQ90" s="3179">
        <v>2.75</v>
      </c>
      <c r="AR90" s="3097" t="s">
        <v>1921</v>
      </c>
      <c r="AS90" s="5307">
        <f t="shared" si="647"/>
        <v>2.9445285084525232</v>
      </c>
      <c r="AT90" s="3229" t="s">
        <v>1921</v>
      </c>
      <c r="AU90" s="3179">
        <v>3.03</v>
      </c>
      <c r="AV90" s="3097" t="s">
        <v>1921</v>
      </c>
      <c r="AW90" s="5307">
        <f t="shared" si="648"/>
        <v>2.9536618150912983</v>
      </c>
      <c r="AX90" s="3229" t="s">
        <v>1921</v>
      </c>
      <c r="AY90" s="3179">
        <v>2.78</v>
      </c>
      <c r="AZ90" s="2048" t="s">
        <v>1921</v>
      </c>
      <c r="BA90" s="5709">
        <f t="shared" si="638"/>
        <v>2.8466743083137618</v>
      </c>
      <c r="BB90" s="2048" t="s">
        <v>1921</v>
      </c>
      <c r="BC90" s="5709">
        <f t="shared" si="649"/>
        <v>2.8844459131083027</v>
      </c>
      <c r="BD90" s="6836" t="s">
        <v>1921</v>
      </c>
      <c r="BE90" s="6617">
        <f t="shared" si="650"/>
        <v>2.9344785604493309</v>
      </c>
    </row>
    <row r="91" spans="2:57" x14ac:dyDescent="0.2">
      <c r="B91" s="1559" t="s">
        <v>969</v>
      </c>
      <c r="C91" s="1545" t="s">
        <v>169</v>
      </c>
      <c r="D91" s="3229">
        <v>8.5</v>
      </c>
      <c r="E91" s="4419">
        <v>9.17</v>
      </c>
      <c r="F91" s="3229">
        <v>8.5</v>
      </c>
      <c r="G91" s="4620">
        <v>9.14</v>
      </c>
      <c r="H91" s="3097">
        <v>8.5</v>
      </c>
      <c r="I91" s="5996">
        <f t="shared" si="639"/>
        <v>9.1548820072990384</v>
      </c>
      <c r="J91" s="3229">
        <v>8.5</v>
      </c>
      <c r="K91" s="3861">
        <v>9.4</v>
      </c>
      <c r="L91" s="2048">
        <v>8.5</v>
      </c>
      <c r="M91" s="6002">
        <f t="shared" si="640"/>
        <v>9.2417885690957338</v>
      </c>
      <c r="N91" s="1786">
        <v>8.5</v>
      </c>
      <c r="O91" s="3179">
        <v>10.35</v>
      </c>
      <c r="P91" s="3097">
        <v>8.5</v>
      </c>
      <c r="Q91" s="5996">
        <f t="shared" si="641"/>
        <v>9.5612295850468882</v>
      </c>
      <c r="R91" s="1786">
        <v>8.5</v>
      </c>
      <c r="S91" s="3179">
        <v>10.7</v>
      </c>
      <c r="T91" s="3097">
        <v>8.5</v>
      </c>
      <c r="U91" s="5307">
        <f t="shared" si="642"/>
        <v>9.8090701345190894</v>
      </c>
      <c r="V91" s="3229">
        <v>8.5</v>
      </c>
      <c r="W91" s="3179">
        <v>10.92</v>
      </c>
      <c r="X91" s="2048">
        <v>8.5</v>
      </c>
      <c r="Y91" s="5709">
        <f t="shared" si="636"/>
        <v>10.629744303235666</v>
      </c>
      <c r="Z91" s="6836">
        <v>8.5</v>
      </c>
      <c r="AA91" s="6617">
        <f t="shared" si="643"/>
        <v>9.9661412764838921</v>
      </c>
      <c r="AB91" s="1786">
        <v>8.5</v>
      </c>
      <c r="AC91" s="3179">
        <v>10.68</v>
      </c>
      <c r="AD91" s="3097"/>
      <c r="AE91" s="5307">
        <f t="shared" si="644"/>
        <v>10.080924580811889</v>
      </c>
      <c r="AF91" s="1786">
        <v>8.5</v>
      </c>
      <c r="AG91" s="3179">
        <v>11.35</v>
      </c>
      <c r="AH91" s="3097">
        <v>8.5</v>
      </c>
      <c r="AI91" s="5307">
        <f t="shared" si="645"/>
        <v>10.26982539728276</v>
      </c>
      <c r="AJ91" s="3229">
        <v>8.5</v>
      </c>
      <c r="AK91" s="3179">
        <v>10.06</v>
      </c>
      <c r="AL91" s="2048">
        <v>8.5</v>
      </c>
      <c r="AM91" s="5709">
        <f t="shared" si="637"/>
        <v>10.674846718778703</v>
      </c>
      <c r="AN91" s="3097">
        <v>8.5</v>
      </c>
      <c r="AO91" s="5307">
        <f t="shared" si="646"/>
        <v>10.240170125822555</v>
      </c>
      <c r="AP91" s="3229">
        <v>8.5</v>
      </c>
      <c r="AQ91" s="3179">
        <v>10.97</v>
      </c>
      <c r="AR91" s="3097">
        <v>8.5</v>
      </c>
      <c r="AS91" s="5307">
        <f t="shared" si="647"/>
        <v>10.335770166553614</v>
      </c>
      <c r="AT91" s="3229">
        <v>8.5</v>
      </c>
      <c r="AU91" s="3179">
        <v>11.97</v>
      </c>
      <c r="AV91" s="3097">
        <v>8.5</v>
      </c>
      <c r="AW91" s="5307">
        <f t="shared" si="648"/>
        <v>10.510400583279285</v>
      </c>
      <c r="AX91" s="3229">
        <v>8.5</v>
      </c>
      <c r="AY91" s="3179">
        <v>10.66</v>
      </c>
      <c r="AZ91" s="2048">
        <v>8.5</v>
      </c>
      <c r="BA91" s="5709">
        <f t="shared" si="638"/>
        <v>11.166424874985205</v>
      </c>
      <c r="BB91" s="2048">
        <v>8.5</v>
      </c>
      <c r="BC91" s="5709">
        <f t="shared" si="649"/>
        <v>10.938809651128617</v>
      </c>
      <c r="BD91" s="6836">
        <v>8.5</v>
      </c>
      <c r="BE91" s="6617">
        <f t="shared" si="650"/>
        <v>10.526925826342849</v>
      </c>
    </row>
    <row r="92" spans="2:57" x14ac:dyDescent="0.2">
      <c r="B92" s="1559" t="s">
        <v>970</v>
      </c>
      <c r="C92" s="1545" t="s">
        <v>169</v>
      </c>
      <c r="D92" s="3229">
        <v>2.4</v>
      </c>
      <c r="E92" s="4419">
        <v>2.58</v>
      </c>
      <c r="F92" s="3229">
        <v>2.4</v>
      </c>
      <c r="G92" s="3861">
        <v>2.56</v>
      </c>
      <c r="H92" s="3097">
        <v>2.4</v>
      </c>
      <c r="I92" s="5996">
        <f t="shared" si="639"/>
        <v>2.5699213381993595</v>
      </c>
      <c r="J92" s="3229">
        <v>2.4</v>
      </c>
      <c r="K92" s="3861">
        <v>2.5499999999999998</v>
      </c>
      <c r="L92" s="2048">
        <v>2.4</v>
      </c>
      <c r="M92" s="6002">
        <f t="shared" si="640"/>
        <v>2.562858229570661</v>
      </c>
      <c r="N92" s="1786">
        <v>2.4</v>
      </c>
      <c r="O92" s="3179">
        <v>2.63</v>
      </c>
      <c r="P92" s="3097">
        <v>2.4</v>
      </c>
      <c r="Q92" s="5996">
        <f t="shared" si="641"/>
        <v>2.5822117886123745</v>
      </c>
      <c r="R92" s="1786">
        <v>2.4</v>
      </c>
      <c r="S92" s="3179">
        <v>2.6</v>
      </c>
      <c r="T92" s="3097">
        <v>2.4</v>
      </c>
      <c r="U92" s="5307">
        <f t="shared" si="642"/>
        <v>2.586083192388366</v>
      </c>
      <c r="V92" s="3229">
        <v>2.4</v>
      </c>
      <c r="W92" s="3179">
        <v>2.66</v>
      </c>
      <c r="X92" s="2048">
        <v>2.4</v>
      </c>
      <c r="Y92" s="5709">
        <f t="shared" si="636"/>
        <v>2.6273856096703492</v>
      </c>
      <c r="Z92" s="6836">
        <v>2.4</v>
      </c>
      <c r="AA92" s="6617">
        <f t="shared" si="643"/>
        <v>2.5965340747912133</v>
      </c>
      <c r="AB92" s="1786">
        <v>2.4</v>
      </c>
      <c r="AC92" s="3179">
        <v>2.8</v>
      </c>
      <c r="AD92" s="3097"/>
      <c r="AE92" s="5307">
        <f t="shared" si="644"/>
        <v>2.6292499195995322</v>
      </c>
      <c r="AF92" s="1786">
        <v>2.4</v>
      </c>
      <c r="AG92" s="3179">
        <v>2.65</v>
      </c>
      <c r="AH92" s="3097">
        <v>2.4</v>
      </c>
      <c r="AI92" s="5307">
        <f t="shared" si="645"/>
        <v>2.6323385517408688</v>
      </c>
      <c r="AJ92" s="3229">
        <v>2.4</v>
      </c>
      <c r="AK92" s="3179">
        <v>2.5499999999999998</v>
      </c>
      <c r="AL92" s="2048">
        <v>2.4</v>
      </c>
      <c r="AM92" s="5709">
        <f t="shared" si="637"/>
        <v>2.6590366463076069</v>
      </c>
      <c r="AN92" s="3097">
        <v>2.4</v>
      </c>
      <c r="AO92" s="5307">
        <f t="shared" si="646"/>
        <v>2.6207013899142431</v>
      </c>
      <c r="AP92" s="3229">
        <v>2.4</v>
      </c>
      <c r="AQ92" s="3179">
        <v>2.56</v>
      </c>
      <c r="AR92" s="3097">
        <v>2.4</v>
      </c>
      <c r="AS92" s="5307">
        <f t="shared" si="647"/>
        <v>2.6127501459962357</v>
      </c>
      <c r="AT92" s="3229">
        <v>2.4</v>
      </c>
      <c r="AU92" s="3179">
        <v>2.5499999999999998</v>
      </c>
      <c r="AV92" s="3097">
        <v>2.4</v>
      </c>
      <c r="AW92" s="5307">
        <f t="shared" si="648"/>
        <v>2.6060447953040322</v>
      </c>
      <c r="AX92" s="3229">
        <v>2.4</v>
      </c>
      <c r="AY92" s="3179">
        <v>2.61</v>
      </c>
      <c r="AZ92" s="2048">
        <v>2.4</v>
      </c>
      <c r="BA92" s="5709">
        <f t="shared" si="638"/>
        <v>2.5747701142776287</v>
      </c>
      <c r="BB92" s="2048">
        <v>2.4</v>
      </c>
      <c r="BC92" s="5709">
        <f t="shared" si="649"/>
        <v>2.6137880106374594</v>
      </c>
      <c r="BD92" s="6836">
        <v>2.4</v>
      </c>
      <c r="BE92" s="6617">
        <f t="shared" si="650"/>
        <v>2.6064817002091432</v>
      </c>
    </row>
    <row r="93" spans="2:57" x14ac:dyDescent="0.2">
      <c r="B93" s="1558" t="s">
        <v>971</v>
      </c>
      <c r="C93" s="1548" t="s">
        <v>169</v>
      </c>
      <c r="D93" s="6397" t="s">
        <v>1407</v>
      </c>
      <c r="E93" s="4420">
        <v>1.87</v>
      </c>
      <c r="F93" s="6397" t="s">
        <v>1407</v>
      </c>
      <c r="G93" s="4621">
        <v>1.9</v>
      </c>
      <c r="H93" s="4413" t="s">
        <v>1407</v>
      </c>
      <c r="I93" s="5996">
        <f t="shared" si="639"/>
        <v>1.8851179927009609</v>
      </c>
      <c r="J93" s="6397" t="s">
        <v>1407</v>
      </c>
      <c r="K93" s="6935">
        <v>1.92</v>
      </c>
      <c r="L93" s="6349" t="s">
        <v>1407</v>
      </c>
      <c r="M93" s="6002">
        <f t="shared" si="640"/>
        <v>1.8974854051847314</v>
      </c>
      <c r="N93" s="1788" t="s">
        <v>1407</v>
      </c>
      <c r="O93" s="6936">
        <v>1.9</v>
      </c>
      <c r="P93" s="4413" t="s">
        <v>1407</v>
      </c>
      <c r="Q93" s="5996">
        <f t="shared" si="641"/>
        <v>1.8982102350322629</v>
      </c>
      <c r="R93" s="1788" t="s">
        <v>1407</v>
      </c>
      <c r="S93" s="6936">
        <v>1.84</v>
      </c>
      <c r="T93" s="4413" t="s">
        <v>1407</v>
      </c>
      <c r="U93" s="5307">
        <f t="shared" si="642"/>
        <v>1.8855414332739242</v>
      </c>
      <c r="V93" s="6397" t="s">
        <v>1407</v>
      </c>
      <c r="W93" s="6936">
        <v>1.83</v>
      </c>
      <c r="X93" s="6349" t="s">
        <v>1407</v>
      </c>
      <c r="Y93" s="5709">
        <f t="shared" si="636"/>
        <v>1.8595520880863512</v>
      </c>
      <c r="Z93" s="6919" t="s">
        <v>1407</v>
      </c>
      <c r="AA93" s="6617">
        <f t="shared" si="643"/>
        <v>1.8776885915943817</v>
      </c>
      <c r="AB93" s="1788" t="s">
        <v>1407</v>
      </c>
      <c r="AC93" s="6936">
        <v>1.8</v>
      </c>
      <c r="AD93" s="4413"/>
      <c r="AE93" s="5307">
        <f t="shared" si="644"/>
        <v>1.8651968296279957</v>
      </c>
      <c r="AF93" s="1788" t="s">
        <v>1407</v>
      </c>
      <c r="AG93" s="6936">
        <v>1.81</v>
      </c>
      <c r="AH93" s="4413" t="s">
        <v>1407</v>
      </c>
      <c r="AI93" s="5307">
        <f t="shared" si="645"/>
        <v>1.856980827627104</v>
      </c>
      <c r="AJ93" s="6397" t="s">
        <v>1407</v>
      </c>
      <c r="AK93" s="6936">
        <v>1.79</v>
      </c>
      <c r="AL93" s="6349" t="s">
        <v>1407</v>
      </c>
      <c r="AM93" s="5709">
        <f t="shared" si="637"/>
        <v>1.7996503078628354</v>
      </c>
      <c r="AN93" s="4413" t="s">
        <v>1407</v>
      </c>
      <c r="AO93" s="5307">
        <f t="shared" si="646"/>
        <v>1.8475142203830146</v>
      </c>
      <c r="AP93" s="6397" t="s">
        <v>1407</v>
      </c>
      <c r="AQ93" s="6936">
        <v>1.74</v>
      </c>
      <c r="AR93" s="4413" t="s">
        <v>1407</v>
      </c>
      <c r="AS93" s="5307">
        <f t="shared" si="647"/>
        <v>1.8334309878223189</v>
      </c>
      <c r="AT93" s="6397" t="s">
        <v>1407</v>
      </c>
      <c r="AU93" s="6936">
        <v>1.8</v>
      </c>
      <c r="AV93" s="4413" t="s">
        <v>1407</v>
      </c>
      <c r="AW93" s="5307">
        <f t="shared" si="648"/>
        <v>1.829858621674376</v>
      </c>
      <c r="AX93" s="6397" t="s">
        <v>1407</v>
      </c>
      <c r="AY93" s="6936">
        <v>1.86</v>
      </c>
      <c r="AZ93" s="6349" t="s">
        <v>1407</v>
      </c>
      <c r="BA93" s="5709">
        <f t="shared" si="638"/>
        <v>1.8012392817445027</v>
      </c>
      <c r="BB93" s="6349" t="s">
        <v>1407</v>
      </c>
      <c r="BC93" s="5709">
        <f t="shared" si="649"/>
        <v>1.8005035398462681</v>
      </c>
      <c r="BD93" s="6919" t="s">
        <v>1407</v>
      </c>
      <c r="BE93" s="6617">
        <f t="shared" si="650"/>
        <v>1.8331881373504406</v>
      </c>
    </row>
    <row r="94" spans="2:57" x14ac:dyDescent="0.2">
      <c r="B94" s="1558" t="s">
        <v>1315</v>
      </c>
      <c r="C94" s="1548" t="s">
        <v>169</v>
      </c>
      <c r="D94" s="6397" t="s">
        <v>1477</v>
      </c>
      <c r="E94" s="4420">
        <v>4.25</v>
      </c>
      <c r="F94" s="6397" t="s">
        <v>1477</v>
      </c>
      <c r="G94" s="4621">
        <v>4.33</v>
      </c>
      <c r="H94" s="4413" t="s">
        <v>1477</v>
      </c>
      <c r="I94" s="5996">
        <f t="shared" si="639"/>
        <v>4.2903146472025622</v>
      </c>
      <c r="J94" s="6397" t="s">
        <v>1477</v>
      </c>
      <c r="K94" s="6935">
        <v>4.54</v>
      </c>
      <c r="L94" s="6349" t="s">
        <v>1477</v>
      </c>
      <c r="M94" s="6002">
        <f t="shared" si="640"/>
        <v>4.3788405661019256</v>
      </c>
      <c r="N94" s="1788" t="s">
        <v>1477</v>
      </c>
      <c r="O94" s="6936">
        <v>4.8899999999999997</v>
      </c>
      <c r="P94" s="4413" t="s">
        <v>1477</v>
      </c>
      <c r="Q94" s="5996">
        <f t="shared" si="641"/>
        <v>4.5261818444211555</v>
      </c>
      <c r="R94" s="1788" t="s">
        <v>1477</v>
      </c>
      <c r="S94" s="6936">
        <v>4.8499999999999996</v>
      </c>
      <c r="T94" s="4413" t="s">
        <v>1477</v>
      </c>
      <c r="U94" s="5307">
        <f t="shared" si="642"/>
        <v>4.596657217291674</v>
      </c>
      <c r="V94" s="6397" t="s">
        <v>1477</v>
      </c>
      <c r="W94" s="6936">
        <v>4.93</v>
      </c>
      <c r="X94" s="6349" t="s">
        <v>1477</v>
      </c>
      <c r="Y94" s="5709">
        <f t="shared" si="636"/>
        <v>4.8865141462271318</v>
      </c>
      <c r="Z94" s="6919" t="s">
        <v>1477</v>
      </c>
      <c r="AA94" s="6617">
        <f t="shared" si="643"/>
        <v>4.6437875836384785</v>
      </c>
      <c r="AB94" s="1788" t="s">
        <v>1477</v>
      </c>
      <c r="AC94" s="6936">
        <v>4.7300000000000004</v>
      </c>
      <c r="AD94" s="4413"/>
      <c r="AE94" s="5307">
        <f t="shared" si="644"/>
        <v>4.6576499147946135</v>
      </c>
      <c r="AF94" s="1788" t="s">
        <v>1477</v>
      </c>
      <c r="AG94" s="6936">
        <v>5.0599999999999996</v>
      </c>
      <c r="AH94" s="4413" t="s">
        <v>1477</v>
      </c>
      <c r="AI94" s="5307">
        <f t="shared" si="645"/>
        <v>4.7175393890159691</v>
      </c>
      <c r="AJ94" s="6397" t="s">
        <v>1477</v>
      </c>
      <c r="AK94" s="6936">
        <v>4.42</v>
      </c>
      <c r="AL94" s="6349" t="s">
        <v>1477</v>
      </c>
      <c r="AM94" s="5709">
        <f t="shared" si="637"/>
        <v>4.7257705962610608</v>
      </c>
      <c r="AN94" s="4413" t="s">
        <v>1477</v>
      </c>
      <c r="AO94" s="5307">
        <f t="shared" si="646"/>
        <v>4.6754872281925524</v>
      </c>
      <c r="AP94" s="6397" t="s">
        <v>1477</v>
      </c>
      <c r="AQ94" s="6936">
        <v>4.63</v>
      </c>
      <c r="AR94" s="4413" t="s">
        <v>1477</v>
      </c>
      <c r="AS94" s="5307">
        <f t="shared" si="647"/>
        <v>4.6695288795118381</v>
      </c>
      <c r="AT94" s="6397" t="s">
        <v>1477</v>
      </c>
      <c r="AU94" s="6936">
        <v>5.31</v>
      </c>
      <c r="AV94" s="4413" t="s">
        <v>1477</v>
      </c>
      <c r="AW94" s="5307">
        <f t="shared" si="648"/>
        <v>4.7379682975071242</v>
      </c>
      <c r="AX94" s="6397" t="s">
        <v>1477</v>
      </c>
      <c r="AY94" s="6936">
        <v>4.9000000000000004</v>
      </c>
      <c r="AZ94" s="6349" t="s">
        <v>1477</v>
      </c>
      <c r="BA94" s="5709">
        <f t="shared" si="638"/>
        <v>4.9351228967300811</v>
      </c>
      <c r="BB94" s="6349" t="s">
        <v>1477</v>
      </c>
      <c r="BC94" s="5709">
        <f t="shared" si="649"/>
        <v>4.8381865903980916</v>
      </c>
      <c r="BD94" s="6919" t="s">
        <v>1477</v>
      </c>
      <c r="BE94" s="6617">
        <f t="shared" si="650"/>
        <v>4.7558668517020024</v>
      </c>
    </row>
    <row r="95" spans="2:57" x14ac:dyDescent="0.2">
      <c r="B95" s="1558" t="s">
        <v>1408</v>
      </c>
      <c r="C95" s="1548" t="s">
        <v>169</v>
      </c>
      <c r="D95" s="6397" t="s">
        <v>1410</v>
      </c>
      <c r="E95" s="4420"/>
      <c r="F95" s="6397" t="s">
        <v>1410</v>
      </c>
      <c r="G95" s="4621"/>
      <c r="H95" s="4413" t="s">
        <v>1410</v>
      </c>
      <c r="I95" s="2487"/>
      <c r="J95" s="6397" t="s">
        <v>1410</v>
      </c>
      <c r="K95" s="6935"/>
      <c r="L95" s="6349" t="s">
        <v>1410</v>
      </c>
      <c r="M95" s="3902"/>
      <c r="N95" s="1788" t="s">
        <v>1410</v>
      </c>
      <c r="O95" s="6935"/>
      <c r="P95" s="4413" t="s">
        <v>1410</v>
      </c>
      <c r="Q95" s="2487"/>
      <c r="R95" s="1788" t="s">
        <v>1410</v>
      </c>
      <c r="S95" s="6935"/>
      <c r="T95" s="4413" t="s">
        <v>1410</v>
      </c>
      <c r="U95" s="2487"/>
      <c r="V95" s="6397" t="s">
        <v>1410</v>
      </c>
      <c r="W95" s="6935"/>
      <c r="X95" s="6349" t="s">
        <v>1410</v>
      </c>
      <c r="Y95" s="3902"/>
      <c r="Z95" s="6919" t="s">
        <v>1410</v>
      </c>
      <c r="AA95" s="6688"/>
      <c r="AB95" s="1788" t="s">
        <v>1410</v>
      </c>
      <c r="AC95" s="6935"/>
      <c r="AD95" s="4413"/>
      <c r="AE95" s="2487"/>
      <c r="AF95" s="1788" t="s">
        <v>1410</v>
      </c>
      <c r="AG95" s="6935"/>
      <c r="AH95" s="4413" t="s">
        <v>1410</v>
      </c>
      <c r="AI95" s="2487"/>
      <c r="AJ95" s="6397" t="s">
        <v>1410</v>
      </c>
      <c r="AK95" s="6935"/>
      <c r="AL95" s="6349" t="s">
        <v>1410</v>
      </c>
      <c r="AM95" s="3902"/>
      <c r="AN95" s="4413" t="s">
        <v>1410</v>
      </c>
      <c r="AO95" s="2487"/>
      <c r="AP95" s="6397" t="s">
        <v>1410</v>
      </c>
      <c r="AQ95" s="6935"/>
      <c r="AR95" s="4413" t="s">
        <v>1410</v>
      </c>
      <c r="AS95" s="2487"/>
      <c r="AT95" s="6397" t="s">
        <v>1410</v>
      </c>
      <c r="AU95" s="6935"/>
      <c r="AV95" s="4413" t="s">
        <v>1410</v>
      </c>
      <c r="AW95" s="2487"/>
      <c r="AX95" s="6397" t="s">
        <v>1410</v>
      </c>
      <c r="AY95" s="6935"/>
      <c r="AZ95" s="6349" t="s">
        <v>1410</v>
      </c>
      <c r="BA95" s="3902"/>
      <c r="BB95" s="6349" t="s">
        <v>1410</v>
      </c>
      <c r="BC95" s="3902"/>
      <c r="BD95" s="6919" t="s">
        <v>1410</v>
      </c>
      <c r="BE95" s="6688"/>
    </row>
    <row r="96" spans="2:57" ht="16" thickBot="1" x14ac:dyDescent="0.25">
      <c r="B96" s="1719" t="s">
        <v>1409</v>
      </c>
      <c r="C96" s="1577" t="s">
        <v>169</v>
      </c>
      <c r="D96" s="5063" t="s">
        <v>1478</v>
      </c>
      <c r="E96" s="4421"/>
      <c r="F96" s="5063" t="s">
        <v>1478</v>
      </c>
      <c r="G96" s="4622"/>
      <c r="H96" s="4414" t="s">
        <v>1478</v>
      </c>
      <c r="I96" s="3868"/>
      <c r="J96" s="5063" t="s">
        <v>1478</v>
      </c>
      <c r="K96" s="6937"/>
      <c r="L96" s="2878" t="s">
        <v>1478</v>
      </c>
      <c r="M96" s="3890"/>
      <c r="N96" s="2712" t="s">
        <v>1478</v>
      </c>
      <c r="O96" s="6937"/>
      <c r="P96" s="4414" t="s">
        <v>1478</v>
      </c>
      <c r="Q96" s="3868"/>
      <c r="R96" s="2712" t="s">
        <v>1478</v>
      </c>
      <c r="S96" s="6937"/>
      <c r="T96" s="4414" t="s">
        <v>1478</v>
      </c>
      <c r="U96" s="3868"/>
      <c r="V96" s="5063" t="s">
        <v>1478</v>
      </c>
      <c r="W96" s="6937"/>
      <c r="X96" s="2878" t="s">
        <v>1478</v>
      </c>
      <c r="Y96" s="3890"/>
      <c r="Z96" s="6920" t="s">
        <v>1478</v>
      </c>
      <c r="AA96" s="6690"/>
      <c r="AB96" s="2712" t="s">
        <v>1478</v>
      </c>
      <c r="AC96" s="6937"/>
      <c r="AD96" s="4414"/>
      <c r="AE96" s="3868"/>
      <c r="AF96" s="2712" t="s">
        <v>1478</v>
      </c>
      <c r="AG96" s="6937"/>
      <c r="AH96" s="4414" t="s">
        <v>1478</v>
      </c>
      <c r="AI96" s="3868"/>
      <c r="AJ96" s="5063" t="s">
        <v>1478</v>
      </c>
      <c r="AK96" s="6937"/>
      <c r="AL96" s="2878" t="s">
        <v>1478</v>
      </c>
      <c r="AM96" s="3890"/>
      <c r="AN96" s="4414" t="s">
        <v>1478</v>
      </c>
      <c r="AO96" s="3868"/>
      <c r="AP96" s="5063" t="s">
        <v>1478</v>
      </c>
      <c r="AQ96" s="6937"/>
      <c r="AR96" s="4414" t="s">
        <v>1478</v>
      </c>
      <c r="AS96" s="3868"/>
      <c r="AT96" s="5063" t="s">
        <v>1478</v>
      </c>
      <c r="AU96" s="6937"/>
      <c r="AV96" s="4414" t="s">
        <v>1478</v>
      </c>
      <c r="AW96" s="3868"/>
      <c r="AX96" s="5063" t="s">
        <v>1478</v>
      </c>
      <c r="AY96" s="6937"/>
      <c r="AZ96" s="2878" t="s">
        <v>1478</v>
      </c>
      <c r="BA96" s="3890"/>
      <c r="BB96" s="2878" t="s">
        <v>1478</v>
      </c>
      <c r="BC96" s="3890"/>
      <c r="BD96" s="6920" t="s">
        <v>1478</v>
      </c>
      <c r="BE96" s="6690"/>
    </row>
    <row r="97" spans="2:57" x14ac:dyDescent="0.2">
      <c r="AJ97" s="2100"/>
      <c r="AK97" s="7696"/>
      <c r="AL97" s="2100"/>
      <c r="AM97" s="7696"/>
      <c r="AN97" s="2100"/>
      <c r="AO97" s="7696"/>
      <c r="AP97" s="2100"/>
      <c r="AQ97" s="8011"/>
      <c r="AR97" s="8011"/>
      <c r="AS97" s="8011"/>
    </row>
    <row r="98" spans="2:57" x14ac:dyDescent="0.2">
      <c r="AJ98" s="2100"/>
      <c r="AK98" s="7696"/>
      <c r="AL98" s="2100"/>
      <c r="AM98" s="7696"/>
      <c r="AN98" s="2100"/>
      <c r="AO98" s="7696"/>
      <c r="AP98" s="2100"/>
      <c r="AQ98" s="8011"/>
      <c r="AR98" s="8011"/>
      <c r="AS98" s="8011"/>
    </row>
    <row r="99" spans="2:57" x14ac:dyDescent="0.2">
      <c r="B99" s="7981" t="s">
        <v>2493</v>
      </c>
      <c r="AP99" s="8011"/>
      <c r="AQ99" s="8011"/>
      <c r="AR99" s="8011"/>
      <c r="AS99" s="8011"/>
    </row>
    <row r="100" spans="2:57" x14ac:dyDescent="0.2">
      <c r="B100" s="7982" t="s">
        <v>2023</v>
      </c>
      <c r="AP100" s="8011"/>
      <c r="AQ100" s="8011"/>
      <c r="AR100" s="8011"/>
      <c r="AS100" s="8011"/>
    </row>
    <row r="101" spans="2:57" x14ac:dyDescent="0.2">
      <c r="B101" s="7909" t="s">
        <v>2498</v>
      </c>
      <c r="C101" s="7978" t="s">
        <v>169</v>
      </c>
      <c r="D101" s="7906"/>
      <c r="E101" s="2750">
        <v>8</v>
      </c>
      <c r="F101" s="7906"/>
      <c r="G101" s="1675">
        <v>8</v>
      </c>
      <c r="H101" s="4809"/>
      <c r="I101" s="2103">
        <v>8</v>
      </c>
      <c r="J101" s="7906"/>
      <c r="K101" s="1675">
        <v>8</v>
      </c>
      <c r="L101" s="4792"/>
      <c r="M101" s="3112">
        <v>8</v>
      </c>
      <c r="N101" s="4811"/>
      <c r="O101" s="3184">
        <v>8</v>
      </c>
      <c r="P101" s="4809"/>
      <c r="Q101" s="2103">
        <v>8</v>
      </c>
      <c r="R101" s="4811"/>
      <c r="S101" s="3184">
        <v>8</v>
      </c>
      <c r="T101" s="4809"/>
      <c r="U101" s="2103">
        <v>8</v>
      </c>
      <c r="V101" s="4811"/>
      <c r="W101" s="3184">
        <v>8</v>
      </c>
      <c r="X101" s="4792"/>
      <c r="Y101" s="3112">
        <v>8</v>
      </c>
      <c r="Z101" s="6519"/>
      <c r="AA101" s="6723">
        <v>8</v>
      </c>
      <c r="AB101" s="4811"/>
      <c r="AC101" s="3184">
        <v>8</v>
      </c>
      <c r="AD101" s="4809"/>
      <c r="AE101" s="2103">
        <v>8</v>
      </c>
      <c r="AF101" s="4811"/>
      <c r="AG101" s="3184">
        <v>8</v>
      </c>
      <c r="AH101" s="4809"/>
      <c r="AI101" s="2103">
        <v>8</v>
      </c>
      <c r="AJ101" s="4811"/>
      <c r="AK101" s="3184">
        <v>8</v>
      </c>
      <c r="AL101" s="4792"/>
      <c r="AM101" s="3112">
        <v>8</v>
      </c>
      <c r="AN101" s="4809"/>
      <c r="AO101" s="2103">
        <v>8</v>
      </c>
      <c r="AP101" s="4811"/>
      <c r="AQ101" s="3184">
        <v>8</v>
      </c>
      <c r="AR101" s="4809"/>
      <c r="AS101" s="2103">
        <v>8</v>
      </c>
      <c r="AT101" s="4811"/>
      <c r="AU101" s="3184">
        <v>8</v>
      </c>
      <c r="AV101" s="4809"/>
      <c r="AW101" s="2103">
        <v>8</v>
      </c>
      <c r="AY101">
        <v>8</v>
      </c>
      <c r="AZ101" s="4792"/>
      <c r="BA101" s="3112">
        <v>8</v>
      </c>
      <c r="BB101" s="4792"/>
      <c r="BC101" s="3112">
        <v>8</v>
      </c>
      <c r="BD101" s="6519"/>
      <c r="BE101" s="6723">
        <v>8</v>
      </c>
    </row>
    <row r="102" spans="2:57" s="7897" customFormat="1" x14ac:dyDescent="0.2">
      <c r="B102" s="7909" t="s">
        <v>2499</v>
      </c>
      <c r="C102" s="7978" t="s">
        <v>169</v>
      </c>
      <c r="D102" s="7906"/>
      <c r="E102" s="2723">
        <f>+'B-FCE'!E118</f>
        <v>4</v>
      </c>
      <c r="F102" s="2706"/>
      <c r="G102" s="1860">
        <f>+'B-FCE'!G118</f>
        <v>4.0005620458468822</v>
      </c>
      <c r="H102" s="2794"/>
      <c r="I102" s="2805">
        <f>+'B-FCE'!I118</f>
        <v>4.0003034021676998</v>
      </c>
      <c r="J102" s="2706"/>
      <c r="K102" s="1860">
        <f>+'B-FCE'!K118</f>
        <v>3.9994642191198757</v>
      </c>
      <c r="L102" s="2260"/>
      <c r="M102" s="2887">
        <f>+'B-FCE'!M118</f>
        <v>4.0000025021719807</v>
      </c>
      <c r="N102" s="3224"/>
      <c r="O102" s="6049">
        <f>+'B-FCE'!O118</f>
        <v>4.0009020601461867</v>
      </c>
      <c r="P102" s="2794"/>
      <c r="Q102" s="2805">
        <f>+'B-FCE'!Q118</f>
        <v>4.000311778812331</v>
      </c>
      <c r="R102" s="3224"/>
      <c r="S102" s="6049">
        <f>+'B-FCE'!S118</f>
        <v>4.0002014580526559</v>
      </c>
      <c r="T102" s="2794"/>
      <c r="U102" s="2805">
        <f>+'B-FCE'!U118</f>
        <v>4.000282443690196</v>
      </c>
      <c r="V102" s="3224"/>
      <c r="W102" s="6049">
        <f>+'B-FCE'!W118</f>
        <v>0.99937688731246699</v>
      </c>
      <c r="X102" s="2260"/>
      <c r="Y102" s="2887">
        <f>+'B-FCE'!Y118</f>
        <v>3.3633541952882511</v>
      </c>
      <c r="Z102" s="6612"/>
      <c r="AA102" s="6671">
        <f>+'B-FCE'!AA118</f>
        <v>3.6324388930196601</v>
      </c>
      <c r="AB102" s="3224"/>
      <c r="AC102" s="6049">
        <f>+'B-FCE'!AC118</f>
        <v>4.0009173546826791</v>
      </c>
      <c r="AD102" s="2794"/>
      <c r="AE102" s="2805">
        <f>+'B-FCE'!AE118</f>
        <v>3.6779463891497626</v>
      </c>
      <c r="AF102" s="3224"/>
      <c r="AG102" s="6049">
        <f>+'B-FCE'!AG118</f>
        <v>3.9998812651201447</v>
      </c>
      <c r="AH102" s="2794"/>
      <c r="AI102" s="2805">
        <f>+'B-FCE'!AI118</f>
        <v>3.7255408956507017</v>
      </c>
      <c r="AJ102" s="3224"/>
      <c r="AK102" s="6049">
        <f>+'B-FCE'!AK118</f>
        <v>3.9995863388401975</v>
      </c>
      <c r="AL102" s="2260"/>
      <c r="AM102" s="2887">
        <f>+'B-FCE'!AM118</f>
        <v>4.0000207577621056</v>
      </c>
      <c r="AN102" s="2794"/>
      <c r="AO102" s="2805">
        <f>+'B-FCE'!AO118</f>
        <v>3.7653072587714611</v>
      </c>
      <c r="AP102" s="3224"/>
      <c r="AQ102" s="6049">
        <f>+'B-FCE'!AQ118</f>
        <v>3.9997073639765053</v>
      </c>
      <c r="AR102" s="2794"/>
      <c r="AS102" s="2805">
        <f>+'B-FCE'!AS118</f>
        <v>3.8009757862712337</v>
      </c>
      <c r="AT102" s="3224"/>
      <c r="AU102" s="6049">
        <f>+'B-FCE'!AU118</f>
        <v>3.9995065106941374</v>
      </c>
      <c r="AV102" s="2794"/>
      <c r="AW102" s="2805">
        <f>+'B-FCE'!AW118</f>
        <v>3.8256310850994386</v>
      </c>
      <c r="AY102" s="7897">
        <f>+'B-FCE'!AY118</f>
        <v>-9.1396462578930251</v>
      </c>
      <c r="AZ102" s="2260"/>
      <c r="BA102" s="2887">
        <f>+'B-FCE'!BA118</f>
        <v>-0.27590838089954889</v>
      </c>
      <c r="BB102" s="2260"/>
      <c r="BC102" s="2887">
        <f>+'B-FCE'!BE118</f>
        <v>2.3933604499334677</v>
      </c>
      <c r="BD102" s="6612"/>
      <c r="BE102" s="6671">
        <f>+'B-FCE'!BE118</f>
        <v>2.3933604499334677</v>
      </c>
    </row>
    <row r="103" spans="2:57" x14ac:dyDescent="0.2">
      <c r="B103" s="7909" t="s">
        <v>2494</v>
      </c>
      <c r="C103" s="7978" t="s">
        <v>169</v>
      </c>
      <c r="D103" s="7906"/>
      <c r="E103" s="2723">
        <v>2.5</v>
      </c>
      <c r="F103" s="2706"/>
      <c r="G103" s="1860">
        <v>2.5</v>
      </c>
      <c r="H103" s="2794"/>
      <c r="I103" s="2805">
        <v>2.5</v>
      </c>
      <c r="J103" s="2706"/>
      <c r="K103" s="1860">
        <v>2.5</v>
      </c>
      <c r="L103" s="2260"/>
      <c r="M103" s="2887">
        <v>2.5</v>
      </c>
      <c r="N103" s="3224"/>
      <c r="O103" s="6049">
        <v>2.5</v>
      </c>
      <c r="P103" s="2794"/>
      <c r="Q103" s="2805">
        <v>2.5</v>
      </c>
      <c r="R103" s="3224"/>
      <c r="S103" s="6049">
        <v>2.5</v>
      </c>
      <c r="T103" s="2794"/>
      <c r="U103" s="2805">
        <v>2.5</v>
      </c>
      <c r="V103" s="3224"/>
      <c r="W103" s="6049">
        <v>2.5</v>
      </c>
      <c r="X103" s="2260"/>
      <c r="Y103" s="2887">
        <v>2.5</v>
      </c>
      <c r="Z103" s="6612"/>
      <c r="AA103" s="6671">
        <v>2.5</v>
      </c>
      <c r="AB103" s="3224"/>
      <c r="AC103" s="6049">
        <v>2.5</v>
      </c>
      <c r="AD103" s="2794"/>
      <c r="AE103" s="2805">
        <v>2.5</v>
      </c>
      <c r="AF103" s="3224"/>
      <c r="AG103" s="6049">
        <v>2.5</v>
      </c>
      <c r="AH103" s="2794"/>
      <c r="AI103" s="2805">
        <v>2.5</v>
      </c>
      <c r="AJ103" s="3224"/>
      <c r="AK103" s="6049">
        <v>2.5</v>
      </c>
      <c r="AL103" s="2260"/>
      <c r="AM103" s="2887">
        <v>2.5</v>
      </c>
      <c r="AN103" s="2794"/>
      <c r="AO103" s="2805">
        <v>2.5</v>
      </c>
      <c r="AP103" s="3224"/>
      <c r="AQ103" s="6049">
        <v>2.5</v>
      </c>
      <c r="AR103" s="2794"/>
      <c r="AS103" s="2805">
        <v>2.5</v>
      </c>
      <c r="AT103" s="3224"/>
      <c r="AU103" s="6049">
        <v>2.5</v>
      </c>
      <c r="AV103" s="2794"/>
      <c r="AW103" s="2805">
        <v>2.5</v>
      </c>
      <c r="AY103">
        <v>2.5</v>
      </c>
      <c r="AZ103" s="2260"/>
      <c r="BA103" s="2887">
        <v>2.5</v>
      </c>
      <c r="BB103" s="2260"/>
      <c r="BC103" s="2887">
        <v>2.5</v>
      </c>
      <c r="BD103" s="6612"/>
      <c r="BE103" s="6671">
        <v>2.5</v>
      </c>
    </row>
    <row r="104" spans="2:57" x14ac:dyDescent="0.2">
      <c r="B104" s="5528" t="s">
        <v>2496</v>
      </c>
      <c r="C104" s="5529" t="s">
        <v>2495</v>
      </c>
      <c r="D104" s="7906"/>
      <c r="E104" s="2750">
        <f>+(E6/(E54/1000))*(100-E101)/100</f>
        <v>775.99547790164434</v>
      </c>
      <c r="F104" s="7906"/>
      <c r="G104" s="1675">
        <f>+(G6/(G54/1000))*(100-G101)/100</f>
        <v>779.43268345745116</v>
      </c>
      <c r="H104" s="4809"/>
      <c r="I104" s="2103">
        <f>+(I6/(I54/1000))*(100-I101)/100</f>
        <v>777.72759951845728</v>
      </c>
      <c r="J104" s="7906"/>
      <c r="K104" s="1675">
        <f>+(K6/(K54/1000))*(100-K101)/100</f>
        <v>778.61066012642914</v>
      </c>
      <c r="L104" s="4792"/>
      <c r="M104" s="3112">
        <f>+(M6/(M54/1000))*(100-M101)/100</f>
        <v>778.04068857589982</v>
      </c>
      <c r="N104" s="4811"/>
      <c r="O104" s="3184">
        <f>+(O6/(O54/1000))*(100-O101)/100</f>
        <v>795.40597572613274</v>
      </c>
      <c r="P104" s="4809"/>
      <c r="Q104" s="2103">
        <f>+(Q6/(Q54/1000))*(100-Q101)/100</f>
        <v>783.04621803973828</v>
      </c>
      <c r="R104" s="4811"/>
      <c r="S104" s="3184">
        <f>+(S6/(S54/1000))*(100-S101)/100</f>
        <v>795.65377250095742</v>
      </c>
      <c r="T104" s="4809"/>
      <c r="U104" s="2103">
        <f>+(U6/(U54/1000))*(100-U101)/100</f>
        <v>785.79011020987161</v>
      </c>
      <c r="V104" s="4811"/>
      <c r="W104" s="3184">
        <f>+(W6/(W54/1000))*(100-W101)/100</f>
        <v>783.95678023818732</v>
      </c>
      <c r="X104" s="4792"/>
      <c r="Y104" s="3112">
        <f>+(Y6/(Y54/1000))*(100-Y101)/100</f>
        <v>792.39292775911895</v>
      </c>
      <c r="Z104" s="6519"/>
      <c r="AA104" s="6723">
        <f>+(AA6/(AA54/1000))*(100-AA101)/100</f>
        <v>785.53090101836597</v>
      </c>
      <c r="AB104" s="4811"/>
      <c r="AC104" s="3184">
        <f>+(AC6/(AC54/1000))*(100-AC101)/100</f>
        <v>784.82340356894235</v>
      </c>
      <c r="AD104" s="4809"/>
      <c r="AE104" s="2103">
        <f>+(AE6/(AE54/1000))*(100-AE101)/100</f>
        <v>785.4171405607666</v>
      </c>
      <c r="AF104" s="4811"/>
      <c r="AG104" s="3184">
        <f>+(AG6/(AG54/1000))*(100-AG101)/100</f>
        <v>762.16794417471931</v>
      </c>
      <c r="AH104" s="4809"/>
      <c r="AI104" s="2103">
        <f>+(AI6/(AI54/1000))*(100-AI101)/100</f>
        <v>781.95651709173308</v>
      </c>
      <c r="AJ104" s="4811"/>
      <c r="AK104" s="3184">
        <f>+(AK6/(AK54/1000))*(100-AK101)/100</f>
        <v>777.99236520521333</v>
      </c>
      <c r="AL104" s="4792"/>
      <c r="AM104" s="3112">
        <f>+(AM6/(AM54/1000))*(100-AM101)/100</f>
        <v>774.8376882731402</v>
      </c>
      <c r="AN104" s="4809"/>
      <c r="AO104" s="2103">
        <f>+(AO6/(AO54/1000))*(100-AO101)/100</f>
        <v>781.39625126201656</v>
      </c>
      <c r="AP104" s="4811"/>
      <c r="AQ104" s="3184">
        <f>+(AQ6/(AQ54/1000))*(100-AQ101)/100</f>
        <v>775.74749951022693</v>
      </c>
      <c r="AR104" s="4809"/>
      <c r="AS104" s="2103">
        <f>+(AS6/(AS54/1000))*(100-AS101)/100</f>
        <v>780.65632416851508</v>
      </c>
      <c r="AT104" s="4811"/>
      <c r="AU104" s="3184">
        <f>+(AU6/(AU54/1000))*(100-AU101)/100</f>
        <v>780.92508536083437</v>
      </c>
      <c r="AV104" s="4809"/>
      <c r="AW104" s="2103">
        <f>+(AW6/(AW54/1000))*(100-AW101)/100</f>
        <v>780.68504343312145</v>
      </c>
      <c r="AY104">
        <f>+(AY6/(AY54/1000))*(100-AY101)/100</f>
        <v>776.50033047750878</v>
      </c>
      <c r="AZ104" s="4792"/>
      <c r="BA104" s="3112">
        <f>+(BA6/(BA54/1000))*(100-BA101)/100</f>
        <v>777.6058209416135</v>
      </c>
      <c r="BB104" s="4792"/>
      <c r="BC104" s="3112">
        <f>+(BC6/(BC54/1000))*(100-BC101)/100</f>
        <v>776.32409365360411</v>
      </c>
      <c r="BD104" s="6519"/>
      <c r="BE104" s="6723">
        <f>+(BE6/(BE54/1000))*(100-BE101)/100</f>
        <v>780.22278629162565</v>
      </c>
    </row>
    <row r="105" spans="2:57" s="7897" customFormat="1" x14ac:dyDescent="0.2">
      <c r="B105" s="5528" t="s">
        <v>165</v>
      </c>
      <c r="C105" s="7979" t="s">
        <v>863</v>
      </c>
      <c r="D105" s="7906"/>
      <c r="E105" s="2750">
        <f>+E104*E54/1000</f>
        <v>182583.2</v>
      </c>
      <c r="F105" s="7906"/>
      <c r="G105" s="1675">
        <f>+G104*G54/1000</f>
        <v>186299.99999999997</v>
      </c>
      <c r="H105" s="4809"/>
      <c r="I105" s="2103">
        <f>+I104*I54/1000</f>
        <v>368883.19999999995</v>
      </c>
      <c r="J105" s="7906"/>
      <c r="K105" s="1675">
        <f>+K104*K54/1000</f>
        <v>202859.99999999997</v>
      </c>
      <c r="L105" s="4792"/>
      <c r="M105" s="3112">
        <f>+M104*M54/1000</f>
        <v>571743.19999999995</v>
      </c>
      <c r="N105" s="4811"/>
      <c r="O105" s="3184">
        <f>+O104*O54/1000</f>
        <v>236716</v>
      </c>
      <c r="P105" s="4809"/>
      <c r="Q105" s="2103">
        <f>+Q104*Q54/1000</f>
        <v>808459.2</v>
      </c>
      <c r="R105" s="4811"/>
      <c r="S105" s="3184">
        <f>+S104*S54/1000</f>
        <v>228519.71999999997</v>
      </c>
      <c r="T105" s="4809"/>
      <c r="U105" s="2103">
        <f>+U104*U54/1000</f>
        <v>1036978.92</v>
      </c>
      <c r="V105" s="4811"/>
      <c r="W105" s="3184">
        <f>+W104*W54/1000</f>
        <v>170360.08</v>
      </c>
      <c r="X105" s="4792"/>
      <c r="Y105" s="3112">
        <f>+Y104*Y54/1000</f>
        <v>635595.80000000005</v>
      </c>
      <c r="Z105" s="6519"/>
      <c r="AA105" s="6723">
        <f>+AA104*AA54/1000</f>
        <v>1207339</v>
      </c>
      <c r="AB105" s="4811"/>
      <c r="AC105" s="3184">
        <f>+AC104*AC54/1000</f>
        <v>231118.72</v>
      </c>
      <c r="AD105" s="4809"/>
      <c r="AE105" s="2103">
        <f>+AE104*AE54/1000</f>
        <v>1438457.72</v>
      </c>
      <c r="AF105" s="4811"/>
      <c r="AG105" s="3184">
        <f>+AG104*AG54/1000</f>
        <v>244110.95999999996</v>
      </c>
      <c r="AH105" s="4809"/>
      <c r="AI105" s="2103">
        <f>+AI104*AI54/1000</f>
        <v>1682568.68</v>
      </c>
      <c r="AJ105" s="4811"/>
      <c r="AK105" s="3184">
        <f>+AK104*AK54/1000</f>
        <v>275540</v>
      </c>
      <c r="AL105" s="4792"/>
      <c r="AM105" s="3112">
        <f>+AM104*AM54/1000</f>
        <v>750769.67999999993</v>
      </c>
      <c r="AN105" s="4809"/>
      <c r="AO105" s="2103">
        <f>+AO104*AO54/1000</f>
        <v>1958108.68</v>
      </c>
      <c r="AP105" s="4811"/>
      <c r="AQ105" s="3184">
        <f>+AQ104*AQ54/1000</f>
        <v>293020</v>
      </c>
      <c r="AR105" s="4809"/>
      <c r="AS105" s="2103">
        <f>+AS104*AS54/1000</f>
        <v>2251128.6800000002</v>
      </c>
      <c r="AT105" s="4811"/>
      <c r="AU105" s="3184">
        <f>+AU104*AU54/1000</f>
        <v>269423.84000000003</v>
      </c>
      <c r="AV105" s="4809"/>
      <c r="AW105" s="2103">
        <f>+AW104*AW54/1000</f>
        <v>2520552.52</v>
      </c>
      <c r="AY105" s="7897">
        <f>+AY104*AY54/1000</f>
        <v>311326.15999999997</v>
      </c>
      <c r="AZ105" s="4792"/>
      <c r="BA105" s="3112">
        <f>+BA104*BA54/1000</f>
        <v>873770</v>
      </c>
      <c r="BB105" s="4792"/>
      <c r="BC105" s="3112">
        <f>+BC104*BC54/1000</f>
        <v>1624539.6800000002</v>
      </c>
      <c r="BD105" s="6519"/>
      <c r="BE105" s="6723">
        <f>+BE104*BE54/1000</f>
        <v>2831878.6799999997</v>
      </c>
    </row>
    <row r="106" spans="2:57" s="7897" customFormat="1" x14ac:dyDescent="0.2">
      <c r="B106" s="7909" t="s">
        <v>698</v>
      </c>
      <c r="C106" s="7979" t="s">
        <v>863</v>
      </c>
      <c r="D106" s="7906"/>
      <c r="E106" s="2750">
        <f>+E105*E101/(100-E101)</f>
        <v>15876.800000000001</v>
      </c>
      <c r="F106" s="7906"/>
      <c r="G106" s="1675">
        <f>+G105*G101/(100-G101)</f>
        <v>16199.999999999998</v>
      </c>
      <c r="H106" s="4809"/>
      <c r="I106" s="2103">
        <f>+I105*I101/(100-I101)</f>
        <v>32076.799999999996</v>
      </c>
      <c r="J106" s="7906"/>
      <c r="K106" s="1675">
        <f>+K105*K101/(100-K101)</f>
        <v>17639.999999999996</v>
      </c>
      <c r="L106" s="4792"/>
      <c r="M106" s="3112">
        <f>+M105*M101/(100-M101)</f>
        <v>49716.799999999996</v>
      </c>
      <c r="N106" s="4811"/>
      <c r="O106" s="3184">
        <f>+O105*O101/(100-O101)</f>
        <v>20584</v>
      </c>
      <c r="P106" s="4809"/>
      <c r="Q106" s="2103">
        <f>+Q105*Q101/(100-Q101)</f>
        <v>70300.800000000003</v>
      </c>
      <c r="R106" s="4811"/>
      <c r="S106" s="3184">
        <f>+S105*S101/(100-S101)</f>
        <v>19871.28</v>
      </c>
      <c r="T106" s="4809"/>
      <c r="U106" s="2103">
        <f>+U105*U101/(100-U101)</f>
        <v>90172.08</v>
      </c>
      <c r="V106" s="4811"/>
      <c r="W106" s="3184">
        <f>+W105*W101/(100-W101)</f>
        <v>14813.919999999998</v>
      </c>
      <c r="X106" s="4792"/>
      <c r="Y106" s="3112">
        <f>+Y105*Y101/(100-Y101)</f>
        <v>55269.200000000004</v>
      </c>
      <c r="Z106" s="6519"/>
      <c r="AA106" s="6723">
        <f>+AA105*AA101/(100-AA101)</f>
        <v>104986</v>
      </c>
      <c r="AB106" s="4811"/>
      <c r="AC106" s="3184">
        <f>+AC105*AC101/(100-AC101)</f>
        <v>20097.28</v>
      </c>
      <c r="AD106" s="4809"/>
      <c r="AE106" s="2103">
        <f>+AE105*AE101/(100-AE101)</f>
        <v>125083.28</v>
      </c>
      <c r="AF106" s="4811"/>
      <c r="AG106" s="3184">
        <f>+AG105*AG101/(100-AG101)</f>
        <v>21227.039999999997</v>
      </c>
      <c r="AH106" s="4809"/>
      <c r="AI106" s="2103">
        <f>+AI105*AI101/(100-AI101)</f>
        <v>146310.32</v>
      </c>
      <c r="AJ106" s="4811"/>
      <c r="AK106" s="3184">
        <f>+AK105*AK101/(100-AK101)</f>
        <v>23960</v>
      </c>
      <c r="AL106" s="4792"/>
      <c r="AM106" s="3112">
        <f>+AM105*AM101/(100-AM101)</f>
        <v>65284.319999999992</v>
      </c>
      <c r="AN106" s="4809"/>
      <c r="AO106" s="2103">
        <f>+AO105*AO101/(100-AO101)</f>
        <v>170270.32</v>
      </c>
      <c r="AP106" s="4811"/>
      <c r="AQ106" s="3184">
        <f>+AQ105*AQ101/(100-AQ101)</f>
        <v>25480</v>
      </c>
      <c r="AR106" s="4809"/>
      <c r="AS106" s="2103">
        <f>+AS105*AS101/(100-AS101)</f>
        <v>195750.32</v>
      </c>
      <c r="AT106" s="4811"/>
      <c r="AU106" s="3184">
        <f>+AU105*AU101/(100-AU101)</f>
        <v>23428.160000000003</v>
      </c>
      <c r="AV106" s="4809"/>
      <c r="AW106" s="2103">
        <f>+AW105*AW101/(100-AW101)</f>
        <v>219178.48</v>
      </c>
      <c r="AY106" s="7897">
        <f>+AY105*AY101/(100-AY101)</f>
        <v>27071.839999999997</v>
      </c>
      <c r="AZ106" s="4792"/>
      <c r="BA106" s="3112">
        <f>+BA105*BA101/(100-BA101)</f>
        <v>75980</v>
      </c>
      <c r="BB106" s="4792"/>
      <c r="BC106" s="3112">
        <f>+BC105*BC101/(100-BC101)</f>
        <v>141264.32000000001</v>
      </c>
      <c r="BD106" s="6519"/>
      <c r="BE106" s="6723">
        <f>+BE105*BE101/(100-BE101)</f>
        <v>246250.31999999998</v>
      </c>
    </row>
    <row r="107" spans="2:57" s="7897" customFormat="1" x14ac:dyDescent="0.2">
      <c r="B107" s="7909" t="s">
        <v>2240</v>
      </c>
      <c r="C107" s="7979" t="s">
        <v>863</v>
      </c>
      <c r="D107" s="7906"/>
      <c r="E107" s="2750">
        <f>+E105/(100-E103)*E103</f>
        <v>4681.6205128205129</v>
      </c>
      <c r="F107" s="7906"/>
      <c r="G107" s="1675">
        <f>+G105/(100-G103)*G103</f>
        <v>4776.9230769230762</v>
      </c>
      <c r="H107" s="4809"/>
      <c r="I107" s="2103">
        <f>+I105/(100-I103)*I103</f>
        <v>9458.5435897435891</v>
      </c>
      <c r="J107" s="7906"/>
      <c r="K107" s="1675">
        <f>+K105/(100-K103)*K103</f>
        <v>5201.538461538461</v>
      </c>
      <c r="L107" s="4792"/>
      <c r="M107" s="3112">
        <f>+M105/(100-M103)*M103</f>
        <v>14660.08205128205</v>
      </c>
      <c r="N107" s="4811"/>
      <c r="O107" s="3184">
        <f>+O105/(100-O103)*O103</f>
        <v>6069.6410256410254</v>
      </c>
      <c r="P107" s="4809"/>
      <c r="Q107" s="2103">
        <f>+Q105/(100-Q103)*Q103</f>
        <v>20729.723076923074</v>
      </c>
      <c r="R107" s="4811"/>
      <c r="S107" s="3184">
        <f>+S105/(100-S103)*S103</f>
        <v>5859.48</v>
      </c>
      <c r="T107" s="4809"/>
      <c r="U107" s="2103">
        <f>+U105/(100-U103)*U103</f>
        <v>26589.203076923077</v>
      </c>
      <c r="V107" s="4811"/>
      <c r="W107" s="3184">
        <f>+W105/(100-W103)*W103</f>
        <v>4368.207179487179</v>
      </c>
      <c r="X107" s="4792"/>
      <c r="Y107" s="3112">
        <f>+Y105/(100-Y103)*Y103</f>
        <v>16297.328205128206</v>
      </c>
      <c r="Z107" s="6519"/>
      <c r="AA107" s="6723">
        <f>+AA105/(100-AA103)*AA103</f>
        <v>30957.410256410258</v>
      </c>
      <c r="AB107" s="4811"/>
      <c r="AC107" s="3184">
        <f>+AC105/(100-AC103)*AC103</f>
        <v>5926.121025641025</v>
      </c>
      <c r="AD107" s="4809"/>
      <c r="AE107" s="2103">
        <f>+AE105/(100-AE103)*AE103</f>
        <v>36883.531282051277</v>
      </c>
      <c r="AF107" s="4811"/>
      <c r="AG107" s="3184">
        <f>+AG105/(100-AG103)*AG103</f>
        <v>6259.2553846153842</v>
      </c>
      <c r="AH107" s="4809"/>
      <c r="AI107" s="2103">
        <f>+AI105/(100-AI103)*AI103</f>
        <v>43142.78666666666</v>
      </c>
      <c r="AJ107" s="4811"/>
      <c r="AK107" s="3184">
        <f>+AK105/(100-AK103)*AK103</f>
        <v>7065.1282051282051</v>
      </c>
      <c r="AL107" s="4792"/>
      <c r="AM107" s="3112">
        <f>+AM105/(100-AM103)*AM103</f>
        <v>19250.504615384612</v>
      </c>
      <c r="AN107" s="4809"/>
      <c r="AO107" s="2103">
        <f>+AO105/(100-AO103)*AO103</f>
        <v>50207.91487179487</v>
      </c>
      <c r="AP107" s="4811"/>
      <c r="AQ107" s="3184">
        <f>+AQ105/(100-AQ103)*AQ103</f>
        <v>7513.3333333333339</v>
      </c>
      <c r="AR107" s="4809"/>
      <c r="AS107" s="2103">
        <f>+AS105/(100-AS103)*AS103</f>
        <v>57721.248205128213</v>
      </c>
      <c r="AT107" s="4811"/>
      <c r="AU107" s="3184">
        <f>+AU105/(100-AU103)*AU103</f>
        <v>6908.3035897435902</v>
      </c>
      <c r="AV107" s="4809"/>
      <c r="AW107" s="2103">
        <f>+AW105/(100-AW103)*AW103</f>
        <v>64629.551794871797</v>
      </c>
      <c r="AY107" s="7897">
        <f>+AY105/(100-AY103)*AY103</f>
        <v>7982.7220512820513</v>
      </c>
      <c r="AZ107" s="4792"/>
      <c r="BA107" s="3112">
        <f>+BA105/(100-BA103)*BA103</f>
        <v>22404.358974358976</v>
      </c>
      <c r="BB107" s="4792"/>
      <c r="BC107" s="3112">
        <f>+BC105/(100-BC103)*BC103</f>
        <v>41654.863589743589</v>
      </c>
      <c r="BD107" s="6519"/>
      <c r="BE107" s="6723">
        <f>+BE105/(100-BE103)*BE103</f>
        <v>72612.273846153839</v>
      </c>
    </row>
    <row r="108" spans="2:57" s="7897" customFormat="1" x14ac:dyDescent="0.2">
      <c r="B108" s="7909" t="s">
        <v>2472</v>
      </c>
      <c r="C108" s="7979" t="s">
        <v>863</v>
      </c>
      <c r="D108" s="7906"/>
      <c r="E108" s="2750">
        <f>+E107*E101/(100-E101)</f>
        <v>407.0974358974359</v>
      </c>
      <c r="F108" s="7906"/>
      <c r="G108" s="1675">
        <f>+G107*G101/(100-G101)</f>
        <v>415.3846153846153</v>
      </c>
      <c r="H108" s="4809"/>
      <c r="I108" s="2103">
        <f>+I107*I101/(100-I101)</f>
        <v>822.4820512820512</v>
      </c>
      <c r="J108" s="7906"/>
      <c r="K108" s="1675">
        <f>+K107*K101/(100-K101)</f>
        <v>452.30769230769226</v>
      </c>
      <c r="L108" s="4792"/>
      <c r="M108" s="3112">
        <f>+M107*M101/(100-M101)</f>
        <v>1274.7897435897435</v>
      </c>
      <c r="N108" s="4811"/>
      <c r="O108" s="3184">
        <f>+O107*O101/(100-O101)</f>
        <v>527.79487179487182</v>
      </c>
      <c r="P108" s="4809"/>
      <c r="Q108" s="2103">
        <f>+Q107*Q101/(100-Q101)</f>
        <v>1802.5846153846151</v>
      </c>
      <c r="R108" s="4811"/>
      <c r="S108" s="3184">
        <f>+S107*S101/(100-S101)</f>
        <v>509.52</v>
      </c>
      <c r="T108" s="4809"/>
      <c r="U108" s="2103">
        <f>+U107*U101/(100-U101)</f>
        <v>2312.1046153846155</v>
      </c>
      <c r="V108" s="4811"/>
      <c r="W108" s="3184">
        <f>+W107*W101/(100-W101)</f>
        <v>379.84410256410251</v>
      </c>
      <c r="X108" s="4792"/>
      <c r="Y108" s="3112">
        <f>+Y107*Y101/(100-Y101)</f>
        <v>1417.1589743589743</v>
      </c>
      <c r="Z108" s="6519"/>
      <c r="AA108" s="6723">
        <f>+AA107*AA101/(100-AA101)</f>
        <v>2691.9487179487182</v>
      </c>
      <c r="AB108" s="4811"/>
      <c r="AC108" s="3184">
        <f>+AC107*AC101/(100-AC101)</f>
        <v>515.31487179487169</v>
      </c>
      <c r="AD108" s="4809"/>
      <c r="AE108" s="2103">
        <f>+AE107*AE101/(100-AE101)</f>
        <v>3207.2635897435894</v>
      </c>
      <c r="AF108" s="4811"/>
      <c r="AG108" s="3184">
        <f>+AG107*AG101/(100-AG101)</f>
        <v>544.28307692307692</v>
      </c>
      <c r="AH108" s="4809"/>
      <c r="AI108" s="2103">
        <f>+AI107*AI101/(100-AI101)</f>
        <v>3751.5466666666662</v>
      </c>
      <c r="AJ108" s="4811"/>
      <c r="AK108" s="3184">
        <f>+AK107*AK101/(100-AK101)</f>
        <v>614.35897435897436</v>
      </c>
      <c r="AL108" s="4792"/>
      <c r="AM108" s="3112">
        <f>+AM107*AM101/(100-AM101)</f>
        <v>1673.9569230769227</v>
      </c>
      <c r="AN108" s="4809"/>
      <c r="AO108" s="2103">
        <f>+AO107*AO101/(100-AO101)</f>
        <v>4365.9056410256408</v>
      </c>
      <c r="AP108" s="4811"/>
      <c r="AQ108" s="3184">
        <f>+AQ107*AQ101/(100-AQ101)</f>
        <v>653.33333333333337</v>
      </c>
      <c r="AR108" s="4809"/>
      <c r="AS108" s="2103">
        <f>+AS107*AS101/(100-AS101)</f>
        <v>5019.2389743589747</v>
      </c>
      <c r="AT108" s="4811"/>
      <c r="AU108" s="3184">
        <f>+AU107*AU101/(100-AU101)</f>
        <v>600.72205128205132</v>
      </c>
      <c r="AV108" s="4809"/>
      <c r="AW108" s="2103">
        <f>+AW107*AW101/(100-AW101)</f>
        <v>5619.961025641026</v>
      </c>
      <c r="AY108" s="7897">
        <f>+AY107*AY101/(100-AY101)</f>
        <v>694.14974358974359</v>
      </c>
      <c r="AZ108" s="4792"/>
      <c r="BA108" s="3112">
        <f>+BA107*BA101/(100-BA101)</f>
        <v>1948.2051282051284</v>
      </c>
      <c r="BB108" s="4792"/>
      <c r="BC108" s="3112">
        <f>+BC107*BC101/(100-BC101)</f>
        <v>3622.1620512820514</v>
      </c>
      <c r="BD108" s="6519"/>
      <c r="BE108" s="6723">
        <f>+BE107*BE101/(100-BE101)</f>
        <v>6314.1107692307687</v>
      </c>
    </row>
    <row r="109" spans="2:57" s="7897" customFormat="1" x14ac:dyDescent="0.2">
      <c r="B109" s="7909" t="s">
        <v>1080</v>
      </c>
      <c r="C109" s="7979" t="s">
        <v>863</v>
      </c>
      <c r="D109" s="7906"/>
      <c r="E109" s="2750">
        <f>SUM(E105:E108)</f>
        <v>203548.71794871797</v>
      </c>
      <c r="F109" s="7906"/>
      <c r="G109" s="1675">
        <f>SUM(G105:G108)</f>
        <v>207692.30769230766</v>
      </c>
      <c r="H109" s="4809"/>
      <c r="I109" s="2103">
        <f>SUM(I105:I108)</f>
        <v>411241.02564102563</v>
      </c>
      <c r="J109" s="7906"/>
      <c r="K109" s="1675">
        <f>SUM(K105:K108)</f>
        <v>226153.84615384613</v>
      </c>
      <c r="L109" s="4792"/>
      <c r="M109" s="3112">
        <f>SUM(M105:M108)</f>
        <v>637394.87179487175</v>
      </c>
      <c r="N109" s="4811"/>
      <c r="O109" s="3184">
        <f>SUM(O105:O108)</f>
        <v>263897.43589743588</v>
      </c>
      <c r="P109" s="4809"/>
      <c r="Q109" s="2103">
        <f>SUM(Q105:Q108)</f>
        <v>901292.30769230763</v>
      </c>
      <c r="R109" s="4811"/>
      <c r="S109" s="3184">
        <f>SUM(S105:S108)</f>
        <v>254759.99999999997</v>
      </c>
      <c r="T109" s="4809"/>
      <c r="U109" s="2103">
        <f>SUM(U105:U108)</f>
        <v>1156052.3076923077</v>
      </c>
      <c r="V109" s="4811"/>
      <c r="W109" s="3184">
        <f>SUM(W105:W108)</f>
        <v>189922.05128205128</v>
      </c>
      <c r="X109" s="4792"/>
      <c r="Y109" s="3112">
        <f>SUM(Y105:Y108)</f>
        <v>708579.48717948713</v>
      </c>
      <c r="Z109" s="6519"/>
      <c r="AA109" s="6723">
        <f>SUM(AA105:AA108)</f>
        <v>1345974.358974359</v>
      </c>
      <c r="AB109" s="4811"/>
      <c r="AC109" s="3184">
        <f>SUM(AC105:AC108)</f>
        <v>257657.43589743588</v>
      </c>
      <c r="AD109" s="4809"/>
      <c r="AE109" s="2103">
        <f>SUM(AE105:AE108)</f>
        <v>1603631.7948717948</v>
      </c>
      <c r="AF109" s="4811"/>
      <c r="AG109" s="3184">
        <f>SUM(AG105:AG108)</f>
        <v>272141.53846153838</v>
      </c>
      <c r="AH109" s="4809"/>
      <c r="AI109" s="2103">
        <f>SUM(AI105:AI108)</f>
        <v>1875773.3333333333</v>
      </c>
      <c r="AJ109" s="4811"/>
      <c r="AK109" s="3184">
        <f>SUM(AK105:AK108)</f>
        <v>307179.48717948719</v>
      </c>
      <c r="AL109" s="4792"/>
      <c r="AM109" s="3112">
        <f>SUM(AM105:AM108)</f>
        <v>836978.46153846139</v>
      </c>
      <c r="AN109" s="4809"/>
      <c r="AO109" s="2103">
        <f>SUM(AO105:AO108)</f>
        <v>2182952.820512821</v>
      </c>
      <c r="AP109" s="4811"/>
      <c r="AQ109" s="3184">
        <f>SUM(AQ105:AQ108)</f>
        <v>326666.66666666663</v>
      </c>
      <c r="AR109" s="4809"/>
      <c r="AS109" s="2103">
        <f>SUM(AS105:AS108)</f>
        <v>2509619.487179487</v>
      </c>
      <c r="AT109" s="4811"/>
      <c r="AU109" s="3184">
        <f>SUM(AU105:AU108)</f>
        <v>300361.02564102563</v>
      </c>
      <c r="AV109" s="4809"/>
      <c r="AW109" s="2103">
        <f>SUM(AW105:AW108)</f>
        <v>2809980.5128205125</v>
      </c>
      <c r="AY109" s="7897">
        <f>SUM(AY105:AY108)</f>
        <v>347074.87179487181</v>
      </c>
      <c r="AZ109" s="4792"/>
      <c r="BA109" s="3112">
        <f>SUM(BA105:BA108)</f>
        <v>974102.56410256412</v>
      </c>
      <c r="BB109" s="4792"/>
      <c r="BC109" s="3112">
        <f>SUM(BC105:BC108)</f>
        <v>1811081.025641026</v>
      </c>
      <c r="BD109" s="6519"/>
      <c r="BE109" s="6723">
        <f>SUM(BE105:BE108)</f>
        <v>3157055.384615384</v>
      </c>
    </row>
    <row r="110" spans="2:57" x14ac:dyDescent="0.2">
      <c r="B110" s="3938" t="s">
        <v>2497</v>
      </c>
      <c r="C110" s="7979" t="s">
        <v>863</v>
      </c>
      <c r="D110" s="7906"/>
      <c r="E110" s="2750">
        <f>+'B-FCE'!E116+SMS!E165</f>
        <v>14649.75</v>
      </c>
      <c r="F110" s="7906"/>
      <c r="G110" s="1675">
        <f>+'B-FCE'!G116+SMS!G165</f>
        <v>17563.166666666664</v>
      </c>
      <c r="H110" s="4809"/>
      <c r="I110" s="2103">
        <f>+'B-FCE'!I116+SMS!I165</f>
        <v>32212.916666666664</v>
      </c>
      <c r="J110" s="7906"/>
      <c r="K110" s="1675">
        <f>+'B-FCE'!K116+SMS!K165</f>
        <v>17161.033333333336</v>
      </c>
      <c r="L110" s="4792"/>
      <c r="M110" s="3112">
        <f>+'B-FCE'!M116+SMS!M165</f>
        <v>49373.95</v>
      </c>
      <c r="N110" s="4811"/>
      <c r="O110" s="3184">
        <f>+'B-FCE'!O116+SMS!O165</f>
        <v>24376.708333333332</v>
      </c>
      <c r="P110" s="4809"/>
      <c r="Q110" s="2103">
        <f>+'B-FCE'!Q116+SMS!Q165</f>
        <v>73750.658333333326</v>
      </c>
      <c r="R110" s="4811"/>
      <c r="S110" s="3184">
        <f>+'B-FCE'!S116+SMS!S165</f>
        <v>26017.416666666668</v>
      </c>
      <c r="T110" s="4809"/>
      <c r="U110" s="2103">
        <f>+'B-FCE'!U116+SMS!U165</f>
        <v>99768.074999999997</v>
      </c>
      <c r="V110" s="4811"/>
      <c r="W110" s="3184">
        <f>+'B-FCE'!W116+SMS!W165</f>
        <v>14084.166666666666</v>
      </c>
      <c r="X110" s="4792"/>
      <c r="Y110" s="3112">
        <f>+'B-FCE'!Y116+SMS!Y165</f>
        <v>64478.291666666672</v>
      </c>
      <c r="Z110" s="6519"/>
      <c r="AA110" s="6723">
        <f>+'B-FCE'!AA116+SMS!AA165</f>
        <v>113852.24166666667</v>
      </c>
      <c r="AB110" s="4811"/>
      <c r="AC110" s="3184">
        <f>+'B-FCE'!AC116+SMS!AC165</f>
        <v>15707.333333333332</v>
      </c>
      <c r="AD110" s="4809"/>
      <c r="AE110" s="2103">
        <f>+'B-FCE'!AE116+SMS!AE165</f>
        <v>129559.575</v>
      </c>
      <c r="AF110" s="4811"/>
      <c r="AG110" s="3184">
        <f>+'B-FCE'!AG116+SMS!AG165</f>
        <v>22325.416666666664</v>
      </c>
      <c r="AH110" s="4809"/>
      <c r="AI110" s="2103">
        <f>+'B-FCE'!AI116+SMS!AI165</f>
        <v>151884.99166666667</v>
      </c>
      <c r="AJ110" s="4811"/>
      <c r="AK110" s="3184">
        <f>+'B-FCE'!AK116+SMS!AK165</f>
        <v>24998.416666666664</v>
      </c>
      <c r="AL110" s="4792"/>
      <c r="AM110" s="3112">
        <f>+'B-FCE'!AM116+SMS!AM165</f>
        <v>63031.166666666657</v>
      </c>
      <c r="AN110" s="4809"/>
      <c r="AO110" s="2103">
        <f>+'B-FCE'!AO116+SMS!AO165</f>
        <v>176883.40833333333</v>
      </c>
      <c r="AP110" s="4811"/>
      <c r="AQ110" s="3184">
        <f>+'B-FCE'!AQ116+SMS!AQ165</f>
        <v>31442.583333333332</v>
      </c>
      <c r="AR110" s="4809"/>
      <c r="AS110" s="2103">
        <f>+'B-FCE'!AS116+SMS!AS165</f>
        <v>208325.99166666667</v>
      </c>
      <c r="AT110" s="4811"/>
      <c r="AU110" s="3184">
        <f>+'B-FCE'!AU116+SMS!AU165</f>
        <v>29483.416666666668</v>
      </c>
      <c r="AV110" s="4809"/>
      <c r="AW110" s="2103">
        <f>+'B-FCE'!AW116+SMS!AW165</f>
        <v>237809.40833333333</v>
      </c>
      <c r="AY110">
        <f>+'B-FCE'!AY116+SMS!AY165</f>
        <v>33074.166666666672</v>
      </c>
      <c r="AZ110" s="4792"/>
      <c r="BA110" s="3112">
        <f>+'B-FCE'!BA116+SMS!BA165</f>
        <v>94000.166666666672</v>
      </c>
      <c r="BB110" s="4792"/>
      <c r="BC110" s="3112">
        <f>+'B-FCE'!BE116+SMS!BE165</f>
        <v>270883.57500000001</v>
      </c>
      <c r="BD110" s="6519"/>
      <c r="BE110" s="6723">
        <f>+'B-FCE'!BE116+SMS!BE165</f>
        <v>270883.57500000001</v>
      </c>
    </row>
    <row r="111" spans="2:57" x14ac:dyDescent="0.2">
      <c r="B111" s="7909" t="s">
        <v>698</v>
      </c>
      <c r="C111" s="7979" t="s">
        <v>863</v>
      </c>
      <c r="D111" s="7906"/>
      <c r="E111" s="2750">
        <f>+E110*E102/(100-E102)</f>
        <v>610.40625</v>
      </c>
      <c r="F111" s="7906"/>
      <c r="G111" s="1675">
        <f>+G110*G102/(100-G102)</f>
        <v>731.905722251263</v>
      </c>
      <c r="H111" s="4809"/>
      <c r="I111" s="2103">
        <f>+I110*I102/(100-I102)</f>
        <v>1342.3109103692832</v>
      </c>
      <c r="J111" s="7906"/>
      <c r="K111" s="1675">
        <f>+K110*K102/(100-K102)</f>
        <v>714.94328882130878</v>
      </c>
      <c r="L111" s="4792"/>
      <c r="M111" s="3112">
        <f>+M110*M102/(100-M102)</f>
        <v>2057.2492571844346</v>
      </c>
      <c r="N111" s="4811"/>
      <c r="O111" s="3184">
        <f>+O110*O102/(100-O102)</f>
        <v>1015.9347815072248</v>
      </c>
      <c r="P111" s="4809"/>
      <c r="Q111" s="2103">
        <f>+Q110*Q102/(100-Q102)</f>
        <v>3073.1935977359071</v>
      </c>
      <c r="R111" s="4811"/>
      <c r="S111" s="3184">
        <f>+S110*S102/(100-S102)</f>
        <v>1084.1159009233513</v>
      </c>
      <c r="T111" s="4809"/>
      <c r="U111" s="2103">
        <f>+U110*U102/(100-U102)</f>
        <v>4157.308886134686</v>
      </c>
      <c r="V111" s="4811"/>
      <c r="W111" s="3184">
        <f>+W110*W102/(100-W102)</f>
        <v>142.17476821031735</v>
      </c>
      <c r="X111" s="4792"/>
      <c r="Y111" s="3112">
        <f>+Y110*Y102/(100-Y102)</f>
        <v>2244.1107198645045</v>
      </c>
      <c r="Z111" s="6519"/>
      <c r="AA111" s="6723">
        <f>+AA110*AA102/(100-AA102)</f>
        <v>4291.4991926418834</v>
      </c>
      <c r="AB111" s="4811"/>
      <c r="AC111" s="3184">
        <f>+AC110*AC102/(100-AC102)</f>
        <v>654.62857349694139</v>
      </c>
      <c r="AD111" s="4809"/>
      <c r="AE111" s="2103">
        <f>+AE110*AE102/(100-AE102)</f>
        <v>4947.0827623358609</v>
      </c>
      <c r="AF111" s="4811"/>
      <c r="AG111" s="3184">
        <f>+AG110*AG102/(100-AG102)</f>
        <v>930.1969313977097</v>
      </c>
      <c r="AH111" s="4809"/>
      <c r="AI111" s="2103">
        <f>+AI110*AI102/(100-AI102)</f>
        <v>5877.5063828342991</v>
      </c>
      <c r="AJ111" s="4811"/>
      <c r="AK111" s="3184">
        <f>+AK110*AK102/(100-AK102)</f>
        <v>1041.4884892635282</v>
      </c>
      <c r="AL111" s="4792"/>
      <c r="AM111" s="3112">
        <f>+AM110*AM102/(100-AM102)</f>
        <v>2626.3128080104793</v>
      </c>
      <c r="AN111" s="4809"/>
      <c r="AO111" s="2103">
        <f>+AO110*AO102/(100-AO102)</f>
        <v>6920.7929321771717</v>
      </c>
      <c r="AP111" s="4811"/>
      <c r="AQ111" s="3184">
        <f>+AQ110*AQ102/(100-AQ102)</f>
        <v>1310.0077994302615</v>
      </c>
      <c r="AR111" s="4809"/>
      <c r="AS111" s="2103">
        <f>+AS110*AS102/(100-AS102)</f>
        <v>8231.2898332178447</v>
      </c>
      <c r="AT111" s="4811"/>
      <c r="AU111" s="3184">
        <f>+AU110*AU102/(100-AU102)</f>
        <v>1228.3178203555503</v>
      </c>
      <c r="AV111" s="4809"/>
      <c r="AW111" s="2103">
        <f>+AW110*AW102/(100-AW102)</f>
        <v>9459.6000484714605</v>
      </c>
      <c r="AY111">
        <f>+AY110*AY102/(100-AY102)</f>
        <v>-2769.7192905833595</v>
      </c>
      <c r="AZ111" s="4792"/>
      <c r="BA111" s="3112">
        <f>+BA110*BA102/(100-BA102)</f>
        <v>-258.64072645217647</v>
      </c>
      <c r="BB111" s="4792"/>
      <c r="BC111" s="3112">
        <f>+BC110*BC102/(100-BC102)</f>
        <v>6642.191944422334</v>
      </c>
      <c r="BD111" s="6519"/>
      <c r="BE111" s="6723">
        <f>+BE110*BE102/(100-BE102)</f>
        <v>6642.191944422334</v>
      </c>
    </row>
    <row r="112" spans="2:57" x14ac:dyDescent="0.2">
      <c r="B112" s="7909" t="s">
        <v>2240</v>
      </c>
      <c r="C112" s="7979" t="s">
        <v>863</v>
      </c>
      <c r="D112" s="7906"/>
      <c r="E112" s="2750">
        <f>+E110/(100-E103)*E103</f>
        <v>375.63461538461536</v>
      </c>
      <c r="F112" s="7906"/>
      <c r="G112" s="1675">
        <f>+G110/(100-G103)*G103</f>
        <v>450.33760683760676</v>
      </c>
      <c r="H112" s="4809"/>
      <c r="I112" s="2103">
        <f>+I110/(100-I103)*I103</f>
        <v>825.97222222222217</v>
      </c>
      <c r="J112" s="7906"/>
      <c r="K112" s="1675">
        <f>+K110/(100-K103)*K103</f>
        <v>440.0264957264958</v>
      </c>
      <c r="L112" s="4792"/>
      <c r="M112" s="3112">
        <f>+M110/(100-M103)*M103</f>
        <v>1265.998717948718</v>
      </c>
      <c r="N112" s="4811"/>
      <c r="O112" s="3184">
        <f>+O110/(100-O103)*O103</f>
        <v>625.04380341880346</v>
      </c>
      <c r="P112" s="4809"/>
      <c r="Q112" s="2103">
        <f>+Q110/(100-Q103)*Q103</f>
        <v>1891.0425213675212</v>
      </c>
      <c r="R112" s="4811"/>
      <c r="S112" s="3184">
        <f>+S110/(100-S103)*S103</f>
        <v>667.11324786324792</v>
      </c>
      <c r="T112" s="4809"/>
      <c r="U112" s="2103">
        <f>+U110/(100-U103)*U103</f>
        <v>2558.1557692307692</v>
      </c>
      <c r="V112" s="4811"/>
      <c r="W112" s="3184">
        <f>+W110/(100-W103)*W103</f>
        <v>361.13247863247864</v>
      </c>
      <c r="X112" s="4792"/>
      <c r="Y112" s="3112">
        <f>+Y110/(100-Y103)*Y103</f>
        <v>1653.28952991453</v>
      </c>
      <c r="Z112" s="6519"/>
      <c r="AA112" s="6723">
        <f>+AA110/(100-AA103)*AA103</f>
        <v>2919.2882478632482</v>
      </c>
      <c r="AB112" s="4811"/>
      <c r="AC112" s="3184">
        <f>+AC110/(100-AC103)*AC103</f>
        <v>402.75213675213672</v>
      </c>
      <c r="AD112" s="4809"/>
      <c r="AE112" s="2103">
        <f>+AE110/(100-AE103)*AE103</f>
        <v>3322.0403846153845</v>
      </c>
      <c r="AF112" s="4811"/>
      <c r="AG112" s="3184">
        <f>+AG110/(100-AG103)*AG103</f>
        <v>572.44658119658106</v>
      </c>
      <c r="AH112" s="4809"/>
      <c r="AI112" s="2103">
        <f>+AI110/(100-AI103)*AI103</f>
        <v>3894.486965811966</v>
      </c>
      <c r="AJ112" s="4811"/>
      <c r="AK112" s="3184">
        <f>+AK110/(100-AK103)*AK103</f>
        <v>640.98504273504261</v>
      </c>
      <c r="AL112" s="4792"/>
      <c r="AM112" s="3112">
        <f>+AM110/(100-AM103)*AM103</f>
        <v>1616.1837606837605</v>
      </c>
      <c r="AN112" s="4809"/>
      <c r="AO112" s="2103">
        <f>+AO110/(100-AO103)*AO103</f>
        <v>4535.472008547009</v>
      </c>
      <c r="AP112" s="4811"/>
      <c r="AQ112" s="3184">
        <f>+AQ110/(100-AQ103)*AQ103</f>
        <v>806.22008547008545</v>
      </c>
      <c r="AR112" s="4809"/>
      <c r="AS112" s="2103">
        <f>+AS110/(100-AS103)*AS103</f>
        <v>5341.692094017094</v>
      </c>
      <c r="AT112" s="4811"/>
      <c r="AU112" s="3184">
        <f>+AU110/(100-AU103)*AU103</f>
        <v>755.98504273504273</v>
      </c>
      <c r="AV112" s="4809"/>
      <c r="AW112" s="2103">
        <f>+AW110/(100-AW103)*AW103</f>
        <v>6097.677136752136</v>
      </c>
      <c r="AY112">
        <f>+AY110/(100-AY103)*AY103</f>
        <v>848.05555555555566</v>
      </c>
      <c r="AZ112" s="4792"/>
      <c r="BA112" s="3112">
        <f>+BA110/(100-BA103)*BA103</f>
        <v>2410.2606837606841</v>
      </c>
      <c r="BB112" s="4792"/>
      <c r="BC112" s="3112">
        <f>+BC110/(100-BC103)*BC103</f>
        <v>6945.7326923076926</v>
      </c>
      <c r="BD112" s="6519"/>
      <c r="BE112" s="6723">
        <f>+BE110/(100-BE103)*BE103</f>
        <v>6945.7326923076926</v>
      </c>
    </row>
    <row r="113" spans="2:57" x14ac:dyDescent="0.2">
      <c r="B113" s="7909" t="s">
        <v>2472</v>
      </c>
      <c r="C113" s="7979" t="s">
        <v>863</v>
      </c>
      <c r="D113" s="7906"/>
      <c r="E113" s="2750">
        <f>+E112*E102/(100-E102)</f>
        <v>15.651442307692307</v>
      </c>
      <c r="F113" s="7906"/>
      <c r="G113" s="1675">
        <f>+G112*G102/(100-G102)</f>
        <v>18.766813391058026</v>
      </c>
      <c r="H113" s="4809"/>
      <c r="I113" s="2103">
        <f>+I112*I102/(100-I102)</f>
        <v>34.418228471007261</v>
      </c>
      <c r="J113" s="7906"/>
      <c r="K113" s="1675">
        <f>+K112*K102/(100-K102)</f>
        <v>18.331879200546378</v>
      </c>
      <c r="L113" s="4792"/>
      <c r="M113" s="3112">
        <f>+M112*M102/(100-M102)</f>
        <v>52.749980953447036</v>
      </c>
      <c r="N113" s="4811"/>
      <c r="O113" s="3184">
        <f>+O112*O102/(100-O102)</f>
        <v>26.049609782236534</v>
      </c>
      <c r="P113" s="4809"/>
      <c r="Q113" s="2103">
        <f>+Q112*Q102/(100-Q102)</f>
        <v>78.799835839382226</v>
      </c>
      <c r="R113" s="4811"/>
      <c r="S113" s="3184">
        <f>+S112*S102/(100-S102)</f>
        <v>27.797843613419268</v>
      </c>
      <c r="T113" s="4809"/>
      <c r="U113" s="2103">
        <f>+U112*U102/(100-U102)</f>
        <v>106.59766374704323</v>
      </c>
      <c r="V113" s="4811"/>
      <c r="W113" s="3184">
        <f>+W112*W102/(100-W102)</f>
        <v>3.6455068771876245</v>
      </c>
      <c r="X113" s="4792"/>
      <c r="Y113" s="3112">
        <f>+Y112*Y102/(100-Y102)</f>
        <v>57.541300509346264</v>
      </c>
      <c r="Z113" s="6519"/>
      <c r="AA113" s="6723">
        <f>+AA112*AA102/(100-AA102)</f>
        <v>110.03844083697136</v>
      </c>
      <c r="AB113" s="4811"/>
      <c r="AC113" s="3184">
        <f>+AC112*AC102/(100-AC102)</f>
        <v>16.785348038383113</v>
      </c>
      <c r="AD113" s="4809"/>
      <c r="AE113" s="2103">
        <f>+AE112*AE102/(100-AE102)</f>
        <v>126.84827595732975</v>
      </c>
      <c r="AF113" s="4811"/>
      <c r="AG113" s="3184">
        <f>+AG112*AG102/(100-AG102)</f>
        <v>23.851203369172037</v>
      </c>
      <c r="AH113" s="4809"/>
      <c r="AI113" s="2103">
        <f>+AI112*AI102/(100-AI102)</f>
        <v>150.70529186754612</v>
      </c>
      <c r="AJ113" s="4811"/>
      <c r="AK113" s="3184">
        <f>+AK112*AK102/(100-AK102)</f>
        <v>26.704833058039185</v>
      </c>
      <c r="AL113" s="4792"/>
      <c r="AM113" s="3112">
        <f>+AM112*AM102/(100-AM102)</f>
        <v>67.341354051550752</v>
      </c>
      <c r="AN113" s="4809"/>
      <c r="AO113" s="2103">
        <f>+AO112*AO102/(100-AO102)</f>
        <v>177.45622903018395</v>
      </c>
      <c r="AP113" s="4811"/>
      <c r="AQ113" s="3184">
        <f>+AQ112*AQ102/(100-AQ102)</f>
        <v>33.58994357513491</v>
      </c>
      <c r="AR113" s="4809"/>
      <c r="AS113" s="2103">
        <f>+AS112*AS102/(100-AS102)</f>
        <v>211.05871367225242</v>
      </c>
      <c r="AT113" s="4811"/>
      <c r="AU113" s="3184">
        <f>+AU112*AU102/(100-AU102)</f>
        <v>31.495328727065392</v>
      </c>
      <c r="AV113" s="4809"/>
      <c r="AW113" s="2103">
        <f>+AW112*AW102/(100-AW102)</f>
        <v>242.55384739670413</v>
      </c>
      <c r="AY113">
        <f>+AY112*AY102/(100-AY102)</f>
        <v>-71.018443348291271</v>
      </c>
      <c r="AZ113" s="4792"/>
      <c r="BA113" s="3112">
        <f>+BA112*BA102/(100-BA102)</f>
        <v>-6.6318134987737549</v>
      </c>
      <c r="BB113" s="4792"/>
      <c r="BC113" s="3112">
        <f>+BC112*BC102/(100-BC102)</f>
        <v>170.31261395954701</v>
      </c>
      <c r="BD113" s="6519"/>
      <c r="BE113" s="6723">
        <f>+BE112*BE102/(100-BE102)</f>
        <v>170.31261395954701</v>
      </c>
    </row>
    <row r="114" spans="2:57" x14ac:dyDescent="0.2">
      <c r="B114" s="7909" t="s">
        <v>1080</v>
      </c>
      <c r="C114" s="7979" t="s">
        <v>863</v>
      </c>
      <c r="D114" s="7906"/>
      <c r="E114" s="2750">
        <f>SUM(E110:E113)</f>
        <v>15651.442307692307</v>
      </c>
      <c r="F114" s="7906"/>
      <c r="G114" s="1675">
        <f>SUM(G110:G113)</f>
        <v>18764.176809146593</v>
      </c>
      <c r="H114" s="4809"/>
      <c r="I114" s="2103">
        <f>SUM(I110:I113)</f>
        <v>34415.618027729171</v>
      </c>
      <c r="J114" s="7906"/>
      <c r="K114" s="1675">
        <f>SUM(K110:K113)</f>
        <v>18334.334997081685</v>
      </c>
      <c r="L114" s="4792"/>
      <c r="M114" s="3112">
        <f>SUM(M110:M113)</f>
        <v>52749.947956086602</v>
      </c>
      <c r="N114" s="4811"/>
      <c r="O114" s="3184">
        <f>SUM(O110:O113)</f>
        <v>26043.736528041598</v>
      </c>
      <c r="P114" s="4809"/>
      <c r="Q114" s="2103">
        <f>SUM(Q110:Q113)</f>
        <v>78793.694288276136</v>
      </c>
      <c r="R114" s="4811"/>
      <c r="S114" s="3184">
        <f>SUM(S110:S113)</f>
        <v>27796.443659066685</v>
      </c>
      <c r="T114" s="4809"/>
      <c r="U114" s="2103">
        <f>SUM(U110:U113)</f>
        <v>106590.1373191125</v>
      </c>
      <c r="V114" s="4811"/>
      <c r="W114" s="3184">
        <f>SUM(W110:W113)</f>
        <v>14591.119420386651</v>
      </c>
      <c r="X114" s="4792"/>
      <c r="Y114" s="3112">
        <f>SUM(Y110:Y113)</f>
        <v>68433.23321695505</v>
      </c>
      <c r="Z114" s="6519"/>
      <c r="AA114" s="6723">
        <f>SUM(AA110:AA113)</f>
        <v>121173.06754800878</v>
      </c>
      <c r="AB114" s="4811"/>
      <c r="AC114" s="3184">
        <f>SUM(AC110:AC113)</f>
        <v>16781.499391620793</v>
      </c>
      <c r="AD114" s="4809"/>
      <c r="AE114" s="2103">
        <f>SUM(AE110:AE113)</f>
        <v>137955.54642290858</v>
      </c>
      <c r="AF114" s="4811"/>
      <c r="AG114" s="3184">
        <f>SUM(AG110:AG113)</f>
        <v>23851.911382630129</v>
      </c>
      <c r="AH114" s="4809"/>
      <c r="AI114" s="2103">
        <f>SUM(AI110:AI113)</f>
        <v>161807.69030718048</v>
      </c>
      <c r="AJ114" s="4811"/>
      <c r="AK114" s="3184">
        <f>SUM(AK110:AK113)</f>
        <v>26707.595031723275</v>
      </c>
      <c r="AL114" s="4792"/>
      <c r="AM114" s="3112">
        <f>SUM(AM110:AM113)</f>
        <v>67341.004589412449</v>
      </c>
      <c r="AN114" s="4809"/>
      <c r="AO114" s="2103">
        <f>SUM(AO110:AO113)</f>
        <v>188517.12950308769</v>
      </c>
      <c r="AP114" s="4811"/>
      <c r="AQ114" s="3184">
        <f>SUM(AQ110:AQ113)</f>
        <v>33592.401161808812</v>
      </c>
      <c r="AR114" s="4809"/>
      <c r="AS114" s="2103">
        <f>SUM(AS110:AS113)</f>
        <v>222110.03230757383</v>
      </c>
      <c r="AT114" s="4811"/>
      <c r="AU114" s="3184">
        <f>SUM(AU110:AU113)</f>
        <v>31499.214858484327</v>
      </c>
      <c r="AV114" s="4809"/>
      <c r="AW114" s="2103">
        <f>SUM(AW110:AW113)</f>
        <v>253609.23936595366</v>
      </c>
      <c r="AY114">
        <f>SUM(AY110:AY113)</f>
        <v>31081.484488290578</v>
      </c>
      <c r="AZ114" s="4792"/>
      <c r="BA114" s="3112">
        <f>SUM(BA110:BA113)</f>
        <v>96145.154810476422</v>
      </c>
      <c r="BB114" s="4792"/>
      <c r="BC114" s="3112">
        <f>SUM(BC110:BC113)</f>
        <v>284641.81225068955</v>
      </c>
      <c r="BD114" s="6519"/>
      <c r="BE114" s="6723">
        <f>SUM(BE110:BE113)</f>
        <v>284641.81225068955</v>
      </c>
    </row>
    <row r="115" spans="2:57" x14ac:dyDescent="0.2">
      <c r="B115" s="3938"/>
      <c r="C115" s="5529"/>
      <c r="D115" s="7906"/>
      <c r="E115" s="2750"/>
      <c r="F115" s="7906"/>
      <c r="G115" s="1675"/>
      <c r="H115" s="4809"/>
      <c r="I115" s="2103"/>
      <c r="J115" s="7906"/>
      <c r="K115" s="1675"/>
      <c r="L115" s="4792"/>
      <c r="M115" s="3112"/>
      <c r="N115" s="4811"/>
      <c r="O115" s="3184"/>
      <c r="P115" s="4809"/>
      <c r="Q115" s="2103"/>
      <c r="R115" s="4811"/>
      <c r="S115" s="3184"/>
      <c r="T115" s="4809"/>
      <c r="U115" s="2103"/>
      <c r="V115" s="4811"/>
      <c r="W115" s="3184"/>
      <c r="X115" s="4792"/>
      <c r="Y115" s="3112"/>
      <c r="Z115" s="6519"/>
      <c r="AA115" s="6723"/>
      <c r="AB115" s="4811"/>
      <c r="AC115" s="3184"/>
      <c r="AD115" s="4809"/>
      <c r="AE115" s="2103"/>
      <c r="AF115" s="4811"/>
      <c r="AG115" s="3184"/>
      <c r="AH115" s="4809"/>
      <c r="AI115" s="2103"/>
      <c r="AJ115" s="4811"/>
      <c r="AK115" s="3184"/>
      <c r="AL115" s="4792"/>
      <c r="AM115" s="3112"/>
      <c r="AN115" s="4809"/>
      <c r="AO115" s="2103"/>
      <c r="AP115" s="4811"/>
      <c r="AQ115" s="3184"/>
      <c r="AR115" s="4809"/>
      <c r="AS115" s="2103"/>
      <c r="AT115" s="4811"/>
      <c r="AU115" s="3184"/>
      <c r="AV115" s="4809"/>
      <c r="AW115" s="2103"/>
      <c r="AZ115" s="4792"/>
      <c r="BA115" s="3112"/>
      <c r="BB115" s="4792"/>
      <c r="BC115" s="3112"/>
      <c r="BD115" s="6519"/>
      <c r="BE115" s="6723"/>
    </row>
    <row r="116" spans="2:57" x14ac:dyDescent="0.2">
      <c r="B116" s="7909" t="s">
        <v>2500</v>
      </c>
      <c r="C116" s="7979" t="s">
        <v>863</v>
      </c>
      <c r="D116" s="7906"/>
      <c r="E116" s="2750">
        <f>+E109-E114</f>
        <v>187897.27564102566</v>
      </c>
      <c r="F116" s="7906"/>
      <c r="G116" s="1675">
        <f>+G109-G114</f>
        <v>188928.13088316107</v>
      </c>
      <c r="H116" s="4809"/>
      <c r="I116" s="2103">
        <f>+I109-I114</f>
        <v>376825.40761329647</v>
      </c>
      <c r="J116" s="7906"/>
      <c r="K116" s="1675">
        <f>+K109-K114</f>
        <v>207819.51115676443</v>
      </c>
      <c r="L116" s="4792"/>
      <c r="M116" s="3112">
        <f>+M109-M114</f>
        <v>584644.92383878515</v>
      </c>
      <c r="N116" s="4811"/>
      <c r="O116" s="3184">
        <f>+O109-O114</f>
        <v>237853.69936939428</v>
      </c>
      <c r="P116" s="4809"/>
      <c r="Q116" s="2103">
        <f>+Q109-Q114</f>
        <v>822498.61340403149</v>
      </c>
      <c r="R116" s="4811"/>
      <c r="S116" s="3184">
        <f>+S109-S114</f>
        <v>226963.55634093328</v>
      </c>
      <c r="T116" s="4809"/>
      <c r="U116" s="2103">
        <f>+U109-U114</f>
        <v>1049462.1703731953</v>
      </c>
      <c r="V116" s="4811"/>
      <c r="W116" s="3184">
        <f>+W109-W114</f>
        <v>175330.93186166463</v>
      </c>
      <c r="X116" s="4792"/>
      <c r="Y116" s="3112">
        <f>+Y109-Y114</f>
        <v>640146.25396253204</v>
      </c>
      <c r="Z116" s="6519"/>
      <c r="AA116" s="6723">
        <f>+AA109-AA114</f>
        <v>1224801.2914263501</v>
      </c>
      <c r="AB116" s="4811"/>
      <c r="AC116" s="3184">
        <f>+AC109-AC114</f>
        <v>240875.93650581507</v>
      </c>
      <c r="AD116" s="4809"/>
      <c r="AE116" s="2103">
        <f>+AE109-AE114</f>
        <v>1465676.2484488862</v>
      </c>
      <c r="AF116" s="4811"/>
      <c r="AG116" s="3184">
        <f>+AG109-AG114</f>
        <v>248289.62707890826</v>
      </c>
      <c r="AH116" s="4809"/>
      <c r="AI116" s="2103">
        <f>+AI109-AI114</f>
        <v>1713965.6430261529</v>
      </c>
      <c r="AJ116" s="4811"/>
      <c r="AK116" s="3184">
        <f>+AK109-AK114</f>
        <v>280471.89214776392</v>
      </c>
      <c r="AL116" s="4792"/>
      <c r="AM116" s="3112">
        <f>+AM109-AM114</f>
        <v>769637.45694904891</v>
      </c>
      <c r="AN116" s="4809"/>
      <c r="AO116" s="2103">
        <f>+AO109-AO114</f>
        <v>1994435.6910097334</v>
      </c>
      <c r="AP116" s="4811"/>
      <c r="AQ116" s="3184">
        <f>+AQ109-AQ114</f>
        <v>293074.26550485782</v>
      </c>
      <c r="AR116" s="4809"/>
      <c r="AS116" s="2103">
        <f>+AS109-AS114</f>
        <v>2287509.4548719134</v>
      </c>
      <c r="AT116" s="4811"/>
      <c r="AU116" s="3184">
        <f>+AU109-AU114</f>
        <v>268861.81078254129</v>
      </c>
      <c r="AV116" s="4809"/>
      <c r="AW116" s="2103">
        <f>+AW109-AW114</f>
        <v>2556371.273454559</v>
      </c>
      <c r="AY116">
        <f>+AY109-AY114</f>
        <v>315993.38730658125</v>
      </c>
      <c r="AZ116" s="4792"/>
      <c r="BA116" s="3112">
        <f>+BA109-BA114</f>
        <v>877957.40929208766</v>
      </c>
      <c r="BB116" s="4792"/>
      <c r="BC116" s="3112">
        <f>+BC109-BC114</f>
        <v>1526439.2133903364</v>
      </c>
      <c r="BD116" s="6519"/>
      <c r="BE116" s="6723">
        <f>+BE109-BE114</f>
        <v>2872413.5723646944</v>
      </c>
    </row>
    <row r="117" spans="2:57" x14ac:dyDescent="0.2">
      <c r="B117" s="3938"/>
      <c r="C117" s="5529"/>
      <c r="AP117" s="8011"/>
      <c r="AQ117" s="8011"/>
      <c r="AR117" s="8011"/>
      <c r="AS117" s="8011"/>
      <c r="AT117" s="8143"/>
      <c r="AU117" s="8143"/>
      <c r="AV117" s="8143"/>
      <c r="AW117" s="8143"/>
    </row>
    <row r="118" spans="2:57" s="7897" customFormat="1" ht="16" x14ac:dyDescent="0.2">
      <c r="B118" s="7983" t="s">
        <v>2025</v>
      </c>
      <c r="C118" s="5529"/>
      <c r="D118" s="2100"/>
      <c r="E118" s="2265"/>
      <c r="F118" s="2100"/>
      <c r="G118" s="2265"/>
      <c r="H118" s="2100"/>
      <c r="I118" s="2265"/>
      <c r="J118" s="2100"/>
      <c r="L118" s="2100"/>
      <c r="N118" s="2100"/>
      <c r="P118" s="2100"/>
      <c r="R118" s="2100"/>
      <c r="T118" s="2100"/>
      <c r="V118" s="2100"/>
      <c r="X118" s="2100"/>
      <c r="Z118" s="2100"/>
      <c r="AP118" s="8011"/>
      <c r="AQ118" s="8011"/>
      <c r="AR118" s="8011"/>
      <c r="AS118" s="8011"/>
      <c r="AT118" s="8143"/>
      <c r="AU118" s="8143"/>
      <c r="AV118" s="8143"/>
      <c r="AW118" s="8143"/>
      <c r="AZ118" s="2100"/>
      <c r="BA118" s="8260"/>
      <c r="BB118" s="2100"/>
      <c r="BC118" s="8260"/>
      <c r="BD118" s="2100"/>
      <c r="BE118" s="8260"/>
    </row>
    <row r="119" spans="2:57" x14ac:dyDescent="0.2">
      <c r="B119" s="7909" t="s">
        <v>68</v>
      </c>
      <c r="C119" s="7979" t="s">
        <v>863</v>
      </c>
      <c r="D119" s="7906"/>
      <c r="E119" s="2750">
        <f>+E7+E31</f>
        <v>13500</v>
      </c>
      <c r="F119" s="7906"/>
      <c r="G119" s="1675">
        <f>+G7+G31</f>
        <v>12500</v>
      </c>
      <c r="H119" s="4809"/>
      <c r="I119" s="2103">
        <f>+I7+I31</f>
        <v>26000</v>
      </c>
      <c r="J119" s="7906"/>
      <c r="K119" s="1675">
        <f>+K7+K31</f>
        <v>14547</v>
      </c>
      <c r="L119" s="4792"/>
      <c r="M119" s="3112">
        <f>+M7+M31</f>
        <v>40547</v>
      </c>
      <c r="N119" s="4811"/>
      <c r="O119" s="3184">
        <f>+O7+O31</f>
        <v>25500</v>
      </c>
      <c r="P119" s="4809"/>
      <c r="Q119" s="2103">
        <f>+Q7+Q31</f>
        <v>66047</v>
      </c>
      <c r="R119" s="4811"/>
      <c r="S119" s="3184">
        <f>+S7+S31</f>
        <v>24500</v>
      </c>
      <c r="T119" s="4809"/>
      <c r="U119" s="2103">
        <f>+U7+U31</f>
        <v>90547</v>
      </c>
      <c r="V119" s="4811"/>
      <c r="W119" s="3184">
        <f>+W7+W31</f>
        <v>15943</v>
      </c>
      <c r="X119" s="4792"/>
      <c r="Y119" s="3112">
        <f>+Y7+Y31</f>
        <v>65943</v>
      </c>
      <c r="Z119" s="6519"/>
      <c r="AA119" s="6723">
        <f>+AA7+AA31</f>
        <v>106490</v>
      </c>
      <c r="AB119" s="4811"/>
      <c r="AC119" s="3184">
        <f>+AC7+AC31</f>
        <v>22528</v>
      </c>
      <c r="AD119" s="4809"/>
      <c r="AE119" s="2103">
        <f>+AE7+AE31</f>
        <v>129018</v>
      </c>
      <c r="AF119" s="4811"/>
      <c r="AG119" s="3184">
        <f>+AG7+AG31</f>
        <v>25092</v>
      </c>
      <c r="AH119" s="4809"/>
      <c r="AI119" s="2103">
        <f>+AI7+AI31</f>
        <v>154110</v>
      </c>
      <c r="AJ119" s="4811"/>
      <c r="AK119" s="3184">
        <f>+AK7+AK31</f>
        <v>22595</v>
      </c>
      <c r="AL119" s="4792"/>
      <c r="AM119" s="3112">
        <f>+AM7+AM31</f>
        <v>70215</v>
      </c>
      <c r="AN119" s="4809"/>
      <c r="AO119" s="2103">
        <f>+AO7+AO31</f>
        <v>176705</v>
      </c>
      <c r="AP119" s="4811"/>
      <c r="AQ119" s="3184">
        <f>+AQ7+AQ31</f>
        <v>31000</v>
      </c>
      <c r="AR119" s="4809"/>
      <c r="AS119" s="2103">
        <f>+AS7+AS31</f>
        <v>207705</v>
      </c>
      <c r="AT119" s="4811"/>
      <c r="AU119" s="3184">
        <f>+AU7+AU31</f>
        <v>33291</v>
      </c>
      <c r="AV119" s="4809"/>
      <c r="AW119" s="2103">
        <f>+AW7+AW31</f>
        <v>240996</v>
      </c>
      <c r="AY119">
        <f>+AY7+AY31</f>
        <v>28342</v>
      </c>
      <c r="AZ119" s="4792"/>
      <c r="BA119" s="3112">
        <f>+BA7+BA31</f>
        <v>92633</v>
      </c>
      <c r="BB119" s="4792"/>
      <c r="BC119" s="3112">
        <f>+BC7+BC31</f>
        <v>162848</v>
      </c>
      <c r="BD119" s="6519"/>
      <c r="BE119" s="6723">
        <f>+BE7+BE31</f>
        <v>269338</v>
      </c>
    </row>
    <row r="120" spans="2:57" s="7897" customFormat="1" x14ac:dyDescent="0.2">
      <c r="B120" s="7909" t="s">
        <v>2494</v>
      </c>
      <c r="C120" s="7980" t="s">
        <v>169</v>
      </c>
      <c r="D120" s="7906"/>
      <c r="E120" s="3847">
        <v>1.25</v>
      </c>
      <c r="F120" s="2707"/>
      <c r="G120" s="2339">
        <v>1.25</v>
      </c>
      <c r="H120" s="2796"/>
      <c r="I120" s="2102">
        <v>1.25</v>
      </c>
      <c r="J120" s="2707"/>
      <c r="K120" s="2339">
        <v>1.25</v>
      </c>
      <c r="L120" s="3054"/>
      <c r="M120" s="3901">
        <v>1.25</v>
      </c>
      <c r="N120" s="3231"/>
      <c r="O120" s="6086">
        <v>1.25</v>
      </c>
      <c r="P120" s="2796"/>
      <c r="Q120" s="2102">
        <v>1.25</v>
      </c>
      <c r="R120" s="3231"/>
      <c r="S120" s="6086">
        <v>1.25</v>
      </c>
      <c r="T120" s="2796"/>
      <c r="U120" s="2102">
        <v>1.25</v>
      </c>
      <c r="V120" s="3231"/>
      <c r="W120" s="6086">
        <v>1.25</v>
      </c>
      <c r="X120" s="3054"/>
      <c r="Y120" s="3901">
        <v>1.25</v>
      </c>
      <c r="Z120" s="6638"/>
      <c r="AA120" s="6725">
        <v>1.25</v>
      </c>
      <c r="AB120" s="3231"/>
      <c r="AC120" s="6086">
        <v>1.25</v>
      </c>
      <c r="AD120" s="2796"/>
      <c r="AE120" s="2102">
        <v>1.25</v>
      </c>
      <c r="AF120" s="3231"/>
      <c r="AG120" s="6086">
        <v>1.25</v>
      </c>
      <c r="AH120" s="2796"/>
      <c r="AI120" s="2102">
        <v>1.25</v>
      </c>
      <c r="AJ120" s="3231"/>
      <c r="AK120" s="6086">
        <v>1.25</v>
      </c>
      <c r="AL120" s="3054"/>
      <c r="AM120" s="3901">
        <v>1.25</v>
      </c>
      <c r="AN120" s="2796"/>
      <c r="AO120" s="2102">
        <v>1.25</v>
      </c>
      <c r="AP120" s="3231"/>
      <c r="AQ120" s="6086">
        <v>1.25</v>
      </c>
      <c r="AR120" s="2796"/>
      <c r="AS120" s="2102">
        <v>1.25</v>
      </c>
      <c r="AT120" s="3231"/>
      <c r="AU120" s="6086">
        <v>1.25</v>
      </c>
      <c r="AV120" s="2796"/>
      <c r="AW120" s="2102">
        <v>1.25</v>
      </c>
      <c r="AY120" s="7897">
        <v>1.25</v>
      </c>
      <c r="AZ120" s="3054"/>
      <c r="BA120" s="3901">
        <v>1.25</v>
      </c>
      <c r="BB120" s="3054"/>
      <c r="BC120" s="3901">
        <v>1.25</v>
      </c>
      <c r="BD120" s="6638"/>
      <c r="BE120" s="6725">
        <v>1.25</v>
      </c>
    </row>
    <row r="121" spans="2:57" s="7897" customFormat="1" x14ac:dyDescent="0.2">
      <c r="B121" s="7909" t="s">
        <v>2494</v>
      </c>
      <c r="C121" s="7979" t="s">
        <v>863</v>
      </c>
      <c r="D121" s="7906"/>
      <c r="E121" s="2750">
        <f>+E119*E120/(100-E120)</f>
        <v>170.8860759493671</v>
      </c>
      <c r="F121" s="7906"/>
      <c r="G121" s="1675">
        <f>+G119*G120/(100-G120)</f>
        <v>158.22784810126583</v>
      </c>
      <c r="H121" s="4809"/>
      <c r="I121" s="2103">
        <f>+I119*I120/(100-I120)</f>
        <v>329.11392405063293</v>
      </c>
      <c r="J121" s="7906"/>
      <c r="K121" s="1675">
        <f>+K119*K120/(100-K120)</f>
        <v>184.13924050632912</v>
      </c>
      <c r="L121" s="4792"/>
      <c r="M121" s="3112">
        <f>+M119*M120/(100-M120)</f>
        <v>513.25316455696202</v>
      </c>
      <c r="N121" s="4811"/>
      <c r="O121" s="3184">
        <f>+O119*O120/(100-O120)</f>
        <v>322.78481012658227</v>
      </c>
      <c r="P121" s="4809"/>
      <c r="Q121" s="2103">
        <f>+Q119*Q120/(100-Q120)</f>
        <v>836.03797468354435</v>
      </c>
      <c r="R121" s="4811"/>
      <c r="S121" s="3184">
        <f>+S119*S120/(100-S120)</f>
        <v>310.12658227848101</v>
      </c>
      <c r="T121" s="4809"/>
      <c r="U121" s="2103">
        <f>+U119*U120/(100-U120)</f>
        <v>1146.1645569620252</v>
      </c>
      <c r="V121" s="4811"/>
      <c r="W121" s="3184">
        <f>+W119*W120/(100-W120)</f>
        <v>201.81012658227849</v>
      </c>
      <c r="X121" s="4792"/>
      <c r="Y121" s="3112">
        <f>+Y119*Y120/(100-Y120)</f>
        <v>834.72151898734182</v>
      </c>
      <c r="Z121" s="6519"/>
      <c r="AA121" s="6723">
        <f>+AA119*AA120/(100-AA120)</f>
        <v>1347.9746835443038</v>
      </c>
      <c r="AB121" s="4811"/>
      <c r="AC121" s="3184">
        <f>+AC119*AC120/(100-AC120)</f>
        <v>285.1645569620253</v>
      </c>
      <c r="AD121" s="4809"/>
      <c r="AE121" s="2103">
        <f>+AE119*AE120/(100-AE120)</f>
        <v>1633.1392405063291</v>
      </c>
      <c r="AF121" s="4811"/>
      <c r="AG121" s="3184">
        <f>+AG119*AG120/(100-AG120)</f>
        <v>317.62025316455697</v>
      </c>
      <c r="AH121" s="4809"/>
      <c r="AI121" s="2103">
        <f>+AI119*AI120/(100-AI120)</f>
        <v>1950.7594936708861</v>
      </c>
      <c r="AJ121" s="4811"/>
      <c r="AK121" s="3184">
        <f>+AK119*AK120/(100-AK120)</f>
        <v>286.01265822784808</v>
      </c>
      <c r="AL121" s="4792"/>
      <c r="AM121" s="3112">
        <f>+AM119*AM120/(100-AM120)</f>
        <v>888.79746835443041</v>
      </c>
      <c r="AN121" s="4809"/>
      <c r="AO121" s="2103">
        <f>+AO119*AO120/(100-AO120)</f>
        <v>2236.7721518987341</v>
      </c>
      <c r="AP121" s="4811"/>
      <c r="AQ121" s="3184">
        <f>+AQ119*AQ120/(100-AQ120)</f>
        <v>392.40506329113924</v>
      </c>
      <c r="AR121" s="4809"/>
      <c r="AS121" s="2103">
        <f>+AS119*AS120/(100-AS120)</f>
        <v>2629.1772151898736</v>
      </c>
      <c r="AT121" s="4811"/>
      <c r="AU121" s="3184">
        <f>+AU119*AU120/(100-AU120)</f>
        <v>421.40506329113924</v>
      </c>
      <c r="AV121" s="4809"/>
      <c r="AW121" s="2103">
        <f>+AW119*AW120/(100-AW120)</f>
        <v>3050.5822784810125</v>
      </c>
      <c r="AY121" s="7897">
        <f>+AY119*AY120/(100-AY120)</f>
        <v>358.75949367088606</v>
      </c>
      <c r="AZ121" s="4792"/>
      <c r="BA121" s="3112">
        <f>+BA119*BA120/(100-BA120)</f>
        <v>1172.5696202531647</v>
      </c>
      <c r="BB121" s="4792"/>
      <c r="BC121" s="3112">
        <f>+BC119*BC120/(100-BC120)</f>
        <v>2061.3670886075947</v>
      </c>
      <c r="BD121" s="6519"/>
      <c r="BE121" s="6723">
        <f>+BE119*BE120/(100-BE120)</f>
        <v>3409.3417721518986</v>
      </c>
    </row>
    <row r="122" spans="2:57" s="7897" customFormat="1" x14ac:dyDescent="0.2">
      <c r="B122" s="7909" t="s">
        <v>1080</v>
      </c>
      <c r="C122" s="7979" t="s">
        <v>863</v>
      </c>
      <c r="D122" s="7906"/>
      <c r="E122" s="2750">
        <f>+E121+E119</f>
        <v>13670.886075949367</v>
      </c>
      <c r="F122" s="7906"/>
      <c r="G122" s="1675">
        <f>+G121+G119</f>
        <v>12658.227848101265</v>
      </c>
      <c r="H122" s="4809"/>
      <c r="I122" s="2103">
        <f>+I121+I119</f>
        <v>26329.113924050635</v>
      </c>
      <c r="J122" s="7906"/>
      <c r="K122" s="1675">
        <f>+K121+K119</f>
        <v>14731.139240506329</v>
      </c>
      <c r="L122" s="4792"/>
      <c r="M122" s="3112">
        <f>+M121+M119</f>
        <v>41060.253164556962</v>
      </c>
      <c r="N122" s="4811"/>
      <c r="O122" s="3184">
        <f>+O121+O119</f>
        <v>25822.784810126581</v>
      </c>
      <c r="P122" s="4809"/>
      <c r="Q122" s="2103">
        <f>+Q121+Q119</f>
        <v>66883.037974683539</v>
      </c>
      <c r="R122" s="4811"/>
      <c r="S122" s="3184">
        <f>+S121+S119</f>
        <v>24810.126582278481</v>
      </c>
      <c r="T122" s="4809"/>
      <c r="U122" s="2103">
        <f>+U121+U119</f>
        <v>91693.16455696203</v>
      </c>
      <c r="V122" s="4811"/>
      <c r="W122" s="3184">
        <f>+W121+W119</f>
        <v>16144.810126582279</v>
      </c>
      <c r="X122" s="4792"/>
      <c r="Y122" s="3112">
        <f>+Y121+Y119</f>
        <v>66777.721518987339</v>
      </c>
      <c r="Z122" s="6519"/>
      <c r="AA122" s="6723">
        <f>+AA121+AA119</f>
        <v>107837.97468354431</v>
      </c>
      <c r="AB122" s="4811"/>
      <c r="AC122" s="3184">
        <f>+AC121+AC119</f>
        <v>22813.164556962027</v>
      </c>
      <c r="AD122" s="4809"/>
      <c r="AE122" s="2103">
        <f>+AE121+AE119</f>
        <v>130651.13924050632</v>
      </c>
      <c r="AF122" s="4811"/>
      <c r="AG122" s="3184">
        <f>+AG121+AG119</f>
        <v>25409.620253164558</v>
      </c>
      <c r="AH122" s="4809"/>
      <c r="AI122" s="2103">
        <f>+AI121+AI119</f>
        <v>156060.75949367089</v>
      </c>
      <c r="AJ122" s="4811"/>
      <c r="AK122" s="3184">
        <f>+AK121+AK119</f>
        <v>22881.012658227846</v>
      </c>
      <c r="AL122" s="4792"/>
      <c r="AM122" s="3112">
        <f>+AM121+AM119</f>
        <v>71103.797468354431</v>
      </c>
      <c r="AN122" s="4809"/>
      <c r="AO122" s="2103">
        <f>+AO121+AO119</f>
        <v>178941.77215189874</v>
      </c>
      <c r="AP122" s="4811"/>
      <c r="AQ122" s="3184">
        <f>+AQ121+AQ119</f>
        <v>31392.405063291139</v>
      </c>
      <c r="AR122" s="4809"/>
      <c r="AS122" s="2103">
        <f>+AS121+AS119</f>
        <v>210334.17721518988</v>
      </c>
      <c r="AT122" s="4811"/>
      <c r="AU122" s="3184">
        <f>+AU121+AU119</f>
        <v>33712.405063291139</v>
      </c>
      <c r="AV122" s="4809"/>
      <c r="AW122" s="2103">
        <f>+AW121+AW119</f>
        <v>244046.58227848102</v>
      </c>
      <c r="AY122" s="7897">
        <f>+AY121+AY119</f>
        <v>28700.759493670885</v>
      </c>
      <c r="AZ122" s="4792"/>
      <c r="BA122" s="3112">
        <f>+BA121+BA119</f>
        <v>93805.569620253169</v>
      </c>
      <c r="BB122" s="4792"/>
      <c r="BC122" s="3112">
        <f>+BC121+BC119</f>
        <v>164909.3670886076</v>
      </c>
      <c r="BD122" s="6519"/>
      <c r="BE122" s="6723">
        <f>+BE121+BE119</f>
        <v>272747.34177215188</v>
      </c>
    </row>
    <row r="123" spans="2:57" s="7897" customFormat="1" x14ac:dyDescent="0.2">
      <c r="B123" s="7909"/>
      <c r="C123" s="7979"/>
      <c r="D123" s="7906"/>
      <c r="E123" s="2750"/>
      <c r="F123" s="7906"/>
      <c r="G123" s="1675"/>
      <c r="H123" s="4809"/>
      <c r="I123" s="2103"/>
      <c r="J123" s="7906"/>
      <c r="K123" s="1675"/>
      <c r="L123" s="4792"/>
      <c r="M123" s="3112"/>
      <c r="N123" s="4811"/>
      <c r="O123" s="3184"/>
      <c r="P123" s="4809"/>
      <c r="Q123" s="2103"/>
      <c r="R123" s="4811"/>
      <c r="S123" s="3184"/>
      <c r="T123" s="4809"/>
      <c r="U123" s="2103"/>
      <c r="V123" s="4811"/>
      <c r="W123" s="3184"/>
      <c r="X123" s="4792"/>
      <c r="Y123" s="3112"/>
      <c r="Z123" s="6519"/>
      <c r="AA123" s="6723"/>
      <c r="AB123" s="4811"/>
      <c r="AC123" s="3184"/>
      <c r="AD123" s="4809"/>
      <c r="AE123" s="2103"/>
      <c r="AF123" s="4811"/>
      <c r="AG123" s="3184"/>
      <c r="AH123" s="4809"/>
      <c r="AI123" s="2103"/>
      <c r="AJ123" s="4811"/>
      <c r="AK123" s="3184"/>
      <c r="AL123" s="4792"/>
      <c r="AM123" s="3112"/>
      <c r="AN123" s="4809"/>
      <c r="AO123" s="2103"/>
      <c r="AP123" s="4811"/>
      <c r="AQ123" s="3184"/>
      <c r="AR123" s="4809"/>
      <c r="AS123" s="2103"/>
      <c r="AT123" s="4811"/>
      <c r="AU123" s="3184"/>
      <c r="AV123" s="4809"/>
      <c r="AW123" s="2103"/>
      <c r="AZ123" s="4792"/>
      <c r="BA123" s="3112"/>
      <c r="BB123" s="4792"/>
      <c r="BC123" s="3112"/>
      <c r="BD123" s="6519"/>
      <c r="BE123" s="6723"/>
    </row>
    <row r="124" spans="2:57" ht="16" x14ac:dyDescent="0.2">
      <c r="B124" s="7983" t="s">
        <v>2024</v>
      </c>
      <c r="C124" s="5529"/>
      <c r="D124" s="7906"/>
      <c r="E124" s="2750"/>
      <c r="F124" s="7906"/>
      <c r="G124" s="1675"/>
      <c r="H124" s="4809"/>
      <c r="I124" s="2103"/>
      <c r="J124" s="7906"/>
      <c r="K124" s="1675"/>
      <c r="L124" s="4792"/>
      <c r="M124" s="3112"/>
      <c r="N124" s="4811"/>
      <c r="O124" s="3184"/>
      <c r="P124" s="4809"/>
      <c r="Q124" s="2103"/>
      <c r="R124" s="4811"/>
      <c r="S124" s="3184"/>
      <c r="T124" s="4809"/>
      <c r="U124" s="2103"/>
      <c r="V124" s="4811"/>
      <c r="W124" s="3184"/>
      <c r="X124" s="4792"/>
      <c r="Y124" s="3112"/>
      <c r="Z124" s="6519"/>
      <c r="AA124" s="6723"/>
      <c r="AB124" s="4811"/>
      <c r="AC124" s="3184"/>
      <c r="AD124" s="4809"/>
      <c r="AE124" s="2103"/>
      <c r="AF124" s="4811"/>
      <c r="AG124" s="3184"/>
      <c r="AH124" s="4809"/>
      <c r="AI124" s="2103"/>
      <c r="AJ124" s="4811"/>
      <c r="AK124" s="3184"/>
      <c r="AL124" s="4792"/>
      <c r="AM124" s="3112"/>
      <c r="AN124" s="4809"/>
      <c r="AO124" s="2103"/>
      <c r="AP124" s="4811"/>
      <c r="AQ124" s="3184"/>
      <c r="AR124" s="4809"/>
      <c r="AS124" s="2103"/>
      <c r="AT124" s="4811"/>
      <c r="AU124" s="3184"/>
      <c r="AV124" s="4809"/>
      <c r="AW124" s="2103"/>
      <c r="AZ124" s="4792"/>
      <c r="BA124" s="3112"/>
      <c r="BB124" s="4792"/>
      <c r="BC124" s="3112"/>
      <c r="BD124" s="6519"/>
      <c r="BE124" s="6723"/>
    </row>
    <row r="125" spans="2:57" x14ac:dyDescent="0.2">
      <c r="B125" s="7909" t="s">
        <v>68</v>
      </c>
      <c r="C125" s="7979" t="s">
        <v>863</v>
      </c>
      <c r="D125" s="7906"/>
      <c r="E125" s="2750">
        <f>+E8+E32</f>
        <v>25500</v>
      </c>
      <c r="F125" s="7906"/>
      <c r="G125" s="1675">
        <f>+G8+G32</f>
        <v>24500</v>
      </c>
      <c r="H125" s="4809"/>
      <c r="I125" s="2103">
        <f>+I8+I32</f>
        <v>50000</v>
      </c>
      <c r="J125" s="7906"/>
      <c r="K125" s="1675">
        <f>+K8+K32</f>
        <v>26400</v>
      </c>
      <c r="L125" s="4792"/>
      <c r="M125" s="3112">
        <f>+M8+M32</f>
        <v>76400</v>
      </c>
      <c r="N125" s="4811"/>
      <c r="O125" s="3184">
        <f>+O8+O32</f>
        <v>31500</v>
      </c>
      <c r="P125" s="4809"/>
      <c r="Q125" s="2103">
        <f>+Q8+Q32</f>
        <v>107900</v>
      </c>
      <c r="R125" s="4811"/>
      <c r="S125" s="3184">
        <f>+S8+S32</f>
        <v>30500</v>
      </c>
      <c r="T125" s="4809"/>
      <c r="U125" s="2103">
        <f>+U8+U32</f>
        <v>138400</v>
      </c>
      <c r="V125" s="4811"/>
      <c r="W125" s="3184">
        <f>+W8+W32</f>
        <v>24711</v>
      </c>
      <c r="X125" s="4792"/>
      <c r="Y125" s="3112">
        <f>+Y8+Y32</f>
        <v>86711</v>
      </c>
      <c r="Z125" s="6519"/>
      <c r="AA125" s="6723">
        <f>+AA8+AA32</f>
        <v>163111</v>
      </c>
      <c r="AB125" s="4811"/>
      <c r="AC125" s="3184">
        <f>+AC8+AC32</f>
        <v>31509</v>
      </c>
      <c r="AD125" s="4809"/>
      <c r="AE125" s="2103">
        <f>+AE8+AE32</f>
        <v>194620</v>
      </c>
      <c r="AF125" s="4811"/>
      <c r="AG125" s="3184">
        <f>+AG8+AG32</f>
        <v>33451</v>
      </c>
      <c r="AH125" s="4809"/>
      <c r="AI125" s="2103">
        <f>+AI8+AI32</f>
        <v>228071</v>
      </c>
      <c r="AJ125" s="4811"/>
      <c r="AK125" s="3184">
        <f>+AK8+AK32</f>
        <v>38060</v>
      </c>
      <c r="AL125" s="4792"/>
      <c r="AM125" s="3112">
        <f>+AM8+AM32</f>
        <v>103020</v>
      </c>
      <c r="AN125" s="4809"/>
      <c r="AO125" s="2103">
        <f>+AO8+AO32</f>
        <v>266131</v>
      </c>
      <c r="AP125" s="4811"/>
      <c r="AQ125" s="3184">
        <f>+AQ8+AQ32</f>
        <v>39500</v>
      </c>
      <c r="AR125" s="4809"/>
      <c r="AS125" s="2103">
        <f>+AS8+AS32</f>
        <v>305631</v>
      </c>
      <c r="AT125" s="4811"/>
      <c r="AU125" s="3184">
        <f>+AU8+AU32</f>
        <v>38976</v>
      </c>
      <c r="AV125" s="4809"/>
      <c r="AW125" s="2103">
        <f>+AW8+AW32</f>
        <v>344607</v>
      </c>
      <c r="AY125">
        <f>+AY8+AY32</f>
        <v>49046</v>
      </c>
      <c r="AZ125" s="4792"/>
      <c r="BA125" s="3112">
        <f>+BA8+BA32</f>
        <v>127522</v>
      </c>
      <c r="BB125" s="4792"/>
      <c r="BC125" s="3112">
        <f>+BC8+BC32</f>
        <v>230542</v>
      </c>
      <c r="BD125" s="6519"/>
      <c r="BE125" s="6723">
        <f>+BE8+BE32</f>
        <v>393653</v>
      </c>
    </row>
    <row r="126" spans="2:57" x14ac:dyDescent="0.2">
      <c r="B126" s="7909" t="s">
        <v>2494</v>
      </c>
      <c r="C126" s="7980" t="s">
        <v>169</v>
      </c>
      <c r="D126" s="7906"/>
      <c r="E126" s="3847">
        <v>1.25</v>
      </c>
      <c r="F126" s="2707"/>
      <c r="G126" s="2339">
        <v>1.25</v>
      </c>
      <c r="H126" s="2796"/>
      <c r="I126" s="2102">
        <v>1.25</v>
      </c>
      <c r="J126" s="2707"/>
      <c r="K126" s="2339">
        <v>1.25</v>
      </c>
      <c r="L126" s="3054"/>
      <c r="M126" s="3901">
        <v>1.25</v>
      </c>
      <c r="N126" s="3231"/>
      <c r="O126" s="6086">
        <v>1.25</v>
      </c>
      <c r="P126" s="2796"/>
      <c r="Q126" s="2102">
        <v>1.25</v>
      </c>
      <c r="R126" s="3231"/>
      <c r="S126" s="6086">
        <v>1.25</v>
      </c>
      <c r="T126" s="2796"/>
      <c r="U126" s="2102">
        <v>1.25</v>
      </c>
      <c r="V126" s="3231"/>
      <c r="W126" s="6086">
        <v>1.25</v>
      </c>
      <c r="X126" s="3054"/>
      <c r="Y126" s="3901">
        <v>1.25</v>
      </c>
      <c r="Z126" s="6638"/>
      <c r="AA126" s="6725">
        <v>1.25</v>
      </c>
      <c r="AB126" s="3231"/>
      <c r="AC126" s="6086">
        <v>1.25</v>
      </c>
      <c r="AD126" s="2796"/>
      <c r="AE126" s="2102">
        <v>1.25</v>
      </c>
      <c r="AF126" s="3231"/>
      <c r="AG126" s="6086">
        <v>1.25</v>
      </c>
      <c r="AH126" s="2796"/>
      <c r="AI126" s="2102">
        <v>1.25</v>
      </c>
      <c r="AJ126" s="3231"/>
      <c r="AK126" s="6086">
        <v>1.25</v>
      </c>
      <c r="AL126" s="3054"/>
      <c r="AM126" s="3901">
        <v>1.25</v>
      </c>
      <c r="AN126" s="2796"/>
      <c r="AO126" s="2102">
        <v>1.25</v>
      </c>
      <c r="AP126" s="3231"/>
      <c r="AQ126" s="6086">
        <v>1.25</v>
      </c>
      <c r="AR126" s="2796"/>
      <c r="AS126" s="2102">
        <v>1.25</v>
      </c>
      <c r="AT126" s="3231"/>
      <c r="AU126" s="6086">
        <v>1.25</v>
      </c>
      <c r="AV126" s="2796"/>
      <c r="AW126" s="2102">
        <v>1.25</v>
      </c>
      <c r="AY126">
        <v>1.25</v>
      </c>
      <c r="AZ126" s="3054"/>
      <c r="BA126" s="3901">
        <v>1.25</v>
      </c>
      <c r="BB126" s="3054"/>
      <c r="BC126" s="3901">
        <v>1.25</v>
      </c>
      <c r="BD126" s="6638"/>
      <c r="BE126" s="6725">
        <v>1.25</v>
      </c>
    </row>
    <row r="127" spans="2:57" x14ac:dyDescent="0.2">
      <c r="B127" s="7909" t="s">
        <v>2494</v>
      </c>
      <c r="C127" s="7979" t="s">
        <v>863</v>
      </c>
      <c r="D127" s="7906"/>
      <c r="E127" s="2750">
        <f>+E125*E126/(100-E126)</f>
        <v>322.78481012658227</v>
      </c>
      <c r="F127" s="7906"/>
      <c r="G127" s="1675">
        <f>+G125*G126/(100-G126)</f>
        <v>310.12658227848101</v>
      </c>
      <c r="H127" s="4809"/>
      <c r="I127" s="2103">
        <f>+I125*I126/(100-I126)</f>
        <v>632.91139240506334</v>
      </c>
      <c r="J127" s="7906"/>
      <c r="K127" s="1675">
        <f>+K125*K126/(100-K126)</f>
        <v>334.17721518987344</v>
      </c>
      <c r="L127" s="4792"/>
      <c r="M127" s="3112">
        <f>+M125*M126/(100-M126)</f>
        <v>967.08860759493666</v>
      </c>
      <c r="N127" s="4811"/>
      <c r="O127" s="3184">
        <f>+O125*O126/(100-O126)</f>
        <v>398.73417721518985</v>
      </c>
      <c r="P127" s="4809"/>
      <c r="Q127" s="2103">
        <f>+Q125*Q126/(100-Q126)</f>
        <v>1365.8227848101267</v>
      </c>
      <c r="R127" s="4811"/>
      <c r="S127" s="3184">
        <f>+S125*S126/(100-S126)</f>
        <v>386.07594936708858</v>
      </c>
      <c r="T127" s="4809"/>
      <c r="U127" s="2103">
        <f>+U125*U126/(100-U126)</f>
        <v>1751.8987341772151</v>
      </c>
      <c r="V127" s="4811"/>
      <c r="W127" s="3184">
        <f>+W125*W126/(100-W126)</f>
        <v>312.79746835443041</v>
      </c>
      <c r="X127" s="4792"/>
      <c r="Y127" s="3112">
        <f>+Y125*Y126/(100-Y126)</f>
        <v>1097.6075949367089</v>
      </c>
      <c r="Z127" s="6519"/>
      <c r="AA127" s="6723">
        <f>+AA125*AA126/(100-AA126)</f>
        <v>2064.6962025316457</v>
      </c>
      <c r="AB127" s="4811"/>
      <c r="AC127" s="3184">
        <f>+AC125*AC126/(100-AC126)</f>
        <v>398.84810126582278</v>
      </c>
      <c r="AD127" s="4809"/>
      <c r="AE127" s="2103">
        <f>+AE125*AE126/(100-AE126)</f>
        <v>2463.5443037974683</v>
      </c>
      <c r="AF127" s="4811"/>
      <c r="AG127" s="3184">
        <f>+AG125*AG126/(100-AG126)</f>
        <v>423.43037974683546</v>
      </c>
      <c r="AH127" s="4809"/>
      <c r="AI127" s="2103">
        <f>+AI125*AI126/(100-AI126)</f>
        <v>2886.9746835443038</v>
      </c>
      <c r="AJ127" s="4811"/>
      <c r="AK127" s="3184">
        <f>+AK125*AK126/(100-AK126)</f>
        <v>481.77215189873419</v>
      </c>
      <c r="AL127" s="4792"/>
      <c r="AM127" s="3112">
        <f>+AM125*AM126/(100-AM126)</f>
        <v>1304.0506329113923</v>
      </c>
      <c r="AN127" s="4809"/>
      <c r="AO127" s="2103">
        <f>+AO125*AO126/(100-AO126)</f>
        <v>3368.746835443038</v>
      </c>
      <c r="AP127" s="4811"/>
      <c r="AQ127" s="3184">
        <f>+AQ125*AQ126/(100-AQ126)</f>
        <v>500</v>
      </c>
      <c r="AR127" s="4809"/>
      <c r="AS127" s="2103">
        <f>+AS125*AS126/(100-AS126)</f>
        <v>3868.746835443038</v>
      </c>
      <c r="AT127" s="4811"/>
      <c r="AU127" s="3184">
        <f>+AU125*AU126/(100-AU126)</f>
        <v>493.36708860759495</v>
      </c>
      <c r="AV127" s="4809"/>
      <c r="AW127" s="2103">
        <f>+AW125*AW126/(100-AW126)</f>
        <v>4362.1139240506327</v>
      </c>
      <c r="AY127">
        <f>+AY125*AY126/(100-AY126)</f>
        <v>620.83544303797464</v>
      </c>
      <c r="AZ127" s="4792"/>
      <c r="BA127" s="3112">
        <f>+BA125*BA126/(100-BA126)</f>
        <v>1614.2025316455697</v>
      </c>
      <c r="BB127" s="4792"/>
      <c r="BC127" s="3112">
        <f>+BC125*BC126/(100-BC126)</f>
        <v>2918.253164556962</v>
      </c>
      <c r="BD127" s="6519"/>
      <c r="BE127" s="6723">
        <f>+BE125*BE126/(100-BE126)</f>
        <v>4982.9493670886077</v>
      </c>
    </row>
    <row r="128" spans="2:57" x14ac:dyDescent="0.2">
      <c r="B128" s="7909" t="s">
        <v>1080</v>
      </c>
      <c r="C128" s="7979" t="s">
        <v>863</v>
      </c>
      <c r="D128" s="7906"/>
      <c r="E128" s="2750">
        <f>+E127+E125</f>
        <v>25822.784810126581</v>
      </c>
      <c r="F128" s="7906"/>
      <c r="G128" s="1675">
        <f>+G127+G125</f>
        <v>24810.126582278481</v>
      </c>
      <c r="H128" s="4809"/>
      <c r="I128" s="2103">
        <f>+I127+I125</f>
        <v>50632.911392405062</v>
      </c>
      <c r="J128" s="7906"/>
      <c r="K128" s="1675">
        <f>+K127+K125</f>
        <v>26734.177215189873</v>
      </c>
      <c r="L128" s="4792"/>
      <c r="M128" s="3112">
        <f>+M127+M125</f>
        <v>77367.088607594938</v>
      </c>
      <c r="N128" s="4811"/>
      <c r="O128" s="3184">
        <f>+O127+O125</f>
        <v>31898.734177215189</v>
      </c>
      <c r="P128" s="4809"/>
      <c r="Q128" s="2103">
        <f>+Q127+Q125</f>
        <v>109265.82278481012</v>
      </c>
      <c r="R128" s="4811"/>
      <c r="S128" s="3184">
        <f>+S127+S125</f>
        <v>30886.075949367088</v>
      </c>
      <c r="T128" s="4809"/>
      <c r="U128" s="2103">
        <f>+U127+U125</f>
        <v>140151.8987341772</v>
      </c>
      <c r="V128" s="4811"/>
      <c r="W128" s="3184">
        <f>+W127+W125</f>
        <v>25023.797468354431</v>
      </c>
      <c r="X128" s="4792"/>
      <c r="Y128" s="3112">
        <f>+Y127+Y125</f>
        <v>87808.607594936708</v>
      </c>
      <c r="Z128" s="6519"/>
      <c r="AA128" s="6723">
        <f>+AA127+AA125</f>
        <v>165175.69620253163</v>
      </c>
      <c r="AB128" s="4811"/>
      <c r="AC128" s="3184">
        <f>+AC127+AC125</f>
        <v>31907.848101265823</v>
      </c>
      <c r="AD128" s="4809"/>
      <c r="AE128" s="2103">
        <f>+AE127+AE125</f>
        <v>197083.54430379748</v>
      </c>
      <c r="AF128" s="4811"/>
      <c r="AG128" s="3184">
        <f>+AG127+AG125</f>
        <v>33874.430379746838</v>
      </c>
      <c r="AH128" s="4809"/>
      <c r="AI128" s="2103">
        <f>+AI127+AI125</f>
        <v>230957.97468354431</v>
      </c>
      <c r="AJ128" s="4811"/>
      <c r="AK128" s="3184">
        <f>+AK127+AK125</f>
        <v>38541.772151898731</v>
      </c>
      <c r="AL128" s="4792"/>
      <c r="AM128" s="3112">
        <f>+AM127+AM125</f>
        <v>104324.05063291139</v>
      </c>
      <c r="AN128" s="4809"/>
      <c r="AO128" s="2103">
        <f>+AO127+AO125</f>
        <v>269499.74683544302</v>
      </c>
      <c r="AP128" s="4811"/>
      <c r="AQ128" s="3184">
        <f>+AQ127+AQ125</f>
        <v>40000</v>
      </c>
      <c r="AR128" s="4809"/>
      <c r="AS128" s="2103">
        <f>+AS127+AS125</f>
        <v>309499.74683544302</v>
      </c>
      <c r="AT128" s="4811"/>
      <c r="AU128" s="3184">
        <f>+AU127+AU125</f>
        <v>39469.367088607592</v>
      </c>
      <c r="AV128" s="4809"/>
      <c r="AW128" s="2103">
        <f>+AW127+AW125</f>
        <v>348969.11392405065</v>
      </c>
      <c r="AY128">
        <f>+AY127+AY125</f>
        <v>49666.835443037977</v>
      </c>
      <c r="AZ128" s="4792"/>
      <c r="BA128" s="3112">
        <f>+BA127+BA125</f>
        <v>129136.20253164557</v>
      </c>
      <c r="BB128" s="4792"/>
      <c r="BC128" s="3112">
        <f>+BC127+BC125</f>
        <v>233460.25316455695</v>
      </c>
      <c r="BD128" s="6519"/>
      <c r="BE128" s="6723">
        <f>+BE127+BE125</f>
        <v>398635.94936708861</v>
      </c>
    </row>
    <row r="129" spans="37:45" x14ac:dyDescent="0.2">
      <c r="AK129" s="5780"/>
      <c r="AP129" s="8011"/>
      <c r="AQ129" s="5780"/>
      <c r="AR129" s="8011"/>
      <c r="AS129" s="8011"/>
    </row>
    <row r="130" spans="37:45" x14ac:dyDescent="0.2">
      <c r="AK130" s="5780"/>
      <c r="AP130" s="8011"/>
      <c r="AQ130" s="5780"/>
      <c r="AR130" s="8011"/>
      <c r="AS130" s="8011"/>
    </row>
    <row r="131" spans="37:45" x14ac:dyDescent="0.2">
      <c r="AK131" s="5780"/>
      <c r="AP131" s="8011"/>
      <c r="AQ131" s="5780"/>
      <c r="AR131" s="8011"/>
      <c r="AS131" s="8011"/>
    </row>
    <row r="132" spans="37:45" x14ac:dyDescent="0.2">
      <c r="AK132" s="5780"/>
      <c r="AP132" s="8011"/>
      <c r="AQ132" s="5780"/>
      <c r="AR132" s="8011"/>
      <c r="AS132" s="8011"/>
    </row>
    <row r="133" spans="37:45" x14ac:dyDescent="0.2">
      <c r="AK133" s="5780"/>
      <c r="AP133" s="8011"/>
      <c r="AQ133" s="5780"/>
      <c r="AR133" s="8011"/>
      <c r="AS133" s="8011"/>
    </row>
    <row r="134" spans="37:45" x14ac:dyDescent="0.2">
      <c r="AK134" s="5780"/>
      <c r="AP134" s="8011"/>
      <c r="AQ134" s="5780"/>
      <c r="AR134" s="8011"/>
      <c r="AS134" s="8011"/>
    </row>
    <row r="135" spans="37:45" x14ac:dyDescent="0.2">
      <c r="AK135" s="5780"/>
      <c r="AP135" s="8011"/>
      <c r="AQ135" s="5780"/>
      <c r="AR135" s="8011"/>
      <c r="AS135" s="8011"/>
    </row>
    <row r="136" spans="37:45" x14ac:dyDescent="0.2">
      <c r="AK136" s="5780"/>
      <c r="AP136" s="8011"/>
      <c r="AQ136" s="5780"/>
      <c r="AR136" s="8011"/>
      <c r="AS136" s="8011"/>
    </row>
    <row r="137" spans="37:45" x14ac:dyDescent="0.2">
      <c r="AK137" s="5780"/>
      <c r="AP137" s="8011"/>
      <c r="AQ137" s="5780"/>
      <c r="AR137" s="8011"/>
      <c r="AS137" s="8011"/>
    </row>
    <row r="138" spans="37:45" x14ac:dyDescent="0.2">
      <c r="AK138" s="5780"/>
      <c r="AP138" s="8011"/>
      <c r="AQ138" s="5780"/>
      <c r="AR138" s="8011"/>
      <c r="AS138" s="8011"/>
    </row>
    <row r="139" spans="37:45" x14ac:dyDescent="0.2">
      <c r="AK139" s="5780"/>
      <c r="AP139" s="8011"/>
      <c r="AQ139" s="5780"/>
      <c r="AR139" s="8011"/>
      <c r="AS139" s="8011"/>
    </row>
    <row r="140" spans="37:45" x14ac:dyDescent="0.2">
      <c r="AK140" s="5780"/>
      <c r="AP140" s="8011"/>
      <c r="AQ140" s="5780"/>
      <c r="AR140" s="8011"/>
      <c r="AS140" s="8011"/>
    </row>
    <row r="141" spans="37:45" x14ac:dyDescent="0.2">
      <c r="AK141" s="5780"/>
      <c r="AP141" s="8011"/>
      <c r="AQ141" s="5780"/>
      <c r="AR141" s="8011"/>
      <c r="AS141" s="8011"/>
    </row>
    <row r="142" spans="37:45" x14ac:dyDescent="0.2">
      <c r="AK142" s="5780"/>
      <c r="AP142" s="8011"/>
      <c r="AQ142" s="5780"/>
      <c r="AR142" s="8011"/>
      <c r="AS142" s="8011"/>
    </row>
    <row r="143" spans="37:45" x14ac:dyDescent="0.2">
      <c r="AK143" s="5780"/>
      <c r="AP143" s="8011"/>
      <c r="AQ143" s="5780"/>
      <c r="AR143" s="8011"/>
      <c r="AS143" s="8011"/>
    </row>
    <row r="144" spans="37:45" x14ac:dyDescent="0.2">
      <c r="AK144" s="5780"/>
      <c r="AP144" s="8011"/>
      <c r="AQ144" s="5780"/>
      <c r="AR144" s="8011"/>
      <c r="AS144" s="8011"/>
    </row>
    <row r="145" spans="37:45" x14ac:dyDescent="0.2">
      <c r="AK145" s="5780"/>
      <c r="AP145" s="8011"/>
      <c r="AQ145" s="5780"/>
      <c r="AR145" s="8011"/>
      <c r="AS145" s="8011"/>
    </row>
    <row r="146" spans="37:45" x14ac:dyDescent="0.2">
      <c r="AK146" s="5780"/>
      <c r="AP146" s="8011"/>
      <c r="AQ146" s="5780"/>
      <c r="AR146" s="8011"/>
      <c r="AS146" s="8011"/>
    </row>
    <row r="147" spans="37:45" x14ac:dyDescent="0.2">
      <c r="AK147" s="5780"/>
      <c r="AP147" s="8011"/>
      <c r="AQ147" s="5780"/>
      <c r="AR147" s="8011"/>
      <c r="AS147" s="8011"/>
    </row>
    <row r="148" spans="37:45" x14ac:dyDescent="0.2">
      <c r="AK148" s="5780"/>
      <c r="AP148" s="8011"/>
      <c r="AQ148" s="5780"/>
      <c r="AR148" s="8011"/>
      <c r="AS148" s="8011"/>
    </row>
    <row r="149" spans="37:45" x14ac:dyDescent="0.2">
      <c r="AK149" s="5780"/>
      <c r="AR149" s="8011"/>
      <c r="AS149" s="8011"/>
    </row>
    <row r="150" spans="37:45" x14ac:dyDescent="0.2">
      <c r="AK150" s="5780"/>
    </row>
    <row r="151" spans="37:45" x14ac:dyDescent="0.2">
      <c r="AK151" s="5780"/>
    </row>
  </sheetData>
  <mergeCells count="30">
    <mergeCell ref="R3:S3"/>
    <mergeCell ref="T3:U3"/>
    <mergeCell ref="B55:B56"/>
    <mergeCell ref="B3:B4"/>
    <mergeCell ref="C3:C4"/>
    <mergeCell ref="D3:E3"/>
    <mergeCell ref="F3:G3"/>
    <mergeCell ref="J3:K3"/>
    <mergeCell ref="L3:M3"/>
    <mergeCell ref="N3:O3"/>
    <mergeCell ref="P3:Q3"/>
    <mergeCell ref="H3:I3"/>
    <mergeCell ref="V3:W3"/>
    <mergeCell ref="Z3:AA3"/>
    <mergeCell ref="X3:Y3"/>
    <mergeCell ref="AJ3:AK3"/>
    <mergeCell ref="AL3:AM3"/>
    <mergeCell ref="AB3:AC3"/>
    <mergeCell ref="AD3:AE3"/>
    <mergeCell ref="AN3:AO3"/>
    <mergeCell ref="AF3:AG3"/>
    <mergeCell ref="AH3:AI3"/>
    <mergeCell ref="AP3:AQ3"/>
    <mergeCell ref="AR3:AS3"/>
    <mergeCell ref="AX3:AY3"/>
    <mergeCell ref="AZ3:BA3"/>
    <mergeCell ref="BD3:BE3"/>
    <mergeCell ref="BB3:BC3"/>
    <mergeCell ref="AT3:AU3"/>
    <mergeCell ref="AV3:AW3"/>
  </mergeCells>
  <pageMargins left="1.2" right="0.7" top="0.75" bottom="0.75" header="0.3" footer="0.3"/>
  <pageSetup scale="6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S26"/>
  <sheetViews>
    <sheetView topLeftCell="G1" workbookViewId="0">
      <selection activeCell="Q2" sqref="Q2"/>
    </sheetView>
  </sheetViews>
  <sheetFormatPr baseColWidth="10" defaultColWidth="8.83203125" defaultRowHeight="15" x14ac:dyDescent="0.2"/>
  <cols>
    <col min="2" max="2" width="18.6640625" style="5664" customWidth="1"/>
    <col min="4" max="4" width="9.1640625" style="5660"/>
    <col min="5" max="5" width="1.83203125" customWidth="1"/>
    <col min="6" max="6" width="26.6640625" customWidth="1"/>
    <col min="9" max="9" width="1.6640625" customWidth="1"/>
    <col min="10" max="10" width="28.5" customWidth="1"/>
    <col min="13" max="13" width="28.1640625" customWidth="1"/>
    <col min="14" max="14" width="29.1640625" bestFit="1" customWidth="1"/>
    <col min="15" max="15" width="18.6640625" customWidth="1"/>
    <col min="16" max="16" width="12.5" customWidth="1"/>
    <col min="17" max="17" width="12.6640625" style="5660" customWidth="1"/>
    <col min="18" max="18" width="14" customWidth="1"/>
  </cols>
  <sheetData>
    <row r="1" spans="2:19" ht="50.25" customHeight="1" x14ac:dyDescent="0.2">
      <c r="B1" s="5666" t="s">
        <v>2058</v>
      </c>
      <c r="C1" s="5667" t="s">
        <v>658</v>
      </c>
      <c r="D1" s="5667" t="s">
        <v>659</v>
      </c>
      <c r="E1" s="5667"/>
      <c r="F1" s="5666" t="s">
        <v>2057</v>
      </c>
      <c r="G1" s="5667" t="s">
        <v>658</v>
      </c>
      <c r="H1" s="5667" t="s">
        <v>659</v>
      </c>
      <c r="I1" s="5667"/>
      <c r="J1" s="5666" t="s">
        <v>2056</v>
      </c>
      <c r="K1" s="5667" t="s">
        <v>658</v>
      </c>
      <c r="L1" s="5667" t="s">
        <v>659</v>
      </c>
      <c r="M1" s="5666" t="s">
        <v>2063</v>
      </c>
      <c r="N1" s="3938"/>
      <c r="O1" s="5673" t="s">
        <v>2064</v>
      </c>
      <c r="P1" s="5416" t="s">
        <v>2065</v>
      </c>
      <c r="Q1" s="5416" t="s">
        <v>1032</v>
      </c>
      <c r="R1" s="5673" t="s">
        <v>2066</v>
      </c>
      <c r="S1" s="5673" t="s">
        <v>2067</v>
      </c>
    </row>
    <row r="2" spans="2:19" ht="16" x14ac:dyDescent="0.2">
      <c r="B2" s="5685" t="s">
        <v>148</v>
      </c>
      <c r="C2" s="5665" t="s">
        <v>709</v>
      </c>
      <c r="D2" s="5661">
        <v>860.00000000000011</v>
      </c>
      <c r="F2" s="5687" t="s">
        <v>288</v>
      </c>
      <c r="G2" t="s">
        <v>766</v>
      </c>
      <c r="H2" s="5661">
        <v>1.8</v>
      </c>
      <c r="J2" s="5664" t="s">
        <v>730</v>
      </c>
      <c r="K2" t="s">
        <v>734</v>
      </c>
      <c r="L2" s="5661">
        <v>355</v>
      </c>
      <c r="M2" t="s">
        <v>36</v>
      </c>
      <c r="N2" s="3938" t="s">
        <v>2025</v>
      </c>
      <c r="O2" s="5674">
        <v>742.32600000000002</v>
      </c>
      <c r="P2" s="5674">
        <v>56834.77</v>
      </c>
      <c r="Q2" s="5674">
        <f>+P2-R2</f>
        <v>2612.5179999999964</v>
      </c>
      <c r="R2" s="5674">
        <v>54222.252</v>
      </c>
      <c r="S2" s="5674">
        <f>+O2+P2-R2</f>
        <v>3354.8439999999973</v>
      </c>
    </row>
    <row r="3" spans="2:19" ht="16" x14ac:dyDescent="0.2">
      <c r="B3" s="5685" t="s">
        <v>149</v>
      </c>
      <c r="C3" s="5665" t="s">
        <v>709</v>
      </c>
      <c r="D3" s="5661">
        <v>40</v>
      </c>
      <c r="F3" s="5687" t="s">
        <v>289</v>
      </c>
      <c r="G3" t="s">
        <v>766</v>
      </c>
      <c r="H3" s="5661">
        <v>16</v>
      </c>
      <c r="J3" s="5664" t="s">
        <v>13</v>
      </c>
      <c r="K3" t="s">
        <v>734</v>
      </c>
      <c r="L3" s="5661">
        <v>30</v>
      </c>
      <c r="M3" t="s">
        <v>37</v>
      </c>
    </row>
    <row r="4" spans="2:19" ht="16" x14ac:dyDescent="0.2">
      <c r="B4" s="5685" t="s">
        <v>150</v>
      </c>
      <c r="C4" s="5665" t="s">
        <v>709</v>
      </c>
      <c r="D4" s="4183">
        <v>101.39999999999999</v>
      </c>
      <c r="F4" s="5687" t="s">
        <v>290</v>
      </c>
      <c r="G4" t="s">
        <v>766</v>
      </c>
      <c r="H4" s="5661">
        <v>3.2</v>
      </c>
      <c r="J4" s="5664" t="s">
        <v>519</v>
      </c>
      <c r="K4" t="s">
        <v>734</v>
      </c>
      <c r="L4" s="5661">
        <v>145</v>
      </c>
      <c r="M4" t="s">
        <v>1398</v>
      </c>
    </row>
    <row r="5" spans="2:19" ht="16" x14ac:dyDescent="0.2">
      <c r="B5" s="5435" t="s">
        <v>151</v>
      </c>
      <c r="C5" s="5665" t="s">
        <v>709</v>
      </c>
      <c r="D5" s="5661">
        <v>40</v>
      </c>
      <c r="F5" s="5687" t="s">
        <v>550</v>
      </c>
      <c r="G5" t="s">
        <v>766</v>
      </c>
      <c r="H5" s="5661">
        <v>0</v>
      </c>
      <c r="J5" s="5664" t="s">
        <v>68</v>
      </c>
      <c r="K5" t="s">
        <v>734</v>
      </c>
      <c r="L5" s="4183">
        <v>1229.4576828266227</v>
      </c>
      <c r="M5" t="s">
        <v>1424</v>
      </c>
      <c r="N5" s="3938"/>
      <c r="O5" s="5416" t="s">
        <v>2070</v>
      </c>
      <c r="P5" s="5416" t="s">
        <v>2071</v>
      </c>
      <c r="Q5" s="5416" t="s">
        <v>2069</v>
      </c>
    </row>
    <row r="6" spans="2:19" ht="16" x14ac:dyDescent="0.2">
      <c r="B6" s="5435" t="s">
        <v>1391</v>
      </c>
      <c r="C6" s="5665" t="s">
        <v>709</v>
      </c>
      <c r="D6" s="5661">
        <v>0</v>
      </c>
      <c r="F6" s="5687" t="s">
        <v>291</v>
      </c>
      <c r="G6" t="s">
        <v>766</v>
      </c>
      <c r="H6" s="5661">
        <v>2</v>
      </c>
      <c r="J6" s="5668" t="s">
        <v>732</v>
      </c>
      <c r="K6" t="s">
        <v>734</v>
      </c>
      <c r="L6" s="4183">
        <v>388.24979457682844</v>
      </c>
      <c r="M6" t="s">
        <v>1476</v>
      </c>
      <c r="N6" s="3938" t="s">
        <v>2068</v>
      </c>
      <c r="O6" s="5416">
        <v>32703</v>
      </c>
      <c r="P6" s="5416">
        <v>32538</v>
      </c>
      <c r="Q6" s="5674">
        <v>29307.655999999999</v>
      </c>
      <c r="R6" s="4183">
        <f>+R2-O6</f>
        <v>21519.252</v>
      </c>
    </row>
    <row r="7" spans="2:19" ht="16" x14ac:dyDescent="0.2">
      <c r="B7" s="5435" t="s">
        <v>1233</v>
      </c>
      <c r="C7" s="5665" t="s">
        <v>709</v>
      </c>
      <c r="D7" s="5661">
        <v>5</v>
      </c>
      <c r="F7" s="5687" t="s">
        <v>292</v>
      </c>
      <c r="G7" t="s">
        <v>766</v>
      </c>
      <c r="H7" s="5661">
        <v>0.1</v>
      </c>
      <c r="J7" s="5669" t="s">
        <v>733</v>
      </c>
      <c r="K7" t="s">
        <v>734</v>
      </c>
      <c r="L7" s="4183">
        <v>10</v>
      </c>
      <c r="M7" t="s">
        <v>1430</v>
      </c>
      <c r="N7" s="3938" t="s">
        <v>2073</v>
      </c>
      <c r="O7" s="5416"/>
      <c r="P7" s="5688">
        <v>8440</v>
      </c>
      <c r="Q7" s="5674">
        <v>8441.3499999999985</v>
      </c>
      <c r="R7" s="5661"/>
    </row>
    <row r="8" spans="2:19" ht="16" x14ac:dyDescent="0.2">
      <c r="B8" s="5435" t="s">
        <v>152</v>
      </c>
      <c r="C8" s="5665" t="s">
        <v>709</v>
      </c>
      <c r="D8" s="5661">
        <v>4.5</v>
      </c>
      <c r="F8" s="5215" t="s">
        <v>539</v>
      </c>
      <c r="G8" t="s">
        <v>766</v>
      </c>
      <c r="H8" s="5661">
        <v>20</v>
      </c>
      <c r="J8" s="5668" t="s">
        <v>28</v>
      </c>
      <c r="K8" t="s">
        <v>734</v>
      </c>
      <c r="L8" s="4183">
        <v>20</v>
      </c>
      <c r="M8" t="s">
        <v>1457</v>
      </c>
      <c r="N8" s="3938" t="s">
        <v>2074</v>
      </c>
      <c r="O8" s="5416"/>
      <c r="P8" s="5674">
        <f>+P6-P7</f>
        <v>24098</v>
      </c>
      <c r="Q8" s="5674">
        <f>+Q6-Q7</f>
        <v>20866.306</v>
      </c>
      <c r="R8" s="5661"/>
    </row>
    <row r="9" spans="2:19" ht="16" x14ac:dyDescent="0.2">
      <c r="B9" s="5435" t="s">
        <v>153</v>
      </c>
      <c r="C9" s="5665" t="s">
        <v>709</v>
      </c>
      <c r="D9" s="5661">
        <v>30</v>
      </c>
      <c r="F9" s="5687" t="s">
        <v>1197</v>
      </c>
      <c r="G9" t="s">
        <v>766</v>
      </c>
      <c r="H9" s="5661">
        <v>0</v>
      </c>
      <c r="M9" t="s">
        <v>1137</v>
      </c>
      <c r="N9" s="3938" t="s">
        <v>2075</v>
      </c>
      <c r="O9" s="5416"/>
      <c r="P9" s="5416"/>
      <c r="Q9" s="5416"/>
      <c r="R9" s="5661"/>
    </row>
    <row r="10" spans="2:19" ht="16" x14ac:dyDescent="0.2">
      <c r="B10" s="5435" t="s">
        <v>2048</v>
      </c>
      <c r="C10" s="5665" t="s">
        <v>709</v>
      </c>
      <c r="D10" s="5661">
        <v>0</v>
      </c>
      <c r="F10" s="5687" t="s">
        <v>540</v>
      </c>
      <c r="G10" t="s">
        <v>766</v>
      </c>
      <c r="H10" s="5661">
        <v>10</v>
      </c>
      <c r="J10" s="5666" t="s">
        <v>2060</v>
      </c>
      <c r="M10" t="s">
        <v>1138</v>
      </c>
      <c r="N10" s="3938" t="s">
        <v>2072</v>
      </c>
      <c r="O10" s="5416"/>
      <c r="P10" s="5416"/>
      <c r="Q10" s="5416"/>
      <c r="R10" s="5661"/>
    </row>
    <row r="11" spans="2:19" ht="16" x14ac:dyDescent="0.2">
      <c r="B11" s="5435" t="s">
        <v>358</v>
      </c>
      <c r="C11" s="5665" t="s">
        <v>709</v>
      </c>
      <c r="D11" s="5661">
        <v>130</v>
      </c>
      <c r="F11" s="5215" t="s">
        <v>68</v>
      </c>
      <c r="G11" t="s">
        <v>766</v>
      </c>
      <c r="H11" s="5661">
        <v>0</v>
      </c>
      <c r="J11" t="s">
        <v>1230</v>
      </c>
      <c r="N11" s="3938" t="s">
        <v>2075</v>
      </c>
      <c r="O11" s="5416"/>
      <c r="P11" s="5416"/>
      <c r="Q11" s="5416"/>
      <c r="R11" s="5661"/>
    </row>
    <row r="12" spans="2:19" x14ac:dyDescent="0.2">
      <c r="B12" s="5435"/>
      <c r="C12" s="5665"/>
      <c r="F12" s="5687" t="s">
        <v>541</v>
      </c>
      <c r="G12" t="s">
        <v>766</v>
      </c>
      <c r="H12" s="5661">
        <v>15</v>
      </c>
      <c r="O12" s="5661"/>
      <c r="P12" s="5661"/>
      <c r="Q12" s="5661"/>
      <c r="R12" s="5661"/>
    </row>
    <row r="13" spans="2:19" ht="16" x14ac:dyDescent="0.2">
      <c r="B13" s="5686" t="s">
        <v>2059</v>
      </c>
      <c r="C13" s="5665"/>
      <c r="F13" s="5215" t="s">
        <v>477</v>
      </c>
      <c r="G13" t="s">
        <v>766</v>
      </c>
      <c r="H13" s="5661">
        <v>65</v>
      </c>
      <c r="J13" s="5666" t="s">
        <v>287</v>
      </c>
      <c r="O13" s="5661"/>
      <c r="P13" s="5661"/>
      <c r="Q13" s="5661"/>
      <c r="R13" s="5661"/>
    </row>
    <row r="14" spans="2:19" ht="16" x14ac:dyDescent="0.2">
      <c r="B14" s="5435" t="s">
        <v>225</v>
      </c>
      <c r="C14" s="5665" t="s">
        <v>709</v>
      </c>
      <c r="D14" s="5661">
        <v>17.2</v>
      </c>
      <c r="F14" s="5215" t="s">
        <v>1237</v>
      </c>
      <c r="G14" t="s">
        <v>661</v>
      </c>
      <c r="H14" s="5661"/>
      <c r="J14" s="2269" t="s">
        <v>2061</v>
      </c>
    </row>
    <row r="15" spans="2:19" ht="16" x14ac:dyDescent="0.2">
      <c r="B15" s="5435" t="s">
        <v>1854</v>
      </c>
      <c r="C15" s="5665" t="s">
        <v>709</v>
      </c>
      <c r="D15" s="5661">
        <v>0</v>
      </c>
      <c r="F15" s="5687" t="s">
        <v>1207</v>
      </c>
      <c r="G15" t="s">
        <v>766</v>
      </c>
      <c r="H15" s="5662">
        <v>9.5</v>
      </c>
      <c r="J15" s="2269" t="s">
        <v>2062</v>
      </c>
    </row>
    <row r="16" spans="2:19" ht="16" x14ac:dyDescent="0.2">
      <c r="B16" s="5435" t="s">
        <v>156</v>
      </c>
      <c r="C16" s="5665" t="s">
        <v>709</v>
      </c>
      <c r="D16" s="5661">
        <v>15</v>
      </c>
      <c r="F16" s="5215"/>
    </row>
    <row r="17" spans="2:6" ht="32" x14ac:dyDescent="0.2">
      <c r="B17" s="5435" t="s">
        <v>226</v>
      </c>
      <c r="C17" s="5665" t="s">
        <v>709</v>
      </c>
      <c r="D17" s="5661">
        <v>21</v>
      </c>
      <c r="F17" s="5687" t="s">
        <v>1282</v>
      </c>
    </row>
    <row r="18" spans="2:6" ht="16" x14ac:dyDescent="0.2">
      <c r="B18" s="5435" t="s">
        <v>220</v>
      </c>
      <c r="C18" s="5665" t="s">
        <v>709</v>
      </c>
      <c r="D18" s="5661">
        <v>80</v>
      </c>
      <c r="F18" s="5687" t="s">
        <v>1278</v>
      </c>
    </row>
    <row r="19" spans="2:6" ht="32" x14ac:dyDescent="0.2">
      <c r="B19" s="5435" t="s">
        <v>357</v>
      </c>
      <c r="C19" s="5665" t="s">
        <v>709</v>
      </c>
      <c r="D19" s="5661">
        <v>170</v>
      </c>
      <c r="F19" s="5687" t="s">
        <v>1915</v>
      </c>
    </row>
    <row r="20" spans="2:6" ht="16" x14ac:dyDescent="0.2">
      <c r="B20" s="5435" t="s">
        <v>1878</v>
      </c>
      <c r="C20" s="5665" t="s">
        <v>709</v>
      </c>
      <c r="D20" s="5661">
        <v>0</v>
      </c>
      <c r="F20" s="5687" t="s">
        <v>1276</v>
      </c>
    </row>
    <row r="21" spans="2:6" x14ac:dyDescent="0.2">
      <c r="F21" s="5687" t="s">
        <v>1390</v>
      </c>
    </row>
    <row r="22" spans="2:6" x14ac:dyDescent="0.2">
      <c r="F22" s="5687" t="s">
        <v>1916</v>
      </c>
    </row>
    <row r="23" spans="2:6" x14ac:dyDescent="0.2">
      <c r="F23" s="5687" t="s">
        <v>1277</v>
      </c>
    </row>
    <row r="24" spans="2:6" x14ac:dyDescent="0.2">
      <c r="F24" s="5586" t="s">
        <v>13</v>
      </c>
    </row>
    <row r="25" spans="2:6" x14ac:dyDescent="0.2">
      <c r="F25" s="5687" t="s">
        <v>1917</v>
      </c>
    </row>
    <row r="26" spans="2:6" x14ac:dyDescent="0.2">
      <c r="F26" s="5586" t="s">
        <v>1918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99FF"/>
  </sheetPr>
  <dimension ref="D2:BG88"/>
  <sheetViews>
    <sheetView workbookViewId="0">
      <pane xSplit="5" topLeftCell="AZ1" activePane="topRight" state="frozen"/>
      <selection pane="topRight" activeCell="AV26" sqref="AV26"/>
    </sheetView>
  </sheetViews>
  <sheetFormatPr baseColWidth="10" defaultColWidth="8.83203125" defaultRowHeight="15" x14ac:dyDescent="0.2"/>
  <cols>
    <col min="4" max="4" width="27.6640625" style="5215" bestFit="1" customWidth="1"/>
    <col min="5" max="5" width="12.33203125" bestFit="1" customWidth="1"/>
    <col min="6" max="6" width="17.83203125" style="5473" customWidth="1"/>
    <col min="7" max="7" width="17.33203125" customWidth="1"/>
    <col min="8" max="8" width="16.5" style="5473" bestFit="1" customWidth="1"/>
    <col min="9" max="9" width="14.5" customWidth="1"/>
    <col min="10" max="10" width="16.5" style="5473" bestFit="1" customWidth="1"/>
    <col min="11" max="11" width="14.5" customWidth="1"/>
    <col min="12" max="12" width="16.5" bestFit="1" customWidth="1"/>
    <col min="13" max="13" width="17" customWidth="1"/>
    <col min="14" max="14" width="16.5" bestFit="1" customWidth="1"/>
    <col min="15" max="15" width="14.83203125" customWidth="1"/>
    <col min="16" max="16" width="16.5" customWidth="1"/>
    <col min="17" max="17" width="19.6640625" customWidth="1"/>
    <col min="18" max="18" width="16.5" bestFit="1" customWidth="1"/>
    <col min="19" max="19" width="14.5" customWidth="1"/>
    <col min="20" max="20" width="16.5" bestFit="1" customWidth="1"/>
    <col min="21" max="21" width="16.5" customWidth="1"/>
    <col min="22" max="22" width="16.5" bestFit="1" customWidth="1"/>
    <col min="23" max="23" width="18.33203125" customWidth="1"/>
    <col min="24" max="24" width="16.5" bestFit="1" customWidth="1"/>
    <col min="25" max="25" width="21.33203125" customWidth="1"/>
    <col min="26" max="27" width="21.33203125" style="7006" customWidth="1"/>
    <col min="28" max="28" width="16.5" bestFit="1" customWidth="1"/>
    <col min="29" max="29" width="14.5" bestFit="1" customWidth="1"/>
    <col min="30" max="30" width="16.5" bestFit="1" customWidth="1"/>
    <col min="31" max="31" width="20.1640625" customWidth="1"/>
    <col min="32" max="32" width="16.5" bestFit="1" customWidth="1"/>
    <col min="33" max="33" width="14.5" bestFit="1" customWidth="1"/>
    <col min="34" max="34" width="16.5" bestFit="1" customWidth="1"/>
    <col min="35" max="35" width="14.5" bestFit="1" customWidth="1"/>
    <col min="36" max="36" width="16.5" bestFit="1" customWidth="1"/>
    <col min="37" max="37" width="14.5" bestFit="1" customWidth="1"/>
    <col min="38" max="38" width="16.5" bestFit="1" customWidth="1"/>
    <col min="39" max="39" width="14.5" bestFit="1" customWidth="1"/>
    <col min="40" max="40" width="16.5" bestFit="1" customWidth="1"/>
    <col min="41" max="41" width="14.5" bestFit="1" customWidth="1"/>
    <col min="42" max="42" width="16.5" bestFit="1" customWidth="1"/>
    <col min="43" max="43" width="14.5" bestFit="1" customWidth="1"/>
    <col min="44" max="44" width="16.5" bestFit="1" customWidth="1"/>
    <col min="45" max="45" width="14.5" bestFit="1" customWidth="1"/>
    <col min="46" max="46" width="16.5" bestFit="1" customWidth="1"/>
    <col min="47" max="47" width="14.5" bestFit="1" customWidth="1"/>
    <col min="48" max="48" width="20.5" customWidth="1"/>
    <col min="49" max="49" width="18.1640625" customWidth="1"/>
    <col min="50" max="50" width="18.83203125" customWidth="1"/>
    <col min="51" max="51" width="17.6640625" customWidth="1"/>
    <col min="52" max="52" width="16.5" bestFit="1" customWidth="1"/>
    <col min="53" max="53" width="14.5" bestFit="1" customWidth="1"/>
    <col min="54" max="54" width="16.5" bestFit="1" customWidth="1"/>
    <col min="55" max="55" width="14.5" bestFit="1" customWidth="1"/>
    <col min="56" max="56" width="17.83203125" style="8260" customWidth="1"/>
    <col min="57" max="57" width="16.5" style="8260" customWidth="1"/>
    <col min="58" max="58" width="20" customWidth="1"/>
    <col min="59" max="59" width="14.5" bestFit="1" customWidth="1"/>
  </cols>
  <sheetData>
    <row r="2" spans="4:59" ht="16" thickBot="1" x14ac:dyDescent="0.25"/>
    <row r="3" spans="4:59" ht="19" thickBot="1" x14ac:dyDescent="0.25">
      <c r="D3" s="8821" t="s">
        <v>657</v>
      </c>
      <c r="E3" s="8823" t="s">
        <v>658</v>
      </c>
      <c r="F3" s="8826" t="s">
        <v>1859</v>
      </c>
      <c r="G3" s="8827"/>
      <c r="H3" s="8826" t="s">
        <v>1862</v>
      </c>
      <c r="I3" s="8827"/>
      <c r="J3" s="8851" t="s">
        <v>52</v>
      </c>
      <c r="K3" s="8852"/>
      <c r="L3" s="8826" t="s">
        <v>1863</v>
      </c>
      <c r="M3" s="8827"/>
      <c r="N3" s="8841" t="s">
        <v>2104</v>
      </c>
      <c r="O3" s="8842"/>
      <c r="P3" s="8826" t="s">
        <v>1864</v>
      </c>
      <c r="Q3" s="8827"/>
      <c r="R3" s="8851" t="s">
        <v>62</v>
      </c>
      <c r="S3" s="8852"/>
      <c r="T3" s="8826" t="s">
        <v>2160</v>
      </c>
      <c r="U3" s="8827"/>
      <c r="V3" s="8851" t="s">
        <v>64</v>
      </c>
      <c r="W3" s="8852"/>
      <c r="X3" s="8826" t="s">
        <v>2227</v>
      </c>
      <c r="Y3" s="8827"/>
      <c r="Z3" s="8841" t="s">
        <v>2228</v>
      </c>
      <c r="AA3" s="8842"/>
      <c r="AB3" s="8843" t="s">
        <v>1697</v>
      </c>
      <c r="AC3" s="8844"/>
      <c r="AD3" s="8826" t="s">
        <v>2265</v>
      </c>
      <c r="AE3" s="8827"/>
      <c r="AF3" s="8851" t="s">
        <v>101</v>
      </c>
      <c r="AG3" s="8852"/>
      <c r="AH3" s="8826" t="s">
        <v>2423</v>
      </c>
      <c r="AI3" s="8827"/>
      <c r="AJ3" s="8851" t="s">
        <v>105</v>
      </c>
      <c r="AK3" s="8852"/>
      <c r="AL3" s="8826" t="s">
        <v>2449</v>
      </c>
      <c r="AM3" s="8827"/>
      <c r="AN3" s="8841" t="s">
        <v>2447</v>
      </c>
      <c r="AO3" s="8842"/>
      <c r="AP3" s="8851" t="s">
        <v>108</v>
      </c>
      <c r="AQ3" s="8852"/>
      <c r="AR3" s="8826" t="s">
        <v>2533</v>
      </c>
      <c r="AS3" s="8827"/>
      <c r="AT3" s="8851" t="s">
        <v>110</v>
      </c>
      <c r="AU3" s="8852"/>
      <c r="AV3" s="8826" t="s">
        <v>2577</v>
      </c>
      <c r="AW3" s="8827"/>
      <c r="AX3" s="8851" t="s">
        <v>113</v>
      </c>
      <c r="AY3" s="8852"/>
      <c r="AZ3" s="8826" t="s">
        <v>2600</v>
      </c>
      <c r="BA3" s="8827"/>
      <c r="BB3" s="8841" t="s">
        <v>2228</v>
      </c>
      <c r="BC3" s="8842"/>
      <c r="BD3" s="8841" t="s">
        <v>1842</v>
      </c>
      <c r="BE3" s="8842"/>
      <c r="BF3" s="8843" t="s">
        <v>1865</v>
      </c>
      <c r="BG3" s="8844"/>
    </row>
    <row r="4" spans="4:59" ht="19" thickBot="1" x14ac:dyDescent="0.25">
      <c r="D4" s="8822"/>
      <c r="E4" s="8824"/>
      <c r="F4" s="8845" t="s">
        <v>2030</v>
      </c>
      <c r="G4" s="8846"/>
      <c r="H4" s="8845" t="s">
        <v>2030</v>
      </c>
      <c r="I4" s="8846"/>
      <c r="J4" s="8853" t="s">
        <v>2030</v>
      </c>
      <c r="K4" s="8854"/>
      <c r="L4" s="8845" t="s">
        <v>2030</v>
      </c>
      <c r="M4" s="8846"/>
      <c r="N4" s="8847" t="s">
        <v>2030</v>
      </c>
      <c r="O4" s="8848"/>
      <c r="P4" s="8845" t="s">
        <v>2030</v>
      </c>
      <c r="Q4" s="8846"/>
      <c r="R4" s="8853" t="s">
        <v>2030</v>
      </c>
      <c r="S4" s="8854"/>
      <c r="T4" s="8845" t="s">
        <v>2030</v>
      </c>
      <c r="U4" s="8846"/>
      <c r="V4" s="8853" t="s">
        <v>2030</v>
      </c>
      <c r="W4" s="8854"/>
      <c r="X4" s="8845" t="s">
        <v>2030</v>
      </c>
      <c r="Y4" s="8846"/>
      <c r="Z4" s="8847" t="s">
        <v>2030</v>
      </c>
      <c r="AA4" s="8848"/>
      <c r="AB4" s="8849" t="s">
        <v>2030</v>
      </c>
      <c r="AC4" s="8850"/>
      <c r="AD4" s="8845" t="s">
        <v>2030</v>
      </c>
      <c r="AE4" s="8846"/>
      <c r="AF4" s="8853" t="s">
        <v>2030</v>
      </c>
      <c r="AG4" s="8854"/>
      <c r="AH4" s="8845" t="s">
        <v>2030</v>
      </c>
      <c r="AI4" s="8846"/>
      <c r="AJ4" s="8853" t="s">
        <v>2030</v>
      </c>
      <c r="AK4" s="8854"/>
      <c r="AL4" s="8845" t="s">
        <v>2030</v>
      </c>
      <c r="AM4" s="8846"/>
      <c r="AN4" s="8847" t="s">
        <v>2030</v>
      </c>
      <c r="AO4" s="8848"/>
      <c r="AP4" s="8853" t="s">
        <v>2030</v>
      </c>
      <c r="AQ4" s="8854"/>
      <c r="AR4" s="8845" t="s">
        <v>2030</v>
      </c>
      <c r="AS4" s="8846"/>
      <c r="AT4" s="8853" t="s">
        <v>2030</v>
      </c>
      <c r="AU4" s="8854"/>
      <c r="AV4" s="8845" t="s">
        <v>2030</v>
      </c>
      <c r="AW4" s="8846"/>
      <c r="AX4" s="8853" t="s">
        <v>2030</v>
      </c>
      <c r="AY4" s="8854"/>
      <c r="AZ4" s="8845" t="s">
        <v>2030</v>
      </c>
      <c r="BA4" s="8846"/>
      <c r="BB4" s="8847" t="s">
        <v>2030</v>
      </c>
      <c r="BC4" s="8848"/>
      <c r="BD4" s="8847" t="s">
        <v>2030</v>
      </c>
      <c r="BE4" s="8848"/>
      <c r="BF4" s="8849" t="s">
        <v>2030</v>
      </c>
      <c r="BG4" s="8850"/>
    </row>
    <row r="5" spans="4:59" s="3380" customFormat="1" ht="20" thickBot="1" x14ac:dyDescent="0.3">
      <c r="D5" s="4852"/>
      <c r="E5" s="4852"/>
      <c r="F5" s="5658" t="s">
        <v>2271</v>
      </c>
      <c r="G5" s="5659" t="s">
        <v>2031</v>
      </c>
      <c r="H5" s="5658" t="s">
        <v>2271</v>
      </c>
      <c r="I5" s="5659" t="s">
        <v>2031</v>
      </c>
      <c r="J5" s="5658" t="s">
        <v>2271</v>
      </c>
      <c r="K5" s="5659" t="s">
        <v>2031</v>
      </c>
      <c r="L5" s="5658" t="s">
        <v>2271</v>
      </c>
      <c r="M5" s="5659" t="s">
        <v>2031</v>
      </c>
      <c r="N5" s="5658" t="s">
        <v>2271</v>
      </c>
      <c r="O5" s="5659" t="s">
        <v>2031</v>
      </c>
      <c r="P5" s="5658" t="s">
        <v>2271</v>
      </c>
      <c r="Q5" s="6018" t="s">
        <v>2031</v>
      </c>
      <c r="R5" s="5658" t="s">
        <v>2271</v>
      </c>
      <c r="S5" s="5659" t="s">
        <v>2031</v>
      </c>
      <c r="T5" s="5658" t="s">
        <v>2271</v>
      </c>
      <c r="U5" s="6018" t="s">
        <v>2031</v>
      </c>
      <c r="V5" s="5658" t="s">
        <v>2271</v>
      </c>
      <c r="W5" s="5659" t="s">
        <v>2031</v>
      </c>
      <c r="X5" s="5658" t="s">
        <v>2271</v>
      </c>
      <c r="Y5" s="7284" t="s">
        <v>2031</v>
      </c>
      <c r="Z5" s="5658" t="s">
        <v>2271</v>
      </c>
      <c r="AA5" s="5659" t="s">
        <v>2031</v>
      </c>
      <c r="AB5" s="5658" t="s">
        <v>2271</v>
      </c>
      <c r="AC5" s="5659" t="s">
        <v>2031</v>
      </c>
      <c r="AD5" s="5658" t="s">
        <v>2271</v>
      </c>
      <c r="AE5" s="6018" t="s">
        <v>2031</v>
      </c>
      <c r="AF5" s="5658" t="s">
        <v>2271</v>
      </c>
      <c r="AG5" s="5659" t="s">
        <v>2031</v>
      </c>
      <c r="AH5" s="5658" t="s">
        <v>2271</v>
      </c>
      <c r="AI5" s="6018" t="s">
        <v>2031</v>
      </c>
      <c r="AJ5" s="5658" t="s">
        <v>2271</v>
      </c>
      <c r="AK5" s="5659" t="s">
        <v>2031</v>
      </c>
      <c r="AL5" s="5658" t="s">
        <v>2271</v>
      </c>
      <c r="AM5" s="7284" t="s">
        <v>2031</v>
      </c>
      <c r="AN5" s="5658" t="s">
        <v>2271</v>
      </c>
      <c r="AO5" s="5659" t="s">
        <v>2031</v>
      </c>
      <c r="AP5" s="5658" t="s">
        <v>2271</v>
      </c>
      <c r="AQ5" s="5659" t="s">
        <v>2031</v>
      </c>
      <c r="AR5" s="5658" t="s">
        <v>2271</v>
      </c>
      <c r="AS5" s="7284" t="s">
        <v>2031</v>
      </c>
      <c r="AT5" s="5658" t="s">
        <v>2271</v>
      </c>
      <c r="AU5" s="5659" t="s">
        <v>2031</v>
      </c>
      <c r="AV5" s="5658" t="s">
        <v>2271</v>
      </c>
      <c r="AW5" s="7284" t="s">
        <v>2031</v>
      </c>
      <c r="AX5" s="5658" t="s">
        <v>2271</v>
      </c>
      <c r="AY5" s="5659" t="s">
        <v>2031</v>
      </c>
      <c r="AZ5" s="5658" t="s">
        <v>2271</v>
      </c>
      <c r="BA5" s="7284" t="s">
        <v>2031</v>
      </c>
      <c r="BB5" s="5658" t="s">
        <v>2271</v>
      </c>
      <c r="BC5" s="5659" t="s">
        <v>2031</v>
      </c>
      <c r="BD5" s="5658" t="s">
        <v>2271</v>
      </c>
      <c r="BE5" s="5659" t="s">
        <v>2031</v>
      </c>
      <c r="BF5" s="5658" t="s">
        <v>2271</v>
      </c>
      <c r="BG5" s="5659" t="s">
        <v>2031</v>
      </c>
    </row>
    <row r="6" spans="4:59" ht="18" x14ac:dyDescent="0.2">
      <c r="D6" s="4053" t="s">
        <v>2023</v>
      </c>
      <c r="E6" s="4008" t="s">
        <v>170</v>
      </c>
      <c r="F6" s="7045">
        <v>185004</v>
      </c>
      <c r="G6" s="4433">
        <v>198460.39031986563</v>
      </c>
      <c r="H6" s="7046">
        <v>197772.09755381572</v>
      </c>
      <c r="I6" s="1783">
        <v>202500</v>
      </c>
      <c r="J6" s="7047">
        <f>+F6+H6</f>
        <v>382776.09755381569</v>
      </c>
      <c r="K6" s="7047">
        <f>+G6+I6</f>
        <v>400960.39031986566</v>
      </c>
      <c r="L6" s="7046">
        <v>219753</v>
      </c>
      <c r="M6" s="1783">
        <v>220500</v>
      </c>
      <c r="N6" s="7048">
        <f>+J6+L6</f>
        <v>602529.09755381569</v>
      </c>
      <c r="O6" s="7048">
        <f>+K6+M6</f>
        <v>621460.39031986566</v>
      </c>
      <c r="P6" s="7046">
        <v>248500</v>
      </c>
      <c r="Q6" s="1783">
        <v>257300</v>
      </c>
      <c r="R6" s="7047">
        <f>+N6+P6</f>
        <v>851029.09755381569</v>
      </c>
      <c r="S6" s="7047">
        <f>+O6+Q6</f>
        <v>878760.39031986566</v>
      </c>
      <c r="T6" s="7046">
        <v>248009</v>
      </c>
      <c r="U6" s="1783">
        <v>248391</v>
      </c>
      <c r="V6" s="7047">
        <f>+R6+T6</f>
        <v>1099038.0975538157</v>
      </c>
      <c r="W6" s="7047">
        <f>+S6+U6</f>
        <v>1127151.3903198657</v>
      </c>
      <c r="X6" s="7046">
        <v>210701</v>
      </c>
      <c r="Y6" s="1783">
        <v>185174.0743902846</v>
      </c>
      <c r="Z6" s="7048">
        <f>+P6+T6+X6</f>
        <v>707210</v>
      </c>
      <c r="AA6" s="7048">
        <f>+Q6+U6+Y6</f>
        <v>690865.0743902846</v>
      </c>
      <c r="AB6" s="7382">
        <f>+V6+X6</f>
        <v>1309739.0975538157</v>
      </c>
      <c r="AC6" s="7382">
        <f>+W6+Y6</f>
        <v>1312325.4647101504</v>
      </c>
      <c r="AD6" s="7046">
        <v>238605</v>
      </c>
      <c r="AE6" s="1783">
        <v>251216</v>
      </c>
      <c r="AF6" s="7047">
        <f>+AB6+AD6</f>
        <v>1548344.0975538157</v>
      </c>
      <c r="AG6" s="7047">
        <f>+AC6+AE6</f>
        <v>1563541.4647101504</v>
      </c>
      <c r="AH6" s="7046">
        <v>268610</v>
      </c>
      <c r="AI6" s="1783">
        <v>264115.73770369228</v>
      </c>
      <c r="AJ6" s="7047">
        <f>+AF6+AH6</f>
        <v>1816954.0975538157</v>
      </c>
      <c r="AK6" s="7047">
        <f>+AG6+AI6</f>
        <v>1827657.2024138425</v>
      </c>
      <c r="AL6" s="7046">
        <v>299854</v>
      </c>
      <c r="AM6" s="1783">
        <v>299500</v>
      </c>
      <c r="AN6" s="7048">
        <f>+AD6+AH6+AL6</f>
        <v>807069</v>
      </c>
      <c r="AO6" s="7048">
        <f>+AE6+AI6+AM6</f>
        <v>814831.73770369228</v>
      </c>
      <c r="AP6" s="7047">
        <f>+AJ6+AL6</f>
        <v>2116808.0975538157</v>
      </c>
      <c r="AQ6" s="7047">
        <f>+AK6+AM6</f>
        <v>2127157.2024138425</v>
      </c>
      <c r="AR6" s="7046">
        <v>318600</v>
      </c>
      <c r="AS6" s="1783">
        <v>318500</v>
      </c>
      <c r="AT6" s="7047">
        <f>+AP6+AR6</f>
        <v>2435408.0975538157</v>
      </c>
      <c r="AU6" s="7047">
        <f>+AQ6+AS6</f>
        <v>2445657.2024138425</v>
      </c>
      <c r="AV6" s="7046">
        <v>292152</v>
      </c>
      <c r="AW6" s="1783">
        <v>292852</v>
      </c>
      <c r="AX6" s="7047">
        <f>+AT6+AV6</f>
        <v>2727560.0975538157</v>
      </c>
      <c r="AY6" s="7047">
        <f>+AU6+AW6</f>
        <v>2738509.2024138425</v>
      </c>
      <c r="AZ6" s="7046">
        <v>340997</v>
      </c>
      <c r="BA6" s="1783">
        <v>338398</v>
      </c>
      <c r="BB6" s="7048">
        <f>+AR6+AV6+AZ6</f>
        <v>951749</v>
      </c>
      <c r="BC6" s="7048">
        <f>+AS6+AW6+BA6</f>
        <v>949750</v>
      </c>
      <c r="BD6" s="7048">
        <f>+BB6+AN6</f>
        <v>1758818</v>
      </c>
      <c r="BE6" s="7048">
        <f t="shared" ref="BE6:BE16" si="0">+BC6+AO6</f>
        <v>1764581.7377036922</v>
      </c>
      <c r="BF6" s="7382">
        <f>+AX6+AZ6</f>
        <v>3068557.0975538157</v>
      </c>
      <c r="BG6" s="7382">
        <f>+AY6+BA6</f>
        <v>3076907.2024138425</v>
      </c>
    </row>
    <row r="7" spans="4:59" ht="18" x14ac:dyDescent="0.2">
      <c r="D7" s="4049" t="s">
        <v>2024</v>
      </c>
      <c r="E7" s="4010" t="s">
        <v>170</v>
      </c>
      <c r="F7" s="4086">
        <v>19887.493391491891</v>
      </c>
      <c r="G7" s="4439">
        <v>21334</v>
      </c>
      <c r="H7" s="4456">
        <v>21263.674607119388</v>
      </c>
      <c r="I7" s="4453">
        <v>21772</v>
      </c>
      <c r="J7" s="4466">
        <f t="shared" ref="J7:J15" si="1">+F7+H7</f>
        <v>41151.167998611279</v>
      </c>
      <c r="K7" s="4466">
        <f t="shared" ref="K7:K15" si="2">+G7+I7</f>
        <v>43106</v>
      </c>
      <c r="L7" s="4456">
        <v>22432</v>
      </c>
      <c r="M7" s="4453">
        <v>23000</v>
      </c>
      <c r="N7" s="4854">
        <f t="shared" ref="N7:N15" si="3">+J7+L7</f>
        <v>63583.167998611279</v>
      </c>
      <c r="O7" s="4854">
        <f t="shared" ref="O7:O10" si="4">+K7+M7</f>
        <v>66106</v>
      </c>
      <c r="P7" s="4456">
        <v>23610</v>
      </c>
      <c r="Q7" s="4453">
        <v>24592</v>
      </c>
      <c r="R7" s="4466">
        <f t="shared" ref="R7:R15" si="5">+N7+P7</f>
        <v>87193.167998611287</v>
      </c>
      <c r="S7" s="4466">
        <f t="shared" ref="S7:S10" si="6">+O7+Q7</f>
        <v>90698</v>
      </c>
      <c r="T7" s="4456">
        <v>25700</v>
      </c>
      <c r="U7" s="4453">
        <v>25734</v>
      </c>
      <c r="V7" s="4466">
        <f t="shared" ref="V7:V15" si="7">+R7+T7</f>
        <v>112893.16799861129</v>
      </c>
      <c r="W7" s="4466">
        <f t="shared" ref="W7:W10" si="8">+S7+U7</f>
        <v>116432</v>
      </c>
      <c r="X7" s="4456">
        <v>11678</v>
      </c>
      <c r="Y7" s="4453">
        <v>10263.182617689254</v>
      </c>
      <c r="Z7" s="4854">
        <f t="shared" ref="Z7:Z15" si="9">+P7+T7+X7</f>
        <v>60988</v>
      </c>
      <c r="AA7" s="4854">
        <f t="shared" ref="AA7:AA15" si="10">+Q7+U7+Y7</f>
        <v>60589.18261768925</v>
      </c>
      <c r="AB7" s="7231">
        <f t="shared" ref="AB7:AB15" si="11">+V7+X7</f>
        <v>124571.16799861129</v>
      </c>
      <c r="AC7" s="7231">
        <f t="shared" ref="AC7:AC10" si="12">+W7+Y7</f>
        <v>126695.18261768925</v>
      </c>
      <c r="AD7" s="4456">
        <v>28344</v>
      </c>
      <c r="AE7" s="4453">
        <v>30053</v>
      </c>
      <c r="AF7" s="4466">
        <f t="shared" ref="AF7:AF15" si="13">+AB7+AD7</f>
        <v>152915.16799861129</v>
      </c>
      <c r="AG7" s="4466">
        <f t="shared" ref="AG7:AG10" si="14">+AC7+AE7</f>
        <v>156748.18261768925</v>
      </c>
      <c r="AH7" s="4456">
        <v>31179</v>
      </c>
      <c r="AI7" s="4453">
        <v>30657</v>
      </c>
      <c r="AJ7" s="4466">
        <f t="shared" ref="AJ7:AJ15" si="15">+AF7+AH7</f>
        <v>184094.16799861129</v>
      </c>
      <c r="AK7" s="4466">
        <f t="shared" ref="AK7:AK10" si="16">+AG7+AI7</f>
        <v>187405.18261768925</v>
      </c>
      <c r="AL7" s="4456">
        <v>33522</v>
      </c>
      <c r="AM7" s="4453">
        <v>33500</v>
      </c>
      <c r="AN7" s="4854">
        <f t="shared" ref="AN7:AN15" si="17">+AD7+AH7+AL7</f>
        <v>93045</v>
      </c>
      <c r="AO7" s="4854">
        <f t="shared" ref="AO7:AO15" si="18">+AE7+AI7+AM7</f>
        <v>94210</v>
      </c>
      <c r="AP7" s="4466">
        <f t="shared" ref="AP7:AP15" si="19">+AJ7+AL7</f>
        <v>217616.16799861129</v>
      </c>
      <c r="AQ7" s="4466">
        <f t="shared" ref="AQ7:AQ10" si="20">+AK7+AM7</f>
        <v>220905.18261768925</v>
      </c>
      <c r="AR7" s="4456">
        <v>33000</v>
      </c>
      <c r="AS7" s="4453">
        <v>32633</v>
      </c>
      <c r="AT7" s="4466">
        <f t="shared" ref="AT7:AT15" si="21">+AP7+AR7</f>
        <v>250616.16799861129</v>
      </c>
      <c r="AU7" s="4466">
        <f t="shared" ref="AU7:AU10" si="22">+AQ7+AS7</f>
        <v>253538.18261768925</v>
      </c>
      <c r="AV7" s="4456">
        <v>27428</v>
      </c>
      <c r="AW7" s="4453">
        <v>27428</v>
      </c>
      <c r="AX7" s="4466">
        <f t="shared" ref="AX7:AX15" si="23">+AT7+AV7</f>
        <v>278044.16799861129</v>
      </c>
      <c r="AY7" s="4466">
        <f t="shared" ref="AY7:AY10" si="24">+AU7+AW7</f>
        <v>280966.18261768925</v>
      </c>
      <c r="AZ7" s="4456">
        <v>35292</v>
      </c>
      <c r="BA7" s="4453">
        <v>36025</v>
      </c>
      <c r="BB7" s="4854">
        <f t="shared" ref="BB7:BB15" si="25">+AR7+AV7+AZ7</f>
        <v>95720</v>
      </c>
      <c r="BC7" s="4854">
        <f t="shared" ref="BC7:BC15" si="26">+AS7+AW7+BA7</f>
        <v>96086</v>
      </c>
      <c r="BD7" s="4854">
        <f t="shared" ref="BD7:BD16" si="27">+BB7+AN7</f>
        <v>188765</v>
      </c>
      <c r="BE7" s="4854">
        <f t="shared" si="0"/>
        <v>190296</v>
      </c>
      <c r="BF7" s="7231">
        <f t="shared" ref="BF7:BF15" si="28">+AX7+AZ7</f>
        <v>313336.16799861129</v>
      </c>
      <c r="BG7" s="7231">
        <f t="shared" ref="BG7:BG10" si="29">+AY7+BA7</f>
        <v>316991.18261768925</v>
      </c>
    </row>
    <row r="8" spans="4:59" ht="18" x14ac:dyDescent="0.2">
      <c r="D8" s="4049" t="s">
        <v>2025</v>
      </c>
      <c r="E8" s="4010" t="s">
        <v>170</v>
      </c>
      <c r="F8" s="4086">
        <v>9333.1575811201274</v>
      </c>
      <c r="G8" s="4439">
        <v>10012</v>
      </c>
      <c r="H8" s="4456">
        <v>11300.844152075069</v>
      </c>
      <c r="I8" s="4453">
        <v>11571</v>
      </c>
      <c r="J8" s="4466">
        <f t="shared" si="1"/>
        <v>20634.001733195197</v>
      </c>
      <c r="K8" s="4466">
        <f t="shared" si="2"/>
        <v>21583</v>
      </c>
      <c r="L8" s="4456">
        <v>9050</v>
      </c>
      <c r="M8" s="4453">
        <v>9100</v>
      </c>
      <c r="N8" s="4854">
        <f t="shared" si="3"/>
        <v>29684.001733195197</v>
      </c>
      <c r="O8" s="4854">
        <f t="shared" si="4"/>
        <v>30683</v>
      </c>
      <c r="P8" s="4456">
        <v>15600</v>
      </c>
      <c r="Q8" s="4453">
        <v>16033</v>
      </c>
      <c r="R8" s="4466">
        <f t="shared" si="5"/>
        <v>45284.001733195197</v>
      </c>
      <c r="S8" s="4466">
        <f t="shared" si="6"/>
        <v>46716</v>
      </c>
      <c r="T8" s="4456">
        <v>17200</v>
      </c>
      <c r="U8" s="4453">
        <v>17213</v>
      </c>
      <c r="V8" s="4466">
        <f t="shared" si="7"/>
        <v>62484.001733195197</v>
      </c>
      <c r="W8" s="4466">
        <f t="shared" si="8"/>
        <v>63929</v>
      </c>
      <c r="X8" s="4456">
        <v>22733</v>
      </c>
      <c r="Y8" s="4453">
        <v>19978.843162179295</v>
      </c>
      <c r="Z8" s="4854">
        <f t="shared" si="9"/>
        <v>55533</v>
      </c>
      <c r="AA8" s="4854">
        <f t="shared" si="10"/>
        <v>53224.843162179299</v>
      </c>
      <c r="AB8" s="7231">
        <f t="shared" si="11"/>
        <v>85217.001733195197</v>
      </c>
      <c r="AC8" s="7231">
        <f t="shared" si="12"/>
        <v>83907.843162179299</v>
      </c>
      <c r="AD8" s="4456">
        <v>14822</v>
      </c>
      <c r="AE8" s="4453">
        <v>15395</v>
      </c>
      <c r="AF8" s="4466">
        <f t="shared" si="13"/>
        <v>100039.0017331952</v>
      </c>
      <c r="AG8" s="4466">
        <f t="shared" si="14"/>
        <v>99302.843162179299</v>
      </c>
      <c r="AH8" s="4456">
        <v>16010</v>
      </c>
      <c r="AI8" s="4453">
        <v>15742</v>
      </c>
      <c r="AJ8" s="4466">
        <f t="shared" si="15"/>
        <v>116049.0017331952</v>
      </c>
      <c r="AK8" s="4466">
        <f t="shared" si="16"/>
        <v>115044.8431621793</v>
      </c>
      <c r="AL8" s="4456">
        <v>21012</v>
      </c>
      <c r="AM8" s="4453">
        <v>21000</v>
      </c>
      <c r="AN8" s="4854">
        <f t="shared" si="17"/>
        <v>51844</v>
      </c>
      <c r="AO8" s="4854">
        <f t="shared" si="18"/>
        <v>52137</v>
      </c>
      <c r="AP8" s="4466">
        <f t="shared" si="19"/>
        <v>137061.00173319521</v>
      </c>
      <c r="AQ8" s="4466">
        <f t="shared" si="20"/>
        <v>136044.84316217928</v>
      </c>
      <c r="AR8" s="4456">
        <v>20661</v>
      </c>
      <c r="AS8" s="4453">
        <v>20577</v>
      </c>
      <c r="AT8" s="4466">
        <f t="shared" si="21"/>
        <v>157722.00173319521</v>
      </c>
      <c r="AU8" s="4466">
        <f t="shared" si="22"/>
        <v>156621.84316217928</v>
      </c>
      <c r="AV8" s="4456">
        <v>22229</v>
      </c>
      <c r="AW8" s="4453">
        <v>22229</v>
      </c>
      <c r="AX8" s="4466">
        <f t="shared" si="23"/>
        <v>179951.00173319521</v>
      </c>
      <c r="AY8" s="4466">
        <f t="shared" si="24"/>
        <v>178850.84316217928</v>
      </c>
      <c r="AZ8" s="4456">
        <v>26800</v>
      </c>
      <c r="BA8" s="4453">
        <v>26387</v>
      </c>
      <c r="BB8" s="4854">
        <f t="shared" si="25"/>
        <v>69690</v>
      </c>
      <c r="BC8" s="4854">
        <f t="shared" si="26"/>
        <v>69193</v>
      </c>
      <c r="BD8" s="4854">
        <f t="shared" si="27"/>
        <v>121534</v>
      </c>
      <c r="BE8" s="4854">
        <f t="shared" si="0"/>
        <v>121330</v>
      </c>
      <c r="BF8" s="7231">
        <f t="shared" si="28"/>
        <v>206751.00173319521</v>
      </c>
      <c r="BG8" s="7231">
        <f t="shared" si="29"/>
        <v>205237.84316217928</v>
      </c>
    </row>
    <row r="9" spans="4:59" ht="18" x14ac:dyDescent="0.2">
      <c r="D9" s="4049" t="s">
        <v>2026</v>
      </c>
      <c r="E9" s="4010" t="s">
        <v>170</v>
      </c>
      <c r="F9" s="4086">
        <v>12857.794897761678</v>
      </c>
      <c r="G9" s="4439">
        <v>13793</v>
      </c>
      <c r="H9" s="4456">
        <v>13264.89199494284</v>
      </c>
      <c r="I9" s="4453">
        <v>13582</v>
      </c>
      <c r="J9" s="4466">
        <f t="shared" si="1"/>
        <v>26122.686892704518</v>
      </c>
      <c r="K9" s="4466">
        <f t="shared" si="2"/>
        <v>27375</v>
      </c>
      <c r="L9" s="4456">
        <v>12800</v>
      </c>
      <c r="M9" s="4453">
        <v>12853</v>
      </c>
      <c r="N9" s="4854">
        <f t="shared" si="3"/>
        <v>38922.686892704514</v>
      </c>
      <c r="O9" s="4854">
        <f t="shared" si="4"/>
        <v>40228</v>
      </c>
      <c r="P9" s="4456">
        <v>12993.382</v>
      </c>
      <c r="Q9" s="4453">
        <v>13222</v>
      </c>
      <c r="R9" s="4466">
        <f t="shared" si="5"/>
        <v>51916.068892704512</v>
      </c>
      <c r="S9" s="4466">
        <f t="shared" si="6"/>
        <v>53450</v>
      </c>
      <c r="T9" s="4456">
        <v>13900</v>
      </c>
      <c r="U9" s="4453">
        <v>13950</v>
      </c>
      <c r="V9" s="4466">
        <f t="shared" si="7"/>
        <v>65816.068892704512</v>
      </c>
      <c r="W9" s="4466">
        <f t="shared" si="8"/>
        <v>67400</v>
      </c>
      <c r="X9" s="4456">
        <v>12455</v>
      </c>
      <c r="Y9" s="4453">
        <v>10946.047225836586</v>
      </c>
      <c r="Z9" s="4854">
        <f t="shared" si="9"/>
        <v>39348.381999999998</v>
      </c>
      <c r="AA9" s="4854">
        <f t="shared" si="10"/>
        <v>38118.047225836584</v>
      </c>
      <c r="AB9" s="7231">
        <f t="shared" si="11"/>
        <v>78271.068892704512</v>
      </c>
      <c r="AC9" s="7231">
        <f t="shared" si="12"/>
        <v>78346.047225836592</v>
      </c>
      <c r="AD9" s="4456">
        <v>17944</v>
      </c>
      <c r="AE9" s="4453">
        <v>18892</v>
      </c>
      <c r="AF9" s="4466">
        <f t="shared" si="13"/>
        <v>96215.068892704512</v>
      </c>
      <c r="AG9" s="4466">
        <f t="shared" si="14"/>
        <v>97238.047225836592</v>
      </c>
      <c r="AH9" s="4456">
        <v>18386</v>
      </c>
      <c r="AI9" s="4453">
        <v>18078.373677153068</v>
      </c>
      <c r="AJ9" s="4466">
        <f t="shared" si="15"/>
        <v>114601.06889270451</v>
      </c>
      <c r="AK9" s="4466">
        <f t="shared" si="16"/>
        <v>115316.42090298966</v>
      </c>
      <c r="AL9" s="4456">
        <v>21050</v>
      </c>
      <c r="AM9" s="4453">
        <v>20500</v>
      </c>
      <c r="AN9" s="4854">
        <f t="shared" si="17"/>
        <v>57380</v>
      </c>
      <c r="AO9" s="4854">
        <f t="shared" si="18"/>
        <v>57470.373677153068</v>
      </c>
      <c r="AP9" s="4466">
        <f t="shared" si="19"/>
        <v>135651.0688927045</v>
      </c>
      <c r="AQ9" s="4466">
        <f t="shared" si="20"/>
        <v>135816.42090298966</v>
      </c>
      <c r="AR9" s="4456">
        <v>21900</v>
      </c>
      <c r="AS9" s="4453">
        <v>21858</v>
      </c>
      <c r="AT9" s="4466">
        <f t="shared" si="21"/>
        <v>157551.0688927045</v>
      </c>
      <c r="AU9" s="4466">
        <f t="shared" si="22"/>
        <v>157674.42090298966</v>
      </c>
      <c r="AV9" s="4456">
        <v>19602</v>
      </c>
      <c r="AW9" s="4453">
        <v>19602</v>
      </c>
      <c r="AX9" s="4466">
        <f t="shared" si="23"/>
        <v>177153.0688927045</v>
      </c>
      <c r="AY9" s="4466">
        <f t="shared" si="24"/>
        <v>177276.42090298966</v>
      </c>
      <c r="AZ9" s="4456">
        <v>22920</v>
      </c>
      <c r="BA9" s="4453">
        <v>22668</v>
      </c>
      <c r="BB9" s="4854">
        <f t="shared" si="25"/>
        <v>64422</v>
      </c>
      <c r="BC9" s="4854">
        <f t="shared" si="26"/>
        <v>64128</v>
      </c>
      <c r="BD9" s="4854">
        <f t="shared" si="27"/>
        <v>121802</v>
      </c>
      <c r="BE9" s="4854">
        <f t="shared" si="0"/>
        <v>121598.37367715307</v>
      </c>
      <c r="BF9" s="7231">
        <f t="shared" si="28"/>
        <v>200073.0688927045</v>
      </c>
      <c r="BG9" s="7231">
        <f t="shared" si="29"/>
        <v>199944.42090298966</v>
      </c>
    </row>
    <row r="10" spans="4:59" ht="18" x14ac:dyDescent="0.2">
      <c r="D10" s="4049" t="s">
        <v>2027</v>
      </c>
      <c r="E10" s="4010" t="s">
        <v>170</v>
      </c>
      <c r="F10" s="4086">
        <v>4660.9856078306675</v>
      </c>
      <c r="G10" s="4439">
        <v>5000</v>
      </c>
      <c r="H10" s="4456">
        <v>5273.9226014350861</v>
      </c>
      <c r="I10" s="4453">
        <v>5400</v>
      </c>
      <c r="J10" s="4466">
        <f t="shared" si="1"/>
        <v>9934.9082092657536</v>
      </c>
      <c r="K10" s="4466">
        <f t="shared" si="2"/>
        <v>10400</v>
      </c>
      <c r="L10" s="4456">
        <v>5510</v>
      </c>
      <c r="M10" s="4453">
        <v>5510</v>
      </c>
      <c r="N10" s="4854">
        <f t="shared" si="3"/>
        <v>15444.908209265754</v>
      </c>
      <c r="O10" s="4854">
        <f t="shared" si="4"/>
        <v>15910</v>
      </c>
      <c r="P10" s="4456">
        <v>6552.61</v>
      </c>
      <c r="Q10" s="4453">
        <v>6500</v>
      </c>
      <c r="R10" s="4466">
        <f t="shared" si="5"/>
        <v>21997.518209265752</v>
      </c>
      <c r="S10" s="4466">
        <f t="shared" si="6"/>
        <v>22410</v>
      </c>
      <c r="T10" s="4456">
        <v>7700</v>
      </c>
      <c r="U10" s="4453">
        <v>7750</v>
      </c>
      <c r="V10" s="4466">
        <f t="shared" si="7"/>
        <v>29697.518209265752</v>
      </c>
      <c r="W10" s="4466">
        <f t="shared" si="8"/>
        <v>30160</v>
      </c>
      <c r="X10" s="4456">
        <v>7457</v>
      </c>
      <c r="Y10" s="4453">
        <v>6553.5667734294202</v>
      </c>
      <c r="Z10" s="4854">
        <f t="shared" si="9"/>
        <v>21709.61</v>
      </c>
      <c r="AA10" s="4854">
        <f t="shared" si="10"/>
        <v>20803.566773429418</v>
      </c>
      <c r="AB10" s="7231">
        <f t="shared" si="11"/>
        <v>37154.518209265749</v>
      </c>
      <c r="AC10" s="7231">
        <f t="shared" si="12"/>
        <v>36713.566773429418</v>
      </c>
      <c r="AD10" s="4456">
        <v>8278</v>
      </c>
      <c r="AE10" s="4453">
        <v>8716</v>
      </c>
      <c r="AF10" s="4466">
        <f t="shared" si="13"/>
        <v>45432.518209265749</v>
      </c>
      <c r="AG10" s="4466">
        <f t="shared" si="14"/>
        <v>45429.566773429418</v>
      </c>
      <c r="AH10" s="4456">
        <v>9646</v>
      </c>
      <c r="AI10" s="4453">
        <v>9484.607445328973</v>
      </c>
      <c r="AJ10" s="4466">
        <f t="shared" si="15"/>
        <v>55078.518209265749</v>
      </c>
      <c r="AK10" s="4466">
        <f t="shared" si="16"/>
        <v>54914.174218758388</v>
      </c>
      <c r="AL10" s="4456">
        <v>8366</v>
      </c>
      <c r="AM10" s="4453">
        <v>8366</v>
      </c>
      <c r="AN10" s="4854">
        <f t="shared" si="17"/>
        <v>26290</v>
      </c>
      <c r="AO10" s="4854">
        <f t="shared" si="18"/>
        <v>26566.607445328973</v>
      </c>
      <c r="AP10" s="4466">
        <f t="shared" si="19"/>
        <v>63444.518209265749</v>
      </c>
      <c r="AQ10" s="4466">
        <f t="shared" si="20"/>
        <v>63280.174218758388</v>
      </c>
      <c r="AR10" s="4456">
        <v>7805</v>
      </c>
      <c r="AS10" s="4453">
        <v>7800</v>
      </c>
      <c r="AT10" s="4466">
        <f t="shared" si="21"/>
        <v>71249.518209265749</v>
      </c>
      <c r="AU10" s="4466">
        <f t="shared" si="22"/>
        <v>71080.174218758388</v>
      </c>
      <c r="AV10" s="4456">
        <v>3229</v>
      </c>
      <c r="AW10" s="4453">
        <v>3229</v>
      </c>
      <c r="AX10" s="4466">
        <f t="shared" si="23"/>
        <v>74478.518209265749</v>
      </c>
      <c r="AY10" s="4466">
        <f t="shared" si="24"/>
        <v>74309.174218758388</v>
      </c>
      <c r="AZ10" s="4456">
        <v>5203</v>
      </c>
      <c r="BA10" s="4453">
        <v>5203</v>
      </c>
      <c r="BB10" s="4854">
        <f t="shared" si="25"/>
        <v>16237</v>
      </c>
      <c r="BC10" s="4854">
        <f t="shared" si="26"/>
        <v>16232</v>
      </c>
      <c r="BD10" s="4854">
        <f t="shared" si="27"/>
        <v>42527</v>
      </c>
      <c r="BE10" s="4854">
        <f t="shared" si="0"/>
        <v>42798.607445328977</v>
      </c>
      <c r="BF10" s="7231">
        <f t="shared" si="28"/>
        <v>79681.518209265749</v>
      </c>
      <c r="BG10" s="7231">
        <f t="shared" si="29"/>
        <v>79512.174218758388</v>
      </c>
    </row>
    <row r="11" spans="4:59" ht="18" x14ac:dyDescent="0.2">
      <c r="D11" s="4049" t="s">
        <v>152</v>
      </c>
      <c r="E11" s="4010" t="s">
        <v>170</v>
      </c>
      <c r="F11" s="4086">
        <v>1342</v>
      </c>
      <c r="G11" s="4439">
        <v>1439.6096801343681</v>
      </c>
      <c r="H11" s="4456">
        <v>3027.6222341571788</v>
      </c>
      <c r="I11" s="4453">
        <v>3100</v>
      </c>
      <c r="J11" s="4466">
        <f t="shared" si="1"/>
        <v>4369.6222341571793</v>
      </c>
      <c r="K11" s="4466">
        <f>+G11+I11</f>
        <v>4539.6096801343683</v>
      </c>
      <c r="L11" s="4456">
        <v>2420</v>
      </c>
      <c r="M11" s="4453">
        <v>2450</v>
      </c>
      <c r="N11" s="4854">
        <f t="shared" si="3"/>
        <v>6789.6222341571793</v>
      </c>
      <c r="O11" s="4854">
        <f>+K11+M11</f>
        <v>6989.6096801343683</v>
      </c>
      <c r="P11" s="4456">
        <v>900</v>
      </c>
      <c r="Q11" s="4453">
        <v>1200</v>
      </c>
      <c r="R11" s="4466">
        <f t="shared" si="5"/>
        <v>7689.6222341571793</v>
      </c>
      <c r="S11" s="4466">
        <f>+O11+Q11</f>
        <v>8189.6096801343683</v>
      </c>
      <c r="T11" s="4456">
        <v>1700</v>
      </c>
      <c r="U11" s="4453">
        <v>1700</v>
      </c>
      <c r="V11" s="4466">
        <f t="shared" si="7"/>
        <v>9389.6222341571793</v>
      </c>
      <c r="W11" s="4466">
        <f>+S11+U11</f>
        <v>9889.6096801343683</v>
      </c>
      <c r="X11" s="4456">
        <v>1666</v>
      </c>
      <c r="Y11" s="4453">
        <v>1464.1601508023889</v>
      </c>
      <c r="Z11" s="4854">
        <f t="shared" si="9"/>
        <v>4266</v>
      </c>
      <c r="AA11" s="4854">
        <f t="shared" si="10"/>
        <v>4364.1601508023887</v>
      </c>
      <c r="AB11" s="7231">
        <f t="shared" si="11"/>
        <v>11055.622234157179</v>
      </c>
      <c r="AC11" s="7231">
        <f>+W11+Y11</f>
        <v>11353.769830936757</v>
      </c>
      <c r="AD11" s="4456">
        <v>1879</v>
      </c>
      <c r="AE11" s="4453">
        <v>1973</v>
      </c>
      <c r="AF11" s="4466">
        <f t="shared" si="13"/>
        <v>12934.622234157179</v>
      </c>
      <c r="AG11" s="4466">
        <f>+AC11+AE11</f>
        <v>13326.769830936757</v>
      </c>
      <c r="AH11" s="4456">
        <v>2101</v>
      </c>
      <c r="AI11" s="4453">
        <v>2065.8470083595453</v>
      </c>
      <c r="AJ11" s="4466">
        <f t="shared" si="15"/>
        <v>15035.622234157179</v>
      </c>
      <c r="AK11" s="4466">
        <f>+AG11+AI11</f>
        <v>15392.616839296303</v>
      </c>
      <c r="AL11" s="4456">
        <v>1591</v>
      </c>
      <c r="AM11" s="4453">
        <v>1591</v>
      </c>
      <c r="AN11" s="4854">
        <f t="shared" si="17"/>
        <v>5571</v>
      </c>
      <c r="AO11" s="4854">
        <f t="shared" si="18"/>
        <v>5629.8470083595457</v>
      </c>
      <c r="AP11" s="4466">
        <f t="shared" si="19"/>
        <v>16626.622234157177</v>
      </c>
      <c r="AQ11" s="4466">
        <f>+AK11+AM11</f>
        <v>16983.616839296301</v>
      </c>
      <c r="AR11" s="4456">
        <v>1394</v>
      </c>
      <c r="AS11" s="4453">
        <v>1500</v>
      </c>
      <c r="AT11" s="4466">
        <f t="shared" si="21"/>
        <v>18020.622234157177</v>
      </c>
      <c r="AU11" s="4466">
        <f>+AQ11+AS11</f>
        <v>18483.616839296301</v>
      </c>
      <c r="AV11" s="4456">
        <v>1333</v>
      </c>
      <c r="AW11" s="4453">
        <v>1333</v>
      </c>
      <c r="AX11" s="4466">
        <f t="shared" si="23"/>
        <v>19353.622234157177</v>
      </c>
      <c r="AY11" s="4466">
        <f>+AU11+AW11</f>
        <v>19816.616839296301</v>
      </c>
      <c r="AZ11" s="4456">
        <v>1406</v>
      </c>
      <c r="BA11" s="4453">
        <v>1406</v>
      </c>
      <c r="BB11" s="4854">
        <f t="shared" si="25"/>
        <v>4133</v>
      </c>
      <c r="BC11" s="4854">
        <f t="shared" si="26"/>
        <v>4239</v>
      </c>
      <c r="BD11" s="4854">
        <f t="shared" si="27"/>
        <v>9704</v>
      </c>
      <c r="BE11" s="4854">
        <f t="shared" si="0"/>
        <v>9868.8470083595457</v>
      </c>
      <c r="BF11" s="7231">
        <f t="shared" si="28"/>
        <v>20759.622234157177</v>
      </c>
      <c r="BG11" s="7231">
        <f>+AY11+BA11</f>
        <v>21222.616839296301</v>
      </c>
    </row>
    <row r="12" spans="4:59" ht="18" x14ac:dyDescent="0.2">
      <c r="D12" s="4049" t="s">
        <v>1340</v>
      </c>
      <c r="E12" s="4010" t="s">
        <v>170</v>
      </c>
      <c r="F12" s="4086">
        <v>0</v>
      </c>
      <c r="G12" s="4439">
        <v>0</v>
      </c>
      <c r="H12" s="4456">
        <v>0</v>
      </c>
      <c r="I12" s="4453">
        <v>0</v>
      </c>
      <c r="J12" s="4466">
        <f t="shared" si="1"/>
        <v>0</v>
      </c>
      <c r="K12" s="4466">
        <f t="shared" si="2"/>
        <v>0</v>
      </c>
      <c r="L12" s="4456">
        <v>0</v>
      </c>
      <c r="M12" s="4453">
        <v>0</v>
      </c>
      <c r="N12" s="4854">
        <f t="shared" si="3"/>
        <v>0</v>
      </c>
      <c r="O12" s="4854">
        <f t="shared" ref="O12:O15" si="30">+K12+M12</f>
        <v>0</v>
      </c>
      <c r="P12" s="4456">
        <v>0</v>
      </c>
      <c r="Q12" s="4453">
        <v>0</v>
      </c>
      <c r="R12" s="4466">
        <f t="shared" si="5"/>
        <v>0</v>
      </c>
      <c r="S12" s="4466">
        <f t="shared" ref="S12:S15" si="31">+O12+Q12</f>
        <v>0</v>
      </c>
      <c r="T12" s="4456">
        <v>0</v>
      </c>
      <c r="U12" s="4453">
        <v>0</v>
      </c>
      <c r="V12" s="4466">
        <f t="shared" si="7"/>
        <v>0</v>
      </c>
      <c r="W12" s="4466">
        <f t="shared" ref="W12:W15" si="32">+S12+U12</f>
        <v>0</v>
      </c>
      <c r="X12" s="4456">
        <v>0</v>
      </c>
      <c r="Y12" s="4453">
        <v>0</v>
      </c>
      <c r="Z12" s="4854">
        <f t="shared" si="9"/>
        <v>0</v>
      </c>
      <c r="AA12" s="4854">
        <f t="shared" si="10"/>
        <v>0</v>
      </c>
      <c r="AB12" s="7231">
        <f t="shared" si="11"/>
        <v>0</v>
      </c>
      <c r="AC12" s="7231">
        <f t="shared" ref="AC12:AC15" si="33">+W12+Y12</f>
        <v>0</v>
      </c>
      <c r="AD12" s="4456">
        <v>0</v>
      </c>
      <c r="AE12" s="4453">
        <v>0</v>
      </c>
      <c r="AF12" s="4466">
        <f t="shared" si="13"/>
        <v>0</v>
      </c>
      <c r="AG12" s="4466">
        <f t="shared" ref="AG12:AG15" si="34">+AC12+AE12</f>
        <v>0</v>
      </c>
      <c r="AH12" s="4456">
        <v>0</v>
      </c>
      <c r="AI12" s="4453">
        <v>0</v>
      </c>
      <c r="AJ12" s="4466">
        <f t="shared" si="15"/>
        <v>0</v>
      </c>
      <c r="AK12" s="4466">
        <f t="shared" ref="AK12:AK15" si="35">+AG12+AI12</f>
        <v>0</v>
      </c>
      <c r="AL12" s="4456">
        <v>0</v>
      </c>
      <c r="AM12" s="4453">
        <v>0</v>
      </c>
      <c r="AN12" s="4854">
        <f t="shared" si="17"/>
        <v>0</v>
      </c>
      <c r="AO12" s="4854">
        <f t="shared" si="18"/>
        <v>0</v>
      </c>
      <c r="AP12" s="4466">
        <f t="shared" si="19"/>
        <v>0</v>
      </c>
      <c r="AQ12" s="4466">
        <f t="shared" ref="AQ12:AQ15" si="36">+AK12+AM12</f>
        <v>0</v>
      </c>
      <c r="AR12" s="4456">
        <v>0</v>
      </c>
      <c r="AS12" s="4453">
        <v>0</v>
      </c>
      <c r="AT12" s="4466">
        <f t="shared" si="21"/>
        <v>0</v>
      </c>
      <c r="AU12" s="4466">
        <f t="shared" ref="AU12:AU15" si="37">+AQ12+AS12</f>
        <v>0</v>
      </c>
      <c r="AV12" s="4456">
        <v>0</v>
      </c>
      <c r="AW12" s="4453">
        <v>0</v>
      </c>
      <c r="AX12" s="4466">
        <f t="shared" si="23"/>
        <v>0</v>
      </c>
      <c r="AY12" s="4466">
        <f t="shared" ref="AY12:AY15" si="38">+AU12+AW12</f>
        <v>0</v>
      </c>
      <c r="AZ12" s="4456">
        <v>0</v>
      </c>
      <c r="BA12" s="4453">
        <v>0</v>
      </c>
      <c r="BB12" s="4854">
        <f t="shared" si="25"/>
        <v>0</v>
      </c>
      <c r="BC12" s="4854">
        <f t="shared" si="26"/>
        <v>0</v>
      </c>
      <c r="BD12" s="4854">
        <f t="shared" si="27"/>
        <v>0</v>
      </c>
      <c r="BE12" s="4854">
        <f t="shared" si="0"/>
        <v>0</v>
      </c>
      <c r="BF12" s="7231">
        <f t="shared" si="28"/>
        <v>0</v>
      </c>
      <c r="BG12" s="7231">
        <f t="shared" ref="BG12:BG15" si="39">+AY12+BA12</f>
        <v>0</v>
      </c>
    </row>
    <row r="13" spans="4:59" ht="18" x14ac:dyDescent="0.2">
      <c r="D13" s="4049" t="s">
        <v>2028</v>
      </c>
      <c r="E13" s="4010" t="s">
        <v>170</v>
      </c>
      <c r="F13" s="4086">
        <v>4460.5632266939483</v>
      </c>
      <c r="G13" s="4439">
        <v>4785</v>
      </c>
      <c r="H13" s="4456">
        <v>4296.2936155023972</v>
      </c>
      <c r="I13" s="4453">
        <v>4399</v>
      </c>
      <c r="J13" s="4466">
        <f t="shared" si="1"/>
        <v>8756.8568421963464</v>
      </c>
      <c r="K13" s="4466">
        <f t="shared" si="2"/>
        <v>9184</v>
      </c>
      <c r="L13" s="4456">
        <v>4188</v>
      </c>
      <c r="M13" s="4453">
        <v>4188</v>
      </c>
      <c r="N13" s="4854">
        <f t="shared" si="3"/>
        <v>12944.856842196346</v>
      </c>
      <c r="O13" s="4854">
        <f t="shared" si="30"/>
        <v>13372</v>
      </c>
      <c r="P13" s="4456">
        <v>2702.0250000000001</v>
      </c>
      <c r="Q13" s="4453">
        <v>3186</v>
      </c>
      <c r="R13" s="4466">
        <f t="shared" si="5"/>
        <v>15646.881842196346</v>
      </c>
      <c r="S13" s="4466">
        <f t="shared" si="31"/>
        <v>16558</v>
      </c>
      <c r="T13" s="4456">
        <v>2900</v>
      </c>
      <c r="U13" s="4453">
        <v>2922</v>
      </c>
      <c r="V13" s="4466">
        <f t="shared" si="7"/>
        <v>18546.881842196344</v>
      </c>
      <c r="W13" s="4466">
        <f t="shared" si="32"/>
        <v>19480</v>
      </c>
      <c r="X13" s="4456">
        <v>1440</v>
      </c>
      <c r="Y13" s="4453">
        <v>1265.5405865278751</v>
      </c>
      <c r="Z13" s="4854">
        <f t="shared" si="9"/>
        <v>7042.0249999999996</v>
      </c>
      <c r="AA13" s="4854">
        <f t="shared" si="10"/>
        <v>7373.5405865278753</v>
      </c>
      <c r="AB13" s="7231">
        <f t="shared" si="11"/>
        <v>19986.881842196344</v>
      </c>
      <c r="AC13" s="7231">
        <f t="shared" si="33"/>
        <v>20745.540586527874</v>
      </c>
      <c r="AD13" s="4456">
        <v>1706</v>
      </c>
      <c r="AE13" s="4453">
        <v>1796</v>
      </c>
      <c r="AF13" s="4466">
        <f t="shared" si="13"/>
        <v>21692.881842196344</v>
      </c>
      <c r="AG13" s="4466">
        <f t="shared" si="34"/>
        <v>22541.540586527874</v>
      </c>
      <c r="AH13" s="4456">
        <v>2020</v>
      </c>
      <c r="AI13" s="4453">
        <v>1986</v>
      </c>
      <c r="AJ13" s="4466">
        <f t="shared" si="15"/>
        <v>23712.881842196344</v>
      </c>
      <c r="AK13" s="4466">
        <f t="shared" si="35"/>
        <v>24527.540586527874</v>
      </c>
      <c r="AL13" s="4456">
        <v>1723</v>
      </c>
      <c r="AM13" s="4453">
        <v>1723</v>
      </c>
      <c r="AN13" s="4854">
        <f t="shared" si="17"/>
        <v>5449</v>
      </c>
      <c r="AO13" s="4854">
        <f t="shared" si="18"/>
        <v>5505</v>
      </c>
      <c r="AP13" s="4466">
        <f t="shared" si="19"/>
        <v>25435.881842196344</v>
      </c>
      <c r="AQ13" s="4466">
        <f t="shared" si="36"/>
        <v>26250.540586527874</v>
      </c>
      <c r="AR13" s="4456">
        <v>2323</v>
      </c>
      <c r="AS13" s="4453">
        <v>2300</v>
      </c>
      <c r="AT13" s="4466">
        <f t="shared" si="21"/>
        <v>27758.881842196344</v>
      </c>
      <c r="AU13" s="4466">
        <f t="shared" si="37"/>
        <v>28550.540586527874</v>
      </c>
      <c r="AV13" s="4456">
        <v>4616</v>
      </c>
      <c r="AW13" s="4453">
        <v>4616</v>
      </c>
      <c r="AX13" s="4466">
        <f t="shared" si="23"/>
        <v>32374.881842196344</v>
      </c>
      <c r="AY13" s="4466">
        <f t="shared" si="38"/>
        <v>33166.540586527874</v>
      </c>
      <c r="AZ13" s="4456">
        <v>2950</v>
      </c>
      <c r="BA13" s="4453">
        <v>2934</v>
      </c>
      <c r="BB13" s="4854">
        <f t="shared" si="25"/>
        <v>9889</v>
      </c>
      <c r="BC13" s="4854">
        <f t="shared" si="26"/>
        <v>9850</v>
      </c>
      <c r="BD13" s="4854">
        <f t="shared" si="27"/>
        <v>15338</v>
      </c>
      <c r="BE13" s="4854">
        <f t="shared" si="0"/>
        <v>15355</v>
      </c>
      <c r="BF13" s="7231">
        <f t="shared" si="28"/>
        <v>35324.881842196344</v>
      </c>
      <c r="BG13" s="7231">
        <f t="shared" si="39"/>
        <v>36100.540586527874</v>
      </c>
    </row>
    <row r="14" spans="4:59" s="5473" customFormat="1" ht="18" x14ac:dyDescent="0.2">
      <c r="D14" s="4050" t="s">
        <v>358</v>
      </c>
      <c r="E14" s="4010" t="s">
        <v>170</v>
      </c>
      <c r="F14" s="4086">
        <v>32160.800694031605</v>
      </c>
      <c r="G14" s="4439">
        <v>34500</v>
      </c>
      <c r="H14" s="4456">
        <v>37357</v>
      </c>
      <c r="I14" s="4453">
        <v>37357</v>
      </c>
      <c r="J14" s="4466">
        <f t="shared" ref="J14" si="40">+F14+H14</f>
        <v>69517.800694031612</v>
      </c>
      <c r="K14" s="4466">
        <f t="shared" ref="K14" si="41">+G14+I14</f>
        <v>71857</v>
      </c>
      <c r="L14" s="4456">
        <v>40414</v>
      </c>
      <c r="M14" s="4453">
        <v>40414</v>
      </c>
      <c r="N14" s="4854">
        <f t="shared" si="3"/>
        <v>109931.80069403161</v>
      </c>
      <c r="O14" s="4854">
        <f t="shared" si="30"/>
        <v>112271</v>
      </c>
      <c r="P14" s="4456">
        <v>47000</v>
      </c>
      <c r="Q14" s="4453">
        <v>47742</v>
      </c>
      <c r="R14" s="4466">
        <f t="shared" si="5"/>
        <v>156931.80069403161</v>
      </c>
      <c r="S14" s="4466">
        <f t="shared" si="31"/>
        <v>160013</v>
      </c>
      <c r="T14" s="4456">
        <v>39746</v>
      </c>
      <c r="U14" s="4453">
        <v>39746</v>
      </c>
      <c r="V14" s="4466">
        <f t="shared" si="7"/>
        <v>196677.80069403161</v>
      </c>
      <c r="W14" s="4466">
        <f t="shared" si="32"/>
        <v>199759</v>
      </c>
      <c r="X14" s="4456">
        <v>31600</v>
      </c>
      <c r="Y14" s="4453">
        <v>27771.585093250593</v>
      </c>
      <c r="Z14" s="4854">
        <f t="shared" si="9"/>
        <v>118346</v>
      </c>
      <c r="AA14" s="4854">
        <f t="shared" si="10"/>
        <v>115259.58509325059</v>
      </c>
      <c r="AB14" s="7231">
        <f t="shared" si="11"/>
        <v>228277.80069403161</v>
      </c>
      <c r="AC14" s="7231">
        <f t="shared" si="33"/>
        <v>227530.58509325059</v>
      </c>
      <c r="AD14" s="4456">
        <v>31466</v>
      </c>
      <c r="AE14" s="4453">
        <v>33129</v>
      </c>
      <c r="AF14" s="4466">
        <f t="shared" si="13"/>
        <v>259743.80069403161</v>
      </c>
      <c r="AG14" s="4466">
        <f t="shared" si="34"/>
        <v>260659.58509325059</v>
      </c>
      <c r="AH14" s="4456">
        <v>53266</v>
      </c>
      <c r="AI14" s="4453">
        <v>52374.777128643284</v>
      </c>
      <c r="AJ14" s="4466">
        <f t="shared" si="15"/>
        <v>313009.80069403164</v>
      </c>
      <c r="AK14" s="4466">
        <f t="shared" si="35"/>
        <v>313034.36222189385</v>
      </c>
      <c r="AL14" s="4456">
        <v>58316</v>
      </c>
      <c r="AM14" s="4453">
        <v>58000</v>
      </c>
      <c r="AN14" s="4854">
        <f t="shared" si="17"/>
        <v>143048</v>
      </c>
      <c r="AO14" s="4854">
        <f t="shared" si="18"/>
        <v>143503.7771286433</v>
      </c>
      <c r="AP14" s="4466">
        <f t="shared" si="19"/>
        <v>371325.80069403164</v>
      </c>
      <c r="AQ14" s="4466">
        <f t="shared" si="36"/>
        <v>371034.36222189385</v>
      </c>
      <c r="AR14" s="4456">
        <v>65719</v>
      </c>
      <c r="AS14" s="4453">
        <v>65619</v>
      </c>
      <c r="AT14" s="4466">
        <f t="shared" si="21"/>
        <v>437044.80069403164</v>
      </c>
      <c r="AU14" s="4466">
        <f t="shared" si="37"/>
        <v>436653.36222189385</v>
      </c>
      <c r="AV14" s="4456">
        <v>53121</v>
      </c>
      <c r="AW14" s="4453">
        <v>53121</v>
      </c>
      <c r="AX14" s="4466">
        <f t="shared" si="23"/>
        <v>490165.80069403164</v>
      </c>
      <c r="AY14" s="4466">
        <f t="shared" si="38"/>
        <v>489774.36222189385</v>
      </c>
      <c r="AZ14" s="4456">
        <v>66200</v>
      </c>
      <c r="BA14" s="4453">
        <v>65183</v>
      </c>
      <c r="BB14" s="4854">
        <f t="shared" si="25"/>
        <v>185040</v>
      </c>
      <c r="BC14" s="4854">
        <f t="shared" si="26"/>
        <v>183923</v>
      </c>
      <c r="BD14" s="4854">
        <f t="shared" si="27"/>
        <v>328088</v>
      </c>
      <c r="BE14" s="4854">
        <f t="shared" si="0"/>
        <v>327426.7771286433</v>
      </c>
      <c r="BF14" s="7231">
        <f t="shared" si="28"/>
        <v>556365.80069403164</v>
      </c>
      <c r="BG14" s="7231">
        <f t="shared" si="39"/>
        <v>554957.36222189385</v>
      </c>
    </row>
    <row r="15" spans="4:59" ht="19" thickBot="1" x14ac:dyDescent="0.25">
      <c r="D15" s="4050" t="s">
        <v>2047</v>
      </c>
      <c r="E15" s="4010" t="s">
        <v>170</v>
      </c>
      <c r="F15" s="4086"/>
      <c r="G15" s="4439"/>
      <c r="H15" s="4456">
        <v>92</v>
      </c>
      <c r="I15" s="4453">
        <v>92</v>
      </c>
      <c r="J15" s="4466">
        <f t="shared" si="1"/>
        <v>92</v>
      </c>
      <c r="K15" s="4466">
        <f t="shared" si="2"/>
        <v>92</v>
      </c>
      <c r="L15" s="4456">
        <v>0</v>
      </c>
      <c r="M15" s="4453">
        <v>0</v>
      </c>
      <c r="N15" s="4854">
        <f t="shared" si="3"/>
        <v>92</v>
      </c>
      <c r="O15" s="4854">
        <f t="shared" si="30"/>
        <v>92</v>
      </c>
      <c r="P15" s="4456">
        <v>1092</v>
      </c>
      <c r="Q15" s="4453">
        <v>1000</v>
      </c>
      <c r="R15" s="4466">
        <f t="shared" si="5"/>
        <v>1184</v>
      </c>
      <c r="S15" s="4466">
        <f t="shared" si="31"/>
        <v>1092</v>
      </c>
      <c r="T15" s="4456">
        <v>145</v>
      </c>
      <c r="U15" s="4453">
        <v>145</v>
      </c>
      <c r="V15" s="4466">
        <f t="shared" si="7"/>
        <v>1329</v>
      </c>
      <c r="W15" s="4466">
        <f t="shared" si="32"/>
        <v>1237</v>
      </c>
      <c r="X15" s="4456">
        <v>0</v>
      </c>
      <c r="Y15" s="4453">
        <v>0</v>
      </c>
      <c r="Z15" s="4854">
        <f t="shared" si="9"/>
        <v>1237</v>
      </c>
      <c r="AA15" s="4854">
        <f t="shared" si="10"/>
        <v>1145</v>
      </c>
      <c r="AB15" s="7231">
        <f t="shared" si="11"/>
        <v>1329</v>
      </c>
      <c r="AC15" s="7231">
        <f t="shared" si="33"/>
        <v>1237</v>
      </c>
      <c r="AD15" s="4456">
        <v>0</v>
      </c>
      <c r="AE15" s="4453">
        <v>0</v>
      </c>
      <c r="AF15" s="4466">
        <f t="shared" si="13"/>
        <v>1329</v>
      </c>
      <c r="AG15" s="4466">
        <f t="shared" si="34"/>
        <v>1237</v>
      </c>
      <c r="AH15" s="4456">
        <v>0</v>
      </c>
      <c r="AI15" s="4453">
        <v>0</v>
      </c>
      <c r="AJ15" s="4466">
        <f t="shared" si="15"/>
        <v>1329</v>
      </c>
      <c r="AK15" s="4466">
        <f t="shared" si="35"/>
        <v>1237</v>
      </c>
      <c r="AL15" s="4456">
        <v>0</v>
      </c>
      <c r="AM15" s="4453">
        <v>0</v>
      </c>
      <c r="AN15" s="4854">
        <f t="shared" si="17"/>
        <v>0</v>
      </c>
      <c r="AO15" s="4854">
        <f t="shared" si="18"/>
        <v>0</v>
      </c>
      <c r="AP15" s="4466">
        <f t="shared" si="19"/>
        <v>1329</v>
      </c>
      <c r="AQ15" s="4466">
        <f t="shared" si="36"/>
        <v>1237</v>
      </c>
      <c r="AR15" s="4456">
        <v>0</v>
      </c>
      <c r="AS15" s="4453">
        <v>0</v>
      </c>
      <c r="AT15" s="4466">
        <f t="shared" si="21"/>
        <v>1329</v>
      </c>
      <c r="AU15" s="4466">
        <f t="shared" si="37"/>
        <v>1237</v>
      </c>
      <c r="AV15" s="4456"/>
      <c r="AW15" s="4453"/>
      <c r="AX15" s="4466">
        <f t="shared" si="23"/>
        <v>1329</v>
      </c>
      <c r="AY15" s="4466">
        <f t="shared" si="38"/>
        <v>1237</v>
      </c>
      <c r="AZ15" s="4456">
        <v>0</v>
      </c>
      <c r="BA15" s="4453">
        <v>0</v>
      </c>
      <c r="BB15" s="4854">
        <f t="shared" si="25"/>
        <v>0</v>
      </c>
      <c r="BC15" s="4854">
        <f t="shared" si="26"/>
        <v>0</v>
      </c>
      <c r="BD15" s="4854">
        <f t="shared" si="27"/>
        <v>0</v>
      </c>
      <c r="BE15" s="4854">
        <f t="shared" si="0"/>
        <v>0</v>
      </c>
      <c r="BF15" s="7231">
        <f t="shared" si="28"/>
        <v>1329</v>
      </c>
      <c r="BG15" s="7231">
        <f t="shared" si="39"/>
        <v>1237</v>
      </c>
    </row>
    <row r="16" spans="4:59" s="3380" customFormat="1" ht="19" thickBot="1" x14ac:dyDescent="0.25">
      <c r="D16" s="5225" t="s">
        <v>2029</v>
      </c>
      <c r="E16" s="5054" t="s">
        <v>170</v>
      </c>
      <c r="F16" s="7384">
        <f>SUM(F6:F15)</f>
        <v>269706.79539892991</v>
      </c>
      <c r="G16" s="6116">
        <f>SUM(G6:G15)</f>
        <v>289324</v>
      </c>
      <c r="H16" s="7384">
        <f t="shared" ref="H16:K16" si="42">SUM(H6:H15)</f>
        <v>293648.34675904771</v>
      </c>
      <c r="I16" s="6116">
        <f t="shared" si="42"/>
        <v>299773</v>
      </c>
      <c r="J16" s="7384">
        <f t="shared" si="42"/>
        <v>563355.14215797756</v>
      </c>
      <c r="K16" s="6116">
        <f t="shared" si="42"/>
        <v>589097</v>
      </c>
      <c r="L16" s="7384">
        <f t="shared" ref="L16:S16" si="43">SUM(L6:L15)</f>
        <v>316567</v>
      </c>
      <c r="M16" s="6116">
        <f t="shared" si="43"/>
        <v>318015</v>
      </c>
      <c r="N16" s="7384">
        <f t="shared" si="43"/>
        <v>879922.14215797745</v>
      </c>
      <c r="O16" s="6116">
        <f t="shared" si="43"/>
        <v>907112</v>
      </c>
      <c r="P16" s="7384">
        <f>SUM(P6:P15)-28</f>
        <v>358922.01699999999</v>
      </c>
      <c r="Q16" s="6116">
        <f t="shared" si="43"/>
        <v>370775</v>
      </c>
      <c r="R16" s="7384">
        <f t="shared" si="43"/>
        <v>1238872.1591579777</v>
      </c>
      <c r="S16" s="6116">
        <f t="shared" si="43"/>
        <v>1277887</v>
      </c>
      <c r="T16" s="7384">
        <f>SUM(T6:T15)</f>
        <v>357000</v>
      </c>
      <c r="U16" s="6116">
        <f t="shared" ref="U16:W16" si="44">SUM(U6:U15)</f>
        <v>357551</v>
      </c>
      <c r="V16" s="7384">
        <f t="shared" si="44"/>
        <v>1595872.1591579779</v>
      </c>
      <c r="W16" s="6116">
        <f t="shared" si="44"/>
        <v>1635438</v>
      </c>
      <c r="X16" s="7384">
        <f>SUM(X6:X15)</f>
        <v>299730</v>
      </c>
      <c r="Y16" s="6116">
        <f t="shared" ref="Y16:AC16" si="45">SUM(Y6:Y15)</f>
        <v>263417</v>
      </c>
      <c r="Z16" s="7384">
        <f t="shared" ref="Z16:AA16" si="46">SUM(Z6:Z15)</f>
        <v>1015680.017</v>
      </c>
      <c r="AA16" s="6116">
        <f t="shared" si="46"/>
        <v>991743</v>
      </c>
      <c r="AB16" s="7384">
        <f t="shared" si="45"/>
        <v>1895602.1591579779</v>
      </c>
      <c r="AC16" s="5027">
        <f t="shared" si="45"/>
        <v>1898855.0000000002</v>
      </c>
      <c r="AD16" s="7384">
        <f>SUM(AD6:AD15)</f>
        <v>343044</v>
      </c>
      <c r="AE16" s="6116">
        <f t="shared" ref="AE16:AG16" si="47">SUM(AE6:AE15)</f>
        <v>361170</v>
      </c>
      <c r="AF16" s="7384">
        <f t="shared" si="47"/>
        <v>2238646.1591579779</v>
      </c>
      <c r="AG16" s="6116">
        <f t="shared" si="47"/>
        <v>2260025.0000000005</v>
      </c>
      <c r="AH16" s="7384">
        <f>SUM(AH6:AH15)</f>
        <v>401218</v>
      </c>
      <c r="AI16" s="6116">
        <f t="shared" ref="AI16:AK16" si="48">SUM(AI6:AI15)</f>
        <v>394504.34296317719</v>
      </c>
      <c r="AJ16" s="7384">
        <f t="shared" si="48"/>
        <v>2639864.1591579774</v>
      </c>
      <c r="AK16" s="6116">
        <f t="shared" si="48"/>
        <v>2654529.3429631772</v>
      </c>
      <c r="AL16" s="7384">
        <f>SUM(AL6:AL15)</f>
        <v>445434</v>
      </c>
      <c r="AM16" s="6116">
        <f t="shared" ref="AM16:AQ16" si="49">SUM(AM6:AM15)</f>
        <v>444180</v>
      </c>
      <c r="AN16" s="7384">
        <f t="shared" si="49"/>
        <v>1189696</v>
      </c>
      <c r="AO16" s="6116">
        <f t="shared" si="49"/>
        <v>1199854.3429631772</v>
      </c>
      <c r="AP16" s="7384">
        <f t="shared" si="49"/>
        <v>3085298.1591579774</v>
      </c>
      <c r="AQ16" s="6116">
        <f t="shared" si="49"/>
        <v>3098709.3429631772</v>
      </c>
      <c r="AR16" s="7384">
        <f>SUM(AR6:AR15)</f>
        <v>471402</v>
      </c>
      <c r="AS16" s="6116">
        <f t="shared" ref="AS16:AU16" si="50">SUM(AS6:AS15)</f>
        <v>470787</v>
      </c>
      <c r="AT16" s="7384">
        <f t="shared" si="50"/>
        <v>3556700.1591579774</v>
      </c>
      <c r="AU16" s="6116">
        <f t="shared" si="50"/>
        <v>3569496.3429631772</v>
      </c>
      <c r="AV16" s="7384">
        <f>SUM(AV6:AV15)</f>
        <v>423710</v>
      </c>
      <c r="AW16" s="6116">
        <f t="shared" ref="AW16:AY16" si="51">SUM(AW6:AW15)</f>
        <v>424410</v>
      </c>
      <c r="AX16" s="7384">
        <f t="shared" si="51"/>
        <v>3980410.1591579774</v>
      </c>
      <c r="AY16" s="6116">
        <f t="shared" si="51"/>
        <v>3993906.3429631772</v>
      </c>
      <c r="AZ16" s="7384">
        <f>SUM(AZ6:AZ15)</f>
        <v>501768</v>
      </c>
      <c r="BA16" s="6116">
        <f t="shared" ref="BA16:BG16" si="52">SUM(BA6:BA15)</f>
        <v>498204</v>
      </c>
      <c r="BB16" s="7384">
        <f t="shared" si="52"/>
        <v>1396880</v>
      </c>
      <c r="BC16" s="6116">
        <f t="shared" si="52"/>
        <v>1393401</v>
      </c>
      <c r="BD16" s="7384">
        <f t="shared" si="27"/>
        <v>2586576</v>
      </c>
      <c r="BE16" s="6116">
        <f t="shared" si="0"/>
        <v>2593255.3429631772</v>
      </c>
      <c r="BF16" s="7384">
        <f t="shared" si="52"/>
        <v>4482178.1591579774</v>
      </c>
      <c r="BG16" s="5027">
        <f t="shared" si="52"/>
        <v>4492110.3429631777</v>
      </c>
    </row>
    <row r="17" spans="4:59" s="3380" customFormat="1" ht="16" thickBot="1" x14ac:dyDescent="0.25"/>
    <row r="18" spans="4:59" ht="19" x14ac:dyDescent="0.25">
      <c r="D18" s="5655" t="s">
        <v>2032</v>
      </c>
      <c r="E18" s="1924"/>
      <c r="F18" s="5656"/>
      <c r="G18" s="3834"/>
      <c r="H18" s="3834"/>
      <c r="I18" s="3834"/>
      <c r="J18" s="3108"/>
      <c r="K18" s="1827"/>
      <c r="L18" s="3834"/>
      <c r="M18" s="3834"/>
      <c r="N18" s="3898"/>
      <c r="O18" s="2016"/>
      <c r="P18" s="3834"/>
      <c r="Q18" s="3834"/>
      <c r="R18" s="3108"/>
      <c r="S18" s="1827"/>
      <c r="T18" s="3834"/>
      <c r="U18" s="3834"/>
      <c r="V18" s="3108"/>
      <c r="W18" s="1827"/>
      <c r="X18" s="3834"/>
      <c r="Y18" s="3834"/>
      <c r="Z18" s="3898"/>
      <c r="AA18" s="2016"/>
      <c r="AB18" s="7383"/>
      <c r="AC18" s="6590"/>
      <c r="AD18" s="3834"/>
      <c r="AE18" s="3834"/>
      <c r="AF18" s="3108"/>
      <c r="AG18" s="1827"/>
      <c r="AH18" s="3834"/>
      <c r="AI18" s="3834"/>
      <c r="AJ18" s="3108"/>
      <c r="AK18" s="1827"/>
      <c r="AL18" s="3834"/>
      <c r="AM18" s="3834"/>
      <c r="AN18" s="3898"/>
      <c r="AO18" s="2016"/>
      <c r="AP18" s="3108"/>
      <c r="AQ18" s="1827"/>
      <c r="AR18" s="3834"/>
      <c r="AS18" s="3834"/>
      <c r="AT18" s="3108"/>
      <c r="AU18" s="1827"/>
      <c r="AV18" s="3834"/>
      <c r="AW18" s="3834"/>
      <c r="AX18" s="3108"/>
      <c r="AY18" s="1827"/>
      <c r="AZ18" s="3834"/>
      <c r="BA18" s="3834"/>
      <c r="BB18" s="3898"/>
      <c r="BC18" s="2016"/>
      <c r="BD18" s="3898">
        <f t="shared" ref="BD18:BD21" si="53">+BB18+AN18</f>
        <v>0</v>
      </c>
      <c r="BE18" s="2016">
        <f t="shared" ref="BE18:BE21" si="54">+BC18+AO18</f>
        <v>0</v>
      </c>
      <c r="BF18" s="7383"/>
      <c r="BG18" s="6590"/>
    </row>
    <row r="19" spans="4:59" ht="18" x14ac:dyDescent="0.2">
      <c r="D19" s="4049" t="s">
        <v>2033</v>
      </c>
      <c r="E19" s="4010" t="s">
        <v>170</v>
      </c>
      <c r="F19" s="4086">
        <v>4166</v>
      </c>
      <c r="G19" s="2750"/>
      <c r="H19" s="4086">
        <v>2728</v>
      </c>
      <c r="I19" s="1646"/>
      <c r="J19" s="4466">
        <f>+F19+H19</f>
        <v>6894</v>
      </c>
      <c r="K19" s="4466"/>
      <c r="L19" s="4086">
        <v>3400</v>
      </c>
      <c r="M19" s="1646"/>
      <c r="N19" s="4854">
        <f>+J19+L19</f>
        <v>10294</v>
      </c>
      <c r="O19" s="4854"/>
      <c r="P19" s="4086">
        <v>6908</v>
      </c>
      <c r="Q19" s="1646"/>
      <c r="R19" s="4466">
        <f>+N19+P19</f>
        <v>17202</v>
      </c>
      <c r="S19" s="4466"/>
      <c r="T19" s="4086">
        <v>4766</v>
      </c>
      <c r="U19" s="1646"/>
      <c r="V19" s="4466">
        <f>+R19+T19</f>
        <v>21968</v>
      </c>
      <c r="W19" s="4466"/>
      <c r="X19" s="4086">
        <v>5690</v>
      </c>
      <c r="Y19" s="1646"/>
      <c r="Z19" s="4854">
        <f t="shared" ref="Z19:Z21" si="55">+P19+T19+X19</f>
        <v>17364</v>
      </c>
      <c r="AA19" s="4854"/>
      <c r="AB19" s="7231">
        <f>+V19+X19</f>
        <v>27658</v>
      </c>
      <c r="AC19" s="7231"/>
      <c r="AD19" s="4086">
        <v>1456</v>
      </c>
      <c r="AE19" s="1646"/>
      <c r="AF19" s="4466">
        <f>+AB19+AD19</f>
        <v>29114</v>
      </c>
      <c r="AG19" s="4466"/>
      <c r="AH19" s="4086">
        <v>9749</v>
      </c>
      <c r="AI19" s="1646"/>
      <c r="AJ19" s="4466">
        <f>+AF19+AH19</f>
        <v>38863</v>
      </c>
      <c r="AK19" s="4466"/>
      <c r="AL19" s="4086">
        <v>2104</v>
      </c>
      <c r="AM19" s="1646"/>
      <c r="AN19" s="4854">
        <f t="shared" ref="AN19:AN21" si="56">+AD19+AH19+AL19</f>
        <v>13309</v>
      </c>
      <c r="AO19" s="4854"/>
      <c r="AP19" s="4466">
        <f>+AJ19+AL19</f>
        <v>40967</v>
      </c>
      <c r="AQ19" s="4466"/>
      <c r="AR19" s="4086">
        <v>6867</v>
      </c>
      <c r="AS19" s="1646"/>
      <c r="AT19" s="4466">
        <f>+AP19+AR19</f>
        <v>47834</v>
      </c>
      <c r="AU19" s="4466"/>
      <c r="AV19" s="4086">
        <v>11109</v>
      </c>
      <c r="AW19" s="1646"/>
      <c r="AX19" s="4466">
        <f>+AT19+AV19</f>
        <v>58943</v>
      </c>
      <c r="AY19" s="4466"/>
      <c r="AZ19" s="4086">
        <v>1955</v>
      </c>
      <c r="BA19" s="1646"/>
      <c r="BB19" s="4854">
        <f t="shared" ref="BB19:BB21" si="57">+AR19+AV19+AZ19</f>
        <v>19931</v>
      </c>
      <c r="BC19" s="4854"/>
      <c r="BD19" s="4854">
        <f t="shared" si="53"/>
        <v>33240</v>
      </c>
      <c r="BE19" s="4854">
        <f t="shared" si="54"/>
        <v>0</v>
      </c>
      <c r="BF19" s="7231">
        <f>+AX19+AZ19</f>
        <v>60898</v>
      </c>
      <c r="BG19" s="7231"/>
    </row>
    <row r="20" spans="4:59" ht="18" x14ac:dyDescent="0.2">
      <c r="D20" s="4049" t="s">
        <v>2034</v>
      </c>
      <c r="E20" s="4010" t="s">
        <v>170</v>
      </c>
      <c r="F20" s="4086">
        <v>3488</v>
      </c>
      <c r="G20" s="2750"/>
      <c r="H20" s="4086">
        <v>929</v>
      </c>
      <c r="I20" s="1646"/>
      <c r="J20" s="4466">
        <f t="shared" ref="J20:J21" si="58">+F20+H20</f>
        <v>4417</v>
      </c>
      <c r="K20" s="4466"/>
      <c r="L20" s="4086">
        <v>5447</v>
      </c>
      <c r="M20" s="1646"/>
      <c r="N20" s="4854">
        <f t="shared" ref="N20:N21" si="59">+J20+L20</f>
        <v>9864</v>
      </c>
      <c r="O20" s="4854"/>
      <c r="P20" s="4086">
        <v>9467</v>
      </c>
      <c r="Q20" s="1646"/>
      <c r="R20" s="4466">
        <f t="shared" ref="R20:R21" si="60">+N20+P20</f>
        <v>19331</v>
      </c>
      <c r="S20" s="4466"/>
      <c r="T20" s="4086">
        <v>7287</v>
      </c>
      <c r="U20" s="1646"/>
      <c r="V20" s="4466">
        <f t="shared" ref="V20:V21" si="61">+R20+T20</f>
        <v>26618</v>
      </c>
      <c r="W20" s="4466"/>
      <c r="X20" s="4086">
        <v>4732</v>
      </c>
      <c r="Y20" s="1646"/>
      <c r="Z20" s="4854">
        <f t="shared" si="55"/>
        <v>21486</v>
      </c>
      <c r="AA20" s="4854"/>
      <c r="AB20" s="7231">
        <f t="shared" ref="AB20:AB21" si="62">+V20+X20</f>
        <v>31350</v>
      </c>
      <c r="AC20" s="7231"/>
      <c r="AD20" s="4086">
        <v>7133</v>
      </c>
      <c r="AE20" s="1646"/>
      <c r="AF20" s="4466">
        <f t="shared" ref="AF20:AF21" si="63">+AB20+AD20</f>
        <v>38483</v>
      </c>
      <c r="AG20" s="4466"/>
      <c r="AH20" s="4086">
        <v>2612</v>
      </c>
      <c r="AI20" s="1646"/>
      <c r="AJ20" s="4466">
        <f t="shared" ref="AJ20:AJ21" si="64">+AF20+AH20</f>
        <v>41095</v>
      </c>
      <c r="AK20" s="4466"/>
      <c r="AL20" s="4086">
        <v>4560</v>
      </c>
      <c r="AM20" s="1646"/>
      <c r="AN20" s="4854">
        <f t="shared" si="56"/>
        <v>14305</v>
      </c>
      <c r="AO20" s="4854"/>
      <c r="AP20" s="4466">
        <f t="shared" ref="AP20:AP21" si="65">+AJ20+AL20</f>
        <v>45655</v>
      </c>
      <c r="AQ20" s="4466"/>
      <c r="AR20" s="4086">
        <v>10423</v>
      </c>
      <c r="AS20" s="1646"/>
      <c r="AT20" s="4466">
        <f t="shared" ref="AT20:AT21" si="66">+AP20+AR20</f>
        <v>56078</v>
      </c>
      <c r="AU20" s="4466"/>
      <c r="AV20" s="4086">
        <v>11655</v>
      </c>
      <c r="AW20" s="1646"/>
      <c r="AX20" s="4466">
        <f t="shared" ref="AX20:AX21" si="67">+AT20+AV20</f>
        <v>67733</v>
      </c>
      <c r="AY20" s="4466"/>
      <c r="AZ20" s="4086">
        <v>13021</v>
      </c>
      <c r="BA20" s="1646"/>
      <c r="BB20" s="4854">
        <f t="shared" si="57"/>
        <v>35099</v>
      </c>
      <c r="BC20" s="4854"/>
      <c r="BD20" s="4854">
        <f t="shared" si="53"/>
        <v>49404</v>
      </c>
      <c r="BE20" s="4854">
        <f t="shared" si="54"/>
        <v>0</v>
      </c>
      <c r="BF20" s="7231">
        <f t="shared" ref="BF20:BF21" si="68">+AX20+AZ20</f>
        <v>80754</v>
      </c>
      <c r="BG20" s="7231"/>
    </row>
    <row r="21" spans="4:59" ht="19" thickBot="1" x14ac:dyDescent="0.25">
      <c r="D21" s="5657" t="s">
        <v>2035</v>
      </c>
      <c r="E21" s="4012" t="s">
        <v>170</v>
      </c>
      <c r="F21" s="4862">
        <v>1216</v>
      </c>
      <c r="G21" s="2818"/>
      <c r="H21" s="4862">
        <v>1518</v>
      </c>
      <c r="I21" s="1817"/>
      <c r="J21" s="4823">
        <f t="shared" si="58"/>
        <v>2734</v>
      </c>
      <c r="K21" s="4823"/>
      <c r="L21" s="4862">
        <v>3347</v>
      </c>
      <c r="M21" s="1817"/>
      <c r="N21" s="4930">
        <f t="shared" si="59"/>
        <v>6081</v>
      </c>
      <c r="O21" s="4930"/>
      <c r="P21" s="4862">
        <v>5478</v>
      </c>
      <c r="Q21" s="1817"/>
      <c r="R21" s="4823">
        <f t="shared" si="60"/>
        <v>11559</v>
      </c>
      <c r="S21" s="4823"/>
      <c r="T21" s="4862">
        <v>4550</v>
      </c>
      <c r="U21" s="1817"/>
      <c r="V21" s="4823">
        <f t="shared" si="61"/>
        <v>16109</v>
      </c>
      <c r="W21" s="4823"/>
      <c r="X21" s="4862">
        <v>3388</v>
      </c>
      <c r="Y21" s="1817"/>
      <c r="Z21" s="4930">
        <f t="shared" si="55"/>
        <v>13416</v>
      </c>
      <c r="AA21" s="4930"/>
      <c r="AB21" s="7234">
        <f t="shared" si="62"/>
        <v>19497</v>
      </c>
      <c r="AC21" s="7234"/>
      <c r="AD21" s="4862">
        <v>1721</v>
      </c>
      <c r="AE21" s="1817"/>
      <c r="AF21" s="4823">
        <f t="shared" si="63"/>
        <v>21218</v>
      </c>
      <c r="AG21" s="4823"/>
      <c r="AH21" s="4862">
        <v>5504</v>
      </c>
      <c r="AI21" s="1817"/>
      <c r="AJ21" s="4823">
        <f t="shared" si="64"/>
        <v>26722</v>
      </c>
      <c r="AK21" s="4823"/>
      <c r="AL21" s="4862">
        <v>6748</v>
      </c>
      <c r="AM21" s="1817"/>
      <c r="AN21" s="4930">
        <f t="shared" si="56"/>
        <v>13973</v>
      </c>
      <c r="AO21" s="4930"/>
      <c r="AP21" s="4823">
        <f t="shared" si="65"/>
        <v>33470</v>
      </c>
      <c r="AQ21" s="4823"/>
      <c r="AR21" s="4862">
        <v>6417</v>
      </c>
      <c r="AS21" s="1817"/>
      <c r="AT21" s="4823">
        <f t="shared" si="66"/>
        <v>39887</v>
      </c>
      <c r="AU21" s="4823"/>
      <c r="AV21" s="4862">
        <v>5374</v>
      </c>
      <c r="AW21" s="1817"/>
      <c r="AX21" s="4823">
        <f t="shared" si="67"/>
        <v>45261</v>
      </c>
      <c r="AY21" s="4823"/>
      <c r="AZ21" s="4862">
        <v>2795</v>
      </c>
      <c r="BA21" s="1817"/>
      <c r="BB21" s="4930">
        <f t="shared" si="57"/>
        <v>14586</v>
      </c>
      <c r="BC21" s="4930"/>
      <c r="BD21" s="4930">
        <f t="shared" si="53"/>
        <v>28559</v>
      </c>
      <c r="BE21" s="4930">
        <f t="shared" si="54"/>
        <v>0</v>
      </c>
      <c r="BF21" s="7234">
        <f t="shared" si="68"/>
        <v>48056</v>
      </c>
      <c r="BG21" s="7234"/>
    </row>
    <row r="22" spans="4:59" s="3380" customFormat="1" ht="16" thickBot="1" x14ac:dyDescent="0.25"/>
    <row r="23" spans="4:59" ht="19" x14ac:dyDescent="0.25">
      <c r="D23" s="5655" t="s">
        <v>2036</v>
      </c>
      <c r="E23" s="1553"/>
      <c r="F23" s="1553"/>
      <c r="G23" s="3834"/>
      <c r="H23" s="2414"/>
      <c r="I23" s="2101"/>
      <c r="J23" s="1827"/>
      <c r="K23" s="1827"/>
      <c r="L23" s="2414"/>
      <c r="M23" s="2101"/>
      <c r="N23" s="2016"/>
      <c r="O23" s="2016"/>
      <c r="P23" s="2414"/>
      <c r="Q23" s="2101"/>
      <c r="R23" s="1827"/>
      <c r="S23" s="1827"/>
      <c r="T23" s="2414"/>
      <c r="U23" s="2101"/>
      <c r="V23" s="1827"/>
      <c r="W23" s="1827"/>
      <c r="X23" s="2414"/>
      <c r="Y23" s="2101"/>
      <c r="Z23" s="2016"/>
      <c r="AA23" s="2016"/>
      <c r="AB23" s="6590"/>
      <c r="AC23" s="6590"/>
      <c r="AD23" s="2414"/>
      <c r="AE23" s="2101"/>
      <c r="AF23" s="1827"/>
      <c r="AG23" s="1827"/>
      <c r="AH23" s="2414"/>
      <c r="AI23" s="2101"/>
      <c r="AJ23" s="1827"/>
      <c r="AK23" s="1827"/>
      <c r="AL23" s="2414"/>
      <c r="AM23" s="2101"/>
      <c r="AN23" s="2016"/>
      <c r="AO23" s="2016"/>
      <c r="AP23" s="1827"/>
      <c r="AQ23" s="1827"/>
      <c r="AR23" s="2414"/>
      <c r="AS23" s="2101"/>
      <c r="AT23" s="1827"/>
      <c r="AU23" s="1827"/>
      <c r="AV23" s="2414"/>
      <c r="AW23" s="2101"/>
      <c r="AX23" s="1827"/>
      <c r="AY23" s="1827"/>
      <c r="AZ23" s="2414"/>
      <c r="BA23" s="2101"/>
      <c r="BB23" s="2016"/>
      <c r="BC23" s="2016"/>
      <c r="BD23" s="2016">
        <f t="shared" ref="BD23:BD27" si="69">+BB23+AN23</f>
        <v>0</v>
      </c>
      <c r="BE23" s="2016">
        <f t="shared" ref="BE23:BE27" si="70">+BC23+AO23</f>
        <v>0</v>
      </c>
      <c r="BF23" s="6590"/>
      <c r="BG23" s="6590"/>
    </row>
    <row r="24" spans="4:59" ht="18" x14ac:dyDescent="0.2">
      <c r="D24" s="4049" t="s">
        <v>358</v>
      </c>
      <c r="E24" s="4010" t="s">
        <v>170</v>
      </c>
      <c r="F24" s="4086">
        <v>34500</v>
      </c>
      <c r="G24" s="2750"/>
      <c r="H24" s="4086">
        <v>37357</v>
      </c>
      <c r="I24" s="1646"/>
      <c r="J24" s="4466">
        <f t="shared" ref="J24:J26" si="71">+F24+H24</f>
        <v>71857</v>
      </c>
      <c r="K24" s="1823"/>
      <c r="L24" s="4086">
        <v>40414</v>
      </c>
      <c r="M24" s="1646"/>
      <c r="N24" s="4854">
        <f t="shared" ref="N24:N26" si="72">+J24+L24</f>
        <v>112271</v>
      </c>
      <c r="O24" s="2011"/>
      <c r="P24" s="4086">
        <v>47742</v>
      </c>
      <c r="Q24" s="1646"/>
      <c r="R24" s="4466">
        <f t="shared" ref="R24:R26" si="73">+N24+P24</f>
        <v>160013</v>
      </c>
      <c r="S24" s="1823"/>
      <c r="T24" s="4086">
        <v>39746</v>
      </c>
      <c r="U24" s="1646"/>
      <c r="V24" s="4466">
        <f t="shared" ref="V24:V26" si="74">+R24+T24</f>
        <v>199759</v>
      </c>
      <c r="W24" s="1823"/>
      <c r="X24" s="4086">
        <v>25213</v>
      </c>
      <c r="Y24" s="1646"/>
      <c r="Z24" s="4854">
        <f t="shared" ref="Z24:Z26" si="75">+P24+T24+X24</f>
        <v>112701</v>
      </c>
      <c r="AA24" s="4854"/>
      <c r="AB24" s="7231">
        <f t="shared" ref="AB24:AB26" si="76">+V24+X24</f>
        <v>224972</v>
      </c>
      <c r="AC24" s="6531"/>
      <c r="AD24" s="4086">
        <v>31578</v>
      </c>
      <c r="AE24" s="1646"/>
      <c r="AF24" s="4466">
        <f t="shared" ref="AF24:AF26" si="77">+AB24+AD24</f>
        <v>256550</v>
      </c>
      <c r="AG24" s="1823"/>
      <c r="AH24" s="4086">
        <v>47411</v>
      </c>
      <c r="AI24" s="1646"/>
      <c r="AJ24" s="4466">
        <f t="shared" ref="AJ24:AJ26" si="78">+AF24+AH24</f>
        <v>303961</v>
      </c>
      <c r="AK24" s="1823"/>
      <c r="AL24" s="4086">
        <v>58000</v>
      </c>
      <c r="AM24" s="1646"/>
      <c r="AN24" s="4854">
        <f t="shared" ref="AN24:AN26" si="79">+AD24+AH24+AL24</f>
        <v>136989</v>
      </c>
      <c r="AO24" s="4854"/>
      <c r="AP24" s="4466">
        <f t="shared" ref="AP24:AP26" si="80">+AJ24+AL24</f>
        <v>361961</v>
      </c>
      <c r="AQ24" s="1823"/>
      <c r="AR24" s="4086">
        <v>65619</v>
      </c>
      <c r="AS24" s="1646"/>
      <c r="AT24" s="4466">
        <f t="shared" ref="AT24:AT26" si="81">+AP24+AR24</f>
        <v>427580</v>
      </c>
      <c r="AU24" s="1823"/>
      <c r="AV24" s="4086">
        <v>50225</v>
      </c>
      <c r="AW24" s="1646"/>
      <c r="AX24" s="4466">
        <f t="shared" ref="AX24:AX27" si="82">+AT24+AV24</f>
        <v>477805</v>
      </c>
      <c r="AY24" s="1823"/>
      <c r="AZ24" s="4086">
        <v>79021</v>
      </c>
      <c r="BA24" s="1646"/>
      <c r="BB24" s="4854">
        <f t="shared" ref="BB24:BB27" si="83">+AR24+AV24+AZ24</f>
        <v>194865</v>
      </c>
      <c r="BC24" s="4854"/>
      <c r="BD24" s="4854">
        <f t="shared" si="69"/>
        <v>331854</v>
      </c>
      <c r="BE24" s="4854">
        <f t="shared" si="70"/>
        <v>0</v>
      </c>
      <c r="BF24" s="7231">
        <f t="shared" ref="BF24:BF27" si="84">+AX24+AZ24</f>
        <v>556826</v>
      </c>
      <c r="BG24" s="6531"/>
    </row>
    <row r="25" spans="4:59" ht="18" x14ac:dyDescent="0.2">
      <c r="D25" s="4049" t="s">
        <v>2037</v>
      </c>
      <c r="E25" s="4010" t="s">
        <v>170</v>
      </c>
      <c r="F25" s="4086">
        <v>12574</v>
      </c>
      <c r="G25" s="2750"/>
      <c r="H25" s="4086">
        <v>13765</v>
      </c>
      <c r="I25" s="1646"/>
      <c r="J25" s="4466">
        <f t="shared" si="71"/>
        <v>26339</v>
      </c>
      <c r="K25" s="1823"/>
      <c r="L25" s="4086">
        <v>15670</v>
      </c>
      <c r="M25" s="1646"/>
      <c r="N25" s="4854">
        <f t="shared" si="72"/>
        <v>42009</v>
      </c>
      <c r="O25" s="2011"/>
      <c r="P25" s="4086">
        <v>19228</v>
      </c>
      <c r="Q25" s="1646"/>
      <c r="R25" s="4466">
        <f t="shared" si="73"/>
        <v>61237</v>
      </c>
      <c r="S25" s="1823"/>
      <c r="T25" s="4086">
        <v>19009</v>
      </c>
      <c r="U25" s="1646"/>
      <c r="V25" s="4466">
        <f t="shared" si="74"/>
        <v>80246</v>
      </c>
      <c r="W25" s="1823"/>
      <c r="X25" s="4086">
        <v>18492</v>
      </c>
      <c r="Y25" s="1646"/>
      <c r="Z25" s="4854">
        <f t="shared" si="75"/>
        <v>56729</v>
      </c>
      <c r="AA25" s="4854"/>
      <c r="AB25" s="7231">
        <f t="shared" si="76"/>
        <v>98738</v>
      </c>
      <c r="AC25" s="6531"/>
      <c r="AD25" s="4086">
        <v>26794</v>
      </c>
      <c r="AE25" s="1646"/>
      <c r="AF25" s="4466">
        <f t="shared" si="77"/>
        <v>125532</v>
      </c>
      <c r="AG25" s="1823"/>
      <c r="AH25" s="4086">
        <v>19974</v>
      </c>
      <c r="AI25" s="1646"/>
      <c r="AJ25" s="4466">
        <f t="shared" si="78"/>
        <v>145506</v>
      </c>
      <c r="AK25" s="1823"/>
      <c r="AL25" s="4086">
        <v>20079</v>
      </c>
      <c r="AM25" s="1646"/>
      <c r="AN25" s="4854">
        <f t="shared" si="79"/>
        <v>66847</v>
      </c>
      <c r="AO25" s="4854"/>
      <c r="AP25" s="4466">
        <f t="shared" si="80"/>
        <v>165585</v>
      </c>
      <c r="AQ25" s="1823"/>
      <c r="AR25" s="4086">
        <v>14900</v>
      </c>
      <c r="AS25" s="1646"/>
      <c r="AT25" s="4466">
        <f t="shared" si="81"/>
        <v>180485</v>
      </c>
      <c r="AU25" s="1823"/>
      <c r="AV25" s="4086">
        <v>14351</v>
      </c>
      <c r="AW25" s="1646"/>
      <c r="AX25" s="4466">
        <f t="shared" si="82"/>
        <v>194836</v>
      </c>
      <c r="AY25" s="1823"/>
      <c r="AZ25" s="4086">
        <v>17800</v>
      </c>
      <c r="BA25" s="1646"/>
      <c r="BB25" s="4854">
        <f t="shared" si="83"/>
        <v>47051</v>
      </c>
      <c r="BC25" s="4854"/>
      <c r="BD25" s="4854">
        <f t="shared" si="69"/>
        <v>113898</v>
      </c>
      <c r="BE25" s="4854">
        <f t="shared" si="70"/>
        <v>0</v>
      </c>
      <c r="BF25" s="7231">
        <f t="shared" si="84"/>
        <v>212636</v>
      </c>
      <c r="BG25" s="6531"/>
    </row>
    <row r="26" spans="4:59" ht="19" thickBot="1" x14ac:dyDescent="0.25">
      <c r="D26" s="5657" t="s">
        <v>2038</v>
      </c>
      <c r="E26" s="4012" t="s">
        <v>170</v>
      </c>
      <c r="F26" s="4862">
        <v>9024</v>
      </c>
      <c r="G26" s="2818"/>
      <c r="H26" s="4862">
        <v>11276</v>
      </c>
      <c r="I26" s="1817"/>
      <c r="J26" s="4823">
        <f t="shared" si="71"/>
        <v>20300</v>
      </c>
      <c r="K26" s="1828"/>
      <c r="L26" s="4862">
        <v>9526</v>
      </c>
      <c r="M26" s="1817"/>
      <c r="N26" s="4930">
        <f t="shared" si="72"/>
        <v>29826</v>
      </c>
      <c r="O26" s="2017"/>
      <c r="P26" s="4862">
        <v>8985</v>
      </c>
      <c r="Q26" s="1817"/>
      <c r="R26" s="4823">
        <f t="shared" si="73"/>
        <v>38811</v>
      </c>
      <c r="S26" s="1828"/>
      <c r="T26" s="4862">
        <v>8936</v>
      </c>
      <c r="U26" s="1817"/>
      <c r="V26" s="4823">
        <f t="shared" si="74"/>
        <v>47747</v>
      </c>
      <c r="W26" s="1828"/>
      <c r="X26" s="4862">
        <v>6000</v>
      </c>
      <c r="Y26" s="1817"/>
      <c r="Z26" s="4930">
        <f t="shared" si="75"/>
        <v>23921</v>
      </c>
      <c r="AA26" s="4930"/>
      <c r="AB26" s="7234">
        <f t="shared" si="76"/>
        <v>53747</v>
      </c>
      <c r="AC26" s="6593"/>
      <c r="AD26" s="4862">
        <v>9939</v>
      </c>
      <c r="AE26" s="1817"/>
      <c r="AF26" s="4823">
        <f t="shared" si="77"/>
        <v>63686</v>
      </c>
      <c r="AG26" s="1828"/>
      <c r="AH26" s="4862">
        <v>10013</v>
      </c>
      <c r="AI26" s="1817"/>
      <c r="AJ26" s="4823">
        <f t="shared" si="78"/>
        <v>73699</v>
      </c>
      <c r="AK26" s="1828"/>
      <c r="AL26" s="4862">
        <v>6823</v>
      </c>
      <c r="AM26" s="1817"/>
      <c r="AN26" s="4930">
        <f t="shared" si="79"/>
        <v>26775</v>
      </c>
      <c r="AO26" s="4930"/>
      <c r="AP26" s="4823">
        <f t="shared" si="80"/>
        <v>80522</v>
      </c>
      <c r="AQ26" s="1828"/>
      <c r="AR26" s="4862">
        <v>4354</v>
      </c>
      <c r="AS26" s="1817"/>
      <c r="AT26" s="4823">
        <f t="shared" si="81"/>
        <v>84876</v>
      </c>
      <c r="AU26" s="1828"/>
      <c r="AV26" s="4862">
        <v>10190</v>
      </c>
      <c r="AW26" s="1817"/>
      <c r="AX26" s="4823">
        <f t="shared" si="82"/>
        <v>95066</v>
      </c>
      <c r="AY26" s="1828"/>
      <c r="AZ26" s="4862">
        <v>6300</v>
      </c>
      <c r="BA26" s="1817"/>
      <c r="BB26" s="4930">
        <f t="shared" si="83"/>
        <v>20844</v>
      </c>
      <c r="BC26" s="4930"/>
      <c r="BD26" s="4930">
        <f t="shared" si="69"/>
        <v>47619</v>
      </c>
      <c r="BE26" s="4930">
        <f t="shared" si="70"/>
        <v>0</v>
      </c>
      <c r="BF26" s="7234">
        <f t="shared" si="84"/>
        <v>101366</v>
      </c>
      <c r="BG26" s="6593"/>
    </row>
    <row r="27" spans="4:59" s="8077" customFormat="1" ht="19" thickBot="1" x14ac:dyDescent="0.25">
      <c r="D27" s="5657" t="s">
        <v>2541</v>
      </c>
      <c r="E27" s="4012" t="s">
        <v>170</v>
      </c>
      <c r="F27" s="4862"/>
      <c r="G27" s="2818"/>
      <c r="H27" s="4862"/>
      <c r="I27" s="1817"/>
      <c r="J27" s="4823">
        <f t="shared" ref="J27" si="85">+F27+H27</f>
        <v>0</v>
      </c>
      <c r="K27" s="1828"/>
      <c r="L27" s="4862"/>
      <c r="M27" s="1817"/>
      <c r="N27" s="4930">
        <f t="shared" ref="N27" si="86">+J27+L27</f>
        <v>0</v>
      </c>
      <c r="O27" s="2017"/>
      <c r="P27" s="4862"/>
      <c r="Q27" s="1817"/>
      <c r="R27" s="4823">
        <f t="shared" ref="R27" si="87">+N27+P27</f>
        <v>0</v>
      </c>
      <c r="S27" s="1828"/>
      <c r="T27" s="4862"/>
      <c r="U27" s="1817"/>
      <c r="V27" s="4823">
        <f t="shared" ref="V27" si="88">+R27+T27</f>
        <v>0</v>
      </c>
      <c r="W27" s="1828"/>
      <c r="X27" s="4862"/>
      <c r="Y27" s="1817"/>
      <c r="Z27" s="4930">
        <f t="shared" ref="Z27" si="89">+P27+T27+X27</f>
        <v>0</v>
      </c>
      <c r="AA27" s="4930"/>
      <c r="AB27" s="7234">
        <f t="shared" ref="AB27" si="90">+V27+X27</f>
        <v>0</v>
      </c>
      <c r="AC27" s="6593"/>
      <c r="AD27" s="4862"/>
      <c r="AE27" s="1817"/>
      <c r="AF27" s="4823">
        <f t="shared" ref="AF27" si="91">+AB27+AD27</f>
        <v>0</v>
      </c>
      <c r="AG27" s="1828"/>
      <c r="AH27" s="4862"/>
      <c r="AI27" s="1817"/>
      <c r="AJ27" s="4823">
        <f t="shared" ref="AJ27" si="92">+AF27+AH27</f>
        <v>0</v>
      </c>
      <c r="AK27" s="1828"/>
      <c r="AL27" s="4862"/>
      <c r="AM27" s="1817"/>
      <c r="AN27" s="4930">
        <f t="shared" ref="AN27" si="93">+AD27+AH27+AL27</f>
        <v>0</v>
      </c>
      <c r="AO27" s="4930"/>
      <c r="AP27" s="4823">
        <f t="shared" ref="AP27" si="94">+AJ27+AL27</f>
        <v>0</v>
      </c>
      <c r="AQ27" s="1828"/>
      <c r="AR27" s="4862">
        <v>2536</v>
      </c>
      <c r="AS27" s="1817"/>
      <c r="AT27" s="4823">
        <f t="shared" ref="AT27" si="95">+AP27+AR27</f>
        <v>2536</v>
      </c>
      <c r="AU27" s="1828"/>
      <c r="AV27" s="4862">
        <v>3204</v>
      </c>
      <c r="AW27" s="1817"/>
      <c r="AX27" s="4823">
        <f t="shared" si="82"/>
        <v>5740</v>
      </c>
      <c r="AY27" s="1828"/>
      <c r="AZ27" s="4862">
        <v>1999</v>
      </c>
      <c r="BA27" s="1817"/>
      <c r="BB27" s="4930">
        <f t="shared" si="83"/>
        <v>7739</v>
      </c>
      <c r="BC27" s="4930"/>
      <c r="BD27" s="4930">
        <f t="shared" si="69"/>
        <v>7739</v>
      </c>
      <c r="BE27" s="4930">
        <f t="shared" si="70"/>
        <v>0</v>
      </c>
      <c r="BF27" s="7234">
        <f t="shared" si="84"/>
        <v>7739</v>
      </c>
      <c r="BG27" s="6593"/>
    </row>
    <row r="28" spans="4:59" s="3380" customFormat="1" ht="16" thickBot="1" x14ac:dyDescent="0.25"/>
    <row r="29" spans="4:59" ht="19" x14ac:dyDescent="0.25">
      <c r="D29" s="5655" t="s">
        <v>2039</v>
      </c>
      <c r="E29" s="1553"/>
      <c r="F29" s="1553"/>
      <c r="G29" s="3834"/>
      <c r="H29" s="2414"/>
      <c r="I29" s="2101"/>
      <c r="J29" s="1827"/>
      <c r="K29" s="4151"/>
      <c r="L29" s="2414"/>
      <c r="M29" s="2101"/>
      <c r="N29" s="2016"/>
      <c r="O29" s="3060"/>
      <c r="P29" s="2414"/>
      <c r="Q29" s="2101"/>
      <c r="R29" s="1827"/>
      <c r="S29" s="4151"/>
      <c r="T29" s="2414"/>
      <c r="U29" s="2101"/>
      <c r="V29" s="1827"/>
      <c r="W29" s="4151"/>
      <c r="X29" s="2414"/>
      <c r="Y29" s="2101"/>
      <c r="Z29" s="2016"/>
      <c r="AA29" s="3060"/>
      <c r="AB29" s="6590"/>
      <c r="AC29" s="6833"/>
      <c r="AD29" s="2414"/>
      <c r="AE29" s="2101"/>
      <c r="AF29" s="1827"/>
      <c r="AG29" s="4151"/>
      <c r="AH29" s="2414"/>
      <c r="AI29" s="2101"/>
      <c r="AJ29" s="1827"/>
      <c r="AK29" s="4151"/>
      <c r="AL29" s="2414"/>
      <c r="AM29" s="2101"/>
      <c r="AN29" s="2016"/>
      <c r="AO29" s="3060"/>
      <c r="AP29" s="1827"/>
      <c r="AQ29" s="4151"/>
      <c r="AR29" s="2414"/>
      <c r="AS29" s="2101"/>
      <c r="AT29" s="1827"/>
      <c r="AU29" s="4151"/>
      <c r="AV29" s="2414"/>
      <c r="AW29" s="2101"/>
      <c r="AX29" s="1827"/>
      <c r="AY29" s="4151"/>
      <c r="AZ29" s="2414"/>
      <c r="BA29" s="2101"/>
      <c r="BB29" s="2016"/>
      <c r="BC29" s="3060"/>
      <c r="BD29" s="2016">
        <f t="shared" ref="BD29:BD36" si="96">+BB29+AN29</f>
        <v>0</v>
      </c>
      <c r="BE29" s="3060">
        <f t="shared" ref="BE29:BE36" si="97">+BC29+AO29</f>
        <v>0</v>
      </c>
      <c r="BF29" s="6590"/>
      <c r="BG29" s="6833"/>
    </row>
    <row r="30" spans="4:59" ht="18" x14ac:dyDescent="0.2">
      <c r="D30" s="4049" t="s">
        <v>2040</v>
      </c>
      <c r="E30" s="4010" t="s">
        <v>170</v>
      </c>
      <c r="F30" s="4086">
        <v>50793</v>
      </c>
      <c r="G30" s="3835"/>
      <c r="H30" s="4086">
        <v>61094</v>
      </c>
      <c r="I30" s="1646"/>
      <c r="J30" s="4466">
        <f t="shared" ref="J30:J36" si="98">+F30+H30</f>
        <v>111887</v>
      </c>
      <c r="K30" s="3867"/>
      <c r="L30" s="4086">
        <v>61114</v>
      </c>
      <c r="M30" s="1646"/>
      <c r="N30" s="4854">
        <f t="shared" ref="N30:N36" si="99">+J30+L30</f>
        <v>173001</v>
      </c>
      <c r="O30" s="3889"/>
      <c r="P30" s="4086">
        <v>84054</v>
      </c>
      <c r="Q30" s="1646"/>
      <c r="R30" s="4466">
        <f t="shared" ref="R30:R36" si="100">+N30+P30</f>
        <v>257055</v>
      </c>
      <c r="S30" s="3867"/>
      <c r="T30" s="4086">
        <v>88357</v>
      </c>
      <c r="U30" s="1646"/>
      <c r="V30" s="4466">
        <f t="shared" ref="V30:V36" si="101">+R30+T30</f>
        <v>345412</v>
      </c>
      <c r="W30" s="3867"/>
      <c r="X30" s="4086">
        <v>44274</v>
      </c>
      <c r="Y30" s="1646"/>
      <c r="Z30" s="4854">
        <f t="shared" ref="Z30:Z36" si="102">+P30+T30+X30</f>
        <v>216685</v>
      </c>
      <c r="AA30" s="3889"/>
      <c r="AB30" s="7231">
        <f t="shared" ref="AB30:AB36" si="103">+V30+X30</f>
        <v>389686</v>
      </c>
      <c r="AC30" s="6724"/>
      <c r="AD30" s="4086">
        <v>53763</v>
      </c>
      <c r="AE30" s="1646"/>
      <c r="AF30" s="4466">
        <f t="shared" ref="AF30:AF36" si="104">+AB30+AD30</f>
        <v>443449</v>
      </c>
      <c r="AG30" s="3867"/>
      <c r="AH30" s="4086">
        <v>66501</v>
      </c>
      <c r="AI30" s="1646"/>
      <c r="AJ30" s="4466">
        <f t="shared" ref="AJ30:AJ36" si="105">+AF30+AH30</f>
        <v>509950</v>
      </c>
      <c r="AK30" s="3867"/>
      <c r="AL30" s="4086">
        <v>77538</v>
      </c>
      <c r="AM30" s="1646"/>
      <c r="AN30" s="4854">
        <f t="shared" ref="AN30:AN36" si="106">+AD30+AH30+AL30</f>
        <v>197802</v>
      </c>
      <c r="AO30" s="3889"/>
      <c r="AP30" s="4466">
        <f t="shared" ref="AP30:AP36" si="107">+AJ30+AL30</f>
        <v>587488</v>
      </c>
      <c r="AQ30" s="3867"/>
      <c r="AR30" s="4086">
        <v>92511</v>
      </c>
      <c r="AS30" s="1646"/>
      <c r="AT30" s="4466">
        <f t="shared" ref="AT30:AT36" si="108">+AP30+AR30</f>
        <v>679999</v>
      </c>
      <c r="AU30" s="3867"/>
      <c r="AV30" s="4086">
        <v>95729</v>
      </c>
      <c r="AW30" s="1646"/>
      <c r="AX30" s="4466">
        <f t="shared" ref="AX30:AX36" si="109">+AT30+AV30</f>
        <v>775728</v>
      </c>
      <c r="AY30" s="3867"/>
      <c r="AZ30" s="4086">
        <v>103611</v>
      </c>
      <c r="BA30" s="1646"/>
      <c r="BB30" s="4854">
        <f t="shared" ref="BB30:BB36" si="110">+AR30+AV30+AZ30</f>
        <v>291851</v>
      </c>
      <c r="BC30" s="3889"/>
      <c r="BD30" s="4854">
        <f t="shared" si="96"/>
        <v>489653</v>
      </c>
      <c r="BE30" s="3889">
        <f t="shared" si="97"/>
        <v>0</v>
      </c>
      <c r="BF30" s="7231">
        <f t="shared" ref="BF30:BF36" si="111">+AX30+AZ30</f>
        <v>879339</v>
      </c>
      <c r="BG30" s="6724"/>
    </row>
    <row r="31" spans="4:59" ht="18" x14ac:dyDescent="0.2">
      <c r="D31" s="4049" t="s">
        <v>2041</v>
      </c>
      <c r="E31" s="4010" t="s">
        <v>170</v>
      </c>
      <c r="F31" s="4086">
        <v>4470</v>
      </c>
      <c r="G31" s="3835"/>
      <c r="H31" s="4086">
        <v>3909</v>
      </c>
      <c r="I31" s="1646"/>
      <c r="J31" s="4466">
        <f t="shared" si="98"/>
        <v>8379</v>
      </c>
      <c r="K31" s="3867"/>
      <c r="L31" s="4086">
        <v>4877</v>
      </c>
      <c r="M31" s="1646"/>
      <c r="N31" s="4854">
        <f t="shared" si="99"/>
        <v>13256</v>
      </c>
      <c r="O31" s="3889"/>
      <c r="P31" s="4086">
        <v>4702</v>
      </c>
      <c r="Q31" s="1646"/>
      <c r="R31" s="4466">
        <f t="shared" si="100"/>
        <v>17958</v>
      </c>
      <c r="S31" s="3867"/>
      <c r="T31" s="4086">
        <v>3570</v>
      </c>
      <c r="U31" s="1646"/>
      <c r="V31" s="4466">
        <f t="shared" si="101"/>
        <v>21528</v>
      </c>
      <c r="W31" s="3867"/>
      <c r="X31" s="4086">
        <v>3290</v>
      </c>
      <c r="Y31" s="1646"/>
      <c r="Z31" s="4854">
        <f t="shared" si="102"/>
        <v>11562</v>
      </c>
      <c r="AA31" s="3889"/>
      <c r="AB31" s="7231">
        <f t="shared" si="103"/>
        <v>24818</v>
      </c>
      <c r="AC31" s="6724"/>
      <c r="AD31" s="4086">
        <v>4638</v>
      </c>
      <c r="AE31" s="1646"/>
      <c r="AF31" s="4466">
        <f t="shared" si="104"/>
        <v>29456</v>
      </c>
      <c r="AG31" s="3867"/>
      <c r="AH31" s="4086">
        <v>2632</v>
      </c>
      <c r="AI31" s="1646"/>
      <c r="AJ31" s="4466">
        <f t="shared" si="105"/>
        <v>32088</v>
      </c>
      <c r="AK31" s="3867"/>
      <c r="AL31" s="4086">
        <v>5151</v>
      </c>
      <c r="AM31" s="1646"/>
      <c r="AN31" s="4854">
        <f t="shared" si="106"/>
        <v>12421</v>
      </c>
      <c r="AO31" s="3889"/>
      <c r="AP31" s="4466">
        <f t="shared" si="107"/>
        <v>37239</v>
      </c>
      <c r="AQ31" s="3867"/>
      <c r="AR31" s="4086">
        <v>2790</v>
      </c>
      <c r="AS31" s="1646"/>
      <c r="AT31" s="4466">
        <f t="shared" si="108"/>
        <v>40029</v>
      </c>
      <c r="AU31" s="3867"/>
      <c r="AV31" s="4086">
        <v>3846</v>
      </c>
      <c r="AW31" s="1646"/>
      <c r="AX31" s="4466">
        <f t="shared" si="109"/>
        <v>43875</v>
      </c>
      <c r="AY31" s="3867"/>
      <c r="AZ31" s="4086">
        <v>4892</v>
      </c>
      <c r="BA31" s="1646"/>
      <c r="BB31" s="4854">
        <f t="shared" si="110"/>
        <v>11528</v>
      </c>
      <c r="BC31" s="3889"/>
      <c r="BD31" s="4854">
        <f t="shared" si="96"/>
        <v>23949</v>
      </c>
      <c r="BE31" s="3889">
        <f t="shared" si="97"/>
        <v>0</v>
      </c>
      <c r="BF31" s="7231">
        <f t="shared" si="111"/>
        <v>48767</v>
      </c>
      <c r="BG31" s="6724"/>
    </row>
    <row r="32" spans="4:59" ht="18" x14ac:dyDescent="0.2">
      <c r="D32" s="4049" t="s">
        <v>2042</v>
      </c>
      <c r="E32" s="4010" t="s">
        <v>170</v>
      </c>
      <c r="F32" s="4086">
        <v>2407</v>
      </c>
      <c r="G32" s="3835"/>
      <c r="H32" s="4086">
        <v>3653</v>
      </c>
      <c r="I32" s="1646"/>
      <c r="J32" s="4466">
        <f t="shared" si="98"/>
        <v>6060</v>
      </c>
      <c r="K32" s="3867"/>
      <c r="L32" s="4086">
        <v>2722</v>
      </c>
      <c r="M32" s="1646"/>
      <c r="N32" s="4854">
        <f t="shared" si="99"/>
        <v>8782</v>
      </c>
      <c r="O32" s="3889"/>
      <c r="P32" s="4086">
        <v>4020</v>
      </c>
      <c r="Q32" s="1646"/>
      <c r="R32" s="4466">
        <f t="shared" si="100"/>
        <v>12802</v>
      </c>
      <c r="S32" s="3867"/>
      <c r="T32" s="4086">
        <v>1420</v>
      </c>
      <c r="U32" s="1646"/>
      <c r="V32" s="4466">
        <f t="shared" si="101"/>
        <v>14222</v>
      </c>
      <c r="W32" s="3867"/>
      <c r="X32" s="4086">
        <v>886</v>
      </c>
      <c r="Y32" s="1646"/>
      <c r="Z32" s="4854">
        <f t="shared" si="102"/>
        <v>6326</v>
      </c>
      <c r="AA32" s="3889"/>
      <c r="AB32" s="7231">
        <f t="shared" si="103"/>
        <v>15108</v>
      </c>
      <c r="AC32" s="6724"/>
      <c r="AD32" s="4086">
        <v>945</v>
      </c>
      <c r="AE32" s="1646"/>
      <c r="AF32" s="4466">
        <f t="shared" si="104"/>
        <v>16053</v>
      </c>
      <c r="AG32" s="3867"/>
      <c r="AH32" s="4086">
        <v>593</v>
      </c>
      <c r="AI32" s="1646"/>
      <c r="AJ32" s="4466">
        <f t="shared" si="105"/>
        <v>16646</v>
      </c>
      <c r="AK32" s="3867"/>
      <c r="AL32" s="4086">
        <v>1851</v>
      </c>
      <c r="AM32" s="1646"/>
      <c r="AN32" s="4854">
        <f t="shared" si="106"/>
        <v>3389</v>
      </c>
      <c r="AO32" s="3889"/>
      <c r="AP32" s="4466">
        <f t="shared" si="107"/>
        <v>18497</v>
      </c>
      <c r="AQ32" s="3867"/>
      <c r="AR32" s="4086">
        <v>0</v>
      </c>
      <c r="AS32" s="1646"/>
      <c r="AT32" s="4466">
        <f t="shared" si="108"/>
        <v>18497</v>
      </c>
      <c r="AU32" s="3867"/>
      <c r="AV32" s="4086">
        <v>0</v>
      </c>
      <c r="AW32" s="1646"/>
      <c r="AX32" s="4466">
        <f t="shared" si="109"/>
        <v>18497</v>
      </c>
      <c r="AY32" s="3867"/>
      <c r="AZ32" s="4086">
        <v>0</v>
      </c>
      <c r="BA32" s="1646"/>
      <c r="BB32" s="4854">
        <f t="shared" si="110"/>
        <v>0</v>
      </c>
      <c r="BC32" s="3889"/>
      <c r="BD32" s="4854">
        <f t="shared" si="96"/>
        <v>3389</v>
      </c>
      <c r="BE32" s="3889">
        <f t="shared" si="97"/>
        <v>0</v>
      </c>
      <c r="BF32" s="7231">
        <f t="shared" si="111"/>
        <v>18497</v>
      </c>
      <c r="BG32" s="6724"/>
    </row>
    <row r="33" spans="4:59" ht="18" x14ac:dyDescent="0.2">
      <c r="D33" s="4049" t="s">
        <v>2043</v>
      </c>
      <c r="E33" s="4010" t="s">
        <v>170</v>
      </c>
      <c r="F33" s="4086">
        <v>34015</v>
      </c>
      <c r="G33" s="3835"/>
      <c r="H33" s="4086">
        <v>32703</v>
      </c>
      <c r="I33" s="1646"/>
      <c r="J33" s="4466">
        <f t="shared" si="98"/>
        <v>66718</v>
      </c>
      <c r="K33" s="3867"/>
      <c r="L33" s="4086">
        <v>37180</v>
      </c>
      <c r="M33" s="1646"/>
      <c r="N33" s="4854">
        <f t="shared" si="99"/>
        <v>103898</v>
      </c>
      <c r="O33" s="3889"/>
      <c r="P33" s="4086">
        <v>41075</v>
      </c>
      <c r="Q33" s="1646"/>
      <c r="R33" s="4466">
        <f t="shared" si="100"/>
        <v>144973</v>
      </c>
      <c r="S33" s="3867"/>
      <c r="T33" s="4086">
        <v>41632</v>
      </c>
      <c r="U33" s="1646"/>
      <c r="V33" s="4466">
        <f t="shared" si="101"/>
        <v>186605</v>
      </c>
      <c r="W33" s="3867"/>
      <c r="X33" s="4086">
        <v>25135</v>
      </c>
      <c r="Y33" s="1646"/>
      <c r="Z33" s="4854">
        <f t="shared" si="102"/>
        <v>107842</v>
      </c>
      <c r="AA33" s="3889"/>
      <c r="AB33" s="7231">
        <f t="shared" si="103"/>
        <v>211740</v>
      </c>
      <c r="AC33" s="6724"/>
      <c r="AD33" s="4086">
        <v>23236</v>
      </c>
      <c r="AE33" s="1646"/>
      <c r="AF33" s="4466">
        <f t="shared" si="104"/>
        <v>234976</v>
      </c>
      <c r="AG33" s="3867"/>
      <c r="AH33" s="4086">
        <v>30212</v>
      </c>
      <c r="AI33" s="1646"/>
      <c r="AJ33" s="4466">
        <f t="shared" si="105"/>
        <v>265188</v>
      </c>
      <c r="AK33" s="3867"/>
      <c r="AL33" s="4086">
        <v>37472</v>
      </c>
      <c r="AM33" s="1646"/>
      <c r="AN33" s="4854">
        <f t="shared" si="106"/>
        <v>90920</v>
      </c>
      <c r="AO33" s="3889"/>
      <c r="AP33" s="4466">
        <f t="shared" si="107"/>
        <v>302660</v>
      </c>
      <c r="AQ33" s="3867"/>
      <c r="AR33" s="4086">
        <v>47172</v>
      </c>
      <c r="AS33" s="1646"/>
      <c r="AT33" s="4466">
        <f t="shared" si="108"/>
        <v>349832</v>
      </c>
      <c r="AU33" s="3867"/>
      <c r="AV33" s="4086">
        <v>42434</v>
      </c>
      <c r="AW33" s="1646"/>
      <c r="AX33" s="4466">
        <f t="shared" si="109"/>
        <v>392266</v>
      </c>
      <c r="AY33" s="3867"/>
      <c r="AZ33" s="4086">
        <v>47460</v>
      </c>
      <c r="BA33" s="1646"/>
      <c r="BB33" s="4854">
        <f t="shared" si="110"/>
        <v>137066</v>
      </c>
      <c r="BC33" s="3889"/>
      <c r="BD33" s="4854">
        <f t="shared" si="96"/>
        <v>227986</v>
      </c>
      <c r="BE33" s="3889">
        <f t="shared" si="97"/>
        <v>0</v>
      </c>
      <c r="BF33" s="7231">
        <f t="shared" si="111"/>
        <v>439726</v>
      </c>
      <c r="BG33" s="6724"/>
    </row>
    <row r="34" spans="4:59" ht="18" x14ac:dyDescent="0.2">
      <c r="D34" s="4049" t="s">
        <v>2044</v>
      </c>
      <c r="E34" s="4010" t="s">
        <v>170</v>
      </c>
      <c r="F34" s="4086">
        <v>9253</v>
      </c>
      <c r="G34" s="2750"/>
      <c r="H34" s="4086">
        <v>9510</v>
      </c>
      <c r="I34" s="1646"/>
      <c r="J34" s="4466">
        <f t="shared" si="98"/>
        <v>18763</v>
      </c>
      <c r="K34" s="1823"/>
      <c r="L34" s="4086">
        <v>10460</v>
      </c>
      <c r="M34" s="1646"/>
      <c r="N34" s="4854">
        <f t="shared" si="99"/>
        <v>29223</v>
      </c>
      <c r="O34" s="2011"/>
      <c r="P34" s="4086">
        <v>13226</v>
      </c>
      <c r="Q34" s="1646"/>
      <c r="R34" s="4466">
        <f t="shared" si="100"/>
        <v>42449</v>
      </c>
      <c r="S34" s="1823"/>
      <c r="T34" s="4086">
        <v>12665</v>
      </c>
      <c r="U34" s="1646"/>
      <c r="V34" s="4466">
        <f t="shared" si="101"/>
        <v>55114</v>
      </c>
      <c r="W34" s="1823"/>
      <c r="X34" s="4086">
        <v>8431</v>
      </c>
      <c r="Y34" s="1646"/>
      <c r="Z34" s="4854">
        <f t="shared" si="102"/>
        <v>34322</v>
      </c>
      <c r="AA34" s="2011"/>
      <c r="AB34" s="7231">
        <f t="shared" si="103"/>
        <v>63545</v>
      </c>
      <c r="AC34" s="6531"/>
      <c r="AD34" s="4086">
        <v>8878</v>
      </c>
      <c r="AE34" s="1646"/>
      <c r="AF34" s="4466">
        <f t="shared" si="104"/>
        <v>72423</v>
      </c>
      <c r="AG34" s="1823"/>
      <c r="AH34" s="4086">
        <v>11457</v>
      </c>
      <c r="AI34" s="1646"/>
      <c r="AJ34" s="4466">
        <f t="shared" si="105"/>
        <v>83880</v>
      </c>
      <c r="AK34" s="1823"/>
      <c r="AL34" s="4086">
        <v>13225</v>
      </c>
      <c r="AM34" s="1646"/>
      <c r="AN34" s="4854">
        <f t="shared" si="106"/>
        <v>33560</v>
      </c>
      <c r="AO34" s="2011"/>
      <c r="AP34" s="4466">
        <f t="shared" si="107"/>
        <v>97105</v>
      </c>
      <c r="AQ34" s="1823"/>
      <c r="AR34" s="4086">
        <v>12545</v>
      </c>
      <c r="AS34" s="1646"/>
      <c r="AT34" s="4466">
        <f t="shared" si="108"/>
        <v>109650</v>
      </c>
      <c r="AU34" s="1823"/>
      <c r="AV34" s="4086">
        <v>7493</v>
      </c>
      <c r="AW34" s="1646"/>
      <c r="AX34" s="4466">
        <f t="shared" si="109"/>
        <v>117143</v>
      </c>
      <c r="AY34" s="1823"/>
      <c r="AZ34" s="4086">
        <v>9995</v>
      </c>
      <c r="BA34" s="1646"/>
      <c r="BB34" s="4854">
        <f t="shared" si="110"/>
        <v>30033</v>
      </c>
      <c r="BC34" s="2011"/>
      <c r="BD34" s="4854">
        <f t="shared" si="96"/>
        <v>63593</v>
      </c>
      <c r="BE34" s="2011">
        <f t="shared" si="97"/>
        <v>0</v>
      </c>
      <c r="BF34" s="7231">
        <f t="shared" si="111"/>
        <v>127138</v>
      </c>
      <c r="BG34" s="6531"/>
    </row>
    <row r="35" spans="4:59" ht="18" x14ac:dyDescent="0.2">
      <c r="D35" s="4049" t="s">
        <v>2045</v>
      </c>
      <c r="E35" s="4010" t="s">
        <v>170</v>
      </c>
      <c r="F35" s="4086">
        <v>4545</v>
      </c>
      <c r="G35" s="2750"/>
      <c r="H35" s="4086">
        <v>3467</v>
      </c>
      <c r="I35" s="1646"/>
      <c r="J35" s="4466">
        <f t="shared" si="98"/>
        <v>8012</v>
      </c>
      <c r="K35" s="1823"/>
      <c r="L35" s="4086">
        <v>7659</v>
      </c>
      <c r="M35" s="1646"/>
      <c r="N35" s="4854">
        <f t="shared" si="99"/>
        <v>15671</v>
      </c>
      <c r="O35" s="2011"/>
      <c r="P35" s="4086">
        <v>6329</v>
      </c>
      <c r="Q35" s="1646"/>
      <c r="R35" s="4466">
        <f t="shared" si="100"/>
        <v>22000</v>
      </c>
      <c r="S35" s="1823"/>
      <c r="T35" s="4086">
        <v>4171</v>
      </c>
      <c r="U35" s="1646"/>
      <c r="V35" s="4466">
        <f t="shared" si="101"/>
        <v>26171</v>
      </c>
      <c r="W35" s="1823"/>
      <c r="X35" s="4086">
        <v>6464</v>
      </c>
      <c r="Y35" s="1646"/>
      <c r="Z35" s="4854">
        <f t="shared" si="102"/>
        <v>16964</v>
      </c>
      <c r="AA35" s="2011"/>
      <c r="AB35" s="7231">
        <f t="shared" si="103"/>
        <v>32635</v>
      </c>
      <c r="AC35" s="6531"/>
      <c r="AD35" s="4086">
        <v>1281</v>
      </c>
      <c r="AE35" s="1646"/>
      <c r="AF35" s="4466">
        <f t="shared" si="104"/>
        <v>33916</v>
      </c>
      <c r="AG35" s="1823"/>
      <c r="AH35" s="4086">
        <v>4752</v>
      </c>
      <c r="AI35" s="1646"/>
      <c r="AJ35" s="4466">
        <f t="shared" si="105"/>
        <v>38668</v>
      </c>
      <c r="AK35" s="1823"/>
      <c r="AL35" s="4086">
        <v>2396</v>
      </c>
      <c r="AM35" s="1646"/>
      <c r="AN35" s="4854">
        <f t="shared" si="106"/>
        <v>8429</v>
      </c>
      <c r="AO35" s="2011"/>
      <c r="AP35" s="4466">
        <f t="shared" si="107"/>
        <v>41064</v>
      </c>
      <c r="AQ35" s="1823"/>
      <c r="AR35" s="4086">
        <v>3297</v>
      </c>
      <c r="AS35" s="1646"/>
      <c r="AT35" s="4466">
        <f t="shared" si="108"/>
        <v>44361</v>
      </c>
      <c r="AU35" s="1823"/>
      <c r="AV35" s="4086">
        <v>2549</v>
      </c>
      <c r="AW35" s="1646"/>
      <c r="AX35" s="4466">
        <f t="shared" si="109"/>
        <v>46910</v>
      </c>
      <c r="AY35" s="1823"/>
      <c r="AZ35" s="4086">
        <v>1999</v>
      </c>
      <c r="BA35" s="1646"/>
      <c r="BB35" s="4854">
        <f t="shared" si="110"/>
        <v>7845</v>
      </c>
      <c r="BC35" s="2011"/>
      <c r="BD35" s="4854">
        <f t="shared" si="96"/>
        <v>16274</v>
      </c>
      <c r="BE35" s="2011">
        <f t="shared" si="97"/>
        <v>0</v>
      </c>
      <c r="BF35" s="7231">
        <f t="shared" si="111"/>
        <v>48909</v>
      </c>
      <c r="BG35" s="6531"/>
    </row>
    <row r="36" spans="4:59" ht="19" thickBot="1" x14ac:dyDescent="0.25">
      <c r="D36" s="5657" t="s">
        <v>2046</v>
      </c>
      <c r="E36" s="4012" t="s">
        <v>170</v>
      </c>
      <c r="F36" s="4862">
        <v>100</v>
      </c>
      <c r="G36" s="2818"/>
      <c r="H36" s="4862">
        <v>0</v>
      </c>
      <c r="I36" s="1817"/>
      <c r="J36" s="4823">
        <f t="shared" si="98"/>
        <v>100</v>
      </c>
      <c r="K36" s="1828"/>
      <c r="L36" s="4862">
        <v>200</v>
      </c>
      <c r="M36" s="1817"/>
      <c r="N36" s="4930">
        <f t="shared" si="99"/>
        <v>300</v>
      </c>
      <c r="O36" s="2017"/>
      <c r="P36" s="4862">
        <v>2412</v>
      </c>
      <c r="Q36" s="1817"/>
      <c r="R36" s="4823">
        <f t="shared" si="100"/>
        <v>2712</v>
      </c>
      <c r="S36" s="1828"/>
      <c r="T36" s="4862">
        <v>1300</v>
      </c>
      <c r="U36" s="1817"/>
      <c r="V36" s="4823">
        <f t="shared" si="101"/>
        <v>4012</v>
      </c>
      <c r="W36" s="1828"/>
      <c r="X36" s="4862">
        <v>244</v>
      </c>
      <c r="Y36" s="1817"/>
      <c r="Z36" s="4930">
        <f t="shared" si="102"/>
        <v>3956</v>
      </c>
      <c r="AA36" s="2017"/>
      <c r="AB36" s="7234">
        <f t="shared" si="103"/>
        <v>4256</v>
      </c>
      <c r="AC36" s="6593"/>
      <c r="AD36" s="4862">
        <v>85</v>
      </c>
      <c r="AE36" s="1817"/>
      <c r="AF36" s="4823">
        <f t="shared" si="104"/>
        <v>4341</v>
      </c>
      <c r="AG36" s="1828"/>
      <c r="AH36" s="4862">
        <v>0</v>
      </c>
      <c r="AI36" s="1817"/>
      <c r="AJ36" s="4823">
        <f t="shared" si="105"/>
        <v>4341</v>
      </c>
      <c r="AK36" s="1828"/>
      <c r="AL36" s="4862">
        <v>0</v>
      </c>
      <c r="AM36" s="1817"/>
      <c r="AN36" s="4930">
        <f t="shared" si="106"/>
        <v>85</v>
      </c>
      <c r="AO36" s="2017"/>
      <c r="AP36" s="4823">
        <f t="shared" si="107"/>
        <v>4341</v>
      </c>
      <c r="AQ36" s="1828"/>
      <c r="AR36" s="4862">
        <v>0</v>
      </c>
      <c r="AS36" s="1817"/>
      <c r="AT36" s="4823">
        <f t="shared" si="108"/>
        <v>4341</v>
      </c>
      <c r="AU36" s="1828"/>
      <c r="AV36" s="4862">
        <v>0</v>
      </c>
      <c r="AW36" s="1817"/>
      <c r="AX36" s="4823">
        <f t="shared" si="109"/>
        <v>4341</v>
      </c>
      <c r="AY36" s="1828"/>
      <c r="AZ36" s="4862">
        <v>0</v>
      </c>
      <c r="BA36" s="1817"/>
      <c r="BB36" s="4930">
        <f t="shared" si="110"/>
        <v>0</v>
      </c>
      <c r="BC36" s="2017"/>
      <c r="BD36" s="4930">
        <f t="shared" si="96"/>
        <v>85</v>
      </c>
      <c r="BE36" s="2017">
        <f t="shared" si="97"/>
        <v>0</v>
      </c>
      <c r="BF36" s="7234">
        <f t="shared" si="111"/>
        <v>4341</v>
      </c>
      <c r="BG36" s="6593"/>
    </row>
    <row r="37" spans="4:59" x14ac:dyDescent="0.2">
      <c r="AR37" s="8011"/>
      <c r="AS37" s="8011"/>
      <c r="AT37" s="8011"/>
      <c r="AU37" s="8011"/>
    </row>
    <row r="38" spans="4:59" x14ac:dyDescent="0.2">
      <c r="AR38" s="8011"/>
      <c r="AS38" s="8011"/>
      <c r="AT38" s="8011"/>
      <c r="AU38" s="8011"/>
    </row>
    <row r="39" spans="4:59" x14ac:dyDescent="0.2">
      <c r="AR39" s="8011"/>
      <c r="AS39" s="8011"/>
      <c r="AT39" s="8011"/>
      <c r="AU39" s="8011"/>
    </row>
    <row r="40" spans="4:59" x14ac:dyDescent="0.2">
      <c r="AR40" s="8011"/>
      <c r="AS40" s="8011"/>
      <c r="AT40" s="8011"/>
      <c r="AU40" s="8011"/>
    </row>
    <row r="41" spans="4:59" x14ac:dyDescent="0.2">
      <c r="AR41" s="8011"/>
      <c r="AS41" s="8011"/>
      <c r="AT41" s="8011"/>
      <c r="AU41" s="8011"/>
    </row>
    <row r="42" spans="4:59" x14ac:dyDescent="0.2">
      <c r="AR42" s="8011"/>
      <c r="AS42" s="8011"/>
      <c r="AT42" s="8011"/>
      <c r="AU42" s="8011"/>
    </row>
    <row r="43" spans="4:59" x14ac:dyDescent="0.2">
      <c r="AR43" s="8011"/>
      <c r="AS43" s="8011"/>
      <c r="AT43" s="8011"/>
      <c r="AU43" s="8011"/>
    </row>
    <row r="44" spans="4:59" x14ac:dyDescent="0.2">
      <c r="AR44" s="8011"/>
      <c r="AS44" s="8011"/>
      <c r="AT44" s="8011"/>
      <c r="AU44" s="8011"/>
    </row>
    <row r="45" spans="4:59" x14ac:dyDescent="0.2">
      <c r="AR45" s="8011"/>
      <c r="AS45" s="8011"/>
      <c r="AT45" s="8011"/>
      <c r="AU45" s="8011"/>
    </row>
    <row r="46" spans="4:59" x14ac:dyDescent="0.2">
      <c r="AR46" s="8011"/>
      <c r="AS46" s="8011"/>
      <c r="AT46" s="8011"/>
      <c r="AU46" s="8011"/>
    </row>
    <row r="47" spans="4:59" x14ac:dyDescent="0.2">
      <c r="AR47" s="8011"/>
      <c r="AS47" s="8011"/>
      <c r="AT47" s="8011"/>
      <c r="AU47" s="8011"/>
    </row>
    <row r="48" spans="4:59" x14ac:dyDescent="0.2">
      <c r="AR48" s="8011"/>
      <c r="AS48" s="8011"/>
      <c r="AT48" s="8011"/>
      <c r="AU48" s="8011"/>
    </row>
    <row r="49" spans="44:47" x14ac:dyDescent="0.2">
      <c r="AR49" s="8011"/>
      <c r="AS49" s="8011"/>
      <c r="AT49" s="8011"/>
      <c r="AU49" s="8011"/>
    </row>
    <row r="50" spans="44:47" x14ac:dyDescent="0.2">
      <c r="AR50" s="8011"/>
      <c r="AS50" s="8011"/>
      <c r="AT50" s="8011"/>
      <c r="AU50" s="8011"/>
    </row>
    <row r="51" spans="44:47" x14ac:dyDescent="0.2">
      <c r="AR51" s="8011"/>
      <c r="AS51" s="8011"/>
      <c r="AT51" s="8011"/>
      <c r="AU51" s="8011"/>
    </row>
    <row r="52" spans="44:47" x14ac:dyDescent="0.2">
      <c r="AR52" s="8011"/>
      <c r="AS52" s="8011"/>
      <c r="AT52" s="8011"/>
      <c r="AU52" s="8011"/>
    </row>
    <row r="53" spans="44:47" x14ac:dyDescent="0.2">
      <c r="AR53" s="8011"/>
      <c r="AS53" s="8011"/>
      <c r="AT53" s="8011"/>
      <c r="AU53" s="8011"/>
    </row>
    <row r="54" spans="44:47" x14ac:dyDescent="0.2">
      <c r="AR54" s="8011"/>
      <c r="AS54" s="8011"/>
      <c r="AT54" s="8011"/>
      <c r="AU54" s="8011"/>
    </row>
    <row r="55" spans="44:47" x14ac:dyDescent="0.2">
      <c r="AR55" s="8011"/>
      <c r="AS55" s="8011"/>
      <c r="AT55" s="8011"/>
      <c r="AU55" s="8011"/>
    </row>
    <row r="56" spans="44:47" x14ac:dyDescent="0.2">
      <c r="AR56" s="8011"/>
      <c r="AS56" s="8011"/>
      <c r="AT56" s="8011"/>
      <c r="AU56" s="8011"/>
    </row>
    <row r="57" spans="44:47" x14ac:dyDescent="0.2">
      <c r="AR57" s="8011"/>
      <c r="AS57" s="8011"/>
      <c r="AT57" s="8011"/>
      <c r="AU57" s="8011"/>
    </row>
    <row r="58" spans="44:47" x14ac:dyDescent="0.2">
      <c r="AR58" s="8011"/>
      <c r="AS58" s="8011"/>
      <c r="AT58" s="8011"/>
      <c r="AU58" s="8011"/>
    </row>
    <row r="59" spans="44:47" x14ac:dyDescent="0.2">
      <c r="AR59" s="8011"/>
      <c r="AS59" s="8011"/>
      <c r="AT59" s="8011"/>
      <c r="AU59" s="8011"/>
    </row>
    <row r="60" spans="44:47" x14ac:dyDescent="0.2">
      <c r="AR60" s="8011"/>
      <c r="AS60" s="8011"/>
      <c r="AT60" s="8011"/>
      <c r="AU60" s="8011"/>
    </row>
    <row r="61" spans="44:47" x14ac:dyDescent="0.2">
      <c r="AR61" s="8011"/>
      <c r="AS61" s="8011"/>
      <c r="AT61" s="8011"/>
      <c r="AU61" s="8011"/>
    </row>
    <row r="62" spans="44:47" x14ac:dyDescent="0.2">
      <c r="AR62" s="8011"/>
      <c r="AS62" s="8011"/>
      <c r="AT62" s="8011"/>
      <c r="AU62" s="8011"/>
    </row>
    <row r="63" spans="44:47" x14ac:dyDescent="0.2">
      <c r="AR63" s="8011"/>
      <c r="AS63" s="8011"/>
      <c r="AT63" s="8011"/>
      <c r="AU63" s="8011"/>
    </row>
    <row r="64" spans="44:47" x14ac:dyDescent="0.2">
      <c r="AR64" s="8011"/>
      <c r="AS64" s="8011"/>
      <c r="AT64" s="8011"/>
      <c r="AU64" s="8011"/>
    </row>
    <row r="65" spans="44:47" x14ac:dyDescent="0.2">
      <c r="AR65" s="8011"/>
      <c r="AS65" s="8011"/>
      <c r="AT65" s="8011"/>
      <c r="AU65" s="8011"/>
    </row>
    <row r="66" spans="44:47" x14ac:dyDescent="0.2">
      <c r="AR66" s="8011"/>
      <c r="AS66" s="8011"/>
      <c r="AT66" s="8011"/>
      <c r="AU66" s="8011"/>
    </row>
    <row r="67" spans="44:47" x14ac:dyDescent="0.2">
      <c r="AR67" s="8011"/>
      <c r="AS67" s="8011"/>
      <c r="AT67" s="8011"/>
      <c r="AU67" s="8011"/>
    </row>
    <row r="68" spans="44:47" x14ac:dyDescent="0.2">
      <c r="AR68" s="8011"/>
      <c r="AS68" s="8011"/>
      <c r="AT68" s="8011"/>
      <c r="AU68" s="8011"/>
    </row>
    <row r="69" spans="44:47" x14ac:dyDescent="0.2">
      <c r="AR69" s="8011"/>
      <c r="AS69" s="8011"/>
      <c r="AT69" s="8011"/>
      <c r="AU69" s="8011"/>
    </row>
    <row r="70" spans="44:47" x14ac:dyDescent="0.2">
      <c r="AR70" s="8011"/>
      <c r="AS70" s="8011"/>
      <c r="AT70" s="8011"/>
      <c r="AU70" s="8011"/>
    </row>
    <row r="71" spans="44:47" x14ac:dyDescent="0.2">
      <c r="AR71" s="8011"/>
      <c r="AS71" s="8011"/>
      <c r="AT71" s="8011"/>
      <c r="AU71" s="8011"/>
    </row>
    <row r="72" spans="44:47" x14ac:dyDescent="0.2">
      <c r="AR72" s="8011"/>
      <c r="AS72" s="8011"/>
      <c r="AT72" s="8011"/>
      <c r="AU72" s="8011"/>
    </row>
    <row r="73" spans="44:47" x14ac:dyDescent="0.2">
      <c r="AR73" s="8011"/>
      <c r="AS73" s="8011"/>
      <c r="AT73" s="8011"/>
      <c r="AU73" s="8011"/>
    </row>
    <row r="74" spans="44:47" x14ac:dyDescent="0.2">
      <c r="AR74" s="8011"/>
      <c r="AS74" s="8011"/>
    </row>
    <row r="75" spans="44:47" x14ac:dyDescent="0.2">
      <c r="AR75" s="8011"/>
      <c r="AS75" s="8011"/>
    </row>
    <row r="76" spans="44:47" x14ac:dyDescent="0.2">
      <c r="AR76" s="8011"/>
      <c r="AS76" s="8011"/>
    </row>
    <row r="77" spans="44:47" x14ac:dyDescent="0.2">
      <c r="AR77" s="8011"/>
      <c r="AS77" s="8011"/>
    </row>
    <row r="78" spans="44:47" x14ac:dyDescent="0.2">
      <c r="AR78" s="8011"/>
      <c r="AS78" s="8011"/>
    </row>
    <row r="79" spans="44:47" x14ac:dyDescent="0.2">
      <c r="AR79" s="8011"/>
      <c r="AS79" s="8011"/>
    </row>
    <row r="80" spans="44:47" x14ac:dyDescent="0.2">
      <c r="AR80" s="8011"/>
      <c r="AS80" s="8011"/>
    </row>
    <row r="81" spans="44:45" x14ac:dyDescent="0.2">
      <c r="AR81" s="8011"/>
      <c r="AS81" s="8011"/>
    </row>
    <row r="82" spans="44:45" x14ac:dyDescent="0.2">
      <c r="AR82" s="8011"/>
      <c r="AS82" s="8011"/>
    </row>
    <row r="83" spans="44:45" x14ac:dyDescent="0.2">
      <c r="AR83" s="8011"/>
      <c r="AS83" s="8011"/>
    </row>
    <row r="84" spans="44:45" x14ac:dyDescent="0.2">
      <c r="AR84" s="8011"/>
      <c r="AS84" s="8011"/>
    </row>
    <row r="85" spans="44:45" x14ac:dyDescent="0.2">
      <c r="AR85" s="8011"/>
      <c r="AS85" s="8011"/>
    </row>
    <row r="86" spans="44:45" x14ac:dyDescent="0.2">
      <c r="AR86" s="8011"/>
      <c r="AS86" s="8011"/>
    </row>
    <row r="87" spans="44:45" x14ac:dyDescent="0.2">
      <c r="AR87" s="8011"/>
      <c r="AS87" s="8011"/>
    </row>
    <row r="88" spans="44:45" x14ac:dyDescent="0.2">
      <c r="AR88" s="8011"/>
      <c r="AS88" s="8011"/>
    </row>
  </sheetData>
  <mergeCells count="56">
    <mergeCell ref="AF3:AG3"/>
    <mergeCell ref="AD4:AE4"/>
    <mergeCell ref="D3:D4"/>
    <mergeCell ref="E3:E4"/>
    <mergeCell ref="F3:G3"/>
    <mergeCell ref="H3:I3"/>
    <mergeCell ref="J3:K3"/>
    <mergeCell ref="F4:G4"/>
    <mergeCell ref="H4:I4"/>
    <mergeCell ref="J4:K4"/>
    <mergeCell ref="N3:O3"/>
    <mergeCell ref="L4:M4"/>
    <mergeCell ref="N4:O4"/>
    <mergeCell ref="T3:U3"/>
    <mergeCell ref="V4:W4"/>
    <mergeCell ref="P3:Q3"/>
    <mergeCell ref="R3:S3"/>
    <mergeCell ref="L3:M3"/>
    <mergeCell ref="AH3:AI3"/>
    <mergeCell ref="AJ3:AK3"/>
    <mergeCell ref="AH4:AI4"/>
    <mergeCell ref="AJ4:AK4"/>
    <mergeCell ref="P4:Q4"/>
    <mergeCell ref="R4:S4"/>
    <mergeCell ref="T4:U4"/>
    <mergeCell ref="V3:W3"/>
    <mergeCell ref="AF4:AG4"/>
    <mergeCell ref="X3:Y3"/>
    <mergeCell ref="AB3:AC3"/>
    <mergeCell ref="X4:Y4"/>
    <mergeCell ref="AB4:AC4"/>
    <mergeCell ref="Z3:AA3"/>
    <mergeCell ref="Z4:AA4"/>
    <mergeCell ref="AD3:AE3"/>
    <mergeCell ref="AV3:AW3"/>
    <mergeCell ref="AX3:AY3"/>
    <mergeCell ref="AV4:AW4"/>
    <mergeCell ref="AX4:AY4"/>
    <mergeCell ref="AL3:AM3"/>
    <mergeCell ref="AN3:AO3"/>
    <mergeCell ref="AP3:AQ3"/>
    <mergeCell ref="AL4:AM4"/>
    <mergeCell ref="AN4:AO4"/>
    <mergeCell ref="AP4:AQ4"/>
    <mergeCell ref="AR3:AS3"/>
    <mergeCell ref="AR4:AS4"/>
    <mergeCell ref="AT3:AU3"/>
    <mergeCell ref="AT4:AU4"/>
    <mergeCell ref="AZ3:BA3"/>
    <mergeCell ref="BB3:BC3"/>
    <mergeCell ref="BF3:BG3"/>
    <mergeCell ref="AZ4:BA4"/>
    <mergeCell ref="BB4:BC4"/>
    <mergeCell ref="BF4:BG4"/>
    <mergeCell ref="BD3:BE3"/>
    <mergeCell ref="BD4:B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AT55"/>
  <sheetViews>
    <sheetView topLeftCell="A34" zoomScaleNormal="100" workbookViewId="0">
      <pane xSplit="3" topLeftCell="U1" activePane="topRight" state="frozen"/>
      <selection pane="topRight" activeCell="AQ12" sqref="AQ12"/>
    </sheetView>
  </sheetViews>
  <sheetFormatPr baseColWidth="10" defaultColWidth="9.1640625" defaultRowHeight="15" x14ac:dyDescent="0.2"/>
  <cols>
    <col min="1" max="1" width="9.1640625" style="3378"/>
    <col min="2" max="2" width="60" style="7897" customWidth="1"/>
    <col min="3" max="3" width="11.6640625" style="7897" bestFit="1" customWidth="1"/>
    <col min="4" max="4" width="12.5" style="2100" hidden="1" customWidth="1"/>
    <col min="5" max="5" width="11.33203125" style="2265" customWidth="1"/>
    <col min="6" max="6" width="12" style="2100" hidden="1" customWidth="1"/>
    <col min="7" max="7" width="12.1640625" style="2265" customWidth="1"/>
    <col min="8" max="8" width="9.1640625" style="2100" hidden="1" customWidth="1"/>
    <col min="9" max="9" width="10.1640625" style="2265" customWidth="1"/>
    <col min="10" max="10" width="11.1640625" style="2100" hidden="1" customWidth="1"/>
    <col min="11" max="11" width="11.5" style="2265" customWidth="1"/>
    <col min="12" max="12" width="11" style="2100" hidden="1" customWidth="1"/>
    <col min="13" max="13" width="11.83203125" style="2265" customWidth="1"/>
    <col min="14" max="14" width="9.1640625" style="2100" hidden="1" customWidth="1"/>
    <col min="15" max="15" width="14.5" style="3453" customWidth="1"/>
    <col min="16" max="16" width="9.1640625" style="2100" hidden="1" customWidth="1"/>
    <col min="17" max="17" width="9.5" style="2265" customWidth="1"/>
    <col min="18" max="18" width="9.1640625" style="7897" hidden="1" customWidth="1"/>
    <col min="19" max="19" width="9.1640625" style="7897" customWidth="1"/>
    <col min="20" max="20" width="9.1640625" style="7897" hidden="1" customWidth="1"/>
    <col min="21" max="21" width="9.1640625" style="7897" customWidth="1"/>
    <col min="22" max="22" width="9.1640625" style="7897" hidden="1" customWidth="1"/>
    <col min="23" max="23" width="9.1640625" style="7897" customWidth="1"/>
    <col min="24" max="24" width="9.1640625" style="7897" hidden="1" customWidth="1"/>
    <col min="25" max="25" width="9.1640625" style="7897" customWidth="1"/>
    <col min="26" max="26" width="9.1640625" style="7897" hidden="1" customWidth="1"/>
    <col min="27" max="27" width="9.1640625" style="7897" customWidth="1"/>
    <col min="28" max="28" width="9.1640625" style="7897" hidden="1" customWidth="1"/>
    <col min="29" max="29" width="9.1640625" style="7897" customWidth="1"/>
    <col min="30" max="30" width="9.1640625" style="7897" hidden="1" customWidth="1"/>
    <col min="31" max="31" width="9.1640625" style="7897" customWidth="1"/>
    <col min="32" max="32" width="9.1640625" style="7897" hidden="1" customWidth="1"/>
    <col min="33" max="33" width="9.1640625" style="7897" customWidth="1"/>
    <col min="34" max="34" width="11.5" style="7897" hidden="1" customWidth="1"/>
    <col min="35" max="35" width="9.83203125" style="7897" customWidth="1"/>
    <col min="36" max="36" width="10" style="7897" hidden="1" customWidth="1"/>
    <col min="37" max="37" width="9.5" style="7897" bestFit="1" customWidth="1"/>
    <col min="38" max="38" width="9" style="7897" hidden="1" customWidth="1"/>
    <col min="39" max="39" width="9.5" style="7897" bestFit="1" customWidth="1"/>
    <col min="40" max="40" width="9.1640625" style="7897" hidden="1" customWidth="1"/>
    <col min="41" max="41" width="9.1640625" style="7897"/>
    <col min="42" max="42" width="0" style="8011" hidden="1" customWidth="1"/>
    <col min="43" max="43" width="9.1640625" style="8011"/>
    <col min="44" max="44" width="0" style="8011" hidden="1" customWidth="1"/>
    <col min="45" max="45" width="9.1640625" style="8011"/>
    <col min="46" max="16384" width="9.1640625" style="7897"/>
  </cols>
  <sheetData>
    <row r="1" spans="2:45" ht="23" x14ac:dyDescent="0.25">
      <c r="B1" s="1641"/>
      <c r="C1" s="1537"/>
      <c r="D1" s="2883"/>
      <c r="E1" s="1833"/>
      <c r="F1" s="2883"/>
      <c r="G1" s="1833"/>
      <c r="H1" s="2883"/>
      <c r="I1" s="1833"/>
    </row>
    <row r="2" spans="2:45" ht="16" thickBot="1" x14ac:dyDescent="0.25">
      <c r="B2" s="1537"/>
      <c r="C2" s="1537"/>
      <c r="D2" s="2842">
        <v>30</v>
      </c>
      <c r="E2" s="2318">
        <v>30</v>
      </c>
      <c r="F2" s="2842">
        <v>31</v>
      </c>
      <c r="G2" s="2318">
        <v>31</v>
      </c>
      <c r="H2" s="2842">
        <f>+D2+F2</f>
        <v>61</v>
      </c>
      <c r="I2" s="2318">
        <f>+E2+G2</f>
        <v>61</v>
      </c>
      <c r="J2" s="2842">
        <v>30</v>
      </c>
      <c r="K2" s="2318">
        <v>30</v>
      </c>
      <c r="L2" s="2842">
        <f>+H2+J2</f>
        <v>91</v>
      </c>
      <c r="M2" s="2318">
        <f>+I2+K2</f>
        <v>91</v>
      </c>
      <c r="N2" s="2842">
        <v>31</v>
      </c>
      <c r="O2" s="6090">
        <v>31</v>
      </c>
      <c r="P2" s="2842">
        <f>+L2+N2</f>
        <v>122</v>
      </c>
      <c r="Q2" s="2318">
        <f>+M2+O2</f>
        <v>122</v>
      </c>
      <c r="R2" s="2842">
        <v>31</v>
      </c>
      <c r="S2" s="6090">
        <v>31</v>
      </c>
      <c r="T2" s="2842">
        <f>+P2+R2</f>
        <v>153</v>
      </c>
      <c r="U2" s="2318">
        <f>+Q2+S2</f>
        <v>153</v>
      </c>
      <c r="V2" s="2842">
        <v>30</v>
      </c>
      <c r="W2" s="6090">
        <v>30</v>
      </c>
      <c r="X2" s="2842">
        <f>+N2+R2+V2</f>
        <v>92</v>
      </c>
      <c r="Y2" s="2842">
        <f>+O2+S2+W2</f>
        <v>92</v>
      </c>
      <c r="Z2" s="2842">
        <f>+T2+V2</f>
        <v>183</v>
      </c>
      <c r="AA2" s="2318">
        <f>+U2+W2</f>
        <v>183</v>
      </c>
      <c r="AB2" s="2842">
        <v>31</v>
      </c>
      <c r="AC2" s="6090">
        <v>31</v>
      </c>
      <c r="AD2" s="2842">
        <f>+Z2+AB2</f>
        <v>214</v>
      </c>
      <c r="AE2" s="2318">
        <f>+AA2+AC2</f>
        <v>214</v>
      </c>
      <c r="AF2" s="2842">
        <v>30</v>
      </c>
      <c r="AG2" s="6090">
        <v>30</v>
      </c>
      <c r="AH2" s="2842">
        <f>+AD2+AF2</f>
        <v>244</v>
      </c>
      <c r="AI2" s="2318">
        <f>+AE2+AG2</f>
        <v>244</v>
      </c>
      <c r="AJ2" s="2842">
        <v>31</v>
      </c>
      <c r="AK2" s="6090">
        <v>31</v>
      </c>
      <c r="AL2" s="2842">
        <f>+AB2+AF2+AJ2</f>
        <v>92</v>
      </c>
      <c r="AM2" s="2842">
        <f>+AC2+AG2+AK2</f>
        <v>92</v>
      </c>
      <c r="AN2" s="2842">
        <f>+AH2+AJ2</f>
        <v>275</v>
      </c>
      <c r="AO2" s="2318">
        <f>+AI2+AK2</f>
        <v>275</v>
      </c>
      <c r="AP2" s="2842">
        <v>31</v>
      </c>
      <c r="AQ2" s="6090">
        <v>31</v>
      </c>
      <c r="AR2" s="2842">
        <f>+AN2+AP2</f>
        <v>306</v>
      </c>
      <c r="AS2" s="2318">
        <f>+AO2+AQ2</f>
        <v>306</v>
      </c>
    </row>
    <row r="3" spans="2:45" s="2265" customFormat="1" ht="16" thickBot="1" x14ac:dyDescent="0.25">
      <c r="B3" s="8707" t="s">
        <v>657</v>
      </c>
      <c r="C3" s="8709" t="s">
        <v>658</v>
      </c>
      <c r="D3" s="8644" t="s">
        <v>1859</v>
      </c>
      <c r="E3" s="8645"/>
      <c r="F3" s="8644" t="s">
        <v>1862</v>
      </c>
      <c r="G3" s="8644"/>
      <c r="H3" s="8646" t="s">
        <v>52</v>
      </c>
      <c r="I3" s="8647"/>
      <c r="J3" s="8703" t="s">
        <v>1863</v>
      </c>
      <c r="K3" s="8704"/>
      <c r="L3" s="8700" t="s">
        <v>1568</v>
      </c>
      <c r="M3" s="8699"/>
      <c r="N3" s="8644" t="s">
        <v>1864</v>
      </c>
      <c r="O3" s="8644"/>
      <c r="P3" s="8646" t="s">
        <v>62</v>
      </c>
      <c r="Q3" s="8647"/>
      <c r="R3" s="8644" t="s">
        <v>2160</v>
      </c>
      <c r="S3" s="8644"/>
      <c r="T3" s="8646" t="s">
        <v>64</v>
      </c>
      <c r="U3" s="8647"/>
      <c r="V3" s="8644" t="s">
        <v>2227</v>
      </c>
      <c r="W3" s="8644"/>
      <c r="X3" s="8698" t="s">
        <v>1717</v>
      </c>
      <c r="Y3" s="8699"/>
      <c r="Z3" s="8701" t="s">
        <v>1697</v>
      </c>
      <c r="AA3" s="8702"/>
      <c r="AB3" s="8644" t="s">
        <v>2265</v>
      </c>
      <c r="AC3" s="8644"/>
      <c r="AD3" s="8646" t="s">
        <v>101</v>
      </c>
      <c r="AE3" s="8647"/>
      <c r="AF3" s="8644" t="s">
        <v>2423</v>
      </c>
      <c r="AG3" s="8644"/>
      <c r="AH3" s="8646" t="s">
        <v>105</v>
      </c>
      <c r="AI3" s="8647"/>
      <c r="AJ3" s="8644" t="s">
        <v>2449</v>
      </c>
      <c r="AK3" s="8644"/>
      <c r="AL3" s="8698" t="s">
        <v>1756</v>
      </c>
      <c r="AM3" s="8699"/>
      <c r="AN3" s="8646" t="s">
        <v>108</v>
      </c>
      <c r="AO3" s="8647"/>
      <c r="AP3" s="8644" t="s">
        <v>2533</v>
      </c>
      <c r="AQ3" s="8644"/>
      <c r="AR3" s="8646" t="s">
        <v>110</v>
      </c>
      <c r="AS3" s="8647"/>
    </row>
    <row r="4" spans="2:45" s="2265" customFormat="1" ht="16" thickBot="1" x14ac:dyDescent="0.25">
      <c r="B4" s="8708"/>
      <c r="C4" s="8710"/>
      <c r="D4" s="7898" t="s">
        <v>659</v>
      </c>
      <c r="E4" s="3833" t="s">
        <v>660</v>
      </c>
      <c r="F4" s="7898" t="s">
        <v>659</v>
      </c>
      <c r="G4" s="3909" t="s">
        <v>660</v>
      </c>
      <c r="H4" s="3373" t="s">
        <v>659</v>
      </c>
      <c r="I4" s="3866" t="s">
        <v>660</v>
      </c>
      <c r="J4" s="7898" t="s">
        <v>659</v>
      </c>
      <c r="K4" s="3909" t="s">
        <v>660</v>
      </c>
      <c r="L4" s="7900" t="s">
        <v>659</v>
      </c>
      <c r="M4" s="3888" t="s">
        <v>660</v>
      </c>
      <c r="N4" s="7898" t="s">
        <v>659</v>
      </c>
      <c r="O4" s="6091" t="s">
        <v>660</v>
      </c>
      <c r="P4" s="3373" t="s">
        <v>659</v>
      </c>
      <c r="Q4" s="3866" t="s">
        <v>660</v>
      </c>
      <c r="R4" s="7898" t="s">
        <v>659</v>
      </c>
      <c r="S4" s="6091" t="s">
        <v>660</v>
      </c>
      <c r="T4" s="3373" t="s">
        <v>659</v>
      </c>
      <c r="U4" s="3866" t="s">
        <v>660</v>
      </c>
      <c r="V4" s="7898" t="s">
        <v>659</v>
      </c>
      <c r="W4" s="6876" t="s">
        <v>660</v>
      </c>
      <c r="X4" s="7899" t="s">
        <v>659</v>
      </c>
      <c r="Y4" s="3888" t="s">
        <v>660</v>
      </c>
      <c r="Z4" s="7908" t="s">
        <v>659</v>
      </c>
      <c r="AA4" s="6624" t="s">
        <v>660</v>
      </c>
      <c r="AB4" s="7898" t="s">
        <v>659</v>
      </c>
      <c r="AC4" s="6091" t="s">
        <v>660</v>
      </c>
      <c r="AD4" s="3373" t="s">
        <v>659</v>
      </c>
      <c r="AE4" s="3866" t="s">
        <v>660</v>
      </c>
      <c r="AF4" s="7898" t="s">
        <v>659</v>
      </c>
      <c r="AG4" s="6091" t="s">
        <v>660</v>
      </c>
      <c r="AH4" s="3373" t="s">
        <v>659</v>
      </c>
      <c r="AI4" s="3866" t="s">
        <v>660</v>
      </c>
      <c r="AJ4" s="7898" t="s">
        <v>659</v>
      </c>
      <c r="AK4" s="6876" t="s">
        <v>660</v>
      </c>
      <c r="AL4" s="7899" t="s">
        <v>659</v>
      </c>
      <c r="AM4" s="3888" t="s">
        <v>660</v>
      </c>
      <c r="AN4" s="3373" t="s">
        <v>659</v>
      </c>
      <c r="AO4" s="3866" t="s">
        <v>660</v>
      </c>
      <c r="AP4" s="8024" t="s">
        <v>659</v>
      </c>
      <c r="AQ4" s="6876" t="s">
        <v>660</v>
      </c>
      <c r="AR4" s="3373" t="s">
        <v>659</v>
      </c>
      <c r="AS4" s="3866" t="s">
        <v>660</v>
      </c>
    </row>
    <row r="6" spans="2:45" x14ac:dyDescent="0.2">
      <c r="B6" s="3938" t="s">
        <v>2473</v>
      </c>
      <c r="C6" s="7907" t="s">
        <v>863</v>
      </c>
      <c r="D6" s="7911">
        <f>+'COKE OVENS'!D327</f>
        <v>0</v>
      </c>
      <c r="E6" s="5043">
        <f>+'COKE OVENS'!E327</f>
        <v>10814.657796047888</v>
      </c>
      <c r="F6" s="5043">
        <f>+'COKE OVENS'!F327</f>
        <v>0</v>
      </c>
      <c r="G6" s="5043">
        <f>+'COKE OVENS'!G327</f>
        <v>10638.474288836878</v>
      </c>
      <c r="H6" s="5997">
        <f>+'COKE OVENS'!H327</f>
        <v>0</v>
      </c>
      <c r="I6" s="5997">
        <f>+'COKE OVENS'!I327</f>
        <v>21453.125000000015</v>
      </c>
      <c r="J6" s="2743">
        <f>+'COKE OVENS'!J327</f>
        <v>0</v>
      </c>
      <c r="K6" s="5043">
        <f>+'COKE OVENS'!K327</f>
        <v>8021.875</v>
      </c>
      <c r="L6" s="6004">
        <f>+'COKE OVENS'!L327</f>
        <v>0</v>
      </c>
      <c r="M6" s="6004">
        <f>+'COKE OVENS'!M327</f>
        <v>29474.999999999975</v>
      </c>
      <c r="N6" s="5043">
        <f>+'COKE OVENS'!N327</f>
        <v>0</v>
      </c>
      <c r="O6" s="6571">
        <f>+'COKE OVENS'!O327</f>
        <v>8043.7500000000055</v>
      </c>
      <c r="P6" s="4469">
        <f>+'COKE OVENS'!P327</f>
        <v>0</v>
      </c>
      <c r="Q6" s="5997">
        <f>+'COKE OVENS'!Q327</f>
        <v>37518.749999999985</v>
      </c>
      <c r="R6" s="5043">
        <f>+'COKE OVENS'!R327</f>
        <v>0</v>
      </c>
      <c r="S6" s="6571">
        <f>+'COKE OVENS'!S327</f>
        <v>8554.1145808843194</v>
      </c>
      <c r="T6" s="5997">
        <f>+'COKE OVENS'!T327</f>
        <v>0</v>
      </c>
      <c r="U6" s="5997">
        <f>+'COKE OVENS'!U327</f>
        <v>46072.860109646819</v>
      </c>
      <c r="V6" s="2743">
        <f>+'COKE OVENS'!V327</f>
        <v>0</v>
      </c>
      <c r="W6" s="6571">
        <f>+'COKE OVENS'!W327</f>
        <v>5592.7402474928695</v>
      </c>
      <c r="X6" s="6004">
        <f>+'COKE OVENS'!X327</f>
        <v>0</v>
      </c>
      <c r="Y6" s="6004">
        <f>+'COKE OVENS'!Y327</f>
        <v>22190.625</v>
      </c>
      <c r="Z6" s="7967">
        <f>+'COKE OVENS'!Z327</f>
        <v>0</v>
      </c>
      <c r="AA6" s="7967">
        <f>+'COKE OVENS'!AA327</f>
        <v>51665.625000000044</v>
      </c>
      <c r="AB6" s="2743">
        <f>+'COKE OVENS'!AB327</f>
        <v>0</v>
      </c>
      <c r="AC6" s="6571">
        <f>+'COKE OVENS'!AC327</f>
        <v>8150.0520838600769</v>
      </c>
      <c r="AD6" s="4469">
        <f>+'COKE OVENS'!AD327</f>
        <v>0</v>
      </c>
      <c r="AE6" s="5997">
        <f>+'COKE OVENS'!AE327</f>
        <v>59815.677526699496</v>
      </c>
      <c r="AF6" s="5043">
        <f>+'COKE OVENS'!AF327</f>
        <v>0</v>
      </c>
      <c r="AG6" s="6571">
        <f>+'COKE OVENS'!AG327</f>
        <v>6621.8750000000073</v>
      </c>
      <c r="AH6" s="4469">
        <f>+'COKE OVENS'!AH327</f>
        <v>0</v>
      </c>
      <c r="AI6" s="5997">
        <f>+'COKE OVENS'!AI327</f>
        <v>66437.550962485228</v>
      </c>
      <c r="AJ6" s="2743">
        <f>+'COKE OVENS'!AJ327</f>
        <v>0</v>
      </c>
      <c r="AK6" s="6571">
        <f>+'COKE OVENS'!AK327</f>
        <v>8405.4166666666806</v>
      </c>
      <c r="AL6" s="7968">
        <f>+'COKE OVENS'!AL327</f>
        <v>0</v>
      </c>
      <c r="AM6" s="6004">
        <f>+'COKE OVENS'!AM327</f>
        <v>23177.339546837662</v>
      </c>
      <c r="AN6" s="5997">
        <f>+'COKE OVENS'!AN327</f>
        <v>0</v>
      </c>
      <c r="AO6" s="5997">
        <f>+'COKE OVENS'!AO327</f>
        <v>74842.967600630072</v>
      </c>
      <c r="AP6" s="2743">
        <f>+'COKE OVENS'!AP327</f>
        <v>0</v>
      </c>
      <c r="AQ6" s="6571">
        <f>+'COKE OVENS'!AQ327</f>
        <v>8558.2812421682211</v>
      </c>
      <c r="AR6" s="4469">
        <f>+'COKE OVENS'!AR327</f>
        <v>0</v>
      </c>
      <c r="AS6" s="5997">
        <f>+'COKE OVENS'!AS327</f>
        <v>83401.250000000146</v>
      </c>
    </row>
    <row r="7" spans="2:45" ht="16" thickBot="1" x14ac:dyDescent="0.25">
      <c r="B7" s="7959" t="s">
        <v>2481</v>
      </c>
      <c r="C7" s="7960" t="s">
        <v>863</v>
      </c>
      <c r="D7" s="7961">
        <f>+'COKE OVENS'!D341</f>
        <v>0</v>
      </c>
      <c r="E7" s="7985">
        <f>+'COKE OVENS'!E341</f>
        <v>118107.14279978765</v>
      </c>
      <c r="F7" s="7985">
        <f>+'COKE OVENS'!F341</f>
        <v>0</v>
      </c>
      <c r="G7" s="7985">
        <f>+'COKE OVENS'!G341</f>
        <v>124107.28317805837</v>
      </c>
      <c r="H7" s="7986">
        <f>+'COKE OVENS'!H341</f>
        <v>0</v>
      </c>
      <c r="I7" s="7986">
        <f>+'COKE OVENS'!I341</f>
        <v>242214.43298969069</v>
      </c>
      <c r="J7" s="7987">
        <f>+'COKE OVENS'!J341</f>
        <v>0</v>
      </c>
      <c r="K7" s="7985">
        <f>+'COKE OVENS'!K341</f>
        <v>138534.02061855671</v>
      </c>
      <c r="L7" s="7988">
        <f>+'COKE OVENS'!L341</f>
        <v>0</v>
      </c>
      <c r="M7" s="7988">
        <f>+'COKE OVENS'!M341</f>
        <v>380748.45360824745</v>
      </c>
      <c r="N7" s="7985">
        <f>+'COKE OVENS'!N341</f>
        <v>0</v>
      </c>
      <c r="O7" s="7989">
        <f>+'COKE OVENS'!O341</f>
        <v>151195.87628865978</v>
      </c>
      <c r="P7" s="7990">
        <f>+'COKE OVENS'!P341</f>
        <v>0</v>
      </c>
      <c r="Q7" s="7986">
        <f>+'COKE OVENS'!Q341</f>
        <v>531944.32989690732</v>
      </c>
      <c r="R7" s="7985">
        <f>+'COKE OVENS'!R341</f>
        <v>0</v>
      </c>
      <c r="S7" s="7989">
        <f>+'COKE OVENS'!S341</f>
        <v>160785.61855912479</v>
      </c>
      <c r="T7" s="7986">
        <f>+'COKE OVENS'!T341</f>
        <v>0</v>
      </c>
      <c r="U7" s="7986">
        <f>+'COKE OVENS'!U341</f>
        <v>692729.95288117428</v>
      </c>
      <c r="V7" s="7987">
        <f>+'COKE OVENS'!V341</f>
        <v>0</v>
      </c>
      <c r="W7" s="7989">
        <f>+'COKE OVENS'!W341</f>
        <v>141169.04057980087</v>
      </c>
      <c r="X7" s="7988">
        <f>+'COKE OVENS'!X341</f>
        <v>0</v>
      </c>
      <c r="Y7" s="7988">
        <f>+'COKE OVENS'!Y341</f>
        <v>453150.51546391752</v>
      </c>
      <c r="Z7" s="7991">
        <f>+'COKE OVENS'!Z341</f>
        <v>0</v>
      </c>
      <c r="AA7" s="7991">
        <f>+'COKE OVENS'!AA341</f>
        <v>833898.96907216497</v>
      </c>
      <c r="AB7" s="7987">
        <f>+'COKE OVENS'!AB341</f>
        <v>0</v>
      </c>
      <c r="AC7" s="7989">
        <f>+'COKE OVENS'!AC341</f>
        <v>153284.48453556118</v>
      </c>
      <c r="AD7" s="7990">
        <f>+'COKE OVENS'!AD341</f>
        <v>0</v>
      </c>
      <c r="AE7" s="7986">
        <f>+'COKE OVENS'!AE341</f>
        <v>987183.45316945203</v>
      </c>
      <c r="AF7" s="7985">
        <f>+'COKE OVENS'!AF341</f>
        <v>0</v>
      </c>
      <c r="AG7" s="7989">
        <f>+'COKE OVENS'!AG341</f>
        <v>146381.44329896907</v>
      </c>
      <c r="AH7" s="7990">
        <f>+'COKE OVENS'!AH341</f>
        <v>0</v>
      </c>
      <c r="AI7" s="7986">
        <f>+'COKE OVENS'!AI341</f>
        <v>1133564.8980165094</v>
      </c>
      <c r="AJ7" s="7987">
        <f>+'COKE OVENS'!AJ341</f>
        <v>0</v>
      </c>
      <c r="AK7" s="7989">
        <f>+'COKE OVENS'!AK341</f>
        <v>160882.26804123708</v>
      </c>
      <c r="AL7" s="7992">
        <f>+'COKE OVENS'!AL341</f>
        <v>0</v>
      </c>
      <c r="AM7" s="7988">
        <f>+'COKE OVENS'!AM341</f>
        <v>460548.20003611932</v>
      </c>
      <c r="AN7" s="7986">
        <f>+'COKE OVENS'!AN341</f>
        <v>0</v>
      </c>
      <c r="AO7" s="7986">
        <f>+'COKE OVENS'!AO341</f>
        <v>1294447.1660859743</v>
      </c>
      <c r="AP7" s="7987">
        <f>+'COKE OVENS'!AP341</f>
        <v>0</v>
      </c>
      <c r="AQ7" s="7989">
        <f>+'COKE OVENS'!AQ341</f>
        <v>160909.32990465825</v>
      </c>
      <c r="AR7" s="7990">
        <f>+'COKE OVENS'!AR341</f>
        <v>0</v>
      </c>
      <c r="AS7" s="7986">
        <f>+'COKE OVENS'!AS341</f>
        <v>1455356.4948453605</v>
      </c>
    </row>
    <row r="8" spans="2:45" ht="17" thickBot="1" x14ac:dyDescent="0.25">
      <c r="B8" s="7956" t="s">
        <v>2482</v>
      </c>
      <c r="C8" s="7957" t="s">
        <v>863</v>
      </c>
      <c r="D8" s="7958">
        <f>SUM(D6:D7)</f>
        <v>0</v>
      </c>
      <c r="E8" s="3838">
        <f t="shared" ref="E8:AO8" si="0">SUM(E6:E7)</f>
        <v>128921.80059583554</v>
      </c>
      <c r="F8" s="3838">
        <f t="shared" si="0"/>
        <v>0</v>
      </c>
      <c r="G8" s="3838">
        <f t="shared" si="0"/>
        <v>134745.75746689524</v>
      </c>
      <c r="H8" s="7993">
        <f t="shared" si="0"/>
        <v>0</v>
      </c>
      <c r="I8" s="7993">
        <f t="shared" si="0"/>
        <v>263667.55798969069</v>
      </c>
      <c r="J8" s="7994">
        <f t="shared" si="0"/>
        <v>0</v>
      </c>
      <c r="K8" s="3838">
        <f t="shared" si="0"/>
        <v>146555.89561855671</v>
      </c>
      <c r="L8" s="7995">
        <f t="shared" si="0"/>
        <v>0</v>
      </c>
      <c r="M8" s="7995">
        <f t="shared" si="0"/>
        <v>410223.45360824745</v>
      </c>
      <c r="N8" s="3838">
        <f t="shared" si="0"/>
        <v>0</v>
      </c>
      <c r="O8" s="7996">
        <f t="shared" si="0"/>
        <v>159239.62628865978</v>
      </c>
      <c r="P8" s="7997">
        <f t="shared" si="0"/>
        <v>0</v>
      </c>
      <c r="Q8" s="7993">
        <f t="shared" si="0"/>
        <v>569463.07989690732</v>
      </c>
      <c r="R8" s="3838">
        <f t="shared" si="0"/>
        <v>0</v>
      </c>
      <c r="S8" s="7996">
        <f t="shared" si="0"/>
        <v>169339.73314000911</v>
      </c>
      <c r="T8" s="7993">
        <f t="shared" si="0"/>
        <v>0</v>
      </c>
      <c r="U8" s="7993">
        <f t="shared" si="0"/>
        <v>738802.81299082108</v>
      </c>
      <c r="V8" s="7994">
        <f t="shared" si="0"/>
        <v>0</v>
      </c>
      <c r="W8" s="7996">
        <f t="shared" si="0"/>
        <v>146761.78082729375</v>
      </c>
      <c r="X8" s="7995">
        <f t="shared" si="0"/>
        <v>0</v>
      </c>
      <c r="Y8" s="7995">
        <f t="shared" si="0"/>
        <v>475341.14046391752</v>
      </c>
      <c r="Z8" s="7998">
        <f t="shared" si="0"/>
        <v>0</v>
      </c>
      <c r="AA8" s="7998">
        <f t="shared" si="0"/>
        <v>885564.59407216497</v>
      </c>
      <c r="AB8" s="7994">
        <f t="shared" si="0"/>
        <v>0</v>
      </c>
      <c r="AC8" s="7996">
        <f t="shared" si="0"/>
        <v>161434.53661942124</v>
      </c>
      <c r="AD8" s="7997">
        <f t="shared" si="0"/>
        <v>0</v>
      </c>
      <c r="AE8" s="7993">
        <f t="shared" si="0"/>
        <v>1046999.1306961515</v>
      </c>
      <c r="AF8" s="3838">
        <f t="shared" si="0"/>
        <v>0</v>
      </c>
      <c r="AG8" s="7996">
        <f t="shared" si="0"/>
        <v>153003.31829896907</v>
      </c>
      <c r="AH8" s="7997">
        <f t="shared" si="0"/>
        <v>0</v>
      </c>
      <c r="AI8" s="7993">
        <f t="shared" si="0"/>
        <v>1200002.4489789945</v>
      </c>
      <c r="AJ8" s="7994">
        <f t="shared" si="0"/>
        <v>0</v>
      </c>
      <c r="AK8" s="7996">
        <f t="shared" si="0"/>
        <v>169287.68470790377</v>
      </c>
      <c r="AL8" s="7999">
        <f t="shared" si="0"/>
        <v>0</v>
      </c>
      <c r="AM8" s="7995">
        <f t="shared" si="0"/>
        <v>483725.53958295699</v>
      </c>
      <c r="AN8" s="7993">
        <f t="shared" si="0"/>
        <v>0</v>
      </c>
      <c r="AO8" s="3869">
        <f t="shared" si="0"/>
        <v>1369290.1336866044</v>
      </c>
      <c r="AP8" s="7994">
        <f t="shared" ref="AP8:AS8" si="1">SUM(AP6:AP7)</f>
        <v>0</v>
      </c>
      <c r="AQ8" s="7996">
        <f t="shared" si="1"/>
        <v>169467.61114682647</v>
      </c>
      <c r="AR8" s="7997">
        <f t="shared" si="1"/>
        <v>0</v>
      </c>
      <c r="AS8" s="7993">
        <f t="shared" si="1"/>
        <v>1538757.7448453608</v>
      </c>
    </row>
    <row r="10" spans="2:45" x14ac:dyDescent="0.2">
      <c r="B10" s="7962" t="s">
        <v>541</v>
      </c>
      <c r="C10" s="5528"/>
    </row>
    <row r="11" spans="2:45" x14ac:dyDescent="0.2">
      <c r="B11" s="7963" t="s">
        <v>53</v>
      </c>
      <c r="C11" s="7964" t="s">
        <v>863</v>
      </c>
      <c r="D11" s="2743"/>
      <c r="E11" s="5043">
        <f>+'B-FCE'!E123</f>
        <v>58076.923076923078</v>
      </c>
      <c r="F11" s="5043"/>
      <c r="G11" s="5043">
        <f>+'B-FCE'!G123</f>
        <v>68127.179487179485</v>
      </c>
      <c r="H11" s="5997"/>
      <c r="I11" s="5997">
        <f>+'B-FCE'!I123</f>
        <v>126204.10256410256</v>
      </c>
      <c r="J11" s="2743"/>
      <c r="K11" s="5043">
        <f>+'B-FCE'!K123</f>
        <v>70548.039316239345</v>
      </c>
      <c r="L11" s="6004"/>
      <c r="M11" s="6004">
        <f>+'B-FCE'!M123</f>
        <v>196752.14188034192</v>
      </c>
      <c r="N11" s="5043"/>
      <c r="O11" s="6571">
        <f>+'B-FCE'!O123</f>
        <v>103087.86324786324</v>
      </c>
      <c r="P11" s="4469"/>
      <c r="Q11" s="5997">
        <f>+'B-FCE'!Q123</f>
        <v>299840.00512820517</v>
      </c>
      <c r="R11" s="5043"/>
      <c r="S11" s="6571">
        <f>+'B-FCE'!S123</f>
        <v>108609.91452991455</v>
      </c>
      <c r="T11" s="5997"/>
      <c r="U11" s="5997">
        <f>+'B-FCE'!U123</f>
        <v>408449.91965811973</v>
      </c>
      <c r="V11" s="2743"/>
      <c r="W11" s="6571">
        <f>+'B-FCE'!W123</f>
        <v>57061.196581196586</v>
      </c>
      <c r="X11" s="6004"/>
      <c r="Y11" s="6004">
        <f>+'B-FCE'!Y123</f>
        <v>268758.97435897437</v>
      </c>
      <c r="Z11" s="7967"/>
      <c r="AA11" s="7967">
        <f>+'B-FCE'!AA123</f>
        <v>465511.1162393163</v>
      </c>
      <c r="AB11" s="2743"/>
      <c r="AC11" s="6571">
        <f>+'B-FCE'!AC123</f>
        <v>65591.79487179486</v>
      </c>
      <c r="AD11" s="4469"/>
      <c r="AE11" s="5997">
        <f>+'B-FCE'!AE123</f>
        <v>531102.91111111117</v>
      </c>
      <c r="AF11" s="5043"/>
      <c r="AG11" s="6571">
        <f>+'B-FCE'!AG123</f>
        <v>92139.487179487158</v>
      </c>
      <c r="AH11" s="4469"/>
      <c r="AI11" s="5997">
        <f>+'B-FCE'!AI123</f>
        <v>623242.3982905983</v>
      </c>
      <c r="AJ11" s="2743"/>
      <c r="AK11" s="6571">
        <f>+'B-FCE'!AK123</f>
        <v>105788.71794871794</v>
      </c>
      <c r="AL11" s="7968"/>
      <c r="AM11" s="6004">
        <f>+'B-FCE'!AM123</f>
        <v>263519.99999999994</v>
      </c>
      <c r="AN11" s="5997"/>
      <c r="AO11" s="5997">
        <f>+'B-FCE'!AO123</f>
        <v>729031.1162393163</v>
      </c>
      <c r="AP11" s="2743"/>
      <c r="AQ11" s="6571">
        <f>+'B-FCE'!AQ123</f>
        <v>130847.17948717948</v>
      </c>
      <c r="AR11" s="4469"/>
      <c r="AS11" s="5997">
        <f>+'B-FCE'!AS123</f>
        <v>859878.29572649579</v>
      </c>
    </row>
    <row r="12" spans="2:45" ht="16" thickBot="1" x14ac:dyDescent="0.25">
      <c r="B12" s="8000" t="s">
        <v>192</v>
      </c>
      <c r="C12" s="8001" t="s">
        <v>863</v>
      </c>
      <c r="D12" s="7987"/>
      <c r="E12" s="7985">
        <f>+SMS!E172</f>
        <v>5661.0576923076924</v>
      </c>
      <c r="F12" s="7985"/>
      <c r="G12" s="7985">
        <f>+SMS!G172</f>
        <v>8661.909686758614</v>
      </c>
      <c r="H12" s="7986"/>
      <c r="I12" s="7986">
        <f>+SMS!I172</f>
        <v>14322.961933517694</v>
      </c>
      <c r="J12" s="7987"/>
      <c r="K12" s="7985">
        <f>+SMS!K172</f>
        <v>3486.6258401092441</v>
      </c>
      <c r="L12" s="7988"/>
      <c r="M12" s="7988">
        <f>+SMS!M172</f>
        <v>17809.562430005593</v>
      </c>
      <c r="N12" s="7985"/>
      <c r="O12" s="7989">
        <f>+SMS!O172</f>
        <v>1358.8535803789302</v>
      </c>
      <c r="P12" s="7990"/>
      <c r="Q12" s="7986">
        <f>+SMS!Q172</f>
        <v>19168.465031124255</v>
      </c>
      <c r="R12" s="7985"/>
      <c r="S12" s="7989">
        <f>+SMS!S172</f>
        <v>3219.8251329402633</v>
      </c>
      <c r="T12" s="7986"/>
      <c r="U12" s="7986">
        <f>+SMS!U172</f>
        <v>22388.28702291286</v>
      </c>
      <c r="V12" s="7987"/>
      <c r="W12" s="7989">
        <f>+SMS!W172</f>
        <v>1629.1013754375251</v>
      </c>
      <c r="X12" s="7988"/>
      <c r="Y12" s="7988">
        <f>+SMS!Y172</f>
        <v>6217.4481360572872</v>
      </c>
      <c r="Z12" s="7991"/>
      <c r="AA12" s="7991">
        <f>+SMS!AA172</f>
        <v>23976.442440898492</v>
      </c>
      <c r="AB12" s="7987"/>
      <c r="AC12" s="7989">
        <f>+SMS!AC172</f>
        <v>1917.7533683603833</v>
      </c>
      <c r="AD12" s="7990"/>
      <c r="AE12" s="7986">
        <f>+SMS!AE172</f>
        <v>25899.093225653931</v>
      </c>
      <c r="AF12" s="7985"/>
      <c r="AG12" s="7989">
        <f>+SMS!AG172</f>
        <v>4085.197938791674</v>
      </c>
      <c r="AH12" s="7990"/>
      <c r="AI12" s="7986">
        <f>+SMS!AI172</f>
        <v>29985.453672654468</v>
      </c>
      <c r="AJ12" s="7987"/>
      <c r="AK12" s="7989">
        <f>+SMS!AK172</f>
        <v>1302.0777227189487</v>
      </c>
      <c r="AL12" s="7992"/>
      <c r="AM12" s="7988">
        <f>+SMS!AM172</f>
        <v>7305.0229470622889</v>
      </c>
      <c r="AN12" s="7986"/>
      <c r="AO12" s="7986">
        <f>+SMS!AO172</f>
        <v>31296.752216293135</v>
      </c>
      <c r="AP12" s="7987"/>
      <c r="AQ12" s="7989">
        <f>+SMS!AQ172</f>
        <v>4403.0314500697168</v>
      </c>
      <c r="AR12" s="7990"/>
      <c r="AS12" s="7986">
        <f>+SMS!AS172</f>
        <v>35702.291879749573</v>
      </c>
    </row>
    <row r="13" spans="2:45" ht="16" thickBot="1" x14ac:dyDescent="0.25">
      <c r="B13" s="8002" t="s">
        <v>15</v>
      </c>
      <c r="C13" s="8003" t="s">
        <v>863</v>
      </c>
      <c r="D13" s="7994"/>
      <c r="E13" s="3838">
        <f>SUM(E11:E12)</f>
        <v>63737.980769230773</v>
      </c>
      <c r="F13" s="3838"/>
      <c r="G13" s="3838">
        <f t="shared" ref="G13:AO13" si="2">SUM(G11:G12)</f>
        <v>76789.089173938104</v>
      </c>
      <c r="H13" s="7993"/>
      <c r="I13" s="7993">
        <f t="shared" si="2"/>
        <v>140527.06449762025</v>
      </c>
      <c r="J13" s="7994"/>
      <c r="K13" s="3838">
        <f t="shared" si="2"/>
        <v>74034.665156348594</v>
      </c>
      <c r="L13" s="7995"/>
      <c r="M13" s="7995">
        <f t="shared" si="2"/>
        <v>214561.7043103475</v>
      </c>
      <c r="N13" s="3838"/>
      <c r="O13" s="7996">
        <f t="shared" si="2"/>
        <v>104446.71682824216</v>
      </c>
      <c r="P13" s="7997"/>
      <c r="Q13" s="7993">
        <f t="shared" si="2"/>
        <v>319008.47015932942</v>
      </c>
      <c r="R13" s="3838"/>
      <c r="S13" s="7996">
        <f t="shared" si="2"/>
        <v>111829.73966285482</v>
      </c>
      <c r="T13" s="7993"/>
      <c r="U13" s="7993">
        <f t="shared" si="2"/>
        <v>430838.20668103261</v>
      </c>
      <c r="V13" s="7994"/>
      <c r="W13" s="7996">
        <f t="shared" si="2"/>
        <v>58690.297956634109</v>
      </c>
      <c r="X13" s="7995"/>
      <c r="Y13" s="7995">
        <f t="shared" si="2"/>
        <v>274976.42249503167</v>
      </c>
      <c r="Z13" s="7998"/>
      <c r="AA13" s="7998">
        <f t="shared" si="2"/>
        <v>489487.5586802148</v>
      </c>
      <c r="AB13" s="7994"/>
      <c r="AC13" s="7996">
        <f t="shared" si="2"/>
        <v>67509.548240155244</v>
      </c>
      <c r="AD13" s="7997"/>
      <c r="AE13" s="7993">
        <f t="shared" si="2"/>
        <v>557002.00433676515</v>
      </c>
      <c r="AF13" s="3838"/>
      <c r="AG13" s="7996">
        <f t="shared" si="2"/>
        <v>96224.685118278838</v>
      </c>
      <c r="AH13" s="7997"/>
      <c r="AI13" s="7993">
        <f t="shared" si="2"/>
        <v>653227.85196325276</v>
      </c>
      <c r="AJ13" s="7994"/>
      <c r="AK13" s="7996">
        <f t="shared" si="2"/>
        <v>107090.79567143689</v>
      </c>
      <c r="AL13" s="7999"/>
      <c r="AM13" s="7995">
        <f t="shared" si="2"/>
        <v>270825.02294706221</v>
      </c>
      <c r="AN13" s="7993"/>
      <c r="AO13" s="3869">
        <f t="shared" si="2"/>
        <v>760327.86845560942</v>
      </c>
      <c r="AP13" s="7994"/>
      <c r="AQ13" s="7996">
        <f t="shared" ref="AQ13" si="3">SUM(AQ11:AQ12)</f>
        <v>135250.21093724921</v>
      </c>
      <c r="AR13" s="7997"/>
      <c r="AS13" s="7993">
        <f t="shared" ref="AS13" si="4">SUM(AS11:AS12)</f>
        <v>895580.58760624542</v>
      </c>
    </row>
    <row r="15" spans="2:45" x14ac:dyDescent="0.2">
      <c r="B15" s="7962" t="s">
        <v>2492</v>
      </c>
    </row>
    <row r="16" spans="2:45" x14ac:dyDescent="0.2">
      <c r="B16" s="7909" t="s">
        <v>2501</v>
      </c>
      <c r="C16" s="7964" t="s">
        <v>863</v>
      </c>
      <c r="D16" s="2743"/>
      <c r="E16" s="5043">
        <f>+SINTER!E109</f>
        <v>203548.71794871797</v>
      </c>
      <c r="F16" s="5043"/>
      <c r="G16" s="5043">
        <f>+SINTER!G109</f>
        <v>207692.30769230766</v>
      </c>
      <c r="H16" s="5997"/>
      <c r="I16" s="5997">
        <f>+SINTER!I109</f>
        <v>411241.02564102563</v>
      </c>
      <c r="J16" s="2743"/>
      <c r="K16" s="5043">
        <f>+SINTER!K109</f>
        <v>226153.84615384613</v>
      </c>
      <c r="L16" s="6004"/>
      <c r="M16" s="6004">
        <f>+SINTER!M109</f>
        <v>637394.87179487175</v>
      </c>
      <c r="N16" s="5043"/>
      <c r="O16" s="6571">
        <f>+SINTER!O109</f>
        <v>263897.43589743588</v>
      </c>
      <c r="P16" s="4469"/>
      <c r="Q16" s="5997">
        <f>+SINTER!Q109</f>
        <v>901292.30769230763</v>
      </c>
      <c r="R16" s="5043"/>
      <c r="S16" s="6571">
        <f>+SINTER!S109</f>
        <v>254759.99999999997</v>
      </c>
      <c r="T16" s="5997"/>
      <c r="U16" s="5997">
        <f>+SINTER!U109</f>
        <v>1156052.3076923077</v>
      </c>
      <c r="V16" s="2743"/>
      <c r="W16" s="6571">
        <f>+SINTER!W109</f>
        <v>189922.05128205128</v>
      </c>
      <c r="X16" s="6004"/>
      <c r="Y16" s="6004">
        <f>+SINTER!Y109</f>
        <v>708579.48717948713</v>
      </c>
      <c r="Z16" s="7967"/>
      <c r="AA16" s="7967">
        <f>+SINTER!AA109</f>
        <v>1345974.358974359</v>
      </c>
      <c r="AB16" s="2743"/>
      <c r="AC16" s="6571">
        <f>+SINTER!AC109</f>
        <v>257657.43589743588</v>
      </c>
      <c r="AD16" s="4469"/>
      <c r="AE16" s="5997">
        <f>+SINTER!AE109</f>
        <v>1603631.7948717948</v>
      </c>
      <c r="AF16" s="5043"/>
      <c r="AG16" s="6571">
        <f>+SINTER!AG109</f>
        <v>272141.53846153838</v>
      </c>
      <c r="AH16" s="4469"/>
      <c r="AI16" s="5997">
        <f>+SINTER!AI109</f>
        <v>1875773.3333333333</v>
      </c>
      <c r="AJ16" s="2743"/>
      <c r="AK16" s="6571">
        <f>+SINTER!AK109</f>
        <v>307179.48717948719</v>
      </c>
      <c r="AL16" s="7968"/>
      <c r="AM16" s="6004">
        <f>+SINTER!AM109</f>
        <v>836978.46153846139</v>
      </c>
      <c r="AN16" s="5997"/>
      <c r="AO16" s="5997">
        <f>+SINTER!AO109</f>
        <v>2182952.820512821</v>
      </c>
      <c r="AP16" s="2743"/>
      <c r="AQ16" s="6571">
        <f>+SINTER!AQ109</f>
        <v>326666.66666666663</v>
      </c>
      <c r="AR16" s="4469"/>
      <c r="AS16" s="5997">
        <f>+SINTER!AS109</f>
        <v>2509619.487179487</v>
      </c>
    </row>
    <row r="17" spans="2:46" ht="16" thickBot="1" x14ac:dyDescent="0.25">
      <c r="B17" s="8004" t="s">
        <v>2502</v>
      </c>
      <c r="C17" s="8001" t="s">
        <v>863</v>
      </c>
      <c r="D17" s="7987"/>
      <c r="E17" s="7985">
        <f>+SINTER!E114</f>
        <v>15651.442307692307</v>
      </c>
      <c r="F17" s="7985"/>
      <c r="G17" s="7985">
        <f>+SINTER!G114</f>
        <v>18764.176809146593</v>
      </c>
      <c r="H17" s="7986"/>
      <c r="I17" s="7986">
        <f>+SINTER!I114</f>
        <v>34415.618027729171</v>
      </c>
      <c r="J17" s="7987"/>
      <c r="K17" s="7985">
        <f>+SINTER!K114</f>
        <v>18334.334997081685</v>
      </c>
      <c r="L17" s="7988"/>
      <c r="M17" s="7988">
        <f>+SINTER!M114</f>
        <v>52749.947956086602</v>
      </c>
      <c r="N17" s="7985"/>
      <c r="O17" s="7989">
        <f>+SINTER!O114</f>
        <v>26043.736528041598</v>
      </c>
      <c r="P17" s="7990"/>
      <c r="Q17" s="7986">
        <f>+SINTER!Q114</f>
        <v>78793.694288276136</v>
      </c>
      <c r="R17" s="7985"/>
      <c r="S17" s="7989">
        <f>+SINTER!S114</f>
        <v>27796.443659066685</v>
      </c>
      <c r="T17" s="7986"/>
      <c r="U17" s="7986">
        <f>+SINTER!U114</f>
        <v>106590.1373191125</v>
      </c>
      <c r="V17" s="7987"/>
      <c r="W17" s="7989">
        <f>+SINTER!W114</f>
        <v>14591.119420386651</v>
      </c>
      <c r="X17" s="7988"/>
      <c r="Y17" s="7988">
        <f>+SINTER!Y114</f>
        <v>68433.23321695505</v>
      </c>
      <c r="Z17" s="7991"/>
      <c r="AA17" s="7991">
        <f>+SINTER!AA114</f>
        <v>121173.06754800878</v>
      </c>
      <c r="AB17" s="7987"/>
      <c r="AC17" s="7989">
        <f>+SINTER!AC114</f>
        <v>16781.499391620793</v>
      </c>
      <c r="AD17" s="7990"/>
      <c r="AE17" s="7986">
        <f>+SINTER!AE114</f>
        <v>137955.54642290858</v>
      </c>
      <c r="AF17" s="7985"/>
      <c r="AG17" s="7989">
        <f>+SINTER!AG114</f>
        <v>23851.911382630129</v>
      </c>
      <c r="AH17" s="7990"/>
      <c r="AI17" s="7986">
        <f>+SINTER!AI114</f>
        <v>161807.69030718048</v>
      </c>
      <c r="AJ17" s="7987"/>
      <c r="AK17" s="7989">
        <f>+SINTER!AK114</f>
        <v>26707.595031723275</v>
      </c>
      <c r="AL17" s="7992"/>
      <c r="AM17" s="7988">
        <f>+SINTER!AM114</f>
        <v>67341.004589412449</v>
      </c>
      <c r="AN17" s="7986"/>
      <c r="AO17" s="7986">
        <f>+SINTER!AO114</f>
        <v>188517.12950308769</v>
      </c>
      <c r="AP17" s="7987"/>
      <c r="AQ17" s="7989">
        <f>+SINTER!AQ114</f>
        <v>33592.401161808812</v>
      </c>
      <c r="AR17" s="7990"/>
      <c r="AS17" s="7986">
        <f>+SINTER!AS114</f>
        <v>222110.03230757383</v>
      </c>
    </row>
    <row r="18" spans="2:46" ht="16" thickBot="1" x14ac:dyDescent="0.25">
      <c r="B18" s="8002" t="s">
        <v>2529</v>
      </c>
      <c r="C18" s="8003" t="s">
        <v>863</v>
      </c>
      <c r="D18" s="7994"/>
      <c r="E18" s="3838">
        <f>+E16-E17</f>
        <v>187897.27564102566</v>
      </c>
      <c r="F18" s="3838"/>
      <c r="G18" s="3838">
        <f>+G16-G17</f>
        <v>188928.13088316107</v>
      </c>
      <c r="H18" s="7993"/>
      <c r="I18" s="7993">
        <f>+I16-I17</f>
        <v>376825.40761329647</v>
      </c>
      <c r="J18" s="7994"/>
      <c r="K18" s="3838">
        <f>+K16-K17</f>
        <v>207819.51115676443</v>
      </c>
      <c r="L18" s="7995"/>
      <c r="M18" s="7995">
        <f>+M16-M17</f>
        <v>584644.92383878515</v>
      </c>
      <c r="N18" s="3838"/>
      <c r="O18" s="7996">
        <f>+O16-O17</f>
        <v>237853.69936939428</v>
      </c>
      <c r="P18" s="7997"/>
      <c r="Q18" s="7993">
        <f>+Q16-Q17</f>
        <v>822498.61340403149</v>
      </c>
      <c r="R18" s="3838"/>
      <c r="S18" s="7996">
        <f>+S16-S17</f>
        <v>226963.55634093328</v>
      </c>
      <c r="T18" s="7993"/>
      <c r="U18" s="7993">
        <f>+U16-U17</f>
        <v>1049462.1703731953</v>
      </c>
      <c r="V18" s="7994"/>
      <c r="W18" s="7996">
        <f>+W16-W17</f>
        <v>175330.93186166463</v>
      </c>
      <c r="X18" s="7995"/>
      <c r="Y18" s="7995">
        <f>+Y16-Y17</f>
        <v>640146.25396253204</v>
      </c>
      <c r="Z18" s="7998"/>
      <c r="AA18" s="7998">
        <f>+AA16-AA17</f>
        <v>1224801.2914263501</v>
      </c>
      <c r="AB18" s="7994"/>
      <c r="AC18" s="7996">
        <f>+AC16-AC17</f>
        <v>240875.93650581507</v>
      </c>
      <c r="AD18" s="7997"/>
      <c r="AE18" s="7993">
        <f>+AE16-AE17</f>
        <v>1465676.2484488862</v>
      </c>
      <c r="AF18" s="3838"/>
      <c r="AG18" s="7996">
        <f>+AG16-AG17</f>
        <v>248289.62707890826</v>
      </c>
      <c r="AH18" s="7997"/>
      <c r="AI18" s="7993">
        <f>+AI16-AI17</f>
        <v>1713965.6430261529</v>
      </c>
      <c r="AJ18" s="7994"/>
      <c r="AK18" s="7996">
        <f>+AK16-AK17</f>
        <v>280471.89214776392</v>
      </c>
      <c r="AL18" s="7999"/>
      <c r="AM18" s="7995">
        <f>+AM16-AM17</f>
        <v>769637.45694904891</v>
      </c>
      <c r="AN18" s="7993"/>
      <c r="AO18" s="3869">
        <f>+AO16-AO17</f>
        <v>1994435.6910097334</v>
      </c>
      <c r="AP18" s="7994"/>
      <c r="AQ18" s="7996">
        <f>+AQ16-AQ17</f>
        <v>293074.26550485782</v>
      </c>
      <c r="AR18" s="7997"/>
      <c r="AS18" s="7993">
        <f>+AS16-AS17</f>
        <v>2287509.4548719134</v>
      </c>
    </row>
    <row r="20" spans="2:46" x14ac:dyDescent="0.2">
      <c r="B20" s="1699" t="s">
        <v>2025</v>
      </c>
    </row>
    <row r="21" spans="2:46" x14ac:dyDescent="0.2">
      <c r="B21" s="7909" t="s">
        <v>2068</v>
      </c>
      <c r="C21" s="7964" t="s">
        <v>863</v>
      </c>
      <c r="D21" s="2743"/>
      <c r="E21" s="5043">
        <f>+LDCP!F48</f>
        <v>35159.493670886077</v>
      </c>
      <c r="F21" s="5043"/>
      <c r="G21" s="5043">
        <f>+LDCP!H48</f>
        <v>32949.873417721516</v>
      </c>
      <c r="H21" s="5997"/>
      <c r="I21" s="5997">
        <f>+LDCP!J48</f>
        <v>68109.3670886076</v>
      </c>
      <c r="J21" s="2743"/>
      <c r="K21" s="5043">
        <f>+LDCP!L48</f>
        <v>37650.632911392408</v>
      </c>
      <c r="L21" s="6004"/>
      <c r="M21" s="6004">
        <f>+LDCP!N48</f>
        <v>105760</v>
      </c>
      <c r="N21" s="5043"/>
      <c r="O21" s="6571">
        <f>+LDCP!P48</f>
        <v>41594.936708860761</v>
      </c>
      <c r="P21" s="4469"/>
      <c r="Q21" s="5997">
        <f>+LDCP!R48</f>
        <v>147354.93670886077</v>
      </c>
      <c r="R21" s="5043"/>
      <c r="S21" s="6571">
        <f>+LDCP!T48</f>
        <v>42158.987341772154</v>
      </c>
      <c r="T21" s="5997"/>
      <c r="U21" s="5997">
        <f>+LDCP!V48</f>
        <v>189513.92405063292</v>
      </c>
      <c r="V21" s="2743"/>
      <c r="W21" s="6571">
        <f>+LDCP!X48</f>
        <v>26607.594936708861</v>
      </c>
      <c r="X21" s="6004"/>
      <c r="Y21" s="6004">
        <f>+LDCP!Z48</f>
        <v>110361.51898734177</v>
      </c>
      <c r="Z21" s="7967"/>
      <c r="AA21" s="7967">
        <f>+LDCP!AB48</f>
        <v>216121.51898734178</v>
      </c>
      <c r="AB21" s="2743"/>
      <c r="AC21" s="6571">
        <f>+LDCP!AD48</f>
        <v>23588.860759493669</v>
      </c>
      <c r="AD21" s="4469"/>
      <c r="AE21" s="5997">
        <f>+LDCP!AF48</f>
        <v>239710.37974683545</v>
      </c>
      <c r="AF21" s="5043"/>
      <c r="AG21" s="6571">
        <f>+LDCP!AH48</f>
        <v>30300.759493670885</v>
      </c>
      <c r="AH21" s="4469"/>
      <c r="AI21" s="5997">
        <f>+LDCP!AJ48</f>
        <v>270011.13924050634</v>
      </c>
      <c r="AJ21" s="2743"/>
      <c r="AK21" s="6571">
        <f>+LDCP!AL48</f>
        <v>36690.632911392408</v>
      </c>
      <c r="AL21" s="7968"/>
      <c r="AM21" s="6004">
        <f>+LDCP!AN48</f>
        <v>90580.253164556969</v>
      </c>
      <c r="AN21" s="5997"/>
      <c r="AO21" s="5997">
        <f>+LDCP!AP48</f>
        <v>306701.77215189871</v>
      </c>
      <c r="AP21" s="2743"/>
      <c r="AQ21" s="6571">
        <f>+LDCP!AR48</f>
        <v>47352.911392405062</v>
      </c>
      <c r="AR21" s="4469"/>
      <c r="AS21" s="5997">
        <f>+LDCP!AT48</f>
        <v>354054.68354430381</v>
      </c>
    </row>
    <row r="22" spans="2:46" ht="16" thickBot="1" x14ac:dyDescent="0.25">
      <c r="B22" s="8004" t="s">
        <v>2505</v>
      </c>
      <c r="C22" s="8001" t="s">
        <v>863</v>
      </c>
      <c r="D22" s="7987"/>
      <c r="E22" s="7985">
        <f>+SINTER!E122</f>
        <v>13670.886075949367</v>
      </c>
      <c r="F22" s="7985"/>
      <c r="G22" s="7985">
        <f>+SINTER!G122</f>
        <v>12658.227848101265</v>
      </c>
      <c r="H22" s="7986"/>
      <c r="I22" s="7986">
        <f>+SINTER!I122</f>
        <v>26329.113924050635</v>
      </c>
      <c r="J22" s="7987"/>
      <c r="K22" s="7985">
        <f>+SINTER!K122</f>
        <v>14731.139240506329</v>
      </c>
      <c r="L22" s="7988"/>
      <c r="M22" s="7988">
        <f>+SINTER!M122</f>
        <v>41060.253164556962</v>
      </c>
      <c r="N22" s="7985"/>
      <c r="O22" s="7989">
        <f>+SINTER!O122</f>
        <v>25822.784810126581</v>
      </c>
      <c r="P22" s="7990"/>
      <c r="Q22" s="7986">
        <f>+SINTER!Q122</f>
        <v>66883.037974683539</v>
      </c>
      <c r="R22" s="7985"/>
      <c r="S22" s="7989">
        <f>+SINTER!S122</f>
        <v>24810.126582278481</v>
      </c>
      <c r="T22" s="7986"/>
      <c r="U22" s="7986">
        <f>+SINTER!U122</f>
        <v>91693.16455696203</v>
      </c>
      <c r="V22" s="7987"/>
      <c r="W22" s="7989">
        <f>+SINTER!W122</f>
        <v>16144.810126582279</v>
      </c>
      <c r="X22" s="7988"/>
      <c r="Y22" s="7988">
        <f>+SINTER!Y122</f>
        <v>66777.721518987339</v>
      </c>
      <c r="Z22" s="7991"/>
      <c r="AA22" s="7991">
        <f>+SINTER!AA122</f>
        <v>107837.97468354431</v>
      </c>
      <c r="AB22" s="7987"/>
      <c r="AC22" s="7989">
        <f>+SINTER!AC122</f>
        <v>22813.164556962027</v>
      </c>
      <c r="AD22" s="7990"/>
      <c r="AE22" s="7986">
        <f>+SINTER!AE122</f>
        <v>130651.13924050632</v>
      </c>
      <c r="AF22" s="7985"/>
      <c r="AG22" s="7989">
        <f>+SINTER!AG122</f>
        <v>25409.620253164558</v>
      </c>
      <c r="AH22" s="7990"/>
      <c r="AI22" s="7986">
        <f>+SINTER!AI122</f>
        <v>156060.75949367089</v>
      </c>
      <c r="AJ22" s="7987"/>
      <c r="AK22" s="7989">
        <f>+SINTER!AK122</f>
        <v>22881.012658227846</v>
      </c>
      <c r="AL22" s="7992"/>
      <c r="AM22" s="7988">
        <f>+SINTER!AM122</f>
        <v>71103.797468354431</v>
      </c>
      <c r="AN22" s="7986"/>
      <c r="AO22" s="7986">
        <f>+SINTER!AO122</f>
        <v>178941.77215189874</v>
      </c>
      <c r="AP22" s="7987"/>
      <c r="AQ22" s="7989">
        <f>+SINTER!AQ122</f>
        <v>31392.405063291139</v>
      </c>
      <c r="AR22" s="7990"/>
      <c r="AS22" s="7986">
        <f>+SINTER!AS122</f>
        <v>210334.17721518988</v>
      </c>
    </row>
    <row r="23" spans="2:46" ht="16" thickBot="1" x14ac:dyDescent="0.25">
      <c r="B23" s="8002" t="s">
        <v>97</v>
      </c>
      <c r="C23" s="8003" t="s">
        <v>863</v>
      </c>
      <c r="D23" s="7994"/>
      <c r="E23" s="3838">
        <f>SUM(E21:E22)</f>
        <v>48830.379746835446</v>
      </c>
      <c r="F23" s="3838"/>
      <c r="G23" s="3838">
        <f t="shared" ref="G23:AO23" si="5">SUM(G21:G22)</f>
        <v>45608.101265822785</v>
      </c>
      <c r="H23" s="7993"/>
      <c r="I23" s="7993">
        <f t="shared" si="5"/>
        <v>94438.481012658231</v>
      </c>
      <c r="J23" s="7994"/>
      <c r="K23" s="3838">
        <f t="shared" si="5"/>
        <v>52381.772151898738</v>
      </c>
      <c r="L23" s="7995"/>
      <c r="M23" s="7995">
        <f t="shared" si="5"/>
        <v>146820.25316455695</v>
      </c>
      <c r="N23" s="3838"/>
      <c r="O23" s="7996">
        <f t="shared" si="5"/>
        <v>67417.721518987339</v>
      </c>
      <c r="P23" s="7997"/>
      <c r="Q23" s="7993">
        <f t="shared" si="5"/>
        <v>214237.97468354431</v>
      </c>
      <c r="R23" s="3838"/>
      <c r="S23" s="7996">
        <f t="shared" si="5"/>
        <v>66969.113924050631</v>
      </c>
      <c r="T23" s="7993"/>
      <c r="U23" s="7993">
        <f t="shared" si="5"/>
        <v>281207.08860759495</v>
      </c>
      <c r="V23" s="7994"/>
      <c r="W23" s="7996">
        <f t="shared" si="5"/>
        <v>42752.405063291139</v>
      </c>
      <c r="X23" s="7995"/>
      <c r="Y23" s="7995">
        <f t="shared" si="5"/>
        <v>177139.24050632911</v>
      </c>
      <c r="Z23" s="7998"/>
      <c r="AA23" s="7998">
        <f t="shared" si="5"/>
        <v>323959.49367088609</v>
      </c>
      <c r="AB23" s="7994"/>
      <c r="AC23" s="7996">
        <f t="shared" si="5"/>
        <v>46402.025316455693</v>
      </c>
      <c r="AD23" s="7997"/>
      <c r="AE23" s="7993">
        <f t="shared" si="5"/>
        <v>370361.51898734178</v>
      </c>
      <c r="AF23" s="3838"/>
      <c r="AG23" s="7996">
        <f t="shared" si="5"/>
        <v>55710.379746835446</v>
      </c>
      <c r="AH23" s="7997"/>
      <c r="AI23" s="7993">
        <f t="shared" si="5"/>
        <v>426071.89873417723</v>
      </c>
      <c r="AJ23" s="7994"/>
      <c r="AK23" s="7996">
        <f t="shared" si="5"/>
        <v>59571.645569620254</v>
      </c>
      <c r="AL23" s="7999"/>
      <c r="AM23" s="7995">
        <f t="shared" si="5"/>
        <v>161684.05063291139</v>
      </c>
      <c r="AN23" s="7993"/>
      <c r="AO23" s="3869">
        <f t="shared" si="5"/>
        <v>485643.54430379742</v>
      </c>
      <c r="AP23" s="7994"/>
      <c r="AQ23" s="7996">
        <f t="shared" ref="AQ23" si="6">SUM(AQ21:AQ22)</f>
        <v>78745.3164556962</v>
      </c>
      <c r="AR23" s="7997"/>
      <c r="AS23" s="7993">
        <f t="shared" ref="AS23" si="7">SUM(AS21:AS22)</f>
        <v>564388.86075949366</v>
      </c>
    </row>
    <row r="24" spans="2:46" x14ac:dyDescent="0.2">
      <c r="AT24" s="8006"/>
    </row>
    <row r="25" spans="2:46" x14ac:dyDescent="0.2">
      <c r="B25" s="1699" t="s">
        <v>2024</v>
      </c>
      <c r="AT25" s="8006"/>
    </row>
    <row r="26" spans="2:46" x14ac:dyDescent="0.2">
      <c r="B26" s="7909" t="s">
        <v>2504</v>
      </c>
      <c r="C26" s="7964" t="s">
        <v>863</v>
      </c>
      <c r="D26" s="2743"/>
      <c r="E26" s="5043">
        <f>+LDCP!F56</f>
        <v>9131.1392405063289</v>
      </c>
      <c r="F26" s="5043"/>
      <c r="G26" s="5043">
        <f>+LDCP!H56</f>
        <v>9655.6962025316461</v>
      </c>
      <c r="H26" s="5997"/>
      <c r="I26" s="5997">
        <f>+LDCP!J56</f>
        <v>18786.835443037973</v>
      </c>
      <c r="J26" s="2743"/>
      <c r="K26" s="5043">
        <f>+LDCP!L56</f>
        <v>10592.405063291139</v>
      </c>
      <c r="L26" s="6004"/>
      <c r="M26" s="6004">
        <f>+LDCP!N56</f>
        <v>29379.240506329115</v>
      </c>
      <c r="N26" s="5043"/>
      <c r="O26" s="6571">
        <f>+LDCP!P56</f>
        <v>13393.417721518987</v>
      </c>
      <c r="P26" s="4469"/>
      <c r="Q26" s="5997">
        <f>+LDCP!R56</f>
        <v>42772.6582278481</v>
      </c>
      <c r="R26" s="5043"/>
      <c r="S26" s="6571">
        <f>+LDCP!T56</f>
        <v>12825.316455696202</v>
      </c>
      <c r="T26" s="5997"/>
      <c r="U26" s="5997">
        <f>+LDCP!V56</f>
        <v>55597.974683544307</v>
      </c>
      <c r="V26" s="2743"/>
      <c r="W26" s="6571">
        <f>+LDCP!X56</f>
        <v>8193.4177215189866</v>
      </c>
      <c r="X26" s="6004"/>
      <c r="Y26" s="6004">
        <f>+LDCP!Z56</f>
        <v>34412.151898734177</v>
      </c>
      <c r="Z26" s="7967"/>
      <c r="AA26" s="7967">
        <f>+LDCP!AB56</f>
        <v>63791.392405063292</v>
      </c>
      <c r="AB26" s="2743"/>
      <c r="AC26" s="6571">
        <f>+LDCP!AD56</f>
        <v>8595.4430379746827</v>
      </c>
      <c r="AD26" s="4469"/>
      <c r="AE26" s="5997">
        <f>+LDCP!AF56</f>
        <v>72386.83544303797</v>
      </c>
      <c r="AF26" s="5043"/>
      <c r="AG26" s="6571">
        <f>+LDCP!AH56</f>
        <v>11738.73417721519</v>
      </c>
      <c r="AH26" s="4469"/>
      <c r="AI26" s="5997">
        <f>+LDCP!AJ56</f>
        <v>84125.569620253169</v>
      </c>
      <c r="AJ26" s="2743"/>
      <c r="AK26" s="6571">
        <f>+LDCP!AL56</f>
        <v>13063.291139240506</v>
      </c>
      <c r="AL26" s="7968"/>
      <c r="AM26" s="6004">
        <f>+LDCP!AN56</f>
        <v>33397.468354430377</v>
      </c>
      <c r="AN26" s="5997"/>
      <c r="AO26" s="5997">
        <f>+LDCP!AP56</f>
        <v>97188.860759493677</v>
      </c>
      <c r="AP26" s="2743"/>
      <c r="AQ26" s="6571">
        <f>+LDCP!AR56</f>
        <v>13395.443037974683</v>
      </c>
      <c r="AR26" s="4469"/>
      <c r="AS26" s="5997">
        <f>+LDCP!AT56</f>
        <v>110584.30379746835</v>
      </c>
    </row>
    <row r="27" spans="2:46" ht="16" thickBot="1" x14ac:dyDescent="0.25">
      <c r="B27" s="8004" t="s">
        <v>2506</v>
      </c>
      <c r="C27" s="8001" t="s">
        <v>863</v>
      </c>
      <c r="D27" s="7987"/>
      <c r="E27" s="7985">
        <f>+SINTER!E128</f>
        <v>25822.784810126581</v>
      </c>
      <c r="F27" s="7985"/>
      <c r="G27" s="7985">
        <f>+SINTER!G128</f>
        <v>24810.126582278481</v>
      </c>
      <c r="H27" s="7986"/>
      <c r="I27" s="7986">
        <f>+SINTER!I128</f>
        <v>50632.911392405062</v>
      </c>
      <c r="J27" s="7987"/>
      <c r="K27" s="7985">
        <f>+SINTER!K128</f>
        <v>26734.177215189873</v>
      </c>
      <c r="L27" s="7988"/>
      <c r="M27" s="7988">
        <f>+SINTER!M128</f>
        <v>77367.088607594938</v>
      </c>
      <c r="N27" s="7985"/>
      <c r="O27" s="7989">
        <f>+SINTER!O128</f>
        <v>31898.734177215189</v>
      </c>
      <c r="P27" s="7990"/>
      <c r="Q27" s="7986">
        <f>+SINTER!Q128</f>
        <v>109265.82278481012</v>
      </c>
      <c r="R27" s="7985"/>
      <c r="S27" s="7989">
        <f>+SINTER!S128</f>
        <v>30886.075949367088</v>
      </c>
      <c r="T27" s="7986"/>
      <c r="U27" s="7986">
        <f>+SINTER!U128</f>
        <v>140151.8987341772</v>
      </c>
      <c r="V27" s="7987"/>
      <c r="W27" s="7989">
        <f>+SINTER!W128</f>
        <v>25023.797468354431</v>
      </c>
      <c r="X27" s="7988"/>
      <c r="Y27" s="7988">
        <f>+SINTER!Y128</f>
        <v>87808.607594936708</v>
      </c>
      <c r="Z27" s="7991"/>
      <c r="AA27" s="7991">
        <f>+SINTER!AA128</f>
        <v>165175.69620253163</v>
      </c>
      <c r="AB27" s="7987"/>
      <c r="AC27" s="7989">
        <f>+SINTER!AC128</f>
        <v>31907.848101265823</v>
      </c>
      <c r="AD27" s="7990"/>
      <c r="AE27" s="7986">
        <f>+SINTER!AE128</f>
        <v>197083.54430379748</v>
      </c>
      <c r="AF27" s="7985"/>
      <c r="AG27" s="7989">
        <f>+SINTER!AG128</f>
        <v>33874.430379746838</v>
      </c>
      <c r="AH27" s="7990"/>
      <c r="AI27" s="7986">
        <f>+SINTER!AI128</f>
        <v>230957.97468354431</v>
      </c>
      <c r="AJ27" s="7987"/>
      <c r="AK27" s="7989">
        <f>+SINTER!AK128</f>
        <v>38541.772151898731</v>
      </c>
      <c r="AL27" s="7992"/>
      <c r="AM27" s="7988">
        <f>+SINTER!AM128</f>
        <v>104324.05063291139</v>
      </c>
      <c r="AN27" s="7986"/>
      <c r="AO27" s="7986">
        <f>+SINTER!AO128</f>
        <v>269499.74683544302</v>
      </c>
      <c r="AP27" s="7987"/>
      <c r="AQ27" s="7989">
        <f>+SINTER!AQ128</f>
        <v>40000</v>
      </c>
      <c r="AR27" s="7990"/>
      <c r="AS27" s="7986">
        <f>+SINTER!AS128</f>
        <v>309499.74683544302</v>
      </c>
    </row>
    <row r="28" spans="2:46" ht="16" thickBot="1" x14ac:dyDescent="0.25">
      <c r="B28" s="8002" t="s">
        <v>97</v>
      </c>
      <c r="C28" s="8003" t="s">
        <v>863</v>
      </c>
      <c r="D28" s="7994"/>
      <c r="E28" s="3838">
        <f>SUM(E26:E27)</f>
        <v>34953.924050632908</v>
      </c>
      <c r="F28" s="3838"/>
      <c r="G28" s="3838">
        <f>SUM(G26:G27)</f>
        <v>34465.822784810123</v>
      </c>
      <c r="H28" s="7993"/>
      <c r="I28" s="7993">
        <f>SUM(I26:I27)</f>
        <v>69419.746835443031</v>
      </c>
      <c r="J28" s="7994"/>
      <c r="K28" s="3838">
        <f>SUM(K26:K27)</f>
        <v>37326.582278481015</v>
      </c>
      <c r="L28" s="7995"/>
      <c r="M28" s="7995">
        <f>SUM(M26:M27)</f>
        <v>106746.32911392406</v>
      </c>
      <c r="N28" s="3838"/>
      <c r="O28" s="7996">
        <f>SUM(O26:O27)</f>
        <v>45292.151898734177</v>
      </c>
      <c r="P28" s="7997"/>
      <c r="Q28" s="7993">
        <f>SUM(Q26:Q27)</f>
        <v>152038.48101265822</v>
      </c>
      <c r="R28" s="3838"/>
      <c r="S28" s="7996">
        <f>SUM(S26:S27)</f>
        <v>43711.392405063292</v>
      </c>
      <c r="T28" s="7993"/>
      <c r="U28" s="7993">
        <f>SUM(U26:U27)</f>
        <v>195749.87341772151</v>
      </c>
      <c r="V28" s="7994"/>
      <c r="W28" s="7996">
        <f>SUM(W26:W27)</f>
        <v>33217.215189873416</v>
      </c>
      <c r="X28" s="7995"/>
      <c r="Y28" s="7995">
        <f>SUM(Y26:Y27)</f>
        <v>122220.75949367089</v>
      </c>
      <c r="Z28" s="7998"/>
      <c r="AA28" s="7998">
        <f>SUM(AA26:AA27)</f>
        <v>228967.08860759492</v>
      </c>
      <c r="AB28" s="7994"/>
      <c r="AC28" s="7996">
        <f>SUM(AC26:AC27)</f>
        <v>40503.291139240508</v>
      </c>
      <c r="AD28" s="7997"/>
      <c r="AE28" s="7993">
        <f>SUM(AE26:AE27)</f>
        <v>269470.37974683545</v>
      </c>
      <c r="AF28" s="3838"/>
      <c r="AG28" s="7996">
        <f>SUM(AG26:AG27)</f>
        <v>45613.16455696203</v>
      </c>
      <c r="AH28" s="7997"/>
      <c r="AI28" s="7993">
        <f>SUM(AI26:AI27)</f>
        <v>315083.54430379748</v>
      </c>
      <c r="AJ28" s="7994"/>
      <c r="AK28" s="7996">
        <f>SUM(AK26:AK27)</f>
        <v>51605.063291139239</v>
      </c>
      <c r="AL28" s="7999"/>
      <c r="AM28" s="7995">
        <f>SUM(AM26:AM27)</f>
        <v>137721.51898734175</v>
      </c>
      <c r="AN28" s="7993"/>
      <c r="AO28" s="3869">
        <f>SUM(AO26:AO27)</f>
        <v>366688.60759493668</v>
      </c>
      <c r="AP28" s="7994"/>
      <c r="AQ28" s="7996">
        <f>SUM(AQ26:AQ27)</f>
        <v>53395.443037974685</v>
      </c>
      <c r="AR28" s="7997"/>
      <c r="AS28" s="7993">
        <f>SUM(AS26:AS27)</f>
        <v>420084.05063291139</v>
      </c>
    </row>
    <row r="30" spans="2:46" ht="16" thickBot="1" x14ac:dyDescent="0.25">
      <c r="B30" s="1699" t="s">
        <v>28</v>
      </c>
    </row>
    <row r="31" spans="2:46" ht="16" thickBot="1" x14ac:dyDescent="0.25">
      <c r="B31" s="8005" t="s">
        <v>2507</v>
      </c>
      <c r="C31" s="8003" t="s">
        <v>863</v>
      </c>
      <c r="D31" s="7931"/>
      <c r="E31" s="3838">
        <f>+'B-FCE'!E147</f>
        <v>3325.6856540084395</v>
      </c>
      <c r="F31" s="3838"/>
      <c r="G31" s="3838">
        <f>+'B-FCE'!G147</f>
        <v>3958.4810126582279</v>
      </c>
      <c r="H31" s="7993"/>
      <c r="I31" s="7993">
        <f>+'B-FCE'!I147</f>
        <v>7284.166666666667</v>
      </c>
      <c r="J31" s="7994"/>
      <c r="K31" s="3838">
        <f>+'B-FCE'!K147</f>
        <v>4736.3291463755231</v>
      </c>
      <c r="L31" s="7995"/>
      <c r="M31" s="7995">
        <f>+'B-FCE'!M147</f>
        <v>12020.495813042191</v>
      </c>
      <c r="N31" s="3838"/>
      <c r="O31" s="7996">
        <f>+'B-FCE'!O147</f>
        <v>4693.6708860759491</v>
      </c>
      <c r="P31" s="7997"/>
      <c r="Q31" s="7993">
        <f>+'B-FCE'!Q147</f>
        <v>16714.166699118141</v>
      </c>
      <c r="R31" s="3838"/>
      <c r="S31" s="7996">
        <f>+'B-FCE'!S147</f>
        <v>3615.1898734177216</v>
      </c>
      <c r="T31" s="7993"/>
      <c r="U31" s="7993">
        <f>+'B-FCE'!U147</f>
        <v>20329.35657253586</v>
      </c>
      <c r="V31" s="7994"/>
      <c r="W31" s="7996">
        <f>+'B-FCE'!W147</f>
        <v>3219.2405063291139</v>
      </c>
      <c r="X31" s="7995"/>
      <c r="Y31" s="7995">
        <f>+'B-FCE'!Y147</f>
        <v>11528.101265822785</v>
      </c>
      <c r="Z31" s="7998"/>
      <c r="AA31" s="7998">
        <f>+'B-FCE'!AA147</f>
        <v>23548.597078864976</v>
      </c>
      <c r="AB31" s="7994"/>
      <c r="AC31" s="7996">
        <f>+'B-FCE'!AC147</f>
        <v>4469.8734177215192</v>
      </c>
      <c r="AD31" s="7997"/>
      <c r="AE31" s="7993">
        <f>+'B-FCE'!AE147</f>
        <v>28018.470496586495</v>
      </c>
      <c r="AF31" s="3838"/>
      <c r="AG31" s="7996">
        <f>+'B-FCE'!AG147</f>
        <v>2337.2151898734178</v>
      </c>
      <c r="AH31" s="7997"/>
      <c r="AI31" s="7993">
        <f>+'B-FCE'!AI147</f>
        <v>30355.68568645991</v>
      </c>
      <c r="AJ31" s="7994"/>
      <c r="AK31" s="7996">
        <f>+'B-FCE'!AK147</f>
        <v>5216.2025316455693</v>
      </c>
      <c r="AL31" s="7999"/>
      <c r="AM31" s="7995">
        <f>+'B-FCE'!AM147</f>
        <v>12023.291139240506</v>
      </c>
      <c r="AN31" s="7993"/>
      <c r="AO31" s="3869">
        <f>+'B-FCE'!AO147</f>
        <v>35571.88821810548</v>
      </c>
      <c r="AP31" s="7994"/>
      <c r="AQ31" s="7996">
        <f>+'B-FCE'!AQ147</f>
        <v>2942.7848101265822</v>
      </c>
      <c r="AR31" s="7997"/>
      <c r="AS31" s="7993">
        <f>+'B-FCE'!AS147</f>
        <v>38514.673028232064</v>
      </c>
    </row>
    <row r="32" spans="2:46" x14ac:dyDescent="0.2">
      <c r="N32" s="7897"/>
      <c r="O32" s="7897"/>
      <c r="P32" s="7897"/>
      <c r="Q32" s="7897"/>
    </row>
    <row r="33" spans="2:45" ht="16" thickBot="1" x14ac:dyDescent="0.25">
      <c r="B33" s="1699" t="s">
        <v>519</v>
      </c>
      <c r="N33" s="7897"/>
      <c r="O33" s="7897"/>
      <c r="P33" s="7897"/>
      <c r="Q33" s="7897"/>
    </row>
    <row r="34" spans="2:45" ht="16" thickBot="1" x14ac:dyDescent="0.25">
      <c r="B34" s="8005" t="s">
        <v>2507</v>
      </c>
      <c r="C34" s="8003" t="s">
        <v>863</v>
      </c>
      <c r="D34" s="7931"/>
      <c r="E34" s="3838">
        <f>+'B-FCE'!E135</f>
        <v>11757.391388720438</v>
      </c>
      <c r="F34" s="3838"/>
      <c r="G34" s="3838">
        <f>+'B-FCE'!G135</f>
        <v>12731.958762886597</v>
      </c>
      <c r="H34" s="7993"/>
      <c r="I34" s="7993">
        <f>+'B-FCE'!I135</f>
        <v>24489.350151607036</v>
      </c>
      <c r="J34" s="7994"/>
      <c r="K34" s="3838">
        <f>+'B-FCE'!K135</f>
        <v>15165.88126137053</v>
      </c>
      <c r="L34" s="7995"/>
      <c r="M34" s="7995">
        <f>+'B-FCE'!M135</f>
        <v>39655.231412977562</v>
      </c>
      <c r="N34" s="3838"/>
      <c r="O34" s="7996">
        <f>+'B-FCE'!O135</f>
        <v>21216.494845360823</v>
      </c>
      <c r="P34" s="7997"/>
      <c r="Q34" s="7993">
        <f>+'B-FCE'!Q135</f>
        <v>60871.726258338393</v>
      </c>
      <c r="R34" s="3838"/>
      <c r="S34" s="7996">
        <f>+'B-FCE'!S135</f>
        <v>22376.288659793816</v>
      </c>
      <c r="T34" s="7993"/>
      <c r="U34" s="7993">
        <f>+'B-FCE'!U135</f>
        <v>83248.014918132205</v>
      </c>
      <c r="V34" s="7994"/>
      <c r="W34" s="7996">
        <f>+'B-FCE'!W135</f>
        <v>9838.1443298969079</v>
      </c>
      <c r="X34" s="7995"/>
      <c r="Y34" s="7995">
        <f>+'B-FCE'!Y135</f>
        <v>53430.927835051545</v>
      </c>
      <c r="Z34" s="7998"/>
      <c r="AA34" s="7998">
        <f>+'B-FCE'!AA135</f>
        <v>93086.159248029115</v>
      </c>
      <c r="AB34" s="7994"/>
      <c r="AC34" s="7996">
        <f>+'B-FCE'!AC135</f>
        <v>824.74226804123714</v>
      </c>
      <c r="AD34" s="7997"/>
      <c r="AE34" s="7993">
        <f>+'B-FCE'!AE135</f>
        <v>93910.901516070357</v>
      </c>
      <c r="AF34" s="3838"/>
      <c r="AG34" s="7996">
        <f>+'B-FCE'!AG135</f>
        <v>16181.443298969072</v>
      </c>
      <c r="AH34" s="7997"/>
      <c r="AI34" s="7993">
        <f>+'B-FCE'!AI135</f>
        <v>110092.34481503943</v>
      </c>
      <c r="AJ34" s="7994"/>
      <c r="AK34" s="7996">
        <f>+'B-FCE'!AK135</f>
        <v>26593.81443298969</v>
      </c>
      <c r="AL34" s="7999"/>
      <c r="AM34" s="7995">
        <f>+'B-FCE'!AM135</f>
        <v>43600</v>
      </c>
      <c r="AN34" s="7993"/>
      <c r="AO34" s="3869">
        <f>+'B-FCE'!AO135</f>
        <v>136686.15924802911</v>
      </c>
      <c r="AP34" s="7994"/>
      <c r="AQ34" s="7996">
        <f>+'B-FCE'!AQ135</f>
        <v>29187.628865979383</v>
      </c>
      <c r="AR34" s="7997"/>
      <c r="AS34" s="7993">
        <f>+'B-FCE'!AS135</f>
        <v>165873.78811400849</v>
      </c>
    </row>
    <row r="35" spans="2:45" x14ac:dyDescent="0.2">
      <c r="N35" s="7897"/>
      <c r="O35" s="7897"/>
      <c r="P35" s="7897"/>
      <c r="Q35" s="7897"/>
    </row>
    <row r="36" spans="2:45" hidden="1" x14ac:dyDescent="0.2">
      <c r="B36" s="1699" t="s">
        <v>477</v>
      </c>
      <c r="N36" s="7897"/>
      <c r="O36" s="7897"/>
      <c r="P36" s="7897"/>
      <c r="Q36" s="7897"/>
    </row>
    <row r="37" spans="2:45" ht="16" hidden="1" thickBot="1" x14ac:dyDescent="0.25">
      <c r="B37" s="8005" t="s">
        <v>2507</v>
      </c>
      <c r="C37" s="8003" t="s">
        <v>863</v>
      </c>
      <c r="D37" s="7931"/>
      <c r="E37" s="3838">
        <f>+LDCP!F61</f>
        <v>12336.943707539716</v>
      </c>
      <c r="F37" s="3838"/>
      <c r="G37" s="3838">
        <f>+LDCP!H61</f>
        <v>10604.1595123308</v>
      </c>
      <c r="H37" s="7993"/>
      <c r="I37" s="7993">
        <f>+LDCP!J61</f>
        <v>22943.884315794221</v>
      </c>
      <c r="J37" s="7994"/>
      <c r="K37" s="3838">
        <f>+LDCP!L61</f>
        <v>12423.431232071713</v>
      </c>
      <c r="L37" s="7995"/>
      <c r="M37" s="7995">
        <f>+LDCP!N61</f>
        <v>35320.701355411402</v>
      </c>
      <c r="N37" s="3838"/>
      <c r="O37" s="7996">
        <f>+LDCP!P61</f>
        <v>14265.453287164406</v>
      </c>
      <c r="P37" s="7997"/>
      <c r="Q37" s="7993">
        <f>+LDCP!R61</f>
        <v>49529.486969130034</v>
      </c>
      <c r="R37" s="3838"/>
      <c r="S37" s="7996">
        <f>+LDCP!T61</f>
        <v>14833.649512670565</v>
      </c>
      <c r="T37" s="7993"/>
      <c r="U37" s="7993">
        <f>+LDCP!V61</f>
        <v>64387.511468381759</v>
      </c>
      <c r="V37" s="7994"/>
      <c r="W37" s="7996">
        <f>+LDCP!X61</f>
        <v>8272.3876651982391</v>
      </c>
      <c r="X37" s="7995"/>
      <c r="Y37" s="7995">
        <f>+LDCP!Z61</f>
        <v>37388.292410431066</v>
      </c>
      <c r="Z37" s="7998"/>
      <c r="AA37" s="7998">
        <f>+LDCP!AB61</f>
        <v>72672.753865171791</v>
      </c>
      <c r="AB37" s="7994"/>
      <c r="AC37" s="7996">
        <f>+LDCP!AD61</f>
        <v>12182.886261527548</v>
      </c>
      <c r="AD37" s="7997"/>
      <c r="AE37" s="7993">
        <f>+LDCP!AF61</f>
        <v>84787.143318749469</v>
      </c>
      <c r="AF37" s="3838"/>
      <c r="AG37" s="7996">
        <f>+LDCP!AH61</f>
        <v>16905.483011463388</v>
      </c>
      <c r="AH37" s="7997"/>
      <c r="AI37" s="7993">
        <f>+LDCP!AJ61</f>
        <v>101420.02573982993</v>
      </c>
      <c r="AJ37" s="7994"/>
      <c r="AK37" s="7996">
        <f>+LDCP!AL61</f>
        <v>15809.05207441426</v>
      </c>
      <c r="AL37" s="7999"/>
      <c r="AM37" s="7995">
        <f>+LDCP!AN61</f>
        <v>44709.515038079262</v>
      </c>
      <c r="AN37" s="7993"/>
      <c r="AO37" s="3869">
        <f>+LDCP!AP61</f>
        <v>117229.20780067844</v>
      </c>
      <c r="AP37" s="7994"/>
      <c r="AQ37" s="7996">
        <f>+LDCP!AR61</f>
        <v>21498.672021765888</v>
      </c>
      <c r="AR37" s="7997"/>
      <c r="AS37" s="7993">
        <f>+LDCP!AT61</f>
        <v>138691.315122798</v>
      </c>
    </row>
    <row r="38" spans="2:45" hidden="1" x14ac:dyDescent="0.2">
      <c r="N38" s="7897"/>
      <c r="O38" s="7897"/>
      <c r="P38" s="7897"/>
      <c r="Q38" s="7897"/>
    </row>
    <row r="39" spans="2:45" hidden="1" x14ac:dyDescent="0.2">
      <c r="B39" s="1699" t="s">
        <v>1213</v>
      </c>
      <c r="N39" s="7897"/>
      <c r="O39" s="7897"/>
      <c r="P39" s="7897"/>
      <c r="Q39" s="7897"/>
    </row>
    <row r="40" spans="2:45" ht="16" hidden="1" thickBot="1" x14ac:dyDescent="0.25">
      <c r="B40" s="8005" t="s">
        <v>2507</v>
      </c>
      <c r="C40" s="8003" t="s">
        <v>863</v>
      </c>
      <c r="D40" s="7931"/>
      <c r="E40" s="3838">
        <f>+LDCP!F66</f>
        <v>3108.7025316455697</v>
      </c>
      <c r="F40" s="3838"/>
      <c r="G40" s="3838">
        <f>+LDCP!H66</f>
        <v>4520.8792093704242</v>
      </c>
      <c r="H40" s="7993"/>
      <c r="I40" s="7993">
        <f>+LDCP!J66</f>
        <v>7634.913612565445</v>
      </c>
      <c r="J40" s="7994"/>
      <c r="K40" s="3838">
        <f>+LDCP!L66</f>
        <v>4389.5164054848192</v>
      </c>
      <c r="L40" s="7995"/>
      <c r="M40" s="7995">
        <f>+LDCP!N66</f>
        <v>12029.068021512961</v>
      </c>
      <c r="N40" s="3838"/>
      <c r="O40" s="7996">
        <f>+LDCP!P66</f>
        <v>3373.4610890394952</v>
      </c>
      <c r="P40" s="7997"/>
      <c r="Q40" s="7993">
        <f>+LDCP!R66</f>
        <v>15399.819185711542</v>
      </c>
      <c r="R40" s="3838"/>
      <c r="S40" s="7996">
        <f>+LDCP!T66</f>
        <v>5437.6245443499392</v>
      </c>
      <c r="T40" s="7993"/>
      <c r="U40" s="7993">
        <f>+LDCP!V66</f>
        <v>20846.723259886181</v>
      </c>
      <c r="V40" s="7994"/>
      <c r="W40" s="7996">
        <f>+LDCP!X66</f>
        <v>2528.1176470588234</v>
      </c>
      <c r="X40" s="7995"/>
      <c r="Y40" s="7995">
        <f>+LDCP!Z66</f>
        <v>11350.04573120579</v>
      </c>
      <c r="Z40" s="7998"/>
      <c r="AA40" s="7998">
        <f>+LDCP!AB66</f>
        <v>23370.284148936171</v>
      </c>
      <c r="AB40" s="7994"/>
      <c r="AC40" s="7996">
        <f>+LDCP!AD66</f>
        <v>2568.7433035714284</v>
      </c>
      <c r="AD40" s="7997"/>
      <c r="AE40" s="7993">
        <f>+LDCP!AF66</f>
        <v>25938.129582251411</v>
      </c>
      <c r="AF40" s="3838"/>
      <c r="AG40" s="7996">
        <f>+LDCP!AH66</f>
        <v>4445.1601208459215</v>
      </c>
      <c r="AH40" s="7997"/>
      <c r="AI40" s="7993">
        <f>+LDCP!AJ66</f>
        <v>30417.37654177719</v>
      </c>
      <c r="AJ40" s="7994"/>
      <c r="AK40" s="7996">
        <f>+LDCP!AL66</f>
        <v>4557.2254847209269</v>
      </c>
      <c r="AL40" s="7999"/>
      <c r="AM40" s="7995">
        <f>+LDCP!AN66</f>
        <v>11581.840441373241</v>
      </c>
      <c r="AN40" s="7993"/>
      <c r="AO40" s="3869">
        <f>+LDCP!AP66</f>
        <v>34980.803212065199</v>
      </c>
      <c r="AP40" s="7994"/>
      <c r="AQ40" s="7996">
        <f>+LDCP!AR66</f>
        <v>6110.4393063583811</v>
      </c>
      <c r="AR40" s="7997"/>
      <c r="AS40" s="7993">
        <f>+LDCP!AT66</f>
        <v>41093.510126041772</v>
      </c>
    </row>
    <row r="41" spans="2:45" ht="16" thickBot="1" x14ac:dyDescent="0.25">
      <c r="N41" s="7897"/>
      <c r="O41" s="7897"/>
      <c r="P41" s="7897"/>
      <c r="Q41" s="7897"/>
    </row>
    <row r="42" spans="2:45" ht="16" thickBot="1" x14ac:dyDescent="0.25">
      <c r="B42" s="5528" t="s">
        <v>2523</v>
      </c>
      <c r="C42" s="7964" t="s">
        <v>863</v>
      </c>
      <c r="D42" s="7931"/>
      <c r="E42" s="3838">
        <f>+SMS!E55/((100-0.85)/100)</f>
        <v>132.12304589006555</v>
      </c>
      <c r="F42" s="3838"/>
      <c r="G42" s="3838">
        <f>+SMS!G55/((100-0.85)/100)</f>
        <v>103.88300554715077</v>
      </c>
      <c r="H42" s="7993"/>
      <c r="I42" s="7993">
        <f>+SMS!I55/((100-0.85)/100)</f>
        <v>236.00605143721631</v>
      </c>
      <c r="J42" s="3838"/>
      <c r="K42" s="3838">
        <f>+SMS!K55/((100-0.85)/100)</f>
        <v>159.31417044881493</v>
      </c>
      <c r="L42" s="7995"/>
      <c r="M42" s="7995">
        <f>+SMS!M55/((100-0.85)/100)</f>
        <v>395.32022188603128</v>
      </c>
      <c r="N42" s="3838"/>
      <c r="O42" s="7996">
        <f>+SMS!O55/((100-0.85)/100)</f>
        <v>262.22894604135149</v>
      </c>
      <c r="P42" s="7993"/>
      <c r="Q42" s="7993">
        <f>+SMS!Q55/((100-0.85)/100)</f>
        <v>657.54916792738277</v>
      </c>
      <c r="R42" s="3838"/>
      <c r="S42" s="7996">
        <f>+SMS!S55/((100-0.85)/100)</f>
        <v>299.5461422087746</v>
      </c>
      <c r="T42" s="7993"/>
      <c r="U42" s="7993">
        <f>+SMS!U55/((100-0.85)/100)</f>
        <v>957.09531013615731</v>
      </c>
      <c r="V42" s="3838"/>
      <c r="W42" s="7996">
        <f>+SMS!W55/((100-0.85)/100)</f>
        <v>176.50025214321735</v>
      </c>
      <c r="X42" s="7995"/>
      <c r="Y42" s="7995">
        <f>+SMS!Y55/((100-0.85)/100)</f>
        <v>738.27534039334341</v>
      </c>
      <c r="Z42" s="7998"/>
      <c r="AA42" s="7998">
        <f>+SMS!AA55/((100-0.85)/100)</f>
        <v>1133.5955622793747</v>
      </c>
      <c r="AB42" s="3838"/>
      <c r="AC42" s="7996">
        <f>+SMS!AC55/((100-0.85)/100)</f>
        <v>171.45738779626828</v>
      </c>
      <c r="AD42" s="7993"/>
      <c r="AE42" s="7993">
        <f>+SMS!AE55/((100-0.85)/100)</f>
        <v>1305.0529500756429</v>
      </c>
      <c r="AF42" s="3838"/>
      <c r="AG42" s="7996">
        <f>+SMS!AG55/((100-0.85)/100)</f>
        <v>380.83711548159357</v>
      </c>
      <c r="AH42" s="7993"/>
      <c r="AI42" s="7993">
        <f>+SMS!AI55/((100-0.85)/100)</f>
        <v>1685.8900655572363</v>
      </c>
      <c r="AJ42" s="3838"/>
      <c r="AK42" s="7996">
        <f>+SMS!AK55/((100-0.85)/100)</f>
        <v>383.25769036812909</v>
      </c>
      <c r="AL42" s="7995"/>
      <c r="AM42" s="7995">
        <f>+SMS!AM55/((100-0.85)/100)</f>
        <v>935.55219364599088</v>
      </c>
      <c r="AN42" s="7993"/>
      <c r="AO42" s="3869">
        <f>+SMS!AO55/((100-0.85)/100)</f>
        <v>2069.1477559253653</v>
      </c>
      <c r="AP42" s="3838"/>
      <c r="AQ42" s="7996">
        <f>+SMS!AQ55/((100-0.85)/100)</f>
        <v>342.91477559253656</v>
      </c>
      <c r="AR42" s="7993"/>
      <c r="AS42" s="7993">
        <f>+SMS!AS55/((100-0.85)/100)</f>
        <v>2412.0625315179018</v>
      </c>
    </row>
    <row r="43" spans="2:45" ht="16" thickBot="1" x14ac:dyDescent="0.25">
      <c r="B43" s="5528" t="s">
        <v>2524</v>
      </c>
      <c r="C43" s="7964" t="s">
        <v>863</v>
      </c>
      <c r="D43" s="7931"/>
      <c r="E43" s="3838">
        <f>+SMS!E57/((100-0.85)/100)</f>
        <v>364.0948058497226</v>
      </c>
      <c r="F43" s="3838"/>
      <c r="G43" s="3838">
        <f>+SMS!G57/((100-0.85)/100)</f>
        <v>309.63187090267269</v>
      </c>
      <c r="H43" s="7993"/>
      <c r="I43" s="7993">
        <f>+SMS!I57/((100-0.85)/100)</f>
        <v>673.72667675239529</v>
      </c>
      <c r="J43" s="3838"/>
      <c r="K43" s="3838">
        <f>+SMS!K57/((100-0.85)/100)</f>
        <v>345.94049420070598</v>
      </c>
      <c r="L43" s="7995"/>
      <c r="M43" s="7995">
        <f>+SMS!M57/((100-0.85)/100)</f>
        <v>1019.6671709531013</v>
      </c>
      <c r="N43" s="3838"/>
      <c r="O43" s="7996">
        <f>+SMS!O57/((100-0.85)/100)</f>
        <v>398.38628340897628</v>
      </c>
      <c r="P43" s="7993"/>
      <c r="Q43" s="7993">
        <f>+SMS!Q57/((100-0.85)/100)</f>
        <v>1418.0534543620777</v>
      </c>
      <c r="R43" s="3838"/>
      <c r="S43" s="7996">
        <f>+SMS!S57/((100-0.85)/100)</f>
        <v>442.76348966212805</v>
      </c>
      <c r="T43" s="7993"/>
      <c r="U43" s="7993">
        <f>+SMS!U57/((100-0.85)/100)</f>
        <v>1860.8169440242057</v>
      </c>
      <c r="V43" s="3838"/>
      <c r="W43" s="7996">
        <f>+SMS!W57/((100-0.85)/100)</f>
        <v>208.77458396369136</v>
      </c>
      <c r="X43" s="7995"/>
      <c r="Y43" s="7995">
        <f>+SMS!Y57/((100-0.85)/100)</f>
        <v>1049.9243570347958</v>
      </c>
      <c r="Z43" s="7998"/>
      <c r="AA43" s="7998">
        <f>+SMS!AA57/((100-0.85)/100)</f>
        <v>2069.5915279878968</v>
      </c>
      <c r="AB43" s="3838"/>
      <c r="AC43" s="7996">
        <f>+SMS!AC57/((100-0.85)/100)</f>
        <v>234.99747856782651</v>
      </c>
      <c r="AD43" s="7993"/>
      <c r="AE43" s="7993">
        <f>+SMS!AE57/((100-0.85)/100)</f>
        <v>2304.5890065557237</v>
      </c>
      <c r="AF43" s="3838"/>
      <c r="AG43" s="7996">
        <f>+SMS!AG57/((100-0.85)/100)</f>
        <v>265.25466464952092</v>
      </c>
      <c r="AH43" s="7993"/>
      <c r="AI43" s="7993">
        <f>+SMS!AI57/((100-0.85)/100)</f>
        <v>2569.8436712052444</v>
      </c>
      <c r="AJ43" s="3838"/>
      <c r="AK43" s="7996">
        <f>+SMS!AK57/((100-0.85)/100)</f>
        <v>269.28895612708016</v>
      </c>
      <c r="AL43" s="7995"/>
      <c r="AM43" s="7995">
        <f>+SMS!AM57/((100-0.85)/100)</f>
        <v>769.54109934442761</v>
      </c>
      <c r="AN43" s="7993"/>
      <c r="AO43" s="3869">
        <f>+SMS!AO57/((100-0.85)/100)</f>
        <v>2839.1326273323248</v>
      </c>
      <c r="AP43" s="3838"/>
      <c r="AQ43" s="7996">
        <f>+SMS!AQ57/((100-0.85)/100)</f>
        <v>411.49773071104386</v>
      </c>
      <c r="AR43" s="7993"/>
      <c r="AS43" s="7993">
        <f>+SMS!AS57/((100-0.85)/100)</f>
        <v>3250.6303580433687</v>
      </c>
    </row>
    <row r="44" spans="2:45" ht="16" thickBot="1" x14ac:dyDescent="0.25">
      <c r="B44" s="5528" t="s">
        <v>2525</v>
      </c>
      <c r="C44" s="7964" t="s">
        <v>863</v>
      </c>
      <c r="D44" s="7931"/>
      <c r="E44" s="3838">
        <f>+SMS!E56/((100-0.85)/100)</f>
        <v>2191.6288451840646</v>
      </c>
      <c r="F44" s="3838"/>
      <c r="G44" s="3838">
        <f>+SMS!G56/((100-0.85)/100)</f>
        <v>2341.9062027231466</v>
      </c>
      <c r="H44" s="7993"/>
      <c r="I44" s="7993">
        <f>+SMS!I56/((100-0.85)/100)</f>
        <v>4533.5350479072113</v>
      </c>
      <c r="J44" s="3838"/>
      <c r="K44" s="3838">
        <f>+SMS!K56/((100-0.85)/100)</f>
        <v>2520.4236006051437</v>
      </c>
      <c r="L44" s="7995"/>
      <c r="M44" s="7995">
        <f>+SMS!M56/((100-0.85)/100)</f>
        <v>7053.9586485123546</v>
      </c>
      <c r="N44" s="3838"/>
      <c r="O44" s="7996">
        <f>+SMS!O56/((100-0.85)/100)</f>
        <v>2622.2894604135149</v>
      </c>
      <c r="P44" s="7993"/>
      <c r="Q44" s="7993">
        <f>+SMS!Q56/((100-0.85)/100)</f>
        <v>9676.248108925869</v>
      </c>
      <c r="R44" s="3838"/>
      <c r="S44" s="7996">
        <f>+SMS!S56/((100-0.85)/100)</f>
        <v>2809.8840141200199</v>
      </c>
      <c r="T44" s="7993"/>
      <c r="U44" s="7993">
        <f>+SMS!U56/((100-0.85)/100)</f>
        <v>12486.132123045889</v>
      </c>
      <c r="V44" s="3838"/>
      <c r="W44" s="7996">
        <f>+SMS!W56/((100-0.85)/100)</f>
        <v>1333.3333333333333</v>
      </c>
      <c r="X44" s="7995"/>
      <c r="Y44" s="7995">
        <f>+SMS!Y56/((100-0.85)/100)</f>
        <v>6765.5068078668683</v>
      </c>
      <c r="Z44" s="7998"/>
      <c r="AA44" s="7998">
        <f>+SMS!AA56/((100-0.85)/100)</f>
        <v>13819.465456379223</v>
      </c>
      <c r="AB44" s="3838"/>
      <c r="AC44" s="7996">
        <f>+SMS!AC56/((100-0.85)/100)</f>
        <v>1618.7594553706504</v>
      </c>
      <c r="AD44" s="7993"/>
      <c r="AE44" s="7993">
        <f>+SMS!AE56/((100-0.85)/100)</f>
        <v>15438.224911749874</v>
      </c>
      <c r="AF44" s="3838"/>
      <c r="AG44" s="7996">
        <f>+SMS!AG56/((100-0.85)/100)</f>
        <v>2240.0403429147755</v>
      </c>
      <c r="AH44" s="7993"/>
      <c r="AI44" s="7993">
        <f>+SMS!AI56/((100-0.85)/100)</f>
        <v>17678.26525466465</v>
      </c>
      <c r="AJ44" s="3838"/>
      <c r="AK44" s="7996">
        <f>+SMS!AK56/((100-0.85)/100)</f>
        <v>2792.7382753403931</v>
      </c>
      <c r="AL44" s="7995"/>
      <c r="AM44" s="7995">
        <f>+SMS!AM56/((100-0.85)/100)</f>
        <v>6651.5380736258194</v>
      </c>
      <c r="AN44" s="7993"/>
      <c r="AO44" s="3869">
        <f>+SMS!AO56/((100-0.85)/100)</f>
        <v>20471.00353000504</v>
      </c>
      <c r="AP44" s="3838"/>
      <c r="AQ44" s="7996">
        <f>+SMS!AQ56/((100-0.85)/100)</f>
        <v>3410.9934442763488</v>
      </c>
      <c r="AR44" s="7993"/>
      <c r="AS44" s="7993">
        <f>+SMS!AS56/((100-0.85)/100)</f>
        <v>23881.996974281392</v>
      </c>
    </row>
    <row r="45" spans="2:45" ht="16" thickBot="1" x14ac:dyDescent="0.25">
      <c r="B45" s="5528" t="s">
        <v>2526</v>
      </c>
      <c r="C45" s="7964" t="s">
        <v>863</v>
      </c>
      <c r="D45" s="7931"/>
      <c r="E45" s="3838">
        <f>+SMS!E60/((100-2)/100)</f>
        <v>49.795918367346935</v>
      </c>
      <c r="F45" s="3838"/>
      <c r="G45" s="3838">
        <f>+SMS!G60/((100-2)/100)</f>
        <v>56.448979591836739</v>
      </c>
      <c r="H45" s="7993"/>
      <c r="I45" s="7993">
        <f>+SMS!I60/((100-2)/100)</f>
        <v>106.24489795918367</v>
      </c>
      <c r="J45" s="3838"/>
      <c r="K45" s="3838">
        <f>+SMS!K60/((100-2)/100)</f>
        <v>68.959183673469383</v>
      </c>
      <c r="L45" s="7995"/>
      <c r="M45" s="7995">
        <f>+SMS!M60/((100-2)/100)</f>
        <v>175.20408163265304</v>
      </c>
      <c r="N45" s="3838"/>
      <c r="O45" s="7996">
        <f>+SMS!O60/((100-2)/100)</f>
        <v>88.775510204081641</v>
      </c>
      <c r="P45" s="7993"/>
      <c r="Q45" s="7993">
        <f>+SMS!Q60/((100-2)/100)</f>
        <v>263.9795918367347</v>
      </c>
      <c r="R45" s="3838"/>
      <c r="S45" s="7996">
        <f>+SMS!S60/((100-2)/100)</f>
        <v>103.67346938775509</v>
      </c>
      <c r="T45" s="7993"/>
      <c r="U45" s="7993">
        <f>+SMS!U60/((100-2)/100)</f>
        <v>367.65306122448976</v>
      </c>
      <c r="V45" s="3838"/>
      <c r="W45" s="7996">
        <f>+SMS!W60/((100-2)/100)</f>
        <v>53.656122448979595</v>
      </c>
      <c r="X45" s="7995"/>
      <c r="Y45" s="7995">
        <f>+SMS!Y60/((100-2)/100)</f>
        <v>246.10510204081632</v>
      </c>
      <c r="Z45" s="7998"/>
      <c r="AA45" s="7998">
        <f>+SMS!AA60/((100-2)/100)</f>
        <v>421.30918367346931</v>
      </c>
      <c r="AB45" s="3838"/>
      <c r="AC45" s="7996">
        <f>+SMS!AC60/((100-2)/100)</f>
        <v>68.576530612244895</v>
      </c>
      <c r="AD45" s="7993"/>
      <c r="AE45" s="7993">
        <f>+SMS!AE60/((100-2)/100)</f>
        <v>489.88571428571419</v>
      </c>
      <c r="AF45" s="3838"/>
      <c r="AG45" s="7996">
        <f>+SMS!AG60/((100-2)/100)</f>
        <v>105.29591836734694</v>
      </c>
      <c r="AH45" s="7993"/>
      <c r="AI45" s="7993">
        <f>+SMS!AI60/((100-2)/100)</f>
        <v>595.18163265306111</v>
      </c>
      <c r="AJ45" s="3838"/>
      <c r="AK45" s="7996">
        <f>+SMS!AK60/((100-2)/100)</f>
        <v>105.58163265306122</v>
      </c>
      <c r="AL45" s="7995"/>
      <c r="AM45" s="7995">
        <f>+SMS!AM60/((100-2)/100)</f>
        <v>279.45408163265307</v>
      </c>
      <c r="AN45" s="7993"/>
      <c r="AO45" s="3869">
        <f>+SMS!AO60/((100-2)/100)</f>
        <v>700.76326530612243</v>
      </c>
      <c r="AP45" s="3838"/>
      <c r="AQ45" s="7996">
        <f>+SMS!AQ60/((100-2)/100)</f>
        <v>143.11224489795919</v>
      </c>
      <c r="AR45" s="7993"/>
      <c r="AS45" s="7993">
        <f>+SMS!AS60/((100-2)/100)</f>
        <v>843.87551020408159</v>
      </c>
    </row>
    <row r="46" spans="2:45" ht="16" thickBot="1" x14ac:dyDescent="0.25">
      <c r="B46" s="5528" t="s">
        <v>2527</v>
      </c>
      <c r="C46" s="7964" t="s">
        <v>863</v>
      </c>
      <c r="D46" s="7931"/>
      <c r="E46" s="3838">
        <f>+SMS!E59/((100-2)/100)</f>
        <v>210.20408163265307</v>
      </c>
      <c r="F46" s="3838"/>
      <c r="G46" s="3838">
        <f>+SMS!G59/((100-2)/100)</f>
        <v>188.77551020408163</v>
      </c>
      <c r="H46" s="7993"/>
      <c r="I46" s="7993">
        <f>+SMS!I59/((100-2)/100)</f>
        <v>398.9795918367347</v>
      </c>
      <c r="J46" s="3838"/>
      <c r="K46" s="3838">
        <f>+SMS!K59/((100-2)/100)</f>
        <v>217.85714285714286</v>
      </c>
      <c r="L46" s="7995"/>
      <c r="M46" s="7995">
        <f>+SMS!M59/((100-2)/100)</f>
        <v>616.83673469387759</v>
      </c>
      <c r="N46" s="3838"/>
      <c r="O46" s="7996">
        <f>+SMS!O59/((100-2)/100)</f>
        <v>223.46938775510205</v>
      </c>
      <c r="P46" s="7993"/>
      <c r="Q46" s="7993">
        <f>+SMS!Q59/((100-2)/100)</f>
        <v>840.30612244897964</v>
      </c>
      <c r="R46" s="3838"/>
      <c r="S46" s="7996">
        <f>+SMS!S59/((100-2)/100)</f>
        <v>261.22448979591837</v>
      </c>
      <c r="T46" s="7993"/>
      <c r="U46" s="7993">
        <f>+SMS!U59/((100-2)/100)</f>
        <v>1101.5306122448981</v>
      </c>
      <c r="V46" s="3838"/>
      <c r="W46" s="7996">
        <f>+SMS!W59/((100-2)/100)</f>
        <v>146.9387755102041</v>
      </c>
      <c r="X46" s="7995"/>
      <c r="Y46" s="7995">
        <f>+SMS!Y59/((100-2)/100)</f>
        <v>631.63265306122446</v>
      </c>
      <c r="Z46" s="7998"/>
      <c r="AA46" s="7998">
        <f>+SMS!AA59/((100-2)/100)</f>
        <v>1248.4693877551022</v>
      </c>
      <c r="AB46" s="3838"/>
      <c r="AC46" s="7996">
        <f>+SMS!AC59/((100-2)/100)</f>
        <v>181.63265306122449</v>
      </c>
      <c r="AD46" s="7993"/>
      <c r="AE46" s="7993">
        <f>+SMS!AE59/((100-2)/100)</f>
        <v>1430.1020408163265</v>
      </c>
      <c r="AF46" s="3838"/>
      <c r="AG46" s="7996">
        <f>+SMS!AG59/((100-2)/100)</f>
        <v>167.34693877551021</v>
      </c>
      <c r="AH46" s="7993"/>
      <c r="AI46" s="7993">
        <f>+SMS!AI59/((100-2)/100)</f>
        <v>1597.4489795918369</v>
      </c>
      <c r="AJ46" s="3838"/>
      <c r="AK46" s="7996">
        <f>+SMS!AK59/((100-2)/100)</f>
        <v>232.65306122448979</v>
      </c>
      <c r="AL46" s="7995"/>
      <c r="AM46" s="7995">
        <f>+SMS!AM59/((100-2)/100)</f>
        <v>581.63265306122446</v>
      </c>
      <c r="AN46" s="7993"/>
      <c r="AO46" s="3869">
        <f>+SMS!AO59/((100-2)/100)</f>
        <v>1830.1020408163265</v>
      </c>
      <c r="AP46" s="3838"/>
      <c r="AQ46" s="7996">
        <f>+SMS!AQ59/((100-2)/100)</f>
        <v>298.9795918367347</v>
      </c>
      <c r="AR46" s="7993"/>
      <c r="AS46" s="7993">
        <f>+SMS!AS59/((100-2)/100)</f>
        <v>2129.0816326530612</v>
      </c>
    </row>
    <row r="47" spans="2:45" ht="16" thickBot="1" x14ac:dyDescent="0.25">
      <c r="B47" s="5528" t="s">
        <v>2515</v>
      </c>
      <c r="C47" s="7964" t="s">
        <v>863</v>
      </c>
      <c r="D47" s="7931"/>
      <c r="E47" s="2819">
        <f>+SMS!E105</f>
        <v>0</v>
      </c>
      <c r="F47" s="2819"/>
      <c r="G47" s="2819">
        <f>+SMS!G105</f>
        <v>0.77400000000000002</v>
      </c>
      <c r="H47" s="8007"/>
      <c r="I47" s="8007">
        <f>+SMS!I105</f>
        <v>0.77400000000000002</v>
      </c>
      <c r="J47" s="2819"/>
      <c r="K47" s="2819">
        <f>+SMS!K105</f>
        <v>0</v>
      </c>
      <c r="L47" s="8008"/>
      <c r="M47" s="8008">
        <f>+SMS!M105</f>
        <v>0.77400000000000002</v>
      </c>
      <c r="N47" s="2819"/>
      <c r="O47" s="8009">
        <f>+SMS!O105</f>
        <v>0</v>
      </c>
      <c r="P47" s="8007"/>
      <c r="Q47" s="8007">
        <f>+SMS!Q105</f>
        <v>0.77400000000000002</v>
      </c>
      <c r="R47" s="2819"/>
      <c r="S47" s="8009">
        <f>+SMS!S105</f>
        <v>0</v>
      </c>
      <c r="T47" s="8007"/>
      <c r="U47" s="8007">
        <f>+SMS!U105</f>
        <v>0.77400000000000002</v>
      </c>
      <c r="V47" s="2819"/>
      <c r="W47" s="8009">
        <f>+SMS!W105</f>
        <v>0</v>
      </c>
      <c r="X47" s="8008"/>
      <c r="Y47" s="8008">
        <f>+SMS!Y105</f>
        <v>0</v>
      </c>
      <c r="Z47" s="8010"/>
      <c r="AA47" s="8010">
        <f>+SMS!AA105</f>
        <v>0.77400000000000002</v>
      </c>
      <c r="AB47" s="2819"/>
      <c r="AC47" s="8009">
        <f>+SMS!AC105</f>
        <v>6.66</v>
      </c>
      <c r="AD47" s="8007"/>
      <c r="AE47" s="8007">
        <f>+SMS!AE105</f>
        <v>7.4340000000000002</v>
      </c>
      <c r="AF47" s="2819"/>
      <c r="AG47" s="8009">
        <f>+SMS!AG105</f>
        <v>10.5</v>
      </c>
      <c r="AH47" s="8007"/>
      <c r="AI47" s="8007">
        <f>+SMS!AI105</f>
        <v>17.934000000000001</v>
      </c>
      <c r="AJ47" s="2819"/>
      <c r="AK47" s="8009">
        <f>+SMS!AK105</f>
        <v>2.94</v>
      </c>
      <c r="AL47" s="8008"/>
      <c r="AM47" s="8008">
        <f>+SMS!AM105</f>
        <v>20.100000000000001</v>
      </c>
      <c r="AN47" s="8007"/>
      <c r="AO47" s="1915">
        <f>+SMS!AO105</f>
        <v>20.874000000000002</v>
      </c>
      <c r="AP47" s="2819"/>
      <c r="AQ47" s="8009">
        <f>+SMS!AQ105</f>
        <v>6.0149999999999997</v>
      </c>
      <c r="AR47" s="8007"/>
      <c r="AS47" s="8007">
        <f>+SMS!AS105</f>
        <v>26.889000000000003</v>
      </c>
    </row>
    <row r="48" spans="2:45" ht="16" thickBot="1" x14ac:dyDescent="0.25">
      <c r="B48" s="5528" t="s">
        <v>2516</v>
      </c>
      <c r="C48" s="7964" t="s">
        <v>863</v>
      </c>
      <c r="D48" s="7931"/>
      <c r="E48" s="3838">
        <f>+SMS!E108</f>
        <v>40.119999999999997</v>
      </c>
      <c r="F48" s="3838"/>
      <c r="G48" s="3838">
        <f>+SMS!G108</f>
        <v>43.7</v>
      </c>
      <c r="H48" s="7993"/>
      <c r="I48" s="7993">
        <f>+SMS!I108</f>
        <v>83.82</v>
      </c>
      <c r="J48" s="3838"/>
      <c r="K48" s="3838">
        <f>+SMS!K108</f>
        <v>48.5</v>
      </c>
      <c r="L48" s="7995"/>
      <c r="M48" s="7995">
        <f>+SMS!M108</f>
        <v>132.32</v>
      </c>
      <c r="N48" s="3838"/>
      <c r="O48" s="7996">
        <f>+SMS!O108</f>
        <v>51</v>
      </c>
      <c r="P48" s="7993"/>
      <c r="Q48" s="7993">
        <f>+SMS!Q108</f>
        <v>183.32</v>
      </c>
      <c r="R48" s="3838"/>
      <c r="S48" s="7996">
        <f>+SMS!S108</f>
        <v>54</v>
      </c>
      <c r="T48" s="7993"/>
      <c r="U48" s="7993">
        <f>+SMS!U108</f>
        <v>237.32</v>
      </c>
      <c r="V48" s="3838"/>
      <c r="W48" s="7996">
        <f>+SMS!W108</f>
        <v>25</v>
      </c>
      <c r="X48" s="7995"/>
      <c r="Y48" s="7995">
        <f>+SMS!Y108</f>
        <v>130</v>
      </c>
      <c r="Z48" s="7998"/>
      <c r="AA48" s="7998">
        <f>+SMS!AA108</f>
        <v>262.32</v>
      </c>
      <c r="AB48" s="3838"/>
      <c r="AC48" s="7996">
        <f>+SMS!AC108</f>
        <v>38.512</v>
      </c>
      <c r="AD48" s="7993"/>
      <c r="AE48" s="7993">
        <f>+SMS!AE108</f>
        <v>300.83199999999999</v>
      </c>
      <c r="AF48" s="3838"/>
      <c r="AG48" s="7996">
        <f>+SMS!AG108</f>
        <v>43</v>
      </c>
      <c r="AH48" s="7993"/>
      <c r="AI48" s="7993">
        <f>+SMS!AI108</f>
        <v>343.83199999999999</v>
      </c>
      <c r="AJ48" s="3838"/>
      <c r="AK48" s="7996">
        <f>+SMS!AK108</f>
        <v>54</v>
      </c>
      <c r="AL48" s="7995"/>
      <c r="AM48" s="7995">
        <f>+SMS!AM108</f>
        <v>135.512</v>
      </c>
      <c r="AN48" s="7993"/>
      <c r="AO48" s="3869">
        <f>+SMS!AO108</f>
        <v>397.83199999999999</v>
      </c>
      <c r="AP48" s="3838"/>
      <c r="AQ48" s="7996">
        <f>+SMS!AQ108</f>
        <v>68.98</v>
      </c>
      <c r="AR48" s="7993"/>
      <c r="AS48" s="7993">
        <f>+SMS!AS108</f>
        <v>466.81200000000001</v>
      </c>
    </row>
    <row r="49" spans="2:45" ht="16" thickBot="1" x14ac:dyDescent="0.25">
      <c r="B49" s="5528" t="s">
        <v>2517</v>
      </c>
      <c r="C49" s="7964" t="s">
        <v>863</v>
      </c>
      <c r="D49" s="7931"/>
      <c r="E49" s="2819">
        <f>+SMS!E104</f>
        <v>0</v>
      </c>
      <c r="F49" s="2819"/>
      <c r="G49" s="2819">
        <f>+SMS!G104</f>
        <v>36</v>
      </c>
      <c r="H49" s="8007"/>
      <c r="I49" s="8007">
        <f>+SMS!I104</f>
        <v>36</v>
      </c>
      <c r="J49" s="2819"/>
      <c r="K49" s="2819">
        <f>+SMS!K104</f>
        <v>0</v>
      </c>
      <c r="L49" s="8008"/>
      <c r="M49" s="8008">
        <f>+SMS!M104</f>
        <v>36</v>
      </c>
      <c r="N49" s="2819"/>
      <c r="O49" s="8009">
        <f>+SMS!O104</f>
        <v>12</v>
      </c>
      <c r="P49" s="8007"/>
      <c r="Q49" s="8007">
        <f>+SMS!Q104</f>
        <v>48</v>
      </c>
      <c r="R49" s="2819"/>
      <c r="S49" s="8009">
        <f>+SMS!S104</f>
        <v>0</v>
      </c>
      <c r="T49" s="8007"/>
      <c r="U49" s="8007">
        <f>+SMS!U104</f>
        <v>48</v>
      </c>
      <c r="V49" s="2819"/>
      <c r="W49" s="8009">
        <f>+SMS!W104</f>
        <v>18</v>
      </c>
      <c r="X49" s="8008"/>
      <c r="Y49" s="8008">
        <f>+SMS!Y104</f>
        <v>30</v>
      </c>
      <c r="Z49" s="8010"/>
      <c r="AA49" s="8010">
        <f>+SMS!AA104</f>
        <v>66</v>
      </c>
      <c r="AB49" s="2819"/>
      <c r="AC49" s="8009">
        <f>+SMS!AC104</f>
        <v>16</v>
      </c>
      <c r="AD49" s="8007"/>
      <c r="AE49" s="8007">
        <f>+SMS!AE104</f>
        <v>82</v>
      </c>
      <c r="AF49" s="2819"/>
      <c r="AG49" s="8009">
        <f>+SMS!AG104</f>
        <v>10</v>
      </c>
      <c r="AH49" s="8007"/>
      <c r="AI49" s="8007">
        <f>+SMS!AI104</f>
        <v>92</v>
      </c>
      <c r="AJ49" s="2819"/>
      <c r="AK49" s="8009">
        <f>+SMS!AK104</f>
        <v>35</v>
      </c>
      <c r="AL49" s="8008"/>
      <c r="AM49" s="8008">
        <f>+SMS!AM104</f>
        <v>61</v>
      </c>
      <c r="AN49" s="8007"/>
      <c r="AO49" s="1915">
        <f>+SMS!AO104</f>
        <v>127</v>
      </c>
      <c r="AP49" s="2819"/>
      <c r="AQ49" s="8009">
        <f>+SMS!AQ104</f>
        <v>127</v>
      </c>
      <c r="AR49" s="8007"/>
      <c r="AS49" s="8007">
        <f>+SMS!AS104</f>
        <v>254</v>
      </c>
    </row>
    <row r="50" spans="2:45" ht="16" thickBot="1" x14ac:dyDescent="0.25">
      <c r="B50" s="5528" t="s">
        <v>2518</v>
      </c>
      <c r="C50" s="7964" t="s">
        <v>863</v>
      </c>
      <c r="D50" s="7931"/>
      <c r="E50" s="2819">
        <f>+SMS!E110</f>
        <v>0</v>
      </c>
      <c r="F50" s="2819"/>
      <c r="G50" s="2819">
        <f>+SMS!G110</f>
        <v>2.766</v>
      </c>
      <c r="H50" s="8007"/>
      <c r="I50" s="8007">
        <f>+SMS!I110</f>
        <v>2.766</v>
      </c>
      <c r="J50" s="2819"/>
      <c r="K50" s="2819">
        <f>+SMS!K110</f>
        <v>0.14000000000000001</v>
      </c>
      <c r="L50" s="8008"/>
      <c r="M50" s="8008">
        <f>+SMS!M110</f>
        <v>2.9060000000000001</v>
      </c>
      <c r="N50" s="2819"/>
      <c r="O50" s="8009">
        <f>+SMS!O110</f>
        <v>4.0759999999999996</v>
      </c>
      <c r="P50" s="8007"/>
      <c r="Q50" s="8007">
        <f>+SMS!Q110</f>
        <v>6.9819999999999993</v>
      </c>
      <c r="R50" s="2819"/>
      <c r="S50" s="8009">
        <f>+SMS!S110</f>
        <v>2.34</v>
      </c>
      <c r="T50" s="8007"/>
      <c r="U50" s="8007">
        <f>+SMS!U110</f>
        <v>9.3219999999999992</v>
      </c>
      <c r="V50" s="2819"/>
      <c r="W50" s="8009">
        <f>+SMS!W110</f>
        <v>0.3</v>
      </c>
      <c r="X50" s="8008"/>
      <c r="Y50" s="8008">
        <f>+SMS!Y110</f>
        <v>6.7159999999999993</v>
      </c>
      <c r="Z50" s="8010"/>
      <c r="AA50" s="8010">
        <f>+SMS!AA110</f>
        <v>9.6219999999999999</v>
      </c>
      <c r="AB50" s="2819"/>
      <c r="AC50" s="8009">
        <f>+SMS!AC110</f>
        <v>0</v>
      </c>
      <c r="AD50" s="8007"/>
      <c r="AE50" s="8007">
        <f>+SMS!AE110</f>
        <v>9.6219999999999999</v>
      </c>
      <c r="AF50" s="2819"/>
      <c r="AG50" s="8009">
        <f>+SMS!AG110</f>
        <v>1.42</v>
      </c>
      <c r="AH50" s="8007"/>
      <c r="AI50" s="8007">
        <f>+SMS!AI110</f>
        <v>11.042</v>
      </c>
      <c r="AJ50" s="2819"/>
      <c r="AK50" s="8009">
        <f>+SMS!AK110</f>
        <v>8.93</v>
      </c>
      <c r="AL50" s="8008"/>
      <c r="AM50" s="8008">
        <f>+SMS!AM110</f>
        <v>10.35</v>
      </c>
      <c r="AN50" s="8007"/>
      <c r="AO50" s="1915">
        <f>+SMS!AO110</f>
        <v>19.972000000000001</v>
      </c>
      <c r="AP50" s="2819"/>
      <c r="AQ50" s="8009">
        <f>+SMS!AQ110</f>
        <v>2.359</v>
      </c>
      <c r="AR50" s="8007"/>
      <c r="AS50" s="8007">
        <f>+SMS!AS110</f>
        <v>22.331000000000003</v>
      </c>
    </row>
    <row r="51" spans="2:45" ht="16" thickBot="1" x14ac:dyDescent="0.25">
      <c r="B51" s="5528" t="s">
        <v>2528</v>
      </c>
      <c r="C51" s="7964" t="s">
        <v>863</v>
      </c>
      <c r="D51" s="7931"/>
      <c r="E51" s="3838">
        <f>+SMS!E62/((100-2)/100)</f>
        <v>58.163265306122447</v>
      </c>
      <c r="F51" s="3838"/>
      <c r="G51" s="3838">
        <f>+SMS!G62/((100-2)/100)</f>
        <v>132.65306122448979</v>
      </c>
      <c r="H51" s="7993"/>
      <c r="I51" s="7993">
        <f>+SMS!I62/((100-2)/100)</f>
        <v>190.81632653061226</v>
      </c>
      <c r="J51" s="3838"/>
      <c r="K51" s="3838">
        <f>+SMS!K62/((100-2)/100)</f>
        <v>147.9591836734694</v>
      </c>
      <c r="L51" s="7995"/>
      <c r="M51" s="7995">
        <f>+SMS!M62/((100-2)/100)</f>
        <v>338.77551020408163</v>
      </c>
      <c r="N51" s="3838"/>
      <c r="O51" s="7996">
        <f>+SMS!O62/((100-2)/100)</f>
        <v>239.79591836734696</v>
      </c>
      <c r="P51" s="7993"/>
      <c r="Q51" s="7993">
        <f>+SMS!Q62/((100-2)/100)</f>
        <v>578.57142857142856</v>
      </c>
      <c r="R51" s="3838"/>
      <c r="S51" s="7996">
        <f>+SMS!S62/((100-2)/100)</f>
        <v>265.30612244897958</v>
      </c>
      <c r="T51" s="7993"/>
      <c r="U51" s="7993">
        <f>+SMS!U62/((100-2)/100)</f>
        <v>843.87755102040819</v>
      </c>
      <c r="V51" s="3838"/>
      <c r="W51" s="7996">
        <f>+SMS!W62/((100-2)/100)</f>
        <v>94.897959183673464</v>
      </c>
      <c r="X51" s="7995"/>
      <c r="Y51" s="7995">
        <f>+SMS!Y62/((100-2)/100)</f>
        <v>600</v>
      </c>
      <c r="Z51" s="7998"/>
      <c r="AA51" s="7998">
        <f>+SMS!AA62/((100-2)/100)</f>
        <v>938.77551020408168</v>
      </c>
      <c r="AB51" s="3838"/>
      <c r="AC51" s="7996">
        <f>+SMS!AC62/((100-2)/100)</f>
        <v>107.14285714285714</v>
      </c>
      <c r="AD51" s="7993"/>
      <c r="AE51" s="7993">
        <f>+SMS!AE62/((100-2)/100)</f>
        <v>1045.9183673469388</v>
      </c>
      <c r="AF51" s="3838"/>
      <c r="AG51" s="7996">
        <f>+SMS!AG62/((100-2)/100)</f>
        <v>143.87755102040816</v>
      </c>
      <c r="AH51" s="7993"/>
      <c r="AI51" s="7993">
        <f>+SMS!AI62/((100-2)/100)</f>
        <v>1189.795918367347</v>
      </c>
      <c r="AJ51" s="3838"/>
      <c r="AK51" s="7996">
        <f>+SMS!AK62/((100-2)/100)</f>
        <v>229.59183673469389</v>
      </c>
      <c r="AL51" s="7995"/>
      <c r="AM51" s="7995">
        <f>+SMS!AM62/((100-2)/100)</f>
        <v>480.61224489795921</v>
      </c>
      <c r="AN51" s="7993"/>
      <c r="AO51" s="3869">
        <f>+SMS!AO62/((100-2)/100)</f>
        <v>1419.387755102041</v>
      </c>
      <c r="AP51" s="3838"/>
      <c r="AQ51" s="7996">
        <f>+SMS!AQ62/((100-2)/100)</f>
        <v>303.0612244897959</v>
      </c>
      <c r="AR51" s="7993"/>
      <c r="AS51" s="7993">
        <f>+SMS!AS62/((100-2)/100)</f>
        <v>1722.4489795918369</v>
      </c>
    </row>
    <row r="52" spans="2:45" ht="16" thickBot="1" x14ac:dyDescent="0.25">
      <c r="B52" s="5528" t="s">
        <v>2519</v>
      </c>
      <c r="C52" s="7964" t="s">
        <v>863</v>
      </c>
      <c r="D52" s="7931"/>
      <c r="E52" s="2819">
        <f>+SMS!E102</f>
        <v>0</v>
      </c>
      <c r="F52" s="2819"/>
      <c r="G52" s="2819">
        <f>+SMS!G102</f>
        <v>5.51</v>
      </c>
      <c r="H52" s="8007"/>
      <c r="I52" s="8007">
        <f>+SMS!I102</f>
        <v>5.51</v>
      </c>
      <c r="J52" s="2819"/>
      <c r="K52" s="2819">
        <f>+SMS!K102</f>
        <v>0</v>
      </c>
      <c r="L52" s="8008"/>
      <c r="M52" s="8008">
        <f>+SMS!M102</f>
        <v>5.51</v>
      </c>
      <c r="N52" s="2819"/>
      <c r="O52" s="8009">
        <f>+SMS!O102</f>
        <v>0</v>
      </c>
      <c r="P52" s="8007"/>
      <c r="Q52" s="8007">
        <f>+SMS!Q102</f>
        <v>5.51</v>
      </c>
      <c r="R52" s="2819"/>
      <c r="S52" s="8009">
        <f>+SMS!S102</f>
        <v>0</v>
      </c>
      <c r="T52" s="8007"/>
      <c r="U52" s="8007">
        <f>+SMS!U102</f>
        <v>5.51</v>
      </c>
      <c r="V52" s="2819"/>
      <c r="W52" s="8009">
        <f>+SMS!W102</f>
        <v>0</v>
      </c>
      <c r="X52" s="8008"/>
      <c r="Y52" s="8008">
        <f>+SMS!Y102</f>
        <v>0</v>
      </c>
      <c r="Z52" s="8010"/>
      <c r="AA52" s="8010">
        <f>+SMS!AA102</f>
        <v>5.51</v>
      </c>
      <c r="AB52" s="2819"/>
      <c r="AC52" s="8009">
        <f>+SMS!AC102</f>
        <v>0</v>
      </c>
      <c r="AD52" s="8007"/>
      <c r="AE52" s="8007">
        <f>+SMS!AE102</f>
        <v>5.51</v>
      </c>
      <c r="AF52" s="2819"/>
      <c r="AG52" s="8009">
        <f>+SMS!AG102</f>
        <v>0</v>
      </c>
      <c r="AH52" s="8007"/>
      <c r="AI52" s="8007">
        <f>+SMS!AI102</f>
        <v>5.51</v>
      </c>
      <c r="AJ52" s="2819"/>
      <c r="AK52" s="8009">
        <f>+SMS!AK102</f>
        <v>1.78</v>
      </c>
      <c r="AL52" s="8008"/>
      <c r="AM52" s="8008">
        <f>+SMS!AM102</f>
        <v>1.78</v>
      </c>
      <c r="AN52" s="8007"/>
      <c r="AO52" s="1915">
        <f>+SMS!AO102</f>
        <v>7.29</v>
      </c>
      <c r="AP52" s="2819"/>
      <c r="AQ52" s="8009">
        <f>+SMS!AQ102</f>
        <v>14.9</v>
      </c>
      <c r="AR52" s="8007"/>
      <c r="AS52" s="8007">
        <f>+SMS!AS102</f>
        <v>22.19</v>
      </c>
    </row>
    <row r="53" spans="2:45" ht="16" thickBot="1" x14ac:dyDescent="0.25">
      <c r="B53" s="5528" t="s">
        <v>2520</v>
      </c>
      <c r="C53" s="7964" t="s">
        <v>863</v>
      </c>
      <c r="D53" s="7931"/>
      <c r="E53" s="3838">
        <f>+SMS!E106</f>
        <v>27.92</v>
      </c>
      <c r="F53" s="3838"/>
      <c r="G53" s="3838">
        <f>+SMS!G106</f>
        <v>24</v>
      </c>
      <c r="H53" s="7993"/>
      <c r="I53" s="7993">
        <f>+SMS!I106</f>
        <v>51.92</v>
      </c>
      <c r="J53" s="3838"/>
      <c r="K53" s="3838">
        <f>+SMS!K106</f>
        <v>29.28</v>
      </c>
      <c r="L53" s="7995"/>
      <c r="M53" s="7995">
        <f>+SMS!M106</f>
        <v>81.2</v>
      </c>
      <c r="N53" s="3838"/>
      <c r="O53" s="7996">
        <f>+SMS!O106</f>
        <v>45</v>
      </c>
      <c r="P53" s="7993"/>
      <c r="Q53" s="7993">
        <f>+SMS!Q106</f>
        <v>126.2</v>
      </c>
      <c r="R53" s="3838"/>
      <c r="S53" s="7996">
        <f>+SMS!S106</f>
        <v>61</v>
      </c>
      <c r="T53" s="7993"/>
      <c r="U53" s="7993">
        <f>+SMS!U106</f>
        <v>187.2</v>
      </c>
      <c r="V53" s="3838"/>
      <c r="W53" s="7996">
        <f>+SMS!W106</f>
        <v>32</v>
      </c>
      <c r="X53" s="7995"/>
      <c r="Y53" s="7995">
        <f>+SMS!Y106</f>
        <v>138</v>
      </c>
      <c r="Z53" s="7998"/>
      <c r="AA53" s="7998">
        <f>+SMS!AA106</f>
        <v>219.2</v>
      </c>
      <c r="AB53" s="3838"/>
      <c r="AC53" s="7996">
        <f>+SMS!AC106</f>
        <v>35.917000000000002</v>
      </c>
      <c r="AD53" s="7993"/>
      <c r="AE53" s="7993">
        <f>+SMS!AE106</f>
        <v>255.11699999999999</v>
      </c>
      <c r="AF53" s="3838"/>
      <c r="AG53" s="7996">
        <f>+SMS!AG106</f>
        <v>28.9</v>
      </c>
      <c r="AH53" s="7993"/>
      <c r="AI53" s="7993">
        <f>+SMS!AI106</f>
        <v>284.017</v>
      </c>
      <c r="AJ53" s="3838"/>
      <c r="AK53" s="7996">
        <f>+SMS!AK106</f>
        <v>40</v>
      </c>
      <c r="AL53" s="7995"/>
      <c r="AM53" s="7995">
        <f>+SMS!AM106</f>
        <v>104.81700000000001</v>
      </c>
      <c r="AN53" s="7993"/>
      <c r="AO53" s="3869">
        <f>+SMS!AO106</f>
        <v>324.017</v>
      </c>
      <c r="AP53" s="3838"/>
      <c r="AQ53" s="7996">
        <f>+SMS!AQ106</f>
        <v>69.709999999999994</v>
      </c>
      <c r="AR53" s="7993"/>
      <c r="AS53" s="7993">
        <f>+SMS!AS106</f>
        <v>393.72699999999998</v>
      </c>
    </row>
    <row r="54" spans="2:45" ht="16" thickBot="1" x14ac:dyDescent="0.25">
      <c r="B54" s="5528" t="s">
        <v>2521</v>
      </c>
      <c r="C54" s="7964" t="s">
        <v>863</v>
      </c>
      <c r="D54" s="7931"/>
      <c r="E54" s="2819">
        <f>+SMS!E112</f>
        <v>0</v>
      </c>
      <c r="F54" s="2819"/>
      <c r="G54" s="2819">
        <f>+SMS!G112</f>
        <v>0</v>
      </c>
      <c r="H54" s="8007"/>
      <c r="I54" s="8007">
        <f>+SMS!I112</f>
        <v>0</v>
      </c>
      <c r="J54" s="2819"/>
      <c r="K54" s="2819">
        <f>+SMS!K112</f>
        <v>0.57499999999999996</v>
      </c>
      <c r="L54" s="8008"/>
      <c r="M54" s="8008">
        <f>+SMS!M112</f>
        <v>0.57499999999999996</v>
      </c>
      <c r="N54" s="2819"/>
      <c r="O54" s="8009">
        <f>+SMS!O112</f>
        <v>0</v>
      </c>
      <c r="P54" s="8007"/>
      <c r="Q54" s="8007">
        <f>+SMS!Q112</f>
        <v>0.57499999999999996</v>
      </c>
      <c r="R54" s="2819"/>
      <c r="S54" s="8009">
        <f>+SMS!S112</f>
        <v>0</v>
      </c>
      <c r="T54" s="8007"/>
      <c r="U54" s="8007">
        <f>+SMS!U112</f>
        <v>0.57499999999999996</v>
      </c>
      <c r="V54" s="2819"/>
      <c r="W54" s="8009">
        <f>+SMS!W112</f>
        <v>0</v>
      </c>
      <c r="X54" s="8008"/>
      <c r="Y54" s="8008">
        <f>+SMS!Y112</f>
        <v>0</v>
      </c>
      <c r="Z54" s="8010"/>
      <c r="AA54" s="8010">
        <f>+SMS!AA112</f>
        <v>0.57499999999999996</v>
      </c>
      <c r="AB54" s="2819"/>
      <c r="AC54" s="8009">
        <f>+SMS!AC112</f>
        <v>0</v>
      </c>
      <c r="AD54" s="8007"/>
      <c r="AE54" s="8007">
        <f>+SMS!AE112</f>
        <v>0.57499999999999996</v>
      </c>
      <c r="AF54" s="2819"/>
      <c r="AG54" s="8009">
        <f>+SMS!AG112</f>
        <v>0</v>
      </c>
      <c r="AH54" s="8007"/>
      <c r="AI54" s="8007">
        <f>+SMS!AI112</f>
        <v>0.57499999999999996</v>
      </c>
      <c r="AJ54" s="2819"/>
      <c r="AK54" s="8009">
        <f>+SMS!AK112</f>
        <v>0</v>
      </c>
      <c r="AL54" s="8008"/>
      <c r="AM54" s="8008">
        <f>+SMS!AM112</f>
        <v>0</v>
      </c>
      <c r="AN54" s="8007"/>
      <c r="AO54" s="1915">
        <f>+SMS!AO112</f>
        <v>0.57499999999999996</v>
      </c>
      <c r="AP54" s="2819"/>
      <c r="AQ54" s="8009">
        <f>+SMS!AQ112</f>
        <v>0</v>
      </c>
      <c r="AR54" s="8007"/>
      <c r="AS54" s="8007">
        <f>+SMS!AS112</f>
        <v>0.57499999999999996</v>
      </c>
    </row>
    <row r="55" spans="2:45" ht="16" thickBot="1" x14ac:dyDescent="0.25">
      <c r="B55" s="5528" t="s">
        <v>2522</v>
      </c>
      <c r="C55" s="7964" t="s">
        <v>863</v>
      </c>
      <c r="D55" s="7931"/>
      <c r="E55" s="2819">
        <f>+SMS!E107</f>
        <v>0</v>
      </c>
      <c r="F55" s="2819"/>
      <c r="G55" s="2819">
        <f>+SMS!G107</f>
        <v>7</v>
      </c>
      <c r="H55" s="8007"/>
      <c r="I55" s="8007">
        <f>+SMS!I107</f>
        <v>7</v>
      </c>
      <c r="J55" s="2819"/>
      <c r="K55" s="2819">
        <f>+SMS!K107</f>
        <v>0.5</v>
      </c>
      <c r="L55" s="8008"/>
      <c r="M55" s="8008">
        <f>+SMS!M107</f>
        <v>7.5</v>
      </c>
      <c r="N55" s="2819"/>
      <c r="O55" s="8009">
        <f>+SMS!O107</f>
        <v>12</v>
      </c>
      <c r="P55" s="8007"/>
      <c r="Q55" s="8007">
        <f>+SMS!Q107</f>
        <v>19.5</v>
      </c>
      <c r="R55" s="2819"/>
      <c r="S55" s="8009">
        <f>+SMS!S107</f>
        <v>18</v>
      </c>
      <c r="T55" s="8007"/>
      <c r="U55" s="8007">
        <f>+SMS!U107</f>
        <v>37.5</v>
      </c>
      <c r="V55" s="2819"/>
      <c r="W55" s="8009">
        <f>+SMS!W107</f>
        <v>12.94</v>
      </c>
      <c r="X55" s="8008"/>
      <c r="Y55" s="8008">
        <f>+SMS!Y107</f>
        <v>42.94</v>
      </c>
      <c r="Z55" s="8010"/>
      <c r="AA55" s="8010">
        <f>+SMS!AA107</f>
        <v>50.44</v>
      </c>
      <c r="AB55" s="2819"/>
      <c r="AC55" s="8009">
        <f>+SMS!AC107</f>
        <v>16.5</v>
      </c>
      <c r="AD55" s="8007"/>
      <c r="AE55" s="8007">
        <f>+SMS!AE107</f>
        <v>66.94</v>
      </c>
      <c r="AF55" s="2819"/>
      <c r="AG55" s="8009">
        <f>+SMS!AG107</f>
        <v>23.12</v>
      </c>
      <c r="AH55" s="8007"/>
      <c r="AI55" s="8007">
        <f>+SMS!AI107</f>
        <v>90.06</v>
      </c>
      <c r="AJ55" s="2819"/>
      <c r="AK55" s="8009">
        <f>+SMS!AK107</f>
        <v>20</v>
      </c>
      <c r="AL55" s="8008"/>
      <c r="AM55" s="8008">
        <f>+SMS!AM107</f>
        <v>59.620000000000005</v>
      </c>
      <c r="AN55" s="8007"/>
      <c r="AO55" s="1915">
        <f>+SMS!AO107</f>
        <v>110.06</v>
      </c>
      <c r="AP55" s="2819"/>
      <c r="AQ55" s="8009">
        <f>+SMS!AQ107</f>
        <v>22.95</v>
      </c>
      <c r="AR55" s="8007"/>
      <c r="AS55" s="8007">
        <f>+SMS!AS107</f>
        <v>133.01</v>
      </c>
    </row>
  </sheetData>
  <mergeCells count="23">
    <mergeCell ref="AP3:AQ3"/>
    <mergeCell ref="AR3:AS3"/>
    <mergeCell ref="V3:W3"/>
    <mergeCell ref="B3:B4"/>
    <mergeCell ref="C3:C4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AJ3:AK3"/>
    <mergeCell ref="AL3:AM3"/>
    <mergeCell ref="AN3:AO3"/>
    <mergeCell ref="X3:Y3"/>
    <mergeCell ref="Z3:AA3"/>
    <mergeCell ref="AB3:AC3"/>
    <mergeCell ref="AD3:AE3"/>
    <mergeCell ref="AF3:AG3"/>
    <mergeCell ref="AH3:AI3"/>
  </mergeCells>
  <pageMargins left="0.7" right="0.7" top="0.25" bottom="0.25" header="0.3" footer="0.3"/>
  <pageSetup scale="6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fitToPage="1"/>
  </sheetPr>
  <dimension ref="A1:FM160"/>
  <sheetViews>
    <sheetView zoomScaleNormal="100" workbookViewId="0">
      <pane xSplit="3" topLeftCell="AY1" activePane="topRight" state="frozen"/>
      <selection pane="topRight" activeCell="AY83" sqref="AY83"/>
    </sheetView>
  </sheetViews>
  <sheetFormatPr baseColWidth="10" defaultColWidth="8.83203125" defaultRowHeight="15" x14ac:dyDescent="0.2"/>
  <cols>
    <col min="1" max="1" width="9.1640625" style="3378"/>
    <col min="2" max="2" width="60" customWidth="1"/>
    <col min="3" max="3" width="11.6640625" bestFit="1" customWidth="1"/>
    <col min="4" max="4" width="12.5" style="2100" customWidth="1"/>
    <col min="5" max="5" width="11.33203125" style="2265" customWidth="1"/>
    <col min="6" max="6" width="12" style="2100" customWidth="1"/>
    <col min="7" max="7" width="12.1640625" style="2265" customWidth="1"/>
    <col min="8" max="8" width="9.1640625" style="2100" customWidth="1"/>
    <col min="9" max="9" width="10.1640625" style="2265" customWidth="1"/>
    <col min="10" max="10" width="11.1640625" style="2100" customWidth="1"/>
    <col min="11" max="11" width="11.5" style="2265" customWidth="1"/>
    <col min="12" max="12" width="11" style="2100" customWidth="1"/>
    <col min="13" max="13" width="11.83203125" style="2265" customWidth="1"/>
    <col min="14" max="14" width="9.1640625" style="2100" customWidth="1"/>
    <col min="15" max="15" width="14.5" style="3453" customWidth="1"/>
    <col min="16" max="16" width="9.1640625" style="2100" customWidth="1"/>
    <col min="17" max="17" width="9.5" style="2265" customWidth="1"/>
    <col min="18" max="23" width="9.1640625" customWidth="1"/>
    <col min="24" max="25" width="9.1640625" style="6649" customWidth="1"/>
    <col min="26" max="33" width="9.1640625" customWidth="1"/>
    <col min="34" max="34" width="11.5" customWidth="1"/>
    <col min="35" max="35" width="9.83203125" customWidth="1"/>
    <col min="36" max="36" width="10" customWidth="1"/>
    <col min="38" max="38" width="9" bestFit="1" customWidth="1"/>
    <col min="39" max="39" width="9.5" bestFit="1" customWidth="1"/>
    <col min="44" max="45" width="12.33203125" customWidth="1"/>
    <col min="47" max="47" width="11.83203125" customWidth="1"/>
    <col min="48" max="48" width="11.33203125" customWidth="1"/>
    <col min="49" max="49" width="14.5" customWidth="1"/>
    <col min="50" max="50" width="11.5" style="8260" customWidth="1"/>
    <col min="51" max="51" width="11.83203125" style="8260" customWidth="1"/>
    <col min="52" max="52" width="9.1640625" style="8260" customWidth="1"/>
    <col min="53" max="53" width="11.1640625" style="8260" customWidth="1"/>
    <col min="54" max="54" width="13.1640625" style="8260" customWidth="1"/>
    <col min="55" max="55" width="11.1640625" style="8260" customWidth="1"/>
    <col min="56" max="56" width="9.1640625" style="8260" customWidth="1"/>
    <col min="57" max="57" width="11" style="8260" customWidth="1"/>
  </cols>
  <sheetData>
    <row r="1" spans="1:57" ht="23" x14ac:dyDescent="0.25">
      <c r="B1" s="1641" t="s">
        <v>724</v>
      </c>
      <c r="C1" s="1537"/>
      <c r="D1" s="2883"/>
      <c r="E1" s="1833"/>
      <c r="F1" s="2883"/>
      <c r="G1" s="1833"/>
      <c r="H1" s="2883"/>
      <c r="I1" s="1833"/>
    </row>
    <row r="2" spans="1:57" ht="16" thickBot="1" x14ac:dyDescent="0.25">
      <c r="B2" s="1537"/>
      <c r="C2" s="1537"/>
      <c r="D2" s="2842">
        <v>30</v>
      </c>
      <c r="E2" s="2318">
        <v>30</v>
      </c>
      <c r="F2" s="2842">
        <v>31</v>
      </c>
      <c r="G2" s="2318">
        <v>31</v>
      </c>
      <c r="H2" s="2842">
        <f>+D2+F2</f>
        <v>61</v>
      </c>
      <c r="I2" s="2318">
        <f>+E2+G2</f>
        <v>61</v>
      </c>
      <c r="J2" s="2842">
        <v>30</v>
      </c>
      <c r="K2" s="2318">
        <v>30</v>
      </c>
      <c r="L2" s="2842">
        <f>+H2+J2</f>
        <v>91</v>
      </c>
      <c r="M2" s="2318">
        <f>+I2+K2</f>
        <v>91</v>
      </c>
      <c r="N2" s="2842">
        <v>31</v>
      </c>
      <c r="O2" s="6090">
        <v>31</v>
      </c>
      <c r="P2" s="2842">
        <f>+L2+N2</f>
        <v>122</v>
      </c>
      <c r="Q2" s="2318">
        <f>+M2+O2</f>
        <v>122</v>
      </c>
      <c r="R2" s="2842">
        <v>31</v>
      </c>
      <c r="S2" s="6090">
        <v>31</v>
      </c>
      <c r="T2" s="2842">
        <f>+P2+R2</f>
        <v>153</v>
      </c>
      <c r="U2" s="2318">
        <f>+Q2+S2</f>
        <v>153</v>
      </c>
      <c r="V2" s="2842">
        <v>30</v>
      </c>
      <c r="W2" s="6090">
        <v>30</v>
      </c>
      <c r="X2" s="2842">
        <f>+N2+R2+V2</f>
        <v>92</v>
      </c>
      <c r="Y2" s="2842">
        <f>+O2+S2+W2</f>
        <v>92</v>
      </c>
      <c r="Z2" s="2842">
        <f>+T2+V2</f>
        <v>183</v>
      </c>
      <c r="AA2" s="2318">
        <f>+U2+W2</f>
        <v>183</v>
      </c>
      <c r="AB2" s="2842">
        <v>31</v>
      </c>
      <c r="AC2" s="6090">
        <v>31</v>
      </c>
      <c r="AD2" s="2842">
        <f>+Z2+AB2</f>
        <v>214</v>
      </c>
      <c r="AE2" s="2318">
        <f>+AA2+AC2</f>
        <v>214</v>
      </c>
      <c r="AF2" s="2842">
        <v>30</v>
      </c>
      <c r="AG2" s="6090">
        <v>30</v>
      </c>
      <c r="AH2" s="2842">
        <f>+AD2+AF2</f>
        <v>244</v>
      </c>
      <c r="AI2" s="2318">
        <f>+AE2+AG2</f>
        <v>244</v>
      </c>
      <c r="AJ2" s="2842">
        <v>31</v>
      </c>
      <c r="AK2" s="6090">
        <v>31</v>
      </c>
      <c r="AL2" s="2842">
        <f>+AB2+AF2+AJ2</f>
        <v>92</v>
      </c>
      <c r="AM2" s="2842">
        <f>+AC2+AG2+AK2</f>
        <v>92</v>
      </c>
      <c r="AN2" s="2842">
        <f>+AH2+AJ2</f>
        <v>275</v>
      </c>
      <c r="AO2" s="2318">
        <f>+AI2+AK2</f>
        <v>275</v>
      </c>
      <c r="AP2" s="2842">
        <v>31</v>
      </c>
      <c r="AQ2" s="6090">
        <v>31</v>
      </c>
      <c r="AR2" s="2842">
        <f>+AN2+AP2</f>
        <v>306</v>
      </c>
      <c r="AS2" s="2318">
        <f>+AO2+AQ2</f>
        <v>306</v>
      </c>
      <c r="AT2">
        <v>28</v>
      </c>
      <c r="AU2">
        <v>28</v>
      </c>
      <c r="AV2">
        <f>+AR2+AT2</f>
        <v>334</v>
      </c>
      <c r="AW2">
        <f>+AS2+AU2</f>
        <v>334</v>
      </c>
      <c r="AX2" s="5962">
        <v>31</v>
      </c>
      <c r="AY2" s="5962">
        <v>31</v>
      </c>
      <c r="AZ2" s="2842">
        <f>+AP2+AT2+AX2</f>
        <v>90</v>
      </c>
      <c r="BA2" s="2842">
        <f>+AQ2+AU2+AY2</f>
        <v>90</v>
      </c>
      <c r="BB2" s="2842">
        <f>+AZ2+AL2</f>
        <v>182</v>
      </c>
      <c r="BC2" s="2842">
        <f>+BA2+AM2</f>
        <v>182</v>
      </c>
      <c r="BD2" s="2842">
        <f>+AV2+AX2</f>
        <v>365</v>
      </c>
      <c r="BE2" s="2318">
        <f>+AW2+AY2</f>
        <v>365</v>
      </c>
    </row>
    <row r="3" spans="1:57" s="2265" customFormat="1" ht="16" thickBot="1" x14ac:dyDescent="0.25">
      <c r="B3" s="8707" t="s">
        <v>657</v>
      </c>
      <c r="C3" s="8709" t="s">
        <v>658</v>
      </c>
      <c r="D3" s="8644" t="s">
        <v>1859</v>
      </c>
      <c r="E3" s="8645"/>
      <c r="F3" s="8644" t="s">
        <v>1862</v>
      </c>
      <c r="G3" s="8644"/>
      <c r="H3" s="8646" t="s">
        <v>52</v>
      </c>
      <c r="I3" s="8647"/>
      <c r="J3" s="8703" t="s">
        <v>1863</v>
      </c>
      <c r="K3" s="8704"/>
      <c r="L3" s="8700" t="s">
        <v>605</v>
      </c>
      <c r="M3" s="8699"/>
      <c r="N3" s="8644" t="s">
        <v>1864</v>
      </c>
      <c r="O3" s="8644"/>
      <c r="P3" s="8646" t="s">
        <v>62</v>
      </c>
      <c r="Q3" s="8647"/>
      <c r="R3" s="8644" t="s">
        <v>2160</v>
      </c>
      <c r="S3" s="8644"/>
      <c r="T3" s="8646" t="s">
        <v>64</v>
      </c>
      <c r="U3" s="8647"/>
      <c r="V3" s="8644" t="s">
        <v>2227</v>
      </c>
      <c r="W3" s="8644"/>
      <c r="X3" s="8698" t="s">
        <v>606</v>
      </c>
      <c r="Y3" s="8699"/>
      <c r="Z3" s="8701" t="s">
        <v>1697</v>
      </c>
      <c r="AA3" s="8702"/>
      <c r="AB3" s="8644" t="s">
        <v>2265</v>
      </c>
      <c r="AC3" s="8644"/>
      <c r="AD3" s="8646" t="s">
        <v>101</v>
      </c>
      <c r="AE3" s="8647"/>
      <c r="AF3" s="8644" t="s">
        <v>2423</v>
      </c>
      <c r="AG3" s="8644"/>
      <c r="AH3" s="8646" t="s">
        <v>105</v>
      </c>
      <c r="AI3" s="8647"/>
      <c r="AJ3" s="8644" t="s">
        <v>2449</v>
      </c>
      <c r="AK3" s="8644"/>
      <c r="AL3" s="8698" t="s">
        <v>607</v>
      </c>
      <c r="AM3" s="8699"/>
      <c r="AN3" s="8646" t="s">
        <v>108</v>
      </c>
      <c r="AO3" s="8647"/>
      <c r="AP3" s="8644" t="s">
        <v>2533</v>
      </c>
      <c r="AQ3" s="8644"/>
      <c r="AR3" s="8646" t="s">
        <v>110</v>
      </c>
      <c r="AS3" s="8647"/>
      <c r="AT3" s="8644" t="s">
        <v>2577</v>
      </c>
      <c r="AU3" s="8644"/>
      <c r="AV3" s="8646" t="s">
        <v>113</v>
      </c>
      <c r="AW3" s="8647"/>
      <c r="AX3" s="8644" t="s">
        <v>2600</v>
      </c>
      <c r="AY3" s="8644"/>
      <c r="AZ3" s="8698" t="s">
        <v>606</v>
      </c>
      <c r="BA3" s="8699"/>
      <c r="BB3" s="8698" t="s">
        <v>1842</v>
      </c>
      <c r="BC3" s="8699"/>
      <c r="BD3" s="8701" t="s">
        <v>1865</v>
      </c>
      <c r="BE3" s="8702"/>
    </row>
    <row r="4" spans="1:57" s="2265" customFormat="1" ht="16" thickBot="1" x14ac:dyDescent="0.25">
      <c r="B4" s="8708"/>
      <c r="C4" s="8710"/>
      <c r="D4" s="4958" t="s">
        <v>659</v>
      </c>
      <c r="E4" s="3833" t="s">
        <v>660</v>
      </c>
      <c r="F4" s="4958" t="s">
        <v>659</v>
      </c>
      <c r="G4" s="3909" t="s">
        <v>660</v>
      </c>
      <c r="H4" s="3373" t="s">
        <v>659</v>
      </c>
      <c r="I4" s="3866" t="s">
        <v>660</v>
      </c>
      <c r="J4" s="4958" t="s">
        <v>659</v>
      </c>
      <c r="K4" s="3909" t="s">
        <v>660</v>
      </c>
      <c r="L4" s="4959" t="s">
        <v>659</v>
      </c>
      <c r="M4" s="3888" t="s">
        <v>660</v>
      </c>
      <c r="N4" s="4958" t="s">
        <v>659</v>
      </c>
      <c r="O4" s="6091" t="s">
        <v>660</v>
      </c>
      <c r="P4" s="3373" t="s">
        <v>659</v>
      </c>
      <c r="Q4" s="3866" t="s">
        <v>660</v>
      </c>
      <c r="R4" s="6403" t="s">
        <v>659</v>
      </c>
      <c r="S4" s="6091" t="s">
        <v>660</v>
      </c>
      <c r="T4" s="3373" t="s">
        <v>659</v>
      </c>
      <c r="U4" s="3866" t="s">
        <v>660</v>
      </c>
      <c r="V4" s="6652" t="s">
        <v>659</v>
      </c>
      <c r="W4" s="6876" t="s">
        <v>660</v>
      </c>
      <c r="X4" s="6825" t="s">
        <v>659</v>
      </c>
      <c r="Y4" s="3888" t="s">
        <v>660</v>
      </c>
      <c r="Z4" s="6507" t="s">
        <v>659</v>
      </c>
      <c r="AA4" s="6624" t="s">
        <v>660</v>
      </c>
      <c r="AB4" s="7330" t="s">
        <v>659</v>
      </c>
      <c r="AC4" s="6091" t="s">
        <v>660</v>
      </c>
      <c r="AD4" s="3373" t="s">
        <v>659</v>
      </c>
      <c r="AE4" s="3866" t="s">
        <v>660</v>
      </c>
      <c r="AF4" s="7560" t="s">
        <v>659</v>
      </c>
      <c r="AG4" s="6091" t="s">
        <v>660</v>
      </c>
      <c r="AH4" s="3373" t="s">
        <v>659</v>
      </c>
      <c r="AI4" s="3866" t="s">
        <v>660</v>
      </c>
      <c r="AJ4" s="7704" t="s">
        <v>659</v>
      </c>
      <c r="AK4" s="6876" t="s">
        <v>660</v>
      </c>
      <c r="AL4" s="7706" t="s">
        <v>659</v>
      </c>
      <c r="AM4" s="3888" t="s">
        <v>660</v>
      </c>
      <c r="AN4" s="3373" t="s">
        <v>659</v>
      </c>
      <c r="AO4" s="3866" t="s">
        <v>660</v>
      </c>
      <c r="AP4" s="8024" t="s">
        <v>659</v>
      </c>
      <c r="AQ4" s="6876" t="s">
        <v>660</v>
      </c>
      <c r="AR4" s="3373" t="s">
        <v>659</v>
      </c>
      <c r="AS4" s="3866" t="s">
        <v>660</v>
      </c>
      <c r="AT4" s="8155" t="s">
        <v>659</v>
      </c>
      <c r="AU4" s="6876" t="s">
        <v>660</v>
      </c>
      <c r="AV4" s="3373" t="s">
        <v>659</v>
      </c>
      <c r="AW4" s="3866" t="s">
        <v>660</v>
      </c>
      <c r="AX4" s="8274" t="s">
        <v>659</v>
      </c>
      <c r="AY4" s="6876" t="s">
        <v>660</v>
      </c>
      <c r="AZ4" s="8286" t="s">
        <v>659</v>
      </c>
      <c r="BA4" s="3888" t="s">
        <v>660</v>
      </c>
      <c r="BB4" s="8286" t="s">
        <v>659</v>
      </c>
      <c r="BC4" s="3888" t="s">
        <v>660</v>
      </c>
      <c r="BD4" s="8331" t="s">
        <v>659</v>
      </c>
      <c r="BE4" s="6624" t="s">
        <v>660</v>
      </c>
    </row>
    <row r="5" spans="1:57" s="2265" customFormat="1" ht="18" x14ac:dyDescent="0.2">
      <c r="B5" s="4161" t="s">
        <v>298</v>
      </c>
      <c r="C5" s="4162" t="s">
        <v>170</v>
      </c>
      <c r="D5" s="5954">
        <f>+'Maj Prod Summ'!D17</f>
        <v>143766</v>
      </c>
      <c r="E5" s="2907">
        <f>+'Maj Prod Summ'!E17</f>
        <v>143766</v>
      </c>
      <c r="F5" s="5954">
        <f>+'Maj Prod Summ'!F17</f>
        <v>152132</v>
      </c>
      <c r="G5" s="2907">
        <f>+'Maj Prod Summ'!G17</f>
        <v>152132</v>
      </c>
      <c r="H5" s="4426">
        <f>+D5+F5</f>
        <v>295898</v>
      </c>
      <c r="I5" s="4150">
        <f>+E5+G5</f>
        <v>295898</v>
      </c>
      <c r="J5" s="5954">
        <f>+'Maj Prod Summ'!J17</f>
        <v>180265</v>
      </c>
      <c r="K5" s="2907">
        <f>+'Maj Prod Summ'!K17</f>
        <v>167381</v>
      </c>
      <c r="L5" s="3051">
        <f>+H5+J5</f>
        <v>476163</v>
      </c>
      <c r="M5" s="4156">
        <f>+I5+K5</f>
        <v>463279</v>
      </c>
      <c r="N5" s="5954">
        <f>+'Maj Prod Summ'!N17</f>
        <v>240486.27003000001</v>
      </c>
      <c r="O5" s="5370">
        <f>+'Maj Prod Summ'!O17</f>
        <v>190559</v>
      </c>
      <c r="P5" s="4426">
        <f>+L5+N5</f>
        <v>716649.27003000001</v>
      </c>
      <c r="Q5" s="4150">
        <f>+M5+O5</f>
        <v>653838</v>
      </c>
      <c r="R5" s="5954">
        <f>+'Maj Prod Summ'!R17</f>
        <v>239084.66820000001</v>
      </c>
      <c r="S5" s="5370">
        <f>+'Maj Prod Summ'!S17</f>
        <v>195518</v>
      </c>
      <c r="T5" s="4426">
        <f>+P5+R5</f>
        <v>955733.93822999997</v>
      </c>
      <c r="U5" s="4150">
        <f>+Q5+S5</f>
        <v>849356</v>
      </c>
      <c r="V5" s="5954">
        <f>+'Maj Prod Summ'!V17</f>
        <v>235938.2151115</v>
      </c>
      <c r="W5" s="5370">
        <f>+'Maj Prod Summ'!W17</f>
        <v>107327</v>
      </c>
      <c r="X5" s="3051">
        <f>+V5+R5+N5</f>
        <v>715509.15334150009</v>
      </c>
      <c r="Y5" s="4156">
        <f>+W5+S5+O5</f>
        <v>493404</v>
      </c>
      <c r="Z5" s="6827">
        <f>+T5+V5</f>
        <v>1191672.1533415001</v>
      </c>
      <c r="AA5" s="6828">
        <f>+U5+W5</f>
        <v>956683</v>
      </c>
      <c r="AB5" s="5954">
        <f>+'Maj Prod Summ'!AB17</f>
        <v>125000</v>
      </c>
      <c r="AC5" s="5370">
        <f>+'Maj Prod Summ'!AC17</f>
        <v>125039</v>
      </c>
      <c r="AD5" s="4426">
        <f>+Z5+AB5</f>
        <v>1316672.1533415001</v>
      </c>
      <c r="AE5" s="4150">
        <f>+AA5+AC5</f>
        <v>1081722</v>
      </c>
      <c r="AF5" s="5954">
        <f>+'Maj Prod Summ'!AF17</f>
        <v>232000</v>
      </c>
      <c r="AG5" s="5370">
        <f>+'Maj Prod Summ'!AG17</f>
        <v>154255</v>
      </c>
      <c r="AH5" s="4426">
        <f>+AD5+AF5</f>
        <v>1548672.1533415001</v>
      </c>
      <c r="AI5" s="4150">
        <f>+AE5+AG5</f>
        <v>1235977</v>
      </c>
      <c r="AJ5" s="5954">
        <f>+'Maj Prod Summ'!AJ17</f>
        <v>244000</v>
      </c>
      <c r="AK5" s="5370">
        <f>+'Maj Prod Summ'!AK17</f>
        <v>198815</v>
      </c>
      <c r="AL5" s="3051">
        <f>+AJ5+AF5+AB5</f>
        <v>601000</v>
      </c>
      <c r="AM5" s="4156">
        <f>+AK5+AG5+AC5</f>
        <v>478109</v>
      </c>
      <c r="AN5" s="4426">
        <f>+AH5+AJ5</f>
        <v>1792672.1533415001</v>
      </c>
      <c r="AO5" s="4150">
        <f>+AI5+AK5</f>
        <v>1434792</v>
      </c>
      <c r="AP5" s="5954">
        <f>+'Maj Prod Summ'!AP17</f>
        <v>240000</v>
      </c>
      <c r="AQ5" s="5370">
        <f>+'Maj Prod Summ'!AQ17</f>
        <v>221321</v>
      </c>
      <c r="AR5" s="4426">
        <f>+AN5+AP5</f>
        <v>2032672.1533415001</v>
      </c>
      <c r="AS5" s="4150">
        <f>+AO5+AQ5</f>
        <v>1656113</v>
      </c>
      <c r="AT5" s="5954">
        <f>+'Maj Prod Summ'!AT17</f>
        <v>220000</v>
      </c>
      <c r="AU5" s="5370">
        <f>+'Maj Prod Summ'!AU17</f>
        <v>198514</v>
      </c>
      <c r="AV5" s="4426">
        <f>+AR5+AT5</f>
        <v>2252672.1533415001</v>
      </c>
      <c r="AW5" s="4150">
        <f>+AS5+AU5</f>
        <v>1854627</v>
      </c>
      <c r="AX5" s="5954">
        <f>+'Maj Prod Summ'!AX17</f>
        <v>244000</v>
      </c>
      <c r="AY5" s="5370">
        <f>+'Maj Prod Summ'!AY17</f>
        <v>238171</v>
      </c>
      <c r="AZ5" s="3051">
        <f>+AX5+AT5+AP5</f>
        <v>704000</v>
      </c>
      <c r="BA5" s="4156">
        <f>+AY5+AU5+AQ5</f>
        <v>658006</v>
      </c>
      <c r="BB5" s="3051">
        <f>+AZ5+AL5</f>
        <v>1305000</v>
      </c>
      <c r="BC5" s="4156">
        <f>+BA5+AM5</f>
        <v>1136115</v>
      </c>
      <c r="BD5" s="6827">
        <f>+AV5+AX5</f>
        <v>2496672.1533415001</v>
      </c>
      <c r="BE5" s="6828">
        <f>+AW5+AY5</f>
        <v>2092798</v>
      </c>
    </row>
    <row r="6" spans="1:57" s="3380" customFormat="1" x14ac:dyDescent="0.2">
      <c r="A6" s="3379"/>
      <c r="B6" s="5401" t="s">
        <v>727</v>
      </c>
      <c r="C6" s="5402"/>
      <c r="D6" s="5404"/>
      <c r="E6" s="5403"/>
      <c r="F6" s="5404"/>
      <c r="G6" s="5402"/>
      <c r="H6" s="5404"/>
      <c r="I6" s="5402"/>
      <c r="J6" s="5404"/>
      <c r="K6" s="5402"/>
      <c r="L6" s="5404"/>
      <c r="M6" s="5402"/>
      <c r="N6" s="5404"/>
      <c r="O6" s="5402"/>
      <c r="P6" s="5404"/>
      <c r="Q6" s="5402"/>
      <c r="R6" s="5404"/>
      <c r="S6" s="5402"/>
      <c r="T6" s="5404"/>
      <c r="U6" s="5402"/>
      <c r="V6" s="5404"/>
      <c r="W6" s="5402"/>
      <c r="X6" s="5404"/>
      <c r="Y6" s="5402"/>
      <c r="Z6" s="5404"/>
      <c r="AA6" s="5402"/>
      <c r="AB6" s="5404"/>
      <c r="AC6" s="5402"/>
      <c r="AD6" s="5404"/>
      <c r="AE6" s="5402"/>
      <c r="AF6" s="5404"/>
      <c r="AG6" s="5402"/>
      <c r="AH6" s="5404"/>
      <c r="AI6" s="5402"/>
      <c r="AJ6" s="5404"/>
      <c r="AK6" s="5402"/>
      <c r="AL6" s="5404"/>
      <c r="AM6" s="5402"/>
      <c r="AN6" s="5404"/>
      <c r="AO6" s="5402"/>
      <c r="AP6" s="5404"/>
      <c r="AQ6" s="5402"/>
      <c r="AR6" s="5404"/>
      <c r="AS6" s="5402"/>
      <c r="AT6" s="5404"/>
      <c r="AU6" s="5402"/>
      <c r="AV6" s="5404"/>
      <c r="AW6" s="5402"/>
      <c r="AX6" s="5404"/>
      <c r="AY6" s="5402"/>
      <c r="AZ6" s="5404"/>
      <c r="BA6" s="5402"/>
      <c r="BB6" s="5404"/>
      <c r="BC6" s="5402"/>
      <c r="BD6" s="5404"/>
      <c r="BE6" s="5402"/>
    </row>
    <row r="7" spans="1:57" x14ac:dyDescent="0.2">
      <c r="B7" s="1588" t="s">
        <v>977</v>
      </c>
      <c r="C7" s="1545" t="s">
        <v>170</v>
      </c>
      <c r="D7" s="4357">
        <v>140356</v>
      </c>
      <c r="E7" s="2750">
        <v>140356</v>
      </c>
      <c r="F7" s="4357">
        <v>148888</v>
      </c>
      <c r="G7" s="1646">
        <v>148888</v>
      </c>
      <c r="H7" s="2783">
        <f>+D7+F7</f>
        <v>289244</v>
      </c>
      <c r="I7" s="1906">
        <f t="shared" ref="I7:I30" si="0">+E7+G7</f>
        <v>289244</v>
      </c>
      <c r="J7" s="5787">
        <v>176029.34782608695</v>
      </c>
      <c r="K7" s="1646">
        <v>164243</v>
      </c>
      <c r="L7" s="2950">
        <f>+H7+J7</f>
        <v>465273.34782608692</v>
      </c>
      <c r="M7" s="2070">
        <f t="shared" ref="M7:M10" si="1">+I7+K7</f>
        <v>453487</v>
      </c>
      <c r="N7" s="5935">
        <v>240485.86956521732</v>
      </c>
      <c r="O7" s="3918">
        <v>180924</v>
      </c>
      <c r="P7" s="2783">
        <f>+L7+N7</f>
        <v>705759.21739130421</v>
      </c>
      <c r="Q7" s="1906">
        <f t="shared" ref="Q7:Q10" si="2">+M7+O7</f>
        <v>634411</v>
      </c>
      <c r="R7" s="6406">
        <v>239084.78260869556</v>
      </c>
      <c r="S7" s="3918">
        <v>190850</v>
      </c>
      <c r="T7" s="6407">
        <f>+P7+R7</f>
        <v>944843.99999999977</v>
      </c>
      <c r="U7" s="1906">
        <f t="shared" ref="U7:U10" si="3">+Q7+S7</f>
        <v>825261</v>
      </c>
      <c r="V7" s="6656">
        <v>235938.04347826078</v>
      </c>
      <c r="W7" s="3918">
        <v>88338</v>
      </c>
      <c r="X7" s="6657">
        <f t="shared" ref="X7:X10" si="4">+V7+R7+N7</f>
        <v>715508.6956521736</v>
      </c>
      <c r="Y7" s="2011">
        <f t="shared" ref="Y7:Y10" si="5">+W7+S7+O7</f>
        <v>460112</v>
      </c>
      <c r="Z7" s="6663">
        <f>+T7+V7</f>
        <v>1180782.0434782605</v>
      </c>
      <c r="AA7" s="6692">
        <f t="shared" ref="AA7:AA10" si="6">+U7+W7</f>
        <v>913599</v>
      </c>
      <c r="AB7" s="7345">
        <v>122716.625</v>
      </c>
      <c r="AC7" s="3918">
        <v>106085</v>
      </c>
      <c r="AD7" s="7346">
        <f>+Z7+AB7</f>
        <v>1303498.6684782605</v>
      </c>
      <c r="AE7" s="1906">
        <f t="shared" ref="AE7:AE10" si="7">+AA7+AC7</f>
        <v>1019684</v>
      </c>
      <c r="AF7" s="7583">
        <v>229992.07500000001</v>
      </c>
      <c r="AG7" s="3918">
        <v>148769</v>
      </c>
      <c r="AH7" s="7584">
        <f>+AD7+AF7</f>
        <v>1533490.7434782605</v>
      </c>
      <c r="AI7" s="1906">
        <f t="shared" ref="AI7:AI10" si="8">+AE7+AG7</f>
        <v>1168453</v>
      </c>
      <c r="AJ7" s="7734">
        <v>241318.35</v>
      </c>
      <c r="AK7" s="3918">
        <v>185194</v>
      </c>
      <c r="AL7" s="7737">
        <f t="shared" ref="AL7" si="9">+AJ7+AF7+AB7</f>
        <v>594027.05000000005</v>
      </c>
      <c r="AM7" s="2011">
        <f t="shared" ref="AM7:AM10" si="10">+AK7+AG7+AC7</f>
        <v>440048</v>
      </c>
      <c r="AN7" s="7735">
        <f>+AH7+AJ7</f>
        <v>1774809.0934782606</v>
      </c>
      <c r="AO7" s="1906">
        <f t="shared" ref="AO7:AO10" si="11">+AI7+AK7</f>
        <v>1353647</v>
      </c>
      <c r="AP7" s="8049">
        <v>237449.73749999999</v>
      </c>
      <c r="AQ7" s="3918">
        <v>215876</v>
      </c>
      <c r="AR7" s="8045">
        <f>+AN7+AP7</f>
        <v>2012258.8309782606</v>
      </c>
      <c r="AS7" s="1906">
        <f t="shared" ref="AS7:AS10" si="12">+AO7+AQ7</f>
        <v>1569523</v>
      </c>
      <c r="AT7" s="8237">
        <v>219473</v>
      </c>
      <c r="AU7" s="3918">
        <v>197807</v>
      </c>
      <c r="AV7" s="8171">
        <f>+AR7+AT7</f>
        <v>2231731.8309782604</v>
      </c>
      <c r="AW7" s="1906">
        <f t="shared" ref="AW7:AW10" si="13">+AS7+AU7</f>
        <v>1767330</v>
      </c>
      <c r="AX7" s="8351">
        <v>242413</v>
      </c>
      <c r="AY7" s="3918">
        <v>235089</v>
      </c>
      <c r="AZ7" s="8323">
        <f t="shared" ref="AZ7" si="14">+AX7+AT7+AP7</f>
        <v>699335.73750000005</v>
      </c>
      <c r="BA7" s="2011">
        <f t="shared" ref="BA7:BA10" si="15">+AY7+AU7+AQ7</f>
        <v>648772</v>
      </c>
      <c r="BB7" s="8323">
        <f t="shared" ref="BB7:BB10" si="16">+AZ7+AL7</f>
        <v>1293362.7875000001</v>
      </c>
      <c r="BC7" s="2011">
        <f t="shared" ref="BC7:BC10" si="17">+BA7+AM7</f>
        <v>1088820</v>
      </c>
      <c r="BD7" s="8324">
        <f>+AV7+AX7</f>
        <v>2474144.8309782604</v>
      </c>
      <c r="BE7" s="6692">
        <f t="shared" ref="BE7:BE10" si="18">+AW7+AY7</f>
        <v>2002419</v>
      </c>
    </row>
    <row r="8" spans="1:57" x14ac:dyDescent="0.2">
      <c r="B8" s="1588" t="s">
        <v>978</v>
      </c>
      <c r="C8" s="1545" t="s">
        <v>170</v>
      </c>
      <c r="D8" s="4357">
        <v>3410</v>
      </c>
      <c r="E8" s="2750">
        <v>3410</v>
      </c>
      <c r="F8" s="4357">
        <v>3244</v>
      </c>
      <c r="G8" s="1646">
        <v>3244</v>
      </c>
      <c r="H8" s="2783">
        <f t="shared" ref="H8:H10" si="19">+D8+F8</f>
        <v>6654</v>
      </c>
      <c r="I8" s="1906">
        <f t="shared" si="0"/>
        <v>6654</v>
      </c>
      <c r="J8" s="5787">
        <v>4235.6521739130549</v>
      </c>
      <c r="K8" s="1646">
        <v>3138</v>
      </c>
      <c r="L8" s="2950">
        <f t="shared" ref="L8:L10" si="20">+H8+J8</f>
        <v>10889.652173913055</v>
      </c>
      <c r="M8" s="2070">
        <f t="shared" si="1"/>
        <v>9792</v>
      </c>
      <c r="N8" s="5935">
        <v>0</v>
      </c>
      <c r="O8" s="3918">
        <v>9515</v>
      </c>
      <c r="P8" s="2783">
        <f t="shared" ref="P8:P10" si="21">+L8+N8</f>
        <v>10889.652173913055</v>
      </c>
      <c r="Q8" s="1906">
        <f t="shared" si="2"/>
        <v>19307</v>
      </c>
      <c r="R8" s="6406">
        <v>0</v>
      </c>
      <c r="S8" s="3918">
        <v>4669</v>
      </c>
      <c r="T8" s="6407">
        <f t="shared" ref="T8:T10" si="22">+P8+R8</f>
        <v>10889.652173913055</v>
      </c>
      <c r="U8" s="1906">
        <f t="shared" si="3"/>
        <v>23976</v>
      </c>
      <c r="V8" s="6656">
        <v>0</v>
      </c>
      <c r="W8" s="3918">
        <v>7880</v>
      </c>
      <c r="X8" s="6657">
        <f>+V8+R8+N8</f>
        <v>0</v>
      </c>
      <c r="Y8" s="2011">
        <f t="shared" si="5"/>
        <v>22064</v>
      </c>
      <c r="Z8" s="6663">
        <f t="shared" ref="Z8:Z10" si="23">+T8+V8</f>
        <v>10889.652173913055</v>
      </c>
      <c r="AA8" s="6692">
        <f t="shared" si="6"/>
        <v>31856</v>
      </c>
      <c r="AB8" s="7345">
        <v>2283.375</v>
      </c>
      <c r="AC8" s="3918">
        <v>10973</v>
      </c>
      <c r="AD8" s="7346">
        <f t="shared" ref="AD8:AD10" si="24">+Z8+AB8</f>
        <v>13173.027173913055</v>
      </c>
      <c r="AE8" s="1906">
        <f t="shared" si="7"/>
        <v>42829</v>
      </c>
      <c r="AF8" s="7583">
        <v>2007.9249999999884</v>
      </c>
      <c r="AG8" s="3918">
        <v>5486</v>
      </c>
      <c r="AH8" s="7584">
        <f t="shared" ref="AH8:AH10" si="25">+AD8+AF8</f>
        <v>15180.952173913043</v>
      </c>
      <c r="AI8" s="1906">
        <f t="shared" si="8"/>
        <v>48315</v>
      </c>
      <c r="AJ8" s="7734">
        <v>2681.6499999999942</v>
      </c>
      <c r="AK8" s="3918">
        <v>8185</v>
      </c>
      <c r="AL8" s="7737">
        <f>+AJ8+AF8+AB8</f>
        <v>6972.9499999999825</v>
      </c>
      <c r="AM8" s="2011">
        <f t="shared" si="10"/>
        <v>24644</v>
      </c>
      <c r="AN8" s="7735">
        <f t="shared" ref="AN8:AN10" si="26">+AH8+AJ8</f>
        <v>17862.602173913037</v>
      </c>
      <c r="AO8" s="1906">
        <f t="shared" si="11"/>
        <v>56500</v>
      </c>
      <c r="AP8" s="8049">
        <v>2550.2625000000116</v>
      </c>
      <c r="AQ8" s="3918">
        <v>5179</v>
      </c>
      <c r="AR8" s="8045">
        <f t="shared" ref="AR8:AR10" si="27">+AN8+AP8</f>
        <v>20412.864673913049</v>
      </c>
      <c r="AS8" s="1906">
        <f t="shared" si="12"/>
        <v>61679</v>
      </c>
      <c r="AT8" s="8237">
        <v>527</v>
      </c>
      <c r="AU8" s="3918">
        <v>707</v>
      </c>
      <c r="AV8" s="8171">
        <f t="shared" ref="AV8:AV10" si="28">+AR8+AT8</f>
        <v>20939.864673913049</v>
      </c>
      <c r="AW8" s="1906">
        <f t="shared" si="13"/>
        <v>62386</v>
      </c>
      <c r="AX8" s="8351">
        <v>1587</v>
      </c>
      <c r="AY8" s="3918">
        <v>3082</v>
      </c>
      <c r="AZ8" s="8323">
        <f>+AX8+AT8+AP8</f>
        <v>4664.2625000000116</v>
      </c>
      <c r="BA8" s="2011">
        <f t="shared" si="15"/>
        <v>8968</v>
      </c>
      <c r="BB8" s="8323">
        <f t="shared" si="16"/>
        <v>11637.212499999994</v>
      </c>
      <c r="BC8" s="2011">
        <f t="shared" si="17"/>
        <v>33612</v>
      </c>
      <c r="BD8" s="8324">
        <f t="shared" ref="BD8:BD10" si="29">+AV8+AX8</f>
        <v>22526.864673913049</v>
      </c>
      <c r="BE8" s="6692">
        <f t="shared" si="18"/>
        <v>65468</v>
      </c>
    </row>
    <row r="9" spans="1:57" x14ac:dyDescent="0.2">
      <c r="B9" s="1588" t="s">
        <v>979</v>
      </c>
      <c r="C9" s="1545" t="s">
        <v>170</v>
      </c>
      <c r="D9" s="4357">
        <v>0</v>
      </c>
      <c r="E9" s="2750">
        <v>0</v>
      </c>
      <c r="F9" s="6826">
        <v>0</v>
      </c>
      <c r="G9" s="1646">
        <v>0</v>
      </c>
      <c r="H9" s="2783">
        <f t="shared" si="19"/>
        <v>0</v>
      </c>
      <c r="I9" s="1906">
        <f t="shared" si="0"/>
        <v>0</v>
      </c>
      <c r="J9" s="6826">
        <v>0</v>
      </c>
      <c r="K9" s="1646">
        <v>0</v>
      </c>
      <c r="L9" s="2950">
        <f t="shared" si="20"/>
        <v>0</v>
      </c>
      <c r="M9" s="2070">
        <f t="shared" si="1"/>
        <v>0</v>
      </c>
      <c r="N9" s="5935">
        <v>0</v>
      </c>
      <c r="O9" s="3918">
        <v>120</v>
      </c>
      <c r="P9" s="2783">
        <f t="shared" si="21"/>
        <v>0</v>
      </c>
      <c r="Q9" s="1906">
        <f t="shared" si="2"/>
        <v>120</v>
      </c>
      <c r="R9" s="6406">
        <v>0</v>
      </c>
      <c r="S9" s="3918">
        <v>0</v>
      </c>
      <c r="T9" s="6407">
        <f t="shared" si="22"/>
        <v>0</v>
      </c>
      <c r="U9" s="1906">
        <f t="shared" si="3"/>
        <v>120</v>
      </c>
      <c r="V9" s="6826">
        <v>0</v>
      </c>
      <c r="W9" s="3918">
        <v>11109</v>
      </c>
      <c r="X9" s="6657">
        <f t="shared" si="4"/>
        <v>0</v>
      </c>
      <c r="Y9" s="2011">
        <f t="shared" si="5"/>
        <v>11229</v>
      </c>
      <c r="Z9" s="6663">
        <f t="shared" si="23"/>
        <v>0</v>
      </c>
      <c r="AA9" s="6692">
        <f t="shared" si="6"/>
        <v>11229</v>
      </c>
      <c r="AB9" s="7345">
        <v>0</v>
      </c>
      <c r="AC9" s="3918">
        <v>7981</v>
      </c>
      <c r="AD9" s="7346">
        <f t="shared" si="24"/>
        <v>0</v>
      </c>
      <c r="AE9" s="1906">
        <f t="shared" si="7"/>
        <v>19210</v>
      </c>
      <c r="AF9" s="7583">
        <v>0</v>
      </c>
      <c r="AG9" s="3918">
        <v>0</v>
      </c>
      <c r="AH9" s="7584">
        <f t="shared" si="25"/>
        <v>0</v>
      </c>
      <c r="AI9" s="1906">
        <f t="shared" si="8"/>
        <v>19210</v>
      </c>
      <c r="AJ9" s="7734">
        <v>0</v>
      </c>
      <c r="AK9" s="3918">
        <v>5436</v>
      </c>
      <c r="AL9" s="7737">
        <f t="shared" ref="AL9:AL10" si="30">+AJ9+AF9+AB9</f>
        <v>0</v>
      </c>
      <c r="AM9" s="2011">
        <f t="shared" si="10"/>
        <v>13417</v>
      </c>
      <c r="AN9" s="7735">
        <f t="shared" si="26"/>
        <v>0</v>
      </c>
      <c r="AO9" s="1906">
        <f t="shared" si="11"/>
        <v>24646</v>
      </c>
      <c r="AP9" s="8049">
        <v>0</v>
      </c>
      <c r="AQ9" s="3918">
        <v>266</v>
      </c>
      <c r="AR9" s="8045">
        <f t="shared" si="27"/>
        <v>0</v>
      </c>
      <c r="AS9" s="1906">
        <f t="shared" si="12"/>
        <v>24912</v>
      </c>
      <c r="AT9" s="8170">
        <v>0</v>
      </c>
      <c r="AU9" s="3918">
        <v>0</v>
      </c>
      <c r="AV9" s="8171">
        <f t="shared" si="28"/>
        <v>0</v>
      </c>
      <c r="AW9" s="1906">
        <f t="shared" si="13"/>
        <v>24912</v>
      </c>
      <c r="AX9" s="8321">
        <v>0</v>
      </c>
      <c r="AY9" s="3918">
        <v>0</v>
      </c>
      <c r="AZ9" s="8323">
        <f t="shared" ref="AZ9:AZ10" si="31">+AX9+AT9+AP9</f>
        <v>0</v>
      </c>
      <c r="BA9" s="2011">
        <f t="shared" si="15"/>
        <v>266</v>
      </c>
      <c r="BB9" s="8323">
        <f t="shared" si="16"/>
        <v>0</v>
      </c>
      <c r="BC9" s="2011">
        <f t="shared" si="17"/>
        <v>13683</v>
      </c>
      <c r="BD9" s="8324">
        <f t="shared" si="29"/>
        <v>0</v>
      </c>
      <c r="BE9" s="6692">
        <f t="shared" si="18"/>
        <v>24912</v>
      </c>
    </row>
    <row r="10" spans="1:57" x14ac:dyDescent="0.2">
      <c r="B10" s="1588" t="s">
        <v>725</v>
      </c>
      <c r="C10" s="1545" t="s">
        <v>170</v>
      </c>
      <c r="D10" s="4357">
        <v>0</v>
      </c>
      <c r="E10" s="2750">
        <v>0</v>
      </c>
      <c r="F10" s="6826">
        <v>0</v>
      </c>
      <c r="G10" s="1646">
        <v>0</v>
      </c>
      <c r="H10" s="2783">
        <f t="shared" si="19"/>
        <v>0</v>
      </c>
      <c r="I10" s="1906">
        <f t="shared" si="0"/>
        <v>0</v>
      </c>
      <c r="J10" s="6826">
        <v>0</v>
      </c>
      <c r="K10" s="1646">
        <v>0</v>
      </c>
      <c r="L10" s="2950">
        <f t="shared" si="20"/>
        <v>0</v>
      </c>
      <c r="M10" s="2070">
        <f t="shared" si="1"/>
        <v>0</v>
      </c>
      <c r="N10" s="5935">
        <v>0</v>
      </c>
      <c r="O10" s="3918">
        <v>0</v>
      </c>
      <c r="P10" s="2783">
        <f t="shared" si="21"/>
        <v>0</v>
      </c>
      <c r="Q10" s="1906">
        <f t="shared" si="2"/>
        <v>0</v>
      </c>
      <c r="R10" s="6406">
        <v>0</v>
      </c>
      <c r="S10" s="3918">
        <v>0</v>
      </c>
      <c r="T10" s="6407">
        <f t="shared" si="22"/>
        <v>0</v>
      </c>
      <c r="U10" s="1906">
        <f t="shared" si="3"/>
        <v>0</v>
      </c>
      <c r="V10" s="6826">
        <v>0</v>
      </c>
      <c r="W10" s="3918">
        <v>0</v>
      </c>
      <c r="X10" s="6657">
        <f t="shared" si="4"/>
        <v>0</v>
      </c>
      <c r="Y10" s="2011">
        <f t="shared" si="5"/>
        <v>0</v>
      </c>
      <c r="Z10" s="6663">
        <f t="shared" si="23"/>
        <v>0</v>
      </c>
      <c r="AA10" s="6692">
        <f t="shared" si="6"/>
        <v>0</v>
      </c>
      <c r="AB10" s="7345">
        <v>0</v>
      </c>
      <c r="AC10" s="3918">
        <v>0</v>
      </c>
      <c r="AD10" s="7346">
        <f t="shared" si="24"/>
        <v>0</v>
      </c>
      <c r="AE10" s="1906">
        <f t="shared" si="7"/>
        <v>0</v>
      </c>
      <c r="AF10" s="7583">
        <v>0</v>
      </c>
      <c r="AG10" s="3918">
        <v>0</v>
      </c>
      <c r="AH10" s="7584">
        <f t="shared" si="25"/>
        <v>0</v>
      </c>
      <c r="AI10" s="1906">
        <f t="shared" si="8"/>
        <v>0</v>
      </c>
      <c r="AJ10" s="7734">
        <v>0</v>
      </c>
      <c r="AK10" s="3918">
        <v>0</v>
      </c>
      <c r="AL10" s="7737">
        <f t="shared" si="30"/>
        <v>0</v>
      </c>
      <c r="AM10" s="2011">
        <f t="shared" si="10"/>
        <v>0</v>
      </c>
      <c r="AN10" s="7735">
        <f t="shared" si="26"/>
        <v>0</v>
      </c>
      <c r="AO10" s="1906">
        <f t="shared" si="11"/>
        <v>0</v>
      </c>
      <c r="AP10" s="8049">
        <v>0</v>
      </c>
      <c r="AQ10" s="3918">
        <v>0</v>
      </c>
      <c r="AR10" s="8045">
        <f t="shared" si="27"/>
        <v>0</v>
      </c>
      <c r="AS10" s="1906">
        <f t="shared" si="12"/>
        <v>0</v>
      </c>
      <c r="AT10" s="8170">
        <v>0</v>
      </c>
      <c r="AU10" s="3918">
        <v>0</v>
      </c>
      <c r="AV10" s="8171">
        <f t="shared" si="28"/>
        <v>0</v>
      </c>
      <c r="AW10" s="1906">
        <f t="shared" si="13"/>
        <v>0</v>
      </c>
      <c r="AX10" s="8321">
        <v>0</v>
      </c>
      <c r="AY10" s="3918">
        <v>0</v>
      </c>
      <c r="AZ10" s="8323">
        <f t="shared" si="31"/>
        <v>0</v>
      </c>
      <c r="BA10" s="2011">
        <f t="shared" si="15"/>
        <v>0</v>
      </c>
      <c r="BB10" s="8323">
        <f t="shared" si="16"/>
        <v>0</v>
      </c>
      <c r="BC10" s="2011">
        <f t="shared" si="17"/>
        <v>0</v>
      </c>
      <c r="BD10" s="8324">
        <f t="shared" si="29"/>
        <v>0</v>
      </c>
      <c r="BE10" s="6692">
        <f t="shared" si="18"/>
        <v>0</v>
      </c>
    </row>
    <row r="11" spans="1:57" s="3380" customFormat="1" x14ac:dyDescent="0.2">
      <c r="A11" s="3379"/>
      <c r="B11" s="6884" t="s">
        <v>728</v>
      </c>
      <c r="C11" s="5402"/>
      <c r="D11" s="5404"/>
      <c r="E11" s="6885"/>
      <c r="F11" s="5404"/>
      <c r="G11" s="5402"/>
      <c r="H11" s="5404"/>
      <c r="I11" s="5402"/>
      <c r="J11" s="5404"/>
      <c r="K11" s="5402"/>
      <c r="L11" s="5404"/>
      <c r="M11" s="5402"/>
      <c r="N11" s="5404"/>
      <c r="O11" s="5402"/>
      <c r="P11" s="5404"/>
      <c r="Q11" s="5402"/>
      <c r="R11" s="5404"/>
      <c r="S11" s="5402"/>
      <c r="T11" s="5404"/>
      <c r="U11" s="5402"/>
      <c r="V11" s="5404"/>
      <c r="W11" s="5402"/>
      <c r="X11" s="5404"/>
      <c r="Y11" s="5402"/>
      <c r="Z11" s="5404"/>
      <c r="AA11" s="5402"/>
      <c r="AB11" s="5404"/>
      <c r="AC11" s="5402"/>
      <c r="AD11" s="5404"/>
      <c r="AE11" s="5402"/>
      <c r="AF11" s="5404"/>
      <c r="AG11" s="5402"/>
      <c r="AH11" s="5404"/>
      <c r="AI11" s="5402"/>
      <c r="AJ11" s="5404"/>
      <c r="AK11" s="5402"/>
      <c r="AL11" s="5404"/>
      <c r="AM11" s="5402"/>
      <c r="AN11" s="5404"/>
      <c r="AO11" s="5402"/>
      <c r="AP11" s="5404"/>
      <c r="AQ11" s="5402"/>
      <c r="AR11" s="5404"/>
      <c r="AS11" s="5402"/>
      <c r="AT11" s="5404"/>
      <c r="AU11" s="5402"/>
      <c r="AV11" s="5404"/>
      <c r="AW11" s="5402"/>
      <c r="AX11" s="5404"/>
      <c r="AY11" s="5402"/>
      <c r="AZ11" s="5404"/>
      <c r="BA11" s="5402"/>
      <c r="BB11" s="5404"/>
      <c r="BC11" s="5402"/>
      <c r="BD11" s="5404"/>
      <c r="BE11" s="5402"/>
    </row>
    <row r="12" spans="1:57" ht="15" hidden="1" customHeight="1" x14ac:dyDescent="0.2">
      <c r="B12" s="1609" t="s">
        <v>93</v>
      </c>
      <c r="C12" s="1545" t="s">
        <v>170</v>
      </c>
      <c r="D12" s="1786">
        <v>0</v>
      </c>
      <c r="E12" s="3835">
        <f>+'2019-20 MASTER'!F1316</f>
        <v>0</v>
      </c>
      <c r="F12" s="4368">
        <v>0</v>
      </c>
      <c r="G12" s="1639">
        <f>+'2019-20 MASTER'!G1316</f>
        <v>0</v>
      </c>
      <c r="H12" s="2553">
        <f>+D12+F12</f>
        <v>0</v>
      </c>
      <c r="I12" s="1904">
        <f t="shared" si="0"/>
        <v>0</v>
      </c>
      <c r="J12" s="4963">
        <v>0</v>
      </c>
      <c r="K12" s="1639">
        <f>+'2019-20 MASTER'!I1316</f>
        <v>0</v>
      </c>
      <c r="L12" s="3044">
        <f>+H12+J12</f>
        <v>0</v>
      </c>
      <c r="M12" s="2069">
        <f t="shared" ref="M12:M15" si="32">+I12+K12</f>
        <v>0</v>
      </c>
      <c r="N12" s="4963">
        <v>0</v>
      </c>
      <c r="O12" s="5146">
        <f>+'2019-20 MASTER'!M1316</f>
        <v>0</v>
      </c>
      <c r="P12" s="2553">
        <f>+L12+N12</f>
        <v>0</v>
      </c>
      <c r="Q12" s="1906">
        <f t="shared" ref="Q12:Q15" si="33">+M12+O12</f>
        <v>0</v>
      </c>
      <c r="R12" s="4963">
        <v>0</v>
      </c>
      <c r="S12" s="5146">
        <f>+'2019-20 MASTER'!Q1316</f>
        <v>0</v>
      </c>
      <c r="T12" s="2553">
        <f>+P12+R12</f>
        <v>0</v>
      </c>
      <c r="U12" s="1906">
        <f t="shared" ref="U12:U15" si="34">+Q12+S12</f>
        <v>0</v>
      </c>
      <c r="V12" s="4963">
        <v>0</v>
      </c>
      <c r="W12" s="5146">
        <f>+'2019-20 MASTER'!U1316</f>
        <v>0</v>
      </c>
      <c r="X12" s="3044">
        <f>+T12+V12</f>
        <v>0</v>
      </c>
      <c r="Y12" s="2069">
        <f t="shared" ref="Y12" si="35">+U12+W12</f>
        <v>0</v>
      </c>
      <c r="Z12" s="6719">
        <f>+T12+V12</f>
        <v>0</v>
      </c>
      <c r="AA12" s="6692">
        <f t="shared" ref="AA12:AA15" si="36">+U12+W12</f>
        <v>0</v>
      </c>
      <c r="AB12" s="4963">
        <v>0</v>
      </c>
      <c r="AC12" s="5146">
        <f>+'2019-20 MASTER'!AA1316</f>
        <v>0</v>
      </c>
      <c r="AD12" s="2553">
        <f>+Z12+AB12</f>
        <v>0</v>
      </c>
      <c r="AE12" s="1906">
        <f t="shared" ref="AE12:AE15" si="37">+AA12+AC12</f>
        <v>0</v>
      </c>
      <c r="AF12" s="4963">
        <v>0</v>
      </c>
      <c r="AG12" s="5146">
        <f>+'2019-20 MASTER'!AE1316</f>
        <v>0</v>
      </c>
      <c r="AH12" s="2553">
        <f>+AD12+AF12</f>
        <v>0</v>
      </c>
      <c r="AI12" s="1906">
        <f t="shared" ref="AI12:AI15" si="38">+AE12+AG12</f>
        <v>0</v>
      </c>
      <c r="AJ12" s="4963">
        <v>0</v>
      </c>
      <c r="AK12" s="5146">
        <f>+'2019-20 MASTER'!AI1316</f>
        <v>0</v>
      </c>
      <c r="AL12" s="3044">
        <f>+AH12+AJ12</f>
        <v>0</v>
      </c>
      <c r="AM12" s="2069">
        <f t="shared" ref="AM12" si="39">+AI12+AK12</f>
        <v>0</v>
      </c>
      <c r="AN12" s="2553">
        <f>+AH12+AJ12</f>
        <v>0</v>
      </c>
      <c r="AO12" s="1906">
        <f t="shared" ref="AO12:AO15" si="40">+AI12+AK12</f>
        <v>0</v>
      </c>
      <c r="AP12" s="4963">
        <v>0</v>
      </c>
      <c r="AQ12" s="5146">
        <f>+'2019-20 MASTER'!AO1316</f>
        <v>0</v>
      </c>
      <c r="AR12" s="2553">
        <f>+AN12+AP12</f>
        <v>0</v>
      </c>
      <c r="AS12" s="1906">
        <f t="shared" ref="AS12:AS15" si="41">+AO12+AQ12</f>
        <v>0</v>
      </c>
      <c r="AT12" s="4963">
        <v>0</v>
      </c>
      <c r="AU12" s="5146">
        <f>+'2019-20 MASTER'!AS1316</f>
        <v>0</v>
      </c>
      <c r="AV12" s="2553">
        <f>+AR12+AT12</f>
        <v>0</v>
      </c>
      <c r="AW12" s="1906">
        <f t="shared" ref="AW12:AW15" si="42">+AS12+AU12</f>
        <v>0</v>
      </c>
      <c r="AX12" s="4963">
        <v>0</v>
      </c>
      <c r="AY12" s="5146">
        <f>+'2019-20 MASTER'!AW1316</f>
        <v>0</v>
      </c>
      <c r="AZ12" s="3044">
        <f>+AV12+AX12</f>
        <v>0</v>
      </c>
      <c r="BA12" s="2069">
        <f t="shared" ref="BA12" si="43">+AW12+AY12</f>
        <v>0</v>
      </c>
      <c r="BB12" s="3044">
        <f>+AX12+AZ12</f>
        <v>0</v>
      </c>
      <c r="BC12" s="2069">
        <f t="shared" ref="BC12" si="44">+AY12+BA12</f>
        <v>0</v>
      </c>
      <c r="BD12" s="6719">
        <f>+AV12+AX12</f>
        <v>0</v>
      </c>
      <c r="BE12" s="6692">
        <f t="shared" ref="BE12:BE15" si="45">+AW12+AY12</f>
        <v>0</v>
      </c>
    </row>
    <row r="13" spans="1:57" x14ac:dyDescent="0.2">
      <c r="A13" s="3378" t="s">
        <v>1024</v>
      </c>
      <c r="B13" s="1609" t="s">
        <v>94</v>
      </c>
      <c r="C13" s="1545" t="s">
        <v>170</v>
      </c>
      <c r="D13" s="4811">
        <f>+D8*0.9329</f>
        <v>3181.1889999999999</v>
      </c>
      <c r="E13" s="3835">
        <f>+'Maj Prod Summ'!E21</f>
        <v>3047</v>
      </c>
      <c r="F13" s="4811">
        <f>+F8*0.9329</f>
        <v>3026.3275999999996</v>
      </c>
      <c r="G13" s="3835">
        <f>+'Maj Prod Summ'!G21</f>
        <v>2899</v>
      </c>
      <c r="H13" s="2783">
        <f>+D13+F13</f>
        <v>6207.516599999999</v>
      </c>
      <c r="I13" s="1904">
        <f t="shared" si="0"/>
        <v>5946</v>
      </c>
      <c r="J13" s="4811">
        <f>+J8*0.9329</f>
        <v>3951.4399130434886</v>
      </c>
      <c r="K13" s="3835">
        <f>+'Maj Prod Summ'!K21</f>
        <v>2804</v>
      </c>
      <c r="L13" s="2950">
        <f>+H13+J13</f>
        <v>10158.956513043488</v>
      </c>
      <c r="M13" s="2069">
        <f t="shared" si="32"/>
        <v>8750</v>
      </c>
      <c r="N13" s="4811">
        <f>+N8*0.9329</f>
        <v>0</v>
      </c>
      <c r="O13" s="3835">
        <f>+'Maj Prod Summ'!O21</f>
        <v>8503</v>
      </c>
      <c r="P13" s="2783">
        <f>+L13+N13</f>
        <v>10158.956513043488</v>
      </c>
      <c r="Q13" s="1906">
        <f t="shared" si="33"/>
        <v>17253</v>
      </c>
      <c r="R13" s="4811">
        <f>+R8*0.9329</f>
        <v>0</v>
      </c>
      <c r="S13" s="3835">
        <f>+'Maj Prod Summ'!S21</f>
        <v>4172</v>
      </c>
      <c r="T13" s="6407">
        <f>+P13+R13</f>
        <v>10158.956513043488</v>
      </c>
      <c r="U13" s="1906">
        <f t="shared" si="34"/>
        <v>21425</v>
      </c>
      <c r="V13" s="4811">
        <f>+V8*0.9329</f>
        <v>0</v>
      </c>
      <c r="W13" s="3835">
        <f>+'Maj Prod Summ'!W21</f>
        <v>7042</v>
      </c>
      <c r="X13" s="6657">
        <f t="shared" ref="X13:X15" si="46">+V13+R13+N13</f>
        <v>0</v>
      </c>
      <c r="Y13" s="2011">
        <f t="shared" ref="Y13:Y15" si="47">+W13+S13+O13</f>
        <v>19717</v>
      </c>
      <c r="Z13" s="6663">
        <f>+T13+V13</f>
        <v>10158.956513043488</v>
      </c>
      <c r="AA13" s="6692">
        <f t="shared" si="36"/>
        <v>28467</v>
      </c>
      <c r="AB13" s="4811">
        <f>+AB8*0.9329</f>
        <v>2130.1605374999999</v>
      </c>
      <c r="AC13" s="3835">
        <f>+'Maj Prod Summ'!AC21</f>
        <v>9461</v>
      </c>
      <c r="AD13" s="7346">
        <f>+Z13+AB13</f>
        <v>12289.117050543487</v>
      </c>
      <c r="AE13" s="1906">
        <f t="shared" si="37"/>
        <v>37928</v>
      </c>
      <c r="AF13" s="4811">
        <f>+AF8*0.9329</f>
        <v>1873.1932324999891</v>
      </c>
      <c r="AG13" s="3835">
        <f>+'Maj Prod Summ'!AG21</f>
        <v>4903</v>
      </c>
      <c r="AH13" s="7584">
        <f>+AD13+AF13</f>
        <v>14162.310283043476</v>
      </c>
      <c r="AI13" s="1906">
        <f t="shared" si="38"/>
        <v>42831</v>
      </c>
      <c r="AJ13" s="4811">
        <f>+AJ8*0.9329</f>
        <v>2501.7112849999944</v>
      </c>
      <c r="AK13" s="3835">
        <f>+'Maj Prod Summ'!AK21</f>
        <v>7314</v>
      </c>
      <c r="AL13" s="7737">
        <f t="shared" ref="AL13:AL15" si="48">+AJ13+AF13+AB13</f>
        <v>6505.0650549999837</v>
      </c>
      <c r="AM13" s="2011">
        <f t="shared" ref="AM13:AM15" si="49">+AK13+AG13+AC13</f>
        <v>21678</v>
      </c>
      <c r="AN13" s="7735">
        <f>+AH13+AJ13</f>
        <v>16664.02156804347</v>
      </c>
      <c r="AO13" s="1906">
        <f t="shared" si="40"/>
        <v>50145</v>
      </c>
      <c r="AP13" s="4811">
        <f>+AP8*0.9329</f>
        <v>2379.1398862500109</v>
      </c>
      <c r="AQ13" s="3835">
        <f>+'Maj Prod Summ'!AQ21</f>
        <v>4628</v>
      </c>
      <c r="AR13" s="8045">
        <f>+AN13+AP13</f>
        <v>19043.16145429348</v>
      </c>
      <c r="AS13" s="1906">
        <f t="shared" si="41"/>
        <v>54773</v>
      </c>
      <c r="AT13" s="4811">
        <f>+AT8*0.9329</f>
        <v>491.63829999999996</v>
      </c>
      <c r="AU13" s="3835">
        <f>+'Maj Prod Summ'!AU21</f>
        <v>643.29999999999995</v>
      </c>
      <c r="AV13" s="8171">
        <f>+AR13+AT13</f>
        <v>19534.799754293479</v>
      </c>
      <c r="AW13" s="1906">
        <f t="shared" si="42"/>
        <v>55416.3</v>
      </c>
      <c r="AX13" s="4811">
        <f>+AX8*0.9329</f>
        <v>1480.5122999999999</v>
      </c>
      <c r="AY13" s="3835">
        <f>+'Maj Prod Summ'!AY21</f>
        <v>2804.4</v>
      </c>
      <c r="AZ13" s="8323">
        <f t="shared" ref="AZ13:AZ15" si="50">+AX13+AT13+AP13</f>
        <v>4351.2904862500109</v>
      </c>
      <c r="BA13" s="2011">
        <f t="shared" ref="BA13:BA15" si="51">+AY13+AU13+AQ13</f>
        <v>8075.7</v>
      </c>
      <c r="BB13" s="8323">
        <f t="shared" ref="BB13:BB15" si="52">+AZ13+AL13</f>
        <v>10856.355541249995</v>
      </c>
      <c r="BC13" s="2011">
        <f t="shared" ref="BC13:BC15" si="53">+BA13+AM13</f>
        <v>29753.7</v>
      </c>
      <c r="BD13" s="8324">
        <f>+AV13+AX13</f>
        <v>21015.312054293478</v>
      </c>
      <c r="BE13" s="6692">
        <f t="shared" si="45"/>
        <v>58220.700000000004</v>
      </c>
    </row>
    <row r="14" spans="1:57" x14ac:dyDescent="0.2">
      <c r="A14" s="4686"/>
      <c r="B14" s="1609" t="s">
        <v>437</v>
      </c>
      <c r="C14" s="1545" t="s">
        <v>170</v>
      </c>
      <c r="D14" s="3174">
        <v>0</v>
      </c>
      <c r="E14" s="3835">
        <f>+'Maj Prod Summ'!E22</f>
        <v>201</v>
      </c>
      <c r="F14" s="4357">
        <v>0</v>
      </c>
      <c r="G14" s="3835">
        <f>+'Maj Prod Summ'!G22</f>
        <v>191</v>
      </c>
      <c r="H14" s="2783">
        <f>+D14+F14</f>
        <v>0</v>
      </c>
      <c r="I14" s="1904">
        <f t="shared" si="0"/>
        <v>392</v>
      </c>
      <c r="J14" s="5787">
        <v>0</v>
      </c>
      <c r="K14" s="3835">
        <f>+'Maj Prod Summ'!K22</f>
        <v>185</v>
      </c>
      <c r="L14" s="2950">
        <f>+H14+J14</f>
        <v>0</v>
      </c>
      <c r="M14" s="2069">
        <f t="shared" si="32"/>
        <v>577</v>
      </c>
      <c r="N14" s="5935">
        <v>0</v>
      </c>
      <c r="O14" s="3835">
        <f>+'Maj Prod Summ'!O22</f>
        <v>561</v>
      </c>
      <c r="P14" s="2783">
        <f>+L14+N14</f>
        <v>0</v>
      </c>
      <c r="Q14" s="1906">
        <f t="shared" si="33"/>
        <v>1138</v>
      </c>
      <c r="R14" s="6406">
        <v>0</v>
      </c>
      <c r="S14" s="3835">
        <f>+'Maj Prod Summ'!S22</f>
        <v>275</v>
      </c>
      <c r="T14" s="6407">
        <f>+P14+R14</f>
        <v>0</v>
      </c>
      <c r="U14" s="1906">
        <f t="shared" si="34"/>
        <v>1413</v>
      </c>
      <c r="V14" s="6656">
        <v>0</v>
      </c>
      <c r="W14" s="3835">
        <f>+'Maj Prod Summ'!W22</f>
        <v>464</v>
      </c>
      <c r="X14" s="6657">
        <f t="shared" si="46"/>
        <v>0</v>
      </c>
      <c r="Y14" s="2011">
        <f t="shared" si="47"/>
        <v>1300</v>
      </c>
      <c r="Z14" s="6663">
        <f>+T14+V14</f>
        <v>0</v>
      </c>
      <c r="AA14" s="6692">
        <f t="shared" si="36"/>
        <v>1877</v>
      </c>
      <c r="AB14" s="7345">
        <v>0</v>
      </c>
      <c r="AC14" s="3835">
        <f>+'Maj Prod Summ'!AC22</f>
        <v>638</v>
      </c>
      <c r="AD14" s="7346">
        <f>+Z14+AB14</f>
        <v>0</v>
      </c>
      <c r="AE14" s="1906">
        <f t="shared" si="37"/>
        <v>2515</v>
      </c>
      <c r="AF14" s="7583">
        <v>0</v>
      </c>
      <c r="AG14" s="3835">
        <f>+'Maj Prod Summ'!AG22</f>
        <v>323</v>
      </c>
      <c r="AH14" s="7584">
        <f>+AD14+AF14</f>
        <v>0</v>
      </c>
      <c r="AI14" s="1906">
        <f t="shared" si="38"/>
        <v>2838</v>
      </c>
      <c r="AJ14" s="7734">
        <v>0</v>
      </c>
      <c r="AK14" s="3835">
        <f>+'Maj Prod Summ'!AK22</f>
        <v>482</v>
      </c>
      <c r="AL14" s="7737">
        <f t="shared" si="48"/>
        <v>0</v>
      </c>
      <c r="AM14" s="2011">
        <f t="shared" si="49"/>
        <v>1443</v>
      </c>
      <c r="AN14" s="7735">
        <f>+AH14+AJ14</f>
        <v>0</v>
      </c>
      <c r="AO14" s="1906">
        <f t="shared" si="40"/>
        <v>3320</v>
      </c>
      <c r="AP14" s="8049">
        <v>0</v>
      </c>
      <c r="AQ14" s="3835">
        <f>+'Maj Prod Summ'!AQ22</f>
        <v>305</v>
      </c>
      <c r="AR14" s="8045">
        <f>+AN14+AP14</f>
        <v>0</v>
      </c>
      <c r="AS14" s="1906">
        <f t="shared" si="41"/>
        <v>3625</v>
      </c>
      <c r="AT14" s="8170">
        <v>0</v>
      </c>
      <c r="AU14" s="3835">
        <f>+'Maj Prod Summ'!AU22</f>
        <v>42.4</v>
      </c>
      <c r="AV14" s="8171">
        <f>+AR14+AT14</f>
        <v>0</v>
      </c>
      <c r="AW14" s="1906">
        <f t="shared" si="42"/>
        <v>3667.4</v>
      </c>
      <c r="AX14" s="8321">
        <v>0</v>
      </c>
      <c r="AY14" s="3835">
        <f>+'Maj Prod Summ'!AY22</f>
        <v>184.9</v>
      </c>
      <c r="AZ14" s="8323">
        <f t="shared" si="50"/>
        <v>0</v>
      </c>
      <c r="BA14" s="2011">
        <f t="shared" si="51"/>
        <v>532.29999999999995</v>
      </c>
      <c r="BB14" s="8323">
        <f t="shared" si="52"/>
        <v>0</v>
      </c>
      <c r="BC14" s="2011">
        <f t="shared" si="53"/>
        <v>1975.3</v>
      </c>
      <c r="BD14" s="8324">
        <f>+AV14+AX14</f>
        <v>0</v>
      </c>
      <c r="BE14" s="6692">
        <f t="shared" si="45"/>
        <v>3852.3</v>
      </c>
    </row>
    <row r="15" spans="1:57" ht="31" thickBot="1" x14ac:dyDescent="0.25">
      <c r="B15" s="1583" t="s">
        <v>726</v>
      </c>
      <c r="C15" s="1548" t="s">
        <v>170</v>
      </c>
      <c r="D15" s="1788">
        <v>0</v>
      </c>
      <c r="E15" s="3835">
        <f>+'Maj Prod Summ'!E23</f>
        <v>0</v>
      </c>
      <c r="F15" s="2712">
        <v>0</v>
      </c>
      <c r="G15" s="3835">
        <f>+'Maj Prod Summ'!G23</f>
        <v>0</v>
      </c>
      <c r="H15" s="2553">
        <f>+D15+F15</f>
        <v>0</v>
      </c>
      <c r="I15" s="1906">
        <f t="shared" si="0"/>
        <v>0</v>
      </c>
      <c r="J15" s="2712">
        <v>0</v>
      </c>
      <c r="K15" s="3835">
        <f>+'Maj Prod Summ'!K23</f>
        <v>0</v>
      </c>
      <c r="L15" s="3044">
        <f>+H15+J15</f>
        <v>0</v>
      </c>
      <c r="M15" s="2070">
        <f t="shared" si="32"/>
        <v>0</v>
      </c>
      <c r="N15" s="2712">
        <v>0</v>
      </c>
      <c r="O15" s="3835">
        <f>+'Maj Prod Summ'!O23</f>
        <v>0</v>
      </c>
      <c r="P15" s="2553">
        <f>+L15+N15</f>
        <v>0</v>
      </c>
      <c r="Q15" s="1906">
        <f t="shared" si="33"/>
        <v>0</v>
      </c>
      <c r="R15" s="2712">
        <v>0</v>
      </c>
      <c r="S15" s="3835">
        <f>+'Maj Prod Summ'!S23</f>
        <v>0</v>
      </c>
      <c r="T15" s="2553">
        <f>+P15+R15</f>
        <v>0</v>
      </c>
      <c r="U15" s="1906">
        <f t="shared" si="34"/>
        <v>0</v>
      </c>
      <c r="V15" s="2712">
        <v>0</v>
      </c>
      <c r="W15" s="3835">
        <f>+'Maj Prod Summ'!W23</f>
        <v>0</v>
      </c>
      <c r="X15" s="6657">
        <f t="shared" si="46"/>
        <v>0</v>
      </c>
      <c r="Y15" s="2011">
        <f t="shared" si="47"/>
        <v>0</v>
      </c>
      <c r="Z15" s="6719">
        <f>+T15+V15</f>
        <v>0</v>
      </c>
      <c r="AA15" s="6692">
        <f t="shared" si="36"/>
        <v>0</v>
      </c>
      <c r="AB15" s="2712">
        <v>0</v>
      </c>
      <c r="AC15" s="3835">
        <f>+'Maj Prod Summ'!AC23</f>
        <v>0</v>
      </c>
      <c r="AD15" s="2553">
        <f>+Z15+AB15</f>
        <v>0</v>
      </c>
      <c r="AE15" s="1906">
        <f t="shared" si="37"/>
        <v>0</v>
      </c>
      <c r="AF15" s="2712">
        <v>0</v>
      </c>
      <c r="AG15" s="3835">
        <f>+'Maj Prod Summ'!AG23</f>
        <v>0</v>
      </c>
      <c r="AH15" s="2553">
        <f>+AD15+AF15</f>
        <v>0</v>
      </c>
      <c r="AI15" s="1906">
        <f t="shared" si="38"/>
        <v>0</v>
      </c>
      <c r="AJ15" s="2712">
        <v>0</v>
      </c>
      <c r="AK15" s="3835">
        <f>+'Maj Prod Summ'!AK23</f>
        <v>0</v>
      </c>
      <c r="AL15" s="7737">
        <f t="shared" si="48"/>
        <v>0</v>
      </c>
      <c r="AM15" s="2011">
        <f t="shared" si="49"/>
        <v>0</v>
      </c>
      <c r="AN15" s="2553">
        <f>+AH15+AJ15</f>
        <v>0</v>
      </c>
      <c r="AO15" s="1906">
        <f t="shared" si="40"/>
        <v>0</v>
      </c>
      <c r="AP15" s="2712">
        <v>0</v>
      </c>
      <c r="AQ15" s="3835">
        <f>+'Maj Prod Summ'!AQ23</f>
        <v>0</v>
      </c>
      <c r="AR15" s="2553">
        <f>+AN15+AP15</f>
        <v>0</v>
      </c>
      <c r="AS15" s="1906">
        <f t="shared" si="41"/>
        <v>0</v>
      </c>
      <c r="AT15" s="2712">
        <v>0</v>
      </c>
      <c r="AU15" s="3835">
        <f>+'Maj Prod Summ'!AU23</f>
        <v>0</v>
      </c>
      <c r="AV15" s="2553">
        <f>+AR15+AT15</f>
        <v>0</v>
      </c>
      <c r="AW15" s="1906">
        <f t="shared" si="42"/>
        <v>0</v>
      </c>
      <c r="AX15" s="2712">
        <v>0</v>
      </c>
      <c r="AY15" s="3835">
        <f>+'Maj Prod Summ'!AY23</f>
        <v>0</v>
      </c>
      <c r="AZ15" s="8323">
        <f t="shared" si="50"/>
        <v>0</v>
      </c>
      <c r="BA15" s="2011">
        <f t="shared" si="51"/>
        <v>0</v>
      </c>
      <c r="BB15" s="8323">
        <f t="shared" si="52"/>
        <v>0</v>
      </c>
      <c r="BC15" s="2011">
        <f t="shared" si="53"/>
        <v>0</v>
      </c>
      <c r="BD15" s="6719">
        <f>+AV15+AX15</f>
        <v>0</v>
      </c>
      <c r="BE15" s="6692">
        <f t="shared" si="45"/>
        <v>0</v>
      </c>
    </row>
    <row r="16" spans="1:57" ht="17" thickBot="1" x14ac:dyDescent="0.25">
      <c r="B16" s="1592" t="s">
        <v>529</v>
      </c>
      <c r="C16" s="1562" t="s">
        <v>170</v>
      </c>
      <c r="D16" s="2319">
        <f>SUM(D12:D15)</f>
        <v>3181.1889999999999</v>
      </c>
      <c r="E16" s="2817">
        <f t="shared" ref="E16:I16" si="54">SUM(E12:E15)</f>
        <v>3248</v>
      </c>
      <c r="F16" s="2319">
        <f t="shared" si="54"/>
        <v>3026.3275999999996</v>
      </c>
      <c r="G16" s="1682">
        <f t="shared" si="54"/>
        <v>3090</v>
      </c>
      <c r="H16" s="2320">
        <f t="shared" si="54"/>
        <v>6207.516599999999</v>
      </c>
      <c r="I16" s="1825">
        <f t="shared" si="54"/>
        <v>6338</v>
      </c>
      <c r="J16" s="2319">
        <f t="shared" ref="J16" si="55">SUM(J12:J15)</f>
        <v>3951.4399130434886</v>
      </c>
      <c r="K16" s="1682">
        <f t="shared" ref="K16:N16" si="56">SUM(K12:K15)</f>
        <v>2989</v>
      </c>
      <c r="L16" s="2321">
        <f t="shared" si="56"/>
        <v>10158.956513043488</v>
      </c>
      <c r="M16" s="2005">
        <f t="shared" si="56"/>
        <v>9327</v>
      </c>
      <c r="N16" s="2319">
        <f t="shared" si="56"/>
        <v>0</v>
      </c>
      <c r="O16" s="6092">
        <f t="shared" ref="O16" si="57">SUM(O12:O15)</f>
        <v>9064</v>
      </c>
      <c r="P16" s="2320">
        <f t="shared" ref="P16:S16" si="58">SUM(P12:P15)</f>
        <v>10158.956513043488</v>
      </c>
      <c r="Q16" s="1825">
        <f t="shared" si="58"/>
        <v>18391</v>
      </c>
      <c r="R16" s="2319">
        <f t="shared" si="58"/>
        <v>0</v>
      </c>
      <c r="S16" s="6092">
        <f t="shared" si="58"/>
        <v>4447</v>
      </c>
      <c r="T16" s="2320">
        <f t="shared" ref="T16:Y16" si="59">SUM(T12:T15)</f>
        <v>10158.956513043488</v>
      </c>
      <c r="U16" s="1825">
        <f t="shared" si="59"/>
        <v>22838</v>
      </c>
      <c r="V16" s="2319">
        <f t="shared" si="59"/>
        <v>0</v>
      </c>
      <c r="W16" s="6092">
        <f t="shared" si="59"/>
        <v>7506</v>
      </c>
      <c r="X16" s="2321">
        <f t="shared" si="59"/>
        <v>0</v>
      </c>
      <c r="Y16" s="2005">
        <f t="shared" si="59"/>
        <v>21017</v>
      </c>
      <c r="Z16" s="6598">
        <f t="shared" ref="Z16:AM16" si="60">SUM(Z12:Z15)</f>
        <v>10158.956513043488</v>
      </c>
      <c r="AA16" s="6594">
        <f t="shared" si="60"/>
        <v>30344</v>
      </c>
      <c r="AB16" s="2319">
        <f t="shared" si="60"/>
        <v>2130.1605374999999</v>
      </c>
      <c r="AC16" s="6092">
        <f t="shared" si="60"/>
        <v>10099</v>
      </c>
      <c r="AD16" s="2320">
        <f t="shared" si="60"/>
        <v>12289.117050543487</v>
      </c>
      <c r="AE16" s="1825">
        <f t="shared" si="60"/>
        <v>40443</v>
      </c>
      <c r="AF16" s="2319">
        <f t="shared" si="60"/>
        <v>1873.1932324999891</v>
      </c>
      <c r="AG16" s="6092">
        <f t="shared" si="60"/>
        <v>5226</v>
      </c>
      <c r="AH16" s="2320">
        <f t="shared" si="60"/>
        <v>14162.310283043476</v>
      </c>
      <c r="AI16" s="1825">
        <f t="shared" si="60"/>
        <v>45669</v>
      </c>
      <c r="AJ16" s="2319">
        <f t="shared" si="60"/>
        <v>2501.7112849999944</v>
      </c>
      <c r="AK16" s="6092">
        <f t="shared" si="60"/>
        <v>7796</v>
      </c>
      <c r="AL16" s="2321">
        <f t="shared" si="60"/>
        <v>6505.0650549999837</v>
      </c>
      <c r="AM16" s="2005">
        <f t="shared" si="60"/>
        <v>23121</v>
      </c>
      <c r="AN16" s="2320">
        <f t="shared" ref="AN16:AS16" si="61">SUM(AN12:AN15)</f>
        <v>16664.02156804347</v>
      </c>
      <c r="AO16" s="1825">
        <f t="shared" si="61"/>
        <v>53465</v>
      </c>
      <c r="AP16" s="2319">
        <f t="shared" si="61"/>
        <v>2379.1398862500109</v>
      </c>
      <c r="AQ16" s="6092">
        <f t="shared" si="61"/>
        <v>4933</v>
      </c>
      <c r="AR16" s="2320">
        <f t="shared" si="61"/>
        <v>19043.16145429348</v>
      </c>
      <c r="AS16" s="1825">
        <f t="shared" si="61"/>
        <v>58398</v>
      </c>
      <c r="AT16" s="2319">
        <f t="shared" ref="AT16:AW16" si="62">SUM(AT12:AT15)</f>
        <v>491.63829999999996</v>
      </c>
      <c r="AU16" s="6092">
        <f t="shared" si="62"/>
        <v>685.69999999999993</v>
      </c>
      <c r="AV16" s="2320">
        <f t="shared" si="62"/>
        <v>19534.799754293479</v>
      </c>
      <c r="AW16" s="1825">
        <f t="shared" si="62"/>
        <v>59083.700000000004</v>
      </c>
      <c r="AX16" s="2319">
        <f t="shared" ref="AX16:BE16" si="63">SUM(AX12:AX15)</f>
        <v>1480.5122999999999</v>
      </c>
      <c r="AY16" s="6092">
        <f t="shared" si="63"/>
        <v>2989.3</v>
      </c>
      <c r="AZ16" s="2321">
        <f t="shared" si="63"/>
        <v>4351.2904862500109</v>
      </c>
      <c r="BA16" s="2005">
        <f t="shared" si="63"/>
        <v>8608</v>
      </c>
      <c r="BB16" s="2321">
        <f t="shared" ref="BB16:BC16" si="64">SUM(BB12:BB15)</f>
        <v>10856.355541249995</v>
      </c>
      <c r="BC16" s="2005">
        <f t="shared" si="64"/>
        <v>31729</v>
      </c>
      <c r="BD16" s="6598">
        <f t="shared" si="63"/>
        <v>21015.312054293478</v>
      </c>
      <c r="BE16" s="6594">
        <f t="shared" si="63"/>
        <v>62073.000000000007</v>
      </c>
    </row>
    <row r="17" spans="1:169" x14ac:dyDescent="0.2">
      <c r="A17" s="3993"/>
      <c r="B17" s="1593" t="s">
        <v>1922</v>
      </c>
      <c r="C17" s="1542" t="s">
        <v>170</v>
      </c>
      <c r="D17" s="2812">
        <v>647.49189999999987</v>
      </c>
      <c r="E17" s="4700">
        <f>+'Maj Prod Summ'!E25</f>
        <v>1693</v>
      </c>
      <c r="F17" s="2812">
        <v>640.17734999999993</v>
      </c>
      <c r="G17" s="4700">
        <f>+'Maj Prod Summ'!G25</f>
        <v>4190</v>
      </c>
      <c r="H17" s="3095" t="s">
        <v>127</v>
      </c>
      <c r="I17" s="1904">
        <f t="shared" si="0"/>
        <v>5883</v>
      </c>
      <c r="J17" s="2812">
        <v>807.01939565217526</v>
      </c>
      <c r="K17" s="4700">
        <f>+'Maj Prod Summ'!K25</f>
        <v>4452</v>
      </c>
      <c r="L17" s="3061" t="s">
        <v>127</v>
      </c>
      <c r="M17" s="2069">
        <f t="shared" ref="M17:M21" si="65">+I17+K17</f>
        <v>10335</v>
      </c>
      <c r="N17" s="2812">
        <v>416.569001186945</v>
      </c>
      <c r="O17" s="4700">
        <f>+'Maj Prod Summ'!O25</f>
        <v>2813</v>
      </c>
      <c r="P17" s="3095" t="s">
        <v>127</v>
      </c>
      <c r="Q17" s="1904">
        <f t="shared" ref="Q17:Q21" si="66">+M17+O17</f>
        <v>13148</v>
      </c>
      <c r="R17" s="2812">
        <v>414.1988803274038</v>
      </c>
      <c r="S17" s="4700">
        <f>+'Maj Prod Summ'!S25</f>
        <v>2290</v>
      </c>
      <c r="T17" s="3095" t="s">
        <v>127</v>
      </c>
      <c r="U17" s="1904">
        <f t="shared" ref="U17:U21" si="67">+Q17+S17</f>
        <v>15438</v>
      </c>
      <c r="V17" s="2812">
        <v>408.66503842485781</v>
      </c>
      <c r="W17" s="4700">
        <f>+'Maj Prod Summ'!W25</f>
        <v>1311</v>
      </c>
      <c r="X17" s="6657">
        <f t="shared" ref="X17:X21" si="68">+V17+R17+N17</f>
        <v>1239.4329199392066</v>
      </c>
      <c r="Y17" s="2011">
        <f t="shared" ref="Y17:Y21" si="69">+W17+S17+O17</f>
        <v>6414</v>
      </c>
      <c r="Z17" s="6829" t="s">
        <v>127</v>
      </c>
      <c r="AA17" s="6830">
        <f t="shared" ref="AA17:AA21" si="70">+U17+W17</f>
        <v>16749</v>
      </c>
      <c r="AB17" s="2812">
        <v>484.30664999999999</v>
      </c>
      <c r="AC17" s="4700">
        <f>+'Maj Prod Summ'!AC25</f>
        <v>3244</v>
      </c>
      <c r="AD17" s="3095" t="s">
        <v>127</v>
      </c>
      <c r="AE17" s="1904">
        <f t="shared" ref="AE17:AE21" si="71">+AA17+AC17</f>
        <v>19993</v>
      </c>
      <c r="AF17" s="2812">
        <v>640.09372999999857</v>
      </c>
      <c r="AG17" s="4700">
        <f>+'Maj Prod Summ'!AG25</f>
        <v>1716</v>
      </c>
      <c r="AH17" s="3095" t="s">
        <v>127</v>
      </c>
      <c r="AI17" s="1904">
        <f t="shared" ref="AI17:AI21" si="72">+AE17+AG17</f>
        <v>21709</v>
      </c>
      <c r="AJ17" s="2812">
        <v>739.76353999999924</v>
      </c>
      <c r="AK17" s="4700">
        <f>+'Maj Prod Summ'!AK25</f>
        <v>2856</v>
      </c>
      <c r="AL17" s="7737">
        <f t="shared" ref="AL17:AL21" si="73">+AJ17+AF17+AB17</f>
        <v>1864.1639199999977</v>
      </c>
      <c r="AM17" s="2011">
        <f t="shared" ref="AM17:AM21" si="74">+AK17+AG17+AC17</f>
        <v>7816</v>
      </c>
      <c r="AN17" s="3095" t="s">
        <v>127</v>
      </c>
      <c r="AO17" s="1904">
        <f t="shared" ref="AO17:AO21" si="75">+AI17+AK17</f>
        <v>24565</v>
      </c>
      <c r="AP17" s="2812">
        <v>717.42474500000128</v>
      </c>
      <c r="AQ17" s="4700">
        <f>+'Maj Prod Summ'!AQ25</f>
        <v>4003</v>
      </c>
      <c r="AR17" s="3095" t="s">
        <v>127</v>
      </c>
      <c r="AS17" s="1904">
        <f t="shared" ref="AS17:AS21" si="76">+AO17+AQ17</f>
        <v>28568</v>
      </c>
      <c r="AT17" s="2812"/>
      <c r="AU17" s="4700">
        <v>4003</v>
      </c>
      <c r="AV17" s="3095" t="s">
        <v>127</v>
      </c>
      <c r="AW17" s="1904">
        <f t="shared" ref="AW17:AW21" si="77">+AS17+AU17</f>
        <v>32571</v>
      </c>
      <c r="AX17" s="2812"/>
      <c r="AY17" s="4700">
        <v>3198</v>
      </c>
      <c r="AZ17" s="8323">
        <f t="shared" ref="AZ17:AZ21" si="78">+AX17+AT17+AP17</f>
        <v>717.42474500000128</v>
      </c>
      <c r="BA17" s="2011">
        <f t="shared" ref="BA17:BA21" si="79">+AY17+AU17+AQ17</f>
        <v>11204</v>
      </c>
      <c r="BB17" s="8323">
        <f t="shared" ref="BB17:BB21" si="80">+AZ17+AL17</f>
        <v>2581.5886649999989</v>
      </c>
      <c r="BC17" s="2011">
        <f t="shared" ref="BC17:BC21" si="81">+BA17+AM17</f>
        <v>19020</v>
      </c>
      <c r="BD17" s="6829" t="s">
        <v>127</v>
      </c>
      <c r="BE17" s="6830">
        <f t="shared" ref="BE17:BE21" si="82">+AW17+AY17</f>
        <v>35769</v>
      </c>
    </row>
    <row r="18" spans="1:169" x14ac:dyDescent="0.2">
      <c r="B18" s="1586" t="s">
        <v>729</v>
      </c>
      <c r="C18" s="1545" t="s">
        <v>170</v>
      </c>
      <c r="D18" s="4357">
        <v>53250.926399999997</v>
      </c>
      <c r="E18" s="2750">
        <v>53267</v>
      </c>
      <c r="F18" s="5483">
        <v>56520</v>
      </c>
      <c r="G18" s="1646">
        <v>56520</v>
      </c>
      <c r="H18" s="2783">
        <f>+D18+F18</f>
        <v>109770.9264</v>
      </c>
      <c r="I18" s="1904">
        <f t="shared" si="0"/>
        <v>109787</v>
      </c>
      <c r="J18" s="5787">
        <v>66337.52</v>
      </c>
      <c r="K18" s="1646">
        <v>62698</v>
      </c>
      <c r="L18" s="2950">
        <f>+H18+J18</f>
        <v>176108.44640000002</v>
      </c>
      <c r="M18" s="2069">
        <f t="shared" si="65"/>
        <v>172485</v>
      </c>
      <c r="N18" s="5935">
        <v>82246.304350260005</v>
      </c>
      <c r="O18" s="3918">
        <v>73739</v>
      </c>
      <c r="P18" s="2783">
        <f>+L18+N18</f>
        <v>258354.75075026002</v>
      </c>
      <c r="Q18" s="1904">
        <f t="shared" si="66"/>
        <v>246224</v>
      </c>
      <c r="R18" s="6406">
        <v>81766.956524400011</v>
      </c>
      <c r="S18" s="3918">
        <v>74584</v>
      </c>
      <c r="T18" s="6407">
        <f>+P18+R18</f>
        <v>340121.70727466</v>
      </c>
      <c r="U18" s="1904">
        <f t="shared" si="67"/>
        <v>320808</v>
      </c>
      <c r="V18" s="6656">
        <v>80690.869568132999</v>
      </c>
      <c r="W18" s="3918">
        <v>42857</v>
      </c>
      <c r="X18" s="6657">
        <f t="shared" si="68"/>
        <v>244704.13044279302</v>
      </c>
      <c r="Y18" s="2011">
        <f t="shared" si="69"/>
        <v>191180</v>
      </c>
      <c r="Z18" s="6663">
        <f>+T18+V18</f>
        <v>420812.57684279303</v>
      </c>
      <c r="AA18" s="6830">
        <f t="shared" si="70"/>
        <v>363665</v>
      </c>
      <c r="AB18" s="7345">
        <v>42750</v>
      </c>
      <c r="AC18" s="3918">
        <v>49309</v>
      </c>
      <c r="AD18" s="7346">
        <f>+Z18+AB18</f>
        <v>463562.57684279303</v>
      </c>
      <c r="AE18" s="1904">
        <f t="shared" si="71"/>
        <v>412974</v>
      </c>
      <c r="AF18" s="7583">
        <v>79344</v>
      </c>
      <c r="AG18" s="3918">
        <v>60502</v>
      </c>
      <c r="AH18" s="7584">
        <f>+AD18+AF18</f>
        <v>542906.57684279303</v>
      </c>
      <c r="AI18" s="1904">
        <f t="shared" si="72"/>
        <v>473476</v>
      </c>
      <c r="AJ18" s="7734">
        <v>83448</v>
      </c>
      <c r="AK18" s="3918">
        <v>73547</v>
      </c>
      <c r="AL18" s="7737">
        <f t="shared" si="73"/>
        <v>205542</v>
      </c>
      <c r="AM18" s="2011">
        <f t="shared" si="74"/>
        <v>183358</v>
      </c>
      <c r="AN18" s="7735">
        <f>+AH18+AJ18</f>
        <v>626354.57684279303</v>
      </c>
      <c r="AO18" s="1904">
        <f t="shared" si="75"/>
        <v>547023</v>
      </c>
      <c r="AP18" s="8049">
        <v>82080</v>
      </c>
      <c r="AQ18" s="3918">
        <v>82843</v>
      </c>
      <c r="AR18" s="8045">
        <f>+AN18+AP18</f>
        <v>708434.57684279303</v>
      </c>
      <c r="AS18" s="1904">
        <f t="shared" si="76"/>
        <v>629866</v>
      </c>
      <c r="AT18" s="8237">
        <v>75240</v>
      </c>
      <c r="AU18" s="3918">
        <v>82384</v>
      </c>
      <c r="AV18" s="8171">
        <f>+AR18+AT18</f>
        <v>783674.57684279303</v>
      </c>
      <c r="AW18" s="1904">
        <f t="shared" si="77"/>
        <v>712250</v>
      </c>
      <c r="AX18" s="8351">
        <v>83448</v>
      </c>
      <c r="AY18" s="3918">
        <v>88417</v>
      </c>
      <c r="AZ18" s="8323">
        <f t="shared" si="78"/>
        <v>240768</v>
      </c>
      <c r="BA18" s="2011">
        <f t="shared" si="79"/>
        <v>253644</v>
      </c>
      <c r="BB18" s="8323">
        <f t="shared" si="80"/>
        <v>446310</v>
      </c>
      <c r="BC18" s="2011">
        <f t="shared" si="81"/>
        <v>437002</v>
      </c>
      <c r="BD18" s="8324">
        <f>+AV18+AX18</f>
        <v>867122.57684279303</v>
      </c>
      <c r="BE18" s="6830">
        <f t="shared" si="82"/>
        <v>800667</v>
      </c>
    </row>
    <row r="19" spans="1:169" x14ac:dyDescent="0.2">
      <c r="A19" s="3378" t="s">
        <v>1024</v>
      </c>
      <c r="B19" s="1586" t="s">
        <v>1253</v>
      </c>
      <c r="C19" s="1545" t="s">
        <v>170</v>
      </c>
      <c r="D19" s="4811">
        <f>+D18*0.95</f>
        <v>50588.380079999995</v>
      </c>
      <c r="E19" s="3835">
        <v>55719</v>
      </c>
      <c r="F19" s="4811">
        <f>+F18*0.95</f>
        <v>53694</v>
      </c>
      <c r="G19" s="1636">
        <v>54330</v>
      </c>
      <c r="H19" s="2783">
        <f t="shared" ref="H19:H21" si="83">+D19+F19</f>
        <v>104282.38008</v>
      </c>
      <c r="I19" s="1904">
        <f t="shared" si="0"/>
        <v>110049</v>
      </c>
      <c r="J19" s="4811">
        <f>+J18*0.95</f>
        <v>63020.644</v>
      </c>
      <c r="K19" s="1646">
        <v>65096</v>
      </c>
      <c r="L19" s="2950">
        <f t="shared" ref="L19:L21" si="84">+H19+J19</f>
        <v>167303.02408</v>
      </c>
      <c r="M19" s="2069">
        <f t="shared" si="65"/>
        <v>175145</v>
      </c>
      <c r="N19" s="4811">
        <f>+N18*0.95</f>
        <v>78133.989132746996</v>
      </c>
      <c r="O19" s="3918">
        <v>63617</v>
      </c>
      <c r="P19" s="2783">
        <f t="shared" ref="P19:P21" si="85">+L19+N19</f>
        <v>245437.013212747</v>
      </c>
      <c r="Q19" s="1904">
        <f t="shared" si="66"/>
        <v>238762</v>
      </c>
      <c r="R19" s="4811">
        <f>+R18*0.95</f>
        <v>77678.608698180004</v>
      </c>
      <c r="S19" s="3918">
        <v>76927</v>
      </c>
      <c r="T19" s="6407">
        <f t="shared" ref="T19:T21" si="86">+P19+R19</f>
        <v>323115.621910927</v>
      </c>
      <c r="U19" s="1904">
        <f t="shared" si="67"/>
        <v>315689</v>
      </c>
      <c r="V19" s="4811">
        <f>+V18*0.95</f>
        <v>76656.326089726339</v>
      </c>
      <c r="W19" s="3918">
        <v>41595</v>
      </c>
      <c r="X19" s="6657">
        <f t="shared" si="68"/>
        <v>232468.92392065335</v>
      </c>
      <c r="Y19" s="2011">
        <f t="shared" si="69"/>
        <v>182139</v>
      </c>
      <c r="Z19" s="6663">
        <f t="shared" ref="Z19:Z21" si="87">+T19+V19</f>
        <v>399771.94800065336</v>
      </c>
      <c r="AA19" s="6830">
        <f t="shared" si="70"/>
        <v>357284</v>
      </c>
      <c r="AB19" s="4811">
        <f>+AB18*0.95</f>
        <v>40612.5</v>
      </c>
      <c r="AC19" s="3918">
        <v>48893</v>
      </c>
      <c r="AD19" s="7346">
        <f t="shared" ref="AD19:AD21" si="88">+Z19+AB19</f>
        <v>440384.44800065336</v>
      </c>
      <c r="AE19" s="1904">
        <f t="shared" si="71"/>
        <v>406177</v>
      </c>
      <c r="AF19" s="4811">
        <f>+AF18*0.95</f>
        <v>75376.800000000003</v>
      </c>
      <c r="AG19" s="3918">
        <v>58308</v>
      </c>
      <c r="AH19" s="7584">
        <f t="shared" ref="AH19:AH21" si="89">+AD19+AF19</f>
        <v>515761.24800065334</v>
      </c>
      <c r="AI19" s="1904">
        <f t="shared" si="72"/>
        <v>464485</v>
      </c>
      <c r="AJ19" s="4811">
        <f>+AJ18*0.95</f>
        <v>79275.599999999991</v>
      </c>
      <c r="AK19" s="3918">
        <v>69462</v>
      </c>
      <c r="AL19" s="7737">
        <f t="shared" si="73"/>
        <v>195264.9</v>
      </c>
      <c r="AM19" s="2011">
        <f t="shared" si="74"/>
        <v>176663</v>
      </c>
      <c r="AN19" s="7735">
        <f t="shared" ref="AN19:AN21" si="90">+AH19+AJ19</f>
        <v>595036.84800065332</v>
      </c>
      <c r="AO19" s="1904">
        <f t="shared" si="75"/>
        <v>533947</v>
      </c>
      <c r="AP19" s="4811">
        <f>+AP18*0.95</f>
        <v>77976</v>
      </c>
      <c r="AQ19" s="3918">
        <v>82943</v>
      </c>
      <c r="AR19" s="8045">
        <f t="shared" ref="AR19:AR21" si="91">+AN19+AP19</f>
        <v>673012.84800065332</v>
      </c>
      <c r="AS19" s="1904">
        <f t="shared" si="76"/>
        <v>616890</v>
      </c>
      <c r="AT19" s="4811">
        <v>71478</v>
      </c>
      <c r="AU19" s="3918">
        <v>81605</v>
      </c>
      <c r="AV19" s="8171">
        <f t="shared" ref="AV19:AV21" si="92">+AR19+AT19</f>
        <v>744490.84800065332</v>
      </c>
      <c r="AW19" s="1904">
        <f t="shared" si="77"/>
        <v>698495</v>
      </c>
      <c r="AX19" s="4811">
        <v>79276</v>
      </c>
      <c r="AY19" s="3918">
        <v>93485</v>
      </c>
      <c r="AZ19" s="8323">
        <f t="shared" si="78"/>
        <v>228730</v>
      </c>
      <c r="BA19" s="2011">
        <f t="shared" si="79"/>
        <v>258033</v>
      </c>
      <c r="BB19" s="8323">
        <f t="shared" si="80"/>
        <v>423994.9</v>
      </c>
      <c r="BC19" s="2011">
        <f t="shared" si="81"/>
        <v>434696</v>
      </c>
      <c r="BD19" s="8324">
        <f t="shared" ref="BD19:BD21" si="93">+AV19+AX19</f>
        <v>823766.84800065332</v>
      </c>
      <c r="BE19" s="6830">
        <f t="shared" si="82"/>
        <v>791980</v>
      </c>
    </row>
    <row r="20" spans="1:169" x14ac:dyDescent="0.2">
      <c r="B20" s="1586" t="s">
        <v>1252</v>
      </c>
      <c r="C20" s="1545" t="s">
        <v>170</v>
      </c>
      <c r="D20" s="4811">
        <v>0</v>
      </c>
      <c r="E20" s="3835">
        <v>0</v>
      </c>
      <c r="F20" s="4811">
        <v>0</v>
      </c>
      <c r="G20" s="1636">
        <v>0</v>
      </c>
      <c r="H20" s="2783">
        <f t="shared" si="83"/>
        <v>0</v>
      </c>
      <c r="I20" s="1904">
        <f t="shared" si="0"/>
        <v>0</v>
      </c>
      <c r="J20" s="4811">
        <v>0</v>
      </c>
      <c r="K20" s="1636">
        <v>0</v>
      </c>
      <c r="L20" s="2950">
        <f t="shared" si="84"/>
        <v>0</v>
      </c>
      <c r="M20" s="2069">
        <f t="shared" si="65"/>
        <v>0</v>
      </c>
      <c r="N20" s="4811">
        <v>0</v>
      </c>
      <c r="O20" s="3918">
        <v>0</v>
      </c>
      <c r="P20" s="2783">
        <f t="shared" si="85"/>
        <v>0</v>
      </c>
      <c r="Q20" s="1904">
        <f t="shared" si="66"/>
        <v>0</v>
      </c>
      <c r="R20" s="4811">
        <v>0</v>
      </c>
      <c r="S20" s="3918">
        <v>0</v>
      </c>
      <c r="T20" s="6407">
        <f t="shared" si="86"/>
        <v>0</v>
      </c>
      <c r="U20" s="1904">
        <f t="shared" si="67"/>
        <v>0</v>
      </c>
      <c r="V20" s="4811">
        <v>0</v>
      </c>
      <c r="W20" s="3918">
        <v>0</v>
      </c>
      <c r="X20" s="6657">
        <f t="shared" si="68"/>
        <v>0</v>
      </c>
      <c r="Y20" s="2011">
        <f t="shared" si="69"/>
        <v>0</v>
      </c>
      <c r="Z20" s="6663">
        <f t="shared" si="87"/>
        <v>0</v>
      </c>
      <c r="AA20" s="6830">
        <f t="shared" si="70"/>
        <v>0</v>
      </c>
      <c r="AB20" s="4811">
        <v>0</v>
      </c>
      <c r="AC20" s="3918">
        <v>0</v>
      </c>
      <c r="AD20" s="7346">
        <f t="shared" si="88"/>
        <v>0</v>
      </c>
      <c r="AE20" s="1904">
        <f t="shared" si="71"/>
        <v>0</v>
      </c>
      <c r="AF20" s="4811">
        <v>0</v>
      </c>
      <c r="AG20" s="3918">
        <v>0</v>
      </c>
      <c r="AH20" s="7584">
        <f t="shared" si="89"/>
        <v>0</v>
      </c>
      <c r="AI20" s="1904">
        <f t="shared" si="72"/>
        <v>0</v>
      </c>
      <c r="AJ20" s="4811">
        <v>0</v>
      </c>
      <c r="AK20" s="3918">
        <v>0</v>
      </c>
      <c r="AL20" s="7737">
        <f t="shared" si="73"/>
        <v>0</v>
      </c>
      <c r="AM20" s="2011">
        <f t="shared" si="74"/>
        <v>0</v>
      </c>
      <c r="AN20" s="7735">
        <f t="shared" si="90"/>
        <v>0</v>
      </c>
      <c r="AO20" s="1904">
        <f t="shared" si="75"/>
        <v>0</v>
      </c>
      <c r="AP20" s="4811">
        <v>0</v>
      </c>
      <c r="AQ20" s="3918">
        <v>0</v>
      </c>
      <c r="AR20" s="8045">
        <f t="shared" si="91"/>
        <v>0</v>
      </c>
      <c r="AS20" s="1904">
        <f t="shared" si="76"/>
        <v>0</v>
      </c>
      <c r="AT20" s="4811">
        <v>0</v>
      </c>
      <c r="AU20" s="3918">
        <v>0</v>
      </c>
      <c r="AV20" s="8171">
        <f t="shared" si="92"/>
        <v>0</v>
      </c>
      <c r="AW20" s="1904">
        <f t="shared" si="77"/>
        <v>0</v>
      </c>
      <c r="AX20" s="4811">
        <v>0</v>
      </c>
      <c r="AY20" s="3918">
        <v>0</v>
      </c>
      <c r="AZ20" s="8323">
        <f t="shared" si="78"/>
        <v>0</v>
      </c>
      <c r="BA20" s="2011">
        <f t="shared" si="79"/>
        <v>0</v>
      </c>
      <c r="BB20" s="8323">
        <f t="shared" si="80"/>
        <v>0</v>
      </c>
      <c r="BC20" s="2011">
        <f t="shared" si="81"/>
        <v>0</v>
      </c>
      <c r="BD20" s="8324">
        <f t="shared" si="93"/>
        <v>0</v>
      </c>
      <c r="BE20" s="6830">
        <f t="shared" si="82"/>
        <v>0</v>
      </c>
    </row>
    <row r="21" spans="1:169" s="2269" customFormat="1" x14ac:dyDescent="0.2">
      <c r="A21" s="3378" t="s">
        <v>1024</v>
      </c>
      <c r="B21" s="1726" t="s">
        <v>390</v>
      </c>
      <c r="C21" s="1579" t="s">
        <v>170</v>
      </c>
      <c r="D21" s="5250">
        <v>55704.058964494376</v>
      </c>
      <c r="E21" s="5043">
        <f>+'Maj Prod Summ'!E26</f>
        <v>55719</v>
      </c>
      <c r="F21" s="5250">
        <v>59123.730337078654</v>
      </c>
      <c r="G21" s="5043">
        <f>+'Maj Prod Summ'!G26</f>
        <v>52052</v>
      </c>
      <c r="H21" s="3096">
        <f t="shared" si="83"/>
        <v>114827.78930157304</v>
      </c>
      <c r="I21" s="2411">
        <f t="shared" si="0"/>
        <v>107771</v>
      </c>
      <c r="J21" s="5250">
        <v>67868.385846153848</v>
      </c>
      <c r="K21" s="5043">
        <f>+'Maj Prod Summ'!K26</f>
        <v>61691</v>
      </c>
      <c r="L21" s="3051">
        <f t="shared" si="84"/>
        <v>182696.1751477269</v>
      </c>
      <c r="M21" s="2251">
        <f t="shared" si="65"/>
        <v>169462</v>
      </c>
      <c r="N21" s="5250">
        <v>84144.295989112157</v>
      </c>
      <c r="O21" s="5043">
        <f>+'Maj Prod Summ'!O26</f>
        <v>63617</v>
      </c>
      <c r="P21" s="3096">
        <f t="shared" si="85"/>
        <v>266840.47113683907</v>
      </c>
      <c r="Q21" s="2413">
        <f t="shared" si="66"/>
        <v>233079</v>
      </c>
      <c r="R21" s="5250">
        <v>83653.886290347698</v>
      </c>
      <c r="S21" s="5043">
        <f>+'Maj Prod Summ'!S26</f>
        <v>75389</v>
      </c>
      <c r="T21" s="3096">
        <f t="shared" si="86"/>
        <v>350494.3574271868</v>
      </c>
      <c r="U21" s="2413">
        <f t="shared" si="67"/>
        <v>308468</v>
      </c>
      <c r="V21" s="5250">
        <v>82552.966558166838</v>
      </c>
      <c r="W21" s="5043">
        <f>+'Maj Prod Summ'!W26</f>
        <v>40763</v>
      </c>
      <c r="X21" s="6657">
        <f t="shared" si="68"/>
        <v>250351.14883762668</v>
      </c>
      <c r="Y21" s="2011">
        <f t="shared" si="69"/>
        <v>179769</v>
      </c>
      <c r="Z21" s="6831">
        <f t="shared" si="87"/>
        <v>433047.32398535364</v>
      </c>
      <c r="AA21" s="6832">
        <f t="shared" si="70"/>
        <v>349231</v>
      </c>
      <c r="AB21" s="5250">
        <v>43736.538461538454</v>
      </c>
      <c r="AC21" s="5043">
        <f>+'Maj Prod Summ'!AC26</f>
        <v>47916</v>
      </c>
      <c r="AD21" s="3096">
        <f t="shared" si="88"/>
        <v>476783.86244689208</v>
      </c>
      <c r="AE21" s="2413">
        <f t="shared" si="71"/>
        <v>397147</v>
      </c>
      <c r="AF21" s="5250">
        <v>81175.01538461537</v>
      </c>
      <c r="AG21" s="5043">
        <f>+'Maj Prod Summ'!AG26</f>
        <v>57141</v>
      </c>
      <c r="AH21" s="3096">
        <f t="shared" si="89"/>
        <v>557958.87783150747</v>
      </c>
      <c r="AI21" s="2413">
        <f t="shared" si="72"/>
        <v>454288</v>
      </c>
      <c r="AJ21" s="5250">
        <v>85373.723076923066</v>
      </c>
      <c r="AK21" s="5043">
        <f>+'Maj Prod Summ'!AK26</f>
        <v>68072</v>
      </c>
      <c r="AL21" s="7737">
        <f t="shared" si="73"/>
        <v>210285.27692307689</v>
      </c>
      <c r="AM21" s="2011">
        <f t="shared" si="74"/>
        <v>173129</v>
      </c>
      <c r="AN21" s="3096">
        <f t="shared" si="90"/>
        <v>643332.60090843053</v>
      </c>
      <c r="AO21" s="2413">
        <f t="shared" si="75"/>
        <v>522360</v>
      </c>
      <c r="AP21" s="5250">
        <v>83974.153846153844</v>
      </c>
      <c r="AQ21" s="5043">
        <f>+'Maj Prod Summ'!AQ26</f>
        <v>81284</v>
      </c>
      <c r="AR21" s="3096">
        <f t="shared" si="91"/>
        <v>727306.7547545844</v>
      </c>
      <c r="AS21" s="2413">
        <f t="shared" si="76"/>
        <v>603644</v>
      </c>
      <c r="AT21" s="5250">
        <v>76976</v>
      </c>
      <c r="AU21" s="5043">
        <f>+'Maj Prod Summ'!AU26</f>
        <v>80505</v>
      </c>
      <c r="AV21" s="3096">
        <f t="shared" si="92"/>
        <v>804282.7547545844</v>
      </c>
      <c r="AW21" s="2413">
        <f t="shared" si="77"/>
        <v>684149</v>
      </c>
      <c r="AX21" s="5250">
        <v>85374</v>
      </c>
      <c r="AY21" s="5043">
        <v>92550</v>
      </c>
      <c r="AZ21" s="8323">
        <f t="shared" si="78"/>
        <v>246324.15384615384</v>
      </c>
      <c r="BA21" s="2011">
        <f t="shared" si="79"/>
        <v>254339</v>
      </c>
      <c r="BB21" s="8323">
        <f t="shared" si="80"/>
        <v>456609.4307692307</v>
      </c>
      <c r="BC21" s="2011">
        <f t="shared" si="81"/>
        <v>427468</v>
      </c>
      <c r="BD21" s="6831">
        <f t="shared" si="93"/>
        <v>889656.7547545844</v>
      </c>
      <c r="BE21" s="6832">
        <f t="shared" si="82"/>
        <v>776699</v>
      </c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</row>
    <row r="22" spans="1:169" s="3380" customFormat="1" ht="16" x14ac:dyDescent="0.2">
      <c r="A22" s="3379"/>
      <c r="B22" s="6881" t="s">
        <v>986</v>
      </c>
      <c r="C22" s="6882"/>
      <c r="D22" s="4922"/>
      <c r="E22" s="6883"/>
      <c r="F22" s="4922"/>
      <c r="G22" s="4920"/>
      <c r="H22" s="4922"/>
      <c r="I22" s="4920"/>
      <c r="J22" s="4922"/>
      <c r="K22" s="4920"/>
      <c r="L22" s="4922"/>
      <c r="M22" s="4920"/>
      <c r="N22" s="4922"/>
      <c r="O22" s="4920"/>
      <c r="P22" s="4922"/>
      <c r="Q22" s="4920"/>
      <c r="R22" s="4922"/>
      <c r="S22" s="4920"/>
      <c r="T22" s="4922"/>
      <c r="U22" s="4920"/>
      <c r="V22" s="4922"/>
      <c r="W22" s="4920"/>
      <c r="X22" s="4922"/>
      <c r="Y22" s="4920"/>
      <c r="Z22" s="4922"/>
      <c r="AA22" s="4920"/>
      <c r="AB22" s="4922"/>
      <c r="AC22" s="4920"/>
      <c r="AD22" s="4922"/>
      <c r="AE22" s="4920"/>
      <c r="AF22" s="4922"/>
      <c r="AG22" s="4920"/>
      <c r="AH22" s="4922"/>
      <c r="AI22" s="4920"/>
      <c r="AJ22" s="4922"/>
      <c r="AK22" s="4920"/>
      <c r="AL22" s="4922"/>
      <c r="AM22" s="4920"/>
      <c r="AN22" s="4922"/>
      <c r="AO22" s="4920"/>
      <c r="AP22" s="4922"/>
      <c r="AQ22" s="4920"/>
      <c r="AR22" s="4922"/>
      <c r="AS22" s="4920"/>
      <c r="AT22" s="4922"/>
      <c r="AU22" s="4920"/>
      <c r="AV22" s="4922"/>
      <c r="AW22" s="4920"/>
      <c r="AX22" s="4922"/>
      <c r="AY22" s="4920"/>
      <c r="AZ22" s="4922"/>
      <c r="BA22" s="4920"/>
      <c r="BB22" s="4922"/>
      <c r="BC22" s="4920"/>
      <c r="BD22" s="4922"/>
      <c r="BE22" s="4920"/>
    </row>
    <row r="23" spans="1:169" x14ac:dyDescent="0.2">
      <c r="A23" s="3378" t="s">
        <v>1024</v>
      </c>
      <c r="B23" s="1586" t="s">
        <v>730</v>
      </c>
      <c r="C23" s="1544" t="s">
        <v>170</v>
      </c>
      <c r="D23" s="5208">
        <f>+D$5*D37/1000</f>
        <v>61538</v>
      </c>
      <c r="E23" s="5245">
        <v>61538</v>
      </c>
      <c r="F23" s="5474">
        <f>+F$5*F37/1000</f>
        <v>65538</v>
      </c>
      <c r="G23" s="3183">
        <v>65538</v>
      </c>
      <c r="H23" s="4356">
        <f>+D23+F23</f>
        <v>127076</v>
      </c>
      <c r="I23" s="1904">
        <f t="shared" si="0"/>
        <v>127076</v>
      </c>
      <c r="J23" s="5773">
        <f>+J$5*J37/1000</f>
        <v>73548.12</v>
      </c>
      <c r="K23" s="3183">
        <v>70341</v>
      </c>
      <c r="L23" s="2049">
        <f>+H23+J23</f>
        <v>200624.12</v>
      </c>
      <c r="M23" s="2069">
        <f t="shared" ref="M23:M25" si="94">+I23+K23</f>
        <v>197417</v>
      </c>
      <c r="N23" s="5931">
        <f>+N$5*N37/1000</f>
        <v>86575.057210800005</v>
      </c>
      <c r="O23" s="3183">
        <v>81281</v>
      </c>
      <c r="P23" s="1853">
        <f>+L23+N23</f>
        <v>287199.1772108</v>
      </c>
      <c r="Q23" s="1904">
        <f t="shared" ref="Q23:Q25" si="95">+M23+O23</f>
        <v>278698</v>
      </c>
      <c r="R23" s="6401">
        <f>+R$5*R37/1000</f>
        <v>86070.480552000008</v>
      </c>
      <c r="S23" s="3183">
        <v>79877</v>
      </c>
      <c r="T23" s="6402">
        <f>+P23+R23</f>
        <v>373269.65776279999</v>
      </c>
      <c r="U23" s="1904">
        <f t="shared" ref="U23:U25" si="96">+Q23+S23</f>
        <v>358575</v>
      </c>
      <c r="V23" s="6650">
        <f>+V$5*V37/1000</f>
        <v>84937.757440139991</v>
      </c>
      <c r="W23" s="3183">
        <v>52904</v>
      </c>
      <c r="X23" s="6657">
        <f t="shared" ref="X23:X25" si="97">+V23+R23+N23</f>
        <v>257583.29520294</v>
      </c>
      <c r="Y23" s="2011">
        <f t="shared" ref="Y23:Y25" si="98">+W23+S23+O23</f>
        <v>214062</v>
      </c>
      <c r="Z23" s="6653">
        <f>+T23+V23</f>
        <v>458207.41520294</v>
      </c>
      <c r="AA23" s="6830">
        <f t="shared" ref="AA23:AA25" si="99">+U23+W23</f>
        <v>411479</v>
      </c>
      <c r="AB23" s="7324">
        <f>+AB$5*AB37/1000</f>
        <v>48125</v>
      </c>
      <c r="AC23" s="3183">
        <v>73244</v>
      </c>
      <c r="AD23" s="7325">
        <f>+Z23+AB23</f>
        <v>506332.41520294</v>
      </c>
      <c r="AE23" s="1904">
        <f t="shared" ref="AE23:AE25" si="100">+AA23+AC23</f>
        <v>484723</v>
      </c>
      <c r="AF23" s="7553">
        <f>+AF$5*AF37/1000</f>
        <v>85840</v>
      </c>
      <c r="AG23" s="3183">
        <v>70319</v>
      </c>
      <c r="AH23" s="7554">
        <f>+AD23+AF23</f>
        <v>592172.41520294</v>
      </c>
      <c r="AI23" s="1904">
        <f t="shared" ref="AI23:AI25" si="101">+AE23+AG23</f>
        <v>555042</v>
      </c>
      <c r="AJ23" s="7697">
        <f>+AJ$5*AJ37/1000</f>
        <v>87840</v>
      </c>
      <c r="AK23" s="3183">
        <v>79469</v>
      </c>
      <c r="AL23" s="7737">
        <f t="shared" ref="AL23:AL25" si="102">+AJ23+AF23+AB23</f>
        <v>221805</v>
      </c>
      <c r="AM23" s="2011">
        <f t="shared" ref="AM23:AM25" si="103">+AK23+AG23+AC23</f>
        <v>223032</v>
      </c>
      <c r="AN23" s="7701">
        <f>+AH23+AJ23</f>
        <v>680012.41520294</v>
      </c>
      <c r="AO23" s="1904">
        <f t="shared" ref="AO23:AO25" si="104">+AI23+AK23</f>
        <v>634511</v>
      </c>
      <c r="AP23" s="8021">
        <f>+AP$5*AP37/1000</f>
        <v>86400</v>
      </c>
      <c r="AQ23" s="3183">
        <v>84684</v>
      </c>
      <c r="AR23" s="8017">
        <f>+AN23+AP23</f>
        <v>766412.41520294</v>
      </c>
      <c r="AS23" s="1904">
        <f t="shared" ref="AS23:AS25" si="105">+AO23+AQ23</f>
        <v>719195</v>
      </c>
      <c r="AT23" s="8144">
        <f>+AT$5*AT37/1000</f>
        <v>79200</v>
      </c>
      <c r="AU23" s="3183">
        <v>76138</v>
      </c>
      <c r="AV23" s="8149">
        <f>+AR23+AT23</f>
        <v>845612.41520294</v>
      </c>
      <c r="AW23" s="1904">
        <f t="shared" ref="AW23:AW25" si="106">+AS23+AU23</f>
        <v>795333</v>
      </c>
      <c r="AX23" s="8261">
        <f>+AX$5*AX37/1000</f>
        <v>87840</v>
      </c>
      <c r="AY23" s="3183">
        <v>91304</v>
      </c>
      <c r="AZ23" s="8323">
        <f t="shared" ref="AZ23:AZ25" si="107">+AX23+AT23+AP23</f>
        <v>253440</v>
      </c>
      <c r="BA23" s="2011">
        <f t="shared" ref="BA23:BA25" si="108">+AY23+AU23+AQ23</f>
        <v>252126</v>
      </c>
      <c r="BB23" s="8323">
        <f t="shared" ref="BB23:BB25" si="109">+AZ23+AL23</f>
        <v>475245</v>
      </c>
      <c r="BC23" s="2011">
        <f t="shared" ref="BC23:BC25" si="110">+BA23+AM23</f>
        <v>475158</v>
      </c>
      <c r="BD23" s="8280">
        <f>+AV23+AX23</f>
        <v>933452.41520294</v>
      </c>
      <c r="BE23" s="6830">
        <f t="shared" ref="BE23:BE25" si="111">+AW23+AY23</f>
        <v>886637</v>
      </c>
    </row>
    <row r="24" spans="1:169" x14ac:dyDescent="0.2">
      <c r="A24" s="3378" t="s">
        <v>1024</v>
      </c>
      <c r="B24" s="1586" t="s">
        <v>13</v>
      </c>
      <c r="C24" s="1544" t="s">
        <v>170</v>
      </c>
      <c r="D24" s="5474">
        <f>+D$5*D38/1000</f>
        <v>7232.9999999999991</v>
      </c>
      <c r="E24" s="4406">
        <v>7233</v>
      </c>
      <c r="F24" s="5474">
        <f>+F$5*F38/1000</f>
        <v>8201</v>
      </c>
      <c r="G24" s="3183">
        <v>8201</v>
      </c>
      <c r="H24" s="4356">
        <f t="shared" ref="H24:H25" si="112">+D24+F24</f>
        <v>15434</v>
      </c>
      <c r="I24" s="1904">
        <f t="shared" si="0"/>
        <v>15434</v>
      </c>
      <c r="J24" s="5773">
        <f>+J$5*J38/1000</f>
        <v>9193.5149999999994</v>
      </c>
      <c r="K24" s="3183">
        <v>8275</v>
      </c>
      <c r="L24" s="2049">
        <f t="shared" ref="L24:L25" si="113">+H24+J24</f>
        <v>24627.514999999999</v>
      </c>
      <c r="M24" s="2069">
        <f t="shared" si="94"/>
        <v>23709</v>
      </c>
      <c r="N24" s="5931">
        <f>+N$5*N38/1000</f>
        <v>7214.5881008999995</v>
      </c>
      <c r="O24" s="3183">
        <v>10178</v>
      </c>
      <c r="P24" s="1853">
        <f t="shared" ref="P24:P25" si="114">+L24+N24</f>
        <v>31842.1031009</v>
      </c>
      <c r="Q24" s="1904">
        <f t="shared" si="95"/>
        <v>33887</v>
      </c>
      <c r="R24" s="6401">
        <f>+R$5*R38/1000</f>
        <v>7172.5400460000001</v>
      </c>
      <c r="S24" s="3183">
        <v>8840</v>
      </c>
      <c r="T24" s="6402">
        <f t="shared" ref="T24:T25" si="115">+P24+R24</f>
        <v>39014.643146900002</v>
      </c>
      <c r="U24" s="1904">
        <f t="shared" si="96"/>
        <v>42727</v>
      </c>
      <c r="V24" s="6650">
        <f>+V$5*V38/1000</f>
        <v>7078.1464533449998</v>
      </c>
      <c r="W24" s="3183">
        <v>3367</v>
      </c>
      <c r="X24" s="6657">
        <f t="shared" si="97"/>
        <v>21465.274600245</v>
      </c>
      <c r="Y24" s="2011">
        <f t="shared" si="98"/>
        <v>22385</v>
      </c>
      <c r="Z24" s="6653">
        <f t="shared" ref="Z24:Z25" si="116">+T24+V24</f>
        <v>46092.789600245</v>
      </c>
      <c r="AA24" s="6830">
        <f t="shared" si="99"/>
        <v>46094</v>
      </c>
      <c r="AB24" s="7324">
        <f>+AB$5*AB38/1000</f>
        <v>4375</v>
      </c>
      <c r="AC24" s="3183">
        <v>848</v>
      </c>
      <c r="AD24" s="7325">
        <f t="shared" ref="AD24:AD25" si="117">+Z24+AB24</f>
        <v>50467.789600245</v>
      </c>
      <c r="AE24" s="1904">
        <f t="shared" si="100"/>
        <v>46942</v>
      </c>
      <c r="AF24" s="7553">
        <f>+AF$5*AF38/1000</f>
        <v>8120</v>
      </c>
      <c r="AG24" s="3183">
        <v>3074</v>
      </c>
      <c r="AH24" s="7554">
        <f t="shared" ref="AH24:AH25" si="118">+AD24+AF24</f>
        <v>58587.789600245</v>
      </c>
      <c r="AI24" s="1904">
        <f t="shared" si="101"/>
        <v>50016</v>
      </c>
      <c r="AJ24" s="7697">
        <f>+AJ$5*AJ38/1000</f>
        <v>7320</v>
      </c>
      <c r="AK24" s="3183">
        <v>6742</v>
      </c>
      <c r="AL24" s="7737">
        <f t="shared" si="102"/>
        <v>19815</v>
      </c>
      <c r="AM24" s="2011">
        <f t="shared" si="103"/>
        <v>10664</v>
      </c>
      <c r="AN24" s="7701">
        <f t="shared" ref="AN24:AN25" si="119">+AH24+AJ24</f>
        <v>65907.789600245</v>
      </c>
      <c r="AO24" s="1904">
        <f t="shared" si="104"/>
        <v>56758</v>
      </c>
      <c r="AP24" s="8021">
        <f>+AP$5*AP38/1000</f>
        <v>7200</v>
      </c>
      <c r="AQ24" s="3183">
        <v>10183</v>
      </c>
      <c r="AR24" s="8017">
        <f t="shared" ref="AR24:AR25" si="120">+AN24+AP24</f>
        <v>73107.789600245</v>
      </c>
      <c r="AS24" s="1904">
        <f t="shared" si="105"/>
        <v>66941</v>
      </c>
      <c r="AT24" s="8144">
        <f>+AT$5*AT38/1000</f>
        <v>6600</v>
      </c>
      <c r="AU24" s="3183">
        <v>9033</v>
      </c>
      <c r="AV24" s="8149">
        <f t="shared" ref="AV24:AV25" si="121">+AR24+AT24</f>
        <v>79707.789600245</v>
      </c>
      <c r="AW24" s="1904">
        <f t="shared" si="106"/>
        <v>75974</v>
      </c>
      <c r="AX24" s="8261">
        <f>+AX$5*AX38/1000</f>
        <v>7320</v>
      </c>
      <c r="AY24" s="3183">
        <v>10268</v>
      </c>
      <c r="AZ24" s="8323">
        <f t="shared" si="107"/>
        <v>21120</v>
      </c>
      <c r="BA24" s="2011">
        <f t="shared" si="108"/>
        <v>29484</v>
      </c>
      <c r="BB24" s="8323">
        <f t="shared" si="109"/>
        <v>40935</v>
      </c>
      <c r="BC24" s="2011">
        <f t="shared" si="110"/>
        <v>40148</v>
      </c>
      <c r="BD24" s="8280">
        <f t="shared" ref="BD24:BD25" si="122">+AV24+AX24</f>
        <v>87027.789600245</v>
      </c>
      <c r="BE24" s="6830">
        <f t="shared" si="111"/>
        <v>86242</v>
      </c>
    </row>
    <row r="25" spans="1:169" ht="16" thickBot="1" x14ac:dyDescent="0.25">
      <c r="A25" s="3378" t="s">
        <v>1024</v>
      </c>
      <c r="B25" s="1589" t="s">
        <v>519</v>
      </c>
      <c r="C25" s="1547" t="s">
        <v>170</v>
      </c>
      <c r="D25" s="5474">
        <f>+D$5*D39/1000</f>
        <v>9632.3220000000001</v>
      </c>
      <c r="E25" s="4626">
        <v>9694</v>
      </c>
      <c r="F25" s="5474">
        <f>+F$5*F39/1000</f>
        <v>10497</v>
      </c>
      <c r="G25" s="3183">
        <v>10497</v>
      </c>
      <c r="H25" s="4356">
        <f t="shared" si="112"/>
        <v>20129.322</v>
      </c>
      <c r="I25" s="1904">
        <f t="shared" si="0"/>
        <v>20191</v>
      </c>
      <c r="J25" s="5773">
        <f>+J$5*J39/1000</f>
        <v>15142.26</v>
      </c>
      <c r="K25" s="3183">
        <v>12504</v>
      </c>
      <c r="L25" s="2049">
        <f t="shared" si="113"/>
        <v>35271.582000000002</v>
      </c>
      <c r="M25" s="2069">
        <f t="shared" si="94"/>
        <v>32695</v>
      </c>
      <c r="N25" s="5931">
        <f>+N$5*N39/1000</f>
        <v>34870.509154350002</v>
      </c>
      <c r="O25" s="3183">
        <v>17493</v>
      </c>
      <c r="P25" s="1853">
        <f t="shared" si="114"/>
        <v>70142.091154349997</v>
      </c>
      <c r="Q25" s="1904">
        <f t="shared" si="95"/>
        <v>50188</v>
      </c>
      <c r="R25" s="6401">
        <f>+R$5*R39/1000</f>
        <v>34667.276889000001</v>
      </c>
      <c r="S25" s="3183">
        <v>18449</v>
      </c>
      <c r="T25" s="6402">
        <f t="shared" si="115"/>
        <v>104809.36804335</v>
      </c>
      <c r="U25" s="1904">
        <f t="shared" si="96"/>
        <v>68637</v>
      </c>
      <c r="V25" s="6650">
        <f>+V$5*V39/1000</f>
        <v>34211.041191167504</v>
      </c>
      <c r="W25" s="3183">
        <v>8112</v>
      </c>
      <c r="X25" s="6657">
        <f t="shared" si="97"/>
        <v>103748.82723451751</v>
      </c>
      <c r="Y25" s="2011">
        <f t="shared" si="98"/>
        <v>44054</v>
      </c>
      <c r="Z25" s="6653">
        <f t="shared" si="116"/>
        <v>139020.40923451749</v>
      </c>
      <c r="AA25" s="6830">
        <f t="shared" si="99"/>
        <v>76749</v>
      </c>
      <c r="AB25" s="7324">
        <f>+AB$5*AB39/1000</f>
        <v>14375</v>
      </c>
      <c r="AC25" s="3183">
        <v>680</v>
      </c>
      <c r="AD25" s="7325">
        <f t="shared" si="117"/>
        <v>153395.40923451749</v>
      </c>
      <c r="AE25" s="1904">
        <f t="shared" si="100"/>
        <v>77429</v>
      </c>
      <c r="AF25" s="7553">
        <f>+AF$5*AF39/1000</f>
        <v>30160</v>
      </c>
      <c r="AG25" s="3183">
        <v>13341</v>
      </c>
      <c r="AH25" s="7554">
        <f t="shared" si="118"/>
        <v>183555.40923451749</v>
      </c>
      <c r="AI25" s="1904">
        <f t="shared" si="101"/>
        <v>90770</v>
      </c>
      <c r="AJ25" s="7697">
        <f>+AJ$5*AJ39/1000</f>
        <v>35380</v>
      </c>
      <c r="AK25" s="3183">
        <v>21927</v>
      </c>
      <c r="AL25" s="7737">
        <f t="shared" si="102"/>
        <v>79915</v>
      </c>
      <c r="AM25" s="2011">
        <f t="shared" si="103"/>
        <v>35948</v>
      </c>
      <c r="AN25" s="7701">
        <f t="shared" si="119"/>
        <v>218935.40923451749</v>
      </c>
      <c r="AO25" s="1904">
        <f t="shared" si="104"/>
        <v>112697</v>
      </c>
      <c r="AP25" s="8021">
        <f>+AP$5*AP39/1000</f>
        <v>34800</v>
      </c>
      <c r="AQ25" s="3183">
        <v>24065</v>
      </c>
      <c r="AR25" s="8017">
        <f t="shared" si="120"/>
        <v>253735.40923451749</v>
      </c>
      <c r="AS25" s="1904">
        <f t="shared" si="105"/>
        <v>136762</v>
      </c>
      <c r="AT25" s="8144">
        <f>+AT$5*AT39/1000</f>
        <v>31900</v>
      </c>
      <c r="AU25" s="3183">
        <v>22172</v>
      </c>
      <c r="AV25" s="8149">
        <f t="shared" si="121"/>
        <v>285635.40923451749</v>
      </c>
      <c r="AW25" s="1904">
        <f t="shared" si="106"/>
        <v>158934</v>
      </c>
      <c r="AX25" s="8261">
        <f>+AX$5*AX39/1000</f>
        <v>35380</v>
      </c>
      <c r="AY25" s="3183">
        <v>27692</v>
      </c>
      <c r="AZ25" s="8323">
        <f t="shared" si="107"/>
        <v>102080</v>
      </c>
      <c r="BA25" s="2011">
        <f t="shared" si="108"/>
        <v>73929</v>
      </c>
      <c r="BB25" s="8323">
        <f t="shared" si="109"/>
        <v>181995</v>
      </c>
      <c r="BC25" s="2011">
        <f t="shared" si="110"/>
        <v>109877</v>
      </c>
      <c r="BD25" s="8280">
        <f t="shared" si="122"/>
        <v>321015.40923451749</v>
      </c>
      <c r="BE25" s="6830">
        <f t="shared" si="111"/>
        <v>186626</v>
      </c>
    </row>
    <row r="26" spans="1:169" ht="17" thickBot="1" x14ac:dyDescent="0.25">
      <c r="A26" s="3378" t="s">
        <v>1024</v>
      </c>
      <c r="B26" s="1594" t="s">
        <v>731</v>
      </c>
      <c r="C26" s="1561" t="s">
        <v>170</v>
      </c>
      <c r="D26" s="2464">
        <f t="shared" ref="D26:I26" si="123">SUM(D23:D25)</f>
        <v>78403.322</v>
      </c>
      <c r="E26" s="2817">
        <f t="shared" si="123"/>
        <v>78465</v>
      </c>
      <c r="F26" s="2464">
        <f t="shared" ref="F26" si="124">SUM(F23:F25)</f>
        <v>84236</v>
      </c>
      <c r="G26" s="1678">
        <f t="shared" si="123"/>
        <v>84236</v>
      </c>
      <c r="H26" s="2784">
        <f t="shared" si="123"/>
        <v>162639.32199999999</v>
      </c>
      <c r="I26" s="1822">
        <f t="shared" si="123"/>
        <v>162701</v>
      </c>
      <c r="J26" s="2464">
        <f t="shared" ref="J26" si="125">SUM(J23:J25)</f>
        <v>97883.89499999999</v>
      </c>
      <c r="K26" s="1678">
        <f t="shared" ref="K26:N26" si="126">SUM(K23:K25)</f>
        <v>91120</v>
      </c>
      <c r="L26" s="2951">
        <f t="shared" si="126"/>
        <v>260523.217</v>
      </c>
      <c r="M26" s="2013">
        <f t="shared" si="126"/>
        <v>253821</v>
      </c>
      <c r="N26" s="2464">
        <f t="shared" si="126"/>
        <v>128660.15446605001</v>
      </c>
      <c r="O26" s="6093">
        <f t="shared" ref="O26" si="127">SUM(O23:O25)</f>
        <v>108952</v>
      </c>
      <c r="P26" s="2784">
        <f t="shared" ref="P26:S26" si="128">SUM(P23:P25)</f>
        <v>389183.37146605004</v>
      </c>
      <c r="Q26" s="1822">
        <f t="shared" si="128"/>
        <v>362773</v>
      </c>
      <c r="R26" s="2464">
        <f t="shared" si="128"/>
        <v>127910.297487</v>
      </c>
      <c r="S26" s="6093">
        <f t="shared" si="128"/>
        <v>107166</v>
      </c>
      <c r="T26" s="2784">
        <f t="shared" ref="T26:Y26" si="129">SUM(T23:T25)</f>
        <v>517093.66895304999</v>
      </c>
      <c r="U26" s="1822">
        <f t="shared" si="129"/>
        <v>469939</v>
      </c>
      <c r="V26" s="2464">
        <f t="shared" si="129"/>
        <v>126226.9450846525</v>
      </c>
      <c r="W26" s="6093">
        <f t="shared" si="129"/>
        <v>64383</v>
      </c>
      <c r="X26" s="2951">
        <f t="shared" si="129"/>
        <v>382797.3970377025</v>
      </c>
      <c r="Y26" s="2013">
        <f t="shared" si="129"/>
        <v>280501</v>
      </c>
      <c r="Z26" s="6511">
        <f t="shared" ref="Z26:AM26" si="130">SUM(Z23:Z25)</f>
        <v>643320.61403770256</v>
      </c>
      <c r="AA26" s="6596">
        <f t="shared" si="130"/>
        <v>534322</v>
      </c>
      <c r="AB26" s="2464">
        <f t="shared" si="130"/>
        <v>66875</v>
      </c>
      <c r="AC26" s="6093">
        <f t="shared" si="130"/>
        <v>74772</v>
      </c>
      <c r="AD26" s="2784">
        <f t="shared" si="130"/>
        <v>710195.61403770244</v>
      </c>
      <c r="AE26" s="1822">
        <f t="shared" si="130"/>
        <v>609094</v>
      </c>
      <c r="AF26" s="2464">
        <f t="shared" si="130"/>
        <v>124120</v>
      </c>
      <c r="AG26" s="6093">
        <f t="shared" si="130"/>
        <v>86734</v>
      </c>
      <c r="AH26" s="2784">
        <f t="shared" si="130"/>
        <v>834315.61403770244</v>
      </c>
      <c r="AI26" s="1822">
        <f t="shared" si="130"/>
        <v>695828</v>
      </c>
      <c r="AJ26" s="2464">
        <f t="shared" si="130"/>
        <v>130540</v>
      </c>
      <c r="AK26" s="6093">
        <f t="shared" si="130"/>
        <v>108138</v>
      </c>
      <c r="AL26" s="2951">
        <f t="shared" si="130"/>
        <v>321535</v>
      </c>
      <c r="AM26" s="2013">
        <f t="shared" si="130"/>
        <v>269644</v>
      </c>
      <c r="AN26" s="2784">
        <f t="shared" ref="AN26:AS26" si="131">SUM(AN23:AN25)</f>
        <v>964855.61403770244</v>
      </c>
      <c r="AO26" s="1822">
        <f t="shared" si="131"/>
        <v>803966</v>
      </c>
      <c r="AP26" s="2464">
        <f t="shared" si="131"/>
        <v>128400</v>
      </c>
      <c r="AQ26" s="6093">
        <f t="shared" si="131"/>
        <v>118932</v>
      </c>
      <c r="AR26" s="2784">
        <f t="shared" si="131"/>
        <v>1093255.6140377023</v>
      </c>
      <c r="AS26" s="1822">
        <f t="shared" si="131"/>
        <v>922898</v>
      </c>
      <c r="AT26" s="2464">
        <f t="shared" ref="AT26:AW26" si="132">SUM(AT23:AT25)</f>
        <v>117700</v>
      </c>
      <c r="AU26" s="6093">
        <f t="shared" si="132"/>
        <v>107343</v>
      </c>
      <c r="AV26" s="2784">
        <f t="shared" si="132"/>
        <v>1210955.6140377023</v>
      </c>
      <c r="AW26" s="1822">
        <f t="shared" si="132"/>
        <v>1030241</v>
      </c>
      <c r="AX26" s="2464">
        <f t="shared" ref="AX26:BE26" si="133">SUM(AX23:AX25)</f>
        <v>130540</v>
      </c>
      <c r="AY26" s="6093">
        <f t="shared" si="133"/>
        <v>129264</v>
      </c>
      <c r="AZ26" s="2951">
        <f t="shared" si="133"/>
        <v>376640</v>
      </c>
      <c r="BA26" s="2013">
        <f t="shared" si="133"/>
        <v>355539</v>
      </c>
      <c r="BB26" s="2951">
        <f t="shared" ref="BB26:BC26" si="134">SUM(BB23:BB25)</f>
        <v>698175</v>
      </c>
      <c r="BC26" s="2013">
        <f t="shared" si="134"/>
        <v>625183</v>
      </c>
      <c r="BD26" s="6511">
        <f t="shared" si="133"/>
        <v>1341495.6140377023</v>
      </c>
      <c r="BE26" s="6596">
        <f t="shared" si="133"/>
        <v>1159505</v>
      </c>
    </row>
    <row r="27" spans="1:169" x14ac:dyDescent="0.2">
      <c r="A27" s="3378" t="s">
        <v>1024</v>
      </c>
      <c r="B27" s="1585" t="s">
        <v>68</v>
      </c>
      <c r="C27" s="1554" t="s">
        <v>170</v>
      </c>
      <c r="D27" s="4359">
        <f>+D$5*D41/1000</f>
        <v>193365.27</v>
      </c>
      <c r="E27" s="2717">
        <v>193305</v>
      </c>
      <c r="F27" s="5482">
        <f>+F$5*F41/1000</f>
        <v>200587</v>
      </c>
      <c r="G27" s="2101">
        <v>200587</v>
      </c>
      <c r="H27" s="2785">
        <f t="shared" ref="H27:H30" si="135">+D27+F27</f>
        <v>393952.27</v>
      </c>
      <c r="I27" s="4151">
        <f t="shared" si="0"/>
        <v>393892</v>
      </c>
      <c r="J27" s="5781">
        <f>+J$5*J41/1000</f>
        <v>234344.5</v>
      </c>
      <c r="K27" s="2101">
        <v>217076</v>
      </c>
      <c r="L27" s="2875">
        <f t="shared" ref="L27:L30" si="136">+H27+J27</f>
        <v>628296.77</v>
      </c>
      <c r="M27" s="3060">
        <f t="shared" ref="M27:M30" si="137">+I27+K27</f>
        <v>610968</v>
      </c>
      <c r="N27" s="5933">
        <f>+N$5*N41/1000</f>
        <v>295667.6923027013</v>
      </c>
      <c r="O27" s="5427">
        <v>235810</v>
      </c>
      <c r="P27" s="2785">
        <f t="shared" ref="P27:P30" si="138">+L27+N27</f>
        <v>923964.46230270131</v>
      </c>
      <c r="Q27" s="4151">
        <f t="shared" ref="Q27:Q30" si="139">+M27+O27</f>
        <v>846778</v>
      </c>
      <c r="R27" s="6404">
        <f>+R$5*R41/1000</f>
        <v>293944.48216454394</v>
      </c>
      <c r="S27" s="5427">
        <v>243356</v>
      </c>
      <c r="T27" s="2785">
        <f t="shared" ref="T27:T30" si="140">+P27+R27</f>
        <v>1217908.9444672451</v>
      </c>
      <c r="U27" s="4151">
        <f t="shared" ref="U27:U30" si="141">+Q27+S27</f>
        <v>1090134</v>
      </c>
      <c r="V27" s="6655">
        <f>+V$5*V41/1000</f>
        <v>290076.05124123406</v>
      </c>
      <c r="W27" s="5427">
        <v>136558</v>
      </c>
      <c r="X27" s="6657">
        <f t="shared" ref="X27:X30" si="142">+V27+R27+N27</f>
        <v>879688.22570847929</v>
      </c>
      <c r="Y27" s="2011">
        <f t="shared" ref="Y27:Y30" si="143">+W27+S27+O27</f>
        <v>615724</v>
      </c>
      <c r="Z27" s="6518">
        <f t="shared" ref="Z27:Z30" si="144">+T27+V27</f>
        <v>1507984.9957084791</v>
      </c>
      <c r="AA27" s="6833">
        <f t="shared" ref="AA27:AA30" si="145">+U27+W27</f>
        <v>1226692</v>
      </c>
      <c r="AB27" s="7338">
        <f>+AB$5*AB41/1000</f>
        <v>153682.21035332783</v>
      </c>
      <c r="AC27" s="5427">
        <v>161033</v>
      </c>
      <c r="AD27" s="2785">
        <f t="shared" ref="AD27:AD30" si="146">+Z27+AB27</f>
        <v>1661667.206061807</v>
      </c>
      <c r="AE27" s="4151">
        <f t="shared" ref="AE27:AE30" si="147">+AA27+AC27</f>
        <v>1387725</v>
      </c>
      <c r="AF27" s="7365">
        <f>+AF$5*AF41/1000</f>
        <v>285234.18241577642</v>
      </c>
      <c r="AG27" s="5427">
        <v>188541</v>
      </c>
      <c r="AH27" s="2785">
        <f t="shared" ref="AH27:AH30" si="148">+AD27+AF27</f>
        <v>1946901.3884775834</v>
      </c>
      <c r="AI27" s="4151">
        <f t="shared" ref="AI27:AI30" si="149">+AE27+AG27</f>
        <v>1576266</v>
      </c>
      <c r="AJ27" s="7365">
        <f>+AJ$5*AJ41/1000</f>
        <v>299987.67460969591</v>
      </c>
      <c r="AK27" s="5427">
        <v>255792</v>
      </c>
      <c r="AL27" s="7737">
        <f t="shared" ref="AL27:AL30" si="150">+AJ27+AF27+AB27</f>
        <v>738904.06737880013</v>
      </c>
      <c r="AM27" s="2011">
        <f t="shared" ref="AM27:AM30" si="151">+AK27+AG27+AC27</f>
        <v>605366</v>
      </c>
      <c r="AN27" s="2785">
        <f t="shared" ref="AN27:AN30" si="152">+AH27+AJ27</f>
        <v>2246889.0630872794</v>
      </c>
      <c r="AO27" s="4151">
        <f t="shared" ref="AO27:AO30" si="153">+AI27+AK27</f>
        <v>1832058</v>
      </c>
      <c r="AP27" s="7365">
        <f>+AP$5*AP41/1000</f>
        <v>295069.84387838939</v>
      </c>
      <c r="AQ27" s="5427">
        <v>278504</v>
      </c>
      <c r="AR27" s="2785">
        <f t="shared" ref="AR27:AR30" si="154">+AN27+AP27</f>
        <v>2541958.9069656688</v>
      </c>
      <c r="AS27" s="4151">
        <f t="shared" ref="AS27:AS30" si="155">+AO27+AQ27</f>
        <v>2110562</v>
      </c>
      <c r="AT27" s="7365">
        <f>+AT$5*AT41/1000</f>
        <v>270480.69022185699</v>
      </c>
      <c r="AU27" s="5427">
        <v>255879</v>
      </c>
      <c r="AV27" s="2785">
        <f t="shared" ref="AV27:AV30" si="156">+AR27+AT27</f>
        <v>2812439.5971875256</v>
      </c>
      <c r="AW27" s="4151">
        <f t="shared" ref="AW27:AW30" si="157">+AS27+AU27</f>
        <v>2366441</v>
      </c>
      <c r="AX27" s="7365">
        <f>+AX$5*AX41/1000</f>
        <v>299987.67460969591</v>
      </c>
      <c r="AY27" s="5427">
        <v>296624</v>
      </c>
      <c r="AZ27" s="8323">
        <f t="shared" ref="AZ27:AZ30" si="158">+AX27+AT27+AP27</f>
        <v>865538.20870994218</v>
      </c>
      <c r="BA27" s="2011">
        <f t="shared" ref="BA27:BA30" si="159">+AY27+AU27+AQ27</f>
        <v>831007</v>
      </c>
      <c r="BB27" s="8323">
        <f t="shared" ref="BB27:BB30" si="160">+AZ27+AL27</f>
        <v>1604442.2760887423</v>
      </c>
      <c r="BC27" s="2011">
        <f t="shared" ref="BC27:BC30" si="161">+BA27+AM27</f>
        <v>1436373</v>
      </c>
      <c r="BD27" s="6518">
        <f t="shared" ref="BD27:BD30" si="162">+AV27+AX27</f>
        <v>3112427.2717972216</v>
      </c>
      <c r="BE27" s="6833">
        <f t="shared" ref="BE27:BE30" si="163">+AW27+AY27</f>
        <v>2663065</v>
      </c>
      <c r="BF27" s="1673">
        <f>+AY23+AY24+AY32</f>
        <v>101741</v>
      </c>
    </row>
    <row r="28" spans="1:169" x14ac:dyDescent="0.2">
      <c r="A28" s="3378" t="s">
        <v>1024</v>
      </c>
      <c r="B28" s="1586" t="s">
        <v>732</v>
      </c>
      <c r="C28" s="1545" t="s">
        <v>170</v>
      </c>
      <c r="D28" s="5482">
        <f>+D$5*D42/1000</f>
        <v>40829.544000000002</v>
      </c>
      <c r="E28" s="2750">
        <v>40770</v>
      </c>
      <c r="F28" s="5482">
        <f>+F$5*F42/1000</f>
        <v>47825</v>
      </c>
      <c r="G28" s="1646">
        <v>47825</v>
      </c>
      <c r="H28" s="4356">
        <f t="shared" si="135"/>
        <v>88654.543999999994</v>
      </c>
      <c r="I28" s="1904">
        <f t="shared" si="0"/>
        <v>88595</v>
      </c>
      <c r="J28" s="5781">
        <f>+J$5*J42/1000</f>
        <v>58405.86</v>
      </c>
      <c r="K28" s="1646">
        <v>49525</v>
      </c>
      <c r="L28" s="2049">
        <f t="shared" si="136"/>
        <v>147060.40399999998</v>
      </c>
      <c r="M28" s="2069">
        <f t="shared" si="137"/>
        <v>138120</v>
      </c>
      <c r="N28" s="5933">
        <f>+N$5*N42/1000</f>
        <v>93368.744937695199</v>
      </c>
      <c r="O28" s="3918">
        <v>72367</v>
      </c>
      <c r="P28" s="1853">
        <f t="shared" si="138"/>
        <v>240429.14893769519</v>
      </c>
      <c r="Q28" s="1904">
        <f t="shared" si="139"/>
        <v>210487</v>
      </c>
      <c r="R28" s="6404">
        <f>+R$5*R42/1000</f>
        <v>92824.573315119196</v>
      </c>
      <c r="S28" s="3918">
        <v>76244</v>
      </c>
      <c r="T28" s="6402">
        <f t="shared" si="140"/>
        <v>333253.72225281439</v>
      </c>
      <c r="U28" s="1904">
        <f t="shared" si="141"/>
        <v>286731</v>
      </c>
      <c r="V28" s="6655">
        <f>+V$5*V42/1000</f>
        <v>91602.963549863431</v>
      </c>
      <c r="W28" s="3918">
        <v>41309</v>
      </c>
      <c r="X28" s="6657">
        <f t="shared" si="142"/>
        <v>277796.28180267784</v>
      </c>
      <c r="Y28" s="2011">
        <f t="shared" si="143"/>
        <v>189920</v>
      </c>
      <c r="Z28" s="6653">
        <f t="shared" si="144"/>
        <v>424856.68580267782</v>
      </c>
      <c r="AA28" s="6830">
        <f t="shared" si="145"/>
        <v>328040</v>
      </c>
      <c r="AB28" s="7338">
        <f>+AB$5*AB42/1000</f>
        <v>48531.224322103553</v>
      </c>
      <c r="AC28" s="3918">
        <v>46045</v>
      </c>
      <c r="AD28" s="7325">
        <f t="shared" si="146"/>
        <v>473387.91012478137</v>
      </c>
      <c r="AE28" s="1904">
        <f t="shared" si="147"/>
        <v>374085</v>
      </c>
      <c r="AF28" s="7365">
        <f>+AF$5*AF42/1000</f>
        <v>90073.952341824202</v>
      </c>
      <c r="AG28" s="3918">
        <v>64682</v>
      </c>
      <c r="AH28" s="7554">
        <f t="shared" si="148"/>
        <v>563461.86246660561</v>
      </c>
      <c r="AI28" s="1904">
        <f t="shared" si="149"/>
        <v>438767</v>
      </c>
      <c r="AJ28" s="7365">
        <f>+AJ$5*AJ42/1000</f>
        <v>94732.949876746134</v>
      </c>
      <c r="AK28" s="3918">
        <v>74264</v>
      </c>
      <c r="AL28" s="7737">
        <f t="shared" si="150"/>
        <v>233338.1265406739</v>
      </c>
      <c r="AM28" s="2011">
        <f t="shared" si="151"/>
        <v>184991</v>
      </c>
      <c r="AN28" s="7701">
        <f t="shared" si="152"/>
        <v>658194.81234335178</v>
      </c>
      <c r="AO28" s="1904">
        <f t="shared" si="153"/>
        <v>513031</v>
      </c>
      <c r="AP28" s="7365">
        <f>+AP$5*AP42/1000</f>
        <v>93179.950698438828</v>
      </c>
      <c r="AQ28" s="3918">
        <v>91855</v>
      </c>
      <c r="AR28" s="8017">
        <f t="shared" si="154"/>
        <v>751374.76304179057</v>
      </c>
      <c r="AS28" s="1904">
        <f t="shared" si="155"/>
        <v>604886</v>
      </c>
      <c r="AT28" s="7365">
        <f>+AT$5*AT42/1000</f>
        <v>85414.954806902257</v>
      </c>
      <c r="AU28" s="3918">
        <v>85595</v>
      </c>
      <c r="AV28" s="8149">
        <f t="shared" si="156"/>
        <v>836789.71784869279</v>
      </c>
      <c r="AW28" s="1904">
        <f t="shared" si="157"/>
        <v>690481</v>
      </c>
      <c r="AX28" s="7365">
        <f>+AX$5*AX42/1000</f>
        <v>94732.949876746134</v>
      </c>
      <c r="AY28" s="3918">
        <v>97310</v>
      </c>
      <c r="AZ28" s="8323">
        <f t="shared" si="158"/>
        <v>273327.85538208717</v>
      </c>
      <c r="BA28" s="2011">
        <f t="shared" si="159"/>
        <v>274760</v>
      </c>
      <c r="BB28" s="8323">
        <f t="shared" si="160"/>
        <v>506665.98192276107</v>
      </c>
      <c r="BC28" s="2011">
        <f t="shared" si="161"/>
        <v>459751</v>
      </c>
      <c r="BD28" s="8280">
        <f t="shared" si="162"/>
        <v>931522.66772543895</v>
      </c>
      <c r="BE28" s="6830">
        <f t="shared" si="163"/>
        <v>787791</v>
      </c>
    </row>
    <row r="29" spans="1:169" x14ac:dyDescent="0.2">
      <c r="A29" s="3378" t="s">
        <v>1024</v>
      </c>
      <c r="B29" s="1586" t="s">
        <v>733</v>
      </c>
      <c r="C29" s="1545" t="s">
        <v>170</v>
      </c>
      <c r="D29" s="5482">
        <f>+D$5*D43/1000</f>
        <v>2310.0000000000005</v>
      </c>
      <c r="E29" s="2750">
        <v>2310</v>
      </c>
      <c r="F29" s="5482">
        <f>+F$5*F43/1000</f>
        <v>3507</v>
      </c>
      <c r="G29" s="1646">
        <v>3507</v>
      </c>
      <c r="H29" s="4356">
        <f t="shared" si="135"/>
        <v>5817</v>
      </c>
      <c r="I29" s="1904">
        <f t="shared" si="0"/>
        <v>5817</v>
      </c>
      <c r="J29" s="5781">
        <f>+J$5*J43/1000</f>
        <v>1802.65</v>
      </c>
      <c r="K29" s="1646">
        <v>2613</v>
      </c>
      <c r="L29" s="2049">
        <f t="shared" si="136"/>
        <v>7619.65</v>
      </c>
      <c r="M29" s="2069">
        <f t="shared" si="137"/>
        <v>8430</v>
      </c>
      <c r="N29" s="5933">
        <f>+N$5*N43/1000</f>
        <v>2404.8627003000001</v>
      </c>
      <c r="O29" s="3918">
        <v>3851</v>
      </c>
      <c r="P29" s="1853">
        <f t="shared" si="138"/>
        <v>10024.5127003</v>
      </c>
      <c r="Q29" s="1904">
        <f t="shared" si="139"/>
        <v>12281</v>
      </c>
      <c r="R29" s="6404">
        <f>+R$5*R43/1000</f>
        <v>2390.8466819999999</v>
      </c>
      <c r="S29" s="3918">
        <v>1363</v>
      </c>
      <c r="T29" s="6402">
        <f t="shared" si="140"/>
        <v>12415.359382299999</v>
      </c>
      <c r="U29" s="1904">
        <f t="shared" si="141"/>
        <v>13644</v>
      </c>
      <c r="V29" s="6655">
        <f>+V$5*V43/1000</f>
        <v>2359.3821511150004</v>
      </c>
      <c r="W29" s="3918">
        <v>553</v>
      </c>
      <c r="X29" s="6657">
        <f t="shared" si="142"/>
        <v>7155.0915334150004</v>
      </c>
      <c r="Y29" s="2011">
        <f t="shared" si="143"/>
        <v>5767</v>
      </c>
      <c r="Z29" s="6653">
        <f t="shared" si="144"/>
        <v>14774.741533414999</v>
      </c>
      <c r="AA29" s="6830">
        <f t="shared" si="145"/>
        <v>14197</v>
      </c>
      <c r="AB29" s="7338">
        <f>+AB$5*AB43/1000</f>
        <v>1250</v>
      </c>
      <c r="AC29" s="3918">
        <v>517</v>
      </c>
      <c r="AD29" s="7325">
        <f t="shared" si="146"/>
        <v>16024.741533414999</v>
      </c>
      <c r="AE29" s="1904">
        <f t="shared" si="147"/>
        <v>14714</v>
      </c>
      <c r="AF29" s="7365">
        <f>+AF$5*AF43/1000</f>
        <v>2320</v>
      </c>
      <c r="AG29" s="3918">
        <v>594</v>
      </c>
      <c r="AH29" s="7554">
        <f t="shared" si="148"/>
        <v>18344.741533414999</v>
      </c>
      <c r="AI29" s="1904">
        <f t="shared" si="149"/>
        <v>15308</v>
      </c>
      <c r="AJ29" s="7365">
        <f>+AJ$5*AJ43/1000</f>
        <v>2440</v>
      </c>
      <c r="AK29" s="3918">
        <v>1785</v>
      </c>
      <c r="AL29" s="7737">
        <f t="shared" si="150"/>
        <v>6010</v>
      </c>
      <c r="AM29" s="2011">
        <f t="shared" si="151"/>
        <v>2896</v>
      </c>
      <c r="AN29" s="7701">
        <f t="shared" si="152"/>
        <v>20784.741533414999</v>
      </c>
      <c r="AO29" s="1904">
        <f t="shared" si="153"/>
        <v>17093</v>
      </c>
      <c r="AP29" s="7365">
        <f>+AP$5*AP43/1000</f>
        <v>2400</v>
      </c>
      <c r="AQ29" s="3918">
        <v>0</v>
      </c>
      <c r="AR29" s="8017">
        <f t="shared" si="154"/>
        <v>23184.741533414999</v>
      </c>
      <c r="AS29" s="1904">
        <f t="shared" si="155"/>
        <v>17093</v>
      </c>
      <c r="AT29" s="7365">
        <f>+AT$5*AT43/1000</f>
        <v>2200</v>
      </c>
      <c r="AU29" s="3918">
        <v>45</v>
      </c>
      <c r="AV29" s="8149">
        <f t="shared" si="156"/>
        <v>25384.741533414999</v>
      </c>
      <c r="AW29" s="1904">
        <f t="shared" si="157"/>
        <v>17138</v>
      </c>
      <c r="AX29" s="7365">
        <f>+AX$5*AX43/1000</f>
        <v>2440</v>
      </c>
      <c r="AY29" s="3918">
        <v>0</v>
      </c>
      <c r="AZ29" s="8323">
        <f t="shared" si="158"/>
        <v>7040</v>
      </c>
      <c r="BA29" s="2011">
        <f t="shared" si="159"/>
        <v>45</v>
      </c>
      <c r="BB29" s="8323">
        <f t="shared" si="160"/>
        <v>13050</v>
      </c>
      <c r="BC29" s="2011">
        <f t="shared" si="161"/>
        <v>2941</v>
      </c>
      <c r="BD29" s="8280">
        <f t="shared" si="162"/>
        <v>27824.741533414999</v>
      </c>
      <c r="BE29" s="6830">
        <f t="shared" si="163"/>
        <v>17138</v>
      </c>
    </row>
    <row r="30" spans="1:169" x14ac:dyDescent="0.2">
      <c r="A30" s="3378" t="s">
        <v>1024</v>
      </c>
      <c r="B30" s="1725" t="s">
        <v>28</v>
      </c>
      <c r="C30" s="1545" t="s">
        <v>170</v>
      </c>
      <c r="D30" s="5482">
        <f>+D$5*D44/1000</f>
        <v>3162.8519999999999</v>
      </c>
      <c r="E30" s="2750">
        <v>3153</v>
      </c>
      <c r="F30" s="5482">
        <f>+F$5*F44/1000</f>
        <v>3752.9999999999995</v>
      </c>
      <c r="G30" s="1646">
        <v>3753</v>
      </c>
      <c r="H30" s="4356">
        <f t="shared" si="135"/>
        <v>6915.851999999999</v>
      </c>
      <c r="I30" s="1904">
        <f t="shared" si="0"/>
        <v>6906</v>
      </c>
      <c r="J30" s="5781">
        <f>+J$5*J44/1000</f>
        <v>3605.3</v>
      </c>
      <c r="K30" s="1646">
        <v>4682</v>
      </c>
      <c r="L30" s="2049">
        <f t="shared" si="136"/>
        <v>10521.151999999998</v>
      </c>
      <c r="M30" s="2069">
        <f t="shared" si="137"/>
        <v>11588</v>
      </c>
      <c r="N30" s="5933">
        <f>+N$5*N44/1000</f>
        <v>4809.7254006000003</v>
      </c>
      <c r="O30" s="3918">
        <v>4450</v>
      </c>
      <c r="P30" s="1853">
        <f t="shared" si="138"/>
        <v>15330.877400599999</v>
      </c>
      <c r="Q30" s="1904">
        <f t="shared" si="139"/>
        <v>16038</v>
      </c>
      <c r="R30" s="6404">
        <f>+R$5*R44/1000</f>
        <v>4781.6933639999997</v>
      </c>
      <c r="S30" s="3918">
        <v>3427</v>
      </c>
      <c r="T30" s="6402">
        <f t="shared" si="140"/>
        <v>20112.570764599997</v>
      </c>
      <c r="U30" s="1904">
        <f t="shared" si="141"/>
        <v>19465</v>
      </c>
      <c r="V30" s="6655">
        <f>+V$5*V44/1000</f>
        <v>4718.7643022300008</v>
      </c>
      <c r="W30" s="3918">
        <v>3052</v>
      </c>
      <c r="X30" s="6657">
        <f t="shared" si="142"/>
        <v>14310.183066830001</v>
      </c>
      <c r="Y30" s="2011">
        <f t="shared" si="143"/>
        <v>10929</v>
      </c>
      <c r="Z30" s="6653">
        <f t="shared" si="144"/>
        <v>24831.335066829997</v>
      </c>
      <c r="AA30" s="6830">
        <f t="shared" si="145"/>
        <v>22517</v>
      </c>
      <c r="AB30" s="7338">
        <f>+AB$5*AB44/1000</f>
        <v>2500</v>
      </c>
      <c r="AC30" s="3918">
        <v>4238</v>
      </c>
      <c r="AD30" s="7325">
        <f t="shared" si="146"/>
        <v>27331.335066829997</v>
      </c>
      <c r="AE30" s="1904">
        <f t="shared" si="147"/>
        <v>26755</v>
      </c>
      <c r="AF30" s="7365">
        <f>+AF$5*AF44/1000</f>
        <v>4640</v>
      </c>
      <c r="AG30" s="3918">
        <v>2216</v>
      </c>
      <c r="AH30" s="7554">
        <f t="shared" si="148"/>
        <v>31971.335066829997</v>
      </c>
      <c r="AI30" s="1904">
        <f t="shared" si="149"/>
        <v>28971</v>
      </c>
      <c r="AJ30" s="7365">
        <f>+AJ$5*AJ44/1000</f>
        <v>4880</v>
      </c>
      <c r="AK30" s="3918">
        <v>4945</v>
      </c>
      <c r="AL30" s="7737">
        <f t="shared" si="150"/>
        <v>12020</v>
      </c>
      <c r="AM30" s="2011">
        <f t="shared" si="151"/>
        <v>11399</v>
      </c>
      <c r="AN30" s="7701">
        <f t="shared" si="152"/>
        <v>36851.335066829997</v>
      </c>
      <c r="AO30" s="1904">
        <f t="shared" si="153"/>
        <v>33916</v>
      </c>
      <c r="AP30" s="7365">
        <f>+AP$5*AP44/1000</f>
        <v>4800</v>
      </c>
      <c r="AQ30" s="3918">
        <v>2790</v>
      </c>
      <c r="AR30" s="8017">
        <f t="shared" si="154"/>
        <v>41651.335066829997</v>
      </c>
      <c r="AS30" s="1904">
        <f t="shared" si="155"/>
        <v>36706</v>
      </c>
      <c r="AT30" s="7365">
        <f>+AT$5*AT44/1000</f>
        <v>4400</v>
      </c>
      <c r="AU30" s="3918">
        <v>4445</v>
      </c>
      <c r="AV30" s="8149">
        <f t="shared" si="156"/>
        <v>46051.335066829997</v>
      </c>
      <c r="AW30" s="1904">
        <f t="shared" si="157"/>
        <v>41151</v>
      </c>
      <c r="AX30" s="7365">
        <f>+AX$5*AX44/1000</f>
        <v>4880</v>
      </c>
      <c r="AY30" s="3918">
        <v>4646</v>
      </c>
      <c r="AZ30" s="8323">
        <f t="shared" si="158"/>
        <v>14080</v>
      </c>
      <c r="BA30" s="2011">
        <f t="shared" si="159"/>
        <v>11881</v>
      </c>
      <c r="BB30" s="8323">
        <f t="shared" si="160"/>
        <v>26100</v>
      </c>
      <c r="BC30" s="2011">
        <f t="shared" si="161"/>
        <v>23280</v>
      </c>
      <c r="BD30" s="8280">
        <f t="shared" si="162"/>
        <v>50931.335066829997</v>
      </c>
      <c r="BE30" s="6830">
        <f t="shared" si="163"/>
        <v>45797</v>
      </c>
    </row>
    <row r="31" spans="1:169" s="3380" customFormat="1" ht="16" x14ac:dyDescent="0.2">
      <c r="A31" s="3379" t="s">
        <v>1024</v>
      </c>
      <c r="B31" s="6881" t="s">
        <v>984</v>
      </c>
      <c r="C31" s="5268"/>
      <c r="D31" s="5268"/>
      <c r="E31" s="6674"/>
      <c r="F31" s="5268"/>
      <c r="G31" s="6094"/>
      <c r="H31" s="5268"/>
      <c r="I31" s="6094"/>
      <c r="J31" s="5268"/>
      <c r="K31" s="6094"/>
      <c r="L31" s="5268"/>
      <c r="M31" s="6094"/>
      <c r="N31" s="5268"/>
      <c r="O31" s="6094"/>
      <c r="P31" s="5268"/>
      <c r="Q31" s="6094"/>
      <c r="R31" s="5268"/>
      <c r="S31" s="6094"/>
      <c r="T31" s="5268"/>
      <c r="U31" s="6094"/>
      <c r="V31" s="5268"/>
      <c r="W31" s="6094"/>
      <c r="X31" s="5268"/>
      <c r="Y31" s="6094"/>
      <c r="Z31" s="5268"/>
      <c r="AA31" s="6094"/>
      <c r="AB31" s="5268"/>
      <c r="AC31" s="6094"/>
      <c r="AD31" s="5268"/>
      <c r="AE31" s="6094"/>
      <c r="AF31" s="5268"/>
      <c r="AG31" s="6094"/>
      <c r="AH31" s="5268"/>
      <c r="AI31" s="6094"/>
      <c r="AJ31" s="5268"/>
      <c r="AK31" s="6094"/>
      <c r="AL31" s="5268"/>
      <c r="AM31" s="6094"/>
      <c r="AN31" s="5268"/>
      <c r="AO31" s="6094"/>
      <c r="AP31" s="5268"/>
      <c r="AQ31" s="6094"/>
      <c r="AR31" s="5268"/>
      <c r="AS31" s="6094"/>
      <c r="AT31" s="5268"/>
      <c r="AU31" s="6094"/>
      <c r="AV31" s="5268"/>
      <c r="AW31" s="6094"/>
      <c r="AX31" s="5268"/>
      <c r="AY31" s="6094"/>
      <c r="AZ31" s="5268"/>
      <c r="BA31" s="6094"/>
      <c r="BB31" s="5268"/>
      <c r="BC31" s="6094"/>
      <c r="BD31" s="5268"/>
      <c r="BE31" s="6094"/>
    </row>
    <row r="32" spans="1:169" s="5718" customFormat="1" x14ac:dyDescent="0.2">
      <c r="A32" s="3378"/>
      <c r="B32" s="1725" t="s">
        <v>2079</v>
      </c>
      <c r="C32" s="1545" t="s">
        <v>170</v>
      </c>
      <c r="D32" s="5721">
        <v>0</v>
      </c>
      <c r="E32" s="2750">
        <v>0</v>
      </c>
      <c r="F32" s="5721">
        <v>0</v>
      </c>
      <c r="G32" s="1680">
        <v>0</v>
      </c>
      <c r="H32" s="4809">
        <f>+D32+F32</f>
        <v>0</v>
      </c>
      <c r="I32" s="1823">
        <f>+E32+G32</f>
        <v>0</v>
      </c>
      <c r="J32" s="5787">
        <v>0</v>
      </c>
      <c r="K32" s="1680">
        <v>840</v>
      </c>
      <c r="L32" s="4792">
        <f>+H32+J32</f>
        <v>0</v>
      </c>
      <c r="M32" s="2011">
        <f>+I32+K32</f>
        <v>840</v>
      </c>
      <c r="N32" s="5935">
        <v>0</v>
      </c>
      <c r="O32" s="4957">
        <v>0</v>
      </c>
      <c r="P32" s="4809">
        <f>+L32+N32</f>
        <v>0</v>
      </c>
      <c r="Q32" s="1823">
        <f>+M32+O32</f>
        <v>840</v>
      </c>
      <c r="R32" s="6406">
        <v>0</v>
      </c>
      <c r="S32" s="4957">
        <v>1178</v>
      </c>
      <c r="T32" s="4809">
        <f>+P32+R32</f>
        <v>0</v>
      </c>
      <c r="U32" s="1823">
        <f>+Q32+S32</f>
        <v>2018</v>
      </c>
      <c r="V32" s="6656">
        <v>0</v>
      </c>
      <c r="W32" s="4957">
        <v>1846</v>
      </c>
      <c r="X32" s="6657">
        <f t="shared" ref="X32:X35" si="164">+V32+R32+N32</f>
        <v>0</v>
      </c>
      <c r="Y32" s="2011">
        <f t="shared" ref="Y32:Y35" si="165">+W32+S32+O32</f>
        <v>3024</v>
      </c>
      <c r="Z32" s="6519">
        <f>+T32+V32</f>
        <v>0</v>
      </c>
      <c r="AA32" s="6531">
        <f>+U32+W32</f>
        <v>3864</v>
      </c>
      <c r="AB32" s="7345">
        <v>0</v>
      </c>
      <c r="AC32" s="4957">
        <v>2031</v>
      </c>
      <c r="AD32" s="4809">
        <f>+Z32+AB32</f>
        <v>0</v>
      </c>
      <c r="AE32" s="1823">
        <f>+AA32+AC32</f>
        <v>5895</v>
      </c>
      <c r="AF32" s="7583">
        <v>0</v>
      </c>
      <c r="AG32" s="4957">
        <v>1952</v>
      </c>
      <c r="AH32" s="4809">
        <f>+AD32+AF32</f>
        <v>0</v>
      </c>
      <c r="AI32" s="1823">
        <f>+AE32+AG32</f>
        <v>7847</v>
      </c>
      <c r="AJ32" s="7734">
        <v>0</v>
      </c>
      <c r="AK32" s="4957">
        <v>2308</v>
      </c>
      <c r="AL32" s="7737">
        <f t="shared" ref="AL32:AL35" si="166">+AJ32+AF32+AB32</f>
        <v>0</v>
      </c>
      <c r="AM32" s="2011">
        <f t="shared" ref="AM32:AM35" si="167">+AK32+AG32+AC32</f>
        <v>6291</v>
      </c>
      <c r="AN32" s="4809">
        <f>+AH32+AJ32</f>
        <v>0</v>
      </c>
      <c r="AO32" s="1823">
        <f>+AI32+AK32</f>
        <v>10155</v>
      </c>
      <c r="AP32" s="8049">
        <v>0</v>
      </c>
      <c r="AQ32" s="4957">
        <v>168</v>
      </c>
      <c r="AR32" s="4809">
        <f>+AN32+AP32</f>
        <v>0</v>
      </c>
      <c r="AS32" s="1823">
        <f>+AO32+AQ32</f>
        <v>10323</v>
      </c>
      <c r="AT32" s="8170">
        <v>0</v>
      </c>
      <c r="AU32" s="4957">
        <v>795</v>
      </c>
      <c r="AV32" s="4809">
        <f>+AR32+AT32</f>
        <v>0</v>
      </c>
      <c r="AW32" s="1823">
        <f>+AS32+AU32</f>
        <v>11118</v>
      </c>
      <c r="AX32" s="8321">
        <v>0</v>
      </c>
      <c r="AY32" s="4957">
        <v>169</v>
      </c>
      <c r="AZ32" s="8323">
        <f t="shared" ref="AZ32:AZ35" si="168">+AX32+AT32+AP32</f>
        <v>0</v>
      </c>
      <c r="BA32" s="2011">
        <f t="shared" ref="BA32:BA35" si="169">+AY32+AU32+AQ32</f>
        <v>1132</v>
      </c>
      <c r="BB32" s="8323">
        <f t="shared" ref="BB32:BB35" si="170">+AZ32+AL32</f>
        <v>0</v>
      </c>
      <c r="BC32" s="2011">
        <f t="shared" ref="BC32:BC35" si="171">+BA32+AM32</f>
        <v>7423</v>
      </c>
      <c r="BD32" s="6519">
        <f>+AV32+AX32</f>
        <v>0</v>
      </c>
      <c r="BE32" s="6531">
        <f>+AW32+AY32</f>
        <v>11287</v>
      </c>
    </row>
    <row r="33" spans="1:57" x14ac:dyDescent="0.2">
      <c r="A33" s="3378" t="s">
        <v>1024</v>
      </c>
      <c r="B33" s="1725" t="s">
        <v>987</v>
      </c>
      <c r="C33" s="1545" t="s">
        <v>170</v>
      </c>
      <c r="D33" s="4357">
        <f>+D23+D24+D66+D32</f>
        <v>80947.901600838057</v>
      </c>
      <c r="E33" s="6020">
        <f t="shared" ref="E33:G33" si="172">+E23+E24+E66+E32</f>
        <v>80964.007799999992</v>
      </c>
      <c r="F33" s="6826">
        <f>+F23+F24+F66+F32</f>
        <v>87315.476091759687</v>
      </c>
      <c r="G33" s="6020">
        <f t="shared" si="172"/>
        <v>86954.776500000007</v>
      </c>
      <c r="H33" s="4358">
        <f>+D33+F33</f>
        <v>168263.37769259774</v>
      </c>
      <c r="I33" s="1823">
        <f>+E33+G33</f>
        <v>167918.7843</v>
      </c>
      <c r="J33" s="6826">
        <f>+J23+J24+J66+J32</f>
        <v>96807.809757809751</v>
      </c>
      <c r="K33" s="6020">
        <f>+K23+K24+K66+K32</f>
        <v>94485.096999999994</v>
      </c>
      <c r="L33" s="2876">
        <f>+H33+J33</f>
        <v>265071.18745040748</v>
      </c>
      <c r="M33" s="2011">
        <f>+I33+K33</f>
        <v>262403.88130000001</v>
      </c>
      <c r="N33" s="6020">
        <f t="shared" ref="N33:O33" si="173">+N23+N24+N66+N32</f>
        <v>107188.16607051429</v>
      </c>
      <c r="O33" s="5600">
        <f t="shared" si="173"/>
        <v>109844.81359999999</v>
      </c>
      <c r="P33" s="2786">
        <f>+L33+N33</f>
        <v>372259.35352092178</v>
      </c>
      <c r="Q33" s="1823">
        <f>+M33+O33</f>
        <v>372248.6949</v>
      </c>
      <c r="R33" s="6406">
        <f t="shared" ref="R33:S33" si="174">+R23+R24+R66+R32</f>
        <v>106563.452112</v>
      </c>
      <c r="S33" s="5600">
        <f t="shared" si="174"/>
        <v>108105.622</v>
      </c>
      <c r="T33" s="4809">
        <f>+P33+R33</f>
        <v>478822.80563292175</v>
      </c>
      <c r="U33" s="1823">
        <f>+Q33+S33</f>
        <v>480354.31689999998</v>
      </c>
      <c r="V33" s="6826">
        <f>+V23+V24+V66+V32</f>
        <v>105161.03302112571</v>
      </c>
      <c r="W33" s="5600">
        <f>+W23+W24+W66+W32</f>
        <v>75839.732799999998</v>
      </c>
      <c r="X33" s="6657">
        <f t="shared" si="164"/>
        <v>318912.65120363998</v>
      </c>
      <c r="Y33" s="2011">
        <f t="shared" si="165"/>
        <v>293790.16839999997</v>
      </c>
      <c r="Z33" s="6519">
        <f>+T33+V33</f>
        <v>583983.83865404746</v>
      </c>
      <c r="AA33" s="6531">
        <f>+U33+W33</f>
        <v>556194.04969999997</v>
      </c>
      <c r="AB33" s="7345">
        <f t="shared" ref="AB33:AC33" si="175">+AB23+AB24+AB66+AB32</f>
        <v>59659.090909090912</v>
      </c>
      <c r="AC33" s="5600">
        <f t="shared" si="175"/>
        <v>101885.431</v>
      </c>
      <c r="AD33" s="4809">
        <f>+Z33+AB33</f>
        <v>643642.9295631384</v>
      </c>
      <c r="AE33" s="1823">
        <f>+AA33+AC33</f>
        <v>658079.48069999996</v>
      </c>
      <c r="AF33" s="7583">
        <f t="shared" ref="AF33:AG33" si="176">+AF23+AF24+AF66+AF32</f>
        <v>106409.96602491506</v>
      </c>
      <c r="AG33" s="5600">
        <f t="shared" si="176"/>
        <v>94615.915200000003</v>
      </c>
      <c r="AH33" s="4809">
        <f>+AD33+AF33</f>
        <v>750052.89558805351</v>
      </c>
      <c r="AI33" s="1823">
        <f>+AE33+AG33</f>
        <v>752695.3959</v>
      </c>
      <c r="AJ33" s="7734">
        <f>+AJ23+AJ24+AJ66+AJ32</f>
        <v>108136.36363636363</v>
      </c>
      <c r="AK33" s="5600">
        <f>+AK23+AK24+AK66+AK32</f>
        <v>107579.9947</v>
      </c>
      <c r="AL33" s="7737">
        <f t="shared" si="166"/>
        <v>274205.42057036958</v>
      </c>
      <c r="AM33" s="2011">
        <f t="shared" si="167"/>
        <v>304081.34090000001</v>
      </c>
      <c r="AN33" s="4809">
        <f>+AH33+AJ33</f>
        <v>858189.25922441715</v>
      </c>
      <c r="AO33" s="1823">
        <f>+AI33+AK33</f>
        <v>860275.39060000004</v>
      </c>
      <c r="AP33" s="8049">
        <f>+AP23+AP24+AP66+AP32</f>
        <v>106363.63636363637</v>
      </c>
      <c r="AQ33" s="5600">
        <f>+AQ23+AQ24+AQ66+AQ32</f>
        <v>109365.82</v>
      </c>
      <c r="AR33" s="4809">
        <f>+AN33+AP33</f>
        <v>964552.89558805351</v>
      </c>
      <c r="AS33" s="1823">
        <f>+AO33+AQ33</f>
        <v>969641.21060000011</v>
      </c>
      <c r="AT33" s="8170">
        <f>+AT23+AT24+AT66+AT32</f>
        <v>97500</v>
      </c>
      <c r="AU33" s="5600">
        <f>+AU23+AU24+AU66+AU32</f>
        <v>99833.371299999999</v>
      </c>
      <c r="AV33" s="4809">
        <f>+AR33+AT33</f>
        <v>1062052.8955880534</v>
      </c>
      <c r="AW33" s="1823">
        <f>+AS33+AU33</f>
        <v>1069474.5819000001</v>
      </c>
      <c r="AX33" s="8321">
        <f>+AX23+AX24+AX66+AX32</f>
        <v>108136.36363636363</v>
      </c>
      <c r="AY33" s="5600">
        <f>+AY23+AY24+AY66+AY32</f>
        <v>118935.8</v>
      </c>
      <c r="AZ33" s="8323">
        <f t="shared" si="168"/>
        <v>312000</v>
      </c>
      <c r="BA33" s="2011">
        <f t="shared" si="169"/>
        <v>328134.99129999999</v>
      </c>
      <c r="BB33" s="8323">
        <f t="shared" si="170"/>
        <v>586205.42057036958</v>
      </c>
      <c r="BC33" s="2011">
        <f t="shared" si="171"/>
        <v>632216.33220000006</v>
      </c>
      <c r="BD33" s="6519">
        <f>+AV33+AX33</f>
        <v>1170189.2592244169</v>
      </c>
      <c r="BE33" s="6531">
        <f>+AW33+AY33</f>
        <v>1188410.3819000002</v>
      </c>
    </row>
    <row r="34" spans="1:57" x14ac:dyDescent="0.2">
      <c r="A34" s="3378" t="s">
        <v>1024</v>
      </c>
      <c r="B34" s="1725" t="s">
        <v>1289</v>
      </c>
      <c r="C34" s="1545" t="s">
        <v>170</v>
      </c>
      <c r="D34" s="4357">
        <f>+D27+D64</f>
        <v>227603.39167642585</v>
      </c>
      <c r="E34" s="2750">
        <f>+E27+E64</f>
        <v>227532.45</v>
      </c>
      <c r="F34" s="5483">
        <f>+F27+F64</f>
        <v>237518.13019999999</v>
      </c>
      <c r="G34" s="2750">
        <f>+G27+G64</f>
        <v>237518.13020000001</v>
      </c>
      <c r="H34" s="4358">
        <f t="shared" ref="H34:H35" si="177">+D34+F34</f>
        <v>465121.52187642583</v>
      </c>
      <c r="I34" s="1823">
        <f t="shared" ref="I34:I35" si="178">+E34+G34</f>
        <v>465050.58020000003</v>
      </c>
      <c r="J34" s="5787">
        <f>+J27+J64</f>
        <v>275699.4117647059</v>
      </c>
      <c r="K34" s="2750">
        <f>+K27+K64</f>
        <v>257069.69440000001</v>
      </c>
      <c r="L34" s="2876">
        <f t="shared" ref="L34:L35" si="179">+H34+J34</f>
        <v>740820.93364113173</v>
      </c>
      <c r="M34" s="2011">
        <f t="shared" ref="M34:M35" si="180">+I34+K34</f>
        <v>722120.2746</v>
      </c>
      <c r="N34" s="5935">
        <f>+N27+N64</f>
        <v>348705.85246220231</v>
      </c>
      <c r="O34" s="4406">
        <f>+O27+O64</f>
        <v>282998.19280000002</v>
      </c>
      <c r="P34" s="2786">
        <f t="shared" ref="P34:P35" si="181">+L34+N34</f>
        <v>1089526.786103334</v>
      </c>
      <c r="Q34" s="1823">
        <f t="shared" ref="Q34:Q35" si="182">+M34+O34</f>
        <v>1005118.4674</v>
      </c>
      <c r="R34" s="6406">
        <f>+R27+R64</f>
        <v>346673.52537391672</v>
      </c>
      <c r="S34" s="4406">
        <f>+S27+S64</f>
        <v>282692.61619999999</v>
      </c>
      <c r="T34" s="4809">
        <f t="shared" ref="T34:T35" si="183">+P34+R34</f>
        <v>1436200.3114772509</v>
      </c>
      <c r="U34" s="1823">
        <f t="shared" ref="U34:U35" si="184">+Q34+S34</f>
        <v>1287811.0836</v>
      </c>
      <c r="V34" s="6656">
        <f>+V27+V64</f>
        <v>342111.15843995061</v>
      </c>
      <c r="W34" s="4406">
        <f>+W27+W64</f>
        <v>161503.74220000001</v>
      </c>
      <c r="X34" s="6657">
        <f t="shared" si="164"/>
        <v>1037490.5362760697</v>
      </c>
      <c r="Y34" s="2011">
        <f t="shared" si="165"/>
        <v>727194.5512000001</v>
      </c>
      <c r="Z34" s="6519">
        <f t="shared" ref="Z34:Z35" si="185">+T34+V34</f>
        <v>1778311.4699172014</v>
      </c>
      <c r="AA34" s="6531">
        <f t="shared" ref="AA34:AA35" si="186">+U34+W34</f>
        <v>1449314.8258</v>
      </c>
      <c r="AB34" s="7345">
        <f>+AB27+AB64</f>
        <v>180802.6004156798</v>
      </c>
      <c r="AC34" s="4406">
        <f>+AC27+AC64</f>
        <v>192307.8512</v>
      </c>
      <c r="AD34" s="4809">
        <f t="shared" ref="AD34:AD35" si="187">+Z34+AB34</f>
        <v>1959114.0703328813</v>
      </c>
      <c r="AE34" s="1823">
        <f t="shared" ref="AE34:AE35" si="188">+AA34+AC34</f>
        <v>1641622.6769999999</v>
      </c>
      <c r="AF34" s="7583">
        <f>+AF27+AF64</f>
        <v>335569.62637150165</v>
      </c>
      <c r="AG34" s="4406">
        <f>+AG27+AG64</f>
        <v>235553.7476</v>
      </c>
      <c r="AH34" s="4809">
        <f t="shared" ref="AH34:AH35" si="189">+AD34+AF34</f>
        <v>2294683.696704383</v>
      </c>
      <c r="AI34" s="1823">
        <f t="shared" ref="AI34:AI35" si="190">+AE34+AG34</f>
        <v>1877176.4246</v>
      </c>
      <c r="AJ34" s="7734">
        <f>+AJ27+AJ64</f>
        <v>352926.67601140699</v>
      </c>
      <c r="AK34" s="4406">
        <f>+AK27+AK64</f>
        <v>313212</v>
      </c>
      <c r="AL34" s="7737">
        <f t="shared" si="166"/>
        <v>869298.90279858839</v>
      </c>
      <c r="AM34" s="2011">
        <f t="shared" si="167"/>
        <v>741073.59880000004</v>
      </c>
      <c r="AN34" s="4809">
        <f t="shared" ref="AN34:AN35" si="191">+AH34+AJ34</f>
        <v>2647610.3727157898</v>
      </c>
      <c r="AO34" s="1823">
        <f t="shared" ref="AO34:AO35" si="192">+AI34+AK34</f>
        <v>2190388.4246</v>
      </c>
      <c r="AP34" s="8049">
        <f>+AP27+AP64</f>
        <v>347140.99279810517</v>
      </c>
      <c r="AQ34" s="4406">
        <f>+AQ27+AQ64</f>
        <v>343611.17180000001</v>
      </c>
      <c r="AR34" s="4809">
        <f t="shared" ref="AR34:AR35" si="193">+AN34+AP34</f>
        <v>2994751.3655138952</v>
      </c>
      <c r="AS34" s="1823">
        <f t="shared" ref="AS34:AS35" si="194">+AO34+AQ34</f>
        <v>2533999.5964000002</v>
      </c>
      <c r="AT34" s="8170">
        <f>+AT27+AT64</f>
        <v>318212.57673159649</v>
      </c>
      <c r="AU34" s="4406">
        <f>+AU27+AU64</f>
        <v>305717.26750000002</v>
      </c>
      <c r="AV34" s="4809">
        <f t="shared" ref="AV34:AV35" si="195">+AR34+AT34</f>
        <v>3312963.9422454918</v>
      </c>
      <c r="AW34" s="1823">
        <f t="shared" ref="AW34:AW35" si="196">+AS34+AU34</f>
        <v>2839716.8639000002</v>
      </c>
      <c r="AX34" s="8321">
        <f>+AX27+AX64</f>
        <v>352926.67601140699</v>
      </c>
      <c r="AY34" s="4406">
        <f>+AY27+AY64</f>
        <v>374981.22360000003</v>
      </c>
      <c r="AZ34" s="8323">
        <f t="shared" si="168"/>
        <v>1018280.2455411085</v>
      </c>
      <c r="BA34" s="2011">
        <f t="shared" si="169"/>
        <v>1024309.6629</v>
      </c>
      <c r="BB34" s="8323">
        <f t="shared" si="170"/>
        <v>1887579.1483396969</v>
      </c>
      <c r="BC34" s="2011">
        <f t="shared" si="171"/>
        <v>1765383.2617000001</v>
      </c>
      <c r="BD34" s="6519">
        <f t="shared" ref="BD34:BD35" si="197">+AV34+AX34</f>
        <v>3665890.6182568986</v>
      </c>
      <c r="BE34" s="6531">
        <f t="shared" ref="BE34:BE35" si="198">+AW34+AY34</f>
        <v>3214698.0875000004</v>
      </c>
    </row>
    <row r="35" spans="1:57" ht="16" thickBot="1" x14ac:dyDescent="0.25">
      <c r="A35" s="3378" t="s">
        <v>1024</v>
      </c>
      <c r="B35" s="1728" t="s">
        <v>1366</v>
      </c>
      <c r="C35" s="1577" t="s">
        <v>170</v>
      </c>
      <c r="D35" s="2681">
        <f>+D28+D68</f>
        <v>49490.356363636369</v>
      </c>
      <c r="E35" s="2818">
        <f>+E28+E68</f>
        <v>49418.601600000002</v>
      </c>
      <c r="F35" s="2681">
        <f>+F28+F68</f>
        <v>58584.559199999996</v>
      </c>
      <c r="G35" s="2818">
        <f>+G28+G68</f>
        <v>58584.559200000003</v>
      </c>
      <c r="H35" s="2789">
        <f t="shared" si="177"/>
        <v>108074.91556363637</v>
      </c>
      <c r="I35" s="1828">
        <f t="shared" si="178"/>
        <v>108003.16080000001</v>
      </c>
      <c r="J35" s="2681">
        <f>+J28+J68</f>
        <v>64895.4</v>
      </c>
      <c r="K35" s="2818">
        <f>+K28+K68</f>
        <v>58597.562400000003</v>
      </c>
      <c r="L35" s="2952">
        <f t="shared" si="179"/>
        <v>172970.31556363637</v>
      </c>
      <c r="M35" s="2017">
        <f t="shared" si="180"/>
        <v>166600.72320000001</v>
      </c>
      <c r="N35" s="2681">
        <f>+N28+N68</f>
        <v>103743.04993077244</v>
      </c>
      <c r="O35" s="4698">
        <f>+O28+O68</f>
        <v>80793.133000000002</v>
      </c>
      <c r="P35" s="2789">
        <f t="shared" si="181"/>
        <v>276713.36549440882</v>
      </c>
      <c r="Q35" s="1828">
        <f t="shared" si="182"/>
        <v>247393.85620000001</v>
      </c>
      <c r="R35" s="2681">
        <f>+R28+R68</f>
        <v>103138.41479457688</v>
      </c>
      <c r="S35" s="4698">
        <f>+S28+S68</f>
        <v>84619.712799999994</v>
      </c>
      <c r="T35" s="2789">
        <f t="shared" si="183"/>
        <v>379851.7802889857</v>
      </c>
      <c r="U35" s="1828">
        <f t="shared" si="184"/>
        <v>332013.56900000002</v>
      </c>
      <c r="V35" s="2681">
        <f>+V28+V68</f>
        <v>101781.07061095936</v>
      </c>
      <c r="W35" s="4698">
        <f>+W28+W68</f>
        <v>46884.800000000003</v>
      </c>
      <c r="X35" s="6657">
        <f t="shared" si="164"/>
        <v>308662.53533630871</v>
      </c>
      <c r="Y35" s="2011">
        <f t="shared" si="165"/>
        <v>212297.6458</v>
      </c>
      <c r="Z35" s="6527">
        <f t="shared" si="185"/>
        <v>481632.85089994507</v>
      </c>
      <c r="AA35" s="6593">
        <f t="shared" si="186"/>
        <v>378898.36900000001</v>
      </c>
      <c r="AB35" s="2681">
        <f>+AB28+AB68</f>
        <v>53923.582580115057</v>
      </c>
      <c r="AC35" s="4698">
        <f>+AC28+AC68</f>
        <v>55377.720999999998</v>
      </c>
      <c r="AD35" s="2789">
        <f t="shared" si="187"/>
        <v>535556.43348006008</v>
      </c>
      <c r="AE35" s="1828">
        <f t="shared" si="188"/>
        <v>434276.09</v>
      </c>
      <c r="AF35" s="2681">
        <f>+AF28+AF68</f>
        <v>100082.16926869356</v>
      </c>
      <c r="AG35" s="4698">
        <f>+AG28+AG68</f>
        <v>74263.439700000003</v>
      </c>
      <c r="AH35" s="2789">
        <f t="shared" si="189"/>
        <v>635638.60274875362</v>
      </c>
      <c r="AI35" s="1828">
        <f t="shared" si="190"/>
        <v>508539.52970000001</v>
      </c>
      <c r="AJ35" s="2681">
        <f>+AJ28+AJ68</f>
        <v>105258.83319638458</v>
      </c>
      <c r="AK35" s="4698">
        <f>+AK28+AK68</f>
        <v>80743.803100000005</v>
      </c>
      <c r="AL35" s="7737">
        <f t="shared" si="166"/>
        <v>259264.58504519321</v>
      </c>
      <c r="AM35" s="2011">
        <f t="shared" si="167"/>
        <v>210384.9638</v>
      </c>
      <c r="AN35" s="2789">
        <f t="shared" si="191"/>
        <v>740897.43594513822</v>
      </c>
      <c r="AO35" s="1828">
        <f t="shared" si="192"/>
        <v>589283.33279999997</v>
      </c>
      <c r="AP35" s="2681">
        <f>+AP28+AP68</f>
        <v>103533.27855382091</v>
      </c>
      <c r="AQ35" s="4698">
        <f>+AQ28+AQ68</f>
        <v>96043.547999999995</v>
      </c>
      <c r="AR35" s="2789">
        <f t="shared" si="193"/>
        <v>844430.71449895913</v>
      </c>
      <c r="AS35" s="1828">
        <f t="shared" si="194"/>
        <v>685326.88079999993</v>
      </c>
      <c r="AT35" s="2681">
        <f>+AT28+AT68</f>
        <v>94905.505341002499</v>
      </c>
      <c r="AU35" s="4698">
        <f>+AU28+AU68</f>
        <v>95377.4</v>
      </c>
      <c r="AV35" s="2789">
        <f t="shared" si="195"/>
        <v>939336.21983996162</v>
      </c>
      <c r="AW35" s="1828">
        <f t="shared" si="196"/>
        <v>780704.28079999995</v>
      </c>
      <c r="AX35" s="2681">
        <f>+AX28+AX68</f>
        <v>105258.83319638458</v>
      </c>
      <c r="AY35" s="4698">
        <f>+AY28+AY68</f>
        <v>103284.29</v>
      </c>
      <c r="AZ35" s="8323">
        <f t="shared" si="168"/>
        <v>303697.617091208</v>
      </c>
      <c r="BA35" s="2011">
        <f t="shared" si="169"/>
        <v>294705.23800000001</v>
      </c>
      <c r="BB35" s="8323">
        <f t="shared" si="170"/>
        <v>562962.2021364012</v>
      </c>
      <c r="BC35" s="2011">
        <f t="shared" si="171"/>
        <v>505090.20180000004</v>
      </c>
      <c r="BD35" s="6527">
        <f t="shared" si="197"/>
        <v>1044595.0530363462</v>
      </c>
      <c r="BE35" s="6593">
        <f t="shared" si="198"/>
        <v>883988.57079999999</v>
      </c>
    </row>
    <row r="36" spans="1:57" s="3380" customFormat="1" ht="16" x14ac:dyDescent="0.2">
      <c r="A36" s="3379"/>
      <c r="B36" s="6878" t="s">
        <v>985</v>
      </c>
      <c r="C36" s="6879"/>
      <c r="D36" s="5326"/>
      <c r="E36" s="6880"/>
      <c r="F36" s="5326"/>
      <c r="G36" s="5306"/>
      <c r="H36" s="4751"/>
      <c r="I36" s="4752"/>
      <c r="J36" s="5326"/>
      <c r="K36" s="4752"/>
      <c r="L36" s="4751"/>
      <c r="M36" s="4752"/>
      <c r="N36" s="5326"/>
      <c r="O36" s="4752"/>
      <c r="P36" s="4751"/>
      <c r="Q36" s="4752"/>
      <c r="R36" s="5326"/>
      <c r="S36" s="4752"/>
      <c r="T36" s="4751"/>
      <c r="U36" s="4752"/>
      <c r="V36" s="5326"/>
      <c r="W36" s="4752"/>
      <c r="X36" s="4751"/>
      <c r="Y36" s="4752"/>
      <c r="Z36" s="4751"/>
      <c r="AA36" s="4752"/>
      <c r="AB36" s="5326"/>
      <c r="AC36" s="4752"/>
      <c r="AD36" s="4751"/>
      <c r="AE36" s="4752"/>
      <c r="AF36" s="5326"/>
      <c r="AG36" s="4752"/>
      <c r="AH36" s="4751"/>
      <c r="AI36" s="4752"/>
      <c r="AJ36" s="5326"/>
      <c r="AK36" s="4752"/>
      <c r="AL36" s="4751"/>
      <c r="AM36" s="4752"/>
      <c r="AN36" s="4751"/>
      <c r="AO36" s="4752"/>
      <c r="AP36" s="5326"/>
      <c r="AQ36" s="4752"/>
      <c r="AR36" s="4751"/>
      <c r="AS36" s="4752"/>
      <c r="AT36" s="5326"/>
      <c r="AU36" s="4752"/>
      <c r="AV36" s="4751"/>
      <c r="AW36" s="4752"/>
      <c r="AX36" s="5326"/>
      <c r="AY36" s="4752"/>
      <c r="AZ36" s="4751"/>
      <c r="BA36" s="4752"/>
      <c r="BB36" s="4751"/>
      <c r="BC36" s="4752"/>
      <c r="BD36" s="4751"/>
      <c r="BE36" s="4752"/>
    </row>
    <row r="37" spans="1:57" x14ac:dyDescent="0.2">
      <c r="B37" s="1586" t="s">
        <v>730</v>
      </c>
      <c r="C37" s="1545" t="s">
        <v>734</v>
      </c>
      <c r="D37" s="6401">
        <f>+'Maj Techno Summ'!D10</f>
        <v>428.04279175883033</v>
      </c>
      <c r="E37" s="2717">
        <f>+E23/E$5*1000</f>
        <v>428.04279175883033</v>
      </c>
      <c r="F37" s="6823">
        <f>+'Maj Techno Summ'!F10</f>
        <v>430.79693949990798</v>
      </c>
      <c r="G37" s="2717">
        <f>+G23/G$5*1000</f>
        <v>430.79693949990798</v>
      </c>
      <c r="H37" s="6088">
        <f t="shared" ref="H37:I39" si="199">+H23/H$5*1000</f>
        <v>429.45879999188907</v>
      </c>
      <c r="I37" s="1906">
        <f t="shared" si="199"/>
        <v>429.45879999188907</v>
      </c>
      <c r="J37" s="6823">
        <f>+'Maj Techno Summ'!J10</f>
        <v>408</v>
      </c>
      <c r="K37" s="2717">
        <f>+K23/K$5*1000</f>
        <v>420.24483065580921</v>
      </c>
      <c r="L37" s="6089">
        <f t="shared" ref="L37:M39" si="200">+L23/L$5*1000</f>
        <v>421.33496302736665</v>
      </c>
      <c r="M37" s="2070">
        <f t="shared" si="200"/>
        <v>426.12982673507753</v>
      </c>
      <c r="N37" s="6823">
        <f>+'Maj Techno Summ'!N10</f>
        <v>360</v>
      </c>
      <c r="O37" s="2717">
        <f>+O23/O$5*1000</f>
        <v>426.53981181681269</v>
      </c>
      <c r="P37" s="6088">
        <f t="shared" ref="P37:Q39" si="201">+P23/P$5*1000</f>
        <v>400.75276599218114</v>
      </c>
      <c r="Q37" s="1906">
        <f t="shared" si="201"/>
        <v>426.24931557970018</v>
      </c>
      <c r="R37" s="6823">
        <f>+'Maj Techno Summ'!R10</f>
        <v>360</v>
      </c>
      <c r="S37" s="2717">
        <f>+S23/S$5*1000</f>
        <v>408.540390143107</v>
      </c>
      <c r="T37" s="6088">
        <f t="shared" ref="T37:U37" si="202">+T23/T$5*1000</f>
        <v>390.55812798077244</v>
      </c>
      <c r="U37" s="1906">
        <f t="shared" si="202"/>
        <v>422.1727991560665</v>
      </c>
      <c r="V37" s="6823">
        <f>+'Maj Techno Summ'!V10</f>
        <v>360</v>
      </c>
      <c r="W37" s="2717">
        <f>+W23/W$5*1000</f>
        <v>492.92349548575845</v>
      </c>
      <c r="X37" s="6089">
        <f t="shared" ref="X37:AA37" si="203">+X23/X$5*1000</f>
        <v>360</v>
      </c>
      <c r="Y37" s="2070">
        <f t="shared" si="203"/>
        <v>433.84731376316364</v>
      </c>
      <c r="Z37" s="6834">
        <f t="shared" si="203"/>
        <v>384.50794869889899</v>
      </c>
      <c r="AA37" s="6692">
        <f t="shared" si="203"/>
        <v>430.11007825998786</v>
      </c>
      <c r="AB37" s="7324">
        <f>+'Maj Techno Summ'!AB10</f>
        <v>385</v>
      </c>
      <c r="AC37" s="2717">
        <f>+AC23/AC$5*1000</f>
        <v>585.76923999712096</v>
      </c>
      <c r="AD37" s="6088">
        <f t="shared" ref="AD37:AE37" si="204">+AD23/AD$5*1000</f>
        <v>384.55466223535643</v>
      </c>
      <c r="AE37" s="1906">
        <f t="shared" si="204"/>
        <v>448.10311706704681</v>
      </c>
      <c r="AF37" s="7553">
        <f>+'Maj Techno Summ'!AF10</f>
        <v>370</v>
      </c>
      <c r="AG37" s="2717">
        <f>+AG23/AG$5*1000</f>
        <v>455.86204661113095</v>
      </c>
      <c r="AH37" s="6088">
        <f t="shared" ref="AH37:AI37" si="205">+AH23/AH$5*1000</f>
        <v>382.37429008149741</v>
      </c>
      <c r="AI37" s="1906">
        <f t="shared" si="205"/>
        <v>449.07146330392879</v>
      </c>
      <c r="AJ37" s="7697">
        <f>+'Maj Techno Summ'!AJ10</f>
        <v>360</v>
      </c>
      <c r="AK37" s="2717">
        <f>+AK23/AK$5*1000</f>
        <v>399.71330131026332</v>
      </c>
      <c r="AL37" s="6089">
        <f t="shared" ref="AL37:AO37" si="206">+AL23/AL$5*1000</f>
        <v>369.05990016638935</v>
      </c>
      <c r="AM37" s="2070">
        <f t="shared" si="206"/>
        <v>466.48776743378602</v>
      </c>
      <c r="AN37" s="6088">
        <f t="shared" si="206"/>
        <v>379.32893303184989</v>
      </c>
      <c r="AO37" s="1906">
        <f t="shared" si="206"/>
        <v>442.23204478419171</v>
      </c>
      <c r="AP37" s="8021">
        <f>+'Maj Techno Summ'!AP10</f>
        <v>360</v>
      </c>
      <c r="AQ37" s="2717">
        <f>+AQ23/AQ$5*1000</f>
        <v>382.62975497128605</v>
      </c>
      <c r="AR37" s="6088">
        <f t="shared" ref="AR37:AS37" si="207">+AR23/AR$5*1000</f>
        <v>377.04674309776823</v>
      </c>
      <c r="AS37" s="1906">
        <f t="shared" si="207"/>
        <v>434.26686464027512</v>
      </c>
      <c r="AT37" s="8144">
        <f>+'Maj Techno Summ'!AT10</f>
        <v>360</v>
      </c>
      <c r="AU37" s="2717">
        <f>+AU23/AU$5*1000</f>
        <v>383.53969997078292</v>
      </c>
      <c r="AV37" s="6088">
        <f t="shared" ref="AV37:AW37" si="208">+AV23/AV$5*1000</f>
        <v>375.38192761365707</v>
      </c>
      <c r="AW37" s="1906">
        <f t="shared" si="208"/>
        <v>428.83717318900244</v>
      </c>
      <c r="AX37" s="8261">
        <f>+'Maj Techno Summ'!AX10</f>
        <v>360</v>
      </c>
      <c r="AY37" s="2717">
        <f>+AY23/AY$5*1000</f>
        <v>383.35481649739052</v>
      </c>
      <c r="AZ37" s="6089">
        <f t="shared" ref="AZ37:BE37" si="209">+AZ23/AZ$5*1000</f>
        <v>360</v>
      </c>
      <c r="BA37" s="2070">
        <f t="shared" si="209"/>
        <v>383.16671884450903</v>
      </c>
      <c r="BB37" s="6089">
        <f t="shared" ref="BB37:BC37" si="210">+BB23/BB$5*1000</f>
        <v>364.17241379310343</v>
      </c>
      <c r="BC37" s="2070">
        <f t="shared" si="210"/>
        <v>418.23054884408714</v>
      </c>
      <c r="BD37" s="6834">
        <f t="shared" si="209"/>
        <v>373.8786504081541</v>
      </c>
      <c r="BE37" s="6692">
        <f t="shared" si="209"/>
        <v>423.66105089932233</v>
      </c>
    </row>
    <row r="38" spans="1:57" x14ac:dyDescent="0.2">
      <c r="B38" s="1586" t="s">
        <v>13</v>
      </c>
      <c r="C38" s="1545" t="s">
        <v>734</v>
      </c>
      <c r="D38" s="6401">
        <f>+'Maj Techno Summ'!D11</f>
        <v>50.310921914778177</v>
      </c>
      <c r="E38" s="2750">
        <f>+E24/E$5*1000</f>
        <v>50.310921914778177</v>
      </c>
      <c r="F38" s="6823">
        <f>+'Maj Techno Summ'!F11</f>
        <v>53.907133278994557</v>
      </c>
      <c r="G38" s="2750">
        <f>+G24/G$5*1000</f>
        <v>53.907133278994557</v>
      </c>
      <c r="H38" s="3912">
        <f t="shared" si="199"/>
        <v>52.159865899735721</v>
      </c>
      <c r="I38" s="1823">
        <f t="shared" si="199"/>
        <v>52.159865899735721</v>
      </c>
      <c r="J38" s="6823">
        <f>+'Maj Techno Summ'!J11</f>
        <v>51</v>
      </c>
      <c r="K38" s="2750">
        <f>+K24/K$5*1000</f>
        <v>49.438108267963507</v>
      </c>
      <c r="L38" s="4141">
        <f t="shared" si="200"/>
        <v>51.720765788185979</v>
      </c>
      <c r="M38" s="2011">
        <f t="shared" si="200"/>
        <v>51.17650487071505</v>
      </c>
      <c r="N38" s="6823">
        <f>+'Maj Techno Summ'!N11</f>
        <v>30</v>
      </c>
      <c r="O38" s="2750">
        <f>+O24/O$5*1000</f>
        <v>53.411279446260735</v>
      </c>
      <c r="P38" s="3912">
        <f t="shared" si="201"/>
        <v>44.431920093307347</v>
      </c>
      <c r="Q38" s="1823">
        <f t="shared" si="201"/>
        <v>51.82782279402543</v>
      </c>
      <c r="R38" s="6823">
        <f>+'Maj Techno Summ'!R11</f>
        <v>30</v>
      </c>
      <c r="S38" s="2750">
        <f>+S24/S$5*1000</f>
        <v>45.213228449554521</v>
      </c>
      <c r="T38" s="3912">
        <f t="shared" ref="T38:U38" si="211">+T24/T$5*1000</f>
        <v>40.82165714357108</v>
      </c>
      <c r="U38" s="1823">
        <f t="shared" si="211"/>
        <v>50.305172389433878</v>
      </c>
      <c r="V38" s="6823">
        <f>+'Maj Techno Summ'!V11</f>
        <v>30</v>
      </c>
      <c r="W38" s="2750">
        <f>+W24/W$5*1000</f>
        <v>31.371416325808045</v>
      </c>
      <c r="X38" s="4141">
        <f t="shared" ref="X38:AA38" si="212">+X24/X$5*1000</f>
        <v>29.999999999999996</v>
      </c>
      <c r="Y38" s="2011">
        <f t="shared" si="212"/>
        <v>45.368501268737184</v>
      </c>
      <c r="Z38" s="6509">
        <f t="shared" si="212"/>
        <v>38.679085913855445</v>
      </c>
      <c r="AA38" s="6531">
        <f t="shared" si="212"/>
        <v>48.181058929655904</v>
      </c>
      <c r="AB38" s="7324">
        <f>+'Maj Techno Summ'!AB11</f>
        <v>35</v>
      </c>
      <c r="AC38" s="2750">
        <f>+AC24/AC$5*1000</f>
        <v>6.7818840521757213</v>
      </c>
      <c r="AD38" s="3912">
        <f t="shared" ref="AD38:AE38" si="213">+AD24/AD$5*1000</f>
        <v>38.329807061056123</v>
      </c>
      <c r="AE38" s="1823">
        <f t="shared" si="213"/>
        <v>43.395622904960796</v>
      </c>
      <c r="AF38" s="7553">
        <f>+'Maj Techno Summ'!AF11</f>
        <v>35</v>
      </c>
      <c r="AG38" s="2750">
        <f>+AG24/AG$5*1000</f>
        <v>19.928041230430129</v>
      </c>
      <c r="AH38" s="3912">
        <f t="shared" ref="AH38:AI38" si="214">+AH24/AH$5*1000</f>
        <v>37.830982802804819</v>
      </c>
      <c r="AI38" s="1823">
        <f t="shared" si="214"/>
        <v>40.466772439940229</v>
      </c>
      <c r="AJ38" s="7697">
        <f>+'Maj Techno Summ'!AJ11</f>
        <v>30</v>
      </c>
      <c r="AK38" s="2750">
        <f>+AK24/AK$5*1000</f>
        <v>33.910922214118656</v>
      </c>
      <c r="AL38" s="4141">
        <f t="shared" ref="AL38:AO38" si="215">+AL24/AL$5*1000</f>
        <v>32.97004991680533</v>
      </c>
      <c r="AM38" s="2011">
        <f t="shared" si="215"/>
        <v>22.304537249873981</v>
      </c>
      <c r="AN38" s="3912">
        <f t="shared" si="215"/>
        <v>36.765110384179501</v>
      </c>
      <c r="AO38" s="1823">
        <f t="shared" si="215"/>
        <v>39.558347133243011</v>
      </c>
      <c r="AP38" s="8021">
        <f>+'Maj Techno Summ'!AP11</f>
        <v>30</v>
      </c>
      <c r="AQ38" s="2750">
        <f>+AQ24/AQ$5*1000</f>
        <v>46.010093935957272</v>
      </c>
      <c r="AR38" s="3912">
        <f t="shared" ref="AR38:AS38" si="216">+AR24/AR$5*1000</f>
        <v>35.966345817284626</v>
      </c>
      <c r="AS38" s="1823">
        <f t="shared" si="216"/>
        <v>40.420551013125312</v>
      </c>
      <c r="AT38" s="8144">
        <f>+'Maj Techno Summ'!AT11</f>
        <v>30</v>
      </c>
      <c r="AU38" s="2750">
        <f>+AU24/AU$5*1000</f>
        <v>45.503087943419608</v>
      </c>
      <c r="AV38" s="3912">
        <f t="shared" ref="AV38:AW38" si="217">+AV24/AV$5*1000</f>
        <v>35.383661791180081</v>
      </c>
      <c r="AW38" s="1823">
        <f t="shared" si="217"/>
        <v>40.964571312722178</v>
      </c>
      <c r="AX38" s="8261">
        <f>+'Maj Techno Summ'!AX11</f>
        <v>30</v>
      </c>
      <c r="AY38" s="2750">
        <f>+AY24/AY$5*1000</f>
        <v>43.111881799211496</v>
      </c>
      <c r="AZ38" s="4141">
        <f t="shared" ref="AZ38:BE38" si="218">+AZ24/AZ$5*1000</f>
        <v>30</v>
      </c>
      <c r="BA38" s="2011">
        <f t="shared" si="218"/>
        <v>44.808102053780665</v>
      </c>
      <c r="BB38" s="4141">
        <f t="shared" ref="BB38:BC38" si="219">+BB24/BB$5*1000</f>
        <v>31.367816091954019</v>
      </c>
      <c r="BC38" s="2011">
        <f t="shared" si="219"/>
        <v>35.337971948262279</v>
      </c>
      <c r="BD38" s="6509">
        <f t="shared" si="218"/>
        <v>34.857516027392144</v>
      </c>
      <c r="BE38" s="6531">
        <f t="shared" si="218"/>
        <v>41.208946109466851</v>
      </c>
    </row>
    <row r="39" spans="1:57" ht="16" thickBot="1" x14ac:dyDescent="0.25">
      <c r="B39" s="1589" t="s">
        <v>519</v>
      </c>
      <c r="C39" s="1548" t="s">
        <v>734</v>
      </c>
      <c r="D39" s="6401">
        <f>+'Maj Techno Summ'!D12</f>
        <v>67</v>
      </c>
      <c r="E39" s="2750">
        <f>+E25/E$5*1000</f>
        <v>67.429016596413618</v>
      </c>
      <c r="F39" s="6823">
        <f>+'Maj Techno Summ'!F12</f>
        <v>68.999290090184843</v>
      </c>
      <c r="G39" s="2750">
        <f>+G25/G$5*1000</f>
        <v>68.999290090184843</v>
      </c>
      <c r="H39" s="3912">
        <f t="shared" si="199"/>
        <v>68.02790826568615</v>
      </c>
      <c r="I39" s="1823">
        <f t="shared" si="199"/>
        <v>68.236351715793958</v>
      </c>
      <c r="J39" s="6823">
        <f>+'Maj Techno Summ'!J12</f>
        <v>84</v>
      </c>
      <c r="K39" s="2750">
        <f>+K25/K$5*1000</f>
        <v>74.703819429923357</v>
      </c>
      <c r="L39" s="4141">
        <f t="shared" si="200"/>
        <v>74.074596304206764</v>
      </c>
      <c r="M39" s="2011">
        <f t="shared" si="200"/>
        <v>70.573024030875558</v>
      </c>
      <c r="N39" s="6823">
        <f>+'Maj Techno Summ'!N12</f>
        <v>145</v>
      </c>
      <c r="O39" s="2750">
        <f>+O25/O$5*1000</f>
        <v>91.79834067139312</v>
      </c>
      <c r="P39" s="3912">
        <f t="shared" si="201"/>
        <v>97.875061187760295</v>
      </c>
      <c r="Q39" s="1823">
        <f t="shared" si="201"/>
        <v>76.759074877874951</v>
      </c>
      <c r="R39" s="6823">
        <f>+'Maj Techno Summ'!R12</f>
        <v>145</v>
      </c>
      <c r="S39" s="2750">
        <f>+S25/S$5*1000</f>
        <v>94.359598604732042</v>
      </c>
      <c r="T39" s="3912">
        <f t="shared" ref="T39:U39" si="220">+T25/T$5*1000</f>
        <v>109.66375039213825</v>
      </c>
      <c r="U39" s="1823">
        <f t="shared" si="220"/>
        <v>80.810637706686009</v>
      </c>
      <c r="V39" s="6823">
        <f>+'Maj Techno Summ'!V12</f>
        <v>145</v>
      </c>
      <c r="W39" s="2750">
        <f>+W25/W$5*1000</f>
        <v>75.582099564881162</v>
      </c>
      <c r="X39" s="4141">
        <f t="shared" ref="X39:AA39" si="221">+X25/X$5*1000</f>
        <v>145</v>
      </c>
      <c r="Y39" s="2011">
        <f t="shared" si="221"/>
        <v>89.2858590526222</v>
      </c>
      <c r="Z39" s="6509">
        <f t="shared" si="221"/>
        <v>116.65994614768691</v>
      </c>
      <c r="AA39" s="6531">
        <f t="shared" si="221"/>
        <v>80.224065860896445</v>
      </c>
      <c r="AB39" s="7324">
        <f>+'Maj Techno Summ'!AB12</f>
        <v>115</v>
      </c>
      <c r="AC39" s="2750">
        <f>+AC25/AC$5*1000</f>
        <v>5.438303249386192</v>
      </c>
      <c r="AD39" s="3912">
        <f t="shared" ref="AD39:AE39" si="222">+AD25/AD$5*1000</f>
        <v>116.50235698022841</v>
      </c>
      <c r="AE39" s="1823">
        <f t="shared" si="222"/>
        <v>71.579389159137008</v>
      </c>
      <c r="AF39" s="7553">
        <f>+'Maj Techno Summ'!AF12</f>
        <v>130</v>
      </c>
      <c r="AG39" s="2750">
        <f>+AG25/AG$5*1000</f>
        <v>86.486661696541447</v>
      </c>
      <c r="AH39" s="3912">
        <f t="shared" ref="AH39:AI39" si="223">+AH25/AH$5*1000</f>
        <v>118.5243815732518</v>
      </c>
      <c r="AI39" s="1823">
        <f t="shared" si="223"/>
        <v>73.439877926530997</v>
      </c>
      <c r="AJ39" s="7697">
        <f>+'Maj Techno Summ'!AJ12</f>
        <v>145</v>
      </c>
      <c r="AK39" s="2750">
        <f>+AK25/AK$5*1000</f>
        <v>110.2884591202877</v>
      </c>
      <c r="AL39" s="4141">
        <f t="shared" ref="AL39:AO39" si="224">+AL25/AL$5*1000</f>
        <v>132.97004991680532</v>
      </c>
      <c r="AM39" s="2011">
        <f t="shared" si="224"/>
        <v>75.187875568123587</v>
      </c>
      <c r="AN39" s="3912">
        <f t="shared" si="224"/>
        <v>122.12796903573633</v>
      </c>
      <c r="AO39" s="1823">
        <f t="shared" si="224"/>
        <v>78.545879820907842</v>
      </c>
      <c r="AP39" s="8021">
        <f>+'Maj Techno Summ'!AP12</f>
        <v>145</v>
      </c>
      <c r="AQ39" s="2750">
        <f>+AQ25/AQ$5*1000</f>
        <v>108.73346858183362</v>
      </c>
      <c r="AR39" s="3912">
        <f t="shared" ref="AR39:AS39" si="225">+AR25/AR$5*1000</f>
        <v>124.82849672407971</v>
      </c>
      <c r="AS39" s="1823">
        <f t="shared" si="225"/>
        <v>82.580113796582722</v>
      </c>
      <c r="AT39" s="8144">
        <f>+'Maj Techno Summ'!AT12</f>
        <v>145</v>
      </c>
      <c r="AU39" s="2750">
        <f>+AU25/AU$5*1000</f>
        <v>111.68985562731092</v>
      </c>
      <c r="AV39" s="3912">
        <f t="shared" ref="AV39:AW39" si="226">+AV25/AV$5*1000</f>
        <v>126.79848188775289</v>
      </c>
      <c r="AW39" s="1823">
        <f t="shared" si="226"/>
        <v>85.695937781559323</v>
      </c>
      <c r="AX39" s="8261">
        <f>+'Maj Techno Summ'!AX12</f>
        <v>145</v>
      </c>
      <c r="AY39" s="2750">
        <f>+AY25/AY$5*1000</f>
        <v>116.26940307594123</v>
      </c>
      <c r="AZ39" s="4141">
        <f t="shared" ref="AZ39:BE39" si="227">+AZ25/AZ$5*1000</f>
        <v>145</v>
      </c>
      <c r="BA39" s="2011">
        <f t="shared" si="227"/>
        <v>112.35307884730534</v>
      </c>
      <c r="BB39" s="4141">
        <f t="shared" ref="BB39:BC39" si="228">+BB25/BB$5*1000</f>
        <v>139.45977011494253</v>
      </c>
      <c r="BC39" s="2011">
        <f t="shared" si="228"/>
        <v>96.712920787068214</v>
      </c>
      <c r="BD39" s="6509">
        <f t="shared" si="227"/>
        <v>128.5773179329438</v>
      </c>
      <c r="BE39" s="6531">
        <f t="shared" si="227"/>
        <v>89.175352805191892</v>
      </c>
    </row>
    <row r="40" spans="1:57" ht="17" thickBot="1" x14ac:dyDescent="0.25">
      <c r="B40" s="1594" t="s">
        <v>731</v>
      </c>
      <c r="C40" s="1562" t="s">
        <v>734</v>
      </c>
      <c r="D40" s="2464">
        <f t="shared" ref="D40:I40" si="229">SUM(D37:D39)</f>
        <v>545.35371367360858</v>
      </c>
      <c r="E40" s="2817">
        <f t="shared" si="229"/>
        <v>545.78273027002217</v>
      </c>
      <c r="F40" s="2464">
        <f t="shared" ref="F40" si="230">SUM(F37:F39)</f>
        <v>553.70336286908741</v>
      </c>
      <c r="G40" s="2817">
        <f t="shared" ref="G40" si="231">SUM(G37:G39)</f>
        <v>553.70336286908741</v>
      </c>
      <c r="H40" s="2320">
        <f t="shared" si="229"/>
        <v>549.64657415731097</v>
      </c>
      <c r="I40" s="1825">
        <f t="shared" si="229"/>
        <v>549.85501760741874</v>
      </c>
      <c r="J40" s="2464">
        <f t="shared" ref="J40" si="232">SUM(J37:J39)</f>
        <v>543</v>
      </c>
      <c r="K40" s="2817">
        <f t="shared" ref="K40" si="233">SUM(K37:K39)</f>
        <v>544.38675835369611</v>
      </c>
      <c r="L40" s="2321">
        <f t="shared" ref="L40:N40" si="234">SUM(L37:L39)</f>
        <v>547.13032511975939</v>
      </c>
      <c r="M40" s="2005">
        <f t="shared" si="234"/>
        <v>547.87935563666815</v>
      </c>
      <c r="N40" s="2464">
        <f t="shared" si="234"/>
        <v>535</v>
      </c>
      <c r="O40" s="2817">
        <f t="shared" ref="O40" si="235">SUM(O37:O39)</f>
        <v>571.74943193446654</v>
      </c>
      <c r="P40" s="2320">
        <f t="shared" ref="P40:R40" si="236">SUM(P37:P39)</f>
        <v>543.05974727324872</v>
      </c>
      <c r="Q40" s="1825">
        <f t="shared" si="236"/>
        <v>554.83621325160061</v>
      </c>
      <c r="R40" s="2464">
        <f t="shared" si="236"/>
        <v>535</v>
      </c>
      <c r="S40" s="2817">
        <f t="shared" ref="S40" si="237">SUM(S37:S39)</f>
        <v>548.11321719739351</v>
      </c>
      <c r="T40" s="2320">
        <f t="shared" ref="T40:V40" si="238">SUM(T37:T39)</f>
        <v>541.04353551648182</v>
      </c>
      <c r="U40" s="1825">
        <f t="shared" si="238"/>
        <v>553.28860925218646</v>
      </c>
      <c r="V40" s="2464">
        <f t="shared" si="238"/>
        <v>535</v>
      </c>
      <c r="W40" s="2817">
        <f t="shared" ref="W40" si="239">SUM(W37:W39)</f>
        <v>599.87701137644763</v>
      </c>
      <c r="X40" s="2321">
        <f t="shared" ref="X40:AK40" si="240">SUM(X37:X39)</f>
        <v>535</v>
      </c>
      <c r="Y40" s="2005">
        <f t="shared" si="240"/>
        <v>568.50167408452307</v>
      </c>
      <c r="Z40" s="6598">
        <f t="shared" si="240"/>
        <v>539.84698076044128</v>
      </c>
      <c r="AA40" s="6594">
        <f t="shared" si="240"/>
        <v>558.51520305054021</v>
      </c>
      <c r="AB40" s="2464">
        <f t="shared" si="240"/>
        <v>535</v>
      </c>
      <c r="AC40" s="2817">
        <f t="shared" si="240"/>
        <v>597.98942729868293</v>
      </c>
      <c r="AD40" s="2320">
        <f t="shared" si="240"/>
        <v>539.38682627664093</v>
      </c>
      <c r="AE40" s="1825">
        <f t="shared" si="240"/>
        <v>563.07812913114458</v>
      </c>
      <c r="AF40" s="2464">
        <f t="shared" si="240"/>
        <v>535</v>
      </c>
      <c r="AG40" s="2817">
        <f t="shared" si="240"/>
        <v>562.27674953810254</v>
      </c>
      <c r="AH40" s="2320">
        <f t="shared" si="240"/>
        <v>538.72965445755403</v>
      </c>
      <c r="AI40" s="1825">
        <f t="shared" si="240"/>
        <v>562.97811367040003</v>
      </c>
      <c r="AJ40" s="2464">
        <f t="shared" si="240"/>
        <v>535</v>
      </c>
      <c r="AK40" s="2817">
        <f t="shared" si="240"/>
        <v>543.91268264466964</v>
      </c>
      <c r="AL40" s="2321">
        <f t="shared" ref="AL40:AS40" si="241">SUM(AL37:AL39)</f>
        <v>535</v>
      </c>
      <c r="AM40" s="2005">
        <f t="shared" si="241"/>
        <v>563.98018025178362</v>
      </c>
      <c r="AN40" s="2320">
        <f t="shared" si="241"/>
        <v>538.22201245176575</v>
      </c>
      <c r="AO40" s="1825">
        <f t="shared" si="241"/>
        <v>560.33627173834259</v>
      </c>
      <c r="AP40" s="2464">
        <f t="shared" si="241"/>
        <v>535</v>
      </c>
      <c r="AQ40" s="2817">
        <f t="shared" si="241"/>
        <v>537.37331748907695</v>
      </c>
      <c r="AR40" s="2320">
        <f t="shared" si="241"/>
        <v>537.84158563913252</v>
      </c>
      <c r="AS40" s="1825">
        <f t="shared" si="241"/>
        <v>557.26752944998316</v>
      </c>
      <c r="AT40" s="2464">
        <f t="shared" ref="AT40:AW40" si="242">SUM(AT37:AT39)</f>
        <v>535</v>
      </c>
      <c r="AU40" s="2817">
        <f t="shared" si="242"/>
        <v>540.73264354151343</v>
      </c>
      <c r="AV40" s="2320">
        <f t="shared" si="242"/>
        <v>537.56407129259003</v>
      </c>
      <c r="AW40" s="1825">
        <f t="shared" si="242"/>
        <v>555.49768228328389</v>
      </c>
      <c r="AX40" s="2464">
        <f t="shared" ref="AX40:BE40" si="243">SUM(AX37:AX39)</f>
        <v>535</v>
      </c>
      <c r="AY40" s="2817">
        <f t="shared" si="243"/>
        <v>542.73610137254332</v>
      </c>
      <c r="AZ40" s="2321">
        <f t="shared" si="243"/>
        <v>535</v>
      </c>
      <c r="BA40" s="2005">
        <f t="shared" si="243"/>
        <v>540.327899745595</v>
      </c>
      <c r="BB40" s="2321">
        <f t="shared" ref="BB40:BC40" si="244">SUM(BB37:BB39)</f>
        <v>535</v>
      </c>
      <c r="BC40" s="2005">
        <f t="shared" si="244"/>
        <v>550.28144157941767</v>
      </c>
      <c r="BD40" s="6598">
        <f t="shared" si="243"/>
        <v>537.31348436848998</v>
      </c>
      <c r="BE40" s="6594">
        <f t="shared" si="243"/>
        <v>554.04534981398115</v>
      </c>
    </row>
    <row r="41" spans="1:57" x14ac:dyDescent="0.2">
      <c r="A41" s="3378" t="s">
        <v>1024</v>
      </c>
      <c r="B41" s="1590" t="s">
        <v>68</v>
      </c>
      <c r="C41" s="1542" t="s">
        <v>734</v>
      </c>
      <c r="D41" s="4359">
        <v>1345</v>
      </c>
      <c r="E41" s="2750">
        <f>+E27/E$5*1000</f>
        <v>1344.5807770961144</v>
      </c>
      <c r="F41" s="5482">
        <v>1318.50629716299</v>
      </c>
      <c r="G41" s="2750">
        <f>+G27/G$5*1000</f>
        <v>1318.50629716299</v>
      </c>
      <c r="H41" s="3193">
        <f t="shared" ref="H41:I44" si="245">+H27/H$5*1000</f>
        <v>1331.378616955843</v>
      </c>
      <c r="I41" s="3193">
        <f t="shared" si="245"/>
        <v>1331.1749319022094</v>
      </c>
      <c r="J41" s="5781">
        <v>1300</v>
      </c>
      <c r="K41" s="2750">
        <f>+K27/K$5*1000</f>
        <v>1296.897497326459</v>
      </c>
      <c r="L41" s="5029">
        <f t="shared" ref="L41:M44" si="246">+L27/L$5*1000</f>
        <v>1319.4993521126171</v>
      </c>
      <c r="M41" s="5029">
        <f t="shared" si="246"/>
        <v>1318.7906207706371</v>
      </c>
      <c r="N41" s="5933">
        <v>1229.4576828266227</v>
      </c>
      <c r="O41" s="2750">
        <f>+O27/O$5*1000</f>
        <v>1237.4645123032763</v>
      </c>
      <c r="P41" s="3193">
        <f t="shared" ref="P41:Q41" si="247">+P27/P$5*1000</f>
        <v>1289.2840346631801</v>
      </c>
      <c r="Q41" s="3193">
        <f t="shared" si="247"/>
        <v>1295.0883858081054</v>
      </c>
      <c r="R41" s="6404">
        <v>1229.4576828266227</v>
      </c>
      <c r="S41" s="2750">
        <f>+S27/S$5*1000</f>
        <v>1244.6731247250893</v>
      </c>
      <c r="T41" s="3193">
        <f t="shared" ref="T41:U44" si="248">+T27/T$5*1000</f>
        <v>1274.3179830181484</v>
      </c>
      <c r="U41" s="3193">
        <f t="shared" si="248"/>
        <v>1283.4830153669368</v>
      </c>
      <c r="V41" s="6655">
        <v>1229.4576828266227</v>
      </c>
      <c r="W41" s="2750">
        <f>+W27/W$5*1000</f>
        <v>1272.3545799286294</v>
      </c>
      <c r="X41" s="5029">
        <f t="shared" ref="X41:AA44" si="249">+X27/X$5*1000</f>
        <v>1229.4576828266227</v>
      </c>
      <c r="Y41" s="5029">
        <f t="shared" si="249"/>
        <v>1247.9104344512812</v>
      </c>
      <c r="Z41" s="6615">
        <f t="shared" si="249"/>
        <v>1265.4361281162978</v>
      </c>
      <c r="AA41" s="6615">
        <f t="shared" si="249"/>
        <v>1282.2345541835698</v>
      </c>
      <c r="AB41" s="7338">
        <v>1229.4576828266227</v>
      </c>
      <c r="AC41" s="2750">
        <f>+AC27/AC$5*1000</f>
        <v>1287.8621869976569</v>
      </c>
      <c r="AD41" s="3193">
        <f t="shared" ref="AD41:AE41" si="250">+AD27/AD$5*1000</f>
        <v>1262.0204671639524</v>
      </c>
      <c r="AE41" s="3193">
        <f t="shared" si="250"/>
        <v>1282.8850665882733</v>
      </c>
      <c r="AF41" s="7365">
        <v>1229.4576828266227</v>
      </c>
      <c r="AG41" s="2750">
        <f>+AG27/AG$5*1000</f>
        <v>1222.2683219344592</v>
      </c>
      <c r="AH41" s="3193">
        <f t="shared" ref="AH41:AI41" si="251">+AH27/AH$5*1000</f>
        <v>1257.1423746961823</v>
      </c>
      <c r="AI41" s="3193">
        <f t="shared" si="251"/>
        <v>1275.3198481848774</v>
      </c>
      <c r="AJ41" s="7365">
        <v>1229.4576828266227</v>
      </c>
      <c r="AK41" s="2750">
        <f>+AK27/AK$5*1000</f>
        <v>1286.5830043004805</v>
      </c>
      <c r="AL41" s="5029">
        <f t="shared" ref="AL41:AO41" si="252">+AL27/AL$5*1000</f>
        <v>1229.4576828266227</v>
      </c>
      <c r="AM41" s="5029">
        <f t="shared" si="252"/>
        <v>1266.1673384102787</v>
      </c>
      <c r="AN41" s="3193">
        <f t="shared" si="252"/>
        <v>1253.374220656649</v>
      </c>
      <c r="AO41" s="3193">
        <f t="shared" si="252"/>
        <v>1276.8805513273005</v>
      </c>
      <c r="AP41" s="7365">
        <v>1229.4576828266227</v>
      </c>
      <c r="AQ41" s="2750">
        <f>+AQ27/AQ$5*1000</f>
        <v>1258.3713249081652</v>
      </c>
      <c r="AR41" s="3193">
        <f t="shared" ref="AR41:AS41" si="253">+AR27/AR$5*1000</f>
        <v>1250.5503668099918</v>
      </c>
      <c r="AS41" s="3193">
        <f t="shared" si="253"/>
        <v>1274.4070000054344</v>
      </c>
      <c r="AT41" s="7365">
        <v>1229.4576828266227</v>
      </c>
      <c r="AU41" s="2750">
        <f>+AU27/AU$5*1000</f>
        <v>1288.9720624238089</v>
      </c>
      <c r="AV41" s="3193">
        <f t="shared" ref="AV41:AW41" si="254">+AV27/AV$5*1000</f>
        <v>1248.4904174873802</v>
      </c>
      <c r="AW41" s="3193">
        <f t="shared" si="254"/>
        <v>1275.966002867423</v>
      </c>
      <c r="AX41" s="7365">
        <v>1229.4576828266227</v>
      </c>
      <c r="AY41" s="2750">
        <f>+AY27/AY$5*1000</f>
        <v>1245.4245059222155</v>
      </c>
      <c r="AZ41" s="5029">
        <f t="shared" ref="AZ41:BE41" si="255">+AZ27/AZ$5*1000</f>
        <v>1229.4576828266224</v>
      </c>
      <c r="BA41" s="5029">
        <f t="shared" si="255"/>
        <v>1262.9170554675793</v>
      </c>
      <c r="BB41" s="5029">
        <f t="shared" ref="BB41:BC41" si="256">+BB27/BB$5*1000</f>
        <v>1229.4576828266224</v>
      </c>
      <c r="BC41" s="5029">
        <f t="shared" si="256"/>
        <v>1264.2848655285777</v>
      </c>
      <c r="BD41" s="6615">
        <f t="shared" si="255"/>
        <v>1246.6303465721787</v>
      </c>
      <c r="BE41" s="6615">
        <f t="shared" si="255"/>
        <v>1272.4902260036563</v>
      </c>
    </row>
    <row r="42" spans="1:57" x14ac:dyDescent="0.2">
      <c r="A42" s="3378" t="s">
        <v>1024</v>
      </c>
      <c r="B42" s="1586" t="s">
        <v>732</v>
      </c>
      <c r="C42" s="1545" t="s">
        <v>734</v>
      </c>
      <c r="D42" s="4357">
        <v>284</v>
      </c>
      <c r="E42" s="2750">
        <f>+E28/E$5*1000</f>
        <v>283.58582696882434</v>
      </c>
      <c r="F42" s="5483">
        <v>314.36515657455368</v>
      </c>
      <c r="G42" s="2750">
        <f>+G28/G$5*1000</f>
        <v>314.36515657455368</v>
      </c>
      <c r="H42" s="3193">
        <f t="shared" si="245"/>
        <v>299.61183921486457</v>
      </c>
      <c r="I42" s="3193">
        <f t="shared" si="245"/>
        <v>299.41060770941334</v>
      </c>
      <c r="J42" s="5787">
        <v>324</v>
      </c>
      <c r="K42" s="2750">
        <f>+K28/K$5*1000</f>
        <v>295.88185038923177</v>
      </c>
      <c r="L42" s="5029">
        <f t="shared" si="246"/>
        <v>308.84466873738609</v>
      </c>
      <c r="M42" s="5029">
        <f t="shared" si="246"/>
        <v>298.13568065895498</v>
      </c>
      <c r="N42" s="5935">
        <v>388.24979457682844</v>
      </c>
      <c r="O42" s="2750">
        <f>+O28/O$5*1000</f>
        <v>379.76164862326107</v>
      </c>
      <c r="P42" s="3193">
        <f t="shared" ref="P42:Q42" si="257">+P28/P$5*1000</f>
        <v>335.4906772285284</v>
      </c>
      <c r="Q42" s="3193">
        <f t="shared" si="257"/>
        <v>321.92530871561456</v>
      </c>
      <c r="R42" s="6406">
        <v>388.24979457682844</v>
      </c>
      <c r="S42" s="2750">
        <f>+S28/S$5*1000</f>
        <v>389.95898075880478</v>
      </c>
      <c r="T42" s="3193">
        <f t="shared" si="248"/>
        <v>348.68880231457888</v>
      </c>
      <c r="U42" s="3193">
        <f t="shared" si="248"/>
        <v>337.58635954770438</v>
      </c>
      <c r="V42" s="6656">
        <v>388.24979457682844</v>
      </c>
      <c r="W42" s="2750">
        <f>+W28/W$5*1000</f>
        <v>384.88917047900338</v>
      </c>
      <c r="X42" s="5029">
        <f t="shared" si="249"/>
        <v>388.24979457682838</v>
      </c>
      <c r="Y42" s="5029">
        <f t="shared" si="249"/>
        <v>384.91783609374875</v>
      </c>
      <c r="Z42" s="6615">
        <f t="shared" si="249"/>
        <v>356.52145148425376</v>
      </c>
      <c r="AA42" s="6615">
        <f t="shared" si="249"/>
        <v>342.89310043138636</v>
      </c>
      <c r="AB42" s="7345">
        <v>388.24979457682844</v>
      </c>
      <c r="AC42" s="2750">
        <f>+AC28/AC$5*1000</f>
        <v>368.2451075264517</v>
      </c>
      <c r="AD42" s="3193">
        <f t="shared" ref="AD42:AE42" si="258">+AD28/AD$5*1000</f>
        <v>359.53362340306182</v>
      </c>
      <c r="AE42" s="3193">
        <f t="shared" si="258"/>
        <v>345.82360347667884</v>
      </c>
      <c r="AF42" s="7583">
        <v>388.24979457682844</v>
      </c>
      <c r="AG42" s="2750">
        <f>+AG28/AG$5*1000</f>
        <v>419.3186606592979</v>
      </c>
      <c r="AH42" s="3193">
        <f t="shared" ref="AH42:AI42" si="259">+AH28/AH$5*1000</f>
        <v>363.83547108459942</v>
      </c>
      <c r="AI42" s="3193">
        <f t="shared" si="259"/>
        <v>354.99608811490828</v>
      </c>
      <c r="AJ42" s="7734">
        <v>388.24979457682844</v>
      </c>
      <c r="AK42" s="2750">
        <f>+AK28/AK$5*1000</f>
        <v>373.53318411588663</v>
      </c>
      <c r="AL42" s="5029">
        <f t="shared" ref="AL42:AO42" si="260">+AL28/AL$5*1000</f>
        <v>388.24979457682844</v>
      </c>
      <c r="AM42" s="5029">
        <f t="shared" si="260"/>
        <v>386.92222903145517</v>
      </c>
      <c r="AN42" s="3193">
        <f t="shared" si="260"/>
        <v>367.15849639126242</v>
      </c>
      <c r="AO42" s="3193">
        <f t="shared" si="260"/>
        <v>357.56472018243755</v>
      </c>
      <c r="AP42" s="8049">
        <v>388.24979457682844</v>
      </c>
      <c r="AQ42" s="2750">
        <f>+AQ28/AQ$5*1000</f>
        <v>415.03065682876905</v>
      </c>
      <c r="AR42" s="3193">
        <f t="shared" ref="AR42:AS42" si="261">+AR28/AR$5*1000</f>
        <v>369.64877085889589</v>
      </c>
      <c r="AS42" s="3193">
        <f t="shared" si="261"/>
        <v>365.24440059343777</v>
      </c>
      <c r="AT42" s="8170">
        <v>388.24979457682844</v>
      </c>
      <c r="AU42" s="2750">
        <f>+AU28/AU$5*1000</f>
        <v>431.17865742466529</v>
      </c>
      <c r="AV42" s="3193">
        <f t="shared" ref="AV42:AW42" si="262">+AV28/AV$5*1000</f>
        <v>371.46538017413729</v>
      </c>
      <c r="AW42" s="3193">
        <f t="shared" si="262"/>
        <v>372.30181594466166</v>
      </c>
      <c r="AX42" s="8321">
        <v>388.24979457682844</v>
      </c>
      <c r="AY42" s="2750">
        <f>+AY28/AY$5*1000</f>
        <v>408.57199239202083</v>
      </c>
      <c r="AZ42" s="5029">
        <f t="shared" ref="AZ42:BE42" si="263">+AZ28/AZ$5*1000</f>
        <v>388.24979457682838</v>
      </c>
      <c r="BA42" s="5029">
        <f t="shared" si="263"/>
        <v>417.56458147798043</v>
      </c>
      <c r="BB42" s="5029">
        <f t="shared" ref="BB42:BC42" si="264">+BB28/BB$5*1000</f>
        <v>388.24979457682838</v>
      </c>
      <c r="BC42" s="5029">
        <f t="shared" si="264"/>
        <v>404.66942166946131</v>
      </c>
      <c r="BD42" s="6615">
        <f t="shared" si="263"/>
        <v>373.10572254298836</v>
      </c>
      <c r="BE42" s="6615">
        <f t="shared" si="263"/>
        <v>376.42954551753206</v>
      </c>
    </row>
    <row r="43" spans="1:57" x14ac:dyDescent="0.2">
      <c r="A43" s="3378" t="s">
        <v>1024</v>
      </c>
      <c r="B43" s="1586" t="s">
        <v>733</v>
      </c>
      <c r="C43" s="1545" t="s">
        <v>734</v>
      </c>
      <c r="D43" s="6826">
        <v>16.067776803973125</v>
      </c>
      <c r="E43" s="2750">
        <f>+E29/E$5*1000</f>
        <v>16.067776803973125</v>
      </c>
      <c r="F43" s="6826">
        <v>23.052349275629059</v>
      </c>
      <c r="G43" s="2750">
        <f>+G29/G$5*1000</f>
        <v>23.052349275629059</v>
      </c>
      <c r="H43" s="3193">
        <f t="shared" si="245"/>
        <v>19.65880134370628</v>
      </c>
      <c r="I43" s="3193">
        <f t="shared" si="245"/>
        <v>19.65880134370628</v>
      </c>
      <c r="J43" s="1786">
        <v>10</v>
      </c>
      <c r="K43" s="2750">
        <f>+K29/K$5*1000</f>
        <v>15.611090864554519</v>
      </c>
      <c r="L43" s="5029">
        <f t="shared" si="246"/>
        <v>16.002188326266424</v>
      </c>
      <c r="M43" s="5029">
        <f t="shared" si="246"/>
        <v>18.196378424232481</v>
      </c>
      <c r="N43" s="1786">
        <v>10</v>
      </c>
      <c r="O43" s="2750">
        <f>+O29/O$5*1000</f>
        <v>20.208964152834557</v>
      </c>
      <c r="P43" s="3193">
        <f t="shared" ref="P43:Q43" si="265">+P29/P$5*1000</f>
        <v>13.988031690704657</v>
      </c>
      <c r="Q43" s="3193">
        <f t="shared" si="265"/>
        <v>18.782940116664985</v>
      </c>
      <c r="R43" s="1786">
        <v>10</v>
      </c>
      <c r="S43" s="2750">
        <f>+S29/S$5*1000</f>
        <v>6.9712251557401359</v>
      </c>
      <c r="T43" s="3193">
        <f t="shared" si="248"/>
        <v>12.990392917607378</v>
      </c>
      <c r="U43" s="3193">
        <f t="shared" si="248"/>
        <v>16.063935499366579</v>
      </c>
      <c r="V43" s="1786">
        <v>10</v>
      </c>
      <c r="W43" s="2750">
        <f>+W29/W$5*1000</f>
        <v>5.1524779412449799</v>
      </c>
      <c r="X43" s="5029">
        <f t="shared" si="249"/>
        <v>9.9999999999999982</v>
      </c>
      <c r="Y43" s="5029">
        <f t="shared" si="249"/>
        <v>11.688190610534166</v>
      </c>
      <c r="Z43" s="6615">
        <f t="shared" si="249"/>
        <v>12.398327419152984</v>
      </c>
      <c r="AA43" s="6615">
        <f t="shared" si="249"/>
        <v>14.839816323693428</v>
      </c>
      <c r="AB43" s="1786">
        <v>10</v>
      </c>
      <c r="AC43" s="2750">
        <f>+AC29/AC$5*1000</f>
        <v>4.1347099704892072</v>
      </c>
      <c r="AD43" s="3193">
        <f t="shared" ref="AD43:AE43" si="266">+AD29/AD$5*1000</f>
        <v>12.170639056007076</v>
      </c>
      <c r="AE43" s="3193">
        <f t="shared" si="266"/>
        <v>13.602385825563315</v>
      </c>
      <c r="AF43" s="1786">
        <v>10</v>
      </c>
      <c r="AG43" s="2750">
        <f>+AG29/AG$5*1000</f>
        <v>3.8507665877929402</v>
      </c>
      <c r="AH43" s="3193">
        <f t="shared" ref="AH43:AI43" si="267">+AH29/AH$5*1000</f>
        <v>11.845464835041669</v>
      </c>
      <c r="AI43" s="3193">
        <f t="shared" si="267"/>
        <v>12.385343740215232</v>
      </c>
      <c r="AJ43" s="1786">
        <v>10</v>
      </c>
      <c r="AK43" s="2750">
        <f>+AK29/AK$5*1000</f>
        <v>8.9781958101752899</v>
      </c>
      <c r="AL43" s="5029">
        <f t="shared" ref="AL43:AO43" si="268">+AL29/AL$5*1000</f>
        <v>10</v>
      </c>
      <c r="AM43" s="5029">
        <f t="shared" si="268"/>
        <v>6.0571961623813815</v>
      </c>
      <c r="AN43" s="3193">
        <f t="shared" si="268"/>
        <v>11.594279241004951</v>
      </c>
      <c r="AO43" s="3193">
        <f t="shared" si="268"/>
        <v>11.913225052829956</v>
      </c>
      <c r="AP43" s="1786">
        <v>10</v>
      </c>
      <c r="AQ43" s="2750">
        <f>+AQ29/AQ$5*1000</f>
        <v>0</v>
      </c>
      <c r="AR43" s="3193">
        <f t="shared" ref="AR43:AS43" si="269">+AR29/AR$5*1000</f>
        <v>11.406040809533261</v>
      </c>
      <c r="AS43" s="3193">
        <f t="shared" si="269"/>
        <v>10.32115562162727</v>
      </c>
      <c r="AT43" s="1786">
        <v>10</v>
      </c>
      <c r="AU43" s="2750">
        <f>+AU29/AU$5*1000</f>
        <v>0.22668426408213022</v>
      </c>
      <c r="AV43" s="3193">
        <f t="shared" ref="AV43:AW43" si="270">+AV29/AV$5*1000</f>
        <v>11.268724344002102</v>
      </c>
      <c r="AW43" s="3193">
        <f t="shared" si="270"/>
        <v>9.2406721135840257</v>
      </c>
      <c r="AX43" s="1786">
        <v>10</v>
      </c>
      <c r="AY43" s="2750">
        <f>+AY29/AY$5*1000</f>
        <v>0</v>
      </c>
      <c r="AZ43" s="5029">
        <f t="shared" ref="AZ43:BE43" si="271">+AZ29/AZ$5*1000</f>
        <v>10</v>
      </c>
      <c r="BA43" s="5029">
        <f t="shared" si="271"/>
        <v>6.8388434148016888E-2</v>
      </c>
      <c r="BB43" s="5029">
        <f t="shared" ref="BB43:BC43" si="272">+BB29/BB$5*1000</f>
        <v>10</v>
      </c>
      <c r="BC43" s="5029">
        <f t="shared" si="272"/>
        <v>2.5886463958314079</v>
      </c>
      <c r="BD43" s="6615">
        <f t="shared" si="271"/>
        <v>11.144731796753881</v>
      </c>
      <c r="BE43" s="6615">
        <f t="shared" si="271"/>
        <v>8.1890368779022147</v>
      </c>
    </row>
    <row r="44" spans="1:57" x14ac:dyDescent="0.2">
      <c r="A44" s="3378" t="s">
        <v>1024</v>
      </c>
      <c r="B44" s="1586" t="s">
        <v>28</v>
      </c>
      <c r="C44" s="1545" t="s">
        <v>734</v>
      </c>
      <c r="D44" s="1786">
        <v>22</v>
      </c>
      <c r="E44" s="2750">
        <f>+E30/E$5*1000</f>
        <v>21.931471975293185</v>
      </c>
      <c r="F44" s="6826">
        <v>24.669366076828016</v>
      </c>
      <c r="G44" s="2750">
        <f>+G30/G$5*1000</f>
        <v>24.669366076828016</v>
      </c>
      <c r="H44" s="3193">
        <f t="shared" si="245"/>
        <v>23.372418874071467</v>
      </c>
      <c r="I44" s="3193">
        <f t="shared" si="245"/>
        <v>23.339123616922048</v>
      </c>
      <c r="J44" s="1786">
        <v>20</v>
      </c>
      <c r="K44" s="2750">
        <f>+K30/K$5*1000</f>
        <v>27.972111529982495</v>
      </c>
      <c r="L44" s="5029">
        <f t="shared" si="246"/>
        <v>22.09569412155081</v>
      </c>
      <c r="M44" s="5029">
        <f t="shared" si="246"/>
        <v>25.013005122183394</v>
      </c>
      <c r="N44" s="1786">
        <v>20</v>
      </c>
      <c r="O44" s="2750">
        <f>+O30/O$5*1000</f>
        <v>23.352347566895293</v>
      </c>
      <c r="P44" s="3193">
        <f t="shared" ref="P44:Q44" si="273">+P30/P$5*1000</f>
        <v>21.392441242503775</v>
      </c>
      <c r="Q44" s="3193">
        <f t="shared" si="273"/>
        <v>24.52901177355859</v>
      </c>
      <c r="R44" s="1786">
        <v>20</v>
      </c>
      <c r="S44" s="2750">
        <f>+S30/S$5*1000</f>
        <v>17.52779795210671</v>
      </c>
      <c r="T44" s="3193">
        <f t="shared" si="248"/>
        <v>21.044110667293111</v>
      </c>
      <c r="U44" s="3193">
        <f t="shared" si="248"/>
        <v>22.917363272879687</v>
      </c>
      <c r="V44" s="1786">
        <v>20</v>
      </c>
      <c r="W44" s="2750">
        <f>+W30/W$5*1000</f>
        <v>28.436460536491282</v>
      </c>
      <c r="X44" s="5029">
        <f t="shared" si="249"/>
        <v>19.999999999999996</v>
      </c>
      <c r="Y44" s="5029">
        <f t="shared" si="249"/>
        <v>22.150205511102467</v>
      </c>
      <c r="Z44" s="6615">
        <f t="shared" si="249"/>
        <v>20.837388032607677</v>
      </c>
      <c r="AA44" s="6615">
        <f t="shared" si="249"/>
        <v>23.536531954680914</v>
      </c>
      <c r="AB44" s="1786">
        <v>20</v>
      </c>
      <c r="AC44" s="2750">
        <f>+AC30/AC$5*1000</f>
        <v>33.893425251321588</v>
      </c>
      <c r="AD44" s="3193">
        <f t="shared" ref="AD44:AE44" si="274">+AD30/AD$5*1000</f>
        <v>20.757889500030441</v>
      </c>
      <c r="AE44" s="3193">
        <f t="shared" si="274"/>
        <v>24.733711619066636</v>
      </c>
      <c r="AF44" s="1786">
        <v>20</v>
      </c>
      <c r="AG44" s="2750">
        <f>+AG30/AG$5*1000</f>
        <v>14.365822825840329</v>
      </c>
      <c r="AH44" s="3193">
        <f t="shared" ref="AH44:AI44" si="275">+AH30/AH$5*1000</f>
        <v>20.644353291848692</v>
      </c>
      <c r="AI44" s="3193">
        <f t="shared" si="275"/>
        <v>23.43975656504935</v>
      </c>
      <c r="AJ44" s="1786">
        <v>20</v>
      </c>
      <c r="AK44" s="2750">
        <f>+AK30/AK$5*1000</f>
        <v>24.872368785051428</v>
      </c>
      <c r="AL44" s="5029">
        <f t="shared" ref="AL44:AO44" si="276">+AL30/AL$5*1000</f>
        <v>20</v>
      </c>
      <c r="AM44" s="5029">
        <f t="shared" si="276"/>
        <v>23.841843596334726</v>
      </c>
      <c r="AN44" s="3193">
        <f t="shared" si="276"/>
        <v>20.556650583398614</v>
      </c>
      <c r="AO44" s="3193">
        <f t="shared" si="276"/>
        <v>23.638269519205572</v>
      </c>
      <c r="AP44" s="1786">
        <v>20</v>
      </c>
      <c r="AQ44" s="2750">
        <f>+AQ30/AQ$5*1000</f>
        <v>12.606124136435314</v>
      </c>
      <c r="AR44" s="3193">
        <f t="shared" ref="AR44:AS44" si="277">+AR30/AR$5*1000</f>
        <v>20.490926192086395</v>
      </c>
      <c r="AS44" s="3193">
        <f t="shared" si="277"/>
        <v>22.163946542295122</v>
      </c>
      <c r="AT44" s="1786">
        <v>20</v>
      </c>
      <c r="AU44" s="2750">
        <f>+AU30/AU$5*1000</f>
        <v>22.391367863223753</v>
      </c>
      <c r="AV44" s="3193">
        <f t="shared" ref="AV44:AW44" si="278">+AV30/AV$5*1000</f>
        <v>20.442981460271426</v>
      </c>
      <c r="AW44" s="3193">
        <f t="shared" si="278"/>
        <v>22.188289073759844</v>
      </c>
      <c r="AX44" s="1786">
        <v>20</v>
      </c>
      <c r="AY44" s="2750">
        <f>+AY30/AY$5*1000</f>
        <v>19.506992874867219</v>
      </c>
      <c r="AZ44" s="5029">
        <f t="shared" ref="AZ44:BE44" si="279">+AZ30/AZ$5*1000</f>
        <v>20</v>
      </c>
      <c r="BA44" s="5029">
        <f t="shared" si="279"/>
        <v>18.056066358057524</v>
      </c>
      <c r="BB44" s="5029">
        <f t="shared" ref="BB44:BC44" si="280">+BB30/BB$5*1000</f>
        <v>20</v>
      </c>
      <c r="BC44" s="5029">
        <f t="shared" si="280"/>
        <v>20.490883405289079</v>
      </c>
      <c r="BD44" s="6615">
        <f t="shared" si="279"/>
        <v>20.399688841269942</v>
      </c>
      <c r="BE44" s="6615">
        <f t="shared" si="279"/>
        <v>21.883144001475536</v>
      </c>
    </row>
    <row r="45" spans="1:57" s="3380" customFormat="1" ht="16" x14ac:dyDescent="0.2">
      <c r="A45" s="3379" t="s">
        <v>1024</v>
      </c>
      <c r="B45" s="6881" t="s">
        <v>162</v>
      </c>
      <c r="C45" s="6882"/>
      <c r="D45" s="6095"/>
      <c r="E45" s="6095"/>
      <c r="F45" s="6095"/>
      <c r="G45" s="6095"/>
      <c r="H45" s="6095"/>
      <c r="I45" s="6095"/>
      <c r="J45" s="6095"/>
      <c r="K45" s="6095"/>
      <c r="L45" s="6095"/>
      <c r="M45" s="6095"/>
      <c r="N45" s="6095"/>
      <c r="O45" s="6095"/>
      <c r="P45" s="6095"/>
      <c r="Q45" s="6095"/>
      <c r="R45" s="6095"/>
      <c r="S45" s="6095"/>
      <c r="T45" s="6095"/>
      <c r="U45" s="6095"/>
      <c r="V45" s="6095"/>
      <c r="W45" s="6095"/>
      <c r="X45" s="6095"/>
      <c r="Y45" s="6095"/>
      <c r="Z45" s="6095"/>
      <c r="AA45" s="6095"/>
      <c r="AB45" s="6095"/>
      <c r="AC45" s="6095"/>
      <c r="AD45" s="6095"/>
      <c r="AE45" s="6095"/>
      <c r="AF45" s="6095"/>
      <c r="AG45" s="6095"/>
      <c r="AH45" s="6095"/>
      <c r="AI45" s="6095"/>
      <c r="AJ45" s="6095"/>
      <c r="AK45" s="6095"/>
      <c r="AL45" s="6095"/>
      <c r="AM45" s="6095"/>
      <c r="AN45" s="6095"/>
      <c r="AO45" s="6095"/>
      <c r="AP45" s="6095"/>
      <c r="AQ45" s="6095"/>
      <c r="AR45" s="6095"/>
      <c r="AS45" s="6095"/>
      <c r="AT45" s="6095"/>
      <c r="AU45" s="6095"/>
      <c r="AV45" s="6095"/>
      <c r="AW45" s="6095"/>
      <c r="AX45" s="6095"/>
      <c r="AY45" s="6095"/>
      <c r="AZ45" s="6095"/>
      <c r="BA45" s="6095"/>
      <c r="BB45" s="6095"/>
      <c r="BC45" s="6095"/>
      <c r="BD45" s="6095"/>
      <c r="BE45" s="6095"/>
    </row>
    <row r="46" spans="1:57" x14ac:dyDescent="0.2">
      <c r="A46" s="3378" t="s">
        <v>1024</v>
      </c>
      <c r="B46" s="1584" t="s">
        <v>757</v>
      </c>
      <c r="C46" s="1579" t="s">
        <v>735</v>
      </c>
      <c r="D46" s="2809">
        <f>+'Maj Techno Summ'!D14</f>
        <v>1.4568571523826617</v>
      </c>
      <c r="E46" s="4145">
        <f>+'Maj Techno Summ'!E14</f>
        <v>1.4570000000000001</v>
      </c>
      <c r="F46" s="2809">
        <f>+'Maj Techno Summ'!F14</f>
        <v>1.448</v>
      </c>
      <c r="G46" s="4145">
        <f>+'Maj Techno Summ'!G14</f>
        <v>1.448</v>
      </c>
      <c r="H46" s="2953">
        <f>+(H5/3551)/(D47+F47)</f>
        <v>1.4522898747794677</v>
      </c>
      <c r="I46" s="4152">
        <f>+(I5/3551)/(E47+G47)</f>
        <v>1.4523588412309316</v>
      </c>
      <c r="J46" s="2809">
        <f>+'Maj Techno Summ'!J14</f>
        <v>1.8459844858042549</v>
      </c>
      <c r="K46" s="4145">
        <f>+'Maj Techno Summ'!K14</f>
        <v>1.7</v>
      </c>
      <c r="L46" s="2954">
        <f>+(L5/3551)/(H47+J47)</f>
        <v>1.5798462004054226</v>
      </c>
      <c r="M46" s="4157">
        <f>+(M5/3551)/(I47+K47)</f>
        <v>1.5330436885140646</v>
      </c>
      <c r="N46" s="2809">
        <f>+'Maj Techno Summ'!N14</f>
        <v>2.257451140805407</v>
      </c>
      <c r="O46" s="6096">
        <f>+'Maj Techno Summ'!O14</f>
        <v>1.774</v>
      </c>
      <c r="P46" s="2953">
        <f>+(P5/3551)/(L47+N47)</f>
        <v>1.7568019294284003</v>
      </c>
      <c r="Q46" s="4152">
        <f>+(Q5/3551)/(M47+O47)</f>
        <v>1.5962324940561921</v>
      </c>
      <c r="R46" s="2809">
        <f>+'Maj Techno Summ'!R14</f>
        <v>2.2442942664038301</v>
      </c>
      <c r="S46" s="6096">
        <f>+'Maj Techno Summ'!S14</f>
        <v>1.845</v>
      </c>
      <c r="T46" s="2953">
        <f>+(T5/3551)/(P47+R47)</f>
        <v>1.8577480236838868</v>
      </c>
      <c r="U46" s="4152">
        <f>+(U5/3551)/(Q47+S47)</f>
        <v>1.6473634235524466</v>
      </c>
      <c r="V46" s="2809">
        <f>+'Maj Techno Summ'!V14</f>
        <v>2.2522967043086455</v>
      </c>
      <c r="W46" s="6096">
        <f>+'Maj Techno Summ'!W14</f>
        <v>1.599</v>
      </c>
      <c r="X46" s="2954">
        <f>+(X5/3551)/(N47+R47+V47)</f>
        <v>2.2513420669651638</v>
      </c>
      <c r="Y46" s="2954">
        <f>+(Y5/3551)/(O47+S47+W47)</f>
        <v>1.7589480573405147</v>
      </c>
      <c r="Z46" s="6608">
        <f>+(Z5/3551)/(T47+V47)</f>
        <v>1.9244952679833884</v>
      </c>
      <c r="AA46" s="6835">
        <f>+(AA5/3551)/(U47+W47)</f>
        <v>1.6417924926573886</v>
      </c>
      <c r="AB46" s="2809">
        <f>+'Maj Techno Summ'!AB14</f>
        <v>1.7600675865953253</v>
      </c>
      <c r="AC46" s="6096">
        <f>+'Maj Techno Summ'!AC14</f>
        <v>1.1819999999999999</v>
      </c>
      <c r="AD46" s="2953">
        <f>+(AD5/3551)/(Z47+AB47)</f>
        <v>1.9075768406154094</v>
      </c>
      <c r="AE46" s="4152">
        <f>+(AE5/3551)/(AA47+AC47)</f>
        <v>1.5711459739669573</v>
      </c>
      <c r="AF46" s="2809">
        <f>+'Maj Techno Summ'!AF14</f>
        <v>2.2528865108420164</v>
      </c>
      <c r="AG46" s="6096">
        <f>+'Maj Techno Summ'!AG14</f>
        <v>1.65</v>
      </c>
      <c r="AH46" s="2953">
        <f>+(AH5/3551)/(AD47+AF47)</f>
        <v>1.9524067881384419</v>
      </c>
      <c r="AI46" s="4152">
        <f>+(AI5/3551)/(AE47+AG47)</f>
        <v>1.5805731886958954</v>
      </c>
      <c r="AJ46" s="2809">
        <f>+'Maj Techno Summ'!AJ14</f>
        <v>2.2528865108420164</v>
      </c>
      <c r="AK46" s="6096">
        <f>+'Maj Techno Summ'!AK14</f>
        <v>1.9279999999999999</v>
      </c>
      <c r="AL46" s="2954">
        <f>+(AL5/3551)/(AB47+AF47+AJ47)</f>
        <v>2.1289069072579432</v>
      </c>
      <c r="AM46" s="2954">
        <f>+(AM5/3551)/(AC47+AG47+AK47)</f>
        <v>1.5810814911202304</v>
      </c>
      <c r="AN46" s="2953">
        <f>+(AN5/3551)/(AH47+AJ47)</f>
        <v>1.9885054915930476</v>
      </c>
      <c r="AO46" s="4152">
        <f>+(AO5/3551)/(AI47+AK47)</f>
        <v>1.6210506328147731</v>
      </c>
      <c r="AP46" s="2809">
        <f>+'Maj Techno Summ'!AP14</f>
        <v>2.2528865108420164</v>
      </c>
      <c r="AQ46" s="6096">
        <f>+'Maj Techno Summ'!AQ14</f>
        <v>2.0590000000000002</v>
      </c>
      <c r="AR46" s="2953">
        <f>+(AR5/3551)/(AN47+AP47)</f>
        <v>2.0164451619404913</v>
      </c>
      <c r="AS46" s="4152">
        <f>+(AS5/3551)/(AO47+AQ47)</f>
        <v>1.6684770650764711</v>
      </c>
      <c r="AT46" s="2809">
        <f>+'Maj Techno Summ'!AT14</f>
        <v>2.2530000000000001</v>
      </c>
      <c r="AU46" s="6096">
        <f>+'Maj Techno Summ'!AU14</f>
        <v>2.0299999999999998</v>
      </c>
      <c r="AV46" s="2953">
        <f>+(AV5/3551)/(AR47+AT47)</f>
        <v>2.0373361035254063</v>
      </c>
      <c r="AW46" s="4152">
        <f>+(AW5/3551)/(AS47+AU47)</f>
        <v>1.7009000635479676</v>
      </c>
      <c r="AX46" s="2809">
        <f>+'Maj Techno Summ'!AX14</f>
        <v>2.2530000000000001</v>
      </c>
      <c r="AY46" s="6096">
        <f>+'Maj Techno Summ'!AY14</f>
        <v>2.1869999999999998</v>
      </c>
      <c r="AZ46" s="2954">
        <f>+(AZ5/3551)/(AP47+AT47+AX47)</f>
        <v>2.2529613092297889</v>
      </c>
      <c r="BA46" s="2954">
        <f>+(BA5/3551)/(AQ47+AU47+AY47)</f>
        <v>2.0943414602321919</v>
      </c>
      <c r="BB46" s="2954">
        <f>+(BB5/3551)/(AR47+AV47+AZ47)</f>
        <v>0.53787376093783834</v>
      </c>
      <c r="BC46" s="2954">
        <f>+(BC5/3551)/BC47</f>
        <v>1.8426183159850877</v>
      </c>
      <c r="BD46" s="6608">
        <f>+(BD5/3551)/(AV47+AX47)</f>
        <v>2.0565754006373806</v>
      </c>
      <c r="BE46" s="6835">
        <f>+(BE5/3551)/(AW47+AY47)</f>
        <v>1.7450412546954082</v>
      </c>
    </row>
    <row r="47" spans="1:57" x14ac:dyDescent="0.2">
      <c r="A47" s="3378" t="s">
        <v>1024</v>
      </c>
      <c r="B47" s="1586" t="s">
        <v>983</v>
      </c>
      <c r="C47" s="1545" t="s">
        <v>736</v>
      </c>
      <c r="D47" s="2714">
        <f>+D5/(D46*3551)</f>
        <v>27.79</v>
      </c>
      <c r="E47" s="2067">
        <f>+E5/(E46*3551)</f>
        <v>27.787275404745476</v>
      </c>
      <c r="F47" s="2714">
        <f>+F5/(F46*3551)</f>
        <v>29.5870278545768</v>
      </c>
      <c r="G47" s="2067">
        <f>+G5/(G46*3551)</f>
        <v>29.5870278545768</v>
      </c>
      <c r="H47" s="3097">
        <f>+D47+F47</f>
        <v>57.377027854576795</v>
      </c>
      <c r="I47" s="2486">
        <f>+E47+G47</f>
        <v>57.374303259322275</v>
      </c>
      <c r="J47" s="2714">
        <f>+J5/(J46*3551)</f>
        <v>27.5</v>
      </c>
      <c r="K47" s="2067">
        <f>+K5/(K46*3551)</f>
        <v>27.727235078768203</v>
      </c>
      <c r="L47" s="4142">
        <f>+H47+J47</f>
        <v>84.877027854576795</v>
      </c>
      <c r="M47" s="2268">
        <f>+I47+K47</f>
        <v>85.101538338090478</v>
      </c>
      <c r="N47" s="2714">
        <f>+N5/(N46*3551)</f>
        <v>30</v>
      </c>
      <c r="O47" s="3861">
        <f>+O5/(O46*3551)</f>
        <v>30.249985951207989</v>
      </c>
      <c r="P47" s="3097">
        <f>+L47+N47</f>
        <v>114.8770278545768</v>
      </c>
      <c r="Q47" s="2486">
        <f>+M47+O47</f>
        <v>115.35152428929847</v>
      </c>
      <c r="R47" s="2714">
        <f>+R5/(R46*3551)</f>
        <v>29.999999999999996</v>
      </c>
      <c r="S47" s="3861">
        <f>+S5/(S46*3551)</f>
        <v>29.842809270109033</v>
      </c>
      <c r="T47" s="3097">
        <f>+P47+R47</f>
        <v>144.8770278545768</v>
      </c>
      <c r="U47" s="2486">
        <f>+Q47+S47</f>
        <v>145.19433355940751</v>
      </c>
      <c r="V47" s="2714">
        <f>+V5/(V46*3551)</f>
        <v>29.5</v>
      </c>
      <c r="W47" s="3861">
        <f>+W5/(W46*3551)</f>
        <v>18.902091193647678</v>
      </c>
      <c r="X47" s="6657">
        <f t="shared" ref="X47" si="281">+V47+R47+N47</f>
        <v>89.5</v>
      </c>
      <c r="Y47" s="2011">
        <f t="shared" ref="Y47" si="282">+W47+S47+O47</f>
        <v>78.994886414964697</v>
      </c>
      <c r="Z47" s="6836">
        <f>+T47+V47</f>
        <v>174.3770278545768</v>
      </c>
      <c r="AA47" s="6611">
        <f>+U47+W47</f>
        <v>164.0964247530552</v>
      </c>
      <c r="AB47" s="2714">
        <f>+AB5/(AB46*3551)</f>
        <v>20</v>
      </c>
      <c r="AC47" s="3861">
        <f>+AC5/(AC46*3551)</f>
        <v>29.790469165521877</v>
      </c>
      <c r="AD47" s="3097">
        <f>+Z47+AB47</f>
        <v>194.3770278545768</v>
      </c>
      <c r="AE47" s="2486">
        <f>+AA47+AC47</f>
        <v>193.88689391857707</v>
      </c>
      <c r="AF47" s="2714">
        <f>+AF5/(AF46*3551)</f>
        <v>29</v>
      </c>
      <c r="AG47" s="3861">
        <f>+AG5/(AG46*3551)</f>
        <v>26.3271976310557</v>
      </c>
      <c r="AH47" s="3097">
        <f>+AD47+AF47</f>
        <v>223.3770278545768</v>
      </c>
      <c r="AI47" s="2486">
        <f>+AE47+AG47</f>
        <v>220.21409154963277</v>
      </c>
      <c r="AJ47" s="2714">
        <f>+AJ5/(AJ46*3551)</f>
        <v>30.5</v>
      </c>
      <c r="AK47" s="3861">
        <f>+AK5/(AK46*3551)</f>
        <v>29.039654541821545</v>
      </c>
      <c r="AL47" s="7737">
        <f t="shared" ref="AL47" si="283">+AJ47+AF47+AB47</f>
        <v>79.5</v>
      </c>
      <c r="AM47" s="2011">
        <f t="shared" ref="AM47" si="284">+AK47+AG47+AC47</f>
        <v>85.157321338399129</v>
      </c>
      <c r="AN47" s="3097">
        <f>+AH47+AJ47</f>
        <v>253.8770278545768</v>
      </c>
      <c r="AO47" s="2486">
        <f>+AI47+AK47</f>
        <v>249.2537460914543</v>
      </c>
      <c r="AP47" s="2714">
        <f>+AP5/(AP46*3551)</f>
        <v>30</v>
      </c>
      <c r="AQ47" s="3861">
        <f>+AQ5/(AQ46*3551)</f>
        <v>30.270221919989428</v>
      </c>
      <c r="AR47" s="3097">
        <f>+AN47+AP47</f>
        <v>283.8770278545768</v>
      </c>
      <c r="AS47" s="2486">
        <f>+AO47+AQ47</f>
        <v>279.52396801144374</v>
      </c>
      <c r="AT47" s="2714">
        <f>+AT5/(AT46*3551)</f>
        <v>27.498614757281601</v>
      </c>
      <c r="AU47" s="3861">
        <f>+AU5/(AU46*3551)</f>
        <v>27.538763104266753</v>
      </c>
      <c r="AV47" s="3097">
        <f>+AR47+AT47</f>
        <v>311.37564261185838</v>
      </c>
      <c r="AW47" s="2486">
        <f>+AS47+AU47</f>
        <v>307.06273111571051</v>
      </c>
      <c r="AX47" s="2714">
        <f>+AX5/(AX46*3551)</f>
        <v>30.49846363989414</v>
      </c>
      <c r="AY47" s="3861">
        <f>+AY5/(AY46*3551)</f>
        <v>30.668280359725305</v>
      </c>
      <c r="AZ47" s="8323">
        <f t="shared" ref="AZ47" si="285">+AX47+AT47+AP47</f>
        <v>87.997078397175741</v>
      </c>
      <c r="BA47" s="2011">
        <f t="shared" ref="BA47" si="286">+AY47+AU47+AQ47</f>
        <v>88.477265383981489</v>
      </c>
      <c r="BB47" s="8323">
        <f t="shared" ref="BB47" si="287">+AZ47+AV47+AR47</f>
        <v>683.24974886361088</v>
      </c>
      <c r="BC47" s="2011">
        <f t="shared" ref="BC47" si="288">+BA47+AM47</f>
        <v>173.63458672238062</v>
      </c>
      <c r="BD47" s="6836">
        <f>+AV47+AX47</f>
        <v>341.87410625175255</v>
      </c>
      <c r="BE47" s="6611">
        <f>+AW47+AY47</f>
        <v>337.73101147543582</v>
      </c>
    </row>
    <row r="48" spans="1:57" ht="16" thickBot="1" x14ac:dyDescent="0.25">
      <c r="A48" s="3378" t="s">
        <v>1024</v>
      </c>
      <c r="B48" s="1589" t="s">
        <v>737</v>
      </c>
      <c r="C48" s="1548" t="s">
        <v>169</v>
      </c>
      <c r="D48" s="2715">
        <v>82.582505607177183</v>
      </c>
      <c r="E48" s="3180">
        <f t="shared" ref="E48" si="289">+(E41/(E41+E42))*100</f>
        <v>82.582505607177183</v>
      </c>
      <c r="F48" s="2715">
        <v>80.747709450429127</v>
      </c>
      <c r="G48" s="3180">
        <f t="shared" ref="G48" si="290">+(G41/(G41+G42))*100</f>
        <v>80.747709450429127</v>
      </c>
      <c r="H48" s="3098">
        <f t="shared" ref="H48:I48" si="291">+(H41/(H41+H42))*100</f>
        <v>81.630067908655761</v>
      </c>
      <c r="I48" s="3168">
        <f t="shared" si="291"/>
        <v>81.637847237334896</v>
      </c>
      <c r="J48" s="2715">
        <v>80.049261083743843</v>
      </c>
      <c r="K48" s="3180">
        <f t="shared" ref="K48" si="292">+(K41/(K41+K42))*100</f>
        <v>81.423550549322783</v>
      </c>
      <c r="L48" s="3062">
        <f t="shared" ref="L48:M48" si="293">+(L41/(L41+L42))*100</f>
        <v>81.033205220591668</v>
      </c>
      <c r="M48" s="3904">
        <f t="shared" si="293"/>
        <v>81.561578879917988</v>
      </c>
      <c r="N48" s="2715">
        <v>75.999999999999986</v>
      </c>
      <c r="O48" s="6097">
        <f t="shared" ref="O48" si="294">+(O41/(O41+O42))*100</f>
        <v>76.51771546870792</v>
      </c>
      <c r="P48" s="3098">
        <f>+(P41/(P41+P42))*100</f>
        <v>79.351557186785598</v>
      </c>
      <c r="Q48" s="3168">
        <f t="shared" ref="Q48" si="295">+(Q41/(Q41+Q42))*100</f>
        <v>80.091367821690866</v>
      </c>
      <c r="R48" s="2715">
        <v>75.999999999999986</v>
      </c>
      <c r="S48" s="6097">
        <f t="shared" ref="S48" si="296">+(S41/(S41+S42))*100</f>
        <v>76.14392991239049</v>
      </c>
      <c r="T48" s="3098">
        <f>+(T41/(T41+T42))*100</f>
        <v>78.515875259073837</v>
      </c>
      <c r="U48" s="3168">
        <f t="shared" ref="U48" si="297">+(U41/(U41+U42))*100</f>
        <v>79.175082524430493</v>
      </c>
      <c r="V48" s="2715">
        <v>75.999999999999986</v>
      </c>
      <c r="W48" s="6097">
        <f t="shared" ref="W48:Y48" si="298">+(W41/(W41+W42))*100</f>
        <v>76.775343374543908</v>
      </c>
      <c r="X48" s="3062">
        <f t="shared" si="298"/>
        <v>75.999999999999986</v>
      </c>
      <c r="Y48" s="3904">
        <f t="shared" si="298"/>
        <v>76.42631236625607</v>
      </c>
      <c r="Z48" s="6837">
        <f>+(Z41/(Z41+Z42))*100</f>
        <v>78.019064372074624</v>
      </c>
      <c r="AA48" s="6838">
        <f t="shared" ref="AA48" si="299">+(AA41/(AA41+AA42))*100</f>
        <v>78.900543630670768</v>
      </c>
      <c r="AB48" s="2715">
        <v>75.999999999999986</v>
      </c>
      <c r="AC48" s="6097">
        <f t="shared" ref="AC48" si="300">+(AC41/(AC41+AC42))*100</f>
        <v>77.764417272718504</v>
      </c>
      <c r="AD48" s="3098">
        <f>+(AD41/(AD41+AD42))*100</f>
        <v>77.827836549236395</v>
      </c>
      <c r="AE48" s="3168">
        <f t="shared" ref="AE48" si="301">+(AE41/(AE41+AE42))*100</f>
        <v>78.767006657925663</v>
      </c>
      <c r="AF48" s="2715">
        <v>75.999999999999986</v>
      </c>
      <c r="AG48" s="6097">
        <f t="shared" ref="AG48" si="302">+(AG41/(AG41+AG42))*100</f>
        <v>74.456506715424752</v>
      </c>
      <c r="AH48" s="3098">
        <f>+(AH41/(AH41+AH42))*100</f>
        <v>77.55456855677447</v>
      </c>
      <c r="AI48" s="3168">
        <f t="shared" ref="AI48" si="303">+(AI41/(AI41+AI42))*100</f>
        <v>78.2253193868289</v>
      </c>
      <c r="AJ48" s="2715">
        <v>75.999999999999986</v>
      </c>
      <c r="AK48" s="6097">
        <f t="shared" ref="AK48:AM48" si="304">+(AK41/(AK41+AK42))*100</f>
        <v>77.499575829556193</v>
      </c>
      <c r="AL48" s="3062">
        <f t="shared" si="304"/>
        <v>75.999999999999986</v>
      </c>
      <c r="AM48" s="3904">
        <f t="shared" si="304"/>
        <v>76.593994865611364</v>
      </c>
      <c r="AN48" s="3098">
        <f>+(AN41/(AN41+AN42))*100</f>
        <v>77.343345646232493</v>
      </c>
      <c r="AO48" s="3168">
        <f t="shared" ref="AO48" si="305">+(AO41/(AO41+AO42))*100</f>
        <v>78.123175708896326</v>
      </c>
      <c r="AP48" s="2715">
        <v>76</v>
      </c>
      <c r="AQ48" s="6097">
        <f t="shared" ref="AQ48" si="306">+(AQ41/(AQ41+AQ42))*100</f>
        <v>75.198388590529731</v>
      </c>
      <c r="AR48" s="3098">
        <f>+(AR41/(AR41+AR42))*100</f>
        <v>77.184979163071304</v>
      </c>
      <c r="AS48" s="3168">
        <f t="shared" ref="AS48" si="307">+(AS41/(AS41+AS42))*100</f>
        <v>77.724265019989332</v>
      </c>
      <c r="AT48" s="2715">
        <v>76</v>
      </c>
      <c r="AU48" s="6097">
        <f t="shared" ref="AU48" si="308">+(AU41/(AU41+AU42))*100</f>
        <v>74.933669913375539</v>
      </c>
      <c r="AV48" s="3098">
        <f>+(AV41/(AV41+AV42))*100</f>
        <v>77.069412590740754</v>
      </c>
      <c r="AW48" s="3168">
        <f t="shared" ref="AW48" si="309">+(AW41/(AW41+AW42))*100</f>
        <v>77.412541111614885</v>
      </c>
      <c r="AX48" s="2715">
        <v>76</v>
      </c>
      <c r="AY48" s="6097">
        <f t="shared" ref="AY48:BA48" si="310">+(AY41/(AY41+AY42))*100</f>
        <v>75.297892540374789</v>
      </c>
      <c r="AZ48" s="3062">
        <f t="shared" si="310"/>
        <v>75.999999999999986</v>
      </c>
      <c r="BA48" s="3904">
        <f t="shared" si="310"/>
        <v>75.152089002475194</v>
      </c>
      <c r="BB48" s="3062">
        <f t="shared" ref="BB48:BC48" si="311">+(BB41/(BB41+BB42))*100</f>
        <v>75.999999999999986</v>
      </c>
      <c r="BC48" s="3904">
        <f t="shared" si="311"/>
        <v>75.753115302585698</v>
      </c>
      <c r="BD48" s="6837">
        <f>+(BD41/(BD41+BD42))*100</f>
        <v>76.965029694818782</v>
      </c>
      <c r="BE48" s="6838">
        <f t="shared" ref="BE48" si="312">+(BE41/(BE41+BE42))*100</f>
        <v>77.171142464362461</v>
      </c>
    </row>
    <row r="49" spans="1:57" s="3380" customFormat="1" ht="17" thickBot="1" x14ac:dyDescent="0.25">
      <c r="A49" s="3379" t="s">
        <v>1024</v>
      </c>
      <c r="B49" s="6886" t="s">
        <v>485</v>
      </c>
      <c r="C49" s="6887"/>
      <c r="D49" s="6888"/>
      <c r="E49" s="6889"/>
      <c r="F49" s="6888"/>
      <c r="G49" s="6098"/>
      <c r="H49" s="6888"/>
      <c r="I49" s="6098"/>
      <c r="J49" s="6888"/>
      <c r="K49" s="6098"/>
      <c r="L49" s="6888"/>
      <c r="M49" s="6098"/>
      <c r="N49" s="6888"/>
      <c r="O49" s="6098"/>
      <c r="P49" s="6888"/>
      <c r="Q49" s="6098"/>
      <c r="R49" s="6888"/>
      <c r="S49" s="6098"/>
      <c r="T49" s="6888"/>
      <c r="U49" s="6098"/>
      <c r="V49" s="6888"/>
      <c r="W49" s="6098"/>
      <c r="X49" s="6888"/>
      <c r="Y49" s="6098"/>
      <c r="Z49" s="6888"/>
      <c r="AA49" s="6098"/>
      <c r="AB49" s="6888"/>
      <c r="AC49" s="6098"/>
      <c r="AD49" s="6888"/>
      <c r="AE49" s="6098"/>
      <c r="AF49" s="6888"/>
      <c r="AG49" s="6098"/>
      <c r="AH49" s="6888"/>
      <c r="AI49" s="6098"/>
      <c r="AJ49" s="6888"/>
      <c r="AK49" s="6098"/>
      <c r="AL49" s="6888"/>
      <c r="AM49" s="6098"/>
      <c r="AN49" s="6888"/>
      <c r="AO49" s="6098"/>
      <c r="AP49" s="6888"/>
      <c r="AQ49" s="6098"/>
      <c r="AR49" s="8405"/>
      <c r="AS49" s="8406"/>
      <c r="AT49" s="8405"/>
      <c r="AU49" s="8406"/>
      <c r="AV49" s="8405"/>
      <c r="AW49" s="8406"/>
      <c r="AX49" s="8405"/>
      <c r="AY49" s="8406"/>
      <c r="AZ49" s="8405"/>
      <c r="BA49" s="8406"/>
      <c r="BB49" s="8405"/>
      <c r="BC49" s="8406"/>
      <c r="BD49" s="8405"/>
      <c r="BE49" s="8406"/>
    </row>
    <row r="50" spans="1:57" ht="16" thickBot="1" x14ac:dyDescent="0.25">
      <c r="B50" s="1585" t="s">
        <v>738</v>
      </c>
      <c r="C50" s="1554" t="s">
        <v>169</v>
      </c>
      <c r="D50" s="2798">
        <f>+'COKE OVENS'!D241</f>
        <v>2.0593419978934016</v>
      </c>
      <c r="E50" s="4148">
        <f>+'COKE OVENS'!E241</f>
        <v>1.8530730364805577</v>
      </c>
      <c r="F50" s="2798">
        <f>+'COKE OVENS'!F241</f>
        <v>2.13897704462113</v>
      </c>
      <c r="G50" s="3215">
        <f>+'COKE OVENS'!G241</f>
        <v>1.9157846051503238</v>
      </c>
      <c r="H50" s="4393">
        <f>+'COKE OVENS'!H241</f>
        <v>2.1045092715137907</v>
      </c>
      <c r="I50" s="3871">
        <f>+'COKE OVENS'!I241</f>
        <v>1.8852415267076732</v>
      </c>
      <c r="J50" s="2798">
        <f>+'COKE OVENS'!J241</f>
        <v>2.1025756011416217</v>
      </c>
      <c r="K50" s="3215">
        <f>+'COKE OVENS'!K241</f>
        <v>1.9051539529121961</v>
      </c>
      <c r="L50" s="6063">
        <f>+'COKE OVENS'!L241</f>
        <v>2.1038182713366496</v>
      </c>
      <c r="M50" s="3893">
        <f>+'COKE OVENS'!M241</f>
        <v>1.8924221715042013</v>
      </c>
      <c r="N50" s="2798">
        <f>+'COKE OVENS'!N241</f>
        <v>2.0584615384615383</v>
      </c>
      <c r="O50" s="6099">
        <f>+'COKE OVENS'!O241</f>
        <v>2.0008841387243748</v>
      </c>
      <c r="P50" s="4393">
        <f>+'COKE OVENS'!P241</f>
        <v>2.0905606256773157</v>
      </c>
      <c r="Q50" s="3871">
        <f>+'COKE OVENS'!Q241</f>
        <v>1.9229766610535415</v>
      </c>
      <c r="R50" s="2798">
        <f>+'COKE OVENS'!R241</f>
        <v>2.0584615384615383</v>
      </c>
      <c r="S50" s="6099">
        <f>+'COKE OVENS'!S241</f>
        <v>1.9830796830943012</v>
      </c>
      <c r="T50" s="4393">
        <f>+'COKE OVENS'!T241</f>
        <v>2.0833003196750139</v>
      </c>
      <c r="U50" s="3871">
        <f>+'COKE OVENS'!U241</f>
        <v>1.9369605490974671</v>
      </c>
      <c r="V50" s="2798">
        <f>+'COKE OVENS'!V241</f>
        <v>2.0584615384615383</v>
      </c>
      <c r="W50" s="6099">
        <f>+'COKE OVENS'!W241</f>
        <v>2.021115943593633</v>
      </c>
      <c r="X50" s="6063">
        <f>+'COKE OVENS'!X241</f>
        <v>2.0584615384615383</v>
      </c>
      <c r="Y50" s="3893">
        <f>+'COKE OVENS'!Y241</f>
        <v>2.0009222354327272</v>
      </c>
      <c r="Z50" s="6890">
        <f>+'COKE OVENS'!Z241</f>
        <v>2.0788397707105863</v>
      </c>
      <c r="AA50" s="6841">
        <f>+'COKE OVENS'!AA241</f>
        <v>1.9513344174565244</v>
      </c>
      <c r="AB50" s="2798">
        <f>+'COKE OVENS'!AB241</f>
        <v>2.0584615384615383</v>
      </c>
      <c r="AC50" s="6099">
        <f>+'COKE OVENS'!AC241</f>
        <v>1.9785917214339084</v>
      </c>
      <c r="AD50" s="4393">
        <f>+'COKE OVENS'!AD241</f>
        <v>2.0756501486237822</v>
      </c>
      <c r="AE50" s="3871">
        <f>+'COKE OVENS'!AE241</f>
        <v>1.9556508858883654</v>
      </c>
      <c r="AF50" s="2798">
        <f>+'COKE OVENS'!AF241</f>
        <v>2.0584615384615383</v>
      </c>
      <c r="AG50" s="6099">
        <f>+'COKE OVENS'!AG241</f>
        <v>2.0209167140959972</v>
      </c>
      <c r="AH50" s="4393">
        <f>+'COKE OVENS'!AH241</f>
        <v>2.0733890491264582</v>
      </c>
      <c r="AI50" s="3871">
        <f>+'COKE OVENS'!AI241</f>
        <v>1.9641132934667029</v>
      </c>
      <c r="AJ50" s="2798">
        <f>+'COKE OVENS'!AJ241</f>
        <v>2.0593419978934016</v>
      </c>
      <c r="AK50" s="6099">
        <f>+'COKE OVENS'!AK241</f>
        <v>1.9399923204779905</v>
      </c>
      <c r="AL50" s="6063">
        <f>+'COKE OVENS'!AL241</f>
        <v>2.0584615384615383</v>
      </c>
      <c r="AM50" s="3893">
        <f>+'COKE OVENS'!AM241</f>
        <v>1.9786151705507062</v>
      </c>
      <c r="AN50" s="4393">
        <f>+'COKE OVENS'!AN241</f>
        <v>2.0716027479319186</v>
      </c>
      <c r="AO50" s="3871">
        <f>+'COKE OVENS'!AO241</f>
        <v>1.9611153695436501</v>
      </c>
      <c r="AP50" s="2798">
        <f>+'COKE OVENS'!AP241</f>
        <v>2.0584615384615383</v>
      </c>
      <c r="AQ50" s="6099">
        <f>+'COKE OVENS'!AQ241</f>
        <v>1.9277064250940064</v>
      </c>
      <c r="AR50" s="8410">
        <f>+'COKE OVENS'!AR241</f>
        <v>2.070198271300733</v>
      </c>
      <c r="AS50" s="8411">
        <f>+'COKE OVENS'!AS241</f>
        <v>1.9574221581343354</v>
      </c>
      <c r="AT50" s="8412">
        <f>+'COKE OVENS'!AT241</f>
        <v>2.0584615384615383</v>
      </c>
      <c r="AU50" s="7043">
        <f>+'COKE OVENS'!AU241</f>
        <v>1.929929751527204</v>
      </c>
      <c r="AV50" s="8413">
        <f>+'COKE OVENS'!AV241</f>
        <v>2.0691650316715759</v>
      </c>
      <c r="AW50" s="8411">
        <f>+'COKE OVENS'!AW241</f>
        <v>1.9549081424749759</v>
      </c>
      <c r="AX50" s="8412">
        <f>+'COKE OVENS'!AX241</f>
        <v>2.0584615384615383</v>
      </c>
      <c r="AY50" s="7043">
        <f>+'COKE OVENS'!AY241</f>
        <v>1.9061366355266234</v>
      </c>
      <c r="AZ50" s="8414">
        <f>+'COKE OVENS'!AZ241</f>
        <v>2.0584615384615383</v>
      </c>
      <c r="BA50" s="8415">
        <f>+'COKE OVENS'!BA241</f>
        <v>1.9208258568947139</v>
      </c>
      <c r="BB50" s="8414">
        <f>+'COKE OVENS'!BB241</f>
        <v>2.0584615384615379</v>
      </c>
      <c r="BC50" s="8415">
        <f>+'COKE OVENS'!BC241</f>
        <v>1.9495569916292688</v>
      </c>
      <c r="BD50" s="6747">
        <f>+'COKE OVENS'!BB241</f>
        <v>2.0584615384615379</v>
      </c>
      <c r="BE50" s="6748">
        <f>+'COKE OVENS'!BC241</f>
        <v>1.9495569916292688</v>
      </c>
    </row>
    <row r="51" spans="1:57" ht="15.75" hidden="1" customHeight="1" thickBot="1" x14ac:dyDescent="0.25">
      <c r="A51" s="3378" t="s">
        <v>1024</v>
      </c>
      <c r="B51" s="1586" t="s">
        <v>691</v>
      </c>
      <c r="C51" s="1545" t="s">
        <v>169</v>
      </c>
      <c r="D51" s="3224">
        <v>14.5</v>
      </c>
      <c r="E51" s="4146">
        <f>+'2019-20 MASTER'!F1338</f>
        <v>0</v>
      </c>
      <c r="F51" s="3224">
        <v>14.5</v>
      </c>
      <c r="G51" s="2559">
        <f>+'2019-20 MASTER'!G1338</f>
        <v>0</v>
      </c>
      <c r="H51" s="2976">
        <v>14.5</v>
      </c>
      <c r="I51" s="2807">
        <f>+'2019-20 MASTER'!H1338</f>
        <v>0</v>
      </c>
      <c r="J51" s="3224">
        <v>14.5</v>
      </c>
      <c r="K51" s="2559">
        <f>+'2019-20 MASTER'!I1338</f>
        <v>0</v>
      </c>
      <c r="L51" s="3140">
        <v>14.5</v>
      </c>
      <c r="M51" s="2888">
        <f>+'2019-20 MASTER'!J1338</f>
        <v>0</v>
      </c>
      <c r="N51" s="3224">
        <v>14.5</v>
      </c>
      <c r="O51" s="3179">
        <f>+'2019-20 MASTER'!M1338</f>
        <v>0</v>
      </c>
      <c r="P51" s="2976">
        <v>14.5</v>
      </c>
      <c r="Q51" s="2486">
        <f>+'2019-20 MASTER'!L1338</f>
        <v>0</v>
      </c>
      <c r="R51" s="3224">
        <v>14.5</v>
      </c>
      <c r="S51" s="3179">
        <f>+'2019-20 MASTER'!Q1338</f>
        <v>0</v>
      </c>
      <c r="T51" s="2976">
        <v>14.5</v>
      </c>
      <c r="U51" s="2486">
        <f>+'2019-20 MASTER'!P1338</f>
        <v>0</v>
      </c>
      <c r="V51" s="3224">
        <v>14.5</v>
      </c>
      <c r="W51" s="3179">
        <f>+'2019-20 MASTER'!U1338</f>
        <v>0</v>
      </c>
      <c r="X51" s="3140">
        <v>14.5</v>
      </c>
      <c r="Y51" s="2888">
        <f>+'2019-20 MASTER'!V1338</f>
        <v>0</v>
      </c>
      <c r="Z51" s="6717">
        <v>14.5</v>
      </c>
      <c r="AA51" s="6611">
        <f>+'2019-20 MASTER'!T1338</f>
        <v>0</v>
      </c>
      <c r="AB51" s="3224">
        <v>14.5</v>
      </c>
      <c r="AC51" s="3179">
        <f>+'2019-20 MASTER'!AA1338</f>
        <v>0</v>
      </c>
      <c r="AD51" s="2976">
        <v>14.5</v>
      </c>
      <c r="AE51" s="2486">
        <f>+'2019-20 MASTER'!Z1338</f>
        <v>0</v>
      </c>
      <c r="AF51" s="3224">
        <v>14.5</v>
      </c>
      <c r="AG51" s="3179">
        <f>+'2019-20 MASTER'!AE1338</f>
        <v>0</v>
      </c>
      <c r="AH51" s="2976">
        <v>14.5</v>
      </c>
      <c r="AI51" s="2486">
        <f>+'2019-20 MASTER'!AD1338</f>
        <v>0</v>
      </c>
      <c r="AJ51" s="3224">
        <v>14.5</v>
      </c>
      <c r="AK51" s="3179">
        <f>+'2019-20 MASTER'!AI1338</f>
        <v>0</v>
      </c>
      <c r="AL51" s="3140">
        <v>14.5</v>
      </c>
      <c r="AM51" s="2888">
        <f>+'2019-20 MASTER'!AJ1338</f>
        <v>0</v>
      </c>
      <c r="AN51" s="2976">
        <v>14.5</v>
      </c>
      <c r="AO51" s="2486">
        <f>+'2019-20 MASTER'!AH1338</f>
        <v>0</v>
      </c>
      <c r="AP51" s="3224">
        <v>14.5</v>
      </c>
      <c r="AQ51" s="3179">
        <f>+'2019-20 MASTER'!AO1338</f>
        <v>0</v>
      </c>
      <c r="AR51" s="8407">
        <v>14.5</v>
      </c>
      <c r="AS51" s="2337">
        <f>+'2019-20 MASTER'!AN1338</f>
        <v>0</v>
      </c>
      <c r="AT51" s="3785">
        <v>14.5</v>
      </c>
      <c r="AU51" s="6223">
        <f>+'2019-20 MASTER'!AS1338</f>
        <v>0</v>
      </c>
      <c r="AV51" s="8407">
        <v>14.5</v>
      </c>
      <c r="AW51" s="2337">
        <f>+'2019-20 MASTER'!AR1338</f>
        <v>0</v>
      </c>
      <c r="AX51" s="3785">
        <v>14.5</v>
      </c>
      <c r="AY51" s="6223">
        <f>+'2019-20 MASTER'!AW1338</f>
        <v>0</v>
      </c>
      <c r="AZ51" s="8408">
        <v>14.5</v>
      </c>
      <c r="BA51" s="3101">
        <f>+'2019-20 MASTER'!AX1338</f>
        <v>0</v>
      </c>
      <c r="BB51" s="8408">
        <v>14.5</v>
      </c>
      <c r="BC51" s="3101">
        <f>+'2019-20 MASTER'!AZ1338</f>
        <v>0</v>
      </c>
      <c r="BD51" s="8409">
        <v>14.5</v>
      </c>
      <c r="BE51" s="6688">
        <f>+'2019-20 MASTER'!AV1338</f>
        <v>0</v>
      </c>
    </row>
    <row r="52" spans="1:57" ht="15.75" hidden="1" customHeight="1" thickBot="1" x14ac:dyDescent="0.25">
      <c r="B52" s="1586" t="s">
        <v>739</v>
      </c>
      <c r="C52" s="1545" t="s">
        <v>169</v>
      </c>
      <c r="D52" s="3224">
        <v>84.5400014147273</v>
      </c>
      <c r="E52" s="4146">
        <f>+'2019-20 MASTER'!F1339</f>
        <v>0</v>
      </c>
      <c r="F52" s="3224">
        <v>84.5400014147273</v>
      </c>
      <c r="G52" s="2559">
        <f>+'2019-20 MASTER'!G1339</f>
        <v>0</v>
      </c>
      <c r="H52" s="2976">
        <v>84.5400014147273</v>
      </c>
      <c r="I52" s="2807">
        <f>+'2019-20 MASTER'!H1339</f>
        <v>0</v>
      </c>
      <c r="J52" s="3224">
        <v>84.5400014147273</v>
      </c>
      <c r="K52" s="2559">
        <f>+'2019-20 MASTER'!I1339</f>
        <v>0</v>
      </c>
      <c r="L52" s="3140">
        <v>84.5400014147273</v>
      </c>
      <c r="M52" s="2888">
        <f>+'2019-20 MASTER'!J1339</f>
        <v>0</v>
      </c>
      <c r="N52" s="3224">
        <v>84.5400014147273</v>
      </c>
      <c r="O52" s="3179">
        <f>+'2019-20 MASTER'!M1339</f>
        <v>0</v>
      </c>
      <c r="P52" s="2976">
        <v>84.5400014147273</v>
      </c>
      <c r="Q52" s="2486">
        <f>+'2019-20 MASTER'!L1339</f>
        <v>0</v>
      </c>
      <c r="R52" s="3224">
        <v>84.5400014147273</v>
      </c>
      <c r="S52" s="3179">
        <f>+'2019-20 MASTER'!Q1339</f>
        <v>0</v>
      </c>
      <c r="T52" s="2976">
        <v>84.5400014147273</v>
      </c>
      <c r="U52" s="2486">
        <f>+'2019-20 MASTER'!P1339</f>
        <v>0</v>
      </c>
      <c r="V52" s="3224">
        <v>84.5400014147273</v>
      </c>
      <c r="W52" s="3179">
        <f>+'2019-20 MASTER'!U1339</f>
        <v>0</v>
      </c>
      <c r="X52" s="3140">
        <v>84.5400014147273</v>
      </c>
      <c r="Y52" s="2888">
        <f>+'2019-20 MASTER'!V1339</f>
        <v>0</v>
      </c>
      <c r="Z52" s="6717">
        <v>84.5400014147273</v>
      </c>
      <c r="AA52" s="6611">
        <f>+'2019-20 MASTER'!T1339</f>
        <v>0</v>
      </c>
      <c r="AB52" s="3224">
        <v>84.5400014147273</v>
      </c>
      <c r="AC52" s="3179">
        <f>+'2019-20 MASTER'!AA1339</f>
        <v>0</v>
      </c>
      <c r="AD52" s="2976">
        <v>84.5400014147273</v>
      </c>
      <c r="AE52" s="2486">
        <f>+'2019-20 MASTER'!Z1339</f>
        <v>0</v>
      </c>
      <c r="AF52" s="3224">
        <v>84.5400014147273</v>
      </c>
      <c r="AG52" s="3179">
        <f>+'2019-20 MASTER'!AE1339</f>
        <v>0</v>
      </c>
      <c r="AH52" s="2976">
        <v>84.5400014147273</v>
      </c>
      <c r="AI52" s="2486">
        <f>+'2019-20 MASTER'!AD1339</f>
        <v>0</v>
      </c>
      <c r="AJ52" s="3224">
        <v>84.5400014147273</v>
      </c>
      <c r="AK52" s="3179">
        <f>+'2019-20 MASTER'!AI1339</f>
        <v>0</v>
      </c>
      <c r="AL52" s="3140">
        <v>84.5400014147273</v>
      </c>
      <c r="AM52" s="2888">
        <f>+'2019-20 MASTER'!AJ1339</f>
        <v>0</v>
      </c>
      <c r="AN52" s="2976">
        <v>84.5400014147273</v>
      </c>
      <c r="AO52" s="2486">
        <f>+'2019-20 MASTER'!AH1339</f>
        <v>0</v>
      </c>
      <c r="AP52" s="3224">
        <v>84.5400014147273</v>
      </c>
      <c r="AQ52" s="3179">
        <f>+'2019-20 MASTER'!AO1339</f>
        <v>0</v>
      </c>
      <c r="AR52" s="2976">
        <v>84.5400014147273</v>
      </c>
      <c r="AS52" s="2486">
        <f>+'2019-20 MASTER'!AN1339</f>
        <v>0</v>
      </c>
      <c r="AT52" s="3224">
        <v>84.5400014147273</v>
      </c>
      <c r="AU52" s="3179">
        <f>+'2019-20 MASTER'!AS1339</f>
        <v>0</v>
      </c>
      <c r="AV52" s="2976">
        <v>84.5400014147273</v>
      </c>
      <c r="AW52" s="2486">
        <f>+'2019-20 MASTER'!AR1339</f>
        <v>0</v>
      </c>
      <c r="AX52" s="3224">
        <v>84.5400014147273</v>
      </c>
      <c r="AY52" s="3179">
        <f>+'2019-20 MASTER'!AW1339</f>
        <v>0</v>
      </c>
      <c r="AZ52" s="3140">
        <v>84.5400014147273</v>
      </c>
      <c r="BA52" s="2888">
        <f>+'2019-20 MASTER'!AX1339</f>
        <v>0</v>
      </c>
      <c r="BB52" s="3140">
        <v>84.5400014147273</v>
      </c>
      <c r="BC52" s="2888">
        <f>+'2019-20 MASTER'!AZ1339</f>
        <v>0</v>
      </c>
      <c r="BD52" s="6717">
        <v>84.5400014147273</v>
      </c>
      <c r="BE52" s="6611">
        <f>+'2019-20 MASTER'!AV1339</f>
        <v>0</v>
      </c>
    </row>
    <row r="53" spans="1:57" ht="15.75" hidden="1" customHeight="1" thickBot="1" x14ac:dyDescent="0.25">
      <c r="B53" s="1586" t="s">
        <v>740</v>
      </c>
      <c r="C53" s="1545" t="s">
        <v>169</v>
      </c>
      <c r="D53" s="3224">
        <v>7.729999292636343</v>
      </c>
      <c r="E53" s="4146">
        <f>+'2019-20 MASTER'!F1340</f>
        <v>0</v>
      </c>
      <c r="F53" s="3224">
        <v>7.729999292636343</v>
      </c>
      <c r="G53" s="2559">
        <f>+'2019-20 MASTER'!G1340</f>
        <v>0</v>
      </c>
      <c r="H53" s="2976">
        <v>7.729999292636343</v>
      </c>
      <c r="I53" s="2807">
        <f>+'2019-20 MASTER'!H1340</f>
        <v>0</v>
      </c>
      <c r="J53" s="3224">
        <v>7.729999292636343</v>
      </c>
      <c r="K53" s="2559">
        <f>+'2019-20 MASTER'!I1340</f>
        <v>0</v>
      </c>
      <c r="L53" s="3140">
        <v>7.729999292636343</v>
      </c>
      <c r="M53" s="2888">
        <f>+'2019-20 MASTER'!J1340</f>
        <v>0</v>
      </c>
      <c r="N53" s="3224">
        <v>7.729999292636343</v>
      </c>
      <c r="O53" s="3179">
        <f>+'2019-20 MASTER'!M1340</f>
        <v>0</v>
      </c>
      <c r="P53" s="2976">
        <v>7.729999292636343</v>
      </c>
      <c r="Q53" s="2486">
        <f>+'2019-20 MASTER'!L1340</f>
        <v>0</v>
      </c>
      <c r="R53" s="3224">
        <v>7.729999292636343</v>
      </c>
      <c r="S53" s="3179">
        <f>+'2019-20 MASTER'!Q1340</f>
        <v>0</v>
      </c>
      <c r="T53" s="2976">
        <v>7.729999292636343</v>
      </c>
      <c r="U53" s="2486">
        <f>+'2019-20 MASTER'!P1340</f>
        <v>0</v>
      </c>
      <c r="V53" s="3224">
        <v>7.729999292636343</v>
      </c>
      <c r="W53" s="3179">
        <f>+'2019-20 MASTER'!U1340</f>
        <v>0</v>
      </c>
      <c r="X53" s="3140">
        <v>7.729999292636343</v>
      </c>
      <c r="Y53" s="2888">
        <f>+'2019-20 MASTER'!V1340</f>
        <v>0</v>
      </c>
      <c r="Z53" s="6717">
        <v>7.729999292636343</v>
      </c>
      <c r="AA53" s="6611">
        <f>+'2019-20 MASTER'!T1340</f>
        <v>0</v>
      </c>
      <c r="AB53" s="3224">
        <v>7.729999292636343</v>
      </c>
      <c r="AC53" s="3179">
        <f>+'2019-20 MASTER'!AA1340</f>
        <v>0</v>
      </c>
      <c r="AD53" s="2976">
        <v>7.729999292636343</v>
      </c>
      <c r="AE53" s="2486">
        <f>+'2019-20 MASTER'!Z1340</f>
        <v>0</v>
      </c>
      <c r="AF53" s="3224">
        <v>7.729999292636343</v>
      </c>
      <c r="AG53" s="3179">
        <f>+'2019-20 MASTER'!AE1340</f>
        <v>0</v>
      </c>
      <c r="AH53" s="2976">
        <v>7.729999292636343</v>
      </c>
      <c r="AI53" s="2486">
        <f>+'2019-20 MASTER'!AD1340</f>
        <v>0</v>
      </c>
      <c r="AJ53" s="3224">
        <v>7.729999292636343</v>
      </c>
      <c r="AK53" s="3179">
        <f>+'2019-20 MASTER'!AI1340</f>
        <v>0</v>
      </c>
      <c r="AL53" s="3140">
        <v>7.729999292636343</v>
      </c>
      <c r="AM53" s="2888">
        <f>+'2019-20 MASTER'!AJ1340</f>
        <v>0</v>
      </c>
      <c r="AN53" s="2976">
        <v>7.729999292636343</v>
      </c>
      <c r="AO53" s="2486">
        <f>+'2019-20 MASTER'!AH1340</f>
        <v>0</v>
      </c>
      <c r="AP53" s="3224">
        <v>7.729999292636343</v>
      </c>
      <c r="AQ53" s="3179">
        <f>+'2019-20 MASTER'!AO1340</f>
        <v>0</v>
      </c>
      <c r="AR53" s="2976">
        <v>7.729999292636343</v>
      </c>
      <c r="AS53" s="2486">
        <f>+'2019-20 MASTER'!AN1340</f>
        <v>0</v>
      </c>
      <c r="AT53" s="3224">
        <v>7.729999292636343</v>
      </c>
      <c r="AU53" s="3179">
        <f>+'2019-20 MASTER'!AS1340</f>
        <v>0</v>
      </c>
      <c r="AV53" s="2976">
        <v>7.729999292636343</v>
      </c>
      <c r="AW53" s="2486">
        <f>+'2019-20 MASTER'!AR1340</f>
        <v>0</v>
      </c>
      <c r="AX53" s="3224">
        <v>7.729999292636343</v>
      </c>
      <c r="AY53" s="3179">
        <f>+'2019-20 MASTER'!AW1340</f>
        <v>0</v>
      </c>
      <c r="AZ53" s="3140">
        <v>7.729999292636343</v>
      </c>
      <c r="BA53" s="2888">
        <f>+'2019-20 MASTER'!AX1340</f>
        <v>0</v>
      </c>
      <c r="BB53" s="3140">
        <v>7.729999292636343</v>
      </c>
      <c r="BC53" s="2888">
        <f>+'2019-20 MASTER'!AZ1340</f>
        <v>0</v>
      </c>
      <c r="BD53" s="6717">
        <v>7.729999292636343</v>
      </c>
      <c r="BE53" s="6611">
        <f>+'2019-20 MASTER'!AV1340</f>
        <v>0</v>
      </c>
    </row>
    <row r="54" spans="1:57" ht="15.75" hidden="1" customHeight="1" thickBot="1" x14ac:dyDescent="0.25">
      <c r="B54" s="1586" t="s">
        <v>694</v>
      </c>
      <c r="C54" s="1545" t="s">
        <v>169</v>
      </c>
      <c r="D54" s="3224">
        <v>65.27000070736365</v>
      </c>
      <c r="E54" s="4146">
        <f>+'2019-20 MASTER'!F1341</f>
        <v>0</v>
      </c>
      <c r="F54" s="3224">
        <v>65.27000070736365</v>
      </c>
      <c r="G54" s="2559">
        <f>+'2019-20 MASTER'!G1341</f>
        <v>0</v>
      </c>
      <c r="H54" s="2976">
        <v>65.27000070736365</v>
      </c>
      <c r="I54" s="2807">
        <f>+'2019-20 MASTER'!H1341</f>
        <v>0</v>
      </c>
      <c r="J54" s="3224">
        <v>65.27000070736365</v>
      </c>
      <c r="K54" s="1636">
        <f>+'2019-20 MASTER'!I1341</f>
        <v>0</v>
      </c>
      <c r="L54" s="3140">
        <v>65.27000070736365</v>
      </c>
      <c r="M54" s="2888">
        <f>+'2019-20 MASTER'!J1341</f>
        <v>61.8</v>
      </c>
      <c r="N54" s="3224">
        <v>65.27000070736365</v>
      </c>
      <c r="O54" s="4620">
        <f>+'2019-20 MASTER'!M1341</f>
        <v>0</v>
      </c>
      <c r="P54" s="2976">
        <v>65.27000070736365</v>
      </c>
      <c r="Q54" s="2486">
        <f>+'2019-20 MASTER'!L1341</f>
        <v>61.8</v>
      </c>
      <c r="R54" s="3224">
        <v>65.27000070736365</v>
      </c>
      <c r="S54" s="4620">
        <f>+'2019-20 MASTER'!Q1341</f>
        <v>52.305318857768455</v>
      </c>
      <c r="T54" s="2976">
        <v>65.27000070736365</v>
      </c>
      <c r="U54" s="2486">
        <f>+'2019-20 MASTER'!P1341</f>
        <v>62.3</v>
      </c>
      <c r="V54" s="3224">
        <v>65.27000070736365</v>
      </c>
      <c r="W54" s="4620">
        <f>+'2019-20 MASTER'!U1341</f>
        <v>38.578801189020247</v>
      </c>
      <c r="X54" s="3140">
        <v>65.27000070736365</v>
      </c>
      <c r="Y54" s="2888">
        <f>+'2019-20 MASTER'!V1341</f>
        <v>0</v>
      </c>
      <c r="Z54" s="6717">
        <v>65.27000070736365</v>
      </c>
      <c r="AA54" s="6611">
        <f>+'2019-20 MASTER'!T1341</f>
        <v>0</v>
      </c>
      <c r="AB54" s="3224">
        <v>65.27000070736365</v>
      </c>
      <c r="AC54" s="4620">
        <f>+'2019-20 MASTER'!AA1341</f>
        <v>0</v>
      </c>
      <c r="AD54" s="2976">
        <v>65.27000070736365</v>
      </c>
      <c r="AE54" s="2486">
        <f>+'2019-20 MASTER'!Z1341</f>
        <v>29.757394015755391</v>
      </c>
      <c r="AF54" s="3224">
        <v>65.27000070736365</v>
      </c>
      <c r="AG54" s="4620">
        <f>+'2019-20 MASTER'!AE1341</f>
        <v>0</v>
      </c>
      <c r="AH54" s="2976">
        <v>65.27000070736365</v>
      </c>
      <c r="AI54" s="2486">
        <f>+'2019-20 MASTER'!AD1341</f>
        <v>0</v>
      </c>
      <c r="AJ54" s="3224">
        <v>65.27000070736365</v>
      </c>
      <c r="AK54" s="4620">
        <f>+'2019-20 MASTER'!AI1341</f>
        <v>0</v>
      </c>
      <c r="AL54" s="3140">
        <v>65.27000070736365</v>
      </c>
      <c r="AM54" s="2888">
        <f>+'2019-20 MASTER'!AJ1341</f>
        <v>0</v>
      </c>
      <c r="AN54" s="2976">
        <v>65.27000070736365</v>
      </c>
      <c r="AO54" s="2486">
        <f>+'2019-20 MASTER'!AH1341</f>
        <v>0</v>
      </c>
      <c r="AP54" s="3224">
        <v>65.27000070736365</v>
      </c>
      <c r="AQ54" s="4620">
        <f>+'2019-20 MASTER'!AO1341</f>
        <v>0</v>
      </c>
      <c r="AR54" s="2976">
        <v>65.27000070736365</v>
      </c>
      <c r="AS54" s="2486">
        <f>+'2019-20 MASTER'!AN1341</f>
        <v>0</v>
      </c>
      <c r="AT54" s="3224">
        <v>65.27000070736365</v>
      </c>
      <c r="AU54" s="4620">
        <f>+'2019-20 MASTER'!AS1341</f>
        <v>0</v>
      </c>
      <c r="AV54" s="2976">
        <v>65.27000070736365</v>
      </c>
      <c r="AW54" s="2486">
        <f>+'2019-20 MASTER'!AR1341</f>
        <v>0</v>
      </c>
      <c r="AX54" s="3224">
        <v>65.27000070736365</v>
      </c>
      <c r="AY54" s="4620">
        <f>+'2019-20 MASTER'!AW1341</f>
        <v>0</v>
      </c>
      <c r="AZ54" s="3140">
        <v>65.27000070736365</v>
      </c>
      <c r="BA54" s="2888">
        <f>+'2019-20 MASTER'!AX1341</f>
        <v>0</v>
      </c>
      <c r="BB54" s="3140">
        <v>65.27000070736365</v>
      </c>
      <c r="BC54" s="2888">
        <f>+'2019-20 MASTER'!AZ1341</f>
        <v>0</v>
      </c>
      <c r="BD54" s="6717">
        <v>65.27000070736365</v>
      </c>
      <c r="BE54" s="6611">
        <f>+'2019-20 MASTER'!AV1341</f>
        <v>0</v>
      </c>
    </row>
    <row r="55" spans="1:57" ht="15.75" hidden="1" customHeight="1" thickBot="1" x14ac:dyDescent="0.25">
      <c r="A55" s="3378" t="s">
        <v>1024</v>
      </c>
      <c r="B55" s="1587" t="s">
        <v>695</v>
      </c>
      <c r="C55" s="1577" t="s">
        <v>169</v>
      </c>
      <c r="D55" s="3225">
        <v>23.364999646318172</v>
      </c>
      <c r="E55" s="4147">
        <f>+'2019-20 MASTER'!F1342</f>
        <v>0</v>
      </c>
      <c r="F55" s="3225">
        <v>23.364999646318172</v>
      </c>
      <c r="G55" s="3180">
        <f>+'2019-20 MASTER'!G1342</f>
        <v>0</v>
      </c>
      <c r="H55" s="2977">
        <v>23.364999646318172</v>
      </c>
      <c r="I55" s="2808">
        <f>+'2019-20 MASTER'!H1342</f>
        <v>0</v>
      </c>
      <c r="J55" s="3225">
        <v>23.364999646318172</v>
      </c>
      <c r="K55" s="4154">
        <f>+'2019-20 MASTER'!I1342</f>
        <v>0</v>
      </c>
      <c r="L55" s="3403">
        <v>23.364999646318172</v>
      </c>
      <c r="M55" s="2888">
        <f>+'2019-20 MASTER'!J1342</f>
        <v>23.5</v>
      </c>
      <c r="N55" s="3225">
        <v>23.364999646318172</v>
      </c>
      <c r="O55" s="4622">
        <f>+'2019-20 MASTER'!M1342</f>
        <v>0</v>
      </c>
      <c r="P55" s="2977">
        <v>23.364999646318172</v>
      </c>
      <c r="Q55" s="3868">
        <f>+'2019-20 MASTER'!L1342</f>
        <v>23.5</v>
      </c>
      <c r="R55" s="3225">
        <v>23.364999646318172</v>
      </c>
      <c r="S55" s="4622">
        <f>+'2019-20 MASTER'!Q1342</f>
        <v>19.889562996077</v>
      </c>
      <c r="T55" s="2977">
        <v>23.364999646318172</v>
      </c>
      <c r="U55" s="3868">
        <f>+'2019-20 MASTER'!P1342</f>
        <v>25.6</v>
      </c>
      <c r="V55" s="3225">
        <v>23.364999646318172</v>
      </c>
      <c r="W55" s="4622">
        <f>+'2019-20 MASTER'!U1342</f>
        <v>14.669932490970478</v>
      </c>
      <c r="X55" s="3403">
        <v>23.364999646318172</v>
      </c>
      <c r="Y55" s="2888">
        <f>+'2019-20 MASTER'!V1342</f>
        <v>0</v>
      </c>
      <c r="Z55" s="6839">
        <v>23.364999646318172</v>
      </c>
      <c r="AA55" s="6690">
        <f>+'2019-20 MASTER'!T1342</f>
        <v>0</v>
      </c>
      <c r="AB55" s="3225">
        <v>23.364999646318172</v>
      </c>
      <c r="AC55" s="4622">
        <f>+'2019-20 MASTER'!AA1342</f>
        <v>0</v>
      </c>
      <c r="AD55" s="2977">
        <v>23.364999646318172</v>
      </c>
      <c r="AE55" s="3868">
        <f>+'2019-20 MASTER'!Z1342</f>
        <v>11.315513905667499</v>
      </c>
      <c r="AF55" s="3225">
        <v>23.364999646318172</v>
      </c>
      <c r="AG55" s="4622">
        <f>+'2019-20 MASTER'!AE1342</f>
        <v>0</v>
      </c>
      <c r="AH55" s="2977">
        <v>23.364999646318172</v>
      </c>
      <c r="AI55" s="3868">
        <f>+'2019-20 MASTER'!AD1342</f>
        <v>0</v>
      </c>
      <c r="AJ55" s="3225">
        <v>23.364999646318172</v>
      </c>
      <c r="AK55" s="4622">
        <f>+'2019-20 MASTER'!AI1342</f>
        <v>0</v>
      </c>
      <c r="AL55" s="3403">
        <v>23.364999646318172</v>
      </c>
      <c r="AM55" s="2888">
        <f>+'2019-20 MASTER'!AJ1342</f>
        <v>0</v>
      </c>
      <c r="AN55" s="2977">
        <v>23.364999646318172</v>
      </c>
      <c r="AO55" s="3868">
        <f>+'2019-20 MASTER'!AH1342</f>
        <v>0</v>
      </c>
      <c r="AP55" s="3225">
        <v>23.364999646318172</v>
      </c>
      <c r="AQ55" s="4622">
        <f>+'2019-20 MASTER'!AO1342</f>
        <v>0</v>
      </c>
      <c r="AR55" s="2977">
        <v>23.364999646318172</v>
      </c>
      <c r="AS55" s="3868">
        <f>+'2019-20 MASTER'!AN1342</f>
        <v>0</v>
      </c>
      <c r="AT55" s="3225">
        <v>23.364999646318172</v>
      </c>
      <c r="AU55" s="4622">
        <f>+'2019-20 MASTER'!AS1342</f>
        <v>0</v>
      </c>
      <c r="AV55" s="2977">
        <v>23.364999646318172</v>
      </c>
      <c r="AW55" s="3868">
        <f>+'2019-20 MASTER'!AR1342</f>
        <v>0</v>
      </c>
      <c r="AX55" s="3225">
        <v>23.364999646318172</v>
      </c>
      <c r="AY55" s="4622">
        <f>+'2019-20 MASTER'!AW1342</f>
        <v>0</v>
      </c>
      <c r="AZ55" s="3403">
        <v>23.364999646318172</v>
      </c>
      <c r="BA55" s="2888">
        <f>+'2019-20 MASTER'!AX1342</f>
        <v>0</v>
      </c>
      <c r="BB55" s="3403">
        <v>23.364999646318172</v>
      </c>
      <c r="BC55" s="2888">
        <f>+'2019-20 MASTER'!AZ1342</f>
        <v>0</v>
      </c>
      <c r="BD55" s="6839">
        <v>23.364999646318172</v>
      </c>
      <c r="BE55" s="6690">
        <f>+'2019-20 MASTER'!AV1342</f>
        <v>0</v>
      </c>
    </row>
    <row r="56" spans="1:57" x14ac:dyDescent="0.2">
      <c r="B56" s="1585" t="s">
        <v>1330</v>
      </c>
      <c r="C56" s="1554" t="s">
        <v>169</v>
      </c>
      <c r="D56" s="2678" t="s">
        <v>127</v>
      </c>
      <c r="E56" s="4148">
        <v>0.79</v>
      </c>
      <c r="F56" s="2678" t="s">
        <v>127</v>
      </c>
      <c r="G56" s="2266">
        <v>1.1399999999999999</v>
      </c>
      <c r="H56" s="2787" t="s">
        <v>127</v>
      </c>
      <c r="I56" s="5996">
        <f>+((E56*E59)+(G56*G59))/I59</f>
        <v>0.97195791641732876</v>
      </c>
      <c r="J56" s="2678" t="s">
        <v>127</v>
      </c>
      <c r="K56" s="2266">
        <v>1.04</v>
      </c>
      <c r="L56" s="3129" t="s">
        <v>127</v>
      </c>
      <c r="M56" s="6002">
        <f>+((I56*I59)+(K56*K59))/M59</f>
        <v>0.99645090896135247</v>
      </c>
      <c r="N56" s="2678" t="s">
        <v>127</v>
      </c>
      <c r="O56" s="4619">
        <v>1.1599999999999999</v>
      </c>
      <c r="P56" s="2787" t="s">
        <v>127</v>
      </c>
      <c r="Q56" s="5996">
        <f>+((M56*M59)+(O56*O59))/Q59</f>
        <v>1.0452479486041759</v>
      </c>
      <c r="R56" s="2678" t="s">
        <v>127</v>
      </c>
      <c r="S56" s="4619">
        <v>1.03</v>
      </c>
      <c r="T56" s="2787" t="s">
        <v>127</v>
      </c>
      <c r="U56" s="5996">
        <f>+((Q56*Q59)+(S56*S59))/U59</f>
        <v>1.0422140679518821</v>
      </c>
      <c r="V56" s="2678" t="s">
        <v>127</v>
      </c>
      <c r="W56" s="4619">
        <v>1.06</v>
      </c>
      <c r="X56" s="3129" t="s">
        <v>127</v>
      </c>
      <c r="Y56" s="6002">
        <f>+((O56*O59)+(S56*S59)+(W56*W59))/Y59</f>
        <v>1.0917816168445711</v>
      </c>
      <c r="Z56" s="6840" t="s">
        <v>127</v>
      </c>
      <c r="AA56" s="6841">
        <f>+((U56*U59)+(W56*W59))/AA59</f>
        <v>1.0442073680280213</v>
      </c>
      <c r="AB56" s="2678" t="s">
        <v>127</v>
      </c>
      <c r="AC56" s="4619">
        <v>0.96</v>
      </c>
      <c r="AD56" s="2787" t="s">
        <v>127</v>
      </c>
      <c r="AE56" s="5996">
        <f>+((AA56*AA59)+(AC56*AC59))/AE59</f>
        <v>1.0338425258234263</v>
      </c>
      <c r="AF56" s="2678" t="s">
        <v>127</v>
      </c>
      <c r="AG56" s="4619">
        <v>0.84</v>
      </c>
      <c r="AH56" s="2787" t="s">
        <v>127</v>
      </c>
      <c r="AI56" s="5996">
        <f>+((AE56*AE59)+(AG56*AG59))/AI59</f>
        <v>1.0036075022782527</v>
      </c>
      <c r="AJ56" s="2678" t="s">
        <v>127</v>
      </c>
      <c r="AK56" s="4619">
        <v>1</v>
      </c>
      <c r="AL56" s="3129" t="s">
        <v>127</v>
      </c>
      <c r="AM56" s="6002">
        <f>+((AC56*AC59)+(AG56*AG59)+(AK56*AK59))/AM59</f>
        <v>0.93540444853236393</v>
      </c>
      <c r="AN56" s="2787" t="s">
        <v>127</v>
      </c>
      <c r="AO56" s="5996">
        <f>+((AI56*AI59)+(AK56*AK59))/AO59</f>
        <v>1.0030294423984905</v>
      </c>
      <c r="AP56" s="2678" t="s">
        <v>127</v>
      </c>
      <c r="AQ56" s="4619">
        <v>0.78</v>
      </c>
      <c r="AR56" s="2787" t="s">
        <v>127</v>
      </c>
      <c r="AS56" s="5996">
        <f>+((AO56*AO59)+(AQ56*AQ59))/AS59</f>
        <v>0.96880200196454458</v>
      </c>
      <c r="AT56" s="2678" t="s">
        <v>127</v>
      </c>
      <c r="AU56" s="4619">
        <v>0.77</v>
      </c>
      <c r="AV56" s="2787" t="s">
        <v>127</v>
      </c>
      <c r="AW56" s="5996">
        <f>+((AS56*AS59)+(AU56*AU59))/AW59</f>
        <v>0.94790471008047217</v>
      </c>
      <c r="AX56" s="2678" t="s">
        <v>127</v>
      </c>
      <c r="AY56" s="4619">
        <v>0.84</v>
      </c>
      <c r="AZ56" s="3129" t="s">
        <v>127</v>
      </c>
      <c r="BA56" s="6002">
        <f>+((AQ56*AQ59)+(AU56*AU59)+(AY56*AY59))/BA59</f>
        <v>0.80175357298642658</v>
      </c>
      <c r="BB56" s="3129" t="s">
        <v>127</v>
      </c>
      <c r="BC56" s="6002">
        <f>+((AM56*AM59)+(BA56*BA59))/BC59</f>
        <v>0.85692452102430594</v>
      </c>
      <c r="BD56" s="6840" t="s">
        <v>127</v>
      </c>
      <c r="BE56" s="6841">
        <f>+((AW56*AW59)+(AY56*AY59))/BE59</f>
        <v>0.93259159953019433</v>
      </c>
    </row>
    <row r="57" spans="1:57" x14ac:dyDescent="0.2">
      <c r="B57" s="1586" t="s">
        <v>1331</v>
      </c>
      <c r="C57" s="1545" t="s">
        <v>169</v>
      </c>
      <c r="D57" s="1786" t="s">
        <v>127</v>
      </c>
      <c r="E57" s="3851">
        <v>3.03</v>
      </c>
      <c r="F57" s="1786" t="s">
        <v>127</v>
      </c>
      <c r="G57" s="2067">
        <v>3.99</v>
      </c>
      <c r="H57" s="2553" t="s">
        <v>127</v>
      </c>
      <c r="I57" s="5996">
        <f>+((E57*E65)+(G57*G65))/I65</f>
        <v>3.5317046964577243</v>
      </c>
      <c r="J57" s="1786" t="s">
        <v>127</v>
      </c>
      <c r="K57" s="2067">
        <v>4.09</v>
      </c>
      <c r="L57" s="3044" t="s">
        <v>127</v>
      </c>
      <c r="M57" s="6002">
        <f>+((I57*I65)+(K57*K65))/M65</f>
        <v>3.7399573900830774</v>
      </c>
      <c r="N57" s="1786" t="s">
        <v>127</v>
      </c>
      <c r="O57" s="3861">
        <v>4.38</v>
      </c>
      <c r="P57" s="2553" t="s">
        <v>127</v>
      </c>
      <c r="Q57" s="5996">
        <f>+((M57*M65)+(O57*O65))/Q65</f>
        <v>3.9409264007054561</v>
      </c>
      <c r="R57" s="1786" t="s">
        <v>127</v>
      </c>
      <c r="S57" s="3861">
        <v>4.2</v>
      </c>
      <c r="T57" s="2553" t="s">
        <v>127</v>
      </c>
      <c r="U57" s="5996">
        <f>+((Q57*Q65)+(S57*S65))/U65</f>
        <v>4.0022968123021707</v>
      </c>
      <c r="V57" s="1786" t="s">
        <v>127</v>
      </c>
      <c r="W57" s="3861">
        <v>4.16</v>
      </c>
      <c r="X57" s="3044" t="s">
        <v>127</v>
      </c>
      <c r="Y57" s="6002">
        <f>+((O57*O65)+(S57*S65)+(W57*W65))/Y65</f>
        <v>4.2479712316451907</v>
      </c>
      <c r="Z57" s="6719" t="s">
        <v>127</v>
      </c>
      <c r="AA57" s="6841">
        <f>+((U57*U65)+(W57*W65))/AA65</f>
        <v>4.0318320200935815</v>
      </c>
      <c r="AB57" s="1786" t="s">
        <v>127</v>
      </c>
      <c r="AC57" s="3861">
        <v>3.85</v>
      </c>
      <c r="AD57" s="2553" t="s">
        <v>127</v>
      </c>
      <c r="AE57" s="5996">
        <f>+((AA57*AA65)+(AC57*AC65))/AE65</f>
        <v>3.9930211420195652</v>
      </c>
      <c r="AF57" s="1786" t="s">
        <v>127</v>
      </c>
      <c r="AG57" s="3861">
        <v>3.52</v>
      </c>
      <c r="AH57" s="2553" t="s">
        <v>127</v>
      </c>
      <c r="AI57" s="5996">
        <f>+((AE57*AE65)+(AG57*AG65))/AI65</f>
        <v>3.9280882575288993</v>
      </c>
      <c r="AJ57" s="1786" t="s">
        <v>127</v>
      </c>
      <c r="AK57" s="3861">
        <v>5.07</v>
      </c>
      <c r="AL57" s="3044" t="s">
        <v>127</v>
      </c>
      <c r="AM57" s="6002">
        <f>+((AC57*AC65)+(AG57*AG65)+(AK57*AK65))/AM65</f>
        <v>4.1178498661121674</v>
      </c>
      <c r="AN57" s="2553" t="s">
        <v>127</v>
      </c>
      <c r="AO57" s="5996">
        <f>+((AI57*AI65)+(AK57*AK65))/AO65</f>
        <v>4.0665575988163178</v>
      </c>
      <c r="AP57" s="1786" t="s">
        <v>127</v>
      </c>
      <c r="AQ57" s="3861">
        <v>3.82</v>
      </c>
      <c r="AR57" s="2553" t="s">
        <v>127</v>
      </c>
      <c r="AS57" s="5996">
        <f>+((AO57*AO65)+(AQ57*AQ65))/AS65</f>
        <v>4.0462029531540011</v>
      </c>
      <c r="AT57" s="1786" t="s">
        <v>127</v>
      </c>
      <c r="AU57" s="3861">
        <v>3.37</v>
      </c>
      <c r="AV57" s="2553" t="s">
        <v>127</v>
      </c>
      <c r="AW57" s="5996">
        <f>+((AS57*AS65)+(AU57*AU65))/AW65</f>
        <v>3.9963959945800567</v>
      </c>
      <c r="AX57" s="1786" t="s">
        <v>127</v>
      </c>
      <c r="AY57" s="3861">
        <v>3.4</v>
      </c>
      <c r="AZ57" s="3044" t="s">
        <v>127</v>
      </c>
      <c r="BA57" s="6002">
        <f>+((AQ57*AQ65)+(AU57*AU65)+(AY57*AY65))/BA65</f>
        <v>3.5238543282820767</v>
      </c>
      <c r="BB57" s="3044" t="s">
        <v>127</v>
      </c>
      <c r="BC57" s="6002">
        <f t="shared" ref="BC57:BC58" si="313">+((AM57*AM60)+(BA57*BA60))/BC60</f>
        <v>3.7688609968289017</v>
      </c>
      <c r="BD57" s="6719" t="s">
        <v>127</v>
      </c>
      <c r="BE57" s="6841">
        <f>+((AW57*AW65)+(AY57*AY65))/BE65</f>
        <v>3.94647101149382</v>
      </c>
    </row>
    <row r="58" spans="1:57" ht="16" thickBot="1" x14ac:dyDescent="0.25">
      <c r="B58" s="2892" t="s">
        <v>1332</v>
      </c>
      <c r="C58" s="1576" t="s">
        <v>169</v>
      </c>
      <c r="D58" s="2679" t="s">
        <v>127</v>
      </c>
      <c r="E58" s="4149">
        <v>4.16</v>
      </c>
      <c r="F58" s="2679" t="s">
        <v>127</v>
      </c>
      <c r="G58" s="2264">
        <v>4.58</v>
      </c>
      <c r="H58" s="3099" t="s">
        <v>127</v>
      </c>
      <c r="I58" s="5996">
        <f>+((E58*E67)+(G58*G67))/I67</f>
        <v>4.3932965517241387</v>
      </c>
      <c r="J58" s="2712" t="s">
        <v>127</v>
      </c>
      <c r="K58" s="2264">
        <v>4.76</v>
      </c>
      <c r="L58" s="4143" t="s">
        <v>127</v>
      </c>
      <c r="M58" s="6002">
        <f>+((I58*I67)+(K58*K67))/M67</f>
        <v>4.5104164152082076</v>
      </c>
      <c r="N58" s="2679" t="s">
        <v>127</v>
      </c>
      <c r="O58" s="5818">
        <v>6.22</v>
      </c>
      <c r="P58" s="3099" t="s">
        <v>127</v>
      </c>
      <c r="Q58" s="5996">
        <f>+((M58*M67)+(O58*O67))/Q67</f>
        <v>4.9061961814949369</v>
      </c>
      <c r="R58" s="2679" t="s">
        <v>127</v>
      </c>
      <c r="S58" s="5818">
        <v>6.27</v>
      </c>
      <c r="T58" s="3099" t="s">
        <v>127</v>
      </c>
      <c r="U58" s="5996">
        <f>+((Q58*Q67)+(S58*S67))/U67</f>
        <v>5.1614363206065308</v>
      </c>
      <c r="V58" s="2679" t="s">
        <v>127</v>
      </c>
      <c r="W58" s="5818">
        <v>7.07</v>
      </c>
      <c r="X58" s="4143" t="s">
        <v>127</v>
      </c>
      <c r="Y58" s="6002">
        <f>+((O58*O67)+(S58*S67)+(W58*W67))/Y67</f>
        <v>6.4518799381296761</v>
      </c>
      <c r="Z58" s="6842" t="s">
        <v>127</v>
      </c>
      <c r="AA58" s="6841">
        <f>+((U58*U67)+(W58*W67))/AA67</f>
        <v>5.3744971812380236</v>
      </c>
      <c r="AB58" s="2679" t="s">
        <v>127</v>
      </c>
      <c r="AC58" s="5818">
        <v>6.1</v>
      </c>
      <c r="AD58" s="3099" t="s">
        <v>127</v>
      </c>
      <c r="AE58" s="5996">
        <f>+((AA58*AA67)+(AC58*AC67))/AE67</f>
        <v>5.4877210061866029</v>
      </c>
      <c r="AF58" s="2679" t="s">
        <v>127</v>
      </c>
      <c r="AG58" s="5818">
        <v>4.3099999999999996</v>
      </c>
      <c r="AH58" s="3099" t="s">
        <v>127</v>
      </c>
      <c r="AI58" s="5996">
        <f>+((AE58*AE67)+(AG58*AG67))/AI67</f>
        <v>5.3277117735654489</v>
      </c>
      <c r="AJ58" s="2679" t="s">
        <v>127</v>
      </c>
      <c r="AK58" s="5818">
        <v>5.03</v>
      </c>
      <c r="AL58" s="4143" t="s">
        <v>127</v>
      </c>
      <c r="AM58" s="6002">
        <f>+((AC58*AC67)+(AG58*AG67)+(AK58*AK67))/AM67</f>
        <v>5.1579316526610643</v>
      </c>
      <c r="AN58" s="3099" t="s">
        <v>127</v>
      </c>
      <c r="AO58" s="5996">
        <f>+((AI58*AI67)+(AK58*AK67))/AO67</f>
        <v>5.3024852835249998</v>
      </c>
      <c r="AP58" s="2679" t="s">
        <v>127</v>
      </c>
      <c r="AQ58" s="5818">
        <v>3.8</v>
      </c>
      <c r="AR58" s="3099" t="s">
        <v>127</v>
      </c>
      <c r="AS58" s="5996">
        <f>+((AO58*AO67)+(AQ58*AQ67))/AS67</f>
        <v>5.2254102455346629</v>
      </c>
      <c r="AT58" s="2679" t="s">
        <v>127</v>
      </c>
      <c r="AU58" s="5818">
        <v>4</v>
      </c>
      <c r="AV58" s="3099" t="s">
        <v>127</v>
      </c>
      <c r="AW58" s="5996">
        <f>+((AS58*AS67)+(AU58*AU67))/AW67</f>
        <v>5.0940601266488548</v>
      </c>
      <c r="AX58" s="2679" t="s">
        <v>127</v>
      </c>
      <c r="AY58" s="5818">
        <v>5.17</v>
      </c>
      <c r="AZ58" s="4143" t="s">
        <v>127</v>
      </c>
      <c r="BA58" s="6002">
        <f>+((AQ58*AQ67)+(AU58*AU67)+(AY58*AY67))/BA67</f>
        <v>4.3118499328343889</v>
      </c>
      <c r="BB58" s="4143" t="s">
        <v>127</v>
      </c>
      <c r="BC58" s="6002" t="e">
        <f t="shared" si="313"/>
        <v>#DIV/0!</v>
      </c>
      <c r="BD58" s="6842" t="s">
        <v>127</v>
      </c>
      <c r="BE58" s="6841">
        <f>+((AW58*AW67)+(AY58*AY67))/BE67</f>
        <v>5.0987798670165541</v>
      </c>
    </row>
    <row r="59" spans="1:57" x14ac:dyDescent="0.2">
      <c r="B59" s="1585" t="s">
        <v>1288</v>
      </c>
      <c r="C59" s="1554" t="s">
        <v>170</v>
      </c>
      <c r="D59" s="2904" t="s">
        <v>127</v>
      </c>
      <c r="E59" s="3834">
        <v>34500</v>
      </c>
      <c r="F59" s="2904" t="s">
        <v>127</v>
      </c>
      <c r="G59" s="2101">
        <v>37357</v>
      </c>
      <c r="H59" s="3131" t="s">
        <v>127</v>
      </c>
      <c r="I59" s="1906">
        <f t="shared" ref="I59:I68" si="314">+E59+G59</f>
        <v>71857</v>
      </c>
      <c r="J59" s="2904" t="s">
        <v>127</v>
      </c>
      <c r="K59" s="2101">
        <v>40414</v>
      </c>
      <c r="L59" s="3064" t="s">
        <v>127</v>
      </c>
      <c r="M59" s="3060">
        <f t="shared" ref="M59:M68" si="315">+I59+K59</f>
        <v>112271</v>
      </c>
      <c r="N59" s="2904" t="s">
        <v>127</v>
      </c>
      <c r="O59" s="5427">
        <v>47742</v>
      </c>
      <c r="P59" s="3131" t="s">
        <v>127</v>
      </c>
      <c r="Q59" s="4151">
        <f t="shared" ref="Q59:Q68" si="316">+M59+O59</f>
        <v>160013</v>
      </c>
      <c r="R59" s="2904" t="s">
        <v>127</v>
      </c>
      <c r="S59" s="5427">
        <v>39746</v>
      </c>
      <c r="T59" s="3131" t="s">
        <v>127</v>
      </c>
      <c r="U59" s="4151">
        <f t="shared" ref="U59:U68" si="317">+Q59+S59</f>
        <v>199759</v>
      </c>
      <c r="V59" s="2904" t="s">
        <v>127</v>
      </c>
      <c r="W59" s="5427">
        <v>25213</v>
      </c>
      <c r="X59" s="3064" t="s">
        <v>127</v>
      </c>
      <c r="Y59" s="2011">
        <f t="shared" ref="Y59:Y67" si="318">+W59+S59+O59</f>
        <v>112701</v>
      </c>
      <c r="Z59" s="6843" t="s">
        <v>127</v>
      </c>
      <c r="AA59" s="6833">
        <f t="shared" ref="AA59:AA68" si="319">+U59+W59</f>
        <v>224972</v>
      </c>
      <c r="AB59" s="2904" t="s">
        <v>127</v>
      </c>
      <c r="AC59" s="5427">
        <v>31578</v>
      </c>
      <c r="AD59" s="3131" t="s">
        <v>127</v>
      </c>
      <c r="AE59" s="4151">
        <f t="shared" ref="AE59:AE68" si="320">+AA59+AC59</f>
        <v>256550</v>
      </c>
      <c r="AF59" s="2904" t="s">
        <v>127</v>
      </c>
      <c r="AG59" s="5427">
        <v>47411</v>
      </c>
      <c r="AH59" s="3131" t="s">
        <v>127</v>
      </c>
      <c r="AI59" s="4151">
        <f t="shared" ref="AI59:AI68" si="321">+AE59+AG59</f>
        <v>303961</v>
      </c>
      <c r="AJ59" s="2904" t="s">
        <v>127</v>
      </c>
      <c r="AK59" s="5427">
        <v>58000</v>
      </c>
      <c r="AL59" s="3064" t="s">
        <v>127</v>
      </c>
      <c r="AM59" s="2011">
        <f t="shared" ref="AM59:AM68" si="322">+AK59+AG59+AC59</f>
        <v>136989</v>
      </c>
      <c r="AN59" s="3131" t="s">
        <v>127</v>
      </c>
      <c r="AO59" s="4151">
        <f t="shared" ref="AO59:AO68" si="323">+AI59+AK59</f>
        <v>361961</v>
      </c>
      <c r="AP59" s="2904" t="s">
        <v>127</v>
      </c>
      <c r="AQ59" s="5427">
        <v>65619</v>
      </c>
      <c r="AR59" s="3131" t="s">
        <v>127</v>
      </c>
      <c r="AS59" s="4151">
        <f t="shared" ref="AS59:AS68" si="324">+AO59+AQ59</f>
        <v>427580</v>
      </c>
      <c r="AT59" s="2904" t="s">
        <v>127</v>
      </c>
      <c r="AU59" s="5427">
        <v>50225</v>
      </c>
      <c r="AV59" s="3131" t="s">
        <v>127</v>
      </c>
      <c r="AW59" s="4151">
        <f t="shared" ref="AW59:AW68" si="325">+AS59+AU59</f>
        <v>477805</v>
      </c>
      <c r="AX59" s="2904" t="s">
        <v>127</v>
      </c>
      <c r="AY59" s="5427">
        <v>79021</v>
      </c>
      <c r="AZ59" s="3064" t="s">
        <v>127</v>
      </c>
      <c r="BA59" s="2011">
        <f t="shared" ref="BA59:BA68" si="326">+AY59+AU59+AQ59</f>
        <v>194865</v>
      </c>
      <c r="BB59" s="3064" t="s">
        <v>127</v>
      </c>
      <c r="BC59" s="2011">
        <f>+BA59+AM59</f>
        <v>331854</v>
      </c>
      <c r="BD59" s="6843" t="s">
        <v>127</v>
      </c>
      <c r="BE59" s="6833">
        <f t="shared" ref="BE59:BE68" si="327">+AW59+AY59</f>
        <v>556826</v>
      </c>
    </row>
    <row r="60" spans="1:57" x14ac:dyDescent="0.2">
      <c r="A60" s="3378" t="s">
        <v>1024</v>
      </c>
      <c r="B60" s="1590" t="s">
        <v>1290</v>
      </c>
      <c r="C60" s="1542" t="s">
        <v>170</v>
      </c>
      <c r="D60" s="6019">
        <f>+(D27/((100-D70)/100))-D27</f>
        <v>34238.121676425857</v>
      </c>
      <c r="E60" s="1680">
        <f>+E59-((E56/100)*E59)</f>
        <v>34227.449999999997</v>
      </c>
      <c r="F60" s="6019">
        <f>+(F27/((100-F70)/100))-F27</f>
        <v>36931.130199999985</v>
      </c>
      <c r="G60" s="1680">
        <f>+G59-((G56/100)*G59)</f>
        <v>36931.1302</v>
      </c>
      <c r="H60" s="4358">
        <f>+D60+F60</f>
        <v>71169.251876425842</v>
      </c>
      <c r="I60" s="1823">
        <f t="shared" si="314"/>
        <v>71158.580199999997</v>
      </c>
      <c r="J60" s="6019">
        <f>+(J27/((100-J70)/100))-J27</f>
        <v>41354.911764705903</v>
      </c>
      <c r="K60" s="1680">
        <f>+K59-((K56/100)*K59)</f>
        <v>39993.6944</v>
      </c>
      <c r="L60" s="2876">
        <f>+H60+J60</f>
        <v>112524.16364113174</v>
      </c>
      <c r="M60" s="2070">
        <f t="shared" si="315"/>
        <v>111152.2746</v>
      </c>
      <c r="N60" s="5934">
        <f>+(N27/((100-N70)/100))-N27</f>
        <v>53038.160159501014</v>
      </c>
      <c r="O60" s="4957">
        <f>+O59-((O56/100)*O59)</f>
        <v>47188.192799999997</v>
      </c>
      <c r="P60" s="2786">
        <f>+L60+N60</f>
        <v>165562.32380063276</v>
      </c>
      <c r="Q60" s="1906">
        <f t="shared" si="316"/>
        <v>158340.46739999999</v>
      </c>
      <c r="R60" s="6405">
        <f>+(R27/((100-R70)/100))-R27</f>
        <v>52729.043209372787</v>
      </c>
      <c r="S60" s="4957">
        <f>+S59-((S56/100)*S59)</f>
        <v>39336.616199999997</v>
      </c>
      <c r="T60" s="4809">
        <f>+P60+R60</f>
        <v>218291.36701000555</v>
      </c>
      <c r="U60" s="1906">
        <f t="shared" si="317"/>
        <v>197677.08359999998</v>
      </c>
      <c r="V60" s="6651">
        <f>+(V27/((100-V70)/100))-V27</f>
        <v>52035.107198716549</v>
      </c>
      <c r="W60" s="4957">
        <f>+W59-((W56/100)*W59)</f>
        <v>24945.742200000001</v>
      </c>
      <c r="X60" s="6657">
        <f t="shared" ref="X60" si="328">+V60+R60+N60</f>
        <v>157802.31056759035</v>
      </c>
      <c r="Y60" s="2011">
        <f t="shared" si="318"/>
        <v>111470.55119999999</v>
      </c>
      <c r="Z60" s="6519">
        <f>+T60+V60</f>
        <v>270326.47420872212</v>
      </c>
      <c r="AA60" s="6692">
        <f t="shared" si="319"/>
        <v>222622.82579999999</v>
      </c>
      <c r="AB60" s="7326">
        <f>+(AB27/((100-AB70)/100))-AB27</f>
        <v>27120.390062351973</v>
      </c>
      <c r="AC60" s="4957">
        <f>+AC59-((AC56/100)*AC59)</f>
        <v>31274.851200000001</v>
      </c>
      <c r="AD60" s="4809">
        <f>+Z60+AB60</f>
        <v>297446.86427107407</v>
      </c>
      <c r="AE60" s="1906">
        <f t="shared" si="320"/>
        <v>253897.677</v>
      </c>
      <c r="AF60" s="7557">
        <f>+(AF27/((100-AF70)/100))-AF27</f>
        <v>50335.443955725234</v>
      </c>
      <c r="AG60" s="4957">
        <f>+AG59-((AG56/100)*AG59)</f>
        <v>47012.747600000002</v>
      </c>
      <c r="AH60" s="4809">
        <f>+AD60+AF60</f>
        <v>347782.3082267993</v>
      </c>
      <c r="AI60" s="1906">
        <f t="shared" si="321"/>
        <v>300910.42460000003</v>
      </c>
      <c r="AJ60" s="7698">
        <f>+(AJ27/((100-AJ70)/100))-AJ27</f>
        <v>52939.001401711081</v>
      </c>
      <c r="AK60" s="4957">
        <f>+AK59-((AK56/100)*AK59)</f>
        <v>57420</v>
      </c>
      <c r="AL60" s="7737">
        <f t="shared" ref="AL60" si="329">+AJ60+AF60+AB60</f>
        <v>130394.83541978829</v>
      </c>
      <c r="AM60" s="2011">
        <f t="shared" si="322"/>
        <v>135707.59880000001</v>
      </c>
      <c r="AN60" s="4809">
        <f>+AH60+AJ60</f>
        <v>400721.30962851038</v>
      </c>
      <c r="AO60" s="1906">
        <f t="shared" si="323"/>
        <v>358330.42460000003</v>
      </c>
      <c r="AP60" s="8022">
        <f>+(AP27/((100-AP70)/100))-AP27</f>
        <v>52071.148919715779</v>
      </c>
      <c r="AQ60" s="4957">
        <f>+AQ59-((AQ56/100)*AQ59)</f>
        <v>65107.171799999996</v>
      </c>
      <c r="AR60" s="4809">
        <f>+AN60+AP60</f>
        <v>452792.45854822616</v>
      </c>
      <c r="AS60" s="1906">
        <f t="shared" si="324"/>
        <v>423437.59640000004</v>
      </c>
      <c r="AT60" s="8147">
        <f>+(AT27/((100-AT70)/100))-AT27</f>
        <v>47731.886509739503</v>
      </c>
      <c r="AU60" s="4957">
        <f>+AU59-((AU56/100)*AU59)</f>
        <v>49838.267500000002</v>
      </c>
      <c r="AV60" s="4809">
        <f>+AR60+AT60</f>
        <v>500524.34505796566</v>
      </c>
      <c r="AW60" s="1906">
        <f t="shared" si="325"/>
        <v>473275.86390000005</v>
      </c>
      <c r="AX60" s="8264">
        <f>+(AX27/((100-AX70)/100))-AX27</f>
        <v>52939.001401711081</v>
      </c>
      <c r="AY60" s="4957">
        <f>+AY59-((AY56/100)*AY59)</f>
        <v>78357.223599999998</v>
      </c>
      <c r="AZ60" s="8323">
        <f t="shared" ref="AZ60" si="330">+AX60+AT60+AP60</f>
        <v>152742.03683116636</v>
      </c>
      <c r="BA60" s="2011">
        <f t="shared" si="326"/>
        <v>193302.6629</v>
      </c>
      <c r="BB60" s="8323">
        <f t="shared" ref="BB60" si="331">+AZ60+AV60+AR60</f>
        <v>1106058.8404373582</v>
      </c>
      <c r="BC60" s="2011">
        <f t="shared" ref="BC60:BC68" si="332">+BA60+AM60</f>
        <v>329010.26170000003</v>
      </c>
      <c r="BD60" s="6519">
        <f>+AV60+AX60</f>
        <v>553463.34645967674</v>
      </c>
      <c r="BE60" s="6692">
        <f t="shared" si="327"/>
        <v>551633.08750000002</v>
      </c>
    </row>
    <row r="61" spans="1:57" x14ac:dyDescent="0.2">
      <c r="B61" s="1590" t="s">
        <v>1264</v>
      </c>
      <c r="C61" s="1542" t="s">
        <v>170</v>
      </c>
      <c r="D61" s="4209" t="s">
        <v>127</v>
      </c>
      <c r="E61" s="2750">
        <v>0</v>
      </c>
      <c r="F61" s="4209" t="s">
        <v>127</v>
      </c>
      <c r="G61" s="1683">
        <v>0</v>
      </c>
      <c r="H61" s="3130" t="s">
        <v>127</v>
      </c>
      <c r="I61" s="1823">
        <f t="shared" si="314"/>
        <v>0</v>
      </c>
      <c r="J61" s="4209" t="s">
        <v>127</v>
      </c>
      <c r="K61" s="1680">
        <v>0</v>
      </c>
      <c r="L61" s="3056" t="s">
        <v>127</v>
      </c>
      <c r="M61" s="2070">
        <f t="shared" si="315"/>
        <v>0</v>
      </c>
      <c r="N61" s="4209" t="s">
        <v>127</v>
      </c>
      <c r="O61" s="4957">
        <v>0</v>
      </c>
      <c r="P61" s="3130" t="s">
        <v>127</v>
      </c>
      <c r="Q61" s="1906">
        <f t="shared" si="316"/>
        <v>0</v>
      </c>
      <c r="R61" s="4209" t="s">
        <v>127</v>
      </c>
      <c r="S61" s="4957">
        <v>0</v>
      </c>
      <c r="T61" s="3130" t="s">
        <v>127</v>
      </c>
      <c r="U61" s="1906">
        <f t="shared" si="317"/>
        <v>0</v>
      </c>
      <c r="V61" s="4209" t="s">
        <v>127</v>
      </c>
      <c r="W61" s="4957">
        <v>0</v>
      </c>
      <c r="X61" s="3056" t="s">
        <v>127</v>
      </c>
      <c r="Y61" s="2011">
        <f t="shared" si="318"/>
        <v>0</v>
      </c>
      <c r="Z61" s="6844" t="s">
        <v>127</v>
      </c>
      <c r="AA61" s="6692">
        <f t="shared" si="319"/>
        <v>0</v>
      </c>
      <c r="AB61" s="4209" t="s">
        <v>127</v>
      </c>
      <c r="AC61" s="4957">
        <v>0</v>
      </c>
      <c r="AD61" s="3130" t="s">
        <v>127</v>
      </c>
      <c r="AE61" s="1906">
        <f t="shared" si="320"/>
        <v>0</v>
      </c>
      <c r="AF61" s="4209" t="s">
        <v>127</v>
      </c>
      <c r="AG61" s="4957"/>
      <c r="AH61" s="3130" t="s">
        <v>127</v>
      </c>
      <c r="AI61" s="1906">
        <f t="shared" si="321"/>
        <v>0</v>
      </c>
      <c r="AJ61" s="4209" t="s">
        <v>127</v>
      </c>
      <c r="AK61" s="4957"/>
      <c r="AL61" s="3056" t="s">
        <v>127</v>
      </c>
      <c r="AM61" s="2011">
        <f t="shared" si="322"/>
        <v>0</v>
      </c>
      <c r="AN61" s="3130" t="s">
        <v>127</v>
      </c>
      <c r="AO61" s="1906">
        <f t="shared" si="323"/>
        <v>0</v>
      </c>
      <c r="AP61" s="4209" t="s">
        <v>127</v>
      </c>
      <c r="AQ61" s="4957"/>
      <c r="AR61" s="3130" t="s">
        <v>127</v>
      </c>
      <c r="AS61" s="1906">
        <f t="shared" si="324"/>
        <v>0</v>
      </c>
      <c r="AT61" s="4209" t="s">
        <v>127</v>
      </c>
      <c r="AU61" s="4957"/>
      <c r="AV61" s="3130" t="s">
        <v>127</v>
      </c>
      <c r="AW61" s="1906">
        <f t="shared" si="325"/>
        <v>0</v>
      </c>
      <c r="AX61" s="4209" t="s">
        <v>127</v>
      </c>
      <c r="AY61" s="4957">
        <v>0</v>
      </c>
      <c r="AZ61" s="3056" t="s">
        <v>127</v>
      </c>
      <c r="BA61" s="2011">
        <f t="shared" si="326"/>
        <v>0</v>
      </c>
      <c r="BB61" s="3056" t="s">
        <v>127</v>
      </c>
      <c r="BC61" s="2011">
        <f t="shared" si="332"/>
        <v>0</v>
      </c>
      <c r="BD61" s="6844" t="s">
        <v>127</v>
      </c>
      <c r="BE61" s="6692">
        <f t="shared" si="327"/>
        <v>0</v>
      </c>
    </row>
    <row r="62" spans="1:57" x14ac:dyDescent="0.2">
      <c r="B62" s="1590" t="s">
        <v>1302</v>
      </c>
      <c r="C62" s="1542" t="s">
        <v>170</v>
      </c>
      <c r="D62" s="6021">
        <v>0</v>
      </c>
      <c r="E62" s="1680">
        <f>+E61-((E56/100)*E61)</f>
        <v>0</v>
      </c>
      <c r="F62" s="6021">
        <v>0</v>
      </c>
      <c r="G62" s="1680">
        <f>+G61-((G56/100)*G61)</f>
        <v>0</v>
      </c>
      <c r="H62" s="4358">
        <f>+D62+F62</f>
        <v>0</v>
      </c>
      <c r="I62" s="1823">
        <f t="shared" si="314"/>
        <v>0</v>
      </c>
      <c r="J62" s="5791">
        <v>0</v>
      </c>
      <c r="K62" s="1680">
        <f>+K61-((K56/100)*K61)</f>
        <v>0</v>
      </c>
      <c r="L62" s="2876">
        <f>+H62+J62</f>
        <v>0</v>
      </c>
      <c r="M62" s="2070">
        <f t="shared" si="315"/>
        <v>0</v>
      </c>
      <c r="N62" s="5937">
        <v>0</v>
      </c>
      <c r="O62" s="4957">
        <f>+O61-((O56/100)*O61)</f>
        <v>0</v>
      </c>
      <c r="P62" s="2786">
        <f>+L62+N62</f>
        <v>0</v>
      </c>
      <c r="Q62" s="1906">
        <f t="shared" si="316"/>
        <v>0</v>
      </c>
      <c r="R62" s="6410">
        <v>0</v>
      </c>
      <c r="S62" s="4957">
        <f>+S61-((S56/100)*S61)</f>
        <v>0</v>
      </c>
      <c r="T62" s="4809">
        <f>+P62+R62</f>
        <v>0</v>
      </c>
      <c r="U62" s="1906">
        <f t="shared" si="317"/>
        <v>0</v>
      </c>
      <c r="V62" s="6659">
        <v>0</v>
      </c>
      <c r="W62" s="4957">
        <f>+W61-((W56/100)*W61)</f>
        <v>0</v>
      </c>
      <c r="X62" s="6657">
        <f t="shared" ref="X62" si="333">+V62+R62+N62</f>
        <v>0</v>
      </c>
      <c r="Y62" s="2011">
        <f t="shared" ref="Y62" si="334">+W62+S62+O62</f>
        <v>0</v>
      </c>
      <c r="Z62" s="6519">
        <f>+T62+V62</f>
        <v>0</v>
      </c>
      <c r="AA62" s="6692">
        <f t="shared" si="319"/>
        <v>0</v>
      </c>
      <c r="AB62" s="7351">
        <v>0</v>
      </c>
      <c r="AC62" s="4957">
        <f>+AC61-((AC56/100)*AC61)</f>
        <v>0</v>
      </c>
      <c r="AD62" s="4809">
        <f>+Z62+AB62</f>
        <v>0</v>
      </c>
      <c r="AE62" s="1906">
        <f t="shared" si="320"/>
        <v>0</v>
      </c>
      <c r="AF62" s="7587">
        <v>0</v>
      </c>
      <c r="AG62" s="4957">
        <f>+AG61-((AG56/100)*AG61)</f>
        <v>0</v>
      </c>
      <c r="AH62" s="4809">
        <f>+AD62+AF62</f>
        <v>0</v>
      </c>
      <c r="AI62" s="1906">
        <f t="shared" si="321"/>
        <v>0</v>
      </c>
      <c r="AJ62" s="7740">
        <v>0</v>
      </c>
      <c r="AK62" s="4957">
        <f>+AK61-((AK56/100)*AK61)</f>
        <v>0</v>
      </c>
      <c r="AL62" s="7737">
        <f t="shared" ref="AL62" si="335">+AJ62+AF62+AB62</f>
        <v>0</v>
      </c>
      <c r="AM62" s="2011">
        <f t="shared" si="322"/>
        <v>0</v>
      </c>
      <c r="AN62" s="4809">
        <f>+AH62+AJ62</f>
        <v>0</v>
      </c>
      <c r="AO62" s="1906">
        <f t="shared" si="323"/>
        <v>0</v>
      </c>
      <c r="AP62" s="8052"/>
      <c r="AQ62" s="4957">
        <f>+AQ61-((AQ56/100)*AQ61)</f>
        <v>0</v>
      </c>
      <c r="AR62" s="4809">
        <f>+AN62+AP62</f>
        <v>0</v>
      </c>
      <c r="AS62" s="1906">
        <f t="shared" si="324"/>
        <v>0</v>
      </c>
      <c r="AT62" s="8176"/>
      <c r="AU62" s="4957">
        <f>+AU61-((AU56/100)*AU61)</f>
        <v>0</v>
      </c>
      <c r="AV62" s="4809">
        <f>+AR62+AT62</f>
        <v>0</v>
      </c>
      <c r="AW62" s="1906">
        <f t="shared" si="325"/>
        <v>0</v>
      </c>
      <c r="AX62" s="8333"/>
      <c r="AY62" s="4957">
        <f>+AY61-((AY56/100)*AY61)</f>
        <v>0</v>
      </c>
      <c r="AZ62" s="8323">
        <f t="shared" ref="AZ62" si="336">+AX62+AT62+AP62</f>
        <v>0</v>
      </c>
      <c r="BA62" s="2011">
        <f t="shared" si="326"/>
        <v>0</v>
      </c>
      <c r="BB62" s="8323">
        <f t="shared" ref="BB62" si="337">+AZ62+AV62+AR62</f>
        <v>0</v>
      </c>
      <c r="BC62" s="2011">
        <f t="shared" si="332"/>
        <v>0</v>
      </c>
      <c r="BD62" s="6519">
        <f>+AV62+AX62</f>
        <v>0</v>
      </c>
      <c r="BE62" s="6692">
        <f t="shared" si="327"/>
        <v>0</v>
      </c>
    </row>
    <row r="63" spans="1:57" x14ac:dyDescent="0.2">
      <c r="B63" s="1590" t="s">
        <v>1291</v>
      </c>
      <c r="C63" s="1542" t="s">
        <v>170</v>
      </c>
      <c r="D63" s="4209" t="s">
        <v>127</v>
      </c>
      <c r="E63" s="1680">
        <f>+E59+E61</f>
        <v>34500</v>
      </c>
      <c r="F63" s="4209" t="s">
        <v>127</v>
      </c>
      <c r="G63" s="1680">
        <f>+G59+G61</f>
        <v>37357</v>
      </c>
      <c r="H63" s="3130" t="s">
        <v>127</v>
      </c>
      <c r="I63" s="1823">
        <f t="shared" si="314"/>
        <v>71857</v>
      </c>
      <c r="J63" s="4209" t="s">
        <v>127</v>
      </c>
      <c r="K63" s="1680">
        <f>+K59+K61</f>
        <v>40414</v>
      </c>
      <c r="L63" s="3056" t="s">
        <v>127</v>
      </c>
      <c r="M63" s="2070">
        <f t="shared" si="315"/>
        <v>112271</v>
      </c>
      <c r="N63" s="4209" t="s">
        <v>127</v>
      </c>
      <c r="O63" s="4957">
        <f>+O59+O61</f>
        <v>47742</v>
      </c>
      <c r="P63" s="3130" t="s">
        <v>127</v>
      </c>
      <c r="Q63" s="1906">
        <f t="shared" si="316"/>
        <v>160013</v>
      </c>
      <c r="R63" s="4209" t="s">
        <v>127</v>
      </c>
      <c r="S63" s="4957">
        <f>+S59+S61</f>
        <v>39746</v>
      </c>
      <c r="T63" s="3130" t="s">
        <v>127</v>
      </c>
      <c r="U63" s="1906">
        <f t="shared" si="317"/>
        <v>199759</v>
      </c>
      <c r="V63" s="4209" t="s">
        <v>127</v>
      </c>
      <c r="W63" s="4957">
        <f>+W59+W61</f>
        <v>25213</v>
      </c>
      <c r="X63" s="3056" t="s">
        <v>127</v>
      </c>
      <c r="Y63" s="2011">
        <f t="shared" si="318"/>
        <v>112701</v>
      </c>
      <c r="Z63" s="6844" t="s">
        <v>127</v>
      </c>
      <c r="AA63" s="6692">
        <f t="shared" si="319"/>
        <v>224972</v>
      </c>
      <c r="AB63" s="4209" t="s">
        <v>127</v>
      </c>
      <c r="AC63" s="4957">
        <f>+AC59+AC61</f>
        <v>31578</v>
      </c>
      <c r="AD63" s="3130" t="s">
        <v>127</v>
      </c>
      <c r="AE63" s="1906">
        <f t="shared" si="320"/>
        <v>256550</v>
      </c>
      <c r="AF63" s="4209" t="s">
        <v>127</v>
      </c>
      <c r="AG63" s="4957">
        <f>+AG59+AG61</f>
        <v>47411</v>
      </c>
      <c r="AH63" s="3130" t="s">
        <v>127</v>
      </c>
      <c r="AI63" s="1906">
        <f t="shared" si="321"/>
        <v>303961</v>
      </c>
      <c r="AJ63" s="4209" t="s">
        <v>127</v>
      </c>
      <c r="AK63" s="4957">
        <f>+AK59+AK61</f>
        <v>58000</v>
      </c>
      <c r="AL63" s="3056" t="s">
        <v>127</v>
      </c>
      <c r="AM63" s="2011">
        <f t="shared" si="322"/>
        <v>136989</v>
      </c>
      <c r="AN63" s="3130" t="s">
        <v>127</v>
      </c>
      <c r="AO63" s="1906">
        <f t="shared" si="323"/>
        <v>361961</v>
      </c>
      <c r="AP63" s="4209" t="s">
        <v>127</v>
      </c>
      <c r="AQ63" s="4957">
        <f>+AQ59+AQ61</f>
        <v>65619</v>
      </c>
      <c r="AR63" s="3130" t="s">
        <v>127</v>
      </c>
      <c r="AS63" s="1906">
        <f t="shared" si="324"/>
        <v>427580</v>
      </c>
      <c r="AT63" s="4209" t="s">
        <v>127</v>
      </c>
      <c r="AU63" s="4957">
        <f>+AU59+AU61</f>
        <v>50225</v>
      </c>
      <c r="AV63" s="3130" t="s">
        <v>127</v>
      </c>
      <c r="AW63" s="1906">
        <f t="shared" si="325"/>
        <v>477805</v>
      </c>
      <c r="AX63" s="4209" t="s">
        <v>127</v>
      </c>
      <c r="AY63" s="4957">
        <f>+AY59+AY61</f>
        <v>79021</v>
      </c>
      <c r="AZ63" s="3056" t="s">
        <v>127</v>
      </c>
      <c r="BA63" s="2011">
        <f t="shared" si="326"/>
        <v>194865</v>
      </c>
      <c r="BB63" s="3056" t="s">
        <v>127</v>
      </c>
      <c r="BC63" s="2011">
        <f t="shared" si="332"/>
        <v>331854</v>
      </c>
      <c r="BD63" s="6844" t="s">
        <v>127</v>
      </c>
      <c r="BE63" s="6692">
        <f t="shared" si="327"/>
        <v>556826</v>
      </c>
    </row>
    <row r="64" spans="1:57" ht="16" thickBot="1" x14ac:dyDescent="0.25">
      <c r="A64" s="3378" t="s">
        <v>1024</v>
      </c>
      <c r="B64" s="2890" t="s">
        <v>1292</v>
      </c>
      <c r="C64" s="2891" t="s">
        <v>170</v>
      </c>
      <c r="D64" s="5091">
        <f>+D60+D62</f>
        <v>34238.121676425857</v>
      </c>
      <c r="E64" s="1817">
        <f>+E60+E62</f>
        <v>34227.449999999997</v>
      </c>
      <c r="F64" s="5091">
        <f>+F60+F62</f>
        <v>36931.130199999985</v>
      </c>
      <c r="G64" s="1817">
        <f>+G60+G62</f>
        <v>36931.1302</v>
      </c>
      <c r="H64" s="2789">
        <f t="shared" ref="H64" si="338">+D64+F64</f>
        <v>71169.251876425842</v>
      </c>
      <c r="I64" s="1828">
        <f t="shared" si="314"/>
        <v>71158.580199999997</v>
      </c>
      <c r="J64" s="5091">
        <f>+J60+J62</f>
        <v>41354.911764705903</v>
      </c>
      <c r="K64" s="1817">
        <f>+K60+K62</f>
        <v>39993.6944</v>
      </c>
      <c r="L64" s="2952">
        <f>+H64+J64</f>
        <v>112524.16364113174</v>
      </c>
      <c r="M64" s="2017">
        <f t="shared" si="315"/>
        <v>111152.2746</v>
      </c>
      <c r="N64" s="5091">
        <f>+N60+N62</f>
        <v>53038.160159501014</v>
      </c>
      <c r="O64" s="3793">
        <f>+O60+O62</f>
        <v>47188.192799999997</v>
      </c>
      <c r="P64" s="2789">
        <f t="shared" ref="P64" si="339">+L64+N64</f>
        <v>165562.32380063276</v>
      </c>
      <c r="Q64" s="1906">
        <f t="shared" si="316"/>
        <v>158340.46739999999</v>
      </c>
      <c r="R64" s="5091">
        <f>+R60+R62</f>
        <v>52729.043209372787</v>
      </c>
      <c r="S64" s="3793">
        <f>+S60+S62</f>
        <v>39336.616199999997</v>
      </c>
      <c r="T64" s="2789">
        <f t="shared" ref="T64" si="340">+P64+R64</f>
        <v>218291.36701000555</v>
      </c>
      <c r="U64" s="1906">
        <f t="shared" si="317"/>
        <v>197677.08359999998</v>
      </c>
      <c r="V64" s="5091">
        <f>+V60+V62</f>
        <v>52035.107198716549</v>
      </c>
      <c r="W64" s="3793">
        <f>+W60+W62</f>
        <v>24945.742200000001</v>
      </c>
      <c r="X64" s="6657">
        <f t="shared" ref="X64" si="341">+V64+R64+N64</f>
        <v>157802.31056759035</v>
      </c>
      <c r="Y64" s="2011">
        <f t="shared" ref="Y64" si="342">+W64+S64+O64</f>
        <v>111470.55119999999</v>
      </c>
      <c r="Z64" s="6527">
        <f t="shared" ref="Z64" si="343">+T64+V64</f>
        <v>270326.47420872212</v>
      </c>
      <c r="AA64" s="6692">
        <f t="shared" si="319"/>
        <v>222622.82579999999</v>
      </c>
      <c r="AB64" s="5091">
        <f>+AB60+AB62</f>
        <v>27120.390062351973</v>
      </c>
      <c r="AC64" s="3793">
        <f>+AC60+AC62</f>
        <v>31274.851200000001</v>
      </c>
      <c r="AD64" s="2789">
        <f t="shared" ref="AD64" si="344">+Z64+AB64</f>
        <v>297446.86427107407</v>
      </c>
      <c r="AE64" s="1906">
        <f t="shared" si="320"/>
        <v>253897.677</v>
      </c>
      <c r="AF64" s="5091">
        <f>+AF60+AF62</f>
        <v>50335.443955725234</v>
      </c>
      <c r="AG64" s="3793">
        <f>+AG60+AG62</f>
        <v>47012.747600000002</v>
      </c>
      <c r="AH64" s="2789">
        <f t="shared" ref="AH64" si="345">+AD64+AF64</f>
        <v>347782.3082267993</v>
      </c>
      <c r="AI64" s="1906">
        <f t="shared" si="321"/>
        <v>300910.42460000003</v>
      </c>
      <c r="AJ64" s="5091">
        <f>+AJ60+AJ62</f>
        <v>52939.001401711081</v>
      </c>
      <c r="AK64" s="3793">
        <f>+AK60+AK62</f>
        <v>57420</v>
      </c>
      <c r="AL64" s="7737">
        <f t="shared" ref="AL64" si="346">+AJ64+AF64+AB64</f>
        <v>130394.83541978829</v>
      </c>
      <c r="AM64" s="2011">
        <f t="shared" si="322"/>
        <v>135707.59880000001</v>
      </c>
      <c r="AN64" s="2789">
        <f t="shared" ref="AN64" si="347">+AH64+AJ64</f>
        <v>400721.30962851038</v>
      </c>
      <c r="AO64" s="1906">
        <f t="shared" si="323"/>
        <v>358330.42460000003</v>
      </c>
      <c r="AP64" s="5091">
        <f>+AP60+AP62</f>
        <v>52071.148919715779</v>
      </c>
      <c r="AQ64" s="3793">
        <f>+AQ60+AQ62</f>
        <v>65107.171799999996</v>
      </c>
      <c r="AR64" s="2789">
        <f t="shared" ref="AR64" si="348">+AN64+AP64</f>
        <v>452792.45854822616</v>
      </c>
      <c r="AS64" s="1906">
        <f t="shared" si="324"/>
        <v>423437.59640000004</v>
      </c>
      <c r="AT64" s="5091">
        <f>+AT60+AT62</f>
        <v>47731.886509739503</v>
      </c>
      <c r="AU64" s="3793">
        <f>+AU60+AU62</f>
        <v>49838.267500000002</v>
      </c>
      <c r="AV64" s="2789">
        <f t="shared" ref="AV64" si="349">+AR64+AT64</f>
        <v>500524.34505796566</v>
      </c>
      <c r="AW64" s="1906">
        <f t="shared" si="325"/>
        <v>473275.86390000005</v>
      </c>
      <c r="AX64" s="5091">
        <f>+AX60+AX62</f>
        <v>52939.001401711081</v>
      </c>
      <c r="AY64" s="3793">
        <f>+AY60+AY62</f>
        <v>78357.223599999998</v>
      </c>
      <c r="AZ64" s="8323">
        <f t="shared" ref="AZ64" si="350">+AX64+AT64+AP64</f>
        <v>152742.03683116636</v>
      </c>
      <c r="BA64" s="2011">
        <f t="shared" si="326"/>
        <v>193302.6629</v>
      </c>
      <c r="BB64" s="8323">
        <f t="shared" ref="BB64" si="351">+AZ64+AV64+AR64</f>
        <v>1106058.8404373582</v>
      </c>
      <c r="BC64" s="2011">
        <f t="shared" si="332"/>
        <v>329010.26170000003</v>
      </c>
      <c r="BD64" s="6527">
        <f t="shared" ref="BD64" si="352">+AV64+AX64</f>
        <v>553463.34645967674</v>
      </c>
      <c r="BE64" s="6692">
        <f t="shared" si="327"/>
        <v>551633.08750000002</v>
      </c>
    </row>
    <row r="65" spans="1:57" x14ac:dyDescent="0.2">
      <c r="B65" s="1590" t="s">
        <v>741</v>
      </c>
      <c r="C65" s="1542" t="s">
        <v>170</v>
      </c>
      <c r="D65" s="4210" t="s">
        <v>127</v>
      </c>
      <c r="E65" s="2717">
        <v>12574</v>
      </c>
      <c r="F65" s="4210" t="s">
        <v>127</v>
      </c>
      <c r="G65" s="1683">
        <v>13765</v>
      </c>
      <c r="H65" s="4367" t="s">
        <v>127</v>
      </c>
      <c r="I65" s="1906">
        <f t="shared" si="314"/>
        <v>26339</v>
      </c>
      <c r="J65" s="4210" t="s">
        <v>127</v>
      </c>
      <c r="K65" s="1680">
        <v>15670</v>
      </c>
      <c r="L65" s="3063" t="s">
        <v>127</v>
      </c>
      <c r="M65" s="2069">
        <f t="shared" si="315"/>
        <v>42009</v>
      </c>
      <c r="N65" s="4210" t="s">
        <v>127</v>
      </c>
      <c r="O65" s="4957">
        <v>19228</v>
      </c>
      <c r="P65" s="4140" t="s">
        <v>127</v>
      </c>
      <c r="Q65" s="4151">
        <f t="shared" si="316"/>
        <v>61237</v>
      </c>
      <c r="R65" s="4210" t="s">
        <v>127</v>
      </c>
      <c r="S65" s="4957">
        <v>19009</v>
      </c>
      <c r="T65" s="6409" t="s">
        <v>127</v>
      </c>
      <c r="U65" s="4151">
        <f t="shared" si="317"/>
        <v>80246</v>
      </c>
      <c r="V65" s="4210" t="s">
        <v>127</v>
      </c>
      <c r="W65" s="4957">
        <v>18492</v>
      </c>
      <c r="X65" s="3063" t="s">
        <v>127</v>
      </c>
      <c r="Y65" s="2011">
        <f t="shared" si="318"/>
        <v>56729</v>
      </c>
      <c r="Z65" s="6845" t="s">
        <v>127</v>
      </c>
      <c r="AA65" s="6833">
        <f t="shared" si="319"/>
        <v>98738</v>
      </c>
      <c r="AB65" s="4210" t="s">
        <v>127</v>
      </c>
      <c r="AC65" s="4957">
        <v>26794</v>
      </c>
      <c r="AD65" s="6409" t="s">
        <v>127</v>
      </c>
      <c r="AE65" s="4151">
        <f t="shared" si="320"/>
        <v>125532</v>
      </c>
      <c r="AF65" s="4210" t="s">
        <v>127</v>
      </c>
      <c r="AG65" s="4957">
        <v>19974</v>
      </c>
      <c r="AH65" s="6409" t="s">
        <v>127</v>
      </c>
      <c r="AI65" s="4151">
        <f t="shared" si="321"/>
        <v>145506</v>
      </c>
      <c r="AJ65" s="4210" t="s">
        <v>127</v>
      </c>
      <c r="AK65" s="4957">
        <v>20079</v>
      </c>
      <c r="AL65" s="3063" t="s">
        <v>127</v>
      </c>
      <c r="AM65" s="2011">
        <f t="shared" si="322"/>
        <v>66847</v>
      </c>
      <c r="AN65" s="6409" t="s">
        <v>127</v>
      </c>
      <c r="AO65" s="4151">
        <f t="shared" si="323"/>
        <v>165585</v>
      </c>
      <c r="AP65" s="4210" t="s">
        <v>127</v>
      </c>
      <c r="AQ65" s="4957">
        <v>14900</v>
      </c>
      <c r="AR65" s="6409" t="s">
        <v>127</v>
      </c>
      <c r="AS65" s="4151">
        <f t="shared" si="324"/>
        <v>180485</v>
      </c>
      <c r="AT65" s="4210" t="s">
        <v>127</v>
      </c>
      <c r="AU65" s="4957">
        <v>14351</v>
      </c>
      <c r="AV65" s="6409" t="s">
        <v>127</v>
      </c>
      <c r="AW65" s="4151">
        <f t="shared" si="325"/>
        <v>194836</v>
      </c>
      <c r="AX65" s="4210" t="s">
        <v>127</v>
      </c>
      <c r="AY65" s="4957">
        <v>17800</v>
      </c>
      <c r="AZ65" s="3063" t="s">
        <v>127</v>
      </c>
      <c r="BA65" s="2011">
        <f t="shared" si="326"/>
        <v>47051</v>
      </c>
      <c r="BB65" s="3063" t="s">
        <v>127</v>
      </c>
      <c r="BC65" s="2011">
        <f t="shared" si="332"/>
        <v>113898</v>
      </c>
      <c r="BD65" s="6845" t="s">
        <v>127</v>
      </c>
      <c r="BE65" s="6833">
        <f t="shared" si="327"/>
        <v>212636</v>
      </c>
    </row>
    <row r="66" spans="1:57" ht="16" thickBot="1" x14ac:dyDescent="0.25">
      <c r="A66" s="3378" t="s">
        <v>1024</v>
      </c>
      <c r="B66" s="1587" t="s">
        <v>742</v>
      </c>
      <c r="C66" s="1577" t="s">
        <v>170</v>
      </c>
      <c r="D66" s="3276">
        <f>+((D23+D24)/((100-D71)/100))-(D23+D24)</f>
        <v>12176.901600838057</v>
      </c>
      <c r="E66" s="1680">
        <f>+E65-((E57/100)*E65)</f>
        <v>12193.007799999999</v>
      </c>
      <c r="F66" s="3276">
        <f>+((F23+F24)/((100-F71)/100))-(F23+F24)</f>
        <v>13576.476091759687</v>
      </c>
      <c r="G66" s="1680">
        <f>+G65-((G57/100)*G65)</f>
        <v>13215.7765</v>
      </c>
      <c r="H66" s="2789">
        <f t="shared" ref="H66" si="353">+D66+F66</f>
        <v>25753.377692597744</v>
      </c>
      <c r="I66" s="1828">
        <f t="shared" si="314"/>
        <v>25408.784299999999</v>
      </c>
      <c r="J66" s="3276">
        <f>+((J23+J24)/((100-J71)/100))-(J23+J24)</f>
        <v>14066.174757809757</v>
      </c>
      <c r="K66" s="1680">
        <f>+K65-((K57/100)*K65)</f>
        <v>15029.097</v>
      </c>
      <c r="L66" s="2952">
        <f t="shared" ref="L66" si="354">+H66+J66</f>
        <v>39819.5524504075</v>
      </c>
      <c r="M66" s="2017">
        <f t="shared" si="315"/>
        <v>40437.881300000001</v>
      </c>
      <c r="N66" s="3276">
        <f>+((N23+N24)/((100-N71)/100))-(N23+N24)</f>
        <v>13398.52075881428</v>
      </c>
      <c r="O66" s="4957">
        <f>+O65-((O57/100)*O65)</f>
        <v>18385.813600000001</v>
      </c>
      <c r="P66" s="2789">
        <f t="shared" ref="P66" si="355">+L66+N66</f>
        <v>53218.07320922178</v>
      </c>
      <c r="Q66" s="4160">
        <f t="shared" si="316"/>
        <v>58823.694900000002</v>
      </c>
      <c r="R66" s="3276">
        <f>+((R23+R24)/((100-R71)/100))-(R23+R24)</f>
        <v>13320.431513999996</v>
      </c>
      <c r="S66" s="4957">
        <f>+S65-((S57/100)*S65)</f>
        <v>18210.621999999999</v>
      </c>
      <c r="T66" s="2789">
        <f t="shared" ref="T66" si="356">+P66+R66</f>
        <v>66538.504723221777</v>
      </c>
      <c r="U66" s="4160">
        <f t="shared" si="317"/>
        <v>77034.316900000005</v>
      </c>
      <c r="V66" s="3276">
        <f>+((V23+V24)/((100-V71)/100))-(V23+V24)</f>
        <v>13145.129127640714</v>
      </c>
      <c r="W66" s="4957">
        <f>+W65-((W57/100)*W65)</f>
        <v>17722.732800000002</v>
      </c>
      <c r="X66" s="6657">
        <f t="shared" ref="X66" si="357">+V66+R66+N66</f>
        <v>39864.08140045499</v>
      </c>
      <c r="Y66" s="2011">
        <f t="shared" si="318"/>
        <v>54319.168400000002</v>
      </c>
      <c r="Z66" s="6527">
        <f t="shared" ref="Z66" si="358">+T66+V66</f>
        <v>79683.63385086249</v>
      </c>
      <c r="AA66" s="6846">
        <f t="shared" si="319"/>
        <v>94757.049700000003</v>
      </c>
      <c r="AB66" s="3276">
        <f>+((AB23+AB24)/((100-AB71)/100))-(AB23+AB24)</f>
        <v>7159.0909090909117</v>
      </c>
      <c r="AC66" s="4957">
        <f>+AC65-((AC57/100)*AC65)</f>
        <v>25762.431</v>
      </c>
      <c r="AD66" s="2789">
        <f t="shared" ref="AD66" si="359">+Z66+AB66</f>
        <v>86842.724759953402</v>
      </c>
      <c r="AE66" s="4160">
        <f t="shared" si="320"/>
        <v>120519.4807</v>
      </c>
      <c r="AF66" s="3276">
        <f>+((AF23+AF24)/((100-AF71)/100))-(AF23+AF24)</f>
        <v>12449.966024915062</v>
      </c>
      <c r="AG66" s="4957">
        <f>+AG65-((AG57/100)*AG65)</f>
        <v>19270.915199999999</v>
      </c>
      <c r="AH66" s="2789">
        <f t="shared" ref="AH66" si="360">+AD66+AF66</f>
        <v>99292.690784868464</v>
      </c>
      <c r="AI66" s="4160">
        <f t="shared" si="321"/>
        <v>139790.3959</v>
      </c>
      <c r="AJ66" s="3276">
        <f>+((AJ23+AJ24)/((100-AJ71)/100))-(AJ23+AJ24)</f>
        <v>12976.363636363632</v>
      </c>
      <c r="AK66" s="4957">
        <f>+AK65-((AK57/100)*AK65)</f>
        <v>19060.994699999999</v>
      </c>
      <c r="AL66" s="7737">
        <f t="shared" ref="AL66" si="361">+AJ66+AF66+AB66</f>
        <v>32585.420570369606</v>
      </c>
      <c r="AM66" s="2011">
        <f t="shared" si="322"/>
        <v>64094.340899999996</v>
      </c>
      <c r="AN66" s="2789">
        <f t="shared" ref="AN66" si="362">+AH66+AJ66</f>
        <v>112269.0544212321</v>
      </c>
      <c r="AO66" s="4160">
        <f t="shared" si="323"/>
        <v>158851.39060000001</v>
      </c>
      <c r="AP66" s="3276">
        <f>+((AP23+AP24)/((100-AP71)/100))-(AP23+AP24)</f>
        <v>12763.636363636368</v>
      </c>
      <c r="AQ66" s="4957">
        <f>+AQ65-((AQ57/100)*AQ65)</f>
        <v>14330.82</v>
      </c>
      <c r="AR66" s="2789">
        <f t="shared" ref="AR66" si="363">+AN66+AP66</f>
        <v>125032.69078486846</v>
      </c>
      <c r="AS66" s="4160">
        <f t="shared" si="324"/>
        <v>173182.21060000002</v>
      </c>
      <c r="AT66" s="3276">
        <f>+((AT23+AT24)/((100-AT71)/100))-(AT23+AT24)</f>
        <v>11700</v>
      </c>
      <c r="AU66" s="4957">
        <f>+AU65-((AU57/100)*AU65)</f>
        <v>13867.371300000001</v>
      </c>
      <c r="AV66" s="2789">
        <f t="shared" ref="AV66" si="364">+AR66+AT66</f>
        <v>136732.69078486846</v>
      </c>
      <c r="AW66" s="4160">
        <f t="shared" si="325"/>
        <v>187049.58190000002</v>
      </c>
      <c r="AX66" s="3276">
        <f>+((AX23+AX24)/((100-AX71)/100))-(AX23+AX24)</f>
        <v>12976.363636363632</v>
      </c>
      <c r="AY66" s="4957">
        <f>+AY65-((AY57/100)*AY65)</f>
        <v>17194.8</v>
      </c>
      <c r="AZ66" s="8323">
        <f t="shared" ref="AZ66" si="365">+AX66+AT66+AP66</f>
        <v>37440</v>
      </c>
      <c r="BA66" s="2011">
        <f t="shared" si="326"/>
        <v>45392.991300000002</v>
      </c>
      <c r="BB66" s="8323">
        <f t="shared" ref="BB66" si="366">+AZ66+AV66+AR66</f>
        <v>299205.38156973693</v>
      </c>
      <c r="BC66" s="2011">
        <f t="shared" si="332"/>
        <v>109487.3322</v>
      </c>
      <c r="BD66" s="6527">
        <f t="shared" ref="BD66" si="367">+AV66+AX66</f>
        <v>149709.05442123208</v>
      </c>
      <c r="BE66" s="6846">
        <f t="shared" si="327"/>
        <v>204244.38190000001</v>
      </c>
    </row>
    <row r="67" spans="1:57" x14ac:dyDescent="0.2">
      <c r="B67" s="1585" t="s">
        <v>1334</v>
      </c>
      <c r="C67" s="1554" t="s">
        <v>170</v>
      </c>
      <c r="D67" s="4211" t="s">
        <v>127</v>
      </c>
      <c r="E67" s="3834">
        <v>9024</v>
      </c>
      <c r="F67" s="4211" t="s">
        <v>127</v>
      </c>
      <c r="G67" s="2101">
        <v>11276</v>
      </c>
      <c r="H67" s="3131" t="s">
        <v>127</v>
      </c>
      <c r="I67" s="1827">
        <f t="shared" si="314"/>
        <v>20300</v>
      </c>
      <c r="J67" s="4211" t="s">
        <v>127</v>
      </c>
      <c r="K67" s="2101">
        <v>9526</v>
      </c>
      <c r="L67" s="3064" t="s">
        <v>127</v>
      </c>
      <c r="M67" s="3060">
        <f t="shared" si="315"/>
        <v>29826</v>
      </c>
      <c r="N67" s="4211" t="s">
        <v>127</v>
      </c>
      <c r="O67" s="5427">
        <v>8985</v>
      </c>
      <c r="P67" s="3131" t="s">
        <v>127</v>
      </c>
      <c r="Q67" s="4151">
        <f t="shared" si="316"/>
        <v>38811</v>
      </c>
      <c r="R67" s="4211" t="s">
        <v>127</v>
      </c>
      <c r="S67" s="5427">
        <v>8936</v>
      </c>
      <c r="T67" s="3131" t="s">
        <v>127</v>
      </c>
      <c r="U67" s="4151">
        <f t="shared" si="317"/>
        <v>47747</v>
      </c>
      <c r="V67" s="4211" t="s">
        <v>127</v>
      </c>
      <c r="W67" s="5427">
        <v>6000</v>
      </c>
      <c r="X67" s="3064" t="s">
        <v>127</v>
      </c>
      <c r="Y67" s="2011">
        <f t="shared" si="318"/>
        <v>23921</v>
      </c>
      <c r="Z67" s="6843" t="s">
        <v>127</v>
      </c>
      <c r="AA67" s="6833">
        <f t="shared" si="319"/>
        <v>53747</v>
      </c>
      <c r="AB67" s="4211" t="s">
        <v>127</v>
      </c>
      <c r="AC67" s="5427">
        <v>9939</v>
      </c>
      <c r="AD67" s="3131" t="s">
        <v>127</v>
      </c>
      <c r="AE67" s="4151">
        <f t="shared" si="320"/>
        <v>63686</v>
      </c>
      <c r="AF67" s="4211" t="s">
        <v>127</v>
      </c>
      <c r="AG67" s="5427">
        <v>10013</v>
      </c>
      <c r="AH67" s="3131" t="s">
        <v>127</v>
      </c>
      <c r="AI67" s="4151">
        <f t="shared" si="321"/>
        <v>73699</v>
      </c>
      <c r="AJ67" s="4211" t="s">
        <v>127</v>
      </c>
      <c r="AK67" s="5427">
        <v>6823</v>
      </c>
      <c r="AL67" s="3064" t="s">
        <v>127</v>
      </c>
      <c r="AM67" s="2011">
        <f t="shared" si="322"/>
        <v>26775</v>
      </c>
      <c r="AN67" s="3131" t="s">
        <v>127</v>
      </c>
      <c r="AO67" s="4151">
        <f t="shared" si="323"/>
        <v>80522</v>
      </c>
      <c r="AP67" s="4211" t="s">
        <v>127</v>
      </c>
      <c r="AQ67" s="5427">
        <v>4354</v>
      </c>
      <c r="AR67" s="3131" t="s">
        <v>127</v>
      </c>
      <c r="AS67" s="4151">
        <f t="shared" si="324"/>
        <v>84876</v>
      </c>
      <c r="AT67" s="4211" t="s">
        <v>127</v>
      </c>
      <c r="AU67" s="5427">
        <v>10190</v>
      </c>
      <c r="AV67" s="3131" t="s">
        <v>127</v>
      </c>
      <c r="AW67" s="4151">
        <f t="shared" si="325"/>
        <v>95066</v>
      </c>
      <c r="AX67" s="4211" t="s">
        <v>127</v>
      </c>
      <c r="AY67" s="5427">
        <v>6300</v>
      </c>
      <c r="AZ67" s="3064" t="s">
        <v>127</v>
      </c>
      <c r="BA67" s="2011">
        <f t="shared" si="326"/>
        <v>20844</v>
      </c>
      <c r="BB67" s="3064" t="s">
        <v>127</v>
      </c>
      <c r="BC67" s="2011">
        <f t="shared" si="332"/>
        <v>47619</v>
      </c>
      <c r="BD67" s="6843" t="s">
        <v>127</v>
      </c>
      <c r="BE67" s="6833">
        <f t="shared" si="327"/>
        <v>101366</v>
      </c>
    </row>
    <row r="68" spans="1:57" ht="16" thickBot="1" x14ac:dyDescent="0.25">
      <c r="A68" s="3378" t="s">
        <v>1024</v>
      </c>
      <c r="B68" s="1587" t="s">
        <v>1335</v>
      </c>
      <c r="C68" s="1577" t="s">
        <v>170</v>
      </c>
      <c r="D68" s="3276">
        <f>+(D28/((100-D72)/100))-D28</f>
        <v>8660.8123636363671</v>
      </c>
      <c r="E68" s="1680">
        <f>+E67-((E58/100)*E67)</f>
        <v>8648.6016</v>
      </c>
      <c r="F68" s="3276">
        <f>+(F28/((100-F72)/100))-F28</f>
        <v>10759.559199999996</v>
      </c>
      <c r="G68" s="1680">
        <f>+G67-((G58/100)*G67)</f>
        <v>10759.5592</v>
      </c>
      <c r="H68" s="2789">
        <f>+D68+F68</f>
        <v>19420.371563636363</v>
      </c>
      <c r="I68" s="3870">
        <f t="shared" si="314"/>
        <v>19408.160799999998</v>
      </c>
      <c r="J68" s="3276">
        <f>+(J28/((100-J72)/100))-J28</f>
        <v>6489.5400000000009</v>
      </c>
      <c r="K68" s="1680">
        <f>+K67-((K58/100)*K67)</f>
        <v>9072.5624000000007</v>
      </c>
      <c r="L68" s="2952">
        <f>+H68+J68</f>
        <v>25909.911563636364</v>
      </c>
      <c r="M68" s="2017">
        <f t="shared" si="315"/>
        <v>28480.7232</v>
      </c>
      <c r="N68" s="3276">
        <f>+(N28/((100-N72)/100))-N28</f>
        <v>10374.304993077239</v>
      </c>
      <c r="O68" s="4957">
        <f>+O67-((O58/100)*O67)</f>
        <v>8426.1329999999998</v>
      </c>
      <c r="P68" s="2789">
        <f>+L68+N68</f>
        <v>36284.216556713603</v>
      </c>
      <c r="Q68" s="3870">
        <f t="shared" si="316"/>
        <v>36906.856200000002</v>
      </c>
      <c r="R68" s="3276">
        <f>+(R28/((100-R72)/100))-R28</f>
        <v>10313.841479457682</v>
      </c>
      <c r="S68" s="4957">
        <f>+S67-((S58/100)*S67)</f>
        <v>8375.7127999999993</v>
      </c>
      <c r="T68" s="2789">
        <f>+P68+R68</f>
        <v>46598.058036171285</v>
      </c>
      <c r="U68" s="3870">
        <f t="shared" si="317"/>
        <v>45282.569000000003</v>
      </c>
      <c r="V68" s="3276">
        <f>+(V28/((100-V72)/100))-V28</f>
        <v>10178.107061095929</v>
      </c>
      <c r="W68" s="4957">
        <f>+W67-((W58/100)*W67)</f>
        <v>5575.8</v>
      </c>
      <c r="X68" s="6657">
        <f t="shared" ref="X68" si="368">+V68+R68+N68</f>
        <v>30866.25353363085</v>
      </c>
      <c r="Y68" s="2011">
        <f t="shared" ref="Y68" si="369">+W68+S68+O68</f>
        <v>22377.645799999998</v>
      </c>
      <c r="Z68" s="6527">
        <f>+T68+V68</f>
        <v>56776.165097267214</v>
      </c>
      <c r="AA68" s="6694">
        <f t="shared" si="319"/>
        <v>50858.369000000006</v>
      </c>
      <c r="AB68" s="3276">
        <f>+(AB28/((100-AB72)/100))-AB28</f>
        <v>5392.3582580115035</v>
      </c>
      <c r="AC68" s="4957">
        <f>+AC67-((AC58/100)*AC67)</f>
        <v>9332.7209999999995</v>
      </c>
      <c r="AD68" s="2789">
        <f>+Z68+AB68</f>
        <v>62168.523355278718</v>
      </c>
      <c r="AE68" s="3870">
        <f t="shared" si="320"/>
        <v>60191.090000000004</v>
      </c>
      <c r="AF68" s="3276">
        <f>+(AF28/((100-AF72)/100))-AF28</f>
        <v>10008.216926869354</v>
      </c>
      <c r="AG68" s="4957">
        <f>+AG67-((AG58/100)*AG67)</f>
        <v>9581.4397000000008</v>
      </c>
      <c r="AH68" s="2789">
        <f>+AD68+AF68</f>
        <v>72176.740282148065</v>
      </c>
      <c r="AI68" s="3870">
        <f t="shared" si="321"/>
        <v>69772.529699999999</v>
      </c>
      <c r="AJ68" s="3276">
        <f>+(AJ28/((100-AJ72)/100))-AJ28</f>
        <v>10525.883319638451</v>
      </c>
      <c r="AK68" s="4957">
        <f>+AK67-((AK58/100)*AK67)</f>
        <v>6479.8031000000001</v>
      </c>
      <c r="AL68" s="7737">
        <f t="shared" ref="AL68" si="370">+AJ68+AF68+AB68</f>
        <v>25926.458504519309</v>
      </c>
      <c r="AM68" s="2011">
        <f t="shared" si="322"/>
        <v>25393.963799999998</v>
      </c>
      <c r="AN68" s="2789">
        <f>+AH68+AJ68</f>
        <v>82702.623601786516</v>
      </c>
      <c r="AO68" s="3870">
        <f t="shared" si="323"/>
        <v>76252.332800000004</v>
      </c>
      <c r="AP68" s="3276">
        <f>+(AP28/((100-AP72)/100))-AP28</f>
        <v>10353.327855382086</v>
      </c>
      <c r="AQ68" s="4957">
        <f>+AQ67-((AQ58/100)*AQ67)</f>
        <v>4188.5479999999998</v>
      </c>
      <c r="AR68" s="2789">
        <f>+AN68+AP68</f>
        <v>93055.951457168601</v>
      </c>
      <c r="AS68" s="3870">
        <f t="shared" si="324"/>
        <v>80440.880799999999</v>
      </c>
      <c r="AT68" s="3276">
        <f>+(AT28/((100-AT72)/100))-AT28</f>
        <v>9490.5505341002427</v>
      </c>
      <c r="AU68" s="4957">
        <f>+AU67-((AU58/100)*AU67)</f>
        <v>9782.4</v>
      </c>
      <c r="AV68" s="2789">
        <f>+AR68+AT68</f>
        <v>102546.50199126884</v>
      </c>
      <c r="AW68" s="3870">
        <f t="shared" si="325"/>
        <v>90223.280799999993</v>
      </c>
      <c r="AX68" s="3276">
        <f>+(AX28/((100-AX72)/100))-AX28</f>
        <v>10525.883319638451</v>
      </c>
      <c r="AY68" s="4957">
        <f>+AY67-((AY58/100)*AY67)</f>
        <v>5974.29</v>
      </c>
      <c r="AZ68" s="8323">
        <f t="shared" ref="AZ68" si="371">+AX68+AT68+AP68</f>
        <v>30369.761709120779</v>
      </c>
      <c r="BA68" s="2011">
        <f t="shared" si="326"/>
        <v>19945.237999999998</v>
      </c>
      <c r="BB68" s="8323">
        <f t="shared" ref="BB68" si="372">+AZ68+AV68+AR68</f>
        <v>225972.21515755821</v>
      </c>
      <c r="BC68" s="2011">
        <f t="shared" si="332"/>
        <v>45339.201799999995</v>
      </c>
      <c r="BD68" s="6527">
        <f>+AV68+AX68</f>
        <v>113072.3853109073</v>
      </c>
      <c r="BE68" s="6694">
        <f t="shared" si="327"/>
        <v>96197.570799999987</v>
      </c>
    </row>
    <row r="69" spans="1:57" ht="31" thickBot="1" x14ac:dyDescent="0.25">
      <c r="B69" s="2917" t="s">
        <v>1308</v>
      </c>
      <c r="C69" s="2098" t="s">
        <v>169</v>
      </c>
      <c r="D69" s="4212" t="s">
        <v>127</v>
      </c>
      <c r="E69" s="4155">
        <f>+(E62/(E64+E27+E91))*100</f>
        <v>0</v>
      </c>
      <c r="F69" s="4212" t="s">
        <v>127</v>
      </c>
      <c r="G69" s="4155">
        <f>+(G62/(G64+G27+G91))*100</f>
        <v>0</v>
      </c>
      <c r="H69" s="6103" t="s">
        <v>127</v>
      </c>
      <c r="I69" s="6105">
        <f>+(I62/(I64+I27+I91))*100</f>
        <v>0</v>
      </c>
      <c r="J69" s="6106" t="s">
        <v>127</v>
      </c>
      <c r="K69" s="4155">
        <f>+(K62/(K64+K27+K91))*100</f>
        <v>0</v>
      </c>
      <c r="L69" s="4144" t="s">
        <v>127</v>
      </c>
      <c r="M69" s="2918">
        <f>+(M62/(M64+M27+M91))*100</f>
        <v>0</v>
      </c>
      <c r="N69" s="4212" t="s">
        <v>127</v>
      </c>
      <c r="O69" s="6100">
        <f>+(O62/(O64+O27+O91))*100</f>
        <v>0</v>
      </c>
      <c r="P69" s="6103" t="s">
        <v>127</v>
      </c>
      <c r="Q69" s="6105">
        <f>+(Q62/(Q64+Q27+Q91))*100</f>
        <v>0</v>
      </c>
      <c r="R69" s="4212" t="s">
        <v>127</v>
      </c>
      <c r="S69" s="6100">
        <f>+(S62/(S64+S27+S91))*100</f>
        <v>0</v>
      </c>
      <c r="T69" s="6103" t="s">
        <v>127</v>
      </c>
      <c r="U69" s="6105">
        <f>+(U62/(U64+U27+U91))*100</f>
        <v>0</v>
      </c>
      <c r="V69" s="4212" t="s">
        <v>127</v>
      </c>
      <c r="W69" s="6100">
        <f>+(W62/(W64+W27+W91))*100</f>
        <v>0</v>
      </c>
      <c r="X69" s="4144" t="s">
        <v>127</v>
      </c>
      <c r="Y69" s="2918">
        <f>+(Y62/(Y64+Y27+Y91))*100</f>
        <v>0</v>
      </c>
      <c r="Z69" s="6847" t="s">
        <v>127</v>
      </c>
      <c r="AA69" s="6848">
        <f>+(AA62/(AA64+AA27+AA91))*100</f>
        <v>0</v>
      </c>
      <c r="AB69" s="4212" t="s">
        <v>127</v>
      </c>
      <c r="AC69" s="6100">
        <f>+(AC62/(AC64+AC27+AC91))*100</f>
        <v>0</v>
      </c>
      <c r="AD69" s="6103" t="s">
        <v>127</v>
      </c>
      <c r="AE69" s="6105">
        <f>+(AE62/(AE64+AE27+AE91))*100</f>
        <v>0</v>
      </c>
      <c r="AF69" s="4212" t="s">
        <v>127</v>
      </c>
      <c r="AG69" s="6100">
        <f>+(AG62/(AG64+AG27+AG91))*100</f>
        <v>0</v>
      </c>
      <c r="AH69" s="6103" t="s">
        <v>127</v>
      </c>
      <c r="AI69" s="6105">
        <f>+(AI62/(AI64+AI27+AI91))*100</f>
        <v>0</v>
      </c>
      <c r="AJ69" s="4212" t="s">
        <v>127</v>
      </c>
      <c r="AK69" s="6100">
        <f>+(AK62/(AK64+AK27+AK91))*100</f>
        <v>0</v>
      </c>
      <c r="AL69" s="4144" t="s">
        <v>127</v>
      </c>
      <c r="AM69" s="2918">
        <f>+(AM62/(AM64+AM27+AM91))*100</f>
        <v>0</v>
      </c>
      <c r="AN69" s="6103" t="s">
        <v>127</v>
      </c>
      <c r="AO69" s="6105">
        <f>+(AO62/(AO64+AO27+AO91))*100</f>
        <v>0</v>
      </c>
      <c r="AP69" s="4212" t="s">
        <v>127</v>
      </c>
      <c r="AQ69" s="6100">
        <f>+(AQ62/(AQ64+AQ27+AQ91))*100</f>
        <v>0</v>
      </c>
      <c r="AR69" s="6103" t="s">
        <v>127</v>
      </c>
      <c r="AS69" s="6105">
        <f>+(AS62/(AS64+AS27+AS91))*100</f>
        <v>0</v>
      </c>
      <c r="AT69" s="4212" t="s">
        <v>127</v>
      </c>
      <c r="AU69" s="6100">
        <f>+(AU62/(AU64+AU27+AU91))*100</f>
        <v>0</v>
      </c>
      <c r="AV69" s="6103" t="s">
        <v>127</v>
      </c>
      <c r="AW69" s="6105">
        <f>+(AW62/(AW64+AW27+AW91))*100</f>
        <v>0</v>
      </c>
      <c r="AX69" s="4212" t="s">
        <v>127</v>
      </c>
      <c r="AY69" s="6100">
        <f>+(AY62/(AY64+AY27+AY91))*100</f>
        <v>0</v>
      </c>
      <c r="AZ69" s="4144" t="s">
        <v>127</v>
      </c>
      <c r="BA69" s="2918">
        <f>+(BA62/(BA64+BA27+BA91))*100</f>
        <v>0</v>
      </c>
      <c r="BB69" s="4144" t="s">
        <v>127</v>
      </c>
      <c r="BC69" s="2918">
        <f>+(BC62/(BC64+BC27+BC91))*100</f>
        <v>0</v>
      </c>
      <c r="BD69" s="6847" t="s">
        <v>127</v>
      </c>
      <c r="BE69" s="6848">
        <f>+(BE62/(BE64+BE27+BE91))*100</f>
        <v>0</v>
      </c>
    </row>
    <row r="70" spans="1:57" ht="30" x14ac:dyDescent="0.2">
      <c r="A70" s="4208" t="s">
        <v>1479</v>
      </c>
      <c r="B70" s="2823" t="s">
        <v>1307</v>
      </c>
      <c r="C70" s="2821" t="s">
        <v>169</v>
      </c>
      <c r="D70" s="5251">
        <v>15.042887289263573</v>
      </c>
      <c r="E70" s="3143">
        <f>+(E60/(E64+E27+E91))*100</f>
        <v>15.042887289263573</v>
      </c>
      <c r="F70" s="5251">
        <v>15.548762601365409</v>
      </c>
      <c r="G70" s="3143">
        <f>+(G60/(G64+G27+G91))*100</f>
        <v>15.548762601365409</v>
      </c>
      <c r="H70" s="6104">
        <f>+(H60/(H64+H27+H91))*100</f>
        <v>15.301216677592096</v>
      </c>
      <c r="I70" s="6105">
        <f>+(I60/(I64+I27+I91))*100</f>
        <v>15.301256084746198</v>
      </c>
      <c r="J70" s="5251">
        <v>15</v>
      </c>
      <c r="K70" s="3143">
        <f>+(K60/(K64+K27+K91))*100</f>
        <v>15.490984865825045</v>
      </c>
      <c r="L70" s="2905">
        <f>+(L60/(L64+L27+L91))*100</f>
        <v>15.189117711357852</v>
      </c>
      <c r="M70" s="4158">
        <f>+(M60/(M64+M27+M91))*100</f>
        <v>15.368984752969151</v>
      </c>
      <c r="N70" s="5251">
        <v>15.21</v>
      </c>
      <c r="O70" s="6101">
        <f>+(O60/(O64+O27+O91))*100</f>
        <v>16.615660726253491</v>
      </c>
      <c r="P70" s="6104">
        <f>+(P60/(P64+P27+P91))*100</f>
        <v>15.19580114159124</v>
      </c>
      <c r="Q70" s="6105">
        <f>+(Q60/(Q64+Q27+Q91))*100</f>
        <v>15.720499655526387</v>
      </c>
      <c r="R70" s="5251">
        <v>15.21</v>
      </c>
      <c r="S70" s="6101">
        <f>+(S60/(S64+S27+S91))*100</f>
        <v>13.791645472225159</v>
      </c>
      <c r="T70" s="6104">
        <f>+(T60/(T64+T27+T91))*100</f>
        <v>15.199228496578923</v>
      </c>
      <c r="U70" s="6105">
        <f>+(U60/(U64+U27+U91))*100</f>
        <v>15.294833863790004</v>
      </c>
      <c r="V70" s="5251">
        <v>15.21</v>
      </c>
      <c r="W70" s="6877">
        <f>+(W60/(W64+W27+W91))*100</f>
        <v>15.431494220650213</v>
      </c>
      <c r="X70" s="2905">
        <f>+(X60/(X64+X27+X91))*100</f>
        <v>15.210000000000015</v>
      </c>
      <c r="Y70" s="4158">
        <f>+(Y60/(Y64+Y27+Y91))*100</f>
        <v>15.251685570683765</v>
      </c>
      <c r="Z70" s="6849">
        <f>+(Z60/(Z64+Z27+Z91))*100</f>
        <v>15.201300715971236</v>
      </c>
      <c r="AA70" s="6848">
        <f>+(AA60/(AA64+AA27+AA91))*100</f>
        <v>15.310026644006102</v>
      </c>
      <c r="AB70" s="5251">
        <v>15</v>
      </c>
      <c r="AC70" s="6101">
        <f>+(AC60/(AC64+AC27+AC91))*100</f>
        <v>16.262909186933914</v>
      </c>
      <c r="AD70" s="6104">
        <f>+(AD60/(AD64+AD27+AD91))*100</f>
        <v>15.182723087713502</v>
      </c>
      <c r="AE70" s="6105">
        <f>+(AE60/(AE64+AE27+AE91))*100</f>
        <v>15.421327736024873</v>
      </c>
      <c r="AF70" s="5251">
        <v>15</v>
      </c>
      <c r="AG70" s="6101">
        <f>+(AG60/(AG64+AG27+AG91))*100</f>
        <v>19.958395091991314</v>
      </c>
      <c r="AH70" s="6104">
        <f>+(AH60/(AH64+AH27+AH91))*100</f>
        <v>15.156002054936074</v>
      </c>
      <c r="AI70" s="6105">
        <f>+(AI60/(AI64+AI27+AI91))*100</f>
        <v>15.989205543426351</v>
      </c>
      <c r="AJ70" s="5251">
        <v>15</v>
      </c>
      <c r="AK70" s="6101">
        <f>+(AK60/(AK64+AK27+AK91))*100</f>
        <v>18.332630933680701</v>
      </c>
      <c r="AL70" s="2905">
        <f>+(AL60/(AL64+AL27+AL91))*100</f>
        <v>15.000000000000002</v>
      </c>
      <c r="AM70" s="4158">
        <f>+(AM60/(AM64+AM27+AM91))*100</f>
        <v>18.312297053861798</v>
      </c>
      <c r="AN70" s="6104">
        <f>+(AN60/(AN64+AN27+AN91))*100</f>
        <v>15.135206968443397</v>
      </c>
      <c r="AO70" s="6105">
        <f>+(AO60/(AO64+AO27+AO91))*100</f>
        <v>16.323570692025182</v>
      </c>
      <c r="AP70" s="5251">
        <v>15</v>
      </c>
      <c r="AQ70" s="6101">
        <f>+(AQ60/(AQ64+AQ27+AQ91))*100</f>
        <v>18.944336891033771</v>
      </c>
      <c r="AR70" s="6104">
        <f>+(AR60/(AR64+AR27+AR91))*100</f>
        <v>15.11953425457501</v>
      </c>
      <c r="AS70" s="6105">
        <f>+(AS60/(AS64+AS27+AS91))*100</f>
        <v>16.678335883062719</v>
      </c>
      <c r="AT70" s="5251">
        <v>15</v>
      </c>
      <c r="AU70" s="6101">
        <f>+(AU60/(AU64+AU27+AU91))*100</f>
        <v>16.271739895292907</v>
      </c>
      <c r="AV70" s="6104">
        <f>+(AV60/(AV64+AV27+AV91))*100</f>
        <v>15.108052903187218</v>
      </c>
      <c r="AW70" s="6105">
        <f>+(AW60/(AW64+AW27+AW91))*100</f>
        <v>16.634564616490398</v>
      </c>
      <c r="AX70" s="5251">
        <v>15</v>
      </c>
      <c r="AY70" s="6101">
        <f t="shared" ref="AY70:BE70" si="373">+(AY60/(AY64+AY27+AY91))*100</f>
        <v>20.812220332719424</v>
      </c>
      <c r="AZ70" s="2905">
        <f t="shared" si="373"/>
        <v>15.000000000000007</v>
      </c>
      <c r="BA70" s="4158">
        <f t="shared" si="373"/>
        <v>18.831978487481198</v>
      </c>
      <c r="BB70" s="2905">
        <f t="shared" si="373"/>
        <v>40.806433677287416</v>
      </c>
      <c r="BC70" s="4158">
        <f t="shared" si="373"/>
        <v>18.506595245889905</v>
      </c>
      <c r="BD70" s="6849">
        <f t="shared" si="373"/>
        <v>15.097650314586966</v>
      </c>
      <c r="BE70" s="6848">
        <f t="shared" si="373"/>
        <v>17.122786688680826</v>
      </c>
    </row>
    <row r="71" spans="1:57" x14ac:dyDescent="0.2">
      <c r="A71" s="4208" t="s">
        <v>1479</v>
      </c>
      <c r="B71" s="1726" t="s">
        <v>1301</v>
      </c>
      <c r="C71" s="1727" t="s">
        <v>169</v>
      </c>
      <c r="D71" s="3467">
        <v>15.042887289263573</v>
      </c>
      <c r="E71" s="6101">
        <f>+(E66/(E66+E23+E24+E32))*100</f>
        <v>15.059787838220135</v>
      </c>
      <c r="F71" s="3467">
        <v>15.548762601365409</v>
      </c>
      <c r="G71" s="6101">
        <f>+(G66/(G66+G23+G24+G32))*100</f>
        <v>15.198448011651205</v>
      </c>
      <c r="H71" s="6104">
        <f>+(H66/(H66+H23+H24))*100</f>
        <v>15.305396840212538</v>
      </c>
      <c r="I71" s="6105">
        <f>+(I66/(I66+I23+I24+I32))*100</f>
        <v>15.13159138563392</v>
      </c>
      <c r="J71" s="3467">
        <v>14.53</v>
      </c>
      <c r="K71" s="6101">
        <f>+(K66/(K66+K23+K24+K32))*100</f>
        <v>15.906314833967944</v>
      </c>
      <c r="L71" s="2905">
        <f>+(L66/(L66+L23+L24))*100</f>
        <v>15.022210762856824</v>
      </c>
      <c r="M71" s="4158">
        <f>+(M66/(M66+M23+M24+M32))*100</f>
        <v>15.410549988690278</v>
      </c>
      <c r="N71" s="3467">
        <v>12.5</v>
      </c>
      <c r="O71" s="6101">
        <f>+(O66/(O66+O23+O24+O32))*100</f>
        <v>16.737989712424621</v>
      </c>
      <c r="P71" s="6104">
        <f>+(P66/(P66+P23+P24))*100</f>
        <v>14.295966697914231</v>
      </c>
      <c r="Q71" s="6105">
        <f>+(Q66/(Q66+Q23+Q24+Q32))*100</f>
        <v>15.802256852989707</v>
      </c>
      <c r="R71" s="3467">
        <v>12.5</v>
      </c>
      <c r="S71" s="6101">
        <f>+(S66/(S66+S23+S24+S32))*100</f>
        <v>16.845212730934566</v>
      </c>
      <c r="T71" s="6104">
        <f>+(T66/(T66+T23+T24))*100</f>
        <v>13.896268920455714</v>
      </c>
      <c r="U71" s="6105">
        <f>+(U66/(U66+U23+U24+U32))*100</f>
        <v>16.036978161692463</v>
      </c>
      <c r="V71" s="3467">
        <v>12.5</v>
      </c>
      <c r="W71" s="6101">
        <f>+(W66/(W66+W23+W24+W32))*100</f>
        <v>23.368664611117936</v>
      </c>
      <c r="X71" s="2905">
        <f>+(X66/(X66+X23+X24))*100</f>
        <v>12.499999999999996</v>
      </c>
      <c r="Y71" s="4158">
        <f>+(Y66/(Y66+Y23+Y24+Y32))*100</f>
        <v>18.489103531212653</v>
      </c>
      <c r="Z71" s="6849">
        <f>+(Z66/(Z66+Z23+Z24))*100</f>
        <v>13.644835452041876</v>
      </c>
      <c r="AA71" s="6848">
        <f>+(AA66/(AA66+AA23+AA24+AA32))*100</f>
        <v>17.036688859060984</v>
      </c>
      <c r="AB71" s="3467">
        <v>12</v>
      </c>
      <c r="AC71" s="6101">
        <f>+(AC66/(AC66+AC23+AC24+AC32))*100</f>
        <v>25.285686822093339</v>
      </c>
      <c r="AD71" s="6104">
        <f>+(AD66/(AD66+AD23+AD24))*100</f>
        <v>13.492376094132878</v>
      </c>
      <c r="AE71" s="6105">
        <f>+(AE66/(AE66+AE23+AE24+AE32))*100</f>
        <v>18.313818350908505</v>
      </c>
      <c r="AF71" s="3467">
        <v>11.7</v>
      </c>
      <c r="AG71" s="6101">
        <f>+(AG66/(AG66+AG23+AG24+AG32))*100</f>
        <v>20.367519734142991</v>
      </c>
      <c r="AH71" s="6104">
        <f>+(AH66/(AH66+AH23+AH24))*100</f>
        <v>13.238091789115941</v>
      </c>
      <c r="AI71" s="6105">
        <f>+(AI66/(AI66+AI23+AI24+AI32))*100</f>
        <v>18.571974355290461</v>
      </c>
      <c r="AJ71" s="3467">
        <v>12</v>
      </c>
      <c r="AK71" s="6101">
        <f>+(AK66/(AK66+AK23+AK24+AK32))*100</f>
        <v>17.717973265525732</v>
      </c>
      <c r="AL71" s="2905">
        <f>+(AL66/(AL66+AL23+AL24))*100</f>
        <v>11.883580019165661</v>
      </c>
      <c r="AM71" s="4158">
        <f>+(AM66/(AM66+AM23+AM24+AM32))*100</f>
        <v>21.07802494894878</v>
      </c>
      <c r="AN71" s="6104">
        <f>+(AN66/(AN66+AN23+AN24))*100</f>
        <v>13.082085707142795</v>
      </c>
      <c r="AO71" s="6105">
        <f>+(AO66/(AO66+AO23+AO24+AO32))*100</f>
        <v>18.465178980559809</v>
      </c>
      <c r="AP71" s="3467">
        <v>12</v>
      </c>
      <c r="AQ71" s="6101">
        <f>+(AQ66/(AQ66+AQ23+AQ24+AQ32))*100</f>
        <v>13.10356380082918</v>
      </c>
      <c r="AR71" s="6104">
        <f>+(AR66/(AR66+AR23+AR24))*100</f>
        <v>12.962761436597056</v>
      </c>
      <c r="AS71" s="6105">
        <f>+(AS66/(AS66+AS23+AS24+AS32))*100</f>
        <v>17.860442471585689</v>
      </c>
      <c r="AT71" s="3467">
        <v>12</v>
      </c>
      <c r="AU71" s="6101">
        <f>+(AU66/(AU66+AU23+AU24+AU32))*100</f>
        <v>13.890516887713279</v>
      </c>
      <c r="AV71" s="6104">
        <f>+(AV66/(AV66+AV23+AV24))*100</f>
        <v>12.874376723878733</v>
      </c>
      <c r="AW71" s="8253">
        <f>+(AW66/(AW66+AW23+AW24+AW32))*100</f>
        <v>17.489857642777512</v>
      </c>
      <c r="AX71" s="3467">
        <v>12</v>
      </c>
      <c r="AY71" s="6101">
        <f>+(AY66/(AY66+AY23+AY24+AY32))*100</f>
        <v>14.457211369495138</v>
      </c>
      <c r="AZ71" s="2905">
        <f>+(AZ66/(AZ66+AZ23+AZ24))*100</f>
        <v>12</v>
      </c>
      <c r="BA71" s="4158">
        <f>+(BA66/(BA66+BA23+BA24+BA32))*100</f>
        <v>13.833633261775214</v>
      </c>
      <c r="BB71" s="2905">
        <f>+(BB66/(BB66+BB23+BB24))*100</f>
        <v>36.694965145649597</v>
      </c>
      <c r="BC71" s="4158">
        <f>+(BC66/(BC66+BC23+BC24+BC32))*100</f>
        <v>17.318017049481089</v>
      </c>
      <c r="BD71" s="6849">
        <f>+(BD66/(BD66+BD23+BD24))*100</f>
        <v>12.793576187877239</v>
      </c>
      <c r="BE71" s="6848">
        <f>+(BE66/(BE66+BE23+BE24+BE32))*100</f>
        <v>17.186351197425534</v>
      </c>
    </row>
    <row r="72" spans="1:57" ht="16" thickBot="1" x14ac:dyDescent="0.25">
      <c r="A72" s="4208" t="s">
        <v>1479</v>
      </c>
      <c r="B72" s="5604" t="s">
        <v>1336</v>
      </c>
      <c r="C72" s="5605" t="s">
        <v>169</v>
      </c>
      <c r="D72" s="3468">
        <v>17.5</v>
      </c>
      <c r="E72" s="3143">
        <f>+(E68/(E68+E28))*100</f>
        <v>17.50070078874915</v>
      </c>
      <c r="F72" s="3468">
        <v>18.365861836167916</v>
      </c>
      <c r="G72" s="3143">
        <f>+(G68/(G68+G28))*100</f>
        <v>18.365861836167916</v>
      </c>
      <c r="H72" s="6104">
        <f>+(H68/(H68+H28))*100</f>
        <v>17.969360847847543</v>
      </c>
      <c r="I72" s="6105">
        <f>+(I68/(I68+I28))*100</f>
        <v>17.969993337454248</v>
      </c>
      <c r="J72" s="3468">
        <v>10</v>
      </c>
      <c r="K72" s="3143">
        <f>+(K68/(K68+K28))*100</f>
        <v>15.482832439459973</v>
      </c>
      <c r="L72" s="2905">
        <f>+(L68/(L68+L28))*100</f>
        <v>14.979397753427826</v>
      </c>
      <c r="M72" s="4158">
        <f>+(M68/(M68+M28))*100</f>
        <v>17.095197819645477</v>
      </c>
      <c r="N72" s="3468">
        <v>10</v>
      </c>
      <c r="O72" s="6101">
        <f>+(O68/(O68+O28))*100</f>
        <v>10.42926878451415</v>
      </c>
      <c r="P72" s="6104">
        <f>+(P68/(P68+P28))*100</f>
        <v>13.112563786676487</v>
      </c>
      <c r="Q72" s="6105">
        <f>+(Q68/(Q68+Q28))*100</f>
        <v>14.918258992722713</v>
      </c>
      <c r="R72" s="3468">
        <v>10</v>
      </c>
      <c r="S72" s="6101">
        <f>+(S68/(S68+S28))*100</f>
        <v>9.8980633741881476</v>
      </c>
      <c r="T72" s="6104">
        <f>+(T68/(T68+T28))*100</f>
        <v>12.267431786345758</v>
      </c>
      <c r="U72" s="6105">
        <f>+(U68/(U68+U28))*100</f>
        <v>13.638770588921323</v>
      </c>
      <c r="V72" s="3468">
        <v>10</v>
      </c>
      <c r="W72" s="6101">
        <f>+(W68/(W68+W28))*100</f>
        <v>11.892553663447428</v>
      </c>
      <c r="X72" s="2905">
        <f>+(X68/(X68+X28))*100</f>
        <v>9.9999999999999929</v>
      </c>
      <c r="Y72" s="4158">
        <f>+(Y68/(Y68+Y28))*100</f>
        <v>10.540694276507139</v>
      </c>
      <c r="Z72" s="6849">
        <f>+(Z68/(Z68+Z28))*100</f>
        <v>11.788266724576468</v>
      </c>
      <c r="AA72" s="6848">
        <f>+(AA68/(AA68+AA28))*100</f>
        <v>13.422694094521162</v>
      </c>
      <c r="AB72" s="3468">
        <v>10</v>
      </c>
      <c r="AC72" s="6101">
        <f>+(AC68/(AC68+AC28))*100</f>
        <v>16.852844124806072</v>
      </c>
      <c r="AD72" s="6104">
        <f>+(AD68/(AD68+AD28))*100</f>
        <v>11.608211472935912</v>
      </c>
      <c r="AE72" s="6105">
        <f>+(AE68/(AE68+AE28))*100</f>
        <v>13.860097616702777</v>
      </c>
      <c r="AF72" s="3468">
        <v>10</v>
      </c>
      <c r="AG72" s="6101">
        <f>+(AG68/(AG68+AG28))*100</f>
        <v>12.901960559200978</v>
      </c>
      <c r="AH72" s="6104">
        <f>+(AH68/(AH68+AH28))*100</f>
        <v>11.354996372156629</v>
      </c>
      <c r="AI72" s="6105">
        <f>+(AI68/(AI68+AI28))*100</f>
        <v>13.720178201517694</v>
      </c>
      <c r="AJ72" s="3468">
        <v>10</v>
      </c>
      <c r="AK72" s="6101">
        <f>+(AK68/(AK68+AK28))*100</f>
        <v>8.0251398264890508</v>
      </c>
      <c r="AL72" s="2905">
        <f>+(AL68/(AL68+AL28))*100</f>
        <v>9.9999999999999947</v>
      </c>
      <c r="AM72" s="4158">
        <f>+(AM68/(AM68+AM28))*100</f>
        <v>12.070237027081685</v>
      </c>
      <c r="AN72" s="6104">
        <f>+(AN68/(AN68+AN28))*100</f>
        <v>11.162492888949672</v>
      </c>
      <c r="AO72" s="6105">
        <f>+(AO68/(AO68+AO28))*100</f>
        <v>12.939842102386374</v>
      </c>
      <c r="AP72" s="3468">
        <v>10</v>
      </c>
      <c r="AQ72" s="6101">
        <f>+(AQ68/(AQ68+AQ28))*100</f>
        <v>4.3610925327331715</v>
      </c>
      <c r="AR72" s="6104">
        <f>+(AR68/(AR68+AR28))*100</f>
        <v>11.019962900376393</v>
      </c>
      <c r="AS72" s="6105">
        <f>+(AS68/(AS68+AS28))*100</f>
        <v>11.737593118498321</v>
      </c>
      <c r="AT72" s="3468">
        <v>10</v>
      </c>
      <c r="AU72" s="6101">
        <f>+(AU68/(AU68+AU28))*100</f>
        <v>10.25651779142648</v>
      </c>
      <c r="AV72" s="6104">
        <f>+(AV68/(AV68+AV28))*100</f>
        <v>10.916911306660793</v>
      </c>
      <c r="AW72" s="6105">
        <f>+(AW68/(AW68+AW28))*100</f>
        <v>11.556652501962303</v>
      </c>
      <c r="AX72" s="3468">
        <v>10</v>
      </c>
      <c r="AY72" s="6101">
        <f t="shared" ref="AY72:BE72" si="374">+(AY68/(AY68+AY28))*100</f>
        <v>5.7843162788842335</v>
      </c>
      <c r="AZ72" s="2905">
        <f t="shared" si="374"/>
        <v>9.9999999999999947</v>
      </c>
      <c r="BA72" s="4158">
        <f t="shared" si="374"/>
        <v>6.767860026973799</v>
      </c>
      <c r="BB72" s="2905">
        <f t="shared" si="374"/>
        <v>30.843630056157835</v>
      </c>
      <c r="BC72" s="4158">
        <f t="shared" si="374"/>
        <v>8.9764564108398428</v>
      </c>
      <c r="BD72" s="6849">
        <f t="shared" si="374"/>
        <v>10.82451855216406</v>
      </c>
      <c r="BE72" s="6848">
        <f t="shared" si="374"/>
        <v>10.882218840560601</v>
      </c>
    </row>
    <row r="73" spans="1:57" x14ac:dyDescent="0.2">
      <c r="B73" s="7410" t="s">
        <v>743</v>
      </c>
      <c r="C73" s="7390" t="s">
        <v>877</v>
      </c>
      <c r="D73" s="7393">
        <f>+'Maj Techno Summ'!D15</f>
        <v>991.89383299449219</v>
      </c>
      <c r="E73" s="2750">
        <f>+'Maj Techno Summ'!E15</f>
        <v>991.57268186624344</v>
      </c>
      <c r="F73" s="7393">
        <f>+'Maj Techno Summ'!F15</f>
        <v>1001.3621664058677</v>
      </c>
      <c r="G73" s="2750">
        <f>+'Maj Techno Summ'!G15</f>
        <v>1001.2956380014117</v>
      </c>
      <c r="H73" s="7394">
        <f>+'Maj Techno Summ'!H15</f>
        <v>996.7618500089344</v>
      </c>
      <c r="I73" s="3193">
        <f>+'Maj Techno Summ'!I15</f>
        <v>996.89046696217952</v>
      </c>
      <c r="J73" s="7393">
        <f>+'Maj Techno Summ'!J15</f>
        <v>958.676897164818</v>
      </c>
      <c r="K73" s="2750">
        <f>+'Maj Techno Summ'!K15</f>
        <v>986.78215139234203</v>
      </c>
      <c r="L73" s="5783">
        <f>+'Maj Techno Summ'!L15</f>
        <v>982.34371163101616</v>
      </c>
      <c r="M73" s="5029">
        <f>+'Maj Techno Summ'!M15</f>
        <v>992.9743360963372</v>
      </c>
      <c r="N73" s="7393">
        <f>+'Maj Techno Summ'!N15</f>
        <v>881</v>
      </c>
      <c r="O73" s="4406">
        <f>+'Maj Techno Summ'!O15</f>
        <v>1026.6953904932448</v>
      </c>
      <c r="P73" s="7394">
        <f>+'Maj Techno Summ'!P15</f>
        <v>948.33576350303053</v>
      </c>
      <c r="Q73" s="3193">
        <f>+'Maj Techno Summ'!Q15</f>
        <v>1002.0323394838654</v>
      </c>
      <c r="R73" s="7393">
        <f>+'Maj Techno Summ'!R15</f>
        <v>881</v>
      </c>
      <c r="S73" s="4406">
        <f>+'Maj Techno Summ'!S15</f>
        <v>981.69055486595676</v>
      </c>
      <c r="T73" s="7394">
        <f>+'Maj Techno Summ'!T15</f>
        <v>931.4911710582644</v>
      </c>
      <c r="U73" s="3193">
        <f>+'Maj Techno Summ'!U15</f>
        <v>997.49039722008797</v>
      </c>
      <c r="V73" s="7393">
        <f>+'Maj Techno Summ'!V15</f>
        <v>881</v>
      </c>
      <c r="W73" s="4406">
        <f>+'Maj Techno Summ'!W15</f>
        <v>1170.2716013371453</v>
      </c>
      <c r="X73" s="5783">
        <f>+'Maj Techno Summ'!X15</f>
        <v>881</v>
      </c>
      <c r="Y73" s="5029">
        <f>+'Maj Techno Summ'!Y15</f>
        <v>1038.2667344001445</v>
      </c>
      <c r="Z73" s="6614">
        <f>+'Maj Techno Summ'!Z15</f>
        <v>921.49446454383235</v>
      </c>
      <c r="AA73" s="6615">
        <f>+'Maj Techno Summ'!AA15</f>
        <v>1015.9172141363308</v>
      </c>
      <c r="AB73" s="7393">
        <f>+'Maj Techno Summ'!AB15</f>
        <v>1000</v>
      </c>
      <c r="AC73" s="4406">
        <f>+'Maj Techno Summ'!AC15</f>
        <v>1254.4862186659466</v>
      </c>
      <c r="AD73" s="7394">
        <f>+'Maj Techno Summ'!AD15</f>
        <v>928.94749064992618</v>
      </c>
      <c r="AE73" s="3193">
        <f>+'Maj Techno Summ'!AE15</f>
        <v>1043.3321377844964</v>
      </c>
      <c r="AF73" s="7393">
        <f>+'Maj Techno Summ'!AF15</f>
        <v>882</v>
      </c>
      <c r="AG73" s="4406">
        <f>+'Maj Techno Summ'!AG15</f>
        <v>1045.5776414600118</v>
      </c>
      <c r="AH73" s="7394">
        <f>+'Maj Techno Summ'!AH15</f>
        <v>921.91448640349347</v>
      </c>
      <c r="AI73" s="3193">
        <f>+'Maj Techno Summ'!AI15</f>
        <v>1043.5757421850678</v>
      </c>
      <c r="AJ73" s="7393">
        <f>+'Maj Techno Summ'!AJ15</f>
        <v>883</v>
      </c>
      <c r="AK73" s="4406">
        <f>+'Maj Techno Summ'!AK15</f>
        <v>966.73826673279871</v>
      </c>
      <c r="AL73" s="5783">
        <f>+'Maj Techno Summ'!AL15</f>
        <v>906.94841930116468</v>
      </c>
      <c r="AM73" s="5029">
        <f>+'Maj Techno Summ'!AM15</f>
        <v>1067.5942161706357</v>
      </c>
      <c r="AN73" s="7394">
        <f>+'Maj Techno Summ'!AN15</f>
        <v>916.6178488310552</v>
      </c>
      <c r="AO73" s="3193">
        <f>+'Maj Techno Summ'!AO15</f>
        <v>1032.9764132577257</v>
      </c>
      <c r="AP73" s="7393">
        <f>+'Maj Techno Summ'!AP15</f>
        <v>884</v>
      </c>
      <c r="AQ73" s="4406">
        <f>+'Maj Techno Summ'!AQ15</f>
        <v>896.07875053124189</v>
      </c>
      <c r="AR73" s="7394">
        <f>+'Maj Techno Summ'!AR15</f>
        <v>912.76662092566744</v>
      </c>
      <c r="AS73" s="3193">
        <f>+'Maj Techno Summ'!AS15</f>
        <v>1014.8133342284378</v>
      </c>
      <c r="AT73" s="7393">
        <f>+'Maj Techno Summ'!AT15</f>
        <v>885</v>
      </c>
      <c r="AU73" s="4406">
        <f>+'Maj Techno Summ'!AU15</f>
        <v>918</v>
      </c>
      <c r="AV73" s="7394">
        <f>+'Maj Techno Summ'!AV15</f>
        <v>910.05488295945452</v>
      </c>
      <c r="AW73" s="3193">
        <f>+'Maj Techno Summ'!AW15</f>
        <v>1005</v>
      </c>
      <c r="AX73" s="7393">
        <f>+'Maj Techno Summ'!AX15</f>
        <v>884</v>
      </c>
      <c r="AY73" s="4406">
        <f>+'Maj Techno Summ'!AY15</f>
        <v>885.90486605852686</v>
      </c>
      <c r="AZ73" s="5783">
        <f>+'Maj Techno Summ'!AZ15</f>
        <v>884.3125</v>
      </c>
      <c r="BA73" s="5029">
        <f>+'Maj Techno Summ'!BA15</f>
        <v>899.00965188820521</v>
      </c>
      <c r="BB73" s="5783">
        <f>+'Maj Techno Summ'!BB15</f>
        <v>894.73716475095785</v>
      </c>
      <c r="BC73" s="5029">
        <f>+'Maj Techno Summ'!BC15</f>
        <v>969.95475642824613</v>
      </c>
      <c r="BD73" s="6614">
        <f>+'Maj Techno Summ'!BB15</f>
        <v>894.73716475095785</v>
      </c>
      <c r="BE73" s="6615">
        <f>+'Maj Techno Summ'!BC15</f>
        <v>969.95475642824613</v>
      </c>
    </row>
    <row r="74" spans="1:57" s="3938" customFormat="1" x14ac:dyDescent="0.2">
      <c r="A74" s="7412"/>
      <c r="B74" s="7413" t="s">
        <v>746</v>
      </c>
      <c r="C74" s="1544" t="s">
        <v>169</v>
      </c>
      <c r="D74" s="7393">
        <f>+D47/D2*100</f>
        <v>92.63333333333334</v>
      </c>
      <c r="E74" s="2750">
        <v>92.65</v>
      </c>
      <c r="F74" s="7393">
        <f>+F47/F2*100</f>
        <v>95.442025337344518</v>
      </c>
      <c r="G74" s="2750">
        <v>95.45</v>
      </c>
      <c r="H74" s="7394">
        <f>+H47/H2*100</f>
        <v>94.060701400945561</v>
      </c>
      <c r="I74" s="3193">
        <f>+I47/I2*100</f>
        <v>94.056234851347995</v>
      </c>
      <c r="J74" s="7393">
        <f>+J47/J2*100</f>
        <v>91.666666666666657</v>
      </c>
      <c r="K74" s="2750">
        <v>92.41</v>
      </c>
      <c r="L74" s="5783">
        <f>+L47/L2*100</f>
        <v>93.271459180853626</v>
      </c>
      <c r="M74" s="5029">
        <f>+M47/M2*100</f>
        <v>93.518173997901627</v>
      </c>
      <c r="N74" s="7393">
        <f>+N47/N2*100</f>
        <v>96.774193548387103</v>
      </c>
      <c r="O74" s="4406">
        <v>97.6</v>
      </c>
      <c r="P74" s="7394">
        <f>+P47/P2*100</f>
        <v>94.161498241456385</v>
      </c>
      <c r="Q74" s="3193">
        <f>+Q47/Q2*100</f>
        <v>94.55042974532661</v>
      </c>
      <c r="R74" s="7393">
        <f>+R47/R2*100</f>
        <v>96.774193548387089</v>
      </c>
      <c r="S74" s="4406">
        <v>96.27</v>
      </c>
      <c r="T74" s="7394">
        <f>+T47/T2*100</f>
        <v>94.690867878808362</v>
      </c>
      <c r="U74" s="3193">
        <f>+U47/U2*100</f>
        <v>94.898257228370923</v>
      </c>
      <c r="V74" s="7393">
        <f>+V47/V2*100</f>
        <v>98.333333333333329</v>
      </c>
      <c r="W74" s="4406">
        <v>69.97</v>
      </c>
      <c r="X74" s="5783">
        <f>+X47/X2*100</f>
        <v>97.282608695652172</v>
      </c>
      <c r="Y74" s="5029">
        <f>+Y47/Y2*100</f>
        <v>85.864006972787706</v>
      </c>
      <c r="Z74" s="6614">
        <f>+Z47/Z2*100</f>
        <v>95.287993363156716</v>
      </c>
      <c r="AA74" s="6615">
        <f>+AA47/AA2*100</f>
        <v>89.670177460685906</v>
      </c>
      <c r="AB74" s="7393">
        <f>+AB47/AB2*100</f>
        <v>64.516129032258064</v>
      </c>
      <c r="AC74" s="4406">
        <v>96.08</v>
      </c>
      <c r="AD74" s="7394">
        <f>+AD47/AD2*100</f>
        <v>90.830386847933084</v>
      </c>
      <c r="AE74" s="3193">
        <f>+AE47/AE2*100</f>
        <v>90.601352298400499</v>
      </c>
      <c r="AF74" s="7393">
        <f>+AF47/AF2*100</f>
        <v>96.666666666666671</v>
      </c>
      <c r="AG74" s="4406">
        <v>87.97</v>
      </c>
      <c r="AH74" s="7394">
        <f>+AH47/AH2*100</f>
        <v>91.547962235482288</v>
      </c>
      <c r="AI74" s="3193">
        <f>+AI47/AI2*100</f>
        <v>90.251676864603596</v>
      </c>
      <c r="AJ74" s="7393">
        <f>+AJ47/AJ2*100</f>
        <v>98.387096774193552</v>
      </c>
      <c r="AK74" s="4406">
        <v>93.66</v>
      </c>
      <c r="AL74" s="5783">
        <f>+AL47/AL2*100</f>
        <v>86.41304347826086</v>
      </c>
      <c r="AM74" s="5029">
        <f>+AM47/AM2*100</f>
        <v>92.562305802607753</v>
      </c>
      <c r="AN74" s="7394">
        <f>+AN47/AN2*100</f>
        <v>92.318919219846109</v>
      </c>
      <c r="AO74" s="3193">
        <f>+AO47/AO2*100</f>
        <v>90.637725851437935</v>
      </c>
      <c r="AP74" s="7393">
        <f>+AP47/AP2*100</f>
        <v>96.774193548387103</v>
      </c>
      <c r="AQ74" s="4406">
        <v>97.64</v>
      </c>
      <c r="AR74" s="7394">
        <f>+AR47/AR2*100</f>
        <v>92.77027054071138</v>
      </c>
      <c r="AS74" s="3193">
        <f>+AS47/AS2*100</f>
        <v>91.347701964524092</v>
      </c>
      <c r="AT74" s="7393">
        <f>+AT47/AT2*100</f>
        <v>98.209338418862856</v>
      </c>
      <c r="AU74" s="4406">
        <v>98.36</v>
      </c>
      <c r="AV74" s="7394">
        <f>+AV47/AV2*100</f>
        <v>93.226240302951609</v>
      </c>
      <c r="AW74" s="3193">
        <f>+AW47/AW2*100</f>
        <v>91.934949435841474</v>
      </c>
      <c r="AX74" s="7393">
        <f>+AX47/AX2*100</f>
        <v>98.382140773852072</v>
      </c>
      <c r="AY74" s="4406">
        <v>98.95</v>
      </c>
      <c r="AZ74" s="5783">
        <f t="shared" ref="AZ74:BE74" si="375">+AZ47/AZ2*100</f>
        <v>97.774531552417486</v>
      </c>
      <c r="BA74" s="5029">
        <f t="shared" si="375"/>
        <v>98.308072648868318</v>
      </c>
      <c r="BB74" s="5783">
        <f t="shared" si="375"/>
        <v>375.41194992506092</v>
      </c>
      <c r="BC74" s="5029">
        <f t="shared" si="375"/>
        <v>95.403619078231102</v>
      </c>
      <c r="BD74" s="6614">
        <f t="shared" si="375"/>
        <v>93.664138699110282</v>
      </c>
      <c r="BE74" s="6615">
        <f t="shared" si="375"/>
        <v>92.529044239845433</v>
      </c>
    </row>
    <row r="75" spans="1:57" x14ac:dyDescent="0.2">
      <c r="A75" s="3378" t="s">
        <v>1024</v>
      </c>
      <c r="B75" s="7411" t="s">
        <v>745</v>
      </c>
      <c r="C75" s="1541" t="s">
        <v>744</v>
      </c>
      <c r="D75" s="5253">
        <v>1100</v>
      </c>
      <c r="E75" s="3835">
        <v>1085</v>
      </c>
      <c r="F75" s="5253">
        <v>1100</v>
      </c>
      <c r="G75" s="3835">
        <v>1099</v>
      </c>
      <c r="H75" s="7394">
        <f>+AVERAGE(D75,F75)</f>
        <v>1100</v>
      </c>
      <c r="I75" s="3193">
        <f>+((E75*E$2)+(G75*G$2))/I$2</f>
        <v>1092.1147540983607</v>
      </c>
      <c r="J75" s="5253">
        <v>1100</v>
      </c>
      <c r="K75" s="3835">
        <v>1107</v>
      </c>
      <c r="L75" s="7414">
        <f>+AVERAGE(D75,F75,J75)</f>
        <v>1100</v>
      </c>
      <c r="M75" s="5029">
        <f>+((I75*I$2)+(K75*K$2))/M$2</f>
        <v>1097.0219780219779</v>
      </c>
      <c r="N75" s="5253">
        <v>1120</v>
      </c>
      <c r="O75" s="4419">
        <v>1122</v>
      </c>
      <c r="P75" s="7394">
        <f>+AVERAGE(D75,F75,J75,N75)</f>
        <v>1105</v>
      </c>
      <c r="Q75" s="3193">
        <f>+((M75*M$2)+(O75*O$2))/Q$2</f>
        <v>1103.3688524590164</v>
      </c>
      <c r="R75" s="5253">
        <v>1120</v>
      </c>
      <c r="S75" s="4419">
        <v>1121</v>
      </c>
      <c r="T75" s="7394">
        <f>+AVERAGE(H75,J75,N75,R75)</f>
        <v>1110</v>
      </c>
      <c r="U75" s="3193">
        <f>+((Q75*Q$2)+(S75*S$2))/U$2</f>
        <v>1106.9411764705883</v>
      </c>
      <c r="V75" s="5253">
        <v>1120</v>
      </c>
      <c r="W75" s="4419">
        <v>1125</v>
      </c>
      <c r="X75" s="7414">
        <f>+AVERAGE(N75,R75,V75)</f>
        <v>1120</v>
      </c>
      <c r="Y75" s="6002">
        <f>+((O75*O$2)+(S75*S$2)+(W75*W$2))/Y$2</f>
        <v>1122.641304347826</v>
      </c>
      <c r="Z75" s="6614">
        <f>+AVERAGE(D75,F75,J75,N75,R75,V75)</f>
        <v>1110</v>
      </c>
      <c r="AA75" s="6615">
        <f>+((U75*U$2)+(W75*W$2))/AA$2</f>
        <v>1109.9016393442623</v>
      </c>
      <c r="AB75" s="5253">
        <v>1120</v>
      </c>
      <c r="AC75" s="4419">
        <v>1104</v>
      </c>
      <c r="AD75" s="7394">
        <f>+AVERAGE(D75,F75,J75,N75,R75,V75,AB75)</f>
        <v>1111.4285714285713</v>
      </c>
      <c r="AE75" s="3193">
        <f>+((AA75*AA$2)+(AC75*AC$2))/AE$2</f>
        <v>1109.0467289719627</v>
      </c>
      <c r="AF75" s="5253">
        <v>1120</v>
      </c>
      <c r="AG75" s="4419">
        <v>1089</v>
      </c>
      <c r="AH75" s="7394">
        <f>AVERAGE(D75,F75,J75,N75,R75,V75,AB75,AF75)</f>
        <v>1112.5</v>
      </c>
      <c r="AI75" s="3193">
        <f>+((AE75*AE$2)+(AG75*AG$2))/AI$2</f>
        <v>1106.5819672131147</v>
      </c>
      <c r="AJ75" s="5253">
        <v>1120</v>
      </c>
      <c r="AK75" s="4419">
        <v>1116</v>
      </c>
      <c r="AL75" s="7414">
        <f>+AVERAGE(AB75,AF75,AJ75)</f>
        <v>1120</v>
      </c>
      <c r="AM75" s="6002">
        <f>+((AC75*AC$2)+(AG75*AG$2)+(AK75*AK$2))/AM$2</f>
        <v>1103.1521739130435</v>
      </c>
      <c r="AN75" s="7394">
        <f>+AVERAGE(R75,T75,X75,AB75,AF75,AJ75)</f>
        <v>1118.3333333333333</v>
      </c>
      <c r="AO75" s="3193">
        <f>+((AI75*AI$2)+(AK75*AK$2))/AO$2</f>
        <v>1107.6436363636365</v>
      </c>
      <c r="AP75" s="5253">
        <v>1120</v>
      </c>
      <c r="AQ75" s="4419">
        <v>1104</v>
      </c>
      <c r="AR75" s="7394">
        <f>AVERAGE(N75,P75,T75,X75,AB75,AF75,AL75,AP75)</f>
        <v>1116.875</v>
      </c>
      <c r="AS75" s="3193">
        <f>+((AO75*AO$2)+(AQ75*AQ$2))/AS$2</f>
        <v>1107.2745098039215</v>
      </c>
      <c r="AT75" s="5253">
        <v>1120</v>
      </c>
      <c r="AU75" s="4419">
        <v>1117</v>
      </c>
      <c r="AV75" s="7394">
        <f>AVERAGE(R75,T75,X75,AB75,AF75,AJ75,AP75,AT75)</f>
        <v>1118.75</v>
      </c>
      <c r="AW75" s="3193">
        <f>+((AS75*AS$2)+(AU75*AU$2))/AW$2</f>
        <v>1108.0898203592815</v>
      </c>
      <c r="AX75" s="5253">
        <v>1120</v>
      </c>
      <c r="AY75" s="4419">
        <v>1105</v>
      </c>
      <c r="AZ75" s="7414">
        <f>+AVERAGE(AP75,AT75,AX75)</f>
        <v>1120</v>
      </c>
      <c r="BA75" s="6002">
        <f>+((AQ75*AQ$2)+(AU75*AU$2)+(AY75*AY$2))/BA$2</f>
        <v>1108.3888888888889</v>
      </c>
      <c r="BB75" s="7414">
        <f>+AVERAGE(AR75,AV75,AZ75)</f>
        <v>1118.5416666666667</v>
      </c>
      <c r="BC75" s="6002">
        <f>+((AM75*AM$2)+(BA75*BA$2))/BC$2</f>
        <v>1105.7417582417581</v>
      </c>
      <c r="BD75" s="6614">
        <f>+AVERAGE(AF75,AH75,AL75,AP75,AT75,AX75)</f>
        <v>1118.75</v>
      </c>
      <c r="BE75" s="6615">
        <f>+((AW75*AW$2)+(AY75*AY$2))/BE$2</f>
        <v>1107.827397260274</v>
      </c>
    </row>
    <row r="76" spans="1:57" x14ac:dyDescent="0.2">
      <c r="A76" s="3378" t="s">
        <v>1024</v>
      </c>
      <c r="B76" s="1591" t="s">
        <v>747</v>
      </c>
      <c r="C76" s="1544" t="s">
        <v>709</v>
      </c>
      <c r="D76" s="5986">
        <v>370.4</v>
      </c>
      <c r="E76" s="2750">
        <f>+E18/E5*1000</f>
        <v>370.51180390356552</v>
      </c>
      <c r="F76" s="5986">
        <v>371.51946993400469</v>
      </c>
      <c r="G76" s="2750">
        <f>+G18/G5*1000</f>
        <v>371.51946993400469</v>
      </c>
      <c r="H76" s="7394">
        <f>+H18/H5*1000</f>
        <v>370.97556049719833</v>
      </c>
      <c r="I76" s="3193">
        <f>+I18/I5*1000</f>
        <v>371.02988191876926</v>
      </c>
      <c r="J76" s="7391">
        <v>368</v>
      </c>
      <c r="K76" s="2750">
        <f>+K18/K5*1000</f>
        <v>374.58253923683094</v>
      </c>
      <c r="L76" s="5783">
        <f>+L18/L5*1000</f>
        <v>369.84907773178514</v>
      </c>
      <c r="M76" s="5029">
        <f>+M18/M5*1000</f>
        <v>372.31344395062155</v>
      </c>
      <c r="N76" s="7391">
        <v>342</v>
      </c>
      <c r="O76" s="4406">
        <f>+O18/O5*1000</f>
        <v>386.96151847984089</v>
      </c>
      <c r="P76" s="7394">
        <f>+P18/P5*1000</f>
        <v>360.50375205076938</v>
      </c>
      <c r="Q76" s="3193">
        <f>+Q18/Q5*1000</f>
        <v>376.58257855921494</v>
      </c>
      <c r="R76" s="7391">
        <v>342</v>
      </c>
      <c r="S76" s="4406">
        <f>+S18/S5*1000</f>
        <v>381.4687138780061</v>
      </c>
      <c r="T76" s="7394">
        <f>+T18/T5*1000</f>
        <v>355.87488700522505</v>
      </c>
      <c r="U76" s="3193">
        <f>+U18/U5*1000</f>
        <v>377.70734532987342</v>
      </c>
      <c r="V76" s="7391">
        <v>342</v>
      </c>
      <c r="W76" s="4406">
        <f>+W18/W5*1000</f>
        <v>399.3123817865029</v>
      </c>
      <c r="X76" s="5783">
        <f>+X18/X5*1000</f>
        <v>341.99999999999994</v>
      </c>
      <c r="Y76" s="5029">
        <f>+Y18/Y5*1000</f>
        <v>387.47152434921486</v>
      </c>
      <c r="Z76" s="6614">
        <f>+Z18/Z5*1000</f>
        <v>353.12780924083557</v>
      </c>
      <c r="AA76" s="6615">
        <f>+AA18/AA5*1000</f>
        <v>380.13114061815668</v>
      </c>
      <c r="AB76" s="7391">
        <v>342</v>
      </c>
      <c r="AC76" s="4406">
        <f>+AC18/AC5*1000</f>
        <v>394.34896312350548</v>
      </c>
      <c r="AD76" s="7394">
        <f>+AD18/AD5*1000</f>
        <v>352.07137605693754</v>
      </c>
      <c r="AE76" s="3193">
        <f>+AE18/AE5*1000</f>
        <v>381.77461491954494</v>
      </c>
      <c r="AF76" s="7578">
        <v>342</v>
      </c>
      <c r="AG76" s="4406">
        <f>+AG18/AG5*1000</f>
        <v>392.22067356001429</v>
      </c>
      <c r="AH76" s="7394">
        <f>+AH18/AH5*1000</f>
        <v>350.56262597050511</v>
      </c>
      <c r="AI76" s="3193">
        <f>+AI18/AI5*1000</f>
        <v>383.0783258911776</v>
      </c>
      <c r="AJ76" s="7731">
        <v>342</v>
      </c>
      <c r="AK76" s="4406">
        <f>+AK18/AK5*1000</f>
        <v>369.92681638709354</v>
      </c>
      <c r="AL76" s="5783">
        <f>+AL18/AL5*1000</f>
        <v>342</v>
      </c>
      <c r="AM76" s="5029">
        <f>+AM18/AM5*1000</f>
        <v>383.50668989707373</v>
      </c>
      <c r="AN76" s="7394">
        <f>+AN18/AN5*1000</f>
        <v>349.39716984797383</v>
      </c>
      <c r="AO76" s="3193">
        <f>+AO18/AO5*1000</f>
        <v>381.25595905190443</v>
      </c>
      <c r="AP76" s="8044">
        <v>342</v>
      </c>
      <c r="AQ76" s="4406">
        <f>+AQ18/AQ5*1000</f>
        <v>374.311520370864</v>
      </c>
      <c r="AR76" s="7394">
        <f>+AR18/AR5*1000</f>
        <v>348.52377727426472</v>
      </c>
      <c r="AS76" s="3193">
        <f>+AS18/AS5*1000</f>
        <v>380.32791240694326</v>
      </c>
      <c r="AT76" s="8165">
        <v>342</v>
      </c>
      <c r="AU76" s="4406">
        <f>+AU18/AU5*1000</f>
        <v>415.00347582538262</v>
      </c>
      <c r="AV76" s="7394">
        <f>+AV18/AV5*1000</f>
        <v>347.88665349297708</v>
      </c>
      <c r="AW76" s="3193">
        <f>+AW18/AW5*1000</f>
        <v>384.03948610690992</v>
      </c>
      <c r="AX76" s="8319">
        <v>342</v>
      </c>
      <c r="AY76" s="4406">
        <f t="shared" ref="AY76:BE76" si="376">+AY18/AY5*1000</f>
        <v>371.23327357234928</v>
      </c>
      <c r="AZ76" s="5783">
        <f t="shared" si="376"/>
        <v>342</v>
      </c>
      <c r="BA76" s="5029">
        <f t="shared" si="376"/>
        <v>385.47368868976878</v>
      </c>
      <c r="BB76" s="5783">
        <f t="shared" si="376"/>
        <v>342</v>
      </c>
      <c r="BC76" s="5029">
        <f t="shared" si="376"/>
        <v>384.64592052741142</v>
      </c>
      <c r="BD76" s="6614">
        <f t="shared" si="376"/>
        <v>347.31135030374418</v>
      </c>
      <c r="BE76" s="6615">
        <f t="shared" si="376"/>
        <v>382.58207433302209</v>
      </c>
    </row>
    <row r="77" spans="1:57" x14ac:dyDescent="0.2">
      <c r="A77" s="3378" t="s">
        <v>1024</v>
      </c>
      <c r="B77" s="1534" t="s">
        <v>748</v>
      </c>
      <c r="C77" s="1544" t="s">
        <v>169</v>
      </c>
      <c r="D77" s="3451" t="s">
        <v>1234</v>
      </c>
      <c r="E77" s="3851">
        <v>0.92</v>
      </c>
      <c r="F77" s="3451" t="s">
        <v>1234</v>
      </c>
      <c r="G77" s="3847">
        <v>0.91</v>
      </c>
      <c r="H77" s="3195" t="s">
        <v>1234</v>
      </c>
      <c r="I77" s="5996">
        <f>+((E77*E$5)+(G77*G$5))/I$5</f>
        <v>0.91485863371837584</v>
      </c>
      <c r="J77" s="3451" t="s">
        <v>1234</v>
      </c>
      <c r="K77" s="3847">
        <v>0.86</v>
      </c>
      <c r="L77" s="3192">
        <v>0.8</v>
      </c>
      <c r="M77" s="6002">
        <f>+((I77*I$5)+(K77*K$5))/M$5</f>
        <v>0.89503841097912917</v>
      </c>
      <c r="N77" s="3451" t="s">
        <v>1234</v>
      </c>
      <c r="O77" s="3851">
        <v>0.78</v>
      </c>
      <c r="P77" s="3195">
        <v>0.8</v>
      </c>
      <c r="Q77" s="5996">
        <f>+((M77*M$5)+(O77*O$5))/Q$5</f>
        <v>0.86151083295862285</v>
      </c>
      <c r="R77" s="3451" t="s">
        <v>1234</v>
      </c>
      <c r="S77" s="3851">
        <v>0.85</v>
      </c>
      <c r="T77" s="3195">
        <v>0.8</v>
      </c>
      <c r="U77" s="5996">
        <f>+((Q77*Q$5)+(S77*S$5))/U$5</f>
        <v>0.85886109004940225</v>
      </c>
      <c r="V77" s="3451" t="s">
        <v>1234</v>
      </c>
      <c r="W77" s="3851">
        <v>1.1499999999999999</v>
      </c>
      <c r="X77" s="3192">
        <v>0.8</v>
      </c>
      <c r="Y77" s="6002">
        <f>+((O77*O$5)+(S77*S$5)+(W77*W$5))/Y$5</f>
        <v>0.88822216682475208</v>
      </c>
      <c r="Z77" s="7213">
        <v>0.8</v>
      </c>
      <c r="AA77" s="6841">
        <f>+((U77*U$5)+(W77*W$5))/AA$5</f>
        <v>0.89152297051374396</v>
      </c>
      <c r="AB77" s="3451" t="s">
        <v>1234</v>
      </c>
      <c r="AC77" s="3851">
        <v>1.82</v>
      </c>
      <c r="AD77" s="3195">
        <v>0.8</v>
      </c>
      <c r="AE77" s="5996">
        <f>+((AA77*AA$5)+(AC77*AC$5))/AE$5</f>
        <v>0.99884799421662873</v>
      </c>
      <c r="AF77" s="3451" t="s">
        <v>1234</v>
      </c>
      <c r="AG77" s="3851">
        <v>1.1399999999999999</v>
      </c>
      <c r="AH77" s="3195" t="s">
        <v>1234</v>
      </c>
      <c r="AI77" s="5996">
        <f>+((AE77*AE$5)+(AG77*AG$5))/AI$5</f>
        <v>1.0164643435921543</v>
      </c>
      <c r="AJ77" s="3451" t="s">
        <v>1234</v>
      </c>
      <c r="AK77" s="3851">
        <v>0.96</v>
      </c>
      <c r="AL77" s="3192">
        <v>0.8</v>
      </c>
      <c r="AM77" s="6002">
        <f>+((AC77*AC$5)+(AG77*AG$5)+(AK77*AK$5))/AM$5</f>
        <v>1.2429886908633805</v>
      </c>
      <c r="AN77" s="3195">
        <v>0.8</v>
      </c>
      <c r="AO77" s="5996">
        <f>+((AI77*AI$5)+(AK77*AK$5))/AO$5</f>
        <v>1.0086402419305376</v>
      </c>
      <c r="AP77" s="3451" t="s">
        <v>1234</v>
      </c>
      <c r="AQ77" s="3851">
        <v>0.81</v>
      </c>
      <c r="AR77" s="3195" t="s">
        <v>1234</v>
      </c>
      <c r="AS77" s="5996">
        <f>+((AO77*AO$5)+(AQ77*AQ$5))/AS$5</f>
        <v>0.98209419284795174</v>
      </c>
      <c r="AT77" s="3451" t="s">
        <v>1234</v>
      </c>
      <c r="AU77" s="3851">
        <v>0.83</v>
      </c>
      <c r="AV77" s="3195" t="s">
        <v>1234</v>
      </c>
      <c r="AW77" s="5996">
        <f>+((AS77*AS$5)+(AU77*AU$5))/AW$5</f>
        <v>0.96581446296209428</v>
      </c>
      <c r="AX77" s="3451" t="s">
        <v>1234</v>
      </c>
      <c r="AY77" s="3851">
        <v>0.71</v>
      </c>
      <c r="AZ77" s="3192">
        <v>0.8</v>
      </c>
      <c r="BA77" s="6002">
        <f>+((AQ77*AQ$5)+(AU77*AU$5)+(AY77*AY$5))/BA$5</f>
        <v>0.77983793460849904</v>
      </c>
      <c r="BB77" s="3192">
        <v>0.8</v>
      </c>
      <c r="BC77" s="6002">
        <f>+((AM77*AM$5)+(BA77*BA$5))/BC$5</f>
        <v>0.97474473974905718</v>
      </c>
      <c r="BD77" s="7213">
        <v>0.8</v>
      </c>
      <c r="BE77" s="6841">
        <f>+((AW77*AW$5)+(AY77*AY$5))/BE$5</f>
        <v>0.93670148289514799</v>
      </c>
    </row>
    <row r="78" spans="1:57" x14ac:dyDescent="0.2">
      <c r="A78" s="3378" t="s">
        <v>1024</v>
      </c>
      <c r="B78" s="1534" t="s">
        <v>749</v>
      </c>
      <c r="C78" s="1544" t="s">
        <v>169</v>
      </c>
      <c r="D78" s="5603" t="s">
        <v>1235</v>
      </c>
      <c r="E78" s="5252">
        <v>0.04</v>
      </c>
      <c r="F78" s="5603" t="s">
        <v>1235</v>
      </c>
      <c r="G78" s="3913">
        <v>4.2999999999999997E-2</v>
      </c>
      <c r="H78" s="7415" t="s">
        <v>1235</v>
      </c>
      <c r="I78" s="5996">
        <f>+((E78*E$5)+(G78*G$5))/I$5</f>
        <v>4.1542409884487215E-2</v>
      </c>
      <c r="J78" s="5603" t="s">
        <v>1235</v>
      </c>
      <c r="K78" s="3913">
        <v>3.5000000000000003E-2</v>
      </c>
      <c r="L78" s="6647" t="s">
        <v>1235</v>
      </c>
      <c r="M78" s="6002">
        <f>+((I78*I$5)+(K78*K$5))/M$5</f>
        <v>3.9178661238692014E-2</v>
      </c>
      <c r="N78" s="5603" t="s">
        <v>1235</v>
      </c>
      <c r="O78" s="5252">
        <v>4.1000000000000002E-2</v>
      </c>
      <c r="P78" s="7415" t="s">
        <v>1235</v>
      </c>
      <c r="Q78" s="5996">
        <f>+((M78*M$5)+(O78*O$5))/Q$5</f>
        <v>3.9709484612396345E-2</v>
      </c>
      <c r="R78" s="5603" t="s">
        <v>1235</v>
      </c>
      <c r="S78" s="5252">
        <v>4.1000000000000002E-2</v>
      </c>
      <c r="T78" s="7415" t="s">
        <v>1235</v>
      </c>
      <c r="U78" s="5996">
        <f>+((Q78*Q$5)+(S78*S$5))/U$5</f>
        <v>4.000655555503229E-2</v>
      </c>
      <c r="V78" s="5603" t="s">
        <v>1235</v>
      </c>
      <c r="W78" s="5252">
        <v>4.2999999999999997E-2</v>
      </c>
      <c r="X78" s="6647" t="s">
        <v>1235</v>
      </c>
      <c r="Y78" s="6002">
        <f>+((O78*O$5)+(S78*S$5)+(W78*W$5))/Y$5</f>
        <v>4.1435047141895893E-2</v>
      </c>
      <c r="Z78" s="7416" t="s">
        <v>1235</v>
      </c>
      <c r="AA78" s="6841">
        <f>+((U78*U$5)+(W78*W$5))/AA$5</f>
        <v>4.0342379868775764E-2</v>
      </c>
      <c r="AB78" s="5603" t="s">
        <v>1235</v>
      </c>
      <c r="AC78" s="5252">
        <v>4.2999999999999997E-2</v>
      </c>
      <c r="AD78" s="7415" t="s">
        <v>1235</v>
      </c>
      <c r="AE78" s="5996">
        <f>+((AA78*AA$5)+(AC78*AC$5))/AE$5</f>
        <v>4.0649580945936202E-2</v>
      </c>
      <c r="AF78" s="5603" t="s">
        <v>1235</v>
      </c>
      <c r="AG78" s="5252">
        <v>3.5999999999999997E-2</v>
      </c>
      <c r="AH78" s="7415" t="s">
        <v>1235</v>
      </c>
      <c r="AI78" s="5996">
        <f>+((AE78*AE$5)+(AG78*AG$5))/AI$5</f>
        <v>4.0069294169713519E-2</v>
      </c>
      <c r="AJ78" s="5603" t="s">
        <v>1235</v>
      </c>
      <c r="AK78" s="5252">
        <v>3.3000000000000002E-2</v>
      </c>
      <c r="AL78" s="6647" t="s">
        <v>1235</v>
      </c>
      <c r="AM78" s="6002">
        <f>+((AC78*AC$5)+(AG78*AG$5)+(AK78*AK$5))/AM$5</f>
        <v>3.6583189189076132E-2</v>
      </c>
      <c r="AN78" s="7415" t="s">
        <v>1235</v>
      </c>
      <c r="AO78" s="5996">
        <f>+((AI78*AI$5)+(AK78*AK$5))/AO$5</f>
        <v>3.9089722412726034E-2</v>
      </c>
      <c r="AP78" s="5603" t="s">
        <v>1235</v>
      </c>
      <c r="AQ78" s="5252">
        <v>3.1E-2</v>
      </c>
      <c r="AR78" s="7415" t="s">
        <v>1235</v>
      </c>
      <c r="AS78" s="5996">
        <f>+((AO78*AO$5)+(AQ78*AQ$5))/AS$5</f>
        <v>3.8008621392380842E-2</v>
      </c>
      <c r="AT78" s="5603" t="s">
        <v>1235</v>
      </c>
      <c r="AU78" s="5252">
        <v>2.9000000000000001E-2</v>
      </c>
      <c r="AV78" s="7415" t="s">
        <v>1235</v>
      </c>
      <c r="AW78" s="5996">
        <f>+((AS78*AS$5)+(AU78*AU$5))/AW$5</f>
        <v>3.7044364176732042E-2</v>
      </c>
      <c r="AX78" s="5603" t="s">
        <v>1235</v>
      </c>
      <c r="AY78" s="5252">
        <v>3.4000000000000002E-2</v>
      </c>
      <c r="AZ78" s="6647" t="s">
        <v>1235</v>
      </c>
      <c r="BA78" s="6002">
        <f>+((AQ78*AQ$5)+(AU78*AU$5)+(AY78*AY$5))/BA$5</f>
        <v>3.1482495600344072E-2</v>
      </c>
      <c r="BB78" s="6647" t="s">
        <v>1235</v>
      </c>
      <c r="BC78" s="6002">
        <f>+((AM78*AM$5)+(BA78*BA$5))/BC$5</f>
        <v>3.3629010267446517E-2</v>
      </c>
      <c r="BD78" s="7416" t="s">
        <v>1235</v>
      </c>
      <c r="BE78" s="6841">
        <f>+((AW78*AW$5)+(AY78*AY$5))/BE$5</f>
        <v>3.6697900131785303E-2</v>
      </c>
    </row>
    <row r="79" spans="1:57" x14ac:dyDescent="0.2">
      <c r="B79" s="3459" t="s">
        <v>755</v>
      </c>
      <c r="C79" s="1544" t="s">
        <v>700</v>
      </c>
      <c r="D79" s="5239">
        <f>+(D80*D5)/1000000</f>
        <v>0</v>
      </c>
      <c r="E79" s="2723">
        <v>271.89999999999998</v>
      </c>
      <c r="F79" s="5239">
        <f>+(F80*F5)/1000000</f>
        <v>0</v>
      </c>
      <c r="G79" s="2723">
        <v>291.10000000000002</v>
      </c>
      <c r="H79" s="3194">
        <f>+D79+F79</f>
        <v>0</v>
      </c>
      <c r="I79" s="5307">
        <f t="shared" ref="I79" si="377">+E79+G79</f>
        <v>563</v>
      </c>
      <c r="J79" s="5239">
        <f>+(J80*J5)/1000000</f>
        <v>0</v>
      </c>
      <c r="K79" s="2723">
        <v>294.39999999999998</v>
      </c>
      <c r="L79" s="5714">
        <f>+H79+J79</f>
        <v>0</v>
      </c>
      <c r="M79" s="5709">
        <f t="shared" ref="M79" si="378">+I79+K79</f>
        <v>857.4</v>
      </c>
      <c r="N79" s="5239">
        <f>+(N80*N5)/1000000</f>
        <v>0</v>
      </c>
      <c r="O79" s="4146">
        <v>330.2</v>
      </c>
      <c r="P79" s="3194">
        <f>+L79+N79</f>
        <v>0</v>
      </c>
      <c r="Q79" s="5307">
        <f t="shared" ref="Q79" si="379">+M79+O79</f>
        <v>1187.5999999999999</v>
      </c>
      <c r="R79" s="5239">
        <f>+(R80*R5)/1000000</f>
        <v>0</v>
      </c>
      <c r="S79" s="4146">
        <v>330.5</v>
      </c>
      <c r="T79" s="3194">
        <f>+P79+R79</f>
        <v>0</v>
      </c>
      <c r="U79" s="5307">
        <f t="shared" ref="U79" si="380">+Q79+S79</f>
        <v>1518.1</v>
      </c>
      <c r="V79" s="5239">
        <f>+(V80*V5)/1000000</f>
        <v>0</v>
      </c>
      <c r="W79" s="4146">
        <v>234.87</v>
      </c>
      <c r="X79" s="5783">
        <f t="shared" ref="X79" si="381">+V79+R79+N79</f>
        <v>0</v>
      </c>
      <c r="Y79" s="5029">
        <f t="shared" ref="Y79" si="382">+W79+S79+O79</f>
        <v>895.56999999999994</v>
      </c>
      <c r="Z79" s="6616">
        <f>+T79+V79</f>
        <v>0</v>
      </c>
      <c r="AA79" s="6617">
        <f t="shared" ref="AA79" si="383">+U79+W79</f>
        <v>1752.9699999999998</v>
      </c>
      <c r="AB79" s="5239">
        <f>+(AB80*AB5)/1000000</f>
        <v>0</v>
      </c>
      <c r="AC79" s="4146">
        <v>284.3</v>
      </c>
      <c r="AD79" s="3194">
        <f>+Z79+AB79</f>
        <v>0</v>
      </c>
      <c r="AE79" s="5307">
        <f t="shared" ref="AE79" si="384">+AA79+AC79</f>
        <v>2037.2699999999998</v>
      </c>
      <c r="AF79" s="5239">
        <f>+(AF80*AF5)/1000000</f>
        <v>0</v>
      </c>
      <c r="AG79" s="4146">
        <v>285.7</v>
      </c>
      <c r="AH79" s="3194">
        <f>+AD79+AF79</f>
        <v>0</v>
      </c>
      <c r="AI79" s="5307">
        <f t="shared" ref="AI79" si="385">+AE79+AG79</f>
        <v>2322.9699999999998</v>
      </c>
      <c r="AJ79" s="5239">
        <f>+(AJ80*AJ5)/1000000</f>
        <v>0</v>
      </c>
      <c r="AK79" s="4146">
        <v>320</v>
      </c>
      <c r="AL79" s="5783">
        <f t="shared" ref="AL79" si="386">+AJ79+AF79+AB79</f>
        <v>0</v>
      </c>
      <c r="AM79" s="5029">
        <f t="shared" ref="AM79" si="387">+AK79+AG79+AC79</f>
        <v>890</v>
      </c>
      <c r="AN79" s="3194">
        <f>+AH79+AJ79</f>
        <v>0</v>
      </c>
      <c r="AO79" s="5307">
        <f t="shared" ref="AO79" si="388">+AI79+AK79</f>
        <v>2642.97</v>
      </c>
      <c r="AP79" s="5239">
        <f>+(AP80*AP5)/1000000</f>
        <v>0</v>
      </c>
      <c r="AQ79" s="4146">
        <v>351.5</v>
      </c>
      <c r="AR79" s="3194">
        <f>+AN79+AP79</f>
        <v>0</v>
      </c>
      <c r="AS79" s="5307">
        <f t="shared" ref="AS79" si="389">+AO79+AQ79</f>
        <v>2994.47</v>
      </c>
      <c r="AT79" s="5239">
        <f>+(AT80*AT5)/1000000</f>
        <v>0</v>
      </c>
      <c r="AU79" s="4146">
        <v>320.37819999999999</v>
      </c>
      <c r="AV79" s="3194">
        <f>+AR79+AT79</f>
        <v>0</v>
      </c>
      <c r="AW79" s="5307">
        <f t="shared" ref="AW79" si="390">+AS79+AU79</f>
        <v>3314.8481999999999</v>
      </c>
      <c r="AX79" s="5239">
        <f>+(AX80*AX5)/1000000</f>
        <v>0</v>
      </c>
      <c r="AY79" s="4146">
        <v>354.08870000000002</v>
      </c>
      <c r="AZ79" s="5783">
        <f t="shared" ref="AZ79" si="391">+AX79+AT79+AP79</f>
        <v>0</v>
      </c>
      <c r="BA79" s="5029">
        <f t="shared" ref="BA79" si="392">+AY79+AU79+AQ79</f>
        <v>1025.9668999999999</v>
      </c>
      <c r="BB79" s="5783">
        <f t="shared" ref="BB79" si="393">+AZ79+AV79+AR79</f>
        <v>0</v>
      </c>
      <c r="BC79" s="5029">
        <f>+BA79+AM79</f>
        <v>1915.9668999999999</v>
      </c>
      <c r="BD79" s="6616">
        <f>+AV79+AX79</f>
        <v>0</v>
      </c>
      <c r="BE79" s="6617">
        <f t="shared" ref="BE79" si="394">+AW79+AY79</f>
        <v>3668.9368999999997</v>
      </c>
    </row>
    <row r="80" spans="1:57" x14ac:dyDescent="0.2">
      <c r="B80" s="3459" t="s">
        <v>756</v>
      </c>
      <c r="C80" s="1544" t="s">
        <v>750</v>
      </c>
      <c r="D80" s="7393"/>
      <c r="E80" s="2723">
        <f t="shared" ref="E80" si="395">+(E79*1000000)/E5</f>
        <v>1891.2677545455811</v>
      </c>
      <c r="F80" s="7393"/>
      <c r="G80" s="4146">
        <f t="shared" ref="G80" si="396">+(G79*1000000)/G5</f>
        <v>1913.469881418768</v>
      </c>
      <c r="H80" s="7394">
        <f t="shared" ref="H80:Q80" si="397">+(H79*1000000)/H5</f>
        <v>0</v>
      </c>
      <c r="I80" s="3193">
        <f t="shared" si="397"/>
        <v>1902.6826811941953</v>
      </c>
      <c r="J80" s="7393"/>
      <c r="K80" s="4146">
        <f t="shared" ref="K80" si="398">+(K79*1000000)/K5</f>
        <v>1758.861519527306</v>
      </c>
      <c r="L80" s="5714">
        <f t="shared" si="397"/>
        <v>0</v>
      </c>
      <c r="M80" s="5709">
        <f t="shared" si="397"/>
        <v>1850.7206240731828</v>
      </c>
      <c r="N80" s="7393"/>
      <c r="O80" s="4146">
        <f t="shared" ref="O80" si="399">+(O79*1000000)/O5</f>
        <v>1732.7966666491743</v>
      </c>
      <c r="P80" s="3194">
        <f t="shared" si="397"/>
        <v>0</v>
      </c>
      <c r="Q80" s="5307">
        <f t="shared" si="397"/>
        <v>1816.3520627433707</v>
      </c>
      <c r="R80" s="7393"/>
      <c r="S80" s="4146">
        <f t="shared" ref="S80:U80" si="400">+(S79*1000000)/S5</f>
        <v>1690.3814482554035</v>
      </c>
      <c r="T80" s="3194">
        <f t="shared" si="400"/>
        <v>0</v>
      </c>
      <c r="U80" s="5307">
        <f t="shared" si="400"/>
        <v>1787.354183640311</v>
      </c>
      <c r="V80" s="7393"/>
      <c r="W80" s="4146">
        <f t="shared" ref="W80:AA80" si="401">+(W79*1000000)/W5</f>
        <v>2188.3589404343734</v>
      </c>
      <c r="X80" s="5714">
        <f t="shared" si="401"/>
        <v>0</v>
      </c>
      <c r="Y80" s="5709">
        <f t="shared" si="401"/>
        <v>1815.0845959903038</v>
      </c>
      <c r="Z80" s="6616">
        <f t="shared" si="401"/>
        <v>0</v>
      </c>
      <c r="AA80" s="6617">
        <f t="shared" si="401"/>
        <v>1832.3415384197272</v>
      </c>
      <c r="AB80" s="7393"/>
      <c r="AC80" s="4406">
        <f t="shared" ref="AC80:AE80" si="402">+(AC79*1000000)/AC5</f>
        <v>2273.6906085301384</v>
      </c>
      <c r="AD80" s="3194">
        <f t="shared" si="402"/>
        <v>0</v>
      </c>
      <c r="AE80" s="5307">
        <f t="shared" si="402"/>
        <v>1883.3582010904834</v>
      </c>
      <c r="AF80" s="7393"/>
      <c r="AG80" s="4146">
        <f t="shared" ref="AG80:AI80" si="403">+(AG79*1000000)/AG5</f>
        <v>1852.1279699199379</v>
      </c>
      <c r="AH80" s="3194">
        <f t="shared" si="403"/>
        <v>0</v>
      </c>
      <c r="AI80" s="5307">
        <f t="shared" si="403"/>
        <v>1879.4605401233193</v>
      </c>
      <c r="AJ80" s="7393"/>
      <c r="AK80" s="4146">
        <f t="shared" ref="AK80:AO80" si="404">+(AK79*1000000)/AK5</f>
        <v>1609.5365037849256</v>
      </c>
      <c r="AL80" s="5714">
        <f t="shared" si="404"/>
        <v>0</v>
      </c>
      <c r="AM80" s="5709">
        <f t="shared" si="404"/>
        <v>1861.5002018368195</v>
      </c>
      <c r="AN80" s="3194">
        <f t="shared" si="404"/>
        <v>0</v>
      </c>
      <c r="AO80" s="5307">
        <f t="shared" si="404"/>
        <v>1842.0579428934648</v>
      </c>
      <c r="AP80" s="7393"/>
      <c r="AQ80" s="4146">
        <f t="shared" ref="AQ80:AS80" si="405">+(AQ79*1000000)/AQ5</f>
        <v>1588.19090822832</v>
      </c>
      <c r="AR80" s="3194">
        <f t="shared" si="405"/>
        <v>0</v>
      </c>
      <c r="AS80" s="5307">
        <f t="shared" si="405"/>
        <v>1808.1314499674841</v>
      </c>
      <c r="AT80" s="7393"/>
      <c r="AU80" s="4146">
        <f t="shared" ref="AU80:AY80" si="406">+(AU79*1000000)/AU5</f>
        <v>1613.8821443323895</v>
      </c>
      <c r="AV80" s="3194">
        <f t="shared" si="406"/>
        <v>0</v>
      </c>
      <c r="AW80" s="5307">
        <f t="shared" si="406"/>
        <v>1787.3395566871397</v>
      </c>
      <c r="AX80" s="7393"/>
      <c r="AY80" s="4146">
        <f t="shared" si="406"/>
        <v>1486.6994722279371</v>
      </c>
      <c r="AZ80" s="5714">
        <f t="shared" ref="AZ80:BE80" si="407">+(AZ79*1000000)/AZ5</f>
        <v>0</v>
      </c>
      <c r="BA80" s="5709">
        <f t="shared" si="407"/>
        <v>1559.2059950821115</v>
      </c>
      <c r="BB80" s="5714">
        <f t="shared" ref="BB80:BC80" si="408">+(BB79*1000000)/BB5</f>
        <v>0</v>
      </c>
      <c r="BC80" s="5709">
        <f t="shared" si="408"/>
        <v>1686.4198606655136</v>
      </c>
      <c r="BD80" s="6616">
        <f t="shared" si="407"/>
        <v>0</v>
      </c>
      <c r="BE80" s="6617">
        <f t="shared" si="407"/>
        <v>1753.1251941181133</v>
      </c>
    </row>
    <row r="81" spans="2:57" x14ac:dyDescent="0.2">
      <c r="B81" s="1591" t="s">
        <v>754</v>
      </c>
      <c r="C81" s="1544" t="s">
        <v>702</v>
      </c>
      <c r="D81" s="5253"/>
      <c r="E81" s="4419">
        <v>883.05</v>
      </c>
      <c r="F81" s="5253"/>
      <c r="G81" s="4620">
        <v>884.49</v>
      </c>
      <c r="H81" s="4809"/>
      <c r="I81" s="1823">
        <f>+((E81*E79)+(G79*G81))/I79</f>
        <v>883.79455417406746</v>
      </c>
      <c r="J81" s="5253"/>
      <c r="K81" s="3184">
        <v>886.1</v>
      </c>
      <c r="L81" s="2048"/>
      <c r="M81" s="2011">
        <f>+((I81*I79)+(K79*K81))/M79</f>
        <v>884.58616048518775</v>
      </c>
      <c r="N81" s="5253"/>
      <c r="O81" s="3184">
        <v>892.95</v>
      </c>
      <c r="P81" s="1787"/>
      <c r="Q81" s="1823">
        <f>+((M81*M79)+(O79*O81))/Q79</f>
        <v>886.9116402829236</v>
      </c>
      <c r="R81" s="5253"/>
      <c r="S81" s="3184">
        <v>894.24</v>
      </c>
      <c r="T81" s="1787"/>
      <c r="U81" s="1823">
        <f>+((Q81*Q79)+(S79*S81))/U79</f>
        <v>888.50707068045585</v>
      </c>
      <c r="V81" s="5253"/>
      <c r="W81" s="3184">
        <v>908.4</v>
      </c>
      <c r="X81" s="2048"/>
      <c r="Y81" s="2011">
        <f>+((O81*O79)+(S81*S79)+(W79*W81))/Y79</f>
        <v>897.47793918956643</v>
      </c>
      <c r="Z81" s="6670"/>
      <c r="AA81" s="6531">
        <f>+((U81*U79)+(W79*W81))/AA79</f>
        <v>891.17240568863144</v>
      </c>
      <c r="AB81" s="5253"/>
      <c r="AC81" s="3184">
        <v>905.01</v>
      </c>
      <c r="AD81" s="1787"/>
      <c r="AE81" s="1823">
        <f>+((AA81*AA79)+(AC79*AC81))/AE79</f>
        <v>893.10343498898044</v>
      </c>
      <c r="AF81" s="5253"/>
      <c r="AG81" s="3184">
        <v>908.25</v>
      </c>
      <c r="AH81" s="1787"/>
      <c r="AI81" s="1823">
        <f>+((AE81*AE79)+(AG79*AG81))/AI79</f>
        <v>894.9662974554127</v>
      </c>
      <c r="AJ81" s="5253"/>
      <c r="AK81" s="3184">
        <v>905.29</v>
      </c>
      <c r="AL81" s="2048"/>
      <c r="AM81" s="2011">
        <f>+((AC81*AC79)+(AG81*AG79)+(AK79*AK81))/AM79</f>
        <v>906.15075056179785</v>
      </c>
      <c r="AN81" s="1787"/>
      <c r="AO81" s="1823">
        <f>+((AI81*AI79)+(AK79*AK81))/AO79</f>
        <v>896.21624914395545</v>
      </c>
      <c r="AP81" s="5253"/>
      <c r="AQ81" s="3184">
        <v>905.58</v>
      </c>
      <c r="AR81" s="1787"/>
      <c r="AS81" s="1823">
        <f>+((AO81*AO79)+(AQ79*AQ81))/AS79</f>
        <v>897.31539471091708</v>
      </c>
      <c r="AT81" s="5253"/>
      <c r="AU81" s="3184">
        <v>914.9</v>
      </c>
      <c r="AV81" s="1787"/>
      <c r="AW81" s="1823">
        <f>+((AS81*AS79)+(AU79*AU81))/AW79</f>
        <v>899.01493684688182</v>
      </c>
      <c r="AX81" s="5253"/>
      <c r="AY81" s="3184">
        <v>927</v>
      </c>
      <c r="AZ81" s="2048"/>
      <c r="BA81" s="2011">
        <f>+((AQ81*AQ79)+(AU81*AU79)+(AY79*AY81))/BA79</f>
        <v>915.88296862208722</v>
      </c>
      <c r="BB81" s="2048"/>
      <c r="BC81" s="2011">
        <f>+((AM81*AM79)+(BA79*BA81))/BC79</f>
        <v>911.36218380390608</v>
      </c>
      <c r="BD81" s="6670"/>
      <c r="BE81" s="6531">
        <f>+((AW81*AW79)+(AY79*AY81))/BE79</f>
        <v>901.71577223909208</v>
      </c>
    </row>
    <row r="82" spans="2:57" x14ac:dyDescent="0.2">
      <c r="B82" s="1531" t="s">
        <v>751</v>
      </c>
      <c r="C82" s="1544" t="s">
        <v>797</v>
      </c>
      <c r="D82" s="3451"/>
      <c r="E82" s="6085">
        <f>+(3274.32/E2/24)</f>
        <v>4.5476666666666672</v>
      </c>
      <c r="F82" s="3451"/>
      <c r="G82" s="6085">
        <f>+(4033.2/G2/24)</f>
        <v>5.4209677419354838</v>
      </c>
      <c r="H82" s="2796">
        <f>+((D82*D2)+(F82*F2))/H2</f>
        <v>0</v>
      </c>
      <c r="I82" s="2807">
        <f>+((E82*E$2)+(G82*G$2))/I$2</f>
        <v>4.9914754098360659</v>
      </c>
      <c r="J82" s="3451"/>
      <c r="K82" s="6085">
        <f>+(3974.9/K2/24)</f>
        <v>5.5206944444444446</v>
      </c>
      <c r="L82" s="3054">
        <f>+((H82*H2)+(J82*J2))/L2</f>
        <v>0</v>
      </c>
      <c r="M82" s="2888">
        <f>+((I82*I$2)+(K82*K$2))/M$2</f>
        <v>5.1659432234432234</v>
      </c>
      <c r="N82" s="3451"/>
      <c r="O82" s="6085">
        <f>+(4226.4/O2/24)</f>
        <v>5.6806451612903217</v>
      </c>
      <c r="P82" s="2796">
        <f>+((L82*L2)+(N82*N2))/P2</f>
        <v>0</v>
      </c>
      <c r="Q82" s="2807">
        <f>+((M82*M$2)+(O82*O$2))/Q$2</f>
        <v>5.2967281420765024</v>
      </c>
      <c r="R82" s="3451"/>
      <c r="S82" s="6085">
        <f>+(4214.64/S2/24)</f>
        <v>5.6648387096774195</v>
      </c>
      <c r="T82" s="2796">
        <f>+((P82*P2)+(R82*R2))/T2</f>
        <v>0</v>
      </c>
      <c r="U82" s="2807">
        <f>+((Q82*Q$2)+(S82*S$2))/U$2</f>
        <v>5.3713126361655776</v>
      </c>
      <c r="V82" s="3451"/>
      <c r="W82" s="6085">
        <f>+(3018.7/W2/24)</f>
        <v>4.1926388888888884</v>
      </c>
      <c r="X82" s="3054">
        <f>+((N82*N2)+(R82*R2)+(V82*V2))/X2</f>
        <v>0</v>
      </c>
      <c r="Y82" s="2268">
        <f>+((O82*O$2)+(S82*S$2)+(W82*W$2))/Y$2</f>
        <v>5.1900996376811586</v>
      </c>
      <c r="Z82" s="6638">
        <f>+((T82*T2)+(V82*V2))/Z2</f>
        <v>0</v>
      </c>
      <c r="AA82" s="6686">
        <f>+((U82*U$2)+(W82*W$2))/AA$2</f>
        <v>5.1780874316939896</v>
      </c>
      <c r="AB82" s="3451"/>
      <c r="AC82" s="6085">
        <f>+(3657.36/AC2/24)</f>
        <v>4.9158064516129034</v>
      </c>
      <c r="AD82" s="2796">
        <f>+((Z82*Z2)+(AB82*AB2))/AD2</f>
        <v>0</v>
      </c>
      <c r="AE82" s="2807">
        <f>+((AA82*AA$2)+(AC82*AC$2))/AE$2</f>
        <v>5.1400934579439257</v>
      </c>
      <c r="AF82" s="3451"/>
      <c r="AG82" s="6085">
        <f>+(3552.96/AG2/24)</f>
        <v>4.9346666666666668</v>
      </c>
      <c r="AH82" s="2796">
        <f>+((AD82*AD2)+(AF82*AF2))/AH2</f>
        <v>0</v>
      </c>
      <c r="AI82" s="2807">
        <f>+((AE82*AE$2)+(AG82*AG$2))/AI$2</f>
        <v>5.1148360655737708</v>
      </c>
      <c r="AJ82" s="3451"/>
      <c r="AK82" s="6085">
        <f>+(4180.8/AK2/24)</f>
        <v>5.6193548387096781</v>
      </c>
      <c r="AL82" s="3054">
        <f>+((AB82*AB2)+(AF82*AF2)+(AJ82*AJ2))/AL2</f>
        <v>0</v>
      </c>
      <c r="AM82" s="2268">
        <f>+((AC82*AC$2)+(AG82*AG$2)+(AK82*AK$2))/AM$2</f>
        <v>5.1590217391304352</v>
      </c>
      <c r="AN82" s="2796">
        <f>+((AH82*AH2)+(AJ82*AJ2))/AN2</f>
        <v>0</v>
      </c>
      <c r="AO82" s="2807">
        <f>+((AI82*AI$2)+(AK82*AK$2))/AO$2</f>
        <v>5.1717090909090908</v>
      </c>
      <c r="AP82" s="3451"/>
      <c r="AQ82" s="6085">
        <f>+(4133.28/AQ2/24)</f>
        <v>5.5554838709677412</v>
      </c>
      <c r="AR82" s="2796">
        <f>+((AN82*AN2)+(AP82*AP2))/AR2</f>
        <v>0</v>
      </c>
      <c r="AS82" s="2807">
        <f>+((AO82*AO$2)+(AQ82*AQ$2))/AS$2</f>
        <v>5.210588235294118</v>
      </c>
      <c r="AT82" s="3451"/>
      <c r="AU82" s="6085">
        <f>+(3774/AU2/24)</f>
        <v>5.6160714285714279</v>
      </c>
      <c r="AV82" s="2796">
        <f>+((AR82*AR2)+(AT82*AT2))/AV2</f>
        <v>0</v>
      </c>
      <c r="AW82" s="2807">
        <f>+((AS82*AS$2)+(AU82*AU$2))/AW$2</f>
        <v>5.2445808383233539</v>
      </c>
      <c r="AX82" s="3451"/>
      <c r="AY82" s="6085">
        <f>+(4176/AY2/24)</f>
        <v>5.612903225806452</v>
      </c>
      <c r="AZ82" s="3054">
        <f>+((AP82*AP2)+(AT82*AT2)+(AX82*AX2))/AZ2</f>
        <v>0</v>
      </c>
      <c r="BA82" s="2268">
        <f>+((AQ82*AQ$2)+(AU82*AU$2)+(AY82*AY$2))/BA$2</f>
        <v>5.5941111111111104</v>
      </c>
      <c r="BB82" s="3054">
        <f>+((AR82*AR2)+(AV82*AV2)+(AZ82*AZ2))/BB2</f>
        <v>0</v>
      </c>
      <c r="BC82" s="2268">
        <f>+((AM82*AM$2)+(BA82*BA$2))/BC$2</f>
        <v>5.3741758241758237</v>
      </c>
      <c r="BD82" s="6638">
        <f>+((AV82*AV2)+(AX82*AX2))/BD2</f>
        <v>0</v>
      </c>
      <c r="BE82" s="6686">
        <f>+((AW82*AW$2)+(AY82*AY$2))/BE$2</f>
        <v>5.2758630136986309</v>
      </c>
    </row>
    <row r="83" spans="2:57" x14ac:dyDescent="0.2">
      <c r="B83" s="1531" t="s">
        <v>988</v>
      </c>
      <c r="C83" s="1544" t="s">
        <v>797</v>
      </c>
      <c r="D83" s="3451"/>
      <c r="E83" s="6086">
        <f>+(117282.24/E2/24)</f>
        <v>162.89200000000002</v>
      </c>
      <c r="F83" s="3451"/>
      <c r="G83" s="6086">
        <f>+(123306.72/G2/24)</f>
        <v>165.7348387096774</v>
      </c>
      <c r="H83" s="2796">
        <f>+((D83*D2)+(F83*F2))/H2</f>
        <v>0</v>
      </c>
      <c r="I83" s="2807">
        <f t="shared" ref="I83" si="409">+((E83*E$2)+(G83*G$2))/I$2</f>
        <v>164.33672131147543</v>
      </c>
      <c r="J83" s="3451"/>
      <c r="K83" s="6086">
        <f>+(124044.7/K2/24)</f>
        <v>172.28430555555553</v>
      </c>
      <c r="L83" s="3054">
        <f>+((H83*H2)+(J83*J2))/L2</f>
        <v>0</v>
      </c>
      <c r="M83" s="2888">
        <f t="shared" ref="M83" si="410">+((I83*I$2)+(K83*K$2))/M$2</f>
        <v>166.95680402930404</v>
      </c>
      <c r="N83" s="3451"/>
      <c r="O83" s="6086">
        <f>+(144096.24/O2/24)</f>
        <v>193.67774193548385</v>
      </c>
      <c r="P83" s="4809">
        <f>+((L83*L2)+(N83*N2))/P2</f>
        <v>0</v>
      </c>
      <c r="Q83" s="2807">
        <f t="shared" ref="Q83" si="411">+((M83*M$2)+(O83*O$2))/Q$2</f>
        <v>173.74655054644808</v>
      </c>
      <c r="R83" s="3451"/>
      <c r="S83" s="6086">
        <f>+(146182.32/S2/24)</f>
        <v>196.48161290322582</v>
      </c>
      <c r="T83" s="4809">
        <f>+((P83*P2)+(R83*R2))/T2</f>
        <v>0</v>
      </c>
      <c r="U83" s="2807">
        <f t="shared" ref="U83" si="412">+((Q83*Q$2)+(S83*S$2))/U$2</f>
        <v>178.35300108932461</v>
      </c>
      <c r="V83" s="3451"/>
      <c r="W83" s="6049">
        <f>+(99822.7/W2/24)</f>
        <v>138.64263888888888</v>
      </c>
      <c r="X83" s="3054">
        <f>+((N83*N2)+(R83*R2)+(V83*V2))/X2</f>
        <v>0</v>
      </c>
      <c r="Y83" s="2268">
        <f>+((O83*O$2)+(S83*S$2)+(W83*W$2))/Y$2</f>
        <v>176.67629528985506</v>
      </c>
      <c r="Z83" s="6519">
        <f>+((T83*T2)+(V83*V2))/Z2</f>
        <v>0</v>
      </c>
      <c r="AA83" s="6686">
        <f t="shared" ref="AA83" si="413">+((U83*U$2)+(W83*W$2))/AA$2</f>
        <v>171.84310564663022</v>
      </c>
      <c r="AB83" s="3451"/>
      <c r="AC83" s="6086">
        <f>+(122393.76/AC2/24)</f>
        <v>164.50774193548386</v>
      </c>
      <c r="AD83" s="4809">
        <f>+((Z83*Z2)+(AB83*AB2))/AD2</f>
        <v>0</v>
      </c>
      <c r="AE83" s="2807">
        <f t="shared" ref="AE83" si="414">+((AA83*AA$2)+(AC83*AC$2))/AE$2</f>
        <v>170.78050623052957</v>
      </c>
      <c r="AF83" s="3451"/>
      <c r="AG83" s="6086">
        <f>+(120315/AG2/24)</f>
        <v>167.10416666666666</v>
      </c>
      <c r="AH83" s="4809">
        <f>+((AD83*AD2)+(AF83*AF2))/AH2</f>
        <v>0</v>
      </c>
      <c r="AI83" s="2807">
        <f t="shared" ref="AI83" si="415">+((AE83*AE$2)+(AG83*AG$2))/AI$2</f>
        <v>170.32849726775953</v>
      </c>
      <c r="AJ83" s="3451"/>
      <c r="AK83" s="6049">
        <f>+(143441/AK2/24)</f>
        <v>192.79704301075267</v>
      </c>
      <c r="AL83" s="3054">
        <f>+((AB83*AB2)+(AF83*AF2)+(AJ83*AJ2))/AL2</f>
        <v>0</v>
      </c>
      <c r="AM83" s="2268">
        <f>+((AC83*AC$2)+(AG83*AG$2)+(AK83*AK$2))/AM$2</f>
        <v>174.88666666666668</v>
      </c>
      <c r="AN83" s="4809">
        <f>+((AH83*AH2)+(AJ83*AJ2))/AN2</f>
        <v>0</v>
      </c>
      <c r="AO83" s="2807">
        <f t="shared" ref="AO83" si="416">+((AI83*AI$2)+(AK83*AK$2))/AO$2</f>
        <v>172.86131515151513</v>
      </c>
      <c r="AP83" s="3451"/>
      <c r="AQ83" s="6049">
        <f>+(154162.44/AQ2/24)</f>
        <v>207.2075806451613</v>
      </c>
      <c r="AR83" s="4809">
        <f>+((AN83*AN2)+(AP83*AP2))/AR2</f>
        <v>0</v>
      </c>
      <c r="AS83" s="2807">
        <f t="shared" ref="AS83" si="417">+((AO83*AO$2)+(AQ83*AQ$2))/AS$2</f>
        <v>176.34083877995641</v>
      </c>
      <c r="AT83" s="3451"/>
      <c r="AU83" s="6049">
        <f>+(138881/AU2/24)</f>
        <v>206.66815476190479</v>
      </c>
      <c r="AV83" s="4809">
        <f>+((AR83*AR2)+(AT83*AT2))/AV2</f>
        <v>0</v>
      </c>
      <c r="AW83" s="2807">
        <f t="shared" ref="AW83" si="418">+((AS83*AS$2)+(AU83*AU$2))/AW$2</f>
        <v>178.88324850299401</v>
      </c>
      <c r="AX83" s="3451"/>
      <c r="AY83" s="6049">
        <f>+(155035/AY2/24)</f>
        <v>208.38037634408602</v>
      </c>
      <c r="AZ83" s="3054">
        <f>+((AP83*AP2)+(AT83*AT2)+(AX83*AX2))/AZ2</f>
        <v>0</v>
      </c>
      <c r="BA83" s="2268">
        <f>+((AQ83*AQ$2)+(AU83*AU$2)+(AY83*AY$2))/BA$2</f>
        <v>207.44372222222219</v>
      </c>
      <c r="BB83" s="3054">
        <f>+((AR83*AR2)+(AV83*AV2)+(AZ83*AZ2))/BB2</f>
        <v>0</v>
      </c>
      <c r="BC83" s="2268">
        <f>+((AM83*AM$2)+(BA83*BA$2))/BC$2</f>
        <v>190.98630952380952</v>
      </c>
      <c r="BD83" s="6519">
        <f>+((AV83*AV2)+(AX83*AX2))/BD2</f>
        <v>0</v>
      </c>
      <c r="BE83" s="6686">
        <f t="shared" ref="BE83" si="419">+((AW83*AW$2)+(AY83*AY$2))/BE$2</f>
        <v>181.38848401826482</v>
      </c>
    </row>
    <row r="84" spans="2:57" x14ac:dyDescent="0.2">
      <c r="B84" s="1591" t="s">
        <v>753</v>
      </c>
      <c r="C84" s="1544" t="s">
        <v>1095</v>
      </c>
      <c r="D84" s="5603"/>
      <c r="E84" s="5252">
        <v>0.81699999999999995</v>
      </c>
      <c r="F84" s="5603"/>
      <c r="G84" s="6087">
        <v>0.83</v>
      </c>
      <c r="H84" s="2992">
        <f>+((D84*D5)+(F84*F5))/H5</f>
        <v>0</v>
      </c>
      <c r="I84" s="4153">
        <f>+((E84*E5)+(G84*G5))/I5</f>
        <v>0.82368377616611121</v>
      </c>
      <c r="J84" s="5603"/>
      <c r="K84" s="6085">
        <v>0.75800000000000001</v>
      </c>
      <c r="L84" s="3059">
        <f>+((H84*H5)+(J84*J5))/L5</f>
        <v>0</v>
      </c>
      <c r="M84" s="4159">
        <f>+((I84*I5)+(K84*K5))/M5</f>
        <v>0.79995246924639363</v>
      </c>
      <c r="N84" s="5603"/>
      <c r="O84" s="6085">
        <v>0.77</v>
      </c>
      <c r="P84" s="2992">
        <f>+((L84*L5)+(N84*N5))/P5</f>
        <v>0</v>
      </c>
      <c r="Q84" s="4153">
        <f>+((M84*M5)+(O84*O5))/Q5</f>
        <v>0.79122291760344299</v>
      </c>
      <c r="R84" s="5603"/>
      <c r="S84" s="6085">
        <v>0.76100000000000001</v>
      </c>
      <c r="T84" s="2992">
        <f>+((P84*P5)+(R84*R5))/T5</f>
        <v>0</v>
      </c>
      <c r="U84" s="4153">
        <f>+((Q84*Q5)+(S84*S5))/U5</f>
        <v>0.78426573545133016</v>
      </c>
      <c r="V84" s="5603"/>
      <c r="W84" s="6085">
        <v>0.96499999999999997</v>
      </c>
      <c r="X84" s="3054">
        <f>+((N84*N5)+(R84*R5)+(V84*V5))/X5</f>
        <v>0</v>
      </c>
      <c r="Y84" s="4159">
        <f>+((O84*O5)+(S84*S5)+(W84*W5))/Y5</f>
        <v>0.8088507247610478</v>
      </c>
      <c r="Z84" s="6636">
        <f>+((T84*T5)+(V84*V5))/Z5</f>
        <v>0</v>
      </c>
      <c r="AA84" s="6850">
        <f>+((U84*U5)+(W84*W5))/AA5</f>
        <v>0.80454169562958666</v>
      </c>
      <c r="AB84" s="5603"/>
      <c r="AC84" s="6085">
        <v>1.01</v>
      </c>
      <c r="AD84" s="2992">
        <f>+((Z84*Z5)+(AB84*AB5))/AD5</f>
        <v>0</v>
      </c>
      <c r="AE84" s="4153">
        <f>+((AA84*AA5)+(AC84*AC5))/AE5</f>
        <v>0.82829114412020821</v>
      </c>
      <c r="AF84" s="5603"/>
      <c r="AG84" s="6085">
        <v>0.80600000000000005</v>
      </c>
      <c r="AH84" s="2992">
        <f>+((AD84*AD5)+(AF84*AF5))/AH5</f>
        <v>0</v>
      </c>
      <c r="AI84" s="4153">
        <f>+((AE84*AE5)+(AG84*AG5))/AI5</f>
        <v>0.82550911788811598</v>
      </c>
      <c r="AJ84" s="5603"/>
      <c r="AK84" s="6085">
        <v>0.74299999999999999</v>
      </c>
      <c r="AL84" s="3054">
        <f>+((AB84*AB5)+(AF84*AF5)+(AJ84*AJ5))/AL5</f>
        <v>0</v>
      </c>
      <c r="AM84" s="4159">
        <f>+((AC84*AC5)+(AG84*AG5)+(AK84*AK5))/AM5</f>
        <v>0.83315408201895391</v>
      </c>
      <c r="AN84" s="2992">
        <f>+((AH84*AH5)+(AJ84*AJ5))/AN5</f>
        <v>0</v>
      </c>
      <c r="AO84" s="4153">
        <f>+((AI84*AI5)+(AK84*AK5))/AO5</f>
        <v>0.81407606677483568</v>
      </c>
      <c r="AP84" s="5603"/>
      <c r="AQ84" s="6085">
        <v>0.71</v>
      </c>
      <c r="AR84" s="2992">
        <f>+((AN84*AN5)+(AP84*AP5))/AR5</f>
        <v>0</v>
      </c>
      <c r="AS84" s="4153">
        <f>+((AO84*AO5)+(AQ84*AQ5))/AS5</f>
        <v>0.80016746321054177</v>
      </c>
      <c r="AT84" s="5603"/>
      <c r="AU84" s="6085">
        <v>0.72099999999999997</v>
      </c>
      <c r="AV84" s="2992">
        <f>+((AR84*AR5)+(AT84*AT5))/AV5</f>
        <v>0</v>
      </c>
      <c r="AW84" s="4153">
        <f>+((AS84*AS5)+(AU84*AU5))/AW5</f>
        <v>0.7916936030802959</v>
      </c>
      <c r="AX84" s="5603"/>
      <c r="AY84" s="6085">
        <v>0.67800000000000005</v>
      </c>
      <c r="AZ84" s="3054">
        <f>+((AP84*AP5)+(AT84*AT5)+(AX84*AX5))/AZ5</f>
        <v>0</v>
      </c>
      <c r="BA84" s="4159">
        <f>+((AQ84*AQ5)+(AU84*AU5)+(AY84*AY5))/BA5</f>
        <v>0.70173591426217996</v>
      </c>
      <c r="BB84" s="3054">
        <f>+((AR84*AR5)+(AV84*AV5)+(AZ84*AZ5))/BB5</f>
        <v>0</v>
      </c>
      <c r="BC84" s="4159">
        <f>+((AM84*AM5)+(BA84*BA5))/BC5</f>
        <v>0.75704035859045959</v>
      </c>
      <c r="BD84" s="6636">
        <f>+((AV84*AV5)+(AX84*AX5))/BD5</f>
        <v>0</v>
      </c>
      <c r="BE84" s="6850">
        <f>+((AW84*AW5)+(AY84*AY5))/BE5</f>
        <v>0.77875469586649071</v>
      </c>
    </row>
    <row r="85" spans="2:57" x14ac:dyDescent="0.2">
      <c r="B85" s="1591" t="s">
        <v>721</v>
      </c>
      <c r="C85" s="1544" t="s">
        <v>703</v>
      </c>
      <c r="D85" s="5484">
        <f>+'POWER DISTRIBUTION'!I22</f>
        <v>9405013.9999999665</v>
      </c>
      <c r="E85" s="4406">
        <f>+'POWER DISTRIBUTION'!J22</f>
        <v>9405013.9999999981</v>
      </c>
      <c r="F85" s="5484">
        <f>+'POWER DISTRIBUTION'!K22</f>
        <v>9828956.0000000019</v>
      </c>
      <c r="G85" s="4406">
        <f>+'POWER DISTRIBUTION'!L22</f>
        <v>9828956</v>
      </c>
      <c r="H85" s="1787">
        <f>+D85+F85</f>
        <v>19233969.99999997</v>
      </c>
      <c r="I85" s="1904">
        <f t="shared" ref="I85" si="420">+E85+G85</f>
        <v>19233970</v>
      </c>
      <c r="J85" s="5788">
        <f>+'POWER DISTRIBUTION'!O22</f>
        <v>10241878.000000034</v>
      </c>
      <c r="K85" s="4406">
        <f>+'POWER DISTRIBUTION'!P22</f>
        <v>10241878.000000015</v>
      </c>
      <c r="L85" s="2048">
        <f>+H85+J85</f>
        <v>29475848.000000004</v>
      </c>
      <c r="M85" s="2069">
        <f t="shared" ref="M85" si="421">+I85+K85</f>
        <v>29475848.000000015</v>
      </c>
      <c r="N85" s="5936">
        <f>+'POWER DISTRIBUTION'!S22</f>
        <v>11447146.453428</v>
      </c>
      <c r="O85" s="3184">
        <f>+'POWER DISTRIBUTION'!T22</f>
        <v>10517248.000000002</v>
      </c>
      <c r="P85" s="1787">
        <f>+L85+N85</f>
        <v>40922994.453428</v>
      </c>
      <c r="Q85" s="1904">
        <f t="shared" ref="Q85" si="422">+M85+O85</f>
        <v>39993096.000000015</v>
      </c>
      <c r="R85" s="6408">
        <f>+'POWER DISTRIBUTION'!W22</f>
        <v>11380430.206320001</v>
      </c>
      <c r="S85" s="3184">
        <f>+'POWER DISTRIBUTION'!X22</f>
        <v>11308657.999999981</v>
      </c>
      <c r="T85" s="1787">
        <f>+P85+R85</f>
        <v>52303424.659748003</v>
      </c>
      <c r="U85" s="1904">
        <f t="shared" ref="U85" si="423">+Q85+S85</f>
        <v>51301754</v>
      </c>
      <c r="V85" s="6658">
        <f>+'POWER DISTRIBUTION'!AA22</f>
        <v>11230659.039307401</v>
      </c>
      <c r="W85" s="3184">
        <f>+'POWER DISTRIBUTION'!AB22</f>
        <v>9782484.0000000056</v>
      </c>
      <c r="X85" s="6657">
        <f t="shared" ref="X85" si="424">+V85+R85+N85</f>
        <v>34058235.699055403</v>
      </c>
      <c r="Y85" s="2011">
        <f t="shared" ref="Y85" si="425">+W85+S85+O85</f>
        <v>31608389.999999985</v>
      </c>
      <c r="Z85" s="6670">
        <f>+T85+V85</f>
        <v>63534083.699055403</v>
      </c>
      <c r="AA85" s="6830">
        <f t="shared" ref="AA85" si="426">+U85+W85</f>
        <v>61084238.000000007</v>
      </c>
      <c r="AB85" s="7347">
        <f>+'POWER DISTRIBUTION'!AG22</f>
        <v>5950000</v>
      </c>
      <c r="AC85" s="3184">
        <f>+'POWER DISTRIBUTION'!AH22</f>
        <v>10688897.999999993</v>
      </c>
      <c r="AD85" s="1787">
        <f>+Z85+AB85</f>
        <v>69484083.699055403</v>
      </c>
      <c r="AE85" s="1904">
        <f t="shared" ref="AE85" si="427">+AA85+AC85</f>
        <v>71773136</v>
      </c>
      <c r="AF85" s="7393">
        <f>+'POWER DISTRIBUTION'!AK22</f>
        <v>11043200</v>
      </c>
      <c r="AG85" s="3184">
        <f>+'POWER DISTRIBUTION'!AL22</f>
        <v>10340104.000000004</v>
      </c>
      <c r="AH85" s="1787">
        <f>+AD85+AF85</f>
        <v>80527283.699055403</v>
      </c>
      <c r="AI85" s="1904">
        <f t="shared" ref="AI85" si="428">+AE85+AG85</f>
        <v>82113240</v>
      </c>
      <c r="AJ85" s="7393">
        <f>+'POWER DISTRIBUTION'!AO22</f>
        <v>11614400</v>
      </c>
      <c r="AK85" s="3184">
        <f>+'POWER DISTRIBUTION'!AP22</f>
        <v>11046908</v>
      </c>
      <c r="AL85" s="7737">
        <f t="shared" ref="AL85" si="429">+AJ85+AF85+AB85</f>
        <v>28607600</v>
      </c>
      <c r="AM85" s="2011">
        <f t="shared" ref="AM85" si="430">+AK85+AG85+AC85</f>
        <v>32075909.999999996</v>
      </c>
      <c r="AN85" s="1787">
        <f>+AH85+AJ85</f>
        <v>92141683.699055403</v>
      </c>
      <c r="AO85" s="1904">
        <f t="shared" ref="AO85" si="431">+AI85+AK85</f>
        <v>93160148</v>
      </c>
      <c r="AP85" s="7393">
        <f>+'POWER DISTRIBUTION'!AU22</f>
        <v>11424000</v>
      </c>
      <c r="AQ85" s="3184">
        <f>+'POWER DISTRIBUTION'!AV22</f>
        <v>11278839.999999996</v>
      </c>
      <c r="AR85" s="1787">
        <f>+AN85+AP85</f>
        <v>103565683.6990554</v>
      </c>
      <c r="AS85" s="1904">
        <f t="shared" ref="AS85" si="432">+AO85+AQ85</f>
        <v>104438988</v>
      </c>
      <c r="AT85" s="7393">
        <f>+'POWER DISTRIBUTION'!AY22</f>
        <v>10471999.999977602</v>
      </c>
      <c r="AU85" s="3184">
        <f>+'POWER DISTRIBUTION'!AZ22</f>
        <v>10500842</v>
      </c>
      <c r="AV85" s="1787">
        <f>+AR85+AT85</f>
        <v>114037683.69903301</v>
      </c>
      <c r="AW85" s="1904">
        <f t="shared" ref="AW85" si="433">+AS85+AU85</f>
        <v>114939830</v>
      </c>
      <c r="AX85" s="7393">
        <f>+'POWER DISTRIBUTION'!BC22</f>
        <v>11614399.999871999</v>
      </c>
      <c r="AY85" s="3184">
        <f>+'POWER DISTRIBUTION'!BD22</f>
        <v>11696644</v>
      </c>
      <c r="AZ85" s="8323">
        <f t="shared" ref="AZ85" si="434">+AX85+AT85+AP85</f>
        <v>33510399.999849603</v>
      </c>
      <c r="BA85" s="2011">
        <f t="shared" ref="BA85" si="435">+AY85+AU85+AQ85</f>
        <v>33476325.999999996</v>
      </c>
      <c r="BB85" s="8323">
        <f>+AZ85+AL85</f>
        <v>62117999.999849603</v>
      </c>
      <c r="BC85" s="2011">
        <f>+BA85+AM85</f>
        <v>65552235.999999993</v>
      </c>
      <c r="BD85" s="6670">
        <f>+AV85+AX85</f>
        <v>125652083.69890501</v>
      </c>
      <c r="BE85" s="6830">
        <f t="shared" ref="BE85" si="436">+AW85+AY85</f>
        <v>126636474</v>
      </c>
    </row>
    <row r="86" spans="2:57" ht="16" thickBot="1" x14ac:dyDescent="0.25">
      <c r="B86" s="5861" t="s">
        <v>722</v>
      </c>
      <c r="C86" s="1923" t="s">
        <v>752</v>
      </c>
      <c r="D86" s="2723">
        <f t="shared" ref="D86:S86" si="437">+D85/D5</f>
        <v>65.418902939498679</v>
      </c>
      <c r="E86" s="2723">
        <f t="shared" si="437"/>
        <v>65.418902939498892</v>
      </c>
      <c r="F86" s="2723">
        <f t="shared" ref="F86" si="438">+F85/F5</f>
        <v>64.608077196119169</v>
      </c>
      <c r="G86" s="2723">
        <f t="shared" si="437"/>
        <v>64.608077196119154</v>
      </c>
      <c r="H86" s="3194">
        <f t="shared" si="437"/>
        <v>65.002027725770262</v>
      </c>
      <c r="I86" s="5307">
        <f t="shared" si="437"/>
        <v>65.002027725770361</v>
      </c>
      <c r="J86" s="2723">
        <f t="shared" si="437"/>
        <v>56.815676920090056</v>
      </c>
      <c r="K86" s="2723">
        <f t="shared" si="437"/>
        <v>61.189011895018041</v>
      </c>
      <c r="L86" s="5714">
        <f t="shared" si="437"/>
        <v>61.902852594594719</v>
      </c>
      <c r="M86" s="5709">
        <f t="shared" si="437"/>
        <v>63.624399120184627</v>
      </c>
      <c r="N86" s="2723">
        <f t="shared" ref="N86:O86" si="439">+N85/N5</f>
        <v>47.6</v>
      </c>
      <c r="O86" s="6049">
        <f t="shared" si="439"/>
        <v>55.19155747038976</v>
      </c>
      <c r="P86" s="2795">
        <f t="shared" si="437"/>
        <v>57.103238871247164</v>
      </c>
      <c r="Q86" s="3168">
        <f t="shared" si="437"/>
        <v>61.166674313820877</v>
      </c>
      <c r="R86" s="2723">
        <f t="shared" si="437"/>
        <v>47.6</v>
      </c>
      <c r="S86" s="6049">
        <f t="shared" si="437"/>
        <v>57.839472580529574</v>
      </c>
      <c r="T86" s="2795">
        <f t="shared" ref="T86:Y86" si="440">+T85/T5</f>
        <v>54.725925874948935</v>
      </c>
      <c r="U86" s="3168">
        <f t="shared" si="440"/>
        <v>60.400767169478996</v>
      </c>
      <c r="V86" s="2723">
        <f t="shared" si="440"/>
        <v>47.6</v>
      </c>
      <c r="W86" s="6049">
        <f t="shared" si="440"/>
        <v>91.146533491106666</v>
      </c>
      <c r="X86" s="5714">
        <f t="shared" si="440"/>
        <v>47.6</v>
      </c>
      <c r="Y86" s="5709">
        <f t="shared" si="440"/>
        <v>64.061884378724102</v>
      </c>
      <c r="Z86" s="6640">
        <f t="shared" ref="Z86:AM86" si="441">+Z85/Z5</f>
        <v>53.315069518829567</v>
      </c>
      <c r="AA86" s="6838">
        <f t="shared" si="441"/>
        <v>63.850029738168239</v>
      </c>
      <c r="AB86" s="2723">
        <f t="shared" si="441"/>
        <v>47.6</v>
      </c>
      <c r="AC86" s="6049">
        <f t="shared" si="441"/>
        <v>85.484512831996355</v>
      </c>
      <c r="AD86" s="2795">
        <f t="shared" si="441"/>
        <v>52.772501888732201</v>
      </c>
      <c r="AE86" s="3168">
        <f t="shared" si="441"/>
        <v>66.350814719493542</v>
      </c>
      <c r="AF86" s="2723">
        <f t="shared" si="441"/>
        <v>47.6</v>
      </c>
      <c r="AG86" s="6049">
        <f t="shared" si="441"/>
        <v>67.032537032835265</v>
      </c>
      <c r="AH86" s="2795">
        <f t="shared" si="441"/>
        <v>51.997631341988885</v>
      </c>
      <c r="AI86" s="3168">
        <f t="shared" si="441"/>
        <v>66.435896460856469</v>
      </c>
      <c r="AJ86" s="2723">
        <f t="shared" si="441"/>
        <v>47.6</v>
      </c>
      <c r="AK86" s="6049">
        <f t="shared" si="441"/>
        <v>55.56375524985539</v>
      </c>
      <c r="AL86" s="5714">
        <f t="shared" si="441"/>
        <v>47.6</v>
      </c>
      <c r="AM86" s="5709">
        <f t="shared" si="441"/>
        <v>67.08911566190973</v>
      </c>
      <c r="AN86" s="2795">
        <f t="shared" ref="AN86:AS86" si="442">+AN85/AN5</f>
        <v>51.399071228559777</v>
      </c>
      <c r="AO86" s="3168">
        <f t="shared" si="442"/>
        <v>64.929375128938545</v>
      </c>
      <c r="AP86" s="2723">
        <f t="shared" si="442"/>
        <v>47.6</v>
      </c>
      <c r="AQ86" s="6049">
        <f t="shared" si="442"/>
        <v>50.961454177416499</v>
      </c>
      <c r="AR86" s="2795">
        <f t="shared" si="442"/>
        <v>50.95051040513556</v>
      </c>
      <c r="AS86" s="3168">
        <f t="shared" si="442"/>
        <v>63.062718546379386</v>
      </c>
      <c r="AT86" s="2723">
        <f t="shared" ref="AT86:AW86" si="443">+AT85/AT5</f>
        <v>47.599999999898188</v>
      </c>
      <c r="AU86" s="6049">
        <f t="shared" si="443"/>
        <v>52.897236466949437</v>
      </c>
      <c r="AV86" s="2795">
        <f t="shared" si="443"/>
        <v>50.623293553780236</v>
      </c>
      <c r="AW86" s="3168">
        <f t="shared" si="443"/>
        <v>61.974634252601739</v>
      </c>
      <c r="AX86" s="2723">
        <f t="shared" ref="AX86:BE86" si="444">+AX85/AX5</f>
        <v>47.599999999475408</v>
      </c>
      <c r="AY86" s="6049">
        <f t="shared" si="444"/>
        <v>49.110277909569177</v>
      </c>
      <c r="AZ86" s="5714">
        <f t="shared" si="444"/>
        <v>47.59999999978637</v>
      </c>
      <c r="BA86" s="5709">
        <f t="shared" si="444"/>
        <v>50.875411470412118</v>
      </c>
      <c r="BB86" s="5714">
        <f t="shared" ref="BB86:BC86" si="445">+BB85/BB5</f>
        <v>47.599999999884751</v>
      </c>
      <c r="BC86" s="5709">
        <f t="shared" si="445"/>
        <v>57.698592131958463</v>
      </c>
      <c r="BD86" s="6640">
        <f t="shared" si="444"/>
        <v>50.327826795654595</v>
      </c>
      <c r="BE86" s="6838">
        <f t="shared" si="444"/>
        <v>60.510605419156555</v>
      </c>
    </row>
    <row r="87" spans="2:57" x14ac:dyDescent="0.2">
      <c r="B87" s="5528" t="s">
        <v>2111</v>
      </c>
      <c r="C87" s="4105" t="s">
        <v>169</v>
      </c>
      <c r="D87" s="5862"/>
      <c r="E87" s="5863">
        <v>0.08</v>
      </c>
      <c r="F87" s="5862"/>
      <c r="G87" s="5863">
        <v>0.34</v>
      </c>
      <c r="H87" s="5862"/>
      <c r="I87" s="5863"/>
      <c r="J87" s="5862"/>
      <c r="K87" s="5863">
        <v>2.23</v>
      </c>
      <c r="L87" s="5862"/>
      <c r="M87" s="5863"/>
      <c r="N87" s="5862"/>
      <c r="O87" s="6102">
        <v>3.21</v>
      </c>
      <c r="P87" s="5862"/>
      <c r="Q87" s="5863"/>
      <c r="R87" s="5862"/>
      <c r="S87" s="6102">
        <v>3.58</v>
      </c>
      <c r="T87" s="5862"/>
      <c r="U87" s="5863"/>
      <c r="V87" s="5862"/>
      <c r="W87" s="6102">
        <v>2.0299999999999998</v>
      </c>
      <c r="X87" s="5862"/>
      <c r="Y87" s="5863"/>
      <c r="Z87" s="5862"/>
      <c r="AA87" s="5863"/>
      <c r="AB87" s="5862"/>
      <c r="AC87" s="6102">
        <v>0.15</v>
      </c>
      <c r="AD87" s="5862"/>
      <c r="AE87" s="5863"/>
      <c r="AF87" s="5862"/>
      <c r="AG87" s="6102">
        <v>2.92</v>
      </c>
      <c r="AH87" s="5862"/>
      <c r="AI87" s="5863"/>
      <c r="AJ87" s="5862"/>
      <c r="AK87" s="6102">
        <v>3.65</v>
      </c>
      <c r="AL87" s="5862"/>
      <c r="AM87" s="5863"/>
      <c r="AN87" s="5862"/>
      <c r="AO87" s="5863"/>
      <c r="AP87" s="5862"/>
      <c r="AQ87" s="6102">
        <v>2.94</v>
      </c>
      <c r="AR87" s="5862"/>
      <c r="AS87" s="5863"/>
      <c r="AT87" s="5862"/>
      <c r="AU87" s="6102">
        <v>3.42</v>
      </c>
      <c r="AV87" s="5862"/>
      <c r="AW87" s="5863"/>
      <c r="AX87" s="5862"/>
      <c r="AY87" s="6102">
        <v>4.42</v>
      </c>
      <c r="AZ87" s="5862"/>
      <c r="BA87" s="5863"/>
      <c r="BB87" s="5862"/>
      <c r="BC87" s="5863"/>
      <c r="BD87" s="5862"/>
      <c r="BE87" s="5863"/>
    </row>
    <row r="88" spans="2:57" x14ac:dyDescent="0.2">
      <c r="V88" s="6649"/>
      <c r="W88" s="6649"/>
      <c r="X88" s="2100"/>
      <c r="Y88" s="2265"/>
      <c r="Z88" s="6649"/>
      <c r="AA88" s="6649"/>
      <c r="AB88" s="7321"/>
      <c r="AC88" s="7321"/>
      <c r="AD88" s="7321"/>
      <c r="AE88" s="7321"/>
      <c r="AF88" s="7545"/>
      <c r="AG88" s="7545"/>
      <c r="AH88" s="7545"/>
      <c r="AI88" s="7545"/>
      <c r="AJ88" s="7696"/>
      <c r="AK88" s="7696"/>
      <c r="AL88" s="2100"/>
      <c r="AM88" s="2265"/>
      <c r="AN88" s="7696"/>
      <c r="AO88" s="7696"/>
      <c r="AP88" s="8011"/>
      <c r="AQ88" s="8011"/>
      <c r="AR88" s="8011"/>
      <c r="AS88" s="8011"/>
      <c r="AZ88" s="2100"/>
      <c r="BA88" s="2265"/>
      <c r="BB88" s="2100"/>
      <c r="BC88" s="2265"/>
    </row>
    <row r="89" spans="2:57" x14ac:dyDescent="0.2">
      <c r="V89" s="6649"/>
      <c r="W89" s="6649"/>
      <c r="X89" s="2100"/>
      <c r="Y89" s="2265"/>
      <c r="Z89" s="6649"/>
      <c r="AA89" s="6649"/>
      <c r="AB89" s="7321"/>
      <c r="AC89" s="7321"/>
      <c r="AD89" s="7321"/>
      <c r="AE89" s="7321"/>
      <c r="AF89" s="7545"/>
      <c r="AG89" s="7545"/>
      <c r="AH89" s="7545"/>
      <c r="AI89" s="7545"/>
      <c r="AJ89" s="7696"/>
      <c r="AK89" s="7696"/>
      <c r="AL89" s="2100"/>
      <c r="AM89" s="2265"/>
      <c r="AN89" s="7696"/>
      <c r="AO89" s="7696"/>
      <c r="AP89" s="8011"/>
      <c r="AQ89" s="8011"/>
      <c r="AR89" s="8011"/>
      <c r="AS89" s="8011"/>
      <c r="AZ89" s="2100"/>
      <c r="BA89" s="2265"/>
      <c r="BB89" s="2100"/>
      <c r="BC89" s="2265"/>
    </row>
    <row r="90" spans="2:57" x14ac:dyDescent="0.2">
      <c r="V90" s="6649"/>
      <c r="W90" s="6649"/>
      <c r="X90" s="2100"/>
      <c r="Y90" s="2265"/>
      <c r="Z90" s="6649"/>
      <c r="AA90" s="6649"/>
      <c r="AB90" s="7321"/>
      <c r="AC90" s="7321"/>
      <c r="AD90" s="7321"/>
      <c r="AE90" s="7321"/>
      <c r="AF90" s="7545"/>
      <c r="AG90" s="7545"/>
      <c r="AH90" s="7545"/>
      <c r="AI90" s="7545"/>
      <c r="AJ90" s="7696"/>
      <c r="AK90" s="7696"/>
      <c r="AL90" s="2100"/>
      <c r="AM90" s="2265"/>
      <c r="AN90" s="7696"/>
      <c r="AO90" s="7696"/>
      <c r="AP90" s="8011"/>
      <c r="AQ90" s="8011"/>
      <c r="AR90" s="8011"/>
      <c r="AS90" s="8011"/>
      <c r="AZ90" s="2100"/>
      <c r="BA90" s="2265"/>
      <c r="BB90" s="2100"/>
      <c r="BC90" s="2265"/>
    </row>
    <row r="91" spans="2:57" x14ac:dyDescent="0.2">
      <c r="B91" s="6083" t="s">
        <v>2153</v>
      </c>
      <c r="C91" s="6083"/>
      <c r="D91" s="3452"/>
      <c r="E91" s="6084">
        <f>+SMS!E64</f>
        <v>0</v>
      </c>
      <c r="F91" s="3452"/>
      <c r="G91" s="6084">
        <f>+SMS!G64</f>
        <v>0</v>
      </c>
      <c r="H91" s="3452"/>
      <c r="I91" s="4406">
        <f t="shared" ref="I91" si="446">+E91+G91</f>
        <v>0</v>
      </c>
      <c r="J91" s="3452"/>
      <c r="K91" s="6084">
        <f>+SMS!K64</f>
        <v>1104.3</v>
      </c>
      <c r="L91" s="3452"/>
      <c r="M91" s="4406">
        <f t="shared" ref="M91" si="447">+I91+K91</f>
        <v>1104.3</v>
      </c>
      <c r="N91" s="3452"/>
      <c r="O91" s="6084">
        <f>+SMS!O64</f>
        <v>1000.1</v>
      </c>
      <c r="P91" s="3452"/>
      <c r="Q91" s="4406">
        <f t="shared" ref="Q91" si="448">+M91+O91</f>
        <v>2104.4</v>
      </c>
      <c r="R91" s="3452"/>
      <c r="S91" s="6084">
        <f>+SMS!S64</f>
        <v>2528</v>
      </c>
      <c r="T91" s="3452"/>
      <c r="U91" s="4406">
        <f t="shared" ref="U91" si="449">+Q91+S91</f>
        <v>4632.3999999999996</v>
      </c>
      <c r="V91" s="3452"/>
      <c r="W91" s="6084">
        <f>+SMS!W64</f>
        <v>151</v>
      </c>
      <c r="X91" s="3452"/>
      <c r="Y91" s="3918">
        <f t="shared" ref="Y91" si="450">+W91+S91+O91</f>
        <v>3679.1</v>
      </c>
      <c r="Z91" s="3452"/>
      <c r="AA91" s="4406">
        <f t="shared" ref="AA91" si="451">+U91+W91</f>
        <v>4783.3999999999996</v>
      </c>
      <c r="AB91" s="3452"/>
      <c r="AC91" s="6084">
        <f>+SMS!AC64</f>
        <v>0</v>
      </c>
      <c r="AD91" s="3452"/>
      <c r="AE91" s="4406">
        <f t="shared" ref="AE91" si="452">+AA91+AC91</f>
        <v>4783.3999999999996</v>
      </c>
      <c r="AF91" s="3452"/>
      <c r="AG91" s="6084">
        <f>+SMS!AG64</f>
        <v>0</v>
      </c>
      <c r="AH91" s="3452"/>
      <c r="AI91" s="4406">
        <f t="shared" ref="AI91" si="453">+AE91+AG91</f>
        <v>4783.3999999999996</v>
      </c>
      <c r="AJ91" s="3452"/>
      <c r="AK91" s="6084">
        <f>+SMS!AK64</f>
        <v>0</v>
      </c>
      <c r="AL91" s="3452"/>
      <c r="AM91" s="3918">
        <f t="shared" ref="AM91" si="454">+AK91+AG91+AC91</f>
        <v>0</v>
      </c>
      <c r="AN91" s="3452"/>
      <c r="AO91" s="4406">
        <f t="shared" ref="AO91" si="455">+AI91+AK91</f>
        <v>4783.3999999999996</v>
      </c>
      <c r="AP91" s="3452"/>
      <c r="AQ91" s="6084">
        <f>+SMS!AQ64</f>
        <v>65</v>
      </c>
      <c r="AR91" s="3452"/>
      <c r="AS91" s="4406">
        <f t="shared" ref="AS91" si="456">+AO91+AQ91</f>
        <v>4848.3999999999996</v>
      </c>
      <c r="AT91" s="3452"/>
      <c r="AU91" s="6084">
        <f>+SMS!AU64</f>
        <v>570</v>
      </c>
      <c r="AV91" s="3452"/>
      <c r="AW91" s="4406">
        <f t="shared" ref="AW91" si="457">+AS91+AU91</f>
        <v>5418.4</v>
      </c>
      <c r="AX91" s="3452"/>
      <c r="AY91" s="6084">
        <f>+SMS!AY64</f>
        <v>1515</v>
      </c>
      <c r="AZ91" s="3452"/>
      <c r="BA91" s="3918">
        <f t="shared" ref="BA91" si="458">+AY91+AU91+AQ91</f>
        <v>2150</v>
      </c>
      <c r="BB91" s="3452"/>
      <c r="BC91" s="3918">
        <f t="shared" ref="BC91" si="459">+BA91+AW91+AS91</f>
        <v>12416.8</v>
      </c>
      <c r="BD91" s="3452"/>
      <c r="BE91" s="4406">
        <f t="shared" ref="BE91" si="460">+AW91+AY91</f>
        <v>6933.4</v>
      </c>
    </row>
    <row r="92" spans="2:57" x14ac:dyDescent="0.2">
      <c r="N92" s="2265"/>
      <c r="O92" s="2265"/>
      <c r="V92" s="6649"/>
      <c r="W92" s="6649"/>
      <c r="X92" s="2100"/>
      <c r="Y92" s="2265"/>
      <c r="Z92" s="6649"/>
      <c r="AA92" s="6649"/>
      <c r="AB92" s="7321"/>
      <c r="AC92" s="7321"/>
      <c r="AD92" s="7321"/>
      <c r="AE92" s="7321"/>
      <c r="AF92" s="7545"/>
      <c r="AG92" s="7545"/>
      <c r="AH92" s="7545"/>
      <c r="AI92" s="7545"/>
      <c r="AJ92" s="7696"/>
      <c r="AK92" s="7696"/>
      <c r="AL92" s="2100"/>
      <c r="AM92" s="2265"/>
      <c r="AN92" s="7696"/>
      <c r="AO92" s="7696"/>
      <c r="AP92" s="8011"/>
      <c r="AQ92" s="8011"/>
      <c r="AR92" s="8011"/>
      <c r="AS92" s="8011"/>
      <c r="AZ92" s="2100"/>
      <c r="BA92" s="2265"/>
      <c r="BB92" s="2100"/>
      <c r="BC92" s="2265"/>
    </row>
    <row r="93" spans="2:57" x14ac:dyDescent="0.2">
      <c r="N93" s="2265"/>
      <c r="O93" s="2265"/>
      <c r="V93" s="6649"/>
      <c r="W93" s="6649"/>
      <c r="X93" s="2100"/>
      <c r="Y93" s="2265"/>
      <c r="Z93" s="6649"/>
      <c r="AA93" s="6649"/>
      <c r="AB93" s="7321"/>
      <c r="AC93" s="7321"/>
      <c r="AD93" s="7321"/>
      <c r="AE93" s="7321"/>
      <c r="AF93" s="7545"/>
      <c r="AG93" s="7545"/>
      <c r="AH93" s="7545"/>
      <c r="AI93" s="7545"/>
      <c r="AJ93" s="7696"/>
      <c r="AK93" s="7696"/>
      <c r="AL93" s="2100"/>
      <c r="AM93" s="2265"/>
      <c r="AN93" s="7696"/>
      <c r="AO93" s="7696"/>
      <c r="AP93" s="8011"/>
      <c r="AQ93" s="8011"/>
      <c r="AR93" s="8011"/>
      <c r="AS93" s="8011"/>
      <c r="AZ93" s="2100"/>
      <c r="BA93" s="2265"/>
      <c r="BB93" s="2100"/>
      <c r="BC93" s="2265"/>
    </row>
    <row r="94" spans="2:57" hidden="1" x14ac:dyDescent="0.2">
      <c r="B94" t="s">
        <v>2230</v>
      </c>
      <c r="N94" s="2265"/>
      <c r="O94" s="2265"/>
      <c r="V94" s="6649"/>
      <c r="W94" s="6649"/>
      <c r="X94" s="2100"/>
      <c r="Y94" s="2265"/>
      <c r="Z94" s="6649"/>
      <c r="AA94" s="6649"/>
      <c r="AB94" s="7321"/>
      <c r="AC94" s="7321"/>
      <c r="AD94" s="7321"/>
      <c r="AE94" s="7321"/>
      <c r="AF94" s="7545"/>
      <c r="AG94" s="7545"/>
      <c r="AH94" s="7545"/>
      <c r="AI94" s="7545"/>
      <c r="AJ94" s="7696"/>
      <c r="AK94" s="7696"/>
      <c r="AL94" s="2100"/>
      <c r="AM94" s="2265"/>
      <c r="AN94" s="7696"/>
      <c r="AO94" s="7696"/>
      <c r="AP94" s="8011"/>
      <c r="AQ94" s="8011"/>
      <c r="AR94" s="8011"/>
      <c r="AS94" s="8011"/>
      <c r="AZ94" s="2100"/>
      <c r="BA94" s="2265"/>
      <c r="BB94" s="2100"/>
      <c r="BC94" s="2265"/>
    </row>
    <row r="95" spans="2:57" hidden="1" x14ac:dyDescent="0.2">
      <c r="B95" t="s">
        <v>2233</v>
      </c>
      <c r="E95" s="2956">
        <f>+E33</f>
        <v>80964.007799999992</v>
      </c>
      <c r="N95" s="2265"/>
      <c r="O95" s="2265"/>
      <c r="V95" s="6649"/>
      <c r="W95" s="6649"/>
      <c r="X95" s="2100"/>
      <c r="Y95" s="2265"/>
      <c r="Z95" s="6649"/>
      <c r="AA95" s="6649"/>
      <c r="AB95" s="7321"/>
      <c r="AC95" s="7321"/>
      <c r="AD95" s="7321"/>
      <c r="AE95" s="7321"/>
      <c r="AF95" s="7545"/>
      <c r="AG95" s="7545"/>
      <c r="AH95" s="7545"/>
      <c r="AI95" s="7545"/>
      <c r="AJ95" s="7696"/>
      <c r="AK95" s="7696"/>
      <c r="AL95" s="2100"/>
      <c r="AM95" s="2265"/>
      <c r="AN95" s="7696"/>
      <c r="AO95" s="7696"/>
      <c r="AP95" s="8011"/>
      <c r="AQ95" s="8011"/>
      <c r="AR95" s="8011"/>
      <c r="AS95" s="8011"/>
      <c r="AZ95" s="2100"/>
      <c r="BA95" s="2265"/>
      <c r="BB95" s="2100"/>
      <c r="BC95" s="2265"/>
    </row>
    <row r="96" spans="2:57" hidden="1" x14ac:dyDescent="0.2">
      <c r="B96" t="s">
        <v>2231</v>
      </c>
      <c r="E96" s="2265">
        <f>+'Maj Techno Summ'!E5</f>
        <v>69.525848043947406</v>
      </c>
      <c r="N96" s="2265"/>
      <c r="O96" s="2265"/>
      <c r="V96" s="6649"/>
      <c r="W96" s="6649"/>
      <c r="X96" s="2100"/>
      <c r="Y96" s="2265"/>
      <c r="Z96" s="6649"/>
      <c r="AA96" s="6649"/>
      <c r="AB96" s="7321"/>
      <c r="AC96" s="7321"/>
      <c r="AD96" s="7321"/>
      <c r="AE96" s="7321"/>
      <c r="AF96" s="7545"/>
      <c r="AG96" s="7545"/>
      <c r="AH96" s="7545"/>
      <c r="AI96" s="7545"/>
      <c r="AJ96" s="7696"/>
      <c r="AK96" s="7696"/>
      <c r="AL96" s="2100"/>
      <c r="AM96" s="2265"/>
      <c r="AN96" s="7696"/>
      <c r="AO96" s="7696"/>
      <c r="AP96" s="8011"/>
      <c r="AQ96" s="8011"/>
      <c r="AR96" s="8011"/>
      <c r="AS96" s="8011"/>
      <c r="AZ96" s="2100"/>
      <c r="BA96" s="2265"/>
      <c r="BB96" s="2100"/>
      <c r="BC96" s="2265"/>
    </row>
    <row r="97" spans="2:55" hidden="1" x14ac:dyDescent="0.2">
      <c r="B97" t="s">
        <v>2232</v>
      </c>
      <c r="E97" s="2265">
        <f>+E95*100/E96</f>
        <v>116451.66521208416</v>
      </c>
      <c r="N97" s="2265"/>
      <c r="O97" s="2265"/>
      <c r="V97" s="6649"/>
      <c r="W97" s="6649"/>
      <c r="X97" s="2100"/>
      <c r="Y97" s="2265"/>
      <c r="Z97" s="6649"/>
      <c r="AA97" s="6649"/>
      <c r="AB97" s="7321"/>
      <c r="AC97" s="7321"/>
      <c r="AD97" s="7321"/>
      <c r="AE97" s="7321"/>
      <c r="AF97" s="7545"/>
      <c r="AG97" s="7545"/>
      <c r="AH97" s="7545"/>
      <c r="AI97" s="7545"/>
      <c r="AJ97" s="7696"/>
      <c r="AK97" s="7696"/>
      <c r="AL97" s="2100"/>
      <c r="AM97" s="2265"/>
      <c r="AN97" s="7696"/>
      <c r="AO97" s="7696"/>
      <c r="AP97" s="8011"/>
      <c r="AQ97" s="8011"/>
      <c r="AR97" s="8011"/>
      <c r="AS97" s="8011"/>
      <c r="AZ97" s="2100"/>
      <c r="BA97" s="2265"/>
      <c r="BB97" s="2100"/>
      <c r="BC97" s="2265"/>
    </row>
    <row r="98" spans="2:55" hidden="1" x14ac:dyDescent="0.2">
      <c r="B98" t="s">
        <v>2235</v>
      </c>
      <c r="E98" s="6921">
        <f>+'COKE OVENS'!E240</f>
        <v>8.651469781344316</v>
      </c>
      <c r="N98" s="2265"/>
      <c r="O98" s="2265"/>
      <c r="V98" s="6649"/>
      <c r="W98" s="6649"/>
      <c r="X98" s="2100"/>
      <c r="Y98" s="2265"/>
      <c r="Z98" s="6649"/>
      <c r="AA98" s="6649"/>
      <c r="AB98" s="7321"/>
      <c r="AC98" s="7321"/>
      <c r="AD98" s="7321"/>
      <c r="AE98" s="7321"/>
      <c r="AF98" s="7545"/>
      <c r="AG98" s="7545"/>
      <c r="AH98" s="7545"/>
      <c r="AI98" s="7545"/>
      <c r="AJ98" s="7696"/>
      <c r="AK98" s="7696"/>
      <c r="AL98" s="2100"/>
      <c r="AM98" s="2265"/>
      <c r="AN98" s="7696"/>
      <c r="AO98" s="7696"/>
      <c r="AP98" s="8011"/>
      <c r="AQ98" s="8011"/>
      <c r="AR98" s="8011"/>
      <c r="AS98" s="8011"/>
      <c r="AZ98" s="2100"/>
      <c r="BA98" s="2265"/>
      <c r="BB98" s="2100"/>
      <c r="BC98" s="2265"/>
    </row>
    <row r="99" spans="2:55" hidden="1" x14ac:dyDescent="0.2">
      <c r="B99" t="s">
        <v>2234</v>
      </c>
      <c r="E99" s="2956">
        <f>+E97*100/(100-E98)</f>
        <v>127480.61182083671</v>
      </c>
      <c r="N99" s="2265"/>
      <c r="O99" s="2265"/>
      <c r="V99" s="6649"/>
      <c r="W99" s="6649"/>
      <c r="Z99" s="6649"/>
      <c r="AA99" s="6649"/>
      <c r="AB99" s="7321"/>
      <c r="AC99" s="7321"/>
      <c r="AD99" s="7321"/>
      <c r="AE99" s="7321"/>
      <c r="AF99" s="7545"/>
      <c r="AG99" s="7545"/>
      <c r="AH99" s="7545"/>
      <c r="AI99" s="7545"/>
      <c r="AJ99" s="7696"/>
      <c r="AK99" s="7696"/>
      <c r="AL99" s="7696"/>
      <c r="AM99" s="7696"/>
      <c r="AN99" s="7696"/>
      <c r="AO99" s="7696"/>
      <c r="AP99" s="8011"/>
      <c r="AQ99" s="8011"/>
      <c r="AR99" s="8011"/>
      <c r="AS99" s="8011"/>
    </row>
    <row r="100" spans="2:55" hidden="1" x14ac:dyDescent="0.2">
      <c r="B100" t="s">
        <v>2236</v>
      </c>
      <c r="E100" s="6921">
        <f>+'COKE OVENS'!E242</f>
        <v>3.0830925607267199</v>
      </c>
      <c r="N100" s="2265"/>
      <c r="O100" s="2265"/>
      <c r="V100" s="6649"/>
      <c r="W100" s="6649"/>
      <c r="Z100" s="6649"/>
      <c r="AA100" s="6649"/>
      <c r="AB100" s="7321"/>
      <c r="AC100" s="7321"/>
      <c r="AD100" s="7321"/>
      <c r="AE100" s="7321"/>
      <c r="AF100" s="7545"/>
      <c r="AG100" s="7545"/>
      <c r="AH100" s="7545"/>
      <c r="AI100" s="7545"/>
      <c r="AJ100" s="7696"/>
      <c r="AK100" s="7696"/>
      <c r="AL100" s="7696"/>
      <c r="AM100" s="7696"/>
      <c r="AN100" s="7696"/>
      <c r="AO100" s="7696"/>
      <c r="AP100" s="8011"/>
      <c r="AQ100" s="8011"/>
      <c r="AR100" s="8011"/>
      <c r="AS100" s="8011"/>
    </row>
    <row r="101" spans="2:55" hidden="1" x14ac:dyDescent="0.2">
      <c r="B101" t="s">
        <v>2237</v>
      </c>
      <c r="E101" s="2956">
        <f>+E99*100/(100-E100)</f>
        <v>131535.98808413715</v>
      </c>
      <c r="N101" s="2265"/>
      <c r="O101" s="2265"/>
      <c r="V101" s="6649"/>
      <c r="W101" s="6649"/>
      <c r="Z101" s="6649"/>
      <c r="AA101" s="6649"/>
      <c r="AB101" s="7321"/>
      <c r="AC101" s="7321"/>
      <c r="AD101" s="7321"/>
      <c r="AE101" s="7321"/>
      <c r="AF101" s="7545"/>
      <c r="AG101" s="7545"/>
      <c r="AH101" s="7545"/>
      <c r="AI101" s="7545"/>
      <c r="AJ101" s="7696"/>
      <c r="AK101" s="7696"/>
      <c r="AL101" s="7696"/>
      <c r="AM101" s="7696"/>
      <c r="AN101" s="7696"/>
      <c r="AO101" s="7696"/>
      <c r="AP101" s="8011"/>
      <c r="AQ101" s="8011"/>
      <c r="AR101" s="8011"/>
      <c r="AS101" s="8011"/>
    </row>
    <row r="102" spans="2:55" hidden="1" x14ac:dyDescent="0.2">
      <c r="B102" t="s">
        <v>2238</v>
      </c>
      <c r="E102" s="2956">
        <f>+E25</f>
        <v>9694</v>
      </c>
      <c r="N102" s="2265"/>
      <c r="O102" s="2265"/>
      <c r="V102" s="6649"/>
      <c r="W102" s="6649"/>
      <c r="Z102" s="6649"/>
      <c r="AA102" s="6649"/>
      <c r="AB102" s="7321"/>
      <c r="AC102" s="7321"/>
      <c r="AD102" s="7321"/>
      <c r="AE102" s="7321"/>
      <c r="AF102" s="7545"/>
      <c r="AG102" s="7545"/>
      <c r="AH102" s="7545"/>
      <c r="AI102" s="7545"/>
      <c r="AJ102" s="7696"/>
      <c r="AK102" s="7696"/>
      <c r="AL102" s="7696"/>
      <c r="AM102" s="7696"/>
      <c r="AN102" s="7696"/>
      <c r="AO102" s="7696"/>
      <c r="AP102" s="8011"/>
      <c r="AQ102" s="8011"/>
      <c r="AR102" s="8011"/>
      <c r="AS102" s="8011"/>
    </row>
    <row r="103" spans="2:55" hidden="1" x14ac:dyDescent="0.2">
      <c r="B103" t="s">
        <v>2239</v>
      </c>
      <c r="E103" s="6923">
        <v>9.3000000000000007</v>
      </c>
      <c r="N103" s="2265"/>
      <c r="O103" s="2265"/>
      <c r="V103" s="6649"/>
      <c r="W103" s="6649"/>
      <c r="Z103" s="6649"/>
      <c r="AA103" s="6649"/>
      <c r="AB103" s="7321"/>
      <c r="AC103" s="7321"/>
      <c r="AD103" s="7321"/>
      <c r="AE103" s="7321"/>
      <c r="AF103" s="7545"/>
      <c r="AG103" s="7545"/>
      <c r="AH103" s="7545"/>
      <c r="AI103" s="7545"/>
      <c r="AJ103" s="7696"/>
      <c r="AK103" s="7696"/>
      <c r="AL103" s="7696"/>
      <c r="AM103" s="7696"/>
      <c r="AN103" s="7696"/>
      <c r="AO103" s="7696"/>
      <c r="AP103" s="8011"/>
      <c r="AQ103" s="8011"/>
      <c r="AR103" s="8011"/>
      <c r="AS103" s="8011"/>
    </row>
    <row r="104" spans="2:55" hidden="1" x14ac:dyDescent="0.2">
      <c r="B104" t="s">
        <v>2240</v>
      </c>
      <c r="E104" s="2265">
        <v>3</v>
      </c>
      <c r="N104" s="2265"/>
      <c r="O104" s="2265"/>
      <c r="V104" s="6649"/>
      <c r="W104" s="6649"/>
      <c r="Z104" s="6649"/>
      <c r="AA104" s="6649"/>
      <c r="AB104" s="7321"/>
      <c r="AC104" s="7321"/>
      <c r="AD104" s="7321"/>
      <c r="AE104" s="7321"/>
      <c r="AF104" s="7545"/>
      <c r="AG104" s="7545"/>
      <c r="AH104" s="7545"/>
      <c r="AI104" s="7545"/>
      <c r="AJ104" s="7696"/>
      <c r="AK104" s="7696"/>
      <c r="AL104" s="7696"/>
      <c r="AM104" s="7696"/>
      <c r="AN104" s="7696"/>
      <c r="AO104" s="7696"/>
      <c r="AP104" s="8011"/>
      <c r="AQ104" s="8011"/>
      <c r="AR104" s="8011"/>
      <c r="AS104" s="8011"/>
    </row>
    <row r="105" spans="2:55" hidden="1" x14ac:dyDescent="0.2">
      <c r="B105" t="s">
        <v>2241</v>
      </c>
      <c r="E105" s="2956">
        <f>+(E102*100/(100-E103))*100/(100-E104)</f>
        <v>11018.538514872869</v>
      </c>
      <c r="N105" s="2265"/>
      <c r="O105" s="2265"/>
      <c r="V105" s="6649"/>
      <c r="W105" s="6649"/>
      <c r="Z105" s="6649"/>
      <c r="AA105" s="6649"/>
      <c r="AB105" s="7321"/>
      <c r="AC105" s="7321"/>
      <c r="AD105" s="7321"/>
      <c r="AE105" s="7321"/>
      <c r="AF105" s="7545"/>
      <c r="AG105" s="7545"/>
      <c r="AH105" s="7545"/>
      <c r="AI105" s="7545"/>
      <c r="AJ105" s="7696"/>
      <c r="AK105" s="7696"/>
      <c r="AL105" s="7696"/>
      <c r="AM105" s="7696"/>
      <c r="AN105" s="7696"/>
      <c r="AO105" s="7696"/>
      <c r="AP105" s="8011"/>
      <c r="AQ105" s="8011"/>
      <c r="AR105" s="8011"/>
      <c r="AS105" s="8011"/>
    </row>
    <row r="106" spans="2:55" hidden="1" x14ac:dyDescent="0.2">
      <c r="B106" t="s">
        <v>2242</v>
      </c>
      <c r="E106" s="2956">
        <f>+E105+E101</f>
        <v>142554.52659901002</v>
      </c>
      <c r="N106" s="2265"/>
      <c r="O106" s="2265"/>
      <c r="V106" s="6649"/>
      <c r="W106" s="6649"/>
      <c r="Z106" s="6649"/>
      <c r="AA106" s="6649"/>
      <c r="AB106" s="7321"/>
      <c r="AC106" s="7321"/>
      <c r="AD106" s="7321"/>
      <c r="AE106" s="7321"/>
      <c r="AF106" s="7545"/>
      <c r="AG106" s="7545"/>
      <c r="AH106" s="7545"/>
      <c r="AI106" s="7545"/>
      <c r="AJ106" s="7696"/>
      <c r="AK106" s="7696"/>
      <c r="AL106" s="7696"/>
      <c r="AM106" s="7696"/>
      <c r="AN106" s="7696"/>
      <c r="AO106" s="7696"/>
      <c r="AP106" s="8011"/>
      <c r="AQ106" s="8011"/>
      <c r="AR106" s="8011"/>
      <c r="AS106" s="8011"/>
    </row>
    <row r="107" spans="2:55" hidden="1" x14ac:dyDescent="0.2">
      <c r="B107" t="s">
        <v>2243</v>
      </c>
      <c r="E107" s="6922">
        <f>+E106*1000/E5</f>
        <v>991.57329687833021</v>
      </c>
      <c r="N107" s="2265"/>
      <c r="O107" s="2265"/>
      <c r="AB107" s="7321"/>
      <c r="AC107" s="7321"/>
      <c r="AD107" s="7321"/>
      <c r="AE107" s="7321"/>
      <c r="AF107" s="7545"/>
      <c r="AG107" s="7545"/>
      <c r="AH107" s="7545"/>
      <c r="AI107" s="7545"/>
      <c r="AJ107" s="7696"/>
      <c r="AK107" s="7696"/>
      <c r="AL107" s="7696"/>
      <c r="AM107" s="7696"/>
      <c r="AN107" s="7696"/>
      <c r="AO107" s="7696"/>
      <c r="AP107" s="8011"/>
      <c r="AQ107" s="8011"/>
      <c r="AR107" s="8011"/>
      <c r="AS107" s="8011"/>
    </row>
    <row r="108" spans="2:55" x14ac:dyDescent="0.2">
      <c r="N108" s="2265"/>
      <c r="O108" s="2265"/>
      <c r="AB108" s="7321"/>
      <c r="AC108" s="7321"/>
      <c r="AD108" s="7321"/>
      <c r="AE108" s="7321"/>
      <c r="AF108" s="7545"/>
      <c r="AG108" s="7545"/>
      <c r="AH108" s="7545"/>
      <c r="AI108" s="7545"/>
      <c r="AJ108" s="7696"/>
      <c r="AK108" s="7696"/>
      <c r="AL108" s="7696"/>
      <c r="AM108" s="7696"/>
      <c r="AN108" s="7696"/>
      <c r="AO108" s="7696"/>
      <c r="AP108" s="8011"/>
      <c r="AQ108" s="8011"/>
      <c r="AR108" s="8011"/>
      <c r="AS108" s="8011"/>
    </row>
    <row r="109" spans="2:55" x14ac:dyDescent="0.2">
      <c r="N109" s="2265"/>
      <c r="O109" s="2265"/>
      <c r="AB109" s="7321"/>
      <c r="AC109" s="7321"/>
      <c r="AD109" s="7321"/>
      <c r="AE109" s="7321"/>
      <c r="AF109" s="7545"/>
      <c r="AG109" s="7545"/>
      <c r="AH109" s="7545"/>
      <c r="AI109" s="7545"/>
      <c r="AJ109" s="7696"/>
      <c r="AK109" s="7696"/>
      <c r="AL109" s="7696"/>
      <c r="AM109" s="7696"/>
      <c r="AN109" s="7696"/>
      <c r="AO109" s="7696"/>
      <c r="AP109" s="8011"/>
      <c r="AQ109" s="8011"/>
      <c r="AR109" s="8011"/>
      <c r="AS109" s="8011"/>
    </row>
    <row r="110" spans="2:55" x14ac:dyDescent="0.2">
      <c r="N110" s="2265"/>
      <c r="O110" s="2265"/>
      <c r="AB110" s="7321"/>
      <c r="AC110" s="7321"/>
      <c r="AD110" s="7321"/>
      <c r="AE110" s="7321"/>
      <c r="AF110" s="7545"/>
      <c r="AG110" s="7545"/>
      <c r="AH110" s="7545"/>
      <c r="AI110" s="7545"/>
      <c r="AJ110" s="7696"/>
      <c r="AK110" s="7696"/>
      <c r="AL110" s="7696"/>
      <c r="AM110" s="7696"/>
      <c r="AN110" s="7696"/>
      <c r="AO110" s="7696"/>
      <c r="AP110" s="8011"/>
      <c r="AQ110" s="8011"/>
      <c r="AR110" s="8011"/>
      <c r="AS110" s="8011"/>
    </row>
    <row r="111" spans="2:55" x14ac:dyDescent="0.2">
      <c r="B111" s="7965" t="s">
        <v>2490</v>
      </c>
      <c r="C111" s="7966"/>
      <c r="D111" s="7897"/>
      <c r="E111" s="7897"/>
      <c r="F111" s="7897"/>
      <c r="G111" s="7897"/>
      <c r="H111" s="7897"/>
      <c r="I111" s="7897"/>
      <c r="J111" s="7897"/>
      <c r="K111" s="7897"/>
      <c r="L111" s="7897"/>
      <c r="M111" s="7897"/>
      <c r="N111" s="2265"/>
      <c r="O111" s="2265"/>
      <c r="P111" s="7897"/>
      <c r="Q111" s="7897"/>
      <c r="R111" s="7897"/>
      <c r="S111" s="7897"/>
      <c r="T111" s="7897"/>
      <c r="U111" s="7897"/>
      <c r="V111" s="7897"/>
      <c r="W111" s="7897"/>
      <c r="X111" s="7897"/>
      <c r="Y111" s="7897"/>
      <c r="Z111" s="7897"/>
      <c r="AA111" s="7897"/>
      <c r="AB111" s="7897"/>
      <c r="AC111" s="7897"/>
      <c r="AD111" s="7897"/>
      <c r="AE111" s="7897"/>
      <c r="AF111" s="7897"/>
      <c r="AG111" s="7897"/>
      <c r="AH111" s="7897"/>
      <c r="AI111" s="7897"/>
      <c r="AJ111" s="7897"/>
      <c r="AK111" s="7897"/>
      <c r="AL111" s="7897"/>
      <c r="AM111" s="7897"/>
      <c r="AN111" s="7897"/>
      <c r="AO111" s="7897"/>
      <c r="AP111" s="8011"/>
      <c r="AQ111" s="8011"/>
      <c r="AR111" s="8011"/>
      <c r="AS111" s="8011"/>
      <c r="AT111" s="7897"/>
      <c r="AU111" s="7897"/>
      <c r="AV111" s="7897"/>
      <c r="AW111" s="7897"/>
    </row>
    <row r="112" spans="2:55" x14ac:dyDescent="0.2">
      <c r="B112" s="7965" t="s">
        <v>732</v>
      </c>
      <c r="C112" s="7966"/>
      <c r="D112" s="7897"/>
      <c r="E112" s="7897"/>
      <c r="F112" s="7897"/>
      <c r="G112" s="7897"/>
      <c r="H112" s="7897"/>
      <c r="I112" s="7897"/>
      <c r="J112" s="7897"/>
      <c r="K112" s="7897"/>
      <c r="L112" s="7897"/>
      <c r="M112" s="7897"/>
      <c r="N112" s="7897"/>
      <c r="O112" s="7897"/>
      <c r="P112" s="7897"/>
      <c r="Q112" s="7897"/>
      <c r="R112" s="7897"/>
      <c r="S112" s="7897"/>
      <c r="T112" s="7897"/>
      <c r="U112" s="7897"/>
      <c r="V112" s="7897"/>
      <c r="W112" s="7897"/>
      <c r="X112" s="7897"/>
      <c r="Y112" s="7897"/>
      <c r="Z112" s="7897"/>
      <c r="AA112" s="7897"/>
      <c r="AB112" s="7897"/>
      <c r="AC112" s="7897"/>
      <c r="AD112" s="7897"/>
      <c r="AE112" s="7897"/>
      <c r="AF112" s="7897"/>
      <c r="AG112" s="7897"/>
      <c r="AH112" s="7897"/>
      <c r="AI112" s="7897"/>
      <c r="AJ112" s="7897"/>
      <c r="AK112" s="7897"/>
      <c r="AL112" s="7897"/>
      <c r="AM112" s="7897"/>
      <c r="AN112" s="7897"/>
      <c r="AO112" s="7897"/>
      <c r="AP112" s="8011"/>
      <c r="AQ112" s="8011"/>
      <c r="AR112" s="8011"/>
      <c r="AS112" s="8011"/>
      <c r="AT112" s="7897"/>
      <c r="AU112" s="7897"/>
      <c r="AV112" s="7897"/>
      <c r="AW112" s="7897"/>
    </row>
    <row r="113" spans="1:57" s="7897" customFormat="1" x14ac:dyDescent="0.2">
      <c r="A113" s="3378"/>
      <c r="B113" s="7909" t="s">
        <v>2488</v>
      </c>
      <c r="C113" s="7907" t="s">
        <v>170</v>
      </c>
      <c r="D113" s="5253"/>
      <c r="E113" s="2750">
        <v>42468.75</v>
      </c>
      <c r="F113" s="7393"/>
      <c r="G113" s="2750">
        <v>49818</v>
      </c>
      <c r="H113" s="7394"/>
      <c r="I113" s="3193">
        <f>+E113+G113</f>
        <v>92286.75</v>
      </c>
      <c r="J113" s="5253"/>
      <c r="K113" s="2750">
        <v>51588.253750000018</v>
      </c>
      <c r="L113" s="7414"/>
      <c r="M113" s="5029">
        <f>+I113+K113</f>
        <v>143875.00375000003</v>
      </c>
      <c r="N113" s="5253"/>
      <c r="O113" s="4406">
        <v>75383</v>
      </c>
      <c r="P113" s="7394"/>
      <c r="Q113" s="3193">
        <f>+M113+O113</f>
        <v>219258.00375000003</v>
      </c>
      <c r="R113" s="5253"/>
      <c r="S113" s="4406">
        <v>79421</v>
      </c>
      <c r="T113" s="7394"/>
      <c r="U113" s="3193">
        <f>+Q113+S113</f>
        <v>298679.00375000003</v>
      </c>
      <c r="V113" s="5253"/>
      <c r="W113" s="4406">
        <v>41726</v>
      </c>
      <c r="X113" s="7414"/>
      <c r="Y113" s="5029">
        <f>+W113+S113+O113</f>
        <v>196530</v>
      </c>
      <c r="Z113" s="6614"/>
      <c r="AA113" s="6615">
        <f>+Y113+M113</f>
        <v>340405.00375000003</v>
      </c>
      <c r="AB113" s="5253"/>
      <c r="AC113" s="4406">
        <v>47964</v>
      </c>
      <c r="AD113" s="7394"/>
      <c r="AE113" s="3193">
        <f>+AA113+AC113</f>
        <v>388369.00375000003</v>
      </c>
      <c r="AF113" s="5253"/>
      <c r="AG113" s="4406">
        <v>67377</v>
      </c>
      <c r="AH113" s="7394"/>
      <c r="AI113" s="3193">
        <f>+AE113+AG113</f>
        <v>455746.00375000003</v>
      </c>
      <c r="AJ113" s="5253"/>
      <c r="AK113" s="4406">
        <v>77358</v>
      </c>
      <c r="AL113" s="7414"/>
      <c r="AM113" s="5029">
        <f>+AK113+AG113+AC113</f>
        <v>192699</v>
      </c>
      <c r="AN113" s="7394"/>
      <c r="AO113" s="3193">
        <f>+AI113+AK113</f>
        <v>533104.00375000003</v>
      </c>
      <c r="AP113" s="5253"/>
      <c r="AQ113" s="4406">
        <v>95682</v>
      </c>
      <c r="AR113" s="7394"/>
      <c r="AS113" s="3193">
        <f>+AO113+AQ113</f>
        <v>628786.00375000003</v>
      </c>
      <c r="AT113" s="5253"/>
      <c r="AU113" s="4406">
        <v>89161</v>
      </c>
      <c r="AV113" s="7394"/>
      <c r="AW113" s="3193">
        <f>+AS113+AU113</f>
        <v>717947.00375000003</v>
      </c>
      <c r="AX113" s="5253"/>
      <c r="AY113" s="4406">
        <v>89161</v>
      </c>
      <c r="AZ113" s="7414"/>
      <c r="BA113" s="5029">
        <f>+AY113+AU113+AQ113</f>
        <v>274004</v>
      </c>
      <c r="BB113" s="7414"/>
      <c r="BC113" s="5029">
        <f>+BA113+AW113+AS113</f>
        <v>1620737.0075000001</v>
      </c>
      <c r="BD113" s="6614"/>
      <c r="BE113" s="6615">
        <f>+BA113+AO113</f>
        <v>807108.00375000003</v>
      </c>
    </row>
    <row r="114" spans="1:57" s="7897" customFormat="1" x14ac:dyDescent="0.2">
      <c r="A114" s="3378"/>
      <c r="B114" s="7909" t="s">
        <v>2489</v>
      </c>
      <c r="C114" s="7907" t="s">
        <v>170</v>
      </c>
      <c r="D114" s="3229"/>
      <c r="E114" s="2750">
        <f>+E28</f>
        <v>40770</v>
      </c>
      <c r="F114" s="7393"/>
      <c r="G114" s="2750">
        <f>+G28</f>
        <v>47825</v>
      </c>
      <c r="H114" s="7394"/>
      <c r="I114" s="3193">
        <f t="shared" ref="I114:I123" si="461">+E114+G114</f>
        <v>88595</v>
      </c>
      <c r="J114" s="5253"/>
      <c r="K114" s="2750">
        <f>+K28</f>
        <v>49525</v>
      </c>
      <c r="L114" s="7414"/>
      <c r="M114" s="5029">
        <f>+I114+K114</f>
        <v>138120</v>
      </c>
      <c r="N114" s="5253"/>
      <c r="O114" s="4406">
        <f>+O28</f>
        <v>72367</v>
      </c>
      <c r="P114" s="7394"/>
      <c r="Q114" s="3193">
        <f>+M114+O114</f>
        <v>210487</v>
      </c>
      <c r="R114" s="5253"/>
      <c r="S114" s="4406">
        <f>+S28</f>
        <v>76244</v>
      </c>
      <c r="T114" s="7394"/>
      <c r="U114" s="3193">
        <f>+Q114+S114</f>
        <v>286731</v>
      </c>
      <c r="V114" s="5253"/>
      <c r="W114" s="4406">
        <f>+W28</f>
        <v>41309</v>
      </c>
      <c r="X114" s="7414"/>
      <c r="Y114" s="5029">
        <f>+W114+S114+O114</f>
        <v>189920</v>
      </c>
      <c r="Z114" s="6614"/>
      <c r="AA114" s="6615">
        <f>+Y114+M114</f>
        <v>328040</v>
      </c>
      <c r="AB114" s="5253"/>
      <c r="AC114" s="4406">
        <f>+AC28</f>
        <v>46045</v>
      </c>
      <c r="AD114" s="7394"/>
      <c r="AE114" s="3193">
        <f>+AA114+AC114</f>
        <v>374085</v>
      </c>
      <c r="AF114" s="5253"/>
      <c r="AG114" s="4406">
        <f>+AG28</f>
        <v>64682</v>
      </c>
      <c r="AH114" s="7394"/>
      <c r="AI114" s="3193">
        <f>+AE114+AG114</f>
        <v>438767</v>
      </c>
      <c r="AJ114" s="5253"/>
      <c r="AK114" s="4406">
        <f>+AK28</f>
        <v>74264</v>
      </c>
      <c r="AL114" s="7414"/>
      <c r="AM114" s="5029">
        <f>+AK114+AG114+AC114</f>
        <v>184991</v>
      </c>
      <c r="AN114" s="7394"/>
      <c r="AO114" s="3193">
        <f>+AI114+AK114</f>
        <v>513031</v>
      </c>
      <c r="AP114" s="5253"/>
      <c r="AQ114" s="4406">
        <f>+AQ28</f>
        <v>91855</v>
      </c>
      <c r="AR114" s="7394"/>
      <c r="AS114" s="3193">
        <f>+AO114+AQ114</f>
        <v>604886</v>
      </c>
      <c r="AT114" s="5253"/>
      <c r="AU114" s="4406">
        <f>+AU28</f>
        <v>85595</v>
      </c>
      <c r="AV114" s="7394"/>
      <c r="AW114" s="3193">
        <f>+AS114+AU114</f>
        <v>690481</v>
      </c>
      <c r="AX114" s="5253"/>
      <c r="AY114" s="4406">
        <f>+AY28</f>
        <v>97310</v>
      </c>
      <c r="AZ114" s="7414"/>
      <c r="BA114" s="5029">
        <f>+AY114+AU114+AQ114</f>
        <v>274760</v>
      </c>
      <c r="BB114" s="7414"/>
      <c r="BC114" s="5029">
        <f>+BA114+AW114+AS114</f>
        <v>1570127</v>
      </c>
      <c r="BD114" s="6614"/>
      <c r="BE114" s="6615">
        <f>+BA114+AO114</f>
        <v>787791</v>
      </c>
    </row>
    <row r="115" spans="1:57" x14ac:dyDescent="0.2">
      <c r="B115" s="7909" t="s">
        <v>2487</v>
      </c>
      <c r="C115" s="7907" t="s">
        <v>169</v>
      </c>
      <c r="D115" s="3229"/>
      <c r="E115" s="2750">
        <v>25</v>
      </c>
      <c r="F115" s="7393"/>
      <c r="G115" s="2750">
        <v>25</v>
      </c>
      <c r="H115" s="7394"/>
      <c r="I115" s="3193">
        <v>25</v>
      </c>
      <c r="J115" s="5253"/>
      <c r="K115" s="2750">
        <v>25</v>
      </c>
      <c r="L115" s="7414"/>
      <c r="M115" s="5029">
        <v>25</v>
      </c>
      <c r="N115" s="5253"/>
      <c r="O115" s="4406">
        <v>25</v>
      </c>
      <c r="P115" s="7394"/>
      <c r="Q115" s="3193">
        <v>25</v>
      </c>
      <c r="R115" s="5253"/>
      <c r="S115" s="4406">
        <v>25</v>
      </c>
      <c r="T115" s="7394"/>
      <c r="U115" s="3193">
        <v>25</v>
      </c>
      <c r="V115" s="5253"/>
      <c r="W115" s="4406">
        <v>25</v>
      </c>
      <c r="X115" s="7414"/>
      <c r="Y115" s="5029">
        <v>25</v>
      </c>
      <c r="Z115" s="6614"/>
      <c r="AA115" s="6615">
        <v>25</v>
      </c>
      <c r="AB115" s="5253"/>
      <c r="AC115" s="4406">
        <v>25</v>
      </c>
      <c r="AD115" s="7394"/>
      <c r="AE115" s="3193">
        <v>25</v>
      </c>
      <c r="AF115" s="5253"/>
      <c r="AG115" s="4406">
        <v>25</v>
      </c>
      <c r="AH115" s="7394"/>
      <c r="AI115" s="3193">
        <v>25</v>
      </c>
      <c r="AJ115" s="5253"/>
      <c r="AK115" s="4406">
        <v>25</v>
      </c>
      <c r="AL115" s="7414"/>
      <c r="AM115" s="5029">
        <v>25</v>
      </c>
      <c r="AN115" s="7394"/>
      <c r="AO115" s="3193">
        <v>25</v>
      </c>
      <c r="AP115" s="5253"/>
      <c r="AQ115" s="4406">
        <v>25</v>
      </c>
      <c r="AR115" s="7394"/>
      <c r="AS115" s="3193">
        <v>25</v>
      </c>
      <c r="AT115" s="5253"/>
      <c r="AU115" s="4406">
        <v>25</v>
      </c>
      <c r="AV115" s="7394"/>
      <c r="AW115" s="3193">
        <v>25</v>
      </c>
      <c r="AX115" s="5253"/>
      <c r="AY115" s="4406">
        <v>25</v>
      </c>
      <c r="AZ115" s="7414"/>
      <c r="BA115" s="5029">
        <v>25</v>
      </c>
      <c r="BB115" s="7414"/>
      <c r="BC115" s="5029">
        <v>25</v>
      </c>
      <c r="BD115" s="6614"/>
      <c r="BE115" s="6615">
        <v>25</v>
      </c>
    </row>
    <row r="116" spans="1:57" x14ac:dyDescent="0.2">
      <c r="B116" s="7909" t="s">
        <v>2483</v>
      </c>
      <c r="C116" s="7907" t="s">
        <v>170</v>
      </c>
      <c r="D116" s="3229"/>
      <c r="E116" s="2750">
        <f>+E114/(100-E115)*E115</f>
        <v>13590</v>
      </c>
      <c r="F116" s="7393"/>
      <c r="G116" s="2750">
        <f>+G114/(100-G115)*G115</f>
        <v>15941.666666666666</v>
      </c>
      <c r="H116" s="7394"/>
      <c r="I116" s="3193">
        <f t="shared" si="461"/>
        <v>29531.666666666664</v>
      </c>
      <c r="J116" s="5253"/>
      <c r="K116" s="2750">
        <f>+K114/(100-K115)*K115</f>
        <v>16508.333333333336</v>
      </c>
      <c r="L116" s="7414"/>
      <c r="M116" s="5029">
        <f t="shared" ref="M116:M117" si="462">+I116+K116</f>
        <v>46040</v>
      </c>
      <c r="N116" s="5253"/>
      <c r="O116" s="4406">
        <f>+O114/(100-O115)*O115</f>
        <v>24122.333333333332</v>
      </c>
      <c r="P116" s="7394"/>
      <c r="Q116" s="3193">
        <f t="shared" ref="Q116:Q117" si="463">+M116+O116</f>
        <v>70162.333333333328</v>
      </c>
      <c r="R116" s="5253"/>
      <c r="S116" s="4406">
        <f>+S114/(100-S115)*S115</f>
        <v>25414.666666666668</v>
      </c>
      <c r="T116" s="7394"/>
      <c r="U116" s="3193">
        <f t="shared" ref="U116:U117" si="464">+Q116+S116</f>
        <v>95577</v>
      </c>
      <c r="V116" s="5253"/>
      <c r="W116" s="4406">
        <f>+W114/(100-W115)*W115</f>
        <v>13769.666666666666</v>
      </c>
      <c r="X116" s="7414"/>
      <c r="Y116" s="5029">
        <f t="shared" ref="Y116:Y117" si="465">+W116+S116+O116</f>
        <v>63306.666666666672</v>
      </c>
      <c r="Z116" s="6614"/>
      <c r="AA116" s="6615">
        <f t="shared" ref="AA116:AA117" si="466">+Y116+M116</f>
        <v>109346.66666666667</v>
      </c>
      <c r="AB116" s="5253"/>
      <c r="AC116" s="4406">
        <f>+AC114/(100-AC115)*AC115</f>
        <v>15348.333333333332</v>
      </c>
      <c r="AD116" s="7394"/>
      <c r="AE116" s="3193">
        <f t="shared" ref="AE116:AE117" si="467">+AA116+AC116</f>
        <v>124695</v>
      </c>
      <c r="AF116" s="5253"/>
      <c r="AG116" s="4406">
        <f>+AG114/(100-AG115)*AG115</f>
        <v>21560.666666666664</v>
      </c>
      <c r="AH116" s="7394"/>
      <c r="AI116" s="3193">
        <f t="shared" ref="AI116:AI117" si="468">+AE116+AG116</f>
        <v>146255.66666666666</v>
      </c>
      <c r="AJ116" s="5253"/>
      <c r="AK116" s="4406">
        <f>+AK114/(100-AK115)*AK115</f>
        <v>24754.666666666664</v>
      </c>
      <c r="AL116" s="7414"/>
      <c r="AM116" s="5029">
        <f t="shared" ref="AM116:AM117" si="469">+AK116+AG116+AC116</f>
        <v>61663.666666666657</v>
      </c>
      <c r="AN116" s="7394"/>
      <c r="AO116" s="3193">
        <f t="shared" ref="AO116:AO117" si="470">+AI116+AK116</f>
        <v>171010.33333333331</v>
      </c>
      <c r="AP116" s="5253"/>
      <c r="AQ116" s="4406">
        <f>+AQ114/(100-AQ115)*AQ115</f>
        <v>30618.333333333332</v>
      </c>
      <c r="AR116" s="7394"/>
      <c r="AS116" s="3193">
        <f t="shared" ref="AS116:AS117" si="471">+AO116+AQ116</f>
        <v>201628.66666666666</v>
      </c>
      <c r="AT116" s="5253"/>
      <c r="AU116" s="4406">
        <f>+AU114/(100-AU115)*AU115</f>
        <v>28531.666666666668</v>
      </c>
      <c r="AV116" s="7394"/>
      <c r="AW116" s="3193">
        <f t="shared" ref="AW116:AW117" si="472">+AS116+AU116</f>
        <v>230160.33333333331</v>
      </c>
      <c r="AX116" s="5253"/>
      <c r="AY116" s="4406">
        <f>+AY114/(100-AY115)*AY115</f>
        <v>32436.666666666668</v>
      </c>
      <c r="AZ116" s="7414"/>
      <c r="BA116" s="5029">
        <f t="shared" ref="BA116:BA117" si="473">+AY116+AU116+AQ116</f>
        <v>91586.666666666672</v>
      </c>
      <c r="BB116" s="7414"/>
      <c r="BC116" s="5029">
        <f t="shared" ref="BC116:BC117" si="474">+BA116+AW116+AS116</f>
        <v>523375.66666666663</v>
      </c>
      <c r="BD116" s="6614"/>
      <c r="BE116" s="6615">
        <f t="shared" ref="BE116:BE117" si="475">+BA116+AO116</f>
        <v>262597</v>
      </c>
    </row>
    <row r="117" spans="1:57" x14ac:dyDescent="0.2">
      <c r="B117" s="7909" t="s">
        <v>97</v>
      </c>
      <c r="C117" s="7907" t="s">
        <v>170</v>
      </c>
      <c r="D117" s="3229"/>
      <c r="E117" s="2750">
        <f>+E114+E116</f>
        <v>54360</v>
      </c>
      <c r="F117" s="7393"/>
      <c r="G117" s="2750">
        <f>+G114+G116</f>
        <v>63766.666666666664</v>
      </c>
      <c r="H117" s="7394"/>
      <c r="I117" s="3193">
        <f t="shared" si="461"/>
        <v>118126.66666666666</v>
      </c>
      <c r="J117" s="5253"/>
      <c r="K117" s="2750">
        <f>+K114+K116</f>
        <v>66033.333333333343</v>
      </c>
      <c r="L117" s="7414"/>
      <c r="M117" s="5029">
        <f t="shared" si="462"/>
        <v>184160</v>
      </c>
      <c r="N117" s="5253"/>
      <c r="O117" s="4406">
        <f>+O114+O116</f>
        <v>96489.333333333328</v>
      </c>
      <c r="P117" s="7394"/>
      <c r="Q117" s="3193">
        <f t="shared" si="463"/>
        <v>280649.33333333331</v>
      </c>
      <c r="R117" s="5253"/>
      <c r="S117" s="4406">
        <f>+S114+S116</f>
        <v>101658.66666666667</v>
      </c>
      <c r="T117" s="7394"/>
      <c r="U117" s="3193">
        <f t="shared" si="464"/>
        <v>382308</v>
      </c>
      <c r="V117" s="5253"/>
      <c r="W117" s="4406">
        <f>+W114+W116</f>
        <v>55078.666666666664</v>
      </c>
      <c r="X117" s="7414"/>
      <c r="Y117" s="5029">
        <f t="shared" si="465"/>
        <v>253226.66666666669</v>
      </c>
      <c r="Z117" s="6614"/>
      <c r="AA117" s="6615">
        <f t="shared" si="466"/>
        <v>437386.66666666669</v>
      </c>
      <c r="AB117" s="5253"/>
      <c r="AC117" s="4406">
        <f>+AC114+AC116</f>
        <v>61393.333333333328</v>
      </c>
      <c r="AD117" s="7394"/>
      <c r="AE117" s="3193">
        <f t="shared" si="467"/>
        <v>498780</v>
      </c>
      <c r="AF117" s="5253"/>
      <c r="AG117" s="4406">
        <f>+AG114+AG116</f>
        <v>86242.666666666657</v>
      </c>
      <c r="AH117" s="7394"/>
      <c r="AI117" s="3193">
        <f t="shared" si="468"/>
        <v>585022.66666666663</v>
      </c>
      <c r="AJ117" s="5253"/>
      <c r="AK117" s="4406">
        <f>+AK114+AK116</f>
        <v>99018.666666666657</v>
      </c>
      <c r="AL117" s="7414"/>
      <c r="AM117" s="5029">
        <f t="shared" si="469"/>
        <v>246654.66666666663</v>
      </c>
      <c r="AN117" s="7394"/>
      <c r="AO117" s="3193">
        <f t="shared" si="470"/>
        <v>684041.33333333326</v>
      </c>
      <c r="AP117" s="5253"/>
      <c r="AQ117" s="4406">
        <f>+AQ114+AQ116</f>
        <v>122473.33333333333</v>
      </c>
      <c r="AR117" s="7394"/>
      <c r="AS117" s="3193">
        <f t="shared" si="471"/>
        <v>806514.66666666663</v>
      </c>
      <c r="AT117" s="5253"/>
      <c r="AU117" s="4406">
        <f>+AU114+AU116</f>
        <v>114126.66666666667</v>
      </c>
      <c r="AV117" s="7394"/>
      <c r="AW117" s="3193">
        <f t="shared" si="472"/>
        <v>920641.33333333326</v>
      </c>
      <c r="AX117" s="5253"/>
      <c r="AY117" s="4406">
        <f>+AY114+AY116</f>
        <v>129746.66666666667</v>
      </c>
      <c r="AZ117" s="7414"/>
      <c r="BA117" s="5029">
        <f t="shared" si="473"/>
        <v>366346.66666666669</v>
      </c>
      <c r="BB117" s="7414"/>
      <c r="BC117" s="5029">
        <f t="shared" si="474"/>
        <v>2093502.6666666665</v>
      </c>
      <c r="BD117" s="6614"/>
      <c r="BE117" s="6615">
        <f t="shared" si="475"/>
        <v>1050388</v>
      </c>
    </row>
    <row r="118" spans="1:57" s="7897" customFormat="1" x14ac:dyDescent="0.2">
      <c r="A118" s="3378"/>
      <c r="B118" s="7909" t="s">
        <v>698</v>
      </c>
      <c r="C118" s="7907" t="s">
        <v>169</v>
      </c>
      <c r="D118" s="3229"/>
      <c r="E118" s="2723">
        <f>+((E113-E114)/E113)*100</f>
        <v>4</v>
      </c>
      <c r="F118" s="5239"/>
      <c r="G118" s="2723">
        <f t="shared" ref="G118:AO118" si="476">+((G113-G114)/G113)*100</f>
        <v>4.0005620458468822</v>
      </c>
      <c r="H118" s="3194"/>
      <c r="I118" s="5307">
        <f t="shared" si="476"/>
        <v>4.0003034021676998</v>
      </c>
      <c r="J118" s="5239"/>
      <c r="K118" s="2723">
        <f t="shared" si="476"/>
        <v>3.9994642191198757</v>
      </c>
      <c r="L118" s="7973"/>
      <c r="M118" s="5709">
        <f t="shared" si="476"/>
        <v>4.0000025021719807</v>
      </c>
      <c r="N118" s="5239"/>
      <c r="O118" s="4146">
        <f t="shared" si="476"/>
        <v>4.0009020601461867</v>
      </c>
      <c r="P118" s="3194"/>
      <c r="Q118" s="5307">
        <f t="shared" si="476"/>
        <v>4.000311778812331</v>
      </c>
      <c r="R118" s="5239"/>
      <c r="S118" s="4146">
        <f t="shared" si="476"/>
        <v>4.0002014580526559</v>
      </c>
      <c r="T118" s="3194"/>
      <c r="U118" s="5307">
        <f t="shared" si="476"/>
        <v>4.000282443690196</v>
      </c>
      <c r="V118" s="5239"/>
      <c r="W118" s="4146">
        <f t="shared" si="476"/>
        <v>0.99937688731246699</v>
      </c>
      <c r="X118" s="7973"/>
      <c r="Y118" s="5709">
        <f t="shared" si="476"/>
        <v>3.3633541952882511</v>
      </c>
      <c r="Z118" s="6616"/>
      <c r="AA118" s="6617">
        <f t="shared" si="476"/>
        <v>3.6324388930196601</v>
      </c>
      <c r="AB118" s="5239"/>
      <c r="AC118" s="4146">
        <f t="shared" si="476"/>
        <v>4.0009173546826791</v>
      </c>
      <c r="AD118" s="3194"/>
      <c r="AE118" s="5307">
        <f t="shared" si="476"/>
        <v>3.6779463891497626</v>
      </c>
      <c r="AF118" s="5239"/>
      <c r="AG118" s="4146">
        <f t="shared" si="476"/>
        <v>3.9998812651201447</v>
      </c>
      <c r="AH118" s="3194"/>
      <c r="AI118" s="5307">
        <f t="shared" si="476"/>
        <v>3.7255408956507017</v>
      </c>
      <c r="AJ118" s="5239"/>
      <c r="AK118" s="4146">
        <f t="shared" si="476"/>
        <v>3.9995863388401975</v>
      </c>
      <c r="AL118" s="7973"/>
      <c r="AM118" s="5709">
        <f t="shared" si="476"/>
        <v>4.0000207577621056</v>
      </c>
      <c r="AN118" s="3194"/>
      <c r="AO118" s="5307">
        <f t="shared" si="476"/>
        <v>3.7653072587714611</v>
      </c>
      <c r="AP118" s="5239"/>
      <c r="AQ118" s="4146">
        <f t="shared" ref="AQ118" si="477">+((AQ113-AQ114)/AQ113)*100</f>
        <v>3.9997073639765053</v>
      </c>
      <c r="AR118" s="3194"/>
      <c r="AS118" s="5307">
        <f t="shared" ref="AS118" si="478">+((AS113-AS114)/AS113)*100</f>
        <v>3.8009757862712337</v>
      </c>
      <c r="AT118" s="5239"/>
      <c r="AU118" s="4146">
        <f t="shared" ref="AU118" si="479">+((AU113-AU114)/AU113)*100</f>
        <v>3.9995065106941374</v>
      </c>
      <c r="AV118" s="3194"/>
      <c r="AW118" s="5307">
        <f t="shared" ref="AW118" si="480">+((AW113-AW114)/AW113)*100</f>
        <v>3.8256310850994386</v>
      </c>
      <c r="AX118" s="5239"/>
      <c r="AY118" s="4146">
        <f t="shared" ref="AY118" si="481">+((AY113-AY114)/AY113)*100</f>
        <v>-9.1396462578930251</v>
      </c>
      <c r="AZ118" s="7973"/>
      <c r="BA118" s="5709">
        <f t="shared" ref="BA118" si="482">+((BA113-BA114)/BA113)*100</f>
        <v>-0.27590838089954889</v>
      </c>
      <c r="BB118" s="7973"/>
      <c r="BC118" s="5709">
        <f t="shared" ref="BC118" si="483">+((BC113-BC114)/BC113)*100</f>
        <v>3.122653907808671</v>
      </c>
      <c r="BD118" s="6616"/>
      <c r="BE118" s="6617">
        <f t="shared" ref="BE118" si="484">+((BE113-BE114)/BE113)*100</f>
        <v>2.3933604499334677</v>
      </c>
    </row>
    <row r="119" spans="1:57" x14ac:dyDescent="0.2">
      <c r="B119" s="7909" t="s">
        <v>698</v>
      </c>
      <c r="C119" s="7907" t="s">
        <v>170</v>
      </c>
      <c r="D119" s="3229"/>
      <c r="E119" s="2750">
        <f>+(E117*E118)/(100-E118)</f>
        <v>2265</v>
      </c>
      <c r="F119" s="7393"/>
      <c r="G119" s="2750">
        <f>+(G117*G118)/(100-G118)</f>
        <v>2657.333333333333</v>
      </c>
      <c r="H119" s="7394"/>
      <c r="I119" s="3193">
        <f t="shared" si="461"/>
        <v>4922.333333333333</v>
      </c>
      <c r="J119" s="5253"/>
      <c r="K119" s="2750">
        <f>+(K117*K118)/(100-K118)</f>
        <v>2751.0050000000247</v>
      </c>
      <c r="L119" s="7414"/>
      <c r="M119" s="5029">
        <f>+I119+K119</f>
        <v>7673.3383333333577</v>
      </c>
      <c r="N119" s="5253"/>
      <c r="O119" s="4406">
        <f>+(O117*O118)/(100-O118)</f>
        <v>4021.333333333333</v>
      </c>
      <c r="P119" s="7394"/>
      <c r="Q119" s="3193">
        <f>+M119+O119</f>
        <v>11694.671666666691</v>
      </c>
      <c r="R119" s="5253"/>
      <c r="S119" s="4406">
        <f>+(S117*S118)/(100-S118)</f>
        <v>4236</v>
      </c>
      <c r="T119" s="7394"/>
      <c r="U119" s="3193">
        <f>+Q119+S119</f>
        <v>15930.671666666691</v>
      </c>
      <c r="V119" s="5253"/>
      <c r="W119" s="4406">
        <f>+(W117*W118)/(100-W118)</f>
        <v>556</v>
      </c>
      <c r="X119" s="7414"/>
      <c r="Y119" s="5029">
        <f>+W119+S119+O119</f>
        <v>8813.3333333333321</v>
      </c>
      <c r="Z119" s="6614"/>
      <c r="AA119" s="6615">
        <f>+Y119+M119</f>
        <v>16486.671666666691</v>
      </c>
      <c r="AB119" s="5253"/>
      <c r="AC119" s="4406">
        <f>+(AC117*AC118)/(100-AC118)</f>
        <v>2558.666666666667</v>
      </c>
      <c r="AD119" s="7394"/>
      <c r="AE119" s="3193">
        <f>+AA119+AC119</f>
        <v>19045.338333333359</v>
      </c>
      <c r="AF119" s="5253"/>
      <c r="AG119" s="4406">
        <f>+(AG117*AG118)/(100-AG118)</f>
        <v>3593.3333333333326</v>
      </c>
      <c r="AH119" s="7394"/>
      <c r="AI119" s="3193">
        <f>+AE119+AG119</f>
        <v>22638.671666666691</v>
      </c>
      <c r="AJ119" s="5253"/>
      <c r="AK119" s="4406">
        <f>+(AK117*AK118)/(100-AK118)</f>
        <v>4125.333333333333</v>
      </c>
      <c r="AL119" s="7414"/>
      <c r="AM119" s="5029">
        <f>+AK119+AG119+AC119</f>
        <v>10277.333333333332</v>
      </c>
      <c r="AN119" s="7394"/>
      <c r="AO119" s="3193">
        <f>+AI119+AK119</f>
        <v>26764.005000000023</v>
      </c>
      <c r="AP119" s="5253"/>
      <c r="AQ119" s="4406">
        <f>+(AQ117*AQ118)/(100-AQ118)</f>
        <v>5102.666666666667</v>
      </c>
      <c r="AR119" s="7394"/>
      <c r="AS119" s="3193">
        <f>+AO119+AQ119</f>
        <v>31866.671666666691</v>
      </c>
      <c r="AT119" s="5253"/>
      <c r="AU119" s="4406">
        <f>+(AU117*AU118)/(100-AU118)</f>
        <v>4754.6666666666661</v>
      </c>
      <c r="AV119" s="7394"/>
      <c r="AW119" s="3193">
        <f>+AS119+AU119</f>
        <v>36621.338333333355</v>
      </c>
      <c r="AX119" s="5253"/>
      <c r="AY119" s="4406">
        <f>+(AY117*AY118)/(100-AY118)</f>
        <v>-10865.333333333334</v>
      </c>
      <c r="AZ119" s="7414"/>
      <c r="BA119" s="5029">
        <f>+AY119+AU119+AQ119</f>
        <v>-1008.0000000000009</v>
      </c>
      <c r="BB119" s="7414"/>
      <c r="BC119" s="5029">
        <f>+BA119+AW119+AS119</f>
        <v>67480.010000000038</v>
      </c>
      <c r="BD119" s="6614"/>
      <c r="BE119" s="6615">
        <f>+BA119+AO119</f>
        <v>25756.005000000023</v>
      </c>
    </row>
    <row r="120" spans="1:57" x14ac:dyDescent="0.2">
      <c r="B120" s="7909" t="s">
        <v>2240</v>
      </c>
      <c r="C120" s="7907" t="s">
        <v>169</v>
      </c>
      <c r="D120" s="3229"/>
      <c r="E120" s="2723">
        <v>2.5</v>
      </c>
      <c r="F120" s="5239"/>
      <c r="G120" s="2723">
        <v>2.5</v>
      </c>
      <c r="H120" s="3194"/>
      <c r="I120" s="5307">
        <v>2.5</v>
      </c>
      <c r="J120" s="5239"/>
      <c r="K120" s="2723">
        <v>2.5</v>
      </c>
      <c r="L120" s="7973"/>
      <c r="M120" s="5709">
        <v>2.5</v>
      </c>
      <c r="N120" s="5239"/>
      <c r="O120" s="4146">
        <v>2.5</v>
      </c>
      <c r="P120" s="3194"/>
      <c r="Q120" s="5307">
        <v>2.5</v>
      </c>
      <c r="R120" s="5239"/>
      <c r="S120" s="4146">
        <v>2.5</v>
      </c>
      <c r="T120" s="3194"/>
      <c r="U120" s="5307">
        <v>2.5</v>
      </c>
      <c r="V120" s="5239"/>
      <c r="W120" s="4146">
        <v>2.5</v>
      </c>
      <c r="X120" s="7973"/>
      <c r="Y120" s="5709">
        <v>2.5</v>
      </c>
      <c r="Z120" s="6616"/>
      <c r="AA120" s="6617">
        <v>2.5</v>
      </c>
      <c r="AB120" s="5239"/>
      <c r="AC120" s="4146">
        <v>2.5</v>
      </c>
      <c r="AD120" s="3194"/>
      <c r="AE120" s="5307">
        <v>2.5</v>
      </c>
      <c r="AF120" s="5239"/>
      <c r="AG120" s="4146">
        <v>2.5</v>
      </c>
      <c r="AH120" s="3194"/>
      <c r="AI120" s="5307">
        <v>2.5</v>
      </c>
      <c r="AJ120" s="5239"/>
      <c r="AK120" s="4146">
        <v>2.5</v>
      </c>
      <c r="AL120" s="7973"/>
      <c r="AM120" s="5709">
        <v>2.5</v>
      </c>
      <c r="AN120" s="3194"/>
      <c r="AO120" s="5307">
        <v>2.5</v>
      </c>
      <c r="AP120" s="5239"/>
      <c r="AQ120" s="4146">
        <v>2.5</v>
      </c>
      <c r="AR120" s="3194"/>
      <c r="AS120" s="5307">
        <v>2.5</v>
      </c>
      <c r="AT120" s="5239"/>
      <c r="AU120" s="4146">
        <v>2.5</v>
      </c>
      <c r="AV120" s="3194"/>
      <c r="AW120" s="5307">
        <v>2.5</v>
      </c>
      <c r="AX120" s="5239"/>
      <c r="AY120" s="4146">
        <v>2.5</v>
      </c>
      <c r="AZ120" s="7973"/>
      <c r="BA120" s="5709">
        <v>2.5</v>
      </c>
      <c r="BB120" s="7973"/>
      <c r="BC120" s="5709">
        <v>2.5</v>
      </c>
      <c r="BD120" s="6616"/>
      <c r="BE120" s="6617">
        <v>2.5</v>
      </c>
    </row>
    <row r="121" spans="1:57" s="7897" customFormat="1" x14ac:dyDescent="0.2">
      <c r="A121" s="3378"/>
      <c r="B121" s="7909" t="s">
        <v>2240</v>
      </c>
      <c r="C121" s="7907" t="s">
        <v>170</v>
      </c>
      <c r="D121" s="3229"/>
      <c r="E121" s="2750">
        <f>+((E114+E116)*E120)/(100-E120)</f>
        <v>1393.8461538461538</v>
      </c>
      <c r="F121" s="7393"/>
      <c r="G121" s="2750">
        <f>+((G114+G116)*G120)/(100-G120)</f>
        <v>1635.0427350427349</v>
      </c>
      <c r="H121" s="7394"/>
      <c r="I121" s="3193">
        <f t="shared" si="461"/>
        <v>3028.8888888888887</v>
      </c>
      <c r="J121" s="5253"/>
      <c r="K121" s="2750">
        <f>+((K114+K116)*K120)/(100-K120)</f>
        <v>1693.1623931623935</v>
      </c>
      <c r="L121" s="7414"/>
      <c r="M121" s="5029">
        <f t="shared" ref="M121:M123" si="485">+I121+K121</f>
        <v>4722.0512820512822</v>
      </c>
      <c r="N121" s="5253"/>
      <c r="O121" s="4406">
        <f>+((O114+O116)*O120)/(100-O120)</f>
        <v>2474.0854700854698</v>
      </c>
      <c r="P121" s="7394"/>
      <c r="Q121" s="3193">
        <f t="shared" ref="Q121:Q123" si="486">+M121+O121</f>
        <v>7196.136752136752</v>
      </c>
      <c r="R121" s="5253"/>
      <c r="S121" s="4406">
        <f>+((S114+S116)*S120)/(100-S120)</f>
        <v>2606.632478632479</v>
      </c>
      <c r="T121" s="7394"/>
      <c r="U121" s="3193">
        <f t="shared" ref="U121:U123" si="487">+Q121+S121</f>
        <v>9802.7692307692305</v>
      </c>
      <c r="V121" s="5253"/>
      <c r="W121" s="4406">
        <f>+((W114+W116)*W120)/(100-W120)</f>
        <v>1412.2735042735042</v>
      </c>
      <c r="X121" s="7414"/>
      <c r="Y121" s="5029">
        <f t="shared" ref="Y121:Y123" si="488">+W121+S121+O121</f>
        <v>6492.9914529914531</v>
      </c>
      <c r="Z121" s="6614"/>
      <c r="AA121" s="6615">
        <f t="shared" ref="AA121:AA123" si="489">+Y121+M121</f>
        <v>11215.042735042734</v>
      </c>
      <c r="AB121" s="5253"/>
      <c r="AC121" s="4406">
        <f>+((AC114+AC116)*AC120)/(100-AC120)</f>
        <v>1574.188034188034</v>
      </c>
      <c r="AD121" s="7394"/>
      <c r="AE121" s="3193">
        <f t="shared" ref="AE121:AE123" si="490">+AA121+AC121</f>
        <v>12789.230769230768</v>
      </c>
      <c r="AF121" s="5253"/>
      <c r="AG121" s="4406">
        <f>+((AG114+AG116)*AG120)/(100-AG120)</f>
        <v>2211.3504273504268</v>
      </c>
      <c r="AH121" s="7394"/>
      <c r="AI121" s="3193">
        <f t="shared" ref="AI121:AI123" si="491">+AE121+AG121</f>
        <v>15000.581196581195</v>
      </c>
      <c r="AJ121" s="5253"/>
      <c r="AK121" s="4406">
        <f>+((AK114+AK116)*AK120)/(100-AK120)</f>
        <v>2538.9401709401704</v>
      </c>
      <c r="AL121" s="7414"/>
      <c r="AM121" s="5029">
        <f t="shared" ref="AM121:AM123" si="492">+AK121+AG121+AC121</f>
        <v>6324.4786324786319</v>
      </c>
      <c r="AN121" s="7394"/>
      <c r="AO121" s="3193">
        <f t="shared" ref="AO121:AO123" si="493">+AI121+AK121</f>
        <v>17539.521367521367</v>
      </c>
      <c r="AP121" s="5253"/>
      <c r="AQ121" s="4406">
        <f>+((AQ114+AQ116)*AQ120)/(100-AQ120)</f>
        <v>3140.3418803418804</v>
      </c>
      <c r="AR121" s="7394"/>
      <c r="AS121" s="3193">
        <f t="shared" ref="AS121:AS123" si="494">+AO121+AQ121</f>
        <v>20679.863247863246</v>
      </c>
      <c r="AT121" s="5253"/>
      <c r="AU121" s="4406">
        <f>+((AU114+AU116)*AU120)/(100-AU120)</f>
        <v>2926.3247863247866</v>
      </c>
      <c r="AV121" s="7394"/>
      <c r="AW121" s="3193">
        <f t="shared" ref="AW121:AW123" si="495">+AS121+AU121</f>
        <v>23606.188034188031</v>
      </c>
      <c r="AX121" s="5253"/>
      <c r="AY121" s="4406">
        <f>+((AY114+AY116)*AY120)/(100-AY120)</f>
        <v>3326.8376068376069</v>
      </c>
      <c r="AZ121" s="7414"/>
      <c r="BA121" s="5029">
        <f t="shared" ref="BA121:BA123" si="496">+AY121+AU121+AQ121</f>
        <v>9393.5042735042734</v>
      </c>
      <c r="BB121" s="7414"/>
      <c r="BC121" s="5029">
        <f t="shared" ref="BC121:BC123" si="497">+BA121+AW121+AS121</f>
        <v>53679.555555555547</v>
      </c>
      <c r="BD121" s="6614"/>
      <c r="BE121" s="6615">
        <f t="shared" ref="BE121:BE123" si="498">+BA121+AO121</f>
        <v>26933.025641025641</v>
      </c>
    </row>
    <row r="122" spans="1:57" x14ac:dyDescent="0.2">
      <c r="B122" s="7909" t="s">
        <v>2472</v>
      </c>
      <c r="C122" s="7907" t="s">
        <v>170</v>
      </c>
      <c r="D122" s="3229"/>
      <c r="E122" s="2750">
        <f>+(E121*E118)/(100-E118)</f>
        <v>58.076923076923073</v>
      </c>
      <c r="F122" s="7393"/>
      <c r="G122" s="2750">
        <f>+(G121*G118)/(100-G118)</f>
        <v>68.136752136752108</v>
      </c>
      <c r="H122" s="7394"/>
      <c r="I122" s="3193">
        <f t="shared" si="461"/>
        <v>126.21367521367517</v>
      </c>
      <c r="J122" s="5253"/>
      <c r="K122" s="2750">
        <f>+(K121*K118)/(100-K118)</f>
        <v>70.538589743590379</v>
      </c>
      <c r="L122" s="7414"/>
      <c r="M122" s="5029">
        <f t="shared" si="485"/>
        <v>196.75226495726554</v>
      </c>
      <c r="N122" s="5253"/>
      <c r="O122" s="4406">
        <f>+(O121*O118)/(100-O118)</f>
        <v>103.11111111111109</v>
      </c>
      <c r="P122" s="7394"/>
      <c r="Q122" s="3193">
        <f t="shared" si="486"/>
        <v>299.86337606837662</v>
      </c>
      <c r="R122" s="5253"/>
      <c r="S122" s="4406">
        <f>+(S121*S118)/(100-S118)</f>
        <v>108.61538461538463</v>
      </c>
      <c r="T122" s="7394"/>
      <c r="U122" s="3193">
        <f t="shared" si="487"/>
        <v>408.47876068376127</v>
      </c>
      <c r="V122" s="5253"/>
      <c r="W122" s="4406">
        <f>+(W121*W118)/(100-W118)</f>
        <v>14.256410256410255</v>
      </c>
      <c r="X122" s="7414"/>
      <c r="Y122" s="5029">
        <f t="shared" si="488"/>
        <v>225.98290598290598</v>
      </c>
      <c r="Z122" s="6614"/>
      <c r="AA122" s="6615">
        <f t="shared" si="489"/>
        <v>422.73517094017154</v>
      </c>
      <c r="AB122" s="5253"/>
      <c r="AC122" s="4406">
        <f>+(AC121*AC118)/(100-AC118)</f>
        <v>65.606837606837601</v>
      </c>
      <c r="AD122" s="7394"/>
      <c r="AE122" s="3193">
        <f t="shared" si="490"/>
        <v>488.34200854700913</v>
      </c>
      <c r="AF122" s="5253"/>
      <c r="AG122" s="4406">
        <f>+(AG121*AG118)/(100-AG118)</f>
        <v>92.136752136752108</v>
      </c>
      <c r="AH122" s="7394"/>
      <c r="AI122" s="3193">
        <f t="shared" si="491"/>
        <v>580.47876068376127</v>
      </c>
      <c r="AJ122" s="5253"/>
      <c r="AK122" s="4406">
        <f>+(AK121*AK118)/(100-AK118)</f>
        <v>105.77777777777776</v>
      </c>
      <c r="AL122" s="7414"/>
      <c r="AM122" s="5029">
        <f t="shared" si="492"/>
        <v>263.52136752136744</v>
      </c>
      <c r="AN122" s="7394"/>
      <c r="AO122" s="3193">
        <f t="shared" si="493"/>
        <v>686.25653846153898</v>
      </c>
      <c r="AP122" s="5253"/>
      <c r="AQ122" s="4406">
        <f>+(AQ121*AQ118)/(100-AQ118)</f>
        <v>130.83760683760684</v>
      </c>
      <c r="AR122" s="7394"/>
      <c r="AS122" s="3193">
        <f t="shared" si="494"/>
        <v>817.09414529914579</v>
      </c>
      <c r="AT122" s="5253"/>
      <c r="AU122" s="4406">
        <f>+(AU121*AU118)/(100-AU118)</f>
        <v>121.91452991452992</v>
      </c>
      <c r="AV122" s="7394"/>
      <c r="AW122" s="3193">
        <f t="shared" si="495"/>
        <v>939.0086752136757</v>
      </c>
      <c r="AX122" s="5253"/>
      <c r="AY122" s="4406">
        <f>+(AY121*AY118)/(100-AY118)</f>
        <v>-278.59829059829059</v>
      </c>
      <c r="AZ122" s="7414"/>
      <c r="BA122" s="5029">
        <f t="shared" si="496"/>
        <v>-25.84615384615384</v>
      </c>
      <c r="BB122" s="7414"/>
      <c r="BC122" s="5029">
        <f t="shared" si="497"/>
        <v>1730.2566666666676</v>
      </c>
      <c r="BD122" s="6614"/>
      <c r="BE122" s="6615">
        <f t="shared" si="498"/>
        <v>660.41038461538517</v>
      </c>
    </row>
    <row r="123" spans="1:57" x14ac:dyDescent="0.2">
      <c r="B123" s="7909" t="s">
        <v>1080</v>
      </c>
      <c r="C123" s="7907" t="s">
        <v>170</v>
      </c>
      <c r="D123" s="3229"/>
      <c r="E123" s="2750">
        <f>+E117+E119+E121+E122</f>
        <v>58076.923076923078</v>
      </c>
      <c r="F123" s="7393"/>
      <c r="G123" s="2750">
        <f>+G117+G119+G121+G122</f>
        <v>68127.179487179485</v>
      </c>
      <c r="H123" s="7394"/>
      <c r="I123" s="3193">
        <f t="shared" si="461"/>
        <v>126204.10256410256</v>
      </c>
      <c r="J123" s="5253"/>
      <c r="K123" s="2750">
        <f>+K117+K119+K121+K122</f>
        <v>70548.039316239345</v>
      </c>
      <c r="L123" s="7414"/>
      <c r="M123" s="5029">
        <f t="shared" si="485"/>
        <v>196752.14188034192</v>
      </c>
      <c r="N123" s="5253"/>
      <c r="O123" s="4406">
        <f>+O117+O119+O121+O122</f>
        <v>103087.86324786324</v>
      </c>
      <c r="P123" s="7394"/>
      <c r="Q123" s="3193">
        <f t="shared" si="486"/>
        <v>299840.00512820517</v>
      </c>
      <c r="R123" s="5253"/>
      <c r="S123" s="4406">
        <f>+S117+S119+S121+S122</f>
        <v>108609.91452991455</v>
      </c>
      <c r="T123" s="7394"/>
      <c r="U123" s="3193">
        <f t="shared" si="487"/>
        <v>408449.91965811973</v>
      </c>
      <c r="V123" s="5253"/>
      <c r="W123" s="4406">
        <f>+W117+W119+W121+W122</f>
        <v>57061.196581196586</v>
      </c>
      <c r="X123" s="7414"/>
      <c r="Y123" s="5029">
        <f t="shared" si="488"/>
        <v>268758.97435897437</v>
      </c>
      <c r="Z123" s="6614"/>
      <c r="AA123" s="6615">
        <f t="shared" si="489"/>
        <v>465511.1162393163</v>
      </c>
      <c r="AB123" s="5253"/>
      <c r="AC123" s="4406">
        <f>+AC117+AC119+AC121+AC122</f>
        <v>65591.79487179486</v>
      </c>
      <c r="AD123" s="7394"/>
      <c r="AE123" s="3193">
        <f t="shared" si="490"/>
        <v>531102.91111111117</v>
      </c>
      <c r="AF123" s="5253"/>
      <c r="AG123" s="4406">
        <f>+AG117+AG119+AG121+AG122</f>
        <v>92139.487179487158</v>
      </c>
      <c r="AH123" s="7394"/>
      <c r="AI123" s="3193">
        <f t="shared" si="491"/>
        <v>623242.3982905983</v>
      </c>
      <c r="AJ123" s="5253"/>
      <c r="AK123" s="4406">
        <f>+AK117+AK119+AK121+AK122</f>
        <v>105788.71794871794</v>
      </c>
      <c r="AL123" s="7414"/>
      <c r="AM123" s="5029">
        <f t="shared" si="492"/>
        <v>263519.99999999994</v>
      </c>
      <c r="AN123" s="7394"/>
      <c r="AO123" s="3193">
        <f t="shared" si="493"/>
        <v>729031.1162393163</v>
      </c>
      <c r="AP123" s="5253"/>
      <c r="AQ123" s="4406">
        <f>+AQ117+AQ119+AQ121+AQ122</f>
        <v>130847.17948717948</v>
      </c>
      <c r="AR123" s="7394"/>
      <c r="AS123" s="3193">
        <f t="shared" si="494"/>
        <v>859878.29572649579</v>
      </c>
      <c r="AT123" s="5253"/>
      <c r="AU123" s="4406">
        <f>+AU117+AU119+AU121+AU122</f>
        <v>121929.57264957266</v>
      </c>
      <c r="AV123" s="7394"/>
      <c r="AW123" s="3193">
        <f t="shared" si="495"/>
        <v>981807.86837606842</v>
      </c>
      <c r="AX123" s="5253"/>
      <c r="AY123" s="4406">
        <f>+AY117+AY119+AY121+AY122</f>
        <v>121929.57264957266</v>
      </c>
      <c r="AZ123" s="7414"/>
      <c r="BA123" s="5029">
        <f t="shared" si="496"/>
        <v>374706.32478632481</v>
      </c>
      <c r="BB123" s="7414"/>
      <c r="BC123" s="5029">
        <f t="shared" si="497"/>
        <v>2216392.4888888891</v>
      </c>
      <c r="BD123" s="6614"/>
      <c r="BE123" s="6615">
        <f t="shared" si="498"/>
        <v>1103737.441025641</v>
      </c>
    </row>
    <row r="124" spans="1:57" x14ac:dyDescent="0.2">
      <c r="D124" s="7897"/>
      <c r="E124" s="7897"/>
      <c r="F124" s="7897"/>
      <c r="G124" s="7897"/>
      <c r="H124" s="7897"/>
      <c r="I124" s="7897"/>
      <c r="J124" s="7897"/>
      <c r="K124" s="7897"/>
      <c r="L124" s="7897"/>
      <c r="M124" s="7897"/>
      <c r="N124" s="7897"/>
      <c r="O124" s="7897"/>
      <c r="P124" s="7897"/>
      <c r="Q124" s="7897"/>
      <c r="R124" s="7897"/>
      <c r="S124" s="7897"/>
      <c r="T124" s="7897"/>
      <c r="U124" s="7897"/>
      <c r="V124" s="7897"/>
      <c r="W124" s="7897"/>
      <c r="X124" s="7897"/>
      <c r="Y124" s="7897"/>
      <c r="Z124" s="7897"/>
      <c r="AA124" s="7897"/>
      <c r="AB124" s="7897"/>
      <c r="AC124" s="7897"/>
      <c r="AD124" s="7897"/>
      <c r="AE124" s="7897"/>
      <c r="AF124" s="7897"/>
      <c r="AG124" s="7897"/>
      <c r="AH124" s="7897"/>
      <c r="AI124" s="7897"/>
      <c r="AJ124" s="7897"/>
      <c r="AK124" s="7897"/>
      <c r="AL124" s="7897"/>
      <c r="AM124" s="7897"/>
      <c r="AN124" s="7897"/>
      <c r="AO124" s="7897"/>
      <c r="AP124" s="8011"/>
      <c r="AQ124" s="8011"/>
      <c r="AR124" s="8011"/>
      <c r="AS124" s="8011"/>
      <c r="AT124" s="7897"/>
      <c r="AU124" s="7897"/>
      <c r="AV124" s="7897"/>
      <c r="AW124" s="7897"/>
    </row>
    <row r="125" spans="1:57" x14ac:dyDescent="0.2">
      <c r="B125" s="5215" t="s">
        <v>102</v>
      </c>
      <c r="D125" s="7897"/>
      <c r="E125" s="7897"/>
      <c r="F125" s="7897"/>
      <c r="G125" s="7897"/>
      <c r="H125" s="7897"/>
      <c r="I125" s="7897"/>
      <c r="J125" s="7897"/>
      <c r="K125" s="7897"/>
      <c r="L125" s="7897"/>
      <c r="M125" s="7897"/>
      <c r="N125" s="7897"/>
      <c r="O125" s="7897"/>
      <c r="P125" s="7897"/>
      <c r="Q125" s="7897"/>
      <c r="R125" s="7897"/>
      <c r="S125" s="7897"/>
      <c r="T125" s="7897"/>
      <c r="U125" s="7897"/>
      <c r="V125" s="7897"/>
      <c r="W125" s="7897"/>
      <c r="X125" s="7897"/>
      <c r="Y125" s="7897"/>
      <c r="Z125" s="7897"/>
      <c r="AA125" s="7897"/>
      <c r="AB125" s="7897"/>
      <c r="AC125" s="7897"/>
      <c r="AD125" s="7897"/>
      <c r="AE125" s="7897"/>
      <c r="AF125" s="7897"/>
      <c r="AG125" s="7897"/>
      <c r="AH125" s="7897"/>
      <c r="AI125" s="7897"/>
      <c r="AJ125" s="7897"/>
      <c r="AK125" s="7897"/>
      <c r="AL125" s="7897"/>
      <c r="AM125" s="7897"/>
      <c r="AN125" s="7897"/>
      <c r="AO125" s="7897"/>
      <c r="AP125" s="8011"/>
      <c r="AQ125" s="8011"/>
      <c r="AR125" s="8011"/>
      <c r="AS125" s="8011"/>
      <c r="AT125" s="7897"/>
      <c r="AU125" s="7897"/>
      <c r="AV125" s="7897"/>
      <c r="AW125" s="7897"/>
    </row>
    <row r="126" spans="1:57" x14ac:dyDescent="0.2">
      <c r="B126" s="5498" t="s">
        <v>2484</v>
      </c>
      <c r="D126" s="7897"/>
      <c r="E126" s="7897">
        <v>63441.404845360819</v>
      </c>
      <c r="F126" s="7897"/>
      <c r="G126" s="7897">
        <v>67565</v>
      </c>
      <c r="H126" s="7897"/>
      <c r="I126" s="7897"/>
      <c r="J126" s="7897"/>
      <c r="K126" s="7897">
        <v>72516.547258112259</v>
      </c>
      <c r="L126" s="7897"/>
      <c r="M126" s="7897"/>
      <c r="N126" s="7897"/>
      <c r="O126" s="7897">
        <v>83795</v>
      </c>
      <c r="P126" s="7897"/>
      <c r="Q126" s="7897"/>
      <c r="R126" s="7897"/>
      <c r="S126" s="7897">
        <v>82347</v>
      </c>
      <c r="T126" s="7897"/>
      <c r="U126" s="7897"/>
      <c r="V126" s="7897"/>
      <c r="W126" s="7897">
        <v>54540</v>
      </c>
      <c r="X126" s="7897"/>
      <c r="Y126" s="7897"/>
      <c r="Z126" s="7897"/>
      <c r="AA126" s="7897"/>
      <c r="AB126" s="7897"/>
      <c r="AC126" s="7897">
        <v>75509</v>
      </c>
      <c r="AD126" s="7897"/>
      <c r="AE126" s="7897"/>
      <c r="AF126" s="7897"/>
      <c r="AG126" s="7897">
        <v>72494</v>
      </c>
      <c r="AH126" s="7897"/>
      <c r="AI126" s="7897"/>
      <c r="AJ126" s="7897"/>
      <c r="AK126" s="7897">
        <v>81926</v>
      </c>
      <c r="AL126" s="7897"/>
      <c r="AM126" s="7897"/>
      <c r="AN126" s="7897"/>
      <c r="AO126" s="7897"/>
      <c r="AP126" s="8011"/>
      <c r="AQ126" s="8011">
        <v>87303</v>
      </c>
      <c r="AR126" s="8011"/>
      <c r="AS126" s="8011"/>
      <c r="AT126" s="7897"/>
      <c r="AU126" s="7897"/>
      <c r="AV126" s="7897"/>
      <c r="AW126" s="7897"/>
    </row>
    <row r="127" spans="1:57" x14ac:dyDescent="0.2">
      <c r="D127" s="7897"/>
      <c r="E127" s="7897"/>
      <c r="F127" s="7897"/>
      <c r="G127" s="7897"/>
      <c r="H127" s="7897"/>
      <c r="I127" s="7897"/>
      <c r="J127" s="7897"/>
      <c r="K127" s="7897"/>
      <c r="L127" s="7897"/>
      <c r="M127" s="7897"/>
      <c r="N127" s="7897"/>
      <c r="O127" s="7897"/>
      <c r="P127" s="7897"/>
      <c r="Q127" s="7897"/>
      <c r="R127" s="7897"/>
      <c r="S127" s="7897"/>
      <c r="T127" s="7897"/>
      <c r="U127" s="7897"/>
      <c r="V127" s="7897"/>
      <c r="W127" s="7897"/>
      <c r="X127" s="7897"/>
      <c r="Y127" s="7897"/>
      <c r="Z127" s="7897"/>
      <c r="AA127" s="7897"/>
      <c r="AB127" s="7897"/>
      <c r="AC127" s="7897"/>
      <c r="AD127" s="7897"/>
      <c r="AE127" s="7897"/>
      <c r="AF127" s="7897"/>
      <c r="AG127" s="7897"/>
      <c r="AH127" s="7897"/>
      <c r="AI127" s="7897"/>
      <c r="AJ127" s="7897"/>
      <c r="AK127" s="7897"/>
      <c r="AL127" s="7897"/>
      <c r="AM127" s="7897"/>
      <c r="AN127" s="7897"/>
      <c r="AO127" s="7897"/>
      <c r="AP127" s="8011"/>
      <c r="AQ127" s="8011"/>
      <c r="AR127" s="8011"/>
      <c r="AS127" s="8011"/>
      <c r="AT127" s="7897"/>
      <c r="AU127" s="7897"/>
      <c r="AV127" s="7897"/>
      <c r="AW127" s="7897"/>
    </row>
    <row r="128" spans="1:57" x14ac:dyDescent="0.2">
      <c r="B128" s="5215" t="s">
        <v>2485</v>
      </c>
      <c r="D128" s="7897"/>
      <c r="E128" s="7897"/>
      <c r="F128" s="7897"/>
      <c r="G128" s="7897"/>
      <c r="H128" s="7897"/>
      <c r="I128" s="7897"/>
      <c r="J128" s="7897"/>
      <c r="K128" s="7897"/>
      <c r="L128" s="7897"/>
      <c r="M128" s="7897"/>
      <c r="N128" s="7897"/>
      <c r="O128" s="7897"/>
      <c r="P128" s="7897"/>
      <c r="Q128" s="7897"/>
      <c r="R128" s="7897"/>
      <c r="S128" s="7897"/>
      <c r="T128" s="7897"/>
      <c r="U128" s="7897"/>
      <c r="V128" s="7897"/>
      <c r="W128" s="7897"/>
      <c r="X128" s="7897"/>
      <c r="Y128" s="7897"/>
      <c r="Z128" s="7897"/>
      <c r="AA128" s="7897"/>
      <c r="AB128" s="7897"/>
      <c r="AC128" s="7897"/>
      <c r="AD128" s="7897"/>
      <c r="AE128" s="7897"/>
      <c r="AF128" s="7897"/>
      <c r="AG128" s="7897"/>
      <c r="AH128" s="7897"/>
      <c r="AI128" s="7897"/>
      <c r="AJ128" s="7897"/>
      <c r="AK128" s="7897"/>
      <c r="AL128" s="7897"/>
      <c r="AM128" s="7897"/>
      <c r="AN128" s="7897"/>
      <c r="AO128" s="7897"/>
      <c r="AP128" s="8011"/>
      <c r="AQ128" s="8011"/>
      <c r="AR128" s="8011"/>
      <c r="AS128" s="8011"/>
      <c r="AT128" s="7897"/>
      <c r="AU128" s="7897"/>
      <c r="AV128" s="7897"/>
      <c r="AW128" s="7897"/>
    </row>
    <row r="129" spans="1:57" x14ac:dyDescent="0.2">
      <c r="B129" s="5498" t="s">
        <v>2484</v>
      </c>
      <c r="D129" s="7897"/>
      <c r="E129" s="7897">
        <v>7456.3971134020612</v>
      </c>
      <c r="F129" s="7897"/>
      <c r="G129" s="7897">
        <v>8454</v>
      </c>
      <c r="H129" s="7897"/>
      <c r="I129" s="7897"/>
      <c r="J129" s="7897"/>
      <c r="K129" s="7897">
        <v>8530.7823084017182</v>
      </c>
      <c r="L129" s="7897"/>
      <c r="M129" s="7897"/>
      <c r="N129" s="7897"/>
      <c r="O129" s="7897">
        <v>10493</v>
      </c>
      <c r="P129" s="7897"/>
      <c r="Q129" s="7897"/>
      <c r="R129" s="7897"/>
      <c r="S129" s="7897">
        <v>9114</v>
      </c>
      <c r="T129" s="7897"/>
      <c r="U129" s="7897"/>
      <c r="V129" s="7897"/>
      <c r="W129" s="7897">
        <v>3471</v>
      </c>
      <c r="X129" s="7897"/>
      <c r="Y129" s="7897"/>
      <c r="Z129" s="7897"/>
      <c r="AA129" s="7897"/>
      <c r="AB129" s="7897"/>
      <c r="AC129" s="7897">
        <v>874</v>
      </c>
      <c r="AD129" s="7897"/>
      <c r="AE129" s="7897"/>
      <c r="AF129" s="7897"/>
      <c r="AG129" s="7897">
        <v>3169</v>
      </c>
      <c r="AH129" s="7897"/>
      <c r="AI129" s="7897"/>
      <c r="AJ129" s="7897"/>
      <c r="AK129" s="7897">
        <v>6951</v>
      </c>
      <c r="AL129" s="7897"/>
      <c r="AM129" s="7897"/>
      <c r="AN129" s="7897"/>
      <c r="AO129" s="7897"/>
      <c r="AP129" s="8011"/>
      <c r="AQ129" s="8011">
        <v>10498</v>
      </c>
      <c r="AR129" s="8011"/>
      <c r="AS129" s="8011"/>
      <c r="AT129" s="7897"/>
      <c r="AU129" s="7897"/>
      <c r="AV129" s="7897"/>
      <c r="AW129" s="7897"/>
    </row>
    <row r="130" spans="1:57" x14ac:dyDescent="0.2">
      <c r="D130" s="7897"/>
      <c r="E130" s="7897"/>
      <c r="F130" s="7897"/>
      <c r="G130" s="7897"/>
      <c r="H130" s="7897"/>
      <c r="I130" s="7897"/>
      <c r="J130" s="7897"/>
      <c r="K130" s="7897"/>
      <c r="L130" s="7897"/>
      <c r="M130" s="7897"/>
      <c r="N130" s="7897"/>
      <c r="O130" s="7897"/>
      <c r="P130" s="7897"/>
      <c r="Q130" s="7897"/>
      <c r="R130" s="7897"/>
      <c r="S130" s="7897"/>
      <c r="T130" s="7897"/>
      <c r="U130" s="7897"/>
      <c r="V130" s="7897"/>
      <c r="W130" s="7897"/>
      <c r="X130" s="7897"/>
      <c r="Y130" s="7897"/>
      <c r="Z130" s="7897"/>
      <c r="AA130" s="7897"/>
      <c r="AB130" s="7897"/>
      <c r="AC130" s="7897"/>
      <c r="AD130" s="7897"/>
      <c r="AE130" s="7897"/>
      <c r="AF130" s="7897"/>
      <c r="AG130" s="7897"/>
      <c r="AH130" s="7897"/>
      <c r="AI130" s="7897"/>
      <c r="AJ130" s="7897"/>
      <c r="AK130" s="7897"/>
      <c r="AL130" s="7897"/>
      <c r="AM130" s="7897"/>
      <c r="AN130" s="7897"/>
      <c r="AO130" s="7897"/>
      <c r="AP130" s="8011"/>
      <c r="AQ130" s="8011"/>
      <c r="AR130" s="8011"/>
      <c r="AS130" s="8011"/>
      <c r="AT130" s="7897"/>
      <c r="AU130" s="7897"/>
      <c r="AV130" s="7897"/>
      <c r="AW130" s="7897"/>
    </row>
    <row r="131" spans="1:57" x14ac:dyDescent="0.2">
      <c r="B131" s="7982" t="s">
        <v>519</v>
      </c>
      <c r="C131" s="3938"/>
      <c r="D131" s="3938"/>
      <c r="E131" s="3938"/>
      <c r="F131" s="3938"/>
      <c r="G131" s="3938"/>
      <c r="H131" s="3938"/>
      <c r="I131" s="3938"/>
      <c r="J131" s="3938"/>
      <c r="K131" s="3938"/>
      <c r="L131" s="3938"/>
      <c r="M131" s="3938"/>
      <c r="N131" s="3938"/>
      <c r="O131" s="3938"/>
      <c r="P131" s="3938"/>
      <c r="Q131" s="3938"/>
      <c r="R131" s="3938"/>
      <c r="S131" s="3938"/>
      <c r="T131" s="3938"/>
      <c r="U131" s="3938"/>
      <c r="V131" s="3938"/>
      <c r="W131" s="3938"/>
      <c r="X131" s="3938"/>
      <c r="Y131" s="3938"/>
      <c r="Z131" s="3938"/>
      <c r="AA131" s="3938"/>
      <c r="AB131" s="3938"/>
      <c r="AC131" s="3938"/>
      <c r="AD131" s="3938"/>
      <c r="AE131" s="3938"/>
      <c r="AF131" s="3938"/>
      <c r="AG131" s="3938"/>
      <c r="AH131" s="3938"/>
      <c r="AI131" s="3938"/>
      <c r="AJ131" s="3938"/>
      <c r="AK131" s="3938"/>
      <c r="AL131" s="3938"/>
      <c r="AM131" s="3938"/>
      <c r="AN131" s="3938"/>
      <c r="AO131" s="3938"/>
      <c r="AP131" s="3938"/>
      <c r="AQ131" s="3938"/>
      <c r="AR131" s="3938"/>
      <c r="AS131" s="3938"/>
      <c r="AT131" s="7897"/>
      <c r="AU131" s="7897"/>
      <c r="AV131" s="7897"/>
      <c r="AW131" s="7897"/>
      <c r="AZ131" s="3938"/>
      <c r="BA131" s="3938"/>
      <c r="BB131" s="3938"/>
      <c r="BC131" s="3938"/>
      <c r="BD131" s="3938"/>
      <c r="BE131" s="3938"/>
    </row>
    <row r="132" spans="1:57" x14ac:dyDescent="0.2">
      <c r="B132" s="7909" t="s">
        <v>2484</v>
      </c>
      <c r="C132" s="7907" t="s">
        <v>170</v>
      </c>
      <c r="D132" s="3938"/>
      <c r="E132" s="2750">
        <v>11404.669647058825</v>
      </c>
      <c r="F132" s="7393"/>
      <c r="G132" s="2750">
        <v>12350</v>
      </c>
      <c r="H132" s="7394"/>
      <c r="I132" s="3193">
        <f>+E132+G132</f>
        <v>23754.669647058825</v>
      </c>
      <c r="J132" s="5253"/>
      <c r="K132" s="2750">
        <v>14710.904823529414</v>
      </c>
      <c r="L132" s="7414"/>
      <c r="M132" s="5029">
        <f>+I132+K132</f>
        <v>38465.574470588239</v>
      </c>
      <c r="N132" s="5253"/>
      <c r="O132" s="4406">
        <v>20580</v>
      </c>
      <c r="P132" s="7394"/>
      <c r="Q132" s="3193">
        <f>+M132+O132</f>
        <v>59045.574470588239</v>
      </c>
      <c r="R132" s="5253"/>
      <c r="S132" s="4406">
        <v>21705</v>
      </c>
      <c r="T132" s="7394"/>
      <c r="U132" s="3193">
        <f>+Q132+S132</f>
        <v>80750.574470588239</v>
      </c>
      <c r="V132" s="5253"/>
      <c r="W132" s="4406">
        <v>9543</v>
      </c>
      <c r="X132" s="7414"/>
      <c r="Y132" s="5029">
        <f>+W132+S132+O132</f>
        <v>51828</v>
      </c>
      <c r="Z132" s="6614"/>
      <c r="AA132" s="6615">
        <f>+U132+W132</f>
        <v>90293.574470588239</v>
      </c>
      <c r="AB132" s="5253"/>
      <c r="AC132" s="4406">
        <v>800</v>
      </c>
      <c r="AD132" s="7394"/>
      <c r="AE132" s="3193">
        <f>+AA132+AC132</f>
        <v>91093.574470588239</v>
      </c>
      <c r="AF132" s="5253"/>
      <c r="AG132" s="4406">
        <v>15696</v>
      </c>
      <c r="AH132" s="7394"/>
      <c r="AI132" s="3193">
        <f>+AE132+AG132</f>
        <v>106789.57447058824</v>
      </c>
      <c r="AJ132" s="5253"/>
      <c r="AK132" s="4406">
        <v>25796</v>
      </c>
      <c r="AL132" s="7414"/>
      <c r="AM132" s="5029">
        <f>+AK132+AG132+AC132</f>
        <v>42292</v>
      </c>
      <c r="AN132" s="7394"/>
      <c r="AO132" s="3193">
        <f>+AI132+AK132</f>
        <v>132585.57447058824</v>
      </c>
      <c r="AP132" s="5253"/>
      <c r="AQ132" s="4406">
        <v>28312</v>
      </c>
      <c r="AR132" s="7394"/>
      <c r="AS132" s="3193">
        <f>+AO132+AQ132</f>
        <v>160897.57447058824</v>
      </c>
      <c r="AT132" s="5253"/>
      <c r="AU132" s="4406">
        <v>26084</v>
      </c>
      <c r="AV132" s="7394"/>
      <c r="AW132" s="3193">
        <f>+AS132+AU132</f>
        <v>186981.57447058824</v>
      </c>
      <c r="AX132" s="5253"/>
      <c r="AY132" s="4406">
        <v>26084</v>
      </c>
      <c r="AZ132" s="7414"/>
      <c r="BA132" s="5029">
        <f>+AY132+AU132+AQ132</f>
        <v>80480</v>
      </c>
      <c r="BB132" s="7414"/>
      <c r="BC132" s="5029">
        <f>+BA132+AW132+AS132</f>
        <v>428359.14894117648</v>
      </c>
      <c r="BD132" s="6614"/>
      <c r="BE132" s="6615">
        <f>+AW132+AY132</f>
        <v>213065.57447058824</v>
      </c>
    </row>
    <row r="133" spans="1:57" s="7897" customFormat="1" x14ac:dyDescent="0.2">
      <c r="A133" s="3378"/>
      <c r="B133" s="7909" t="s">
        <v>2240</v>
      </c>
      <c r="C133" s="7907" t="s">
        <v>169</v>
      </c>
      <c r="D133" s="3938"/>
      <c r="E133" s="3847">
        <v>3</v>
      </c>
      <c r="F133" s="3451"/>
      <c r="G133" s="3847">
        <v>3</v>
      </c>
      <c r="H133" s="3195"/>
      <c r="I133" s="5996">
        <v>3</v>
      </c>
      <c r="J133" s="3451"/>
      <c r="K133" s="3847">
        <v>3</v>
      </c>
      <c r="L133" s="7974"/>
      <c r="M133" s="6002">
        <v>3</v>
      </c>
      <c r="N133" s="3451"/>
      <c r="O133" s="3851">
        <v>3</v>
      </c>
      <c r="P133" s="3195"/>
      <c r="Q133" s="5996">
        <v>3</v>
      </c>
      <c r="R133" s="3451"/>
      <c r="S133" s="3851">
        <v>3</v>
      </c>
      <c r="T133" s="3195"/>
      <c r="U133" s="5996">
        <v>3</v>
      </c>
      <c r="V133" s="3451"/>
      <c r="W133" s="3851">
        <v>3</v>
      </c>
      <c r="X133" s="7974"/>
      <c r="Y133" s="6002">
        <v>3</v>
      </c>
      <c r="Z133" s="7213"/>
      <c r="AA133" s="6841">
        <v>3</v>
      </c>
      <c r="AB133" s="3451"/>
      <c r="AC133" s="3851">
        <v>3</v>
      </c>
      <c r="AD133" s="3195"/>
      <c r="AE133" s="5996">
        <v>3</v>
      </c>
      <c r="AF133" s="3451"/>
      <c r="AG133" s="3851">
        <v>3</v>
      </c>
      <c r="AH133" s="3195"/>
      <c r="AI133" s="5996">
        <v>3</v>
      </c>
      <c r="AJ133" s="3451"/>
      <c r="AK133" s="3851">
        <v>3</v>
      </c>
      <c r="AL133" s="7974"/>
      <c r="AM133" s="6002">
        <v>3</v>
      </c>
      <c r="AN133" s="3195"/>
      <c r="AO133" s="5996">
        <v>3</v>
      </c>
      <c r="AP133" s="3451"/>
      <c r="AQ133" s="3851">
        <v>3</v>
      </c>
      <c r="AR133" s="3195"/>
      <c r="AS133" s="5996">
        <v>3</v>
      </c>
      <c r="AT133" s="3451"/>
      <c r="AU133" s="3851">
        <v>3</v>
      </c>
      <c r="AV133" s="3195"/>
      <c r="AW133" s="5996">
        <v>3</v>
      </c>
      <c r="AX133" s="3451"/>
      <c r="AY133" s="3851">
        <v>3</v>
      </c>
      <c r="AZ133" s="7974"/>
      <c r="BA133" s="6002">
        <v>3</v>
      </c>
      <c r="BB133" s="7974"/>
      <c r="BC133" s="6002">
        <v>3</v>
      </c>
      <c r="BD133" s="7213"/>
      <c r="BE133" s="6841">
        <v>3</v>
      </c>
    </row>
    <row r="134" spans="1:57" s="7897" customFormat="1" x14ac:dyDescent="0.2">
      <c r="A134" s="3378"/>
      <c r="B134" s="7909" t="s">
        <v>2240</v>
      </c>
      <c r="C134" s="7907" t="s">
        <v>170</v>
      </c>
      <c r="D134" s="3938"/>
      <c r="E134" s="2750">
        <f>+E133*E132/(100-E133)</f>
        <v>352.72174166161318</v>
      </c>
      <c r="F134" s="7393"/>
      <c r="G134" s="2750">
        <f>+G133*G132/(100-G133)</f>
        <v>381.95876288659792</v>
      </c>
      <c r="H134" s="7394"/>
      <c r="I134" s="3193">
        <f>+I133*I132/(100-I133)</f>
        <v>734.68050454821116</v>
      </c>
      <c r="J134" s="5253"/>
      <c r="K134" s="2750">
        <f>+K133*K132/(100-K133)</f>
        <v>454.97643784111585</v>
      </c>
      <c r="L134" s="7414"/>
      <c r="M134" s="5029">
        <f>+M133*M132/(100-M133)</f>
        <v>1189.656942389327</v>
      </c>
      <c r="N134" s="5253"/>
      <c r="O134" s="4406">
        <f>+O133*O132/(100-O133)</f>
        <v>636.4948453608248</v>
      </c>
      <c r="P134" s="7394"/>
      <c r="Q134" s="3193">
        <f>+Q133*Q132/(100-Q133)</f>
        <v>1826.1517877501517</v>
      </c>
      <c r="R134" s="5253"/>
      <c r="S134" s="4406">
        <f>+S133*S132/(100-S133)</f>
        <v>671.28865979381442</v>
      </c>
      <c r="T134" s="7394"/>
      <c r="U134" s="3193">
        <f>+U133*U132/(100-U133)</f>
        <v>2497.440447543966</v>
      </c>
      <c r="V134" s="5253"/>
      <c r="W134" s="4406">
        <f>+W133*W132/(100-W133)</f>
        <v>295.14432989690721</v>
      </c>
      <c r="X134" s="7414"/>
      <c r="Y134" s="5029">
        <f>+Y133*Y132/(100-Y133)</f>
        <v>1602.9278350515465</v>
      </c>
      <c r="Z134" s="6614"/>
      <c r="AA134" s="6615">
        <f>+AA133*AA132/(100-AA133)</f>
        <v>2792.5847774408735</v>
      </c>
      <c r="AB134" s="5253"/>
      <c r="AC134" s="4406">
        <f>+AC133*AC132/(100-AC133)</f>
        <v>24.742268041237114</v>
      </c>
      <c r="AD134" s="7394"/>
      <c r="AE134" s="3193">
        <f>+AE133*AE132/(100-AE133)</f>
        <v>2817.3270454821104</v>
      </c>
      <c r="AF134" s="5253"/>
      <c r="AG134" s="4406">
        <f>+AG133*AG132/(100-AG133)</f>
        <v>485.44329896907215</v>
      </c>
      <c r="AH134" s="7394"/>
      <c r="AI134" s="3193">
        <f>+AI133*AI132/(100-AI133)</f>
        <v>3302.7703444511826</v>
      </c>
      <c r="AJ134" s="5253"/>
      <c r="AK134" s="4406">
        <f>+AK133*AK132/(100-AK133)</f>
        <v>797.81443298969077</v>
      </c>
      <c r="AL134" s="7414"/>
      <c r="AM134" s="5029">
        <f>+AM133*AM132/(100-AM133)</f>
        <v>1308</v>
      </c>
      <c r="AN134" s="7394"/>
      <c r="AO134" s="3193">
        <f>+AO133*AO132/(100-AO133)</f>
        <v>4100.584777440873</v>
      </c>
      <c r="AP134" s="5253"/>
      <c r="AQ134" s="4406">
        <f>+AQ133*AQ132/(100-AQ133)</f>
        <v>875.62886597938143</v>
      </c>
      <c r="AR134" s="7394"/>
      <c r="AS134" s="3193">
        <f>+AS133*AS132/(100-AS133)</f>
        <v>4976.2136434202548</v>
      </c>
      <c r="AT134" s="5253"/>
      <c r="AU134" s="4406">
        <f>+AU133*AU132/(100-AU133)</f>
        <v>806.7216494845361</v>
      </c>
      <c r="AV134" s="7394"/>
      <c r="AW134" s="3193">
        <f>+AW133*AW132/(100-AW133)</f>
        <v>5782.9352929047909</v>
      </c>
      <c r="AX134" s="5253"/>
      <c r="AY134" s="4406">
        <f>+AY133*AY132/(100-AY133)</f>
        <v>806.7216494845361</v>
      </c>
      <c r="AZ134" s="7414"/>
      <c r="BA134" s="5029">
        <f>+BA133*BA132/(100-BA133)</f>
        <v>2489.0721649484535</v>
      </c>
      <c r="BB134" s="7414"/>
      <c r="BC134" s="5029">
        <f>+BC133*BC132/(100-BC133)</f>
        <v>13248.221101273499</v>
      </c>
      <c r="BD134" s="6614"/>
      <c r="BE134" s="6615">
        <f>+BE133*BE132/(100-BE133)</f>
        <v>6589.656942389327</v>
      </c>
    </row>
    <row r="135" spans="1:57" s="7897" customFormat="1" x14ac:dyDescent="0.2">
      <c r="A135" s="3378"/>
      <c r="B135" s="7909" t="s">
        <v>1080</v>
      </c>
      <c r="C135" s="7907" t="s">
        <v>170</v>
      </c>
      <c r="D135" s="3938"/>
      <c r="E135" s="2750">
        <f>+E132+E134</f>
        <v>11757.391388720438</v>
      </c>
      <c r="F135" s="7393"/>
      <c r="G135" s="2750">
        <f>+G132+G134</f>
        <v>12731.958762886597</v>
      </c>
      <c r="H135" s="7394"/>
      <c r="I135" s="3193">
        <f>+I132+I134</f>
        <v>24489.350151607036</v>
      </c>
      <c r="J135" s="5253"/>
      <c r="K135" s="2750">
        <f>+K132+K134</f>
        <v>15165.88126137053</v>
      </c>
      <c r="L135" s="7414"/>
      <c r="M135" s="5029">
        <f>+M132+M134</f>
        <v>39655.231412977562</v>
      </c>
      <c r="N135" s="5253"/>
      <c r="O135" s="4406">
        <f>+O132+O134</f>
        <v>21216.494845360823</v>
      </c>
      <c r="P135" s="7394"/>
      <c r="Q135" s="3193">
        <f>+Q132+Q134</f>
        <v>60871.726258338393</v>
      </c>
      <c r="R135" s="5253"/>
      <c r="S135" s="4406">
        <f>+S132+S134</f>
        <v>22376.288659793816</v>
      </c>
      <c r="T135" s="7394"/>
      <c r="U135" s="3193">
        <f>+U132+U134</f>
        <v>83248.014918132205</v>
      </c>
      <c r="V135" s="5253"/>
      <c r="W135" s="4406">
        <f>+W132+W134</f>
        <v>9838.1443298969079</v>
      </c>
      <c r="X135" s="7414"/>
      <c r="Y135" s="5029">
        <f>+Y132+Y134</f>
        <v>53430.927835051545</v>
      </c>
      <c r="Z135" s="6614"/>
      <c r="AA135" s="6615">
        <f>+AA132+AA134</f>
        <v>93086.159248029115</v>
      </c>
      <c r="AB135" s="5253"/>
      <c r="AC135" s="4406">
        <f>+AC132+AC134</f>
        <v>824.74226804123714</v>
      </c>
      <c r="AD135" s="7394"/>
      <c r="AE135" s="3193">
        <f>+AE132+AE134</f>
        <v>93910.901516070357</v>
      </c>
      <c r="AF135" s="5253"/>
      <c r="AG135" s="4406">
        <f>+AG132+AG134</f>
        <v>16181.443298969072</v>
      </c>
      <c r="AH135" s="7394"/>
      <c r="AI135" s="3193">
        <f>+AI132+AI134</f>
        <v>110092.34481503943</v>
      </c>
      <c r="AJ135" s="5253"/>
      <c r="AK135" s="4406">
        <f>+AK132+AK134</f>
        <v>26593.81443298969</v>
      </c>
      <c r="AL135" s="7414"/>
      <c r="AM135" s="5029">
        <f>+AM132+AM134</f>
        <v>43600</v>
      </c>
      <c r="AN135" s="7394"/>
      <c r="AO135" s="3193">
        <f>+AO132+AO134</f>
        <v>136686.15924802911</v>
      </c>
      <c r="AP135" s="5253"/>
      <c r="AQ135" s="4406">
        <f>+AQ132+AQ134</f>
        <v>29187.628865979383</v>
      </c>
      <c r="AR135" s="7394"/>
      <c r="AS135" s="3193">
        <f>+AS132+AS134</f>
        <v>165873.78811400849</v>
      </c>
      <c r="AT135" s="5253"/>
      <c r="AU135" s="4406">
        <f>+AU132+AU134</f>
        <v>26890.721649484534</v>
      </c>
      <c r="AV135" s="7394"/>
      <c r="AW135" s="3193">
        <f>+AW132+AW134</f>
        <v>192764.50976349303</v>
      </c>
      <c r="AX135" s="5253"/>
      <c r="AY135" s="4406">
        <f>+AY132+AY134</f>
        <v>26890.721649484534</v>
      </c>
      <c r="AZ135" s="7414"/>
      <c r="BA135" s="5029">
        <f>+BA132+BA134</f>
        <v>82969.072164948448</v>
      </c>
      <c r="BB135" s="7414"/>
      <c r="BC135" s="5029">
        <f>+BC132+BC134</f>
        <v>441607.37004244997</v>
      </c>
      <c r="BD135" s="6614"/>
      <c r="BE135" s="6615">
        <f>+BE132+BE134</f>
        <v>219655.23141297756</v>
      </c>
    </row>
    <row r="136" spans="1:57" x14ac:dyDescent="0.2">
      <c r="B136" s="3938"/>
      <c r="C136" s="3938"/>
      <c r="D136" s="3938"/>
      <c r="E136" s="3938"/>
      <c r="F136" s="3938"/>
      <c r="G136" s="3938"/>
      <c r="H136" s="3938"/>
      <c r="I136" s="3938"/>
      <c r="J136" s="3938"/>
      <c r="K136" s="3938"/>
      <c r="L136" s="3938"/>
      <c r="M136" s="3938"/>
      <c r="N136" s="3938"/>
      <c r="O136" s="3938"/>
      <c r="P136" s="3938"/>
      <c r="Q136" s="3938"/>
      <c r="R136" s="3938"/>
      <c r="S136" s="3938"/>
      <c r="T136" s="3938"/>
      <c r="U136" s="3938"/>
      <c r="V136" s="3938"/>
      <c r="W136" s="3938"/>
      <c r="X136" s="3938"/>
      <c r="Y136" s="3938"/>
      <c r="Z136" s="3938"/>
      <c r="AA136" s="3938"/>
      <c r="AB136" s="3938"/>
      <c r="AC136" s="3938"/>
      <c r="AD136" s="3938"/>
      <c r="AE136" s="3938"/>
      <c r="AF136" s="3938"/>
      <c r="AG136" s="3938"/>
      <c r="AH136" s="3938"/>
      <c r="AI136" s="3938"/>
      <c r="AJ136" s="3938"/>
      <c r="AK136" s="3938"/>
      <c r="AL136" s="3938"/>
      <c r="AM136" s="3938"/>
      <c r="AN136" s="3938"/>
      <c r="AO136" s="3938"/>
      <c r="AP136" s="3938"/>
      <c r="AQ136" s="3938"/>
      <c r="AR136" s="3938"/>
      <c r="AS136" s="3938"/>
      <c r="AT136" s="7897"/>
      <c r="AU136" s="7897"/>
      <c r="AV136" s="7897"/>
      <c r="AW136" s="7897"/>
      <c r="AZ136" s="3938"/>
      <c r="BA136" s="3938"/>
      <c r="BB136" s="3938"/>
      <c r="BC136" s="3938"/>
      <c r="BD136" s="3938"/>
      <c r="BE136" s="3938"/>
    </row>
    <row r="137" spans="1:57" x14ac:dyDescent="0.2">
      <c r="B137" s="5215" t="s">
        <v>68</v>
      </c>
      <c r="D137" s="7897"/>
      <c r="E137" s="7897"/>
      <c r="F137" s="7897"/>
      <c r="G137" s="7897"/>
      <c r="H137" s="7897"/>
      <c r="I137" s="7897"/>
      <c r="J137" s="7897"/>
      <c r="K137" s="7897"/>
      <c r="L137" s="7897"/>
      <c r="M137" s="7897"/>
      <c r="N137" s="7897"/>
      <c r="O137" s="7897"/>
      <c r="P137" s="7897"/>
      <c r="Q137" s="7897"/>
      <c r="R137" s="7897"/>
      <c r="S137" s="7897"/>
      <c r="T137" s="7897"/>
      <c r="U137" s="7897"/>
      <c r="V137" s="7897"/>
      <c r="W137" s="7897"/>
      <c r="X137" s="7897"/>
      <c r="Y137" s="7897"/>
      <c r="Z137" s="7897"/>
      <c r="AA137" s="7897"/>
      <c r="AB137" s="7897"/>
      <c r="AC137" s="7897"/>
      <c r="AD137" s="7897"/>
      <c r="AE137" s="7897"/>
      <c r="AF137" s="7897"/>
      <c r="AG137" s="7897"/>
      <c r="AH137" s="7897"/>
      <c r="AI137" s="7897"/>
      <c r="AJ137" s="7897"/>
      <c r="AK137" s="7897"/>
      <c r="AL137" s="7897"/>
      <c r="AM137" s="7897"/>
      <c r="AN137" s="7897"/>
      <c r="AO137" s="7897"/>
      <c r="AP137" s="8011"/>
      <c r="AQ137" s="8011"/>
      <c r="AR137" s="8011"/>
      <c r="AS137" s="8011"/>
      <c r="AT137" s="7897"/>
      <c r="AU137" s="7897"/>
      <c r="AV137" s="7897"/>
      <c r="AW137" s="7897"/>
    </row>
    <row r="138" spans="1:57" x14ac:dyDescent="0.2">
      <c r="B138" s="5498" t="s">
        <v>2484</v>
      </c>
      <c r="D138" s="7897"/>
      <c r="E138" s="7897">
        <v>195257.57575757575</v>
      </c>
      <c r="F138" s="7897"/>
      <c r="G138" s="7897">
        <v>202613</v>
      </c>
      <c r="H138" s="7897"/>
      <c r="I138" s="7897"/>
      <c r="J138" s="7897"/>
      <c r="K138" s="7897">
        <v>219268.93454545457</v>
      </c>
      <c r="L138" s="7897"/>
      <c r="M138" s="7897"/>
      <c r="N138" s="7897"/>
      <c r="O138" s="7897">
        <v>238192</v>
      </c>
      <c r="P138" s="7897"/>
      <c r="Q138" s="7897"/>
      <c r="R138" s="7897"/>
      <c r="S138" s="7897">
        <v>245814</v>
      </c>
      <c r="T138" s="7897"/>
      <c r="U138" s="7897"/>
      <c r="V138" s="7897"/>
      <c r="W138" s="7897">
        <v>142248</v>
      </c>
      <c r="X138" s="7897"/>
      <c r="Y138" s="7897"/>
      <c r="Z138" s="7897"/>
      <c r="AA138" s="7897"/>
      <c r="AB138" s="7897"/>
      <c r="AC138" s="7897">
        <v>162660</v>
      </c>
      <c r="AD138" s="7897"/>
      <c r="AE138" s="7897"/>
      <c r="AF138" s="7897"/>
      <c r="AG138" s="7897">
        <v>190445</v>
      </c>
      <c r="AH138" s="7897"/>
      <c r="AI138" s="7897"/>
      <c r="AJ138" s="7897"/>
      <c r="AK138" s="7897">
        <v>258376</v>
      </c>
      <c r="AL138" s="7897"/>
      <c r="AM138" s="7897"/>
      <c r="AN138" s="7897"/>
      <c r="AO138" s="7897"/>
      <c r="AP138" s="8011"/>
      <c r="AQ138" s="8011">
        <v>281317</v>
      </c>
      <c r="AR138" s="8011"/>
      <c r="AS138" s="8011"/>
      <c r="AT138" s="7897"/>
      <c r="AU138" s="7897"/>
      <c r="AV138" s="7897"/>
      <c r="AW138" s="7897"/>
    </row>
    <row r="139" spans="1:57" x14ac:dyDescent="0.2">
      <c r="D139" s="7897"/>
      <c r="E139" s="7897"/>
      <c r="F139" s="7897"/>
      <c r="G139" s="7897"/>
      <c r="H139" s="7897"/>
      <c r="I139" s="7897"/>
      <c r="J139" s="7897"/>
      <c r="K139" s="7897"/>
      <c r="L139" s="7897"/>
      <c r="M139" s="7897"/>
      <c r="N139" s="7897"/>
      <c r="O139" s="7897"/>
      <c r="P139" s="7897"/>
      <c r="Q139" s="7897"/>
      <c r="R139" s="7897"/>
      <c r="S139" s="7897"/>
      <c r="T139" s="7897"/>
      <c r="U139" s="7897"/>
      <c r="V139" s="7897"/>
      <c r="W139" s="7897"/>
      <c r="X139" s="7897"/>
      <c r="Y139" s="7897"/>
      <c r="Z139" s="7897"/>
      <c r="AA139" s="7897"/>
      <c r="AB139" s="7897"/>
      <c r="AC139" s="7897"/>
      <c r="AD139" s="7897"/>
      <c r="AE139" s="7897"/>
      <c r="AF139" s="7897"/>
      <c r="AG139" s="7897"/>
      <c r="AH139" s="7897"/>
      <c r="AI139" s="7897"/>
      <c r="AJ139" s="7897"/>
      <c r="AK139" s="7897"/>
      <c r="AL139" s="7897"/>
      <c r="AM139" s="7897"/>
      <c r="AN139" s="7897"/>
      <c r="AO139" s="7897"/>
      <c r="AP139" s="8011"/>
      <c r="AQ139" s="8011"/>
      <c r="AR139" s="8011"/>
      <c r="AS139" s="8011"/>
      <c r="AT139" s="7897"/>
      <c r="AU139" s="7897"/>
      <c r="AV139" s="7897"/>
      <c r="AW139" s="7897"/>
    </row>
    <row r="140" spans="1:57" x14ac:dyDescent="0.2">
      <c r="B140" s="5215" t="s">
        <v>2486</v>
      </c>
      <c r="D140" s="7897"/>
      <c r="E140" s="7897"/>
      <c r="F140" s="7897"/>
      <c r="G140" s="7897"/>
      <c r="H140" s="7897"/>
      <c r="I140" s="7897"/>
      <c r="J140" s="7897"/>
      <c r="K140" s="7897"/>
      <c r="L140" s="7897"/>
      <c r="M140" s="7897"/>
      <c r="N140" s="7897"/>
      <c r="O140" s="7897"/>
      <c r="P140" s="7897"/>
      <c r="Q140" s="7897"/>
      <c r="R140" s="7897"/>
      <c r="S140" s="7897"/>
      <c r="T140" s="7897"/>
      <c r="U140" s="7897"/>
      <c r="V140" s="7897"/>
      <c r="W140" s="7897"/>
      <c r="X140" s="7897"/>
      <c r="Y140" s="7897"/>
      <c r="Z140" s="7897"/>
      <c r="AA140" s="7897"/>
      <c r="AB140" s="7897"/>
      <c r="AC140" s="7897"/>
      <c r="AD140" s="7897"/>
      <c r="AE140" s="7897"/>
      <c r="AF140" s="7897"/>
      <c r="AG140" s="7897"/>
      <c r="AH140" s="7897"/>
      <c r="AI140" s="7897"/>
      <c r="AJ140" s="7897"/>
      <c r="AK140" s="7897"/>
      <c r="AL140" s="7897"/>
      <c r="AM140" s="7897"/>
      <c r="AN140" s="7897"/>
      <c r="AO140" s="7897"/>
      <c r="AP140" s="8011"/>
      <c r="AQ140" s="8011"/>
      <c r="AR140" s="8011"/>
      <c r="AS140" s="8011"/>
      <c r="AT140" s="7897"/>
      <c r="AU140" s="7897"/>
      <c r="AV140" s="7897"/>
      <c r="AW140" s="7897"/>
    </row>
    <row r="141" spans="1:57" x14ac:dyDescent="0.2">
      <c r="B141" s="5498" t="s">
        <v>2484</v>
      </c>
      <c r="D141" s="7897"/>
      <c r="E141" s="7897">
        <v>2406.71875</v>
      </c>
      <c r="F141" s="7897"/>
      <c r="G141" s="7897">
        <v>3653</v>
      </c>
      <c r="H141" s="7897"/>
      <c r="I141" s="7897"/>
      <c r="J141" s="7897"/>
      <c r="K141" s="7897">
        <v>2721.6115869744485</v>
      </c>
      <c r="L141" s="7897"/>
      <c r="M141" s="7897"/>
      <c r="N141" s="7897"/>
      <c r="O141" s="7897">
        <v>4011</v>
      </c>
      <c r="P141" s="7897"/>
      <c r="Q141" s="7897"/>
      <c r="R141" s="7897"/>
      <c r="S141" s="7897">
        <v>1420</v>
      </c>
      <c r="T141" s="7897"/>
      <c r="U141" s="7897"/>
      <c r="V141" s="7897"/>
      <c r="W141" s="7897">
        <v>576</v>
      </c>
      <c r="X141" s="7897"/>
      <c r="Y141" s="7897"/>
      <c r="Z141" s="7897"/>
      <c r="AA141" s="7897"/>
      <c r="AB141" s="7897"/>
      <c r="AC141" s="7897">
        <v>538</v>
      </c>
      <c r="AD141" s="7897"/>
      <c r="AE141" s="7897"/>
      <c r="AF141" s="7897"/>
      <c r="AG141" s="7897">
        <v>619</v>
      </c>
      <c r="AH141" s="7897"/>
      <c r="AI141" s="7897"/>
      <c r="AJ141" s="7897"/>
      <c r="AK141" s="7897">
        <v>1859</v>
      </c>
      <c r="AL141" s="7897"/>
      <c r="AM141" s="7897"/>
      <c r="AN141" s="7897"/>
      <c r="AO141" s="7897"/>
      <c r="AP141" s="8011"/>
      <c r="AQ141" s="8011">
        <v>0</v>
      </c>
      <c r="AR141" s="8011"/>
      <c r="AS141" s="8011"/>
      <c r="AT141" s="7897"/>
      <c r="AU141" s="7897"/>
      <c r="AV141" s="7897"/>
      <c r="AW141" s="7897"/>
    </row>
    <row r="142" spans="1:57" x14ac:dyDescent="0.2">
      <c r="D142" s="7897"/>
      <c r="E142" s="7897"/>
      <c r="F142" s="7897"/>
      <c r="G142" s="7897"/>
      <c r="H142" s="7897"/>
      <c r="I142" s="7897"/>
      <c r="J142" s="7897"/>
      <c r="K142" s="7897"/>
      <c r="L142" s="7897"/>
      <c r="M142" s="7897"/>
      <c r="N142" s="7897"/>
      <c r="O142" s="7897"/>
      <c r="P142" s="7897"/>
      <c r="Q142" s="7897"/>
      <c r="R142" s="7897"/>
      <c r="S142" s="7897"/>
      <c r="T142" s="7897"/>
      <c r="U142" s="7897"/>
      <c r="V142" s="7897"/>
      <c r="W142" s="7897"/>
      <c r="X142" s="7897"/>
      <c r="Y142" s="7897"/>
      <c r="Z142" s="7897"/>
      <c r="AA142" s="7897"/>
      <c r="AB142" s="7897"/>
      <c r="AC142" s="7897"/>
      <c r="AD142" s="7897"/>
      <c r="AE142" s="7897"/>
      <c r="AF142" s="7897"/>
      <c r="AG142" s="7897"/>
      <c r="AH142" s="7897"/>
      <c r="AI142" s="7897"/>
      <c r="AJ142" s="7897"/>
      <c r="AK142" s="7897"/>
      <c r="AL142" s="7897"/>
      <c r="AM142" s="7897"/>
      <c r="AN142" s="7897"/>
      <c r="AO142" s="7897"/>
      <c r="AP142" s="8011"/>
      <c r="AQ142" s="8011"/>
      <c r="AR142" s="8011"/>
      <c r="AS142" s="8011"/>
      <c r="AT142" s="7897"/>
      <c r="AU142" s="7897"/>
      <c r="AV142" s="7897"/>
      <c r="AW142" s="7897"/>
    </row>
    <row r="143" spans="1:57" x14ac:dyDescent="0.2">
      <c r="B143" s="7969" t="s">
        <v>28</v>
      </c>
      <c r="D143" s="7897"/>
      <c r="E143" s="7897"/>
      <c r="F143" s="7897"/>
      <c r="G143" s="7897"/>
      <c r="H143" s="7897"/>
      <c r="I143" s="7897"/>
      <c r="J143" s="7897"/>
      <c r="K143" s="7897"/>
      <c r="L143" s="7897"/>
      <c r="M143" s="7897"/>
      <c r="N143" s="7897"/>
      <c r="O143" s="7897"/>
      <c r="P143" s="7897"/>
      <c r="Q143" s="7897"/>
      <c r="R143" s="7897"/>
      <c r="S143" s="7897"/>
      <c r="T143" s="7897"/>
      <c r="U143" s="7897"/>
      <c r="V143" s="7897"/>
      <c r="W143" s="7897"/>
      <c r="X143" s="7897"/>
      <c r="Y143" s="7897"/>
      <c r="Z143" s="7897"/>
      <c r="AA143" s="7897"/>
      <c r="AB143" s="7897"/>
      <c r="AC143" s="7897"/>
      <c r="AD143" s="7897"/>
      <c r="AE143" s="7897"/>
      <c r="AF143" s="7897"/>
      <c r="AG143" s="7897"/>
      <c r="AH143" s="7897"/>
      <c r="AI143" s="7897"/>
      <c r="AJ143" s="7897"/>
      <c r="AK143" s="7897"/>
      <c r="AL143" s="7897"/>
      <c r="AM143" s="7897"/>
      <c r="AN143" s="7897"/>
      <c r="AO143" s="7897"/>
      <c r="AP143" s="8011"/>
      <c r="AQ143" s="8011"/>
      <c r="AR143" s="8011"/>
      <c r="AS143" s="8011"/>
      <c r="AT143" s="7897"/>
      <c r="AU143" s="7897"/>
      <c r="AV143" s="7897"/>
      <c r="AW143" s="7897"/>
    </row>
    <row r="144" spans="1:57" x14ac:dyDescent="0.2">
      <c r="B144" s="7909" t="s">
        <v>2484</v>
      </c>
      <c r="C144" s="7907" t="s">
        <v>170</v>
      </c>
      <c r="D144" s="7897"/>
      <c r="E144" s="2750">
        <v>3284.1145833333339</v>
      </c>
      <c r="F144" s="7393"/>
      <c r="G144" s="2750">
        <v>3909</v>
      </c>
      <c r="H144" s="7394"/>
      <c r="I144" s="3193">
        <f>+E144+G144</f>
        <v>7193.1145833333339</v>
      </c>
      <c r="J144" s="5253"/>
      <c r="K144" s="2750">
        <v>4677.1250320458294</v>
      </c>
      <c r="L144" s="7414"/>
      <c r="M144" s="5029">
        <f>+I144+K144</f>
        <v>11870.239615379163</v>
      </c>
      <c r="N144" s="5253"/>
      <c r="O144" s="4406">
        <v>4635</v>
      </c>
      <c r="P144" s="7394"/>
      <c r="Q144" s="3193">
        <f>+M144+O144</f>
        <v>16505.239615379163</v>
      </c>
      <c r="R144" s="5253"/>
      <c r="S144" s="4406">
        <v>3570</v>
      </c>
      <c r="T144" s="7394"/>
      <c r="U144" s="3193">
        <f>+Q144+S144</f>
        <v>20075.239615379163</v>
      </c>
      <c r="V144" s="5253"/>
      <c r="W144" s="4406">
        <v>3179</v>
      </c>
      <c r="X144" s="7414"/>
      <c r="Y144" s="5029">
        <f>+W144+S144+O144</f>
        <v>11384</v>
      </c>
      <c r="Z144" s="6614"/>
      <c r="AA144" s="6615">
        <f>+U144+W144</f>
        <v>23254.239615379163</v>
      </c>
      <c r="AB144" s="5253"/>
      <c r="AC144" s="4406">
        <v>4414</v>
      </c>
      <c r="AD144" s="7394"/>
      <c r="AE144" s="3193">
        <f>+AA144+AC144</f>
        <v>27668.239615379163</v>
      </c>
      <c r="AF144" s="5253"/>
      <c r="AG144" s="4406">
        <v>2308</v>
      </c>
      <c r="AH144" s="7394"/>
      <c r="AI144" s="3193">
        <f>+AE144+AG144</f>
        <v>29976.239615379163</v>
      </c>
      <c r="AJ144" s="5253"/>
      <c r="AK144" s="4406">
        <v>5151</v>
      </c>
      <c r="AL144" s="7414"/>
      <c r="AM144" s="5029">
        <f>+AK144+AG144+AC144</f>
        <v>11873</v>
      </c>
      <c r="AN144" s="7394"/>
      <c r="AO144" s="3193">
        <f>+AI144+AK144</f>
        <v>35127.239615379163</v>
      </c>
      <c r="AP144" s="5253"/>
      <c r="AQ144" s="4406">
        <v>2906</v>
      </c>
      <c r="AR144" s="7394"/>
      <c r="AS144" s="3193">
        <f>+AO144+AQ144</f>
        <v>38033.239615379163</v>
      </c>
      <c r="AT144" s="5253"/>
      <c r="AU144" s="4406">
        <v>4630</v>
      </c>
      <c r="AV144" s="7394"/>
      <c r="AW144" s="3193">
        <f>+AS144+AU144</f>
        <v>42663.239615379163</v>
      </c>
      <c r="AX144" s="5253"/>
      <c r="AY144" s="4406">
        <v>4630</v>
      </c>
      <c r="AZ144" s="7414"/>
      <c r="BA144" s="5029">
        <f>+AY144+AU144+AQ144</f>
        <v>12166</v>
      </c>
      <c r="BB144" s="7414"/>
      <c r="BC144" s="5029">
        <f>+BA144+AW144+AS144</f>
        <v>92862.479230758327</v>
      </c>
      <c r="BD144" s="6614"/>
      <c r="BE144" s="6615">
        <f>+AW144+AY144</f>
        <v>47293.239615379163</v>
      </c>
    </row>
    <row r="145" spans="2:57" x14ac:dyDescent="0.2">
      <c r="B145" s="7909" t="s">
        <v>2240</v>
      </c>
      <c r="C145" s="7907" t="s">
        <v>169</v>
      </c>
      <c r="D145" s="7897"/>
      <c r="E145" s="3847">
        <v>1.25</v>
      </c>
      <c r="F145" s="3451"/>
      <c r="G145" s="3847">
        <v>1.25</v>
      </c>
      <c r="H145" s="3195"/>
      <c r="I145" s="5996">
        <v>1.25</v>
      </c>
      <c r="J145" s="3451"/>
      <c r="K145" s="3847">
        <v>1.25</v>
      </c>
      <c r="L145" s="7974"/>
      <c r="M145" s="6002">
        <v>1.25</v>
      </c>
      <c r="N145" s="3451"/>
      <c r="O145" s="3851">
        <v>1.25</v>
      </c>
      <c r="P145" s="3195"/>
      <c r="Q145" s="5996">
        <v>1.25</v>
      </c>
      <c r="R145" s="3451"/>
      <c r="S145" s="3851">
        <v>1.25</v>
      </c>
      <c r="T145" s="3195"/>
      <c r="U145" s="5996">
        <v>1.25</v>
      </c>
      <c r="V145" s="3451"/>
      <c r="W145" s="3851">
        <v>1.25</v>
      </c>
      <c r="X145" s="7974"/>
      <c r="Y145" s="6002">
        <v>1.25</v>
      </c>
      <c r="Z145" s="7213"/>
      <c r="AA145" s="6841">
        <v>1.25</v>
      </c>
      <c r="AB145" s="3451"/>
      <c r="AC145" s="3851">
        <v>1.25</v>
      </c>
      <c r="AD145" s="3195"/>
      <c r="AE145" s="5996">
        <v>1.25</v>
      </c>
      <c r="AF145" s="3451"/>
      <c r="AG145" s="3851">
        <v>1.25</v>
      </c>
      <c r="AH145" s="3195"/>
      <c r="AI145" s="5996">
        <v>1.25</v>
      </c>
      <c r="AJ145" s="3451"/>
      <c r="AK145" s="3851">
        <v>1.25</v>
      </c>
      <c r="AL145" s="7974"/>
      <c r="AM145" s="6002">
        <v>1.25</v>
      </c>
      <c r="AN145" s="3195"/>
      <c r="AO145" s="5996">
        <v>1.25</v>
      </c>
      <c r="AP145" s="3451"/>
      <c r="AQ145" s="3851">
        <v>1.25</v>
      </c>
      <c r="AR145" s="3195"/>
      <c r="AS145" s="5996">
        <v>1.25</v>
      </c>
      <c r="AT145" s="3451"/>
      <c r="AU145" s="3851">
        <v>1.25</v>
      </c>
      <c r="AV145" s="3195"/>
      <c r="AW145" s="5996">
        <v>1.25</v>
      </c>
      <c r="AX145" s="3451"/>
      <c r="AY145" s="3851">
        <v>1.25</v>
      </c>
      <c r="AZ145" s="7974"/>
      <c r="BA145" s="6002">
        <v>1.25</v>
      </c>
      <c r="BB145" s="7974"/>
      <c r="BC145" s="6002">
        <v>1.25</v>
      </c>
      <c r="BD145" s="7213"/>
      <c r="BE145" s="6841">
        <v>1.25</v>
      </c>
    </row>
    <row r="146" spans="2:57" x14ac:dyDescent="0.2">
      <c r="B146" s="7909" t="s">
        <v>2240</v>
      </c>
      <c r="C146" s="7907" t="s">
        <v>170</v>
      </c>
      <c r="D146" s="7897"/>
      <c r="E146" s="2750">
        <f>+E145*E144/(100-E145)</f>
        <v>41.571070675105496</v>
      </c>
      <c r="F146" s="7393"/>
      <c r="G146" s="2750">
        <f>+G145*G144/(100-G145)</f>
        <v>49.481012658227847</v>
      </c>
      <c r="H146" s="7394"/>
      <c r="I146" s="3193">
        <f>+I145*I144/(100-I145)</f>
        <v>91.052083333333343</v>
      </c>
      <c r="J146" s="5253"/>
      <c r="K146" s="2750">
        <f>+K145*K144/(100-K145)</f>
        <v>59.204114329694036</v>
      </c>
      <c r="L146" s="7414"/>
      <c r="M146" s="5029">
        <f>+M145*M144/(100-M145)</f>
        <v>150.25619766302739</v>
      </c>
      <c r="N146" s="5253"/>
      <c r="O146" s="4406">
        <f>+O145*O144/(100-O145)</f>
        <v>58.670886075949369</v>
      </c>
      <c r="P146" s="7394"/>
      <c r="Q146" s="3193">
        <f>+Q145*Q144/(100-Q145)</f>
        <v>208.92708373897676</v>
      </c>
      <c r="R146" s="5253"/>
      <c r="S146" s="4406">
        <f>+S145*S144/(100-S145)</f>
        <v>45.189873417721522</v>
      </c>
      <c r="T146" s="7394"/>
      <c r="U146" s="3193">
        <f>+U145*U144/(100-U145)</f>
        <v>254.11695715669828</v>
      </c>
      <c r="V146" s="5253"/>
      <c r="W146" s="4406">
        <f>+W145*W144/(100-W145)</f>
        <v>40.240506329113927</v>
      </c>
      <c r="X146" s="7414"/>
      <c r="Y146" s="5029">
        <f>+Y145*Y144/(100-Y145)</f>
        <v>144.1012658227848</v>
      </c>
      <c r="Z146" s="6614"/>
      <c r="AA146" s="6615">
        <f>+AA145*AA144/(100-AA145)</f>
        <v>294.35746348581222</v>
      </c>
      <c r="AB146" s="5253"/>
      <c r="AC146" s="4406">
        <f>+AC145*AC144/(100-AC145)</f>
        <v>55.87341772151899</v>
      </c>
      <c r="AD146" s="7394"/>
      <c r="AE146" s="3193">
        <f>+AE145*AE144/(100-AE145)</f>
        <v>350.23088120733121</v>
      </c>
      <c r="AF146" s="5253"/>
      <c r="AG146" s="4406">
        <f>+AG145*AG144/(100-AG145)</f>
        <v>29.215189873417721</v>
      </c>
      <c r="AH146" s="7394"/>
      <c r="AI146" s="3193">
        <f>+AI145*AI144/(100-AI145)</f>
        <v>379.44607108074888</v>
      </c>
      <c r="AJ146" s="5253"/>
      <c r="AK146" s="4406">
        <f>+AK145*AK144/(100-AK145)</f>
        <v>65.202531645569621</v>
      </c>
      <c r="AL146" s="7414"/>
      <c r="AM146" s="5029">
        <f>+AM145*AM144/(100-AM145)</f>
        <v>150.29113924050634</v>
      </c>
      <c r="AN146" s="7394"/>
      <c r="AO146" s="3193">
        <f>+AO145*AO144/(100-AO145)</f>
        <v>444.64860272631853</v>
      </c>
      <c r="AP146" s="5253"/>
      <c r="AQ146" s="4406">
        <f>+AQ145*AQ144/(100-AQ145)</f>
        <v>36.784810126582279</v>
      </c>
      <c r="AR146" s="7394"/>
      <c r="AS146" s="3193">
        <f>+AS145*AS144/(100-AS145)</f>
        <v>481.4334128529008</v>
      </c>
      <c r="AT146" s="5253"/>
      <c r="AU146" s="4406">
        <f>+AU145*AU144/(100-AU145)</f>
        <v>58.607594936708864</v>
      </c>
      <c r="AV146" s="7394"/>
      <c r="AW146" s="3193">
        <f>+AW145*AW144/(100-AW145)</f>
        <v>540.04100778960969</v>
      </c>
      <c r="AX146" s="5253"/>
      <c r="AY146" s="4406">
        <f>+AY145*AY144/(100-AY145)</f>
        <v>58.607594936708864</v>
      </c>
      <c r="AZ146" s="7414"/>
      <c r="BA146" s="5029">
        <f>+BA145*BA144/(100-BA145)</f>
        <v>154</v>
      </c>
      <c r="BB146" s="7414"/>
      <c r="BC146" s="5029">
        <f>+BC145*BC144/(100-BC145)</f>
        <v>1175.4744206425105</v>
      </c>
      <c r="BD146" s="6614"/>
      <c r="BE146" s="6615">
        <f>+BE145*BE144/(100-BE145)</f>
        <v>598.64860272631847</v>
      </c>
    </row>
    <row r="147" spans="2:57" x14ac:dyDescent="0.2">
      <c r="B147" s="7909" t="s">
        <v>1080</v>
      </c>
      <c r="C147" s="7907" t="s">
        <v>170</v>
      </c>
      <c r="D147" s="7897"/>
      <c r="E147" s="2750">
        <f>+E144+E146</f>
        <v>3325.6856540084395</v>
      </c>
      <c r="F147" s="7393"/>
      <c r="G147" s="2750">
        <f>+G144+G146</f>
        <v>3958.4810126582279</v>
      </c>
      <c r="H147" s="7394"/>
      <c r="I147" s="3193">
        <f>+I144+I146</f>
        <v>7284.166666666667</v>
      </c>
      <c r="J147" s="5253"/>
      <c r="K147" s="2750">
        <f>+K144+K146</f>
        <v>4736.3291463755231</v>
      </c>
      <c r="L147" s="7414"/>
      <c r="M147" s="5029">
        <f>+M144+M146</f>
        <v>12020.495813042191</v>
      </c>
      <c r="N147" s="5253"/>
      <c r="O147" s="4406">
        <f>+O144+O146</f>
        <v>4693.6708860759491</v>
      </c>
      <c r="P147" s="7394"/>
      <c r="Q147" s="3193">
        <f>+Q144+Q146</f>
        <v>16714.166699118141</v>
      </c>
      <c r="R147" s="5253"/>
      <c r="S147" s="4406">
        <f>+S144+S146</f>
        <v>3615.1898734177216</v>
      </c>
      <c r="T147" s="7394"/>
      <c r="U147" s="3193">
        <f>+U144+U146</f>
        <v>20329.35657253586</v>
      </c>
      <c r="V147" s="5253"/>
      <c r="W147" s="4406">
        <f>+W144+W146</f>
        <v>3219.2405063291139</v>
      </c>
      <c r="X147" s="7414"/>
      <c r="Y147" s="5029">
        <f>+Y144+Y146</f>
        <v>11528.101265822785</v>
      </c>
      <c r="Z147" s="6614"/>
      <c r="AA147" s="6615">
        <f>+AA144+AA146</f>
        <v>23548.597078864976</v>
      </c>
      <c r="AB147" s="5253"/>
      <c r="AC147" s="4406">
        <f>+AC144+AC146</f>
        <v>4469.8734177215192</v>
      </c>
      <c r="AD147" s="7394"/>
      <c r="AE147" s="3193">
        <f>+AE144+AE146</f>
        <v>28018.470496586495</v>
      </c>
      <c r="AF147" s="5253"/>
      <c r="AG147" s="4406">
        <f>+AG144+AG146</f>
        <v>2337.2151898734178</v>
      </c>
      <c r="AH147" s="7394"/>
      <c r="AI147" s="3193">
        <f>+AI144+AI146</f>
        <v>30355.68568645991</v>
      </c>
      <c r="AJ147" s="5253"/>
      <c r="AK147" s="4406">
        <f>+AK144+AK146</f>
        <v>5216.2025316455693</v>
      </c>
      <c r="AL147" s="7414"/>
      <c r="AM147" s="5029">
        <f>+AM144+AM146</f>
        <v>12023.291139240506</v>
      </c>
      <c r="AN147" s="7394"/>
      <c r="AO147" s="3193">
        <f>+AO144+AO146</f>
        <v>35571.88821810548</v>
      </c>
      <c r="AP147" s="5253"/>
      <c r="AQ147" s="4406">
        <f>+AQ144+AQ146</f>
        <v>2942.7848101265822</v>
      </c>
      <c r="AR147" s="7394"/>
      <c r="AS147" s="3193">
        <f>+AS144+AS146</f>
        <v>38514.673028232064</v>
      </c>
      <c r="AT147" s="5253"/>
      <c r="AU147" s="4406">
        <f>+AU144+AU146</f>
        <v>4688.6075949367087</v>
      </c>
      <c r="AV147" s="7394"/>
      <c r="AW147" s="3193">
        <f>+AW144+AW146</f>
        <v>43203.280623168772</v>
      </c>
      <c r="AX147" s="5253"/>
      <c r="AY147" s="4406">
        <f>+AY144+AY146</f>
        <v>4688.6075949367087</v>
      </c>
      <c r="AZ147" s="7414"/>
      <c r="BA147" s="5029">
        <f>+BA144+BA146</f>
        <v>12320</v>
      </c>
      <c r="BB147" s="7414"/>
      <c r="BC147" s="5029">
        <f>+BC144+BC146</f>
        <v>94037.953651400836</v>
      </c>
      <c r="BD147" s="6614"/>
      <c r="BE147" s="6615">
        <f>+BE144+BE146</f>
        <v>47891.88821810548</v>
      </c>
    </row>
    <row r="148" spans="2:57" x14ac:dyDescent="0.2">
      <c r="D148" s="7897"/>
      <c r="E148" s="7897"/>
      <c r="F148" s="7897"/>
      <c r="G148" s="7897"/>
      <c r="H148" s="7897"/>
      <c r="I148" s="7897"/>
      <c r="J148" s="7897"/>
      <c r="K148" s="7897"/>
      <c r="L148" s="7897"/>
      <c r="M148" s="7897"/>
      <c r="N148" s="7897"/>
      <c r="O148" s="7897"/>
      <c r="P148" s="7897"/>
      <c r="Q148" s="7897"/>
      <c r="R148" s="7897"/>
      <c r="S148" s="7897"/>
      <c r="T148" s="7897"/>
      <c r="U148" s="7897"/>
      <c r="V148" s="7897"/>
      <c r="W148" s="7897"/>
      <c r="X148" s="7897"/>
      <c r="Y148" s="7897"/>
      <c r="Z148" s="7897"/>
      <c r="AA148" s="7897"/>
      <c r="AB148" s="7897"/>
      <c r="AC148" s="7897"/>
      <c r="AD148" s="7897"/>
      <c r="AE148" s="7897"/>
      <c r="AF148" s="7897"/>
      <c r="AG148" s="7897"/>
      <c r="AH148" s="7897"/>
      <c r="AI148" s="7897"/>
      <c r="AJ148" s="7897"/>
      <c r="AK148" s="7897"/>
      <c r="AL148" s="7897"/>
      <c r="AM148" s="7897"/>
      <c r="AN148" s="7897"/>
      <c r="AO148" s="7897"/>
      <c r="AP148" s="8011"/>
      <c r="AQ148" s="8011"/>
      <c r="AR148" s="8011"/>
      <c r="AS148" s="8011"/>
      <c r="AT148" s="7897"/>
      <c r="AU148" s="7897"/>
      <c r="AV148" s="7897"/>
      <c r="AW148" s="7897"/>
    </row>
    <row r="149" spans="2:57" x14ac:dyDescent="0.2">
      <c r="D149" s="7897"/>
      <c r="E149" s="7897"/>
      <c r="F149" s="7897"/>
      <c r="G149" s="7897"/>
      <c r="H149" s="7897"/>
      <c r="I149" s="7897"/>
      <c r="J149" s="7897"/>
      <c r="K149" s="7897"/>
      <c r="L149" s="7897"/>
      <c r="M149" s="7897"/>
      <c r="N149" s="7897"/>
      <c r="O149" s="7897"/>
      <c r="P149" s="7897"/>
      <c r="Q149" s="7897"/>
      <c r="R149" s="7897"/>
      <c r="S149" s="7897"/>
      <c r="T149" s="7897"/>
      <c r="U149" s="7897"/>
      <c r="V149" s="7897"/>
      <c r="W149" s="7897"/>
      <c r="X149" s="7897"/>
      <c r="Y149" s="7897"/>
      <c r="Z149" s="7897"/>
      <c r="AA149" s="7897"/>
      <c r="AB149" s="7897"/>
      <c r="AC149" s="7897"/>
      <c r="AD149" s="7897"/>
      <c r="AE149" s="7897"/>
      <c r="AF149" s="7897"/>
      <c r="AG149" s="7897"/>
      <c r="AH149" s="7897"/>
      <c r="AI149" s="7897"/>
      <c r="AJ149" s="7897"/>
      <c r="AK149" s="7897"/>
      <c r="AL149" s="7897"/>
      <c r="AM149" s="7897"/>
      <c r="AN149" s="7897"/>
      <c r="AO149" s="7897"/>
      <c r="AP149" s="8011"/>
      <c r="AQ149" s="8011"/>
      <c r="AR149" s="8011"/>
      <c r="AS149" s="8011"/>
      <c r="AT149" s="7897"/>
      <c r="AU149" s="7897"/>
      <c r="AV149" s="7897"/>
      <c r="AW149" s="7897"/>
    </row>
    <row r="150" spans="2:57" x14ac:dyDescent="0.2">
      <c r="D150" s="7897"/>
      <c r="E150" s="7897"/>
      <c r="F150" s="7897"/>
      <c r="G150" s="7897"/>
      <c r="H150" s="7897"/>
      <c r="I150" s="7897"/>
      <c r="J150" s="7897"/>
      <c r="K150" s="7897"/>
      <c r="L150" s="7897"/>
      <c r="M150" s="7897"/>
      <c r="N150" s="7897"/>
      <c r="O150" s="7897"/>
      <c r="P150" s="7897"/>
      <c r="Q150" s="7897"/>
      <c r="R150" s="7897"/>
      <c r="S150" s="7897"/>
      <c r="T150" s="7897"/>
      <c r="U150" s="7897"/>
      <c r="V150" s="7897"/>
      <c r="W150" s="7897"/>
      <c r="X150" s="7897"/>
      <c r="Y150" s="7897"/>
      <c r="Z150" s="7897"/>
      <c r="AA150" s="7897"/>
      <c r="AB150" s="7897"/>
      <c r="AC150" s="7897"/>
      <c r="AD150" s="7897"/>
      <c r="AE150" s="7897"/>
      <c r="AF150" s="7897"/>
      <c r="AG150" s="7897"/>
      <c r="AH150" s="7897"/>
      <c r="AI150" s="7897"/>
      <c r="AJ150" s="7897"/>
      <c r="AK150" s="7897"/>
      <c r="AL150" s="7897"/>
      <c r="AM150" s="7897"/>
      <c r="AN150" s="7897"/>
      <c r="AO150" s="7897"/>
      <c r="AP150" s="8011"/>
      <c r="AQ150" s="8011"/>
      <c r="AR150" s="8011"/>
      <c r="AS150" s="8011"/>
      <c r="AT150" s="7897"/>
      <c r="AU150" s="7897"/>
      <c r="AV150" s="7897"/>
      <c r="AW150" s="7897"/>
    </row>
    <row r="151" spans="2:57" x14ac:dyDescent="0.2">
      <c r="D151" s="7897"/>
      <c r="E151" s="7897"/>
      <c r="F151" s="7897"/>
      <c r="G151" s="7897"/>
      <c r="H151" s="7897"/>
      <c r="I151" s="7897"/>
      <c r="J151" s="7897"/>
      <c r="K151" s="7897"/>
      <c r="L151" s="7897"/>
      <c r="M151" s="7897"/>
      <c r="N151" s="7897"/>
      <c r="O151" s="7897"/>
      <c r="P151" s="7897"/>
      <c r="Q151" s="7897"/>
      <c r="R151" s="7897"/>
      <c r="S151" s="7897"/>
      <c r="T151" s="7897"/>
      <c r="U151" s="7897"/>
      <c r="V151" s="7897"/>
      <c r="W151" s="7897"/>
      <c r="X151" s="7897"/>
      <c r="Y151" s="7897"/>
      <c r="Z151" s="7897"/>
      <c r="AA151" s="7897"/>
      <c r="AB151" s="7897"/>
      <c r="AC151" s="7897"/>
      <c r="AD151" s="7897"/>
      <c r="AE151" s="7897"/>
      <c r="AF151" s="7897"/>
      <c r="AG151" s="7897"/>
      <c r="AH151" s="7897"/>
      <c r="AI151" s="7897"/>
      <c r="AJ151" s="7897"/>
      <c r="AK151" s="7897"/>
      <c r="AL151" s="7897"/>
      <c r="AM151" s="7897"/>
      <c r="AN151" s="7897"/>
      <c r="AO151" s="7897"/>
      <c r="AP151" s="8011"/>
      <c r="AQ151" s="8011"/>
      <c r="AR151" s="7897"/>
      <c r="AS151" s="7897"/>
      <c r="AT151" s="7897"/>
      <c r="AU151" s="7897"/>
      <c r="AV151" s="7897"/>
      <c r="AW151" s="7897"/>
    </row>
    <row r="152" spans="2:57" x14ac:dyDescent="0.2">
      <c r="D152" s="7897"/>
      <c r="E152" s="7897"/>
      <c r="F152" s="7897"/>
      <c r="G152" s="7897"/>
      <c r="H152" s="7897"/>
      <c r="I152" s="7897"/>
      <c r="J152" s="7897"/>
      <c r="K152" s="7897"/>
      <c r="L152" s="7897"/>
      <c r="M152" s="7897"/>
      <c r="N152" s="7897"/>
      <c r="O152" s="7897"/>
      <c r="P152" s="7897"/>
      <c r="Q152" s="7897"/>
      <c r="R152" s="7897"/>
      <c r="S152" s="7897"/>
      <c r="T152" s="7897"/>
      <c r="U152" s="7897"/>
      <c r="V152" s="7897"/>
      <c r="W152" s="7897"/>
      <c r="X152" s="7897"/>
      <c r="Y152" s="7897"/>
      <c r="Z152" s="7897"/>
      <c r="AA152" s="7897"/>
      <c r="AB152" s="7897"/>
      <c r="AC152" s="7897"/>
      <c r="AD152" s="7897"/>
      <c r="AE152" s="7897"/>
      <c r="AF152" s="7897"/>
      <c r="AG152" s="7897"/>
      <c r="AH152" s="7897"/>
      <c r="AI152" s="7897"/>
      <c r="AJ152" s="7897"/>
      <c r="AK152" s="7897"/>
      <c r="AL152" s="7897"/>
      <c r="AM152" s="7897"/>
      <c r="AN152" s="7897"/>
      <c r="AO152" s="7897"/>
      <c r="AP152" s="8011"/>
      <c r="AQ152" s="8011"/>
      <c r="AR152" s="7897"/>
      <c r="AS152" s="7897"/>
      <c r="AT152" s="7897"/>
      <c r="AU152" s="7897"/>
      <c r="AV152" s="7897"/>
      <c r="AW152" s="7897"/>
    </row>
    <row r="153" spans="2:57" x14ac:dyDescent="0.2">
      <c r="D153" s="7897"/>
      <c r="E153" s="7897"/>
      <c r="F153" s="7897"/>
      <c r="G153" s="7897"/>
      <c r="H153" s="7897"/>
      <c r="I153" s="7897"/>
      <c r="J153" s="7897"/>
      <c r="K153" s="7897"/>
      <c r="L153" s="7897"/>
      <c r="M153" s="7897"/>
      <c r="N153" s="7897"/>
      <c r="O153" s="7897"/>
      <c r="P153" s="7897"/>
      <c r="Q153" s="7897"/>
      <c r="R153" s="7897"/>
      <c r="S153" s="7897"/>
      <c r="T153" s="7897"/>
      <c r="U153" s="7897"/>
      <c r="V153" s="7897"/>
      <c r="W153" s="7897"/>
      <c r="X153" s="7897"/>
      <c r="Y153" s="7897"/>
      <c r="Z153" s="7897"/>
      <c r="AA153" s="7897"/>
      <c r="AB153" s="7897"/>
      <c r="AC153" s="7897"/>
      <c r="AD153" s="7897"/>
      <c r="AE153" s="7897"/>
      <c r="AF153" s="7897"/>
      <c r="AG153" s="7897"/>
      <c r="AH153" s="7897"/>
      <c r="AI153" s="7897"/>
      <c r="AJ153" s="7897"/>
      <c r="AK153" s="7897"/>
      <c r="AL153" s="7897"/>
      <c r="AM153" s="7897"/>
      <c r="AN153" s="7897"/>
      <c r="AO153" s="7897"/>
      <c r="AP153" s="8011"/>
      <c r="AQ153" s="8011"/>
      <c r="AR153" s="7897"/>
      <c r="AS153" s="7897"/>
      <c r="AT153" s="7897"/>
      <c r="AU153" s="7897"/>
      <c r="AV153" s="7897"/>
      <c r="AW153" s="7897"/>
    </row>
    <row r="154" spans="2:57" x14ac:dyDescent="0.2">
      <c r="AB154" s="7321"/>
      <c r="AC154" s="7321"/>
      <c r="AD154" s="7321"/>
      <c r="AE154" s="7321"/>
      <c r="AP154" s="8011"/>
      <c r="AQ154" s="8011"/>
    </row>
    <row r="155" spans="2:57" x14ac:dyDescent="0.2">
      <c r="AB155" s="7321"/>
      <c r="AC155" s="7321"/>
      <c r="AD155" s="7321"/>
      <c r="AE155" s="7321"/>
      <c r="AP155" s="8011"/>
      <c r="AQ155" s="8011"/>
    </row>
    <row r="156" spans="2:57" x14ac:dyDescent="0.2">
      <c r="AB156" s="7321"/>
      <c r="AC156" s="7321"/>
      <c r="AD156" s="7321"/>
      <c r="AE156" s="7321"/>
      <c r="AP156" s="8011"/>
      <c r="AQ156" s="8011"/>
    </row>
    <row r="157" spans="2:57" x14ac:dyDescent="0.2">
      <c r="AB157" s="7321"/>
      <c r="AC157" s="7321"/>
      <c r="AD157" s="7321"/>
      <c r="AE157" s="7321"/>
      <c r="AP157" s="8011"/>
      <c r="AQ157" s="8011"/>
    </row>
    <row r="158" spans="2:57" x14ac:dyDescent="0.2">
      <c r="AB158" s="7321"/>
      <c r="AC158" s="7321"/>
      <c r="AD158" s="7321"/>
      <c r="AE158" s="7321"/>
      <c r="AP158" s="8011"/>
      <c r="AQ158" s="8011"/>
    </row>
    <row r="159" spans="2:57" x14ac:dyDescent="0.2">
      <c r="AB159" s="7321"/>
      <c r="AC159" s="7321"/>
      <c r="AD159" s="7321"/>
      <c r="AE159" s="7321"/>
    </row>
    <row r="160" spans="2:57" x14ac:dyDescent="0.2">
      <c r="AB160" s="7321"/>
      <c r="AC160" s="7321"/>
      <c r="AD160" s="7321"/>
      <c r="AE160" s="7321"/>
    </row>
  </sheetData>
  <mergeCells count="29">
    <mergeCell ref="AP3:AQ3"/>
    <mergeCell ref="AR3:AS3"/>
    <mergeCell ref="R3:S3"/>
    <mergeCell ref="T3:U3"/>
    <mergeCell ref="J3:K3"/>
    <mergeCell ref="L3:M3"/>
    <mergeCell ref="N3:O3"/>
    <mergeCell ref="P3:Q3"/>
    <mergeCell ref="AJ3:AK3"/>
    <mergeCell ref="AL3:AM3"/>
    <mergeCell ref="AN3:AO3"/>
    <mergeCell ref="V3:W3"/>
    <mergeCell ref="Z3:AA3"/>
    <mergeCell ref="X3:Y3"/>
    <mergeCell ref="AF3:AG3"/>
    <mergeCell ref="AH3:AI3"/>
    <mergeCell ref="AB3:AC3"/>
    <mergeCell ref="AD3:AE3"/>
    <mergeCell ref="B3:B4"/>
    <mergeCell ref="C3:C4"/>
    <mergeCell ref="D3:E3"/>
    <mergeCell ref="F3:G3"/>
    <mergeCell ref="H3:I3"/>
    <mergeCell ref="AX3:AY3"/>
    <mergeCell ref="AZ3:BA3"/>
    <mergeCell ref="BD3:BE3"/>
    <mergeCell ref="BB3:BC3"/>
    <mergeCell ref="AT3:AU3"/>
    <mergeCell ref="AV3:AW3"/>
  </mergeCells>
  <pageMargins left="0.7" right="0.7" top="0.25" bottom="0.25" header="0.3" footer="0.3"/>
  <pageSetup scale="6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 tint="-0.499984740745262"/>
    <pageSetUpPr fitToPage="1"/>
  </sheetPr>
  <dimension ref="A1:BN194"/>
  <sheetViews>
    <sheetView zoomScale="80" zoomScaleNormal="80" workbookViewId="0">
      <pane xSplit="3" topLeftCell="BB1" activePane="topRight" state="frozen"/>
      <selection pane="topRight" activeCell="AY98" sqref="AY98"/>
    </sheetView>
  </sheetViews>
  <sheetFormatPr baseColWidth="10" defaultColWidth="8.83203125" defaultRowHeight="15" x14ac:dyDescent="0.2"/>
  <cols>
    <col min="2" max="2" width="51.1640625" customWidth="1"/>
    <col min="3" max="3" width="15.5" customWidth="1"/>
    <col min="4" max="4" width="11.83203125" style="2100" customWidth="1"/>
    <col min="5" max="5" width="47.5" style="2265" customWidth="1"/>
    <col min="6" max="6" width="11.83203125" style="2100" customWidth="1"/>
    <col min="7" max="7" width="50.6640625" style="2265" customWidth="1"/>
    <col min="8" max="8" width="11.83203125" style="2100" customWidth="1"/>
    <col min="9" max="9" width="46.5" style="2265" customWidth="1"/>
    <col min="10" max="10" width="17.1640625" style="2100" customWidth="1"/>
    <col min="11" max="11" width="52.33203125" customWidth="1"/>
    <col min="12" max="12" width="27.6640625" style="2100" customWidth="1"/>
    <col min="13" max="13" width="38.1640625" customWidth="1"/>
    <col min="14" max="14" width="16.1640625" style="2100" customWidth="1"/>
    <col min="15" max="15" width="50.1640625" customWidth="1"/>
    <col min="16" max="16" width="13" style="2100" customWidth="1"/>
    <col min="17" max="17" width="38.1640625" customWidth="1"/>
    <col min="18" max="18" width="17.5" customWidth="1"/>
    <col min="19" max="19" width="51.6640625" customWidth="1"/>
    <col min="20" max="20" width="13.5" customWidth="1"/>
    <col min="21" max="21" width="51.6640625" customWidth="1"/>
    <col min="22" max="22" width="11.83203125" customWidth="1"/>
    <col min="23" max="23" width="42.5" customWidth="1"/>
    <col min="24" max="25" width="13.5" style="6851" customWidth="1"/>
    <col min="26" max="26" width="13.5" customWidth="1"/>
    <col min="27" max="27" width="51.6640625" customWidth="1"/>
    <col min="28" max="28" width="11.83203125" bestFit="1" customWidth="1"/>
    <col min="29" max="29" width="51.6640625" bestFit="1" customWidth="1"/>
    <col min="30" max="30" width="13.5" bestFit="1" customWidth="1"/>
    <col min="31" max="31" width="51.6640625" bestFit="1" customWidth="1"/>
    <col min="32" max="32" width="15.83203125" customWidth="1"/>
    <col min="33" max="33" width="51.6640625" bestFit="1" customWidth="1"/>
    <col min="34" max="34" width="13.5" bestFit="1" customWidth="1"/>
    <col min="35" max="35" width="51.6640625" bestFit="1" customWidth="1"/>
    <col min="36" max="36" width="11.83203125" bestFit="1" customWidth="1"/>
    <col min="37" max="37" width="51.6640625" bestFit="1" customWidth="1"/>
    <col min="38" max="38" width="11.83203125" bestFit="1" customWidth="1"/>
    <col min="39" max="39" width="51.6640625" bestFit="1" customWidth="1"/>
    <col min="40" max="40" width="13.5" bestFit="1" customWidth="1"/>
    <col min="41" max="41" width="51.6640625" bestFit="1" customWidth="1"/>
    <col min="42" max="42" width="18.83203125" customWidth="1"/>
    <col min="43" max="43" width="51.6640625" bestFit="1" customWidth="1"/>
    <col min="44" max="44" width="13.5" bestFit="1" customWidth="1"/>
    <col min="45" max="45" width="51.6640625" bestFit="1" customWidth="1"/>
    <col min="46" max="46" width="17.1640625" customWidth="1"/>
    <col min="47" max="47" width="38" customWidth="1"/>
    <col min="48" max="48" width="18" customWidth="1"/>
    <col min="49" max="49" width="37.5" customWidth="1"/>
    <col min="50" max="50" width="17.1640625" style="8260" customWidth="1"/>
    <col min="51" max="51" width="38" style="8260" customWidth="1"/>
    <col min="52" max="52" width="21.1640625" style="8260" customWidth="1"/>
    <col min="53" max="53" width="38.1640625" style="8260" customWidth="1"/>
    <col min="54" max="54" width="21.1640625" style="8260" customWidth="1"/>
    <col min="55" max="55" width="38.1640625" style="8260" customWidth="1"/>
    <col min="56" max="56" width="26.1640625" style="8260" customWidth="1"/>
    <col min="57" max="57" width="41.83203125" style="8260" customWidth="1"/>
  </cols>
  <sheetData>
    <row r="1" spans="1:66" ht="23" x14ac:dyDescent="0.25">
      <c r="B1" s="1641" t="s">
        <v>758</v>
      </c>
      <c r="C1" s="2814" t="s">
        <v>1297</v>
      </c>
      <c r="D1" s="3402"/>
      <c r="E1" s="2318"/>
      <c r="F1" s="2842"/>
      <c r="G1" s="2318"/>
      <c r="H1" s="2842"/>
      <c r="I1" s="2318"/>
      <c r="J1" s="2874"/>
      <c r="K1" s="1901"/>
      <c r="L1" s="2842"/>
      <c r="M1" s="1721"/>
      <c r="N1" s="2874"/>
      <c r="P1" s="2842"/>
      <c r="Q1" s="1721"/>
      <c r="R1" s="1673"/>
      <c r="AU1" s="1673"/>
      <c r="AY1" s="1673"/>
    </row>
    <row r="2" spans="1:66" ht="16" thickBot="1" x14ac:dyDescent="0.25">
      <c r="B2" s="1537"/>
      <c r="C2" s="2813" t="s">
        <v>1298</v>
      </c>
      <c r="D2" s="2842">
        <v>30</v>
      </c>
      <c r="E2" s="2318">
        <v>30</v>
      </c>
      <c r="F2" s="2842">
        <v>31</v>
      </c>
      <c r="G2" s="2318">
        <v>31</v>
      </c>
      <c r="H2" s="2842">
        <f>+D2+F2</f>
        <v>61</v>
      </c>
      <c r="I2" s="2318">
        <f>+E2+G2</f>
        <v>61</v>
      </c>
      <c r="J2" s="2842">
        <v>30</v>
      </c>
      <c r="K2" s="1721">
        <v>30</v>
      </c>
      <c r="L2" s="2842">
        <f>+H2+J2</f>
        <v>91</v>
      </c>
      <c r="M2" s="1721">
        <f>+I2+K2</f>
        <v>91</v>
      </c>
      <c r="N2" s="2842">
        <v>31</v>
      </c>
      <c r="O2" s="1721">
        <v>31</v>
      </c>
      <c r="P2" s="2842">
        <f>+L2+N2</f>
        <v>122</v>
      </c>
      <c r="Q2" s="1721">
        <f>+M2+O2</f>
        <v>122</v>
      </c>
      <c r="R2" s="2842">
        <v>31</v>
      </c>
      <c r="S2" s="1721">
        <v>31</v>
      </c>
      <c r="T2" s="2842">
        <f>+P2+R2</f>
        <v>153</v>
      </c>
      <c r="U2" s="1721">
        <f>+Q2+S2</f>
        <v>153</v>
      </c>
      <c r="V2" s="2842">
        <v>30</v>
      </c>
      <c r="W2" s="1721">
        <v>30</v>
      </c>
      <c r="X2" s="2842">
        <f>+T2+V2</f>
        <v>183</v>
      </c>
      <c r="Y2" s="1721">
        <f>+U2+W2</f>
        <v>183</v>
      </c>
      <c r="Z2" s="2842">
        <f>+T2+V2</f>
        <v>183</v>
      </c>
      <c r="AA2" s="1721">
        <f>+U2+W2</f>
        <v>183</v>
      </c>
      <c r="AB2" s="2842">
        <v>31</v>
      </c>
      <c r="AC2" s="1721">
        <v>31</v>
      </c>
      <c r="AD2" s="2842">
        <f>+Z2+AB2</f>
        <v>214</v>
      </c>
      <c r="AE2" s="1721">
        <f>+AA2+AC2</f>
        <v>214</v>
      </c>
      <c r="AF2" s="2842">
        <v>30</v>
      </c>
      <c r="AG2" s="1721">
        <v>30</v>
      </c>
      <c r="AH2" s="2842">
        <f>+AD2+AF2</f>
        <v>244</v>
      </c>
      <c r="AI2" s="1721">
        <f>+AE2+AG2</f>
        <v>244</v>
      </c>
      <c r="AJ2" s="2842">
        <v>31</v>
      </c>
      <c r="AK2" s="1721">
        <v>31</v>
      </c>
      <c r="AL2" s="2842">
        <f>+AB2+AF2+AJ2</f>
        <v>92</v>
      </c>
      <c r="AM2" s="2842">
        <f>+AC2+AG2+AK2</f>
        <v>92</v>
      </c>
      <c r="AN2" s="2842">
        <f>+AH2+AJ2</f>
        <v>275</v>
      </c>
      <c r="AO2" s="1721">
        <f>+AI2+AK2</f>
        <v>275</v>
      </c>
      <c r="AP2" s="2842">
        <v>31</v>
      </c>
      <c r="AQ2" s="1721">
        <v>31</v>
      </c>
      <c r="AR2" s="2842">
        <f>+AN2+AP2</f>
        <v>306</v>
      </c>
      <c r="AS2" s="1721">
        <f>+AO2+AQ2</f>
        <v>306</v>
      </c>
      <c r="AT2">
        <v>28</v>
      </c>
      <c r="AU2">
        <v>28</v>
      </c>
      <c r="AV2">
        <f>+AR2+AT2</f>
        <v>334</v>
      </c>
      <c r="AW2">
        <f>+AS2+AU2</f>
        <v>334</v>
      </c>
      <c r="AX2" s="8260">
        <v>31</v>
      </c>
      <c r="AY2" s="8260">
        <v>31</v>
      </c>
      <c r="AZ2" s="2842">
        <f>+AX2+AT2+AP2</f>
        <v>90</v>
      </c>
      <c r="BA2" s="2842">
        <f>+AY2+AU2+AQ2</f>
        <v>90</v>
      </c>
      <c r="BB2" s="2842">
        <f>+AZ2+AL2</f>
        <v>182</v>
      </c>
      <c r="BC2" s="2842">
        <f>+BA2+AM2</f>
        <v>182</v>
      </c>
      <c r="BD2" s="2842">
        <f>+AV2+AX2</f>
        <v>365</v>
      </c>
      <c r="BE2" s="1721">
        <f>+AW2+AY2</f>
        <v>365</v>
      </c>
    </row>
    <row r="3" spans="1:66" ht="20" customHeight="1" thickBot="1" x14ac:dyDescent="0.25">
      <c r="B3" s="8821" t="s">
        <v>657</v>
      </c>
      <c r="C3" s="8894" t="s">
        <v>658</v>
      </c>
      <c r="D3" s="8779" t="s">
        <v>1859</v>
      </c>
      <c r="E3" s="8825"/>
      <c r="F3" s="8779" t="s">
        <v>1862</v>
      </c>
      <c r="G3" s="8779"/>
      <c r="H3" s="8806" t="s">
        <v>52</v>
      </c>
      <c r="I3" s="8807"/>
      <c r="J3" s="8845" t="s">
        <v>1863</v>
      </c>
      <c r="K3" s="8846"/>
      <c r="L3" s="8896" t="s">
        <v>1568</v>
      </c>
      <c r="M3" s="8869"/>
      <c r="N3" s="8872" t="s">
        <v>2154</v>
      </c>
      <c r="O3" s="8872"/>
      <c r="P3" s="8806" t="s">
        <v>62</v>
      </c>
      <c r="Q3" s="8807"/>
      <c r="R3" s="8872" t="s">
        <v>2160</v>
      </c>
      <c r="S3" s="8872"/>
      <c r="T3" s="8806" t="s">
        <v>64</v>
      </c>
      <c r="U3" s="8807"/>
      <c r="V3" s="8872" t="s">
        <v>2227</v>
      </c>
      <c r="W3" s="8872"/>
      <c r="X3" s="8868" t="s">
        <v>1717</v>
      </c>
      <c r="Y3" s="8869"/>
      <c r="Z3" s="8871" t="s">
        <v>1697</v>
      </c>
      <c r="AA3" s="8767"/>
      <c r="AB3" s="8779" t="s">
        <v>2265</v>
      </c>
      <c r="AC3" s="8779"/>
      <c r="AD3" s="8806" t="s">
        <v>101</v>
      </c>
      <c r="AE3" s="8807"/>
      <c r="AF3" s="8872" t="s">
        <v>2423</v>
      </c>
      <c r="AG3" s="8872"/>
      <c r="AH3" s="8806" t="s">
        <v>105</v>
      </c>
      <c r="AI3" s="8807"/>
      <c r="AJ3" s="8872" t="s">
        <v>2449</v>
      </c>
      <c r="AK3" s="8872"/>
      <c r="AL3" s="8868" t="s">
        <v>1756</v>
      </c>
      <c r="AM3" s="8869"/>
      <c r="AN3" s="8897" t="s">
        <v>108</v>
      </c>
      <c r="AO3" s="8807"/>
      <c r="AP3" s="8872" t="s">
        <v>2533</v>
      </c>
      <c r="AQ3" s="8872"/>
      <c r="AR3" s="8806" t="s">
        <v>110</v>
      </c>
      <c r="AS3" s="8807"/>
      <c r="AT3" s="8872" t="s">
        <v>2577</v>
      </c>
      <c r="AU3" s="8872"/>
      <c r="AV3" s="8806" t="s">
        <v>113</v>
      </c>
      <c r="AW3" s="8807"/>
      <c r="AX3" s="8872" t="s">
        <v>2600</v>
      </c>
      <c r="AY3" s="8872"/>
      <c r="AZ3" s="8868" t="s">
        <v>1757</v>
      </c>
      <c r="BA3" s="8869"/>
      <c r="BB3" s="8868" t="s">
        <v>1842</v>
      </c>
      <c r="BC3" s="8869"/>
      <c r="BD3" s="8871" t="s">
        <v>1865</v>
      </c>
      <c r="BE3" s="8767"/>
      <c r="BN3" s="8260"/>
    </row>
    <row r="4" spans="1:66" ht="20" customHeight="1" thickBot="1" x14ac:dyDescent="0.25">
      <c r="B4" s="8822"/>
      <c r="C4" s="8895"/>
      <c r="D4" s="4471" t="s">
        <v>659</v>
      </c>
      <c r="E4" s="4427" t="s">
        <v>660</v>
      </c>
      <c r="F4" s="4471" t="s">
        <v>659</v>
      </c>
      <c r="G4" s="4450" t="s">
        <v>660</v>
      </c>
      <c r="H4" s="4472" t="s">
        <v>659</v>
      </c>
      <c r="I4" s="4462" t="s">
        <v>660</v>
      </c>
      <c r="J4" s="4121" t="s">
        <v>659</v>
      </c>
      <c r="K4" s="4107" t="s">
        <v>660</v>
      </c>
      <c r="L4" s="6075" t="s">
        <v>659</v>
      </c>
      <c r="M4" s="4112" t="s">
        <v>660</v>
      </c>
      <c r="N4" s="6114" t="s">
        <v>659</v>
      </c>
      <c r="O4" s="6115" t="s">
        <v>660</v>
      </c>
      <c r="P4" s="4472" t="s">
        <v>659</v>
      </c>
      <c r="Q4" s="4462" t="s">
        <v>660</v>
      </c>
      <c r="R4" s="6114" t="s">
        <v>659</v>
      </c>
      <c r="S4" s="6115" t="s">
        <v>660</v>
      </c>
      <c r="T4" s="4472" t="s">
        <v>659</v>
      </c>
      <c r="U4" s="4462" t="s">
        <v>660</v>
      </c>
      <c r="V4" s="6114" t="s">
        <v>659</v>
      </c>
      <c r="W4" s="7035" t="s">
        <v>660</v>
      </c>
      <c r="X4" s="4812" t="s">
        <v>659</v>
      </c>
      <c r="Y4" s="4112" t="s">
        <v>660</v>
      </c>
      <c r="Z4" s="6941" t="s">
        <v>659</v>
      </c>
      <c r="AA4" s="6942" t="s">
        <v>660</v>
      </c>
      <c r="AB4" s="6114" t="s">
        <v>659</v>
      </c>
      <c r="AC4" s="6115" t="s">
        <v>660</v>
      </c>
      <c r="AD4" s="4472" t="s">
        <v>659</v>
      </c>
      <c r="AE4" s="4462" t="s">
        <v>660</v>
      </c>
      <c r="AF4" s="6114" t="s">
        <v>659</v>
      </c>
      <c r="AG4" s="6115" t="s">
        <v>660</v>
      </c>
      <c r="AH4" s="4472" t="s">
        <v>659</v>
      </c>
      <c r="AI4" s="4462" t="s">
        <v>660</v>
      </c>
      <c r="AJ4" s="6114" t="s">
        <v>659</v>
      </c>
      <c r="AK4" s="7035" t="s">
        <v>660</v>
      </c>
      <c r="AL4" s="7757" t="s">
        <v>659</v>
      </c>
      <c r="AM4" s="4112" t="s">
        <v>660</v>
      </c>
      <c r="AN4" s="4472" t="s">
        <v>659</v>
      </c>
      <c r="AO4" s="4462" t="s">
        <v>660</v>
      </c>
      <c r="AP4" s="6114" t="s">
        <v>659</v>
      </c>
      <c r="AQ4" s="7035" t="s">
        <v>660</v>
      </c>
      <c r="AR4" s="8088" t="s">
        <v>659</v>
      </c>
      <c r="AS4" s="4462" t="s">
        <v>660</v>
      </c>
      <c r="AT4" s="6114" t="s">
        <v>659</v>
      </c>
      <c r="AU4" s="7035" t="s">
        <v>660</v>
      </c>
      <c r="AV4" s="8166" t="s">
        <v>659</v>
      </c>
      <c r="AW4" s="4462" t="s">
        <v>660</v>
      </c>
      <c r="AX4" s="6114" t="s">
        <v>659</v>
      </c>
      <c r="AY4" s="7035" t="s">
        <v>660</v>
      </c>
      <c r="AZ4" s="8317" t="s">
        <v>659</v>
      </c>
      <c r="BA4" s="4112" t="s">
        <v>660</v>
      </c>
      <c r="BB4" s="8317" t="s">
        <v>659</v>
      </c>
      <c r="BC4" s="4112" t="s">
        <v>660</v>
      </c>
      <c r="BD4" s="8318" t="s">
        <v>659</v>
      </c>
      <c r="BE4" s="6942" t="s">
        <v>660</v>
      </c>
    </row>
    <row r="5" spans="1:66" ht="20" customHeight="1" thickBot="1" x14ac:dyDescent="0.25">
      <c r="B5" s="4122" t="s">
        <v>764</v>
      </c>
      <c r="C5" s="1599" t="s">
        <v>170</v>
      </c>
      <c r="D5" s="1734">
        <v>129292</v>
      </c>
      <c r="E5" s="4394">
        <v>129292</v>
      </c>
      <c r="F5" s="1734">
        <v>134303</v>
      </c>
      <c r="G5" s="4394">
        <v>134303</v>
      </c>
      <c r="H5" s="1743">
        <f>+D5+F5</f>
        <v>263595</v>
      </c>
      <c r="I5" s="5609">
        <f>+E5+G5</f>
        <v>263595</v>
      </c>
      <c r="J5" s="1734">
        <v>161947</v>
      </c>
      <c r="K5" s="4394">
        <v>147382</v>
      </c>
      <c r="L5" s="2045">
        <f>+H5+J5</f>
        <v>425542</v>
      </c>
      <c r="M5" s="6131">
        <f>+I5+K5</f>
        <v>410977</v>
      </c>
      <c r="N5" s="4750">
        <v>221247</v>
      </c>
      <c r="O5" s="6116">
        <v>160929</v>
      </c>
      <c r="P5" s="1743">
        <f>+L5+N5</f>
        <v>646789</v>
      </c>
      <c r="Q5" s="5609">
        <f>+M5+O5</f>
        <v>571906</v>
      </c>
      <c r="R5" s="4750">
        <v>219958</v>
      </c>
      <c r="S5" s="6116">
        <v>172012</v>
      </c>
      <c r="T5" s="1743">
        <f>+P5+R5</f>
        <v>866747</v>
      </c>
      <c r="U5" s="5609">
        <f>+Q5+S5</f>
        <v>743918</v>
      </c>
      <c r="V5" s="4750">
        <v>217063</v>
      </c>
      <c r="W5" s="7036">
        <v>83590</v>
      </c>
      <c r="X5" s="2556">
        <f>+N5+R5+V5</f>
        <v>658268</v>
      </c>
      <c r="Y5" s="7037">
        <f>+O5+S5+W5</f>
        <v>416531</v>
      </c>
      <c r="Z5" s="6943">
        <f>+T5+V5</f>
        <v>1083810</v>
      </c>
      <c r="AA5" s="6944">
        <f>+U5+W5</f>
        <v>827508</v>
      </c>
      <c r="AB5" s="4750">
        <v>114155</v>
      </c>
      <c r="AC5" s="6116">
        <v>98775</v>
      </c>
      <c r="AD5" s="1743">
        <f>+Z5+AB5</f>
        <v>1197965</v>
      </c>
      <c r="AE5" s="5609">
        <f>+AA5+AC5</f>
        <v>926283</v>
      </c>
      <c r="AF5" s="4750">
        <v>215955</v>
      </c>
      <c r="AG5" s="6116">
        <v>139620</v>
      </c>
      <c r="AH5" s="1743">
        <f>+AD5+AF5</f>
        <v>1413920</v>
      </c>
      <c r="AI5" s="5609">
        <f>+AE5+AG5</f>
        <v>1065903</v>
      </c>
      <c r="AJ5" s="4750">
        <v>226590</v>
      </c>
      <c r="AK5" s="7036">
        <v>167995</v>
      </c>
      <c r="AL5" s="2556">
        <f>+AB5+AF5+AJ5</f>
        <v>556700</v>
      </c>
      <c r="AM5" s="7037">
        <f>+AC5+AG5+AK5</f>
        <v>406390</v>
      </c>
      <c r="AN5" s="1743">
        <f>+AH5+AJ5</f>
        <v>1640510</v>
      </c>
      <c r="AO5" s="5609">
        <f>+AI5+AK5</f>
        <v>1233898</v>
      </c>
      <c r="AP5" s="4750">
        <v>222957.5</v>
      </c>
      <c r="AQ5" s="7036">
        <v>201367</v>
      </c>
      <c r="AR5" s="1743">
        <f>+AN5+AP5</f>
        <v>1863467.5</v>
      </c>
      <c r="AS5" s="5609">
        <f>+AO5+AQ5</f>
        <v>1435265</v>
      </c>
      <c r="AT5" s="4750">
        <v>206078</v>
      </c>
      <c r="AU5" s="7036">
        <v>189148</v>
      </c>
      <c r="AV5" s="1743">
        <f>+AR5+AT5</f>
        <v>2069545.5</v>
      </c>
      <c r="AW5" s="5609">
        <f>+AS5+AU5</f>
        <v>1624413</v>
      </c>
      <c r="AX5" s="4750">
        <v>227618</v>
      </c>
      <c r="AY5" s="7036">
        <v>223020</v>
      </c>
      <c r="AZ5" s="2556">
        <f>+AP5+AT5+AX5</f>
        <v>656653.5</v>
      </c>
      <c r="BA5" s="7037">
        <f>+AQ5+AU5+AY5</f>
        <v>613535</v>
      </c>
      <c r="BB5" s="2556">
        <f>+AZ5+AL5</f>
        <v>1213353.5</v>
      </c>
      <c r="BC5" s="7037">
        <f>+BA5+AM5</f>
        <v>1019925</v>
      </c>
      <c r="BD5" s="6943">
        <f>+AV5+AX5</f>
        <v>2297163.5</v>
      </c>
      <c r="BE5" s="6944">
        <f>+AW5+AY5</f>
        <v>1847433</v>
      </c>
    </row>
    <row r="6" spans="1:66" s="3380" customFormat="1" ht="20" customHeight="1" x14ac:dyDescent="0.2">
      <c r="B6" s="5315" t="s">
        <v>1075</v>
      </c>
      <c r="C6" s="5334"/>
      <c r="D6" s="5335"/>
      <c r="E6" s="4902"/>
      <c r="F6" s="5335"/>
      <c r="G6" s="4902"/>
      <c r="H6" s="5335"/>
      <c r="I6" s="4902"/>
      <c r="J6" s="5335"/>
      <c r="K6" s="4902"/>
      <c r="L6" s="5335"/>
      <c r="M6" s="4902"/>
      <c r="N6" s="5335"/>
      <c r="O6" s="4902"/>
      <c r="P6" s="5335"/>
      <c r="Q6" s="4902"/>
      <c r="R6" s="5335"/>
      <c r="S6" s="4902"/>
      <c r="T6" s="5335"/>
      <c r="U6" s="4902"/>
      <c r="V6" s="5335"/>
      <c r="W6" s="4902"/>
      <c r="X6" s="5335"/>
      <c r="Y6" s="4902"/>
      <c r="Z6" s="5335"/>
      <c r="AA6" s="4902"/>
      <c r="AB6" s="5335"/>
      <c r="AC6" s="4902"/>
      <c r="AD6" s="5335"/>
      <c r="AE6" s="4902"/>
      <c r="AF6" s="5335"/>
      <c r="AG6" s="4902"/>
      <c r="AH6" s="5335"/>
      <c r="AI6" s="4902"/>
      <c r="AJ6" s="5335"/>
      <c r="AK6" s="4902"/>
      <c r="AL6" s="5335"/>
      <c r="AM6" s="4902"/>
      <c r="AN6" s="7938"/>
      <c r="AO6" s="7939"/>
      <c r="AP6" s="5335"/>
      <c r="AQ6" s="4902"/>
      <c r="AR6" s="5335"/>
      <c r="AS6" s="4902"/>
      <c r="AT6" s="5335"/>
      <c r="AU6" s="4902"/>
      <c r="AV6" s="5335"/>
      <c r="AW6" s="4902"/>
      <c r="AX6" s="5335"/>
      <c r="AY6" s="4902"/>
      <c r="AZ6" s="5335"/>
      <c r="BA6" s="4902"/>
      <c r="BB6" s="5335"/>
      <c r="BC6" s="4902"/>
      <c r="BD6" s="5335"/>
      <c r="BE6" s="4902"/>
    </row>
    <row r="7" spans="1:66" ht="20" customHeight="1" x14ac:dyDescent="0.2">
      <c r="A7" s="8890" t="s">
        <v>1024</v>
      </c>
      <c r="B7" s="3995" t="s">
        <v>759</v>
      </c>
      <c r="C7" s="3996" t="s">
        <v>661</v>
      </c>
      <c r="D7" s="8873">
        <f>+(D5/D50)</f>
        <v>856.805831676607</v>
      </c>
      <c r="E7" s="4428">
        <v>457</v>
      </c>
      <c r="F7" s="8873">
        <f>+(F5/F50)</f>
        <v>887.00000000000023</v>
      </c>
      <c r="G7" s="4428">
        <v>490</v>
      </c>
      <c r="H7" s="8802">
        <f>+(H5/H50)</f>
        <v>1743.8058431079412</v>
      </c>
      <c r="I7" s="5610">
        <f>+E7+G7</f>
        <v>947</v>
      </c>
      <c r="J7" s="8873">
        <f>+(J5/J50)</f>
        <v>1079.6466666666668</v>
      </c>
      <c r="K7" s="4428">
        <v>470</v>
      </c>
      <c r="L7" s="8735">
        <f>+(L5/L50)</f>
        <v>2823.4524902924049</v>
      </c>
      <c r="M7" s="6132">
        <f>+I7+K7</f>
        <v>1417</v>
      </c>
      <c r="N7" s="8873">
        <f>+(N5/N50)</f>
        <v>1474.98</v>
      </c>
      <c r="O7" s="6117">
        <v>104</v>
      </c>
      <c r="P7" s="8802">
        <f>+(P5/P50)</f>
        <v>4298.4324794451959</v>
      </c>
      <c r="Q7" s="5610">
        <f>+M7+O7</f>
        <v>1521</v>
      </c>
      <c r="R7" s="8873">
        <f>+(R5/R50)</f>
        <v>1466.3866666666668</v>
      </c>
      <c r="S7" s="6117">
        <v>319</v>
      </c>
      <c r="T7" s="8802">
        <f>+(T5/T50)</f>
        <v>5764.819140817287</v>
      </c>
      <c r="U7" s="5610">
        <f>+Q7+S7</f>
        <v>1840</v>
      </c>
      <c r="V7" s="8873">
        <f>+(V5/V50)</f>
        <v>1447.0866666666666</v>
      </c>
      <c r="W7" s="6117">
        <v>259</v>
      </c>
      <c r="X7" s="8735">
        <f>+(X5/X50)</f>
        <v>4388.4533333333329</v>
      </c>
      <c r="Y7" s="6132">
        <f>+O7+S7+W7</f>
        <v>682</v>
      </c>
      <c r="Z7" s="8768">
        <f>+(Z5/Z50)</f>
        <v>7211.9058043658779</v>
      </c>
      <c r="AA7" s="6945">
        <f>+U7+W7</f>
        <v>2099</v>
      </c>
      <c r="AB7" s="8873">
        <f>+(AB5/AB50)</f>
        <v>761.0333333333333</v>
      </c>
      <c r="AC7" s="6117">
        <v>322</v>
      </c>
      <c r="AD7" s="8802">
        <f>+(AD5/AD50)</f>
        <v>7972.9391365127749</v>
      </c>
      <c r="AE7" s="5610">
        <f>+AA7+AC7</f>
        <v>2421</v>
      </c>
      <c r="AF7" s="8873">
        <f>+(AF5/AF50)</f>
        <v>1439.7</v>
      </c>
      <c r="AG7" s="6117">
        <v>460</v>
      </c>
      <c r="AH7" s="8802">
        <f>+(AH5/AH50)</f>
        <v>9412.6391443361354</v>
      </c>
      <c r="AI7" s="5610">
        <f>+AE7+AG7</f>
        <v>2881</v>
      </c>
      <c r="AJ7" s="8873">
        <f>+(AJ5/AJ50)</f>
        <v>1510.6</v>
      </c>
      <c r="AK7" s="6117">
        <v>516</v>
      </c>
      <c r="AL7" s="8735">
        <f>+(AL5/AL50)</f>
        <v>3711.3333333333335</v>
      </c>
      <c r="AM7" s="6132">
        <f>+AC7+AG7+AK7</f>
        <v>1298</v>
      </c>
      <c r="AN7" s="8802">
        <f>+(AN5/AN50)</f>
        <v>10923.239141699723</v>
      </c>
      <c r="AO7" s="5610">
        <f>+AI7+AK7</f>
        <v>3397</v>
      </c>
      <c r="AP7" s="8873">
        <f>+(AP5/AP50)</f>
        <v>1486.3833333333334</v>
      </c>
      <c r="AQ7" s="6117">
        <v>245</v>
      </c>
      <c r="AR7" s="8802">
        <f>+(AR5/AR50)</f>
        <v>12409.622476685445</v>
      </c>
      <c r="AS7" s="5610">
        <f>+AO7+AQ7</f>
        <v>3642</v>
      </c>
      <c r="AT7" s="8873">
        <f>+(AT5/AT50)</f>
        <v>1373.8533333333332</v>
      </c>
      <c r="AU7" s="6117">
        <v>605</v>
      </c>
      <c r="AV7" s="8802">
        <f>+(AV5/AV50)</f>
        <v>13783.475808216088</v>
      </c>
      <c r="AW7" s="5610">
        <f>+AS7+AU7</f>
        <v>4247</v>
      </c>
      <c r="AX7" s="8873">
        <f>+(AX5/AX50)</f>
        <v>1517.4533333333334</v>
      </c>
      <c r="AY7" s="6117">
        <v>640</v>
      </c>
      <c r="AZ7" s="8735">
        <f>+(AZ5/AZ50)</f>
        <v>6701.7269271459745</v>
      </c>
      <c r="BA7" s="6132">
        <f>+AQ7+AU7+AY7</f>
        <v>1490</v>
      </c>
      <c r="BB7" s="8735">
        <f>+(BB5/BB50)</f>
        <v>9958.0985755886213</v>
      </c>
      <c r="BC7" s="6132">
        <f>+BA7+AM7</f>
        <v>2788</v>
      </c>
      <c r="BD7" s="8768">
        <f>+(BD5/BD50)</f>
        <v>16984.898970671118</v>
      </c>
      <c r="BE7" s="6945">
        <f>+AW7+AY7</f>
        <v>4887</v>
      </c>
    </row>
    <row r="8" spans="1:66" ht="20" customHeight="1" x14ac:dyDescent="0.2">
      <c r="A8" s="8890"/>
      <c r="B8" s="3995" t="s">
        <v>760</v>
      </c>
      <c r="C8" s="3996" t="s">
        <v>661</v>
      </c>
      <c r="D8" s="8874"/>
      <c r="E8" s="4428">
        <v>0</v>
      </c>
      <c r="F8" s="8874"/>
      <c r="G8" s="4428">
        <v>74</v>
      </c>
      <c r="H8" s="8803"/>
      <c r="I8" s="5610">
        <f t="shared" ref="I8:I9" si="0">+E8+G8</f>
        <v>74</v>
      </c>
      <c r="J8" s="8874"/>
      <c r="K8" s="4428">
        <v>504</v>
      </c>
      <c r="L8" s="8736"/>
      <c r="M8" s="6132">
        <f t="shared" ref="M8:M9" si="1">+I8+K8</f>
        <v>578</v>
      </c>
      <c r="N8" s="8874"/>
      <c r="O8" s="6117">
        <v>527</v>
      </c>
      <c r="P8" s="8803"/>
      <c r="Q8" s="5610">
        <f t="shared" ref="Q8:Q9" si="2">+M8+O8</f>
        <v>1105</v>
      </c>
      <c r="R8" s="8874"/>
      <c r="S8" s="6117">
        <v>421</v>
      </c>
      <c r="T8" s="8803"/>
      <c r="U8" s="5610">
        <f t="shared" ref="U8:U9" si="3">+Q8+S8</f>
        <v>1526</v>
      </c>
      <c r="V8" s="8874"/>
      <c r="W8" s="6117">
        <v>70</v>
      </c>
      <c r="X8" s="8736"/>
      <c r="Y8" s="6132">
        <f t="shared" ref="Y8:Y14" si="4">+O8+S8+W8</f>
        <v>1018</v>
      </c>
      <c r="Z8" s="8769"/>
      <c r="AA8" s="6945">
        <f t="shared" ref="AA8:AA9" si="5">+U8+W8</f>
        <v>1596</v>
      </c>
      <c r="AB8" s="8874"/>
      <c r="AC8" s="6117">
        <v>0</v>
      </c>
      <c r="AD8" s="8803"/>
      <c r="AE8" s="5610">
        <f t="shared" ref="AE8:AE9" si="6">+AA8+AC8</f>
        <v>1596</v>
      </c>
      <c r="AF8" s="8874"/>
      <c r="AG8" s="6117">
        <v>0</v>
      </c>
      <c r="AH8" s="8803"/>
      <c r="AI8" s="5610">
        <f t="shared" ref="AI8:AI9" si="7">+AE8+AG8</f>
        <v>1596</v>
      </c>
      <c r="AJ8" s="8874"/>
      <c r="AK8" s="6117">
        <v>45</v>
      </c>
      <c r="AL8" s="8736"/>
      <c r="AM8" s="6132">
        <f t="shared" ref="AM8:AM9" si="8">+AC8+AG8+AK8</f>
        <v>45</v>
      </c>
      <c r="AN8" s="8803"/>
      <c r="AO8" s="5610">
        <f t="shared" ref="AO8:AO9" si="9">+AI8+AK8</f>
        <v>1641</v>
      </c>
      <c r="AP8" s="8874"/>
      <c r="AQ8" s="6117">
        <v>498</v>
      </c>
      <c r="AR8" s="8803"/>
      <c r="AS8" s="5610">
        <f t="shared" ref="AS8:AS9" si="10">+AO8+AQ8</f>
        <v>2139</v>
      </c>
      <c r="AT8" s="8874"/>
      <c r="AU8" s="6117">
        <v>244</v>
      </c>
      <c r="AV8" s="8803"/>
      <c r="AW8" s="5610">
        <f t="shared" ref="AW8:AW9" si="11">+AS8+AU8</f>
        <v>2383</v>
      </c>
      <c r="AX8" s="8874"/>
      <c r="AY8" s="6117">
        <v>398</v>
      </c>
      <c r="AZ8" s="8736"/>
      <c r="BA8" s="6132">
        <f t="shared" ref="BA8:BA9" si="12">+AQ8+AU8+AY8</f>
        <v>1140</v>
      </c>
      <c r="BB8" s="8736"/>
      <c r="BC8" s="6132">
        <f t="shared" ref="BC8:BC9" si="13">+BA8+AM8</f>
        <v>1185</v>
      </c>
      <c r="BD8" s="8769"/>
      <c r="BE8" s="6945">
        <f t="shared" ref="BE8:BE9" si="14">+AW8+AY8</f>
        <v>2781</v>
      </c>
    </row>
    <row r="9" spans="1:66" ht="20" customHeight="1" thickBot="1" x14ac:dyDescent="0.25">
      <c r="A9" s="8890"/>
      <c r="B9" s="3998" t="s">
        <v>761</v>
      </c>
      <c r="C9" s="3999" t="s">
        <v>661</v>
      </c>
      <c r="D9" s="8874"/>
      <c r="E9" s="4428">
        <v>411</v>
      </c>
      <c r="F9" s="8874"/>
      <c r="G9" s="4428">
        <v>334</v>
      </c>
      <c r="H9" s="8803"/>
      <c r="I9" s="5610">
        <f t="shared" si="0"/>
        <v>745</v>
      </c>
      <c r="J9" s="8874"/>
      <c r="K9" s="4428">
        <v>0</v>
      </c>
      <c r="L9" s="8736"/>
      <c r="M9" s="6132">
        <f t="shared" si="1"/>
        <v>745</v>
      </c>
      <c r="N9" s="8874"/>
      <c r="O9" s="6117">
        <v>446</v>
      </c>
      <c r="P9" s="8803"/>
      <c r="Q9" s="5610">
        <f t="shared" si="2"/>
        <v>1191</v>
      </c>
      <c r="R9" s="8874"/>
      <c r="S9" s="6117">
        <v>405</v>
      </c>
      <c r="T9" s="8803"/>
      <c r="U9" s="5610">
        <f t="shared" si="3"/>
        <v>1596</v>
      </c>
      <c r="V9" s="8874"/>
      <c r="W9" s="6117">
        <v>219</v>
      </c>
      <c r="X9" s="8736"/>
      <c r="Y9" s="6132">
        <f t="shared" si="4"/>
        <v>1070</v>
      </c>
      <c r="Z9" s="8769"/>
      <c r="AA9" s="6945">
        <f t="shared" si="5"/>
        <v>1815</v>
      </c>
      <c r="AB9" s="8874"/>
      <c r="AC9" s="6117">
        <v>337</v>
      </c>
      <c r="AD9" s="8803"/>
      <c r="AE9" s="5610">
        <f t="shared" si="6"/>
        <v>2152</v>
      </c>
      <c r="AF9" s="8874"/>
      <c r="AG9" s="6117">
        <v>467</v>
      </c>
      <c r="AH9" s="8803"/>
      <c r="AI9" s="5610">
        <f t="shared" si="7"/>
        <v>2619</v>
      </c>
      <c r="AJ9" s="8874"/>
      <c r="AK9" s="6117">
        <v>565</v>
      </c>
      <c r="AL9" s="8736"/>
      <c r="AM9" s="6132">
        <f t="shared" si="8"/>
        <v>1369</v>
      </c>
      <c r="AN9" s="8803"/>
      <c r="AO9" s="5610">
        <f t="shared" si="9"/>
        <v>3184</v>
      </c>
      <c r="AP9" s="8874"/>
      <c r="AQ9" s="6117">
        <v>600</v>
      </c>
      <c r="AR9" s="8803"/>
      <c r="AS9" s="5610">
        <f t="shared" si="10"/>
        <v>3784</v>
      </c>
      <c r="AT9" s="8874"/>
      <c r="AU9" s="6117">
        <v>407</v>
      </c>
      <c r="AV9" s="8803"/>
      <c r="AW9" s="5610">
        <f t="shared" si="11"/>
        <v>4191</v>
      </c>
      <c r="AX9" s="8874"/>
      <c r="AY9" s="6117">
        <v>437</v>
      </c>
      <c r="AZ9" s="8736"/>
      <c r="BA9" s="6132">
        <f t="shared" si="12"/>
        <v>1444</v>
      </c>
      <c r="BB9" s="8736"/>
      <c r="BC9" s="6132">
        <f t="shared" si="13"/>
        <v>2813</v>
      </c>
      <c r="BD9" s="8769"/>
      <c r="BE9" s="6945">
        <f t="shared" si="14"/>
        <v>4628</v>
      </c>
    </row>
    <row r="10" spans="1:66" ht="20" customHeight="1" thickBot="1" x14ac:dyDescent="0.25">
      <c r="A10" s="8890"/>
      <c r="B10" s="2739" t="s">
        <v>762</v>
      </c>
      <c r="C10" s="1599" t="s">
        <v>661</v>
      </c>
      <c r="D10" s="8875"/>
      <c r="E10" s="4429">
        <f>SUM(E7:E9)</f>
        <v>868</v>
      </c>
      <c r="F10" s="8875"/>
      <c r="G10" s="4429">
        <f>SUM(G7:G9)</f>
        <v>898</v>
      </c>
      <c r="H10" s="8804"/>
      <c r="I10" s="5611">
        <f>SUM(I7:I9)</f>
        <v>1766</v>
      </c>
      <c r="J10" s="8875"/>
      <c r="K10" s="4429">
        <f>SUM(K7:K9)</f>
        <v>974</v>
      </c>
      <c r="L10" s="8737"/>
      <c r="M10" s="6133">
        <f>SUM(M7:M9)</f>
        <v>2740</v>
      </c>
      <c r="N10" s="8875"/>
      <c r="O10" s="6118">
        <f>SUM(O7:O9)</f>
        <v>1077</v>
      </c>
      <c r="P10" s="8804"/>
      <c r="Q10" s="5611">
        <f>SUM(Q7:Q9)</f>
        <v>3817</v>
      </c>
      <c r="R10" s="8875"/>
      <c r="S10" s="6118">
        <f>SUM(S7:S9)</f>
        <v>1145</v>
      </c>
      <c r="T10" s="8804"/>
      <c r="U10" s="5611">
        <f>SUM(U7:U9)</f>
        <v>4962</v>
      </c>
      <c r="V10" s="8875"/>
      <c r="W10" s="6118">
        <f>SUM(W7:W9)</f>
        <v>548</v>
      </c>
      <c r="X10" s="8737"/>
      <c r="Y10" s="6133">
        <f>SUM(Y7:Y9)</f>
        <v>2770</v>
      </c>
      <c r="Z10" s="8770"/>
      <c r="AA10" s="6946">
        <f>SUM(AA7:AA9)</f>
        <v>5510</v>
      </c>
      <c r="AB10" s="8875"/>
      <c r="AC10" s="6118">
        <f>SUM(AC7:AC9)</f>
        <v>659</v>
      </c>
      <c r="AD10" s="8804"/>
      <c r="AE10" s="5611">
        <f>SUM(AE7:AE9)</f>
        <v>6169</v>
      </c>
      <c r="AF10" s="8875"/>
      <c r="AG10" s="6118">
        <f>SUM(AG7:AG9)</f>
        <v>927</v>
      </c>
      <c r="AH10" s="8804"/>
      <c r="AI10" s="5611">
        <f>SUM(AI7:AI9)</f>
        <v>7096</v>
      </c>
      <c r="AJ10" s="8875"/>
      <c r="AK10" s="6118">
        <f>SUM(AK7:AK9)</f>
        <v>1126</v>
      </c>
      <c r="AL10" s="8737"/>
      <c r="AM10" s="6133">
        <f>SUM(AM7:AM9)</f>
        <v>2712</v>
      </c>
      <c r="AN10" s="8804"/>
      <c r="AO10" s="5611">
        <f>SUM(AO7:AO9)</f>
        <v>8222</v>
      </c>
      <c r="AP10" s="8875"/>
      <c r="AQ10" s="6118">
        <f>SUM(AQ7:AQ9)</f>
        <v>1343</v>
      </c>
      <c r="AR10" s="8804"/>
      <c r="AS10" s="5611">
        <f>SUM(AS7:AS9)</f>
        <v>9565</v>
      </c>
      <c r="AT10" s="8875"/>
      <c r="AU10" s="6118">
        <f>SUM(AU7:AU9)</f>
        <v>1256</v>
      </c>
      <c r="AV10" s="8804"/>
      <c r="AW10" s="5611">
        <f>SUM(AW7:AW9)</f>
        <v>10821</v>
      </c>
      <c r="AX10" s="8875"/>
      <c r="AY10" s="6118">
        <f>SUM(AY7:AY9)</f>
        <v>1475</v>
      </c>
      <c r="AZ10" s="8737"/>
      <c r="BA10" s="6133">
        <f>SUM(BA7:BA9)</f>
        <v>4074</v>
      </c>
      <c r="BB10" s="8737"/>
      <c r="BC10" s="6133">
        <f>SUM(BC7:BC9)</f>
        <v>6786</v>
      </c>
      <c r="BD10" s="8770"/>
      <c r="BE10" s="6946">
        <f>SUM(BE7:BE9)</f>
        <v>12296</v>
      </c>
    </row>
    <row r="11" spans="1:66" ht="20" customHeight="1" x14ac:dyDescent="0.2">
      <c r="B11" s="4000" t="s">
        <v>1382</v>
      </c>
      <c r="C11" s="4001" t="s">
        <v>661</v>
      </c>
      <c r="D11" s="4002" t="s">
        <v>127</v>
      </c>
      <c r="E11" s="4430">
        <v>11</v>
      </c>
      <c r="F11" s="4002" t="s">
        <v>127</v>
      </c>
      <c r="G11" s="4430">
        <v>9</v>
      </c>
      <c r="H11" s="5612" t="s">
        <v>127</v>
      </c>
      <c r="I11" s="5613">
        <f>+E11+G11</f>
        <v>20</v>
      </c>
      <c r="J11" s="4002" t="s">
        <v>127</v>
      </c>
      <c r="K11" s="4430">
        <v>7</v>
      </c>
      <c r="L11" s="6134" t="s">
        <v>127</v>
      </c>
      <c r="M11" s="6135">
        <f>+I11+K11</f>
        <v>27</v>
      </c>
      <c r="N11" s="6119" t="s">
        <v>127</v>
      </c>
      <c r="O11" s="6120">
        <v>10</v>
      </c>
      <c r="P11" s="5612" t="s">
        <v>127</v>
      </c>
      <c r="Q11" s="5613">
        <f>+M11+O11</f>
        <v>37</v>
      </c>
      <c r="R11" s="6119" t="s">
        <v>127</v>
      </c>
      <c r="S11" s="6120">
        <v>15</v>
      </c>
      <c r="T11" s="5612" t="s">
        <v>127</v>
      </c>
      <c r="U11" s="5613">
        <f>+Q11+S11</f>
        <v>52</v>
      </c>
      <c r="V11" s="6119" t="s">
        <v>127</v>
      </c>
      <c r="W11" s="6120">
        <v>14</v>
      </c>
      <c r="X11" s="6134" t="s">
        <v>127</v>
      </c>
      <c r="Y11" s="6132">
        <f t="shared" si="4"/>
        <v>39</v>
      </c>
      <c r="Z11" s="6947" t="s">
        <v>127</v>
      </c>
      <c r="AA11" s="6948">
        <f>+U11+W11</f>
        <v>66</v>
      </c>
      <c r="AB11" s="6119" t="s">
        <v>127</v>
      </c>
      <c r="AC11" s="6120">
        <v>11</v>
      </c>
      <c r="AD11" s="5612" t="s">
        <v>127</v>
      </c>
      <c r="AE11" s="5613">
        <f>+AA11+AC11</f>
        <v>77</v>
      </c>
      <c r="AF11" s="6119" t="s">
        <v>127</v>
      </c>
      <c r="AG11" s="6120">
        <v>13</v>
      </c>
      <c r="AH11" s="5612" t="s">
        <v>127</v>
      </c>
      <c r="AI11" s="5613">
        <f>+AE11+AG11</f>
        <v>90</v>
      </c>
      <c r="AJ11" s="6119" t="s">
        <v>127</v>
      </c>
      <c r="AK11" s="6120">
        <v>6</v>
      </c>
      <c r="AL11" s="6134" t="s">
        <v>127</v>
      </c>
      <c r="AM11" s="6132">
        <f t="shared" ref="AM11:AM14" si="15">+AC11+AG11+AK11</f>
        <v>30</v>
      </c>
      <c r="AN11" s="5612" t="s">
        <v>127</v>
      </c>
      <c r="AO11" s="5613">
        <f>+AI11+AK11</f>
        <v>96</v>
      </c>
      <c r="AP11" s="6119" t="s">
        <v>127</v>
      </c>
      <c r="AQ11" s="6120">
        <v>8</v>
      </c>
      <c r="AR11" s="5612" t="s">
        <v>127</v>
      </c>
      <c r="AS11" s="5613">
        <f>+AO11+AQ11</f>
        <v>104</v>
      </c>
      <c r="AT11" s="6119" t="s">
        <v>127</v>
      </c>
      <c r="AU11" s="6120">
        <v>12</v>
      </c>
      <c r="AV11" s="5612" t="s">
        <v>127</v>
      </c>
      <c r="AW11" s="5613">
        <f>+AS11+AU11</f>
        <v>116</v>
      </c>
      <c r="AX11" s="6119" t="s">
        <v>127</v>
      </c>
      <c r="AY11" s="6120">
        <v>11</v>
      </c>
      <c r="AZ11" s="6134" t="s">
        <v>127</v>
      </c>
      <c r="BA11" s="6132">
        <f t="shared" ref="BA11:BA14" si="16">+AQ11+AU11+AY11</f>
        <v>31</v>
      </c>
      <c r="BB11" s="6134" t="s">
        <v>127</v>
      </c>
      <c r="BC11" s="6132">
        <f t="shared" ref="BC11:BC14" si="17">+BA11+AM11</f>
        <v>61</v>
      </c>
      <c r="BD11" s="6947" t="s">
        <v>127</v>
      </c>
      <c r="BE11" s="6948">
        <f>+AW11+AY11</f>
        <v>127</v>
      </c>
    </row>
    <row r="12" spans="1:66" ht="20" customHeight="1" x14ac:dyDescent="0.2">
      <c r="B12" s="4003" t="s">
        <v>350</v>
      </c>
      <c r="C12" s="3996" t="s">
        <v>661</v>
      </c>
      <c r="D12" s="4004" t="s">
        <v>127</v>
      </c>
      <c r="E12" s="4428">
        <v>9</v>
      </c>
      <c r="F12" s="4004" t="s">
        <v>127</v>
      </c>
      <c r="G12" s="4428">
        <v>6</v>
      </c>
      <c r="H12" s="4059" t="s">
        <v>127</v>
      </c>
      <c r="I12" s="5610">
        <f t="shared" ref="I12:I14" si="18">+E12+G12</f>
        <v>15</v>
      </c>
      <c r="J12" s="4004" t="s">
        <v>127</v>
      </c>
      <c r="K12" s="4428">
        <v>5</v>
      </c>
      <c r="L12" s="4058" t="s">
        <v>127</v>
      </c>
      <c r="M12" s="6132">
        <f t="shared" ref="M12:M14" si="19">+I12+K12</f>
        <v>20</v>
      </c>
      <c r="N12" s="6121" t="s">
        <v>127</v>
      </c>
      <c r="O12" s="6117">
        <v>6</v>
      </c>
      <c r="P12" s="4059" t="s">
        <v>127</v>
      </c>
      <c r="Q12" s="5610">
        <f t="shared" ref="Q12:Q14" si="20">+M12+O12</f>
        <v>26</v>
      </c>
      <c r="R12" s="6121" t="s">
        <v>127</v>
      </c>
      <c r="S12" s="6117">
        <v>10</v>
      </c>
      <c r="T12" s="4059" t="s">
        <v>127</v>
      </c>
      <c r="U12" s="5610">
        <f t="shared" ref="U12:U14" si="21">+Q12+S12</f>
        <v>36</v>
      </c>
      <c r="V12" s="6121" t="s">
        <v>127</v>
      </c>
      <c r="W12" s="6117">
        <v>3</v>
      </c>
      <c r="X12" s="4058" t="s">
        <v>127</v>
      </c>
      <c r="Y12" s="6132">
        <f t="shared" si="4"/>
        <v>19</v>
      </c>
      <c r="Z12" s="6949" t="s">
        <v>127</v>
      </c>
      <c r="AA12" s="6945">
        <f t="shared" ref="AA12:AA14" si="22">+U12+W12</f>
        <v>39</v>
      </c>
      <c r="AB12" s="6121" t="s">
        <v>127</v>
      </c>
      <c r="AC12" s="6117">
        <v>3</v>
      </c>
      <c r="AD12" s="4059" t="s">
        <v>127</v>
      </c>
      <c r="AE12" s="5610">
        <f t="shared" ref="AE12:AE14" si="23">+AA12+AC12</f>
        <v>42</v>
      </c>
      <c r="AF12" s="6121" t="s">
        <v>127</v>
      </c>
      <c r="AG12" s="6117">
        <v>7</v>
      </c>
      <c r="AH12" s="4059" t="s">
        <v>127</v>
      </c>
      <c r="AI12" s="5610">
        <f t="shared" ref="AI12:AI14" si="24">+AE12+AG12</f>
        <v>49</v>
      </c>
      <c r="AJ12" s="6121" t="s">
        <v>127</v>
      </c>
      <c r="AK12" s="6117">
        <v>3</v>
      </c>
      <c r="AL12" s="4058" t="s">
        <v>127</v>
      </c>
      <c r="AM12" s="6132">
        <f t="shared" si="15"/>
        <v>13</v>
      </c>
      <c r="AN12" s="4059" t="s">
        <v>127</v>
      </c>
      <c r="AO12" s="5610">
        <f t="shared" ref="AO12:AO14" si="25">+AI12+AK12</f>
        <v>52</v>
      </c>
      <c r="AP12" s="6121" t="s">
        <v>127</v>
      </c>
      <c r="AQ12" s="6117">
        <v>7</v>
      </c>
      <c r="AR12" s="4059" t="s">
        <v>127</v>
      </c>
      <c r="AS12" s="5610">
        <f t="shared" ref="AS12:AS14" si="26">+AO12+AQ12</f>
        <v>59</v>
      </c>
      <c r="AT12" s="6121" t="s">
        <v>127</v>
      </c>
      <c r="AU12" s="6117">
        <v>5</v>
      </c>
      <c r="AV12" s="4059" t="s">
        <v>127</v>
      </c>
      <c r="AW12" s="5610">
        <f t="shared" ref="AW12:AW14" si="27">+AS12+AU12</f>
        <v>64</v>
      </c>
      <c r="AX12" s="6121" t="s">
        <v>127</v>
      </c>
      <c r="AY12" s="6117">
        <v>3</v>
      </c>
      <c r="AZ12" s="4058" t="s">
        <v>127</v>
      </c>
      <c r="BA12" s="6132">
        <f t="shared" si="16"/>
        <v>15</v>
      </c>
      <c r="BB12" s="4058" t="s">
        <v>127</v>
      </c>
      <c r="BC12" s="6132">
        <f t="shared" si="17"/>
        <v>28</v>
      </c>
      <c r="BD12" s="6949" t="s">
        <v>127</v>
      </c>
      <c r="BE12" s="6945">
        <f t="shared" ref="BE12:BE14" si="28">+AW12+AY12</f>
        <v>67</v>
      </c>
    </row>
    <row r="13" spans="1:66" ht="33" customHeight="1" x14ac:dyDescent="0.2">
      <c r="B13" s="4003" t="s">
        <v>623</v>
      </c>
      <c r="C13" s="3996" t="s">
        <v>661</v>
      </c>
      <c r="D13" s="4004" t="s">
        <v>127</v>
      </c>
      <c r="E13" s="4428">
        <v>0</v>
      </c>
      <c r="F13" s="4004" t="s">
        <v>127</v>
      </c>
      <c r="G13" s="4428">
        <v>0</v>
      </c>
      <c r="H13" s="4059" t="s">
        <v>127</v>
      </c>
      <c r="I13" s="5610">
        <f t="shared" si="18"/>
        <v>0</v>
      </c>
      <c r="J13" s="4004" t="s">
        <v>127</v>
      </c>
      <c r="K13" s="4428">
        <v>0</v>
      </c>
      <c r="L13" s="4058" t="s">
        <v>127</v>
      </c>
      <c r="M13" s="6132">
        <f t="shared" si="19"/>
        <v>0</v>
      </c>
      <c r="N13" s="6121" t="s">
        <v>127</v>
      </c>
      <c r="O13" s="6117">
        <v>0</v>
      </c>
      <c r="P13" s="4059" t="s">
        <v>127</v>
      </c>
      <c r="Q13" s="5610">
        <f t="shared" si="20"/>
        <v>0</v>
      </c>
      <c r="R13" s="6121" t="s">
        <v>127</v>
      </c>
      <c r="S13" s="6117">
        <v>0</v>
      </c>
      <c r="T13" s="4059" t="s">
        <v>127</v>
      </c>
      <c r="U13" s="5610">
        <f t="shared" si="21"/>
        <v>0</v>
      </c>
      <c r="V13" s="6121" t="s">
        <v>127</v>
      </c>
      <c r="W13" s="6117">
        <v>0</v>
      </c>
      <c r="X13" s="4058" t="s">
        <v>127</v>
      </c>
      <c r="Y13" s="6132">
        <f t="shared" si="4"/>
        <v>0</v>
      </c>
      <c r="Z13" s="6949" t="s">
        <v>127</v>
      </c>
      <c r="AA13" s="6945">
        <f t="shared" si="22"/>
        <v>0</v>
      </c>
      <c r="AB13" s="6121" t="s">
        <v>127</v>
      </c>
      <c r="AC13" s="6117">
        <v>0</v>
      </c>
      <c r="AD13" s="4059" t="s">
        <v>127</v>
      </c>
      <c r="AE13" s="5610">
        <f t="shared" si="23"/>
        <v>0</v>
      </c>
      <c r="AF13" s="6121" t="s">
        <v>127</v>
      </c>
      <c r="AG13" s="6117">
        <v>0</v>
      </c>
      <c r="AH13" s="4059" t="s">
        <v>127</v>
      </c>
      <c r="AI13" s="5610">
        <f t="shared" si="24"/>
        <v>0</v>
      </c>
      <c r="AJ13" s="6121" t="s">
        <v>127</v>
      </c>
      <c r="AK13" s="6117">
        <v>0</v>
      </c>
      <c r="AL13" s="4058" t="s">
        <v>127</v>
      </c>
      <c r="AM13" s="6132">
        <f t="shared" si="15"/>
        <v>0</v>
      </c>
      <c r="AN13" s="4059" t="s">
        <v>127</v>
      </c>
      <c r="AO13" s="5610">
        <f t="shared" si="25"/>
        <v>0</v>
      </c>
      <c r="AP13" s="6121" t="s">
        <v>127</v>
      </c>
      <c r="AQ13" s="6117">
        <v>0</v>
      </c>
      <c r="AR13" s="4059" t="s">
        <v>127</v>
      </c>
      <c r="AS13" s="5610">
        <f t="shared" si="26"/>
        <v>0</v>
      </c>
      <c r="AT13" s="6121" t="s">
        <v>127</v>
      </c>
      <c r="AU13" s="6117">
        <v>0</v>
      </c>
      <c r="AV13" s="4059" t="s">
        <v>127</v>
      </c>
      <c r="AW13" s="5610">
        <f t="shared" si="27"/>
        <v>0</v>
      </c>
      <c r="AX13" s="6121" t="s">
        <v>127</v>
      </c>
      <c r="AY13" s="6117">
        <v>0</v>
      </c>
      <c r="AZ13" s="4058" t="s">
        <v>127</v>
      </c>
      <c r="BA13" s="6132">
        <f t="shared" si="16"/>
        <v>0</v>
      </c>
      <c r="BB13" s="4058" t="s">
        <v>127</v>
      </c>
      <c r="BC13" s="6132">
        <f t="shared" si="17"/>
        <v>0</v>
      </c>
      <c r="BD13" s="6949" t="s">
        <v>127</v>
      </c>
      <c r="BE13" s="6945">
        <f t="shared" si="28"/>
        <v>0</v>
      </c>
    </row>
    <row r="14" spans="1:66" ht="30" customHeight="1" thickBot="1" x14ac:dyDescent="0.25">
      <c r="B14" s="4005" t="s">
        <v>484</v>
      </c>
      <c r="C14" s="4006" t="s">
        <v>661</v>
      </c>
      <c r="D14" s="4007" t="s">
        <v>127</v>
      </c>
      <c r="E14" s="4431">
        <f>+E10+E13-E11-E27</f>
        <v>0</v>
      </c>
      <c r="F14" s="4007" t="s">
        <v>127</v>
      </c>
      <c r="G14" s="4431">
        <f>+G10+G13-G11-G27</f>
        <v>2</v>
      </c>
      <c r="H14" s="5614" t="s">
        <v>127</v>
      </c>
      <c r="I14" s="5615">
        <f t="shared" si="18"/>
        <v>2</v>
      </c>
      <c r="J14" s="4007" t="s">
        <v>127</v>
      </c>
      <c r="K14" s="4431">
        <f>+K10+K13-K11-K27</f>
        <v>-1</v>
      </c>
      <c r="L14" s="6136" t="s">
        <v>127</v>
      </c>
      <c r="M14" s="6137">
        <f t="shared" si="19"/>
        <v>1</v>
      </c>
      <c r="N14" s="6122" t="s">
        <v>127</v>
      </c>
      <c r="O14" s="6123">
        <f>+O10+O13-O11-O27</f>
        <v>1</v>
      </c>
      <c r="P14" s="5614" t="s">
        <v>127</v>
      </c>
      <c r="Q14" s="5615">
        <f t="shared" si="20"/>
        <v>2</v>
      </c>
      <c r="R14" s="6122" t="s">
        <v>127</v>
      </c>
      <c r="S14" s="6123">
        <f>+S10+S13-S11-S27</f>
        <v>0</v>
      </c>
      <c r="T14" s="5614" t="s">
        <v>127</v>
      </c>
      <c r="U14" s="5615">
        <f t="shared" si="21"/>
        <v>2</v>
      </c>
      <c r="V14" s="6122" t="s">
        <v>127</v>
      </c>
      <c r="W14" s="6123">
        <f>+W10+W13-W11-W27</f>
        <v>-4</v>
      </c>
      <c r="X14" s="6136" t="s">
        <v>127</v>
      </c>
      <c r="Y14" s="6132">
        <f t="shared" si="4"/>
        <v>-3</v>
      </c>
      <c r="Z14" s="6950" t="s">
        <v>127</v>
      </c>
      <c r="AA14" s="6951">
        <f t="shared" si="22"/>
        <v>-2</v>
      </c>
      <c r="AB14" s="6122" t="s">
        <v>127</v>
      </c>
      <c r="AC14" s="6123">
        <f>+AC10+AC13-AC11-AC27</f>
        <v>4</v>
      </c>
      <c r="AD14" s="5614" t="s">
        <v>127</v>
      </c>
      <c r="AE14" s="5615">
        <f t="shared" si="23"/>
        <v>2</v>
      </c>
      <c r="AF14" s="6122" t="s">
        <v>127</v>
      </c>
      <c r="AG14" s="6123">
        <f>+AG10+AG13-AG11-AG27</f>
        <v>-4</v>
      </c>
      <c r="AH14" s="5614" t="s">
        <v>127</v>
      </c>
      <c r="AI14" s="5615">
        <f t="shared" si="24"/>
        <v>-2</v>
      </c>
      <c r="AJ14" s="6122" t="s">
        <v>127</v>
      </c>
      <c r="AK14" s="6123">
        <f>+AK10+AK13-AK11-AK27</f>
        <v>9</v>
      </c>
      <c r="AL14" s="6136" t="s">
        <v>127</v>
      </c>
      <c r="AM14" s="6132">
        <f t="shared" si="15"/>
        <v>9</v>
      </c>
      <c r="AN14" s="5614" t="s">
        <v>127</v>
      </c>
      <c r="AO14" s="5615">
        <f t="shared" si="25"/>
        <v>7</v>
      </c>
      <c r="AP14" s="6122" t="s">
        <v>127</v>
      </c>
      <c r="AQ14" s="6123">
        <f>+AQ10+AQ13-AQ11-AQ27</f>
        <v>0</v>
      </c>
      <c r="AR14" s="5614" t="s">
        <v>127</v>
      </c>
      <c r="AS14" s="5615">
        <f t="shared" si="26"/>
        <v>7</v>
      </c>
      <c r="AT14" s="6122" t="s">
        <v>127</v>
      </c>
      <c r="AU14" s="6123">
        <f>+AU10+AU13-AU11-AU27</f>
        <v>1</v>
      </c>
      <c r="AV14" s="5614" t="s">
        <v>127</v>
      </c>
      <c r="AW14" s="5615">
        <f t="shared" si="27"/>
        <v>8</v>
      </c>
      <c r="AX14" s="6122" t="s">
        <v>127</v>
      </c>
      <c r="AY14" s="6123">
        <f>+AY10+AY13-AY11-AY27</f>
        <v>3</v>
      </c>
      <c r="AZ14" s="6136" t="s">
        <v>127</v>
      </c>
      <c r="BA14" s="6132">
        <f t="shared" si="16"/>
        <v>4</v>
      </c>
      <c r="BB14" s="6136" t="s">
        <v>127</v>
      </c>
      <c r="BC14" s="6132">
        <f t="shared" si="17"/>
        <v>13</v>
      </c>
      <c r="BD14" s="6950" t="s">
        <v>127</v>
      </c>
      <c r="BE14" s="6951">
        <f t="shared" si="28"/>
        <v>11</v>
      </c>
    </row>
    <row r="15" spans="1:66" ht="152.25" customHeight="1" x14ac:dyDescent="0.2">
      <c r="B15" s="4000" t="s">
        <v>773</v>
      </c>
      <c r="C15" s="4008" t="s">
        <v>661</v>
      </c>
      <c r="D15" s="4601"/>
      <c r="E15" s="5064" t="s">
        <v>1911</v>
      </c>
      <c r="F15" s="4601"/>
      <c r="G15" s="5064" t="s">
        <v>2020</v>
      </c>
      <c r="H15" s="5616"/>
      <c r="I15" s="4120" t="s">
        <v>2020</v>
      </c>
      <c r="J15" s="4601"/>
      <c r="K15" s="5064" t="s">
        <v>2106</v>
      </c>
      <c r="L15" s="4009"/>
      <c r="M15" s="5824" t="s">
        <v>2106</v>
      </c>
      <c r="N15" s="4601"/>
      <c r="O15" s="5064" t="s">
        <v>2157</v>
      </c>
      <c r="P15" s="5616"/>
      <c r="Q15" s="4120" t="s">
        <v>2157</v>
      </c>
      <c r="R15" s="4601"/>
      <c r="S15" s="5064" t="s">
        <v>2224</v>
      </c>
      <c r="T15" s="5616"/>
      <c r="U15" s="4120" t="s">
        <v>2224</v>
      </c>
      <c r="V15" s="4601"/>
      <c r="W15" s="5064" t="s">
        <v>2244</v>
      </c>
      <c r="X15" s="4009"/>
      <c r="Y15" s="5824" t="s">
        <v>2244</v>
      </c>
      <c r="Z15" s="6952"/>
      <c r="AA15" s="6953" t="s">
        <v>2244</v>
      </c>
      <c r="AB15" s="4601"/>
      <c r="AC15" s="5064" t="s">
        <v>2348</v>
      </c>
      <c r="AD15" s="5616"/>
      <c r="AE15" s="4120" t="s">
        <v>2348</v>
      </c>
      <c r="AF15" s="4601"/>
      <c r="AG15" s="5064" t="s">
        <v>2426</v>
      </c>
      <c r="AH15" s="5616"/>
      <c r="AI15" s="4120" t="s">
        <v>2426</v>
      </c>
      <c r="AJ15" s="4601"/>
      <c r="AK15" s="5064" t="s">
        <v>2458</v>
      </c>
      <c r="AL15" s="4009"/>
      <c r="AM15" s="5824" t="s">
        <v>2458</v>
      </c>
      <c r="AN15" s="5616"/>
      <c r="AO15" s="4120" t="s">
        <v>2458</v>
      </c>
      <c r="AP15" s="4601"/>
      <c r="AQ15" s="5064" t="s">
        <v>2542</v>
      </c>
      <c r="AR15" s="5616"/>
      <c r="AS15" s="4120" t="s">
        <v>2542</v>
      </c>
      <c r="AT15" s="4601"/>
      <c r="AU15" s="5064" t="s">
        <v>2597</v>
      </c>
      <c r="AV15" s="5616"/>
      <c r="AW15" s="4120" t="s">
        <v>2597</v>
      </c>
      <c r="AX15" s="4601"/>
      <c r="AY15" s="5064"/>
      <c r="AZ15" s="4009"/>
      <c r="BA15" s="5824" t="s">
        <v>2244</v>
      </c>
      <c r="BB15" s="4009"/>
      <c r="BC15" s="5824"/>
      <c r="BD15" s="6952"/>
      <c r="BE15" s="6953" t="s">
        <v>2244</v>
      </c>
    </row>
    <row r="16" spans="1:66" ht="191.25" customHeight="1" x14ac:dyDescent="0.2">
      <c r="B16" s="4003" t="s">
        <v>774</v>
      </c>
      <c r="C16" s="4010" t="s">
        <v>661</v>
      </c>
      <c r="D16" s="4602" t="s">
        <v>127</v>
      </c>
      <c r="E16" s="4117" t="s">
        <v>1912</v>
      </c>
      <c r="F16" s="4602" t="s">
        <v>127</v>
      </c>
      <c r="G16" s="4117" t="s">
        <v>2021</v>
      </c>
      <c r="H16" s="5617"/>
      <c r="I16" s="4119" t="s">
        <v>2021</v>
      </c>
      <c r="J16" s="4602" t="s">
        <v>127</v>
      </c>
      <c r="K16" s="4117" t="s">
        <v>2107</v>
      </c>
      <c r="L16" s="4011"/>
      <c r="M16" s="5825" t="s">
        <v>2107</v>
      </c>
      <c r="N16" s="4602" t="s">
        <v>127</v>
      </c>
      <c r="O16" s="4117" t="s">
        <v>2158</v>
      </c>
      <c r="P16" s="5617"/>
      <c r="Q16" s="4119" t="s">
        <v>2158</v>
      </c>
      <c r="R16" s="4602" t="s">
        <v>127</v>
      </c>
      <c r="S16" s="4117" t="s">
        <v>2225</v>
      </c>
      <c r="T16" s="5617"/>
      <c r="U16" s="4119" t="s">
        <v>2225</v>
      </c>
      <c r="V16" s="4602" t="s">
        <v>127</v>
      </c>
      <c r="W16" s="4117" t="s">
        <v>2245</v>
      </c>
      <c r="X16" s="4011"/>
      <c r="Y16" s="5825" t="s">
        <v>2245</v>
      </c>
      <c r="Z16" s="6954"/>
      <c r="AA16" s="6955" t="s">
        <v>2245</v>
      </c>
      <c r="AB16" s="4602" t="s">
        <v>127</v>
      </c>
      <c r="AC16" s="4117" t="s">
        <v>2245</v>
      </c>
      <c r="AD16" s="5617"/>
      <c r="AE16" s="4119" t="s">
        <v>2245</v>
      </c>
      <c r="AF16" s="4602" t="s">
        <v>127</v>
      </c>
      <c r="AG16" s="4117" t="s">
        <v>2245</v>
      </c>
      <c r="AH16" s="5617"/>
      <c r="AI16" s="4119" t="s">
        <v>2245</v>
      </c>
      <c r="AJ16" s="4602" t="s">
        <v>127</v>
      </c>
      <c r="AK16" s="4117" t="s">
        <v>2459</v>
      </c>
      <c r="AL16" s="4011"/>
      <c r="AM16" s="5825" t="s">
        <v>2459</v>
      </c>
      <c r="AN16" s="5617"/>
      <c r="AO16" s="4119" t="s">
        <v>2459</v>
      </c>
      <c r="AP16" s="4602" t="s">
        <v>127</v>
      </c>
      <c r="AQ16" s="4117" t="s">
        <v>2543</v>
      </c>
      <c r="AR16" s="5617"/>
      <c r="AS16" s="4119" t="s">
        <v>2543</v>
      </c>
      <c r="AT16" s="4602" t="s">
        <v>127</v>
      </c>
      <c r="AU16" s="4117" t="s">
        <v>2598</v>
      </c>
      <c r="AV16" s="5617"/>
      <c r="AW16" s="4119" t="s">
        <v>2598</v>
      </c>
      <c r="AX16" s="4602" t="s">
        <v>127</v>
      </c>
      <c r="AY16" s="4117"/>
      <c r="AZ16" s="4011"/>
      <c r="BA16" s="5825" t="s">
        <v>2245</v>
      </c>
      <c r="BB16" s="4011"/>
      <c r="BC16" s="5825"/>
      <c r="BD16" s="6954"/>
      <c r="BE16" s="6955" t="s">
        <v>2245</v>
      </c>
    </row>
    <row r="17" spans="1:57" ht="110.25" customHeight="1" thickBot="1" x14ac:dyDescent="0.25">
      <c r="B17" s="4005" t="s">
        <v>775</v>
      </c>
      <c r="C17" s="4012" t="s">
        <v>661</v>
      </c>
      <c r="D17" s="4603" t="s">
        <v>127</v>
      </c>
      <c r="E17" s="4118" t="s">
        <v>1913</v>
      </c>
      <c r="F17" s="4603" t="s">
        <v>127</v>
      </c>
      <c r="G17" s="4118" t="s">
        <v>2022</v>
      </c>
      <c r="H17" s="5618"/>
      <c r="I17" s="4116" t="s">
        <v>2022</v>
      </c>
      <c r="J17" s="4603" t="s">
        <v>127</v>
      </c>
      <c r="K17" s="4118" t="s">
        <v>2022</v>
      </c>
      <c r="L17" s="4013"/>
      <c r="M17" s="5826" t="s">
        <v>2022</v>
      </c>
      <c r="N17" s="4603" t="s">
        <v>127</v>
      </c>
      <c r="O17" s="4118" t="s">
        <v>2159</v>
      </c>
      <c r="P17" s="5618"/>
      <c r="Q17" s="4116" t="s">
        <v>2159</v>
      </c>
      <c r="R17" s="4603" t="s">
        <v>127</v>
      </c>
      <c r="S17" s="4118" t="s">
        <v>2226</v>
      </c>
      <c r="T17" s="5618"/>
      <c r="U17" s="4116" t="s">
        <v>2226</v>
      </c>
      <c r="V17" s="4603" t="s">
        <v>127</v>
      </c>
      <c r="W17" s="4118" t="s">
        <v>2246</v>
      </c>
      <c r="X17" s="4013"/>
      <c r="Y17" s="5826" t="s">
        <v>2246</v>
      </c>
      <c r="Z17" s="6956"/>
      <c r="AA17" s="6957" t="s">
        <v>2246</v>
      </c>
      <c r="AB17" s="4603" t="s">
        <v>127</v>
      </c>
      <c r="AC17" s="4118" t="s">
        <v>2349</v>
      </c>
      <c r="AD17" s="5618"/>
      <c r="AE17" s="4116" t="s">
        <v>2349</v>
      </c>
      <c r="AF17" s="4603" t="s">
        <v>127</v>
      </c>
      <c r="AG17" s="4118" t="s">
        <v>2427</v>
      </c>
      <c r="AH17" s="5618"/>
      <c r="AI17" s="4116" t="s">
        <v>2427</v>
      </c>
      <c r="AJ17" s="4603" t="s">
        <v>127</v>
      </c>
      <c r="AK17" s="4118" t="s">
        <v>2460</v>
      </c>
      <c r="AL17" s="4013"/>
      <c r="AM17" s="5826" t="s">
        <v>2460</v>
      </c>
      <c r="AN17" s="5618"/>
      <c r="AO17" s="4116" t="s">
        <v>2460</v>
      </c>
      <c r="AP17" s="4603" t="s">
        <v>127</v>
      </c>
      <c r="AQ17" s="4118" t="s">
        <v>2544</v>
      </c>
      <c r="AR17" s="5618"/>
      <c r="AS17" s="4116" t="s">
        <v>2544</v>
      </c>
      <c r="AT17" s="4603" t="s">
        <v>127</v>
      </c>
      <c r="AU17" s="4118" t="s">
        <v>2599</v>
      </c>
      <c r="AV17" s="5618"/>
      <c r="AW17" s="4116" t="s">
        <v>2599</v>
      </c>
      <c r="AX17" s="4603" t="s">
        <v>127</v>
      </c>
      <c r="AY17" s="4118"/>
      <c r="AZ17" s="4013"/>
      <c r="BA17" s="5826" t="s">
        <v>2246</v>
      </c>
      <c r="BB17" s="4013"/>
      <c r="BC17" s="5826"/>
      <c r="BD17" s="6956"/>
      <c r="BE17" s="6957" t="s">
        <v>2246</v>
      </c>
    </row>
    <row r="18" spans="1:57" ht="20" customHeight="1" x14ac:dyDescent="0.2">
      <c r="B18" s="4014" t="s">
        <v>2155</v>
      </c>
      <c r="C18" s="3997" t="s">
        <v>170</v>
      </c>
      <c r="D18" s="4364">
        <v>140356</v>
      </c>
      <c r="E18" s="4432">
        <v>137124</v>
      </c>
      <c r="F18" s="5476">
        <v>148888</v>
      </c>
      <c r="G18" s="4432">
        <v>146436</v>
      </c>
      <c r="H18" s="5477">
        <f>+D18+F18</f>
        <v>289244</v>
      </c>
      <c r="I18" s="5619">
        <f>+E18+G18</f>
        <v>283560</v>
      </c>
      <c r="J18" s="5776">
        <v>176029.34782608695</v>
      </c>
      <c r="K18" s="4432">
        <v>162254</v>
      </c>
      <c r="L18" s="6069">
        <f>+H18+J18</f>
        <v>465273.34782608692</v>
      </c>
      <c r="M18" s="6138">
        <f>+I18+K18</f>
        <v>445814</v>
      </c>
      <c r="N18" s="6044">
        <v>240485.86956521732</v>
      </c>
      <c r="O18" s="6124">
        <v>179882</v>
      </c>
      <c r="P18" s="6070">
        <f>+L18+N18</f>
        <v>705759.21739130421</v>
      </c>
      <c r="Q18" s="5619">
        <f>+M18+O18</f>
        <v>625696</v>
      </c>
      <c r="R18" s="6044">
        <v>239084.78260869556</v>
      </c>
      <c r="S18" s="6124">
        <v>187784</v>
      </c>
      <c r="T18" s="6421">
        <f>+P18+R18</f>
        <v>944843.99999999977</v>
      </c>
      <c r="U18" s="5619">
        <f>+Q18+S18</f>
        <v>813480</v>
      </c>
      <c r="V18" s="6044">
        <v>235938.04347826078</v>
      </c>
      <c r="W18" s="6124">
        <v>89547</v>
      </c>
      <c r="X18" s="7017">
        <f>+V18+R18+N18</f>
        <v>715508.6956521736</v>
      </c>
      <c r="Y18" s="6140">
        <f>+W18+S18+O18</f>
        <v>457213</v>
      </c>
      <c r="Z18" s="6958">
        <f>+T18+V18</f>
        <v>1180782.0434782605</v>
      </c>
      <c r="AA18" s="6959">
        <f>+U18+W18</f>
        <v>903027</v>
      </c>
      <c r="AB18" s="6044">
        <v>122716.625</v>
      </c>
      <c r="AC18" s="6124">
        <v>103503</v>
      </c>
      <c r="AD18" s="7334">
        <f>+Z18+AB18</f>
        <v>1303498.6684782605</v>
      </c>
      <c r="AE18" s="5619">
        <f>+AA18+AC18</f>
        <v>1006530</v>
      </c>
      <c r="AF18" s="6044">
        <v>229992.07500000001</v>
      </c>
      <c r="AG18" s="6124">
        <v>148766</v>
      </c>
      <c r="AH18" s="7603">
        <f>+AD18+AF18</f>
        <v>1533490.7434782605</v>
      </c>
      <c r="AI18" s="5619">
        <f>+AE18+AG18</f>
        <v>1155296</v>
      </c>
      <c r="AJ18" s="6044">
        <v>241318.35</v>
      </c>
      <c r="AK18" s="6124">
        <v>181877</v>
      </c>
      <c r="AL18" s="7754">
        <f>+AJ18+AF18+AB18</f>
        <v>594027.05000000005</v>
      </c>
      <c r="AM18" s="6140">
        <f>+AK18+AG18+AC18</f>
        <v>434146</v>
      </c>
      <c r="AN18" s="7901">
        <f>+AH18+AJ18</f>
        <v>1774809.0934782606</v>
      </c>
      <c r="AO18" s="5619">
        <f>+AI18+AK18</f>
        <v>1337173</v>
      </c>
      <c r="AP18" s="6044">
        <v>237449.73749999999</v>
      </c>
      <c r="AQ18" s="6124">
        <v>213381</v>
      </c>
      <c r="AR18" s="8083">
        <f>+AN18+AP18</f>
        <v>2012258.8309782606</v>
      </c>
      <c r="AS18" s="5619">
        <f>+AO18+AQ18</f>
        <v>1550554</v>
      </c>
      <c r="AT18" s="6044">
        <v>219473</v>
      </c>
      <c r="AU18" s="6124">
        <v>196256</v>
      </c>
      <c r="AV18" s="8159">
        <f>+AR18+AT18</f>
        <v>2231731.8309782604</v>
      </c>
      <c r="AW18" s="5619">
        <f>+AS18+AU18</f>
        <v>1746810</v>
      </c>
      <c r="AX18" s="6044">
        <v>242413</v>
      </c>
      <c r="AY18" s="6124">
        <v>232116</v>
      </c>
      <c r="AZ18" s="8297">
        <f>+AX18+AT18+AP18</f>
        <v>699335.73750000005</v>
      </c>
      <c r="BA18" s="6140">
        <f>+AY18+AU18+AQ18</f>
        <v>641753</v>
      </c>
      <c r="BB18" s="8297">
        <f>+AZ18+AL18</f>
        <v>1293362.7875000001</v>
      </c>
      <c r="BC18" s="6140">
        <f>+BA18+AM18</f>
        <v>1075899</v>
      </c>
      <c r="BD18" s="8306">
        <f>+AV18+AX18</f>
        <v>2474144.8309782604</v>
      </c>
      <c r="BE18" s="6959">
        <f>+AW18+AY18</f>
        <v>1978926</v>
      </c>
    </row>
    <row r="19" spans="1:57" s="5983" customFormat="1" ht="20" customHeight="1" x14ac:dyDescent="0.2">
      <c r="B19" s="4014" t="s">
        <v>2123</v>
      </c>
      <c r="C19" s="3997" t="s">
        <v>170</v>
      </c>
      <c r="D19" s="5968"/>
      <c r="E19" s="4434">
        <v>2943</v>
      </c>
      <c r="F19" s="5968"/>
      <c r="G19" s="4434">
        <v>1322</v>
      </c>
      <c r="H19" s="5969"/>
      <c r="I19" s="5619">
        <f t="shared" ref="I19:I20" si="29">+E19+G19</f>
        <v>4265</v>
      </c>
      <c r="J19" s="5968"/>
      <c r="K19" s="4434">
        <v>1115</v>
      </c>
      <c r="L19" s="6069"/>
      <c r="M19" s="6138">
        <f t="shared" ref="M19:M20" si="30">+I19+K19</f>
        <v>5380</v>
      </c>
      <c r="N19" s="6044"/>
      <c r="O19" s="6125">
        <v>451</v>
      </c>
      <c r="P19" s="6070"/>
      <c r="Q19" s="5619">
        <f t="shared" ref="Q19:Q20" si="31">+M19+O19</f>
        <v>5831</v>
      </c>
      <c r="R19" s="6044"/>
      <c r="S19" s="6125">
        <v>1486.86</v>
      </c>
      <c r="T19" s="6421"/>
      <c r="U19" s="5619">
        <f t="shared" ref="U19:U20" si="32">+Q19+S19</f>
        <v>7317.86</v>
      </c>
      <c r="V19" s="6044"/>
      <c r="W19" s="6125">
        <v>1306</v>
      </c>
      <c r="X19" s="7017"/>
      <c r="Y19" s="6140">
        <f t="shared" ref="X19:Y26" si="33">+W19+S19+O19</f>
        <v>3243.8599999999997</v>
      </c>
      <c r="Z19" s="6958"/>
      <c r="AA19" s="6960">
        <f t="shared" ref="AA19:AA20" si="34">+U19+W19</f>
        <v>8623.86</v>
      </c>
      <c r="AB19" s="6044"/>
      <c r="AC19" s="6125">
        <v>1367</v>
      </c>
      <c r="AD19" s="7334"/>
      <c r="AE19" s="5619">
        <f t="shared" ref="AE19:AE20" si="35">+AA19+AC19</f>
        <v>9990.86</v>
      </c>
      <c r="AF19" s="6044"/>
      <c r="AG19" s="6125">
        <v>1353</v>
      </c>
      <c r="AH19" s="7603"/>
      <c r="AI19" s="5015">
        <f t="shared" ref="AI19:AI20" si="36">+AE19+AG19</f>
        <v>11343.86</v>
      </c>
      <c r="AJ19" s="6044"/>
      <c r="AK19" s="6125">
        <v>1448</v>
      </c>
      <c r="AL19" s="7754"/>
      <c r="AM19" s="6140">
        <f t="shared" ref="AM19:AM22" si="37">+AK19+AG19+AC19</f>
        <v>4168</v>
      </c>
      <c r="AN19" s="7901"/>
      <c r="AO19" s="5015">
        <f t="shared" ref="AO19:AO20" si="38">+AI19+AK19</f>
        <v>12791.86</v>
      </c>
      <c r="AP19" s="6044"/>
      <c r="AQ19" s="6125">
        <v>5032</v>
      </c>
      <c r="AR19" s="8083"/>
      <c r="AS19" s="5015">
        <f t="shared" ref="AS19:AS20" si="39">+AO19+AQ19</f>
        <v>17823.86</v>
      </c>
      <c r="AT19" s="6044"/>
      <c r="AU19" s="6125">
        <v>5443</v>
      </c>
      <c r="AV19" s="8159"/>
      <c r="AW19" s="5015">
        <f t="shared" ref="AW19:AW20" si="40">+AS19+AU19</f>
        <v>23266.86</v>
      </c>
      <c r="AX19" s="6044"/>
      <c r="AY19" s="6125">
        <v>1339</v>
      </c>
      <c r="AZ19" s="8297"/>
      <c r="BA19" s="6140">
        <f t="shared" ref="BA19:BA22" si="41">+AY19+AU19+AQ19</f>
        <v>11814</v>
      </c>
      <c r="BB19" s="8297"/>
      <c r="BC19" s="6140">
        <f t="shared" ref="BC19:BC22" si="42">+BA19+AM19</f>
        <v>15982</v>
      </c>
      <c r="BD19" s="8306"/>
      <c r="BE19" s="6960">
        <f t="shared" ref="BE19:BE20" si="43">+AW19+AY19</f>
        <v>24605.86</v>
      </c>
    </row>
    <row r="20" spans="1:57" s="5983" customFormat="1" ht="20" customHeight="1" x14ac:dyDescent="0.2">
      <c r="B20" s="4014" t="s">
        <v>2124</v>
      </c>
      <c r="C20" s="3997" t="s">
        <v>170</v>
      </c>
      <c r="D20" s="5968"/>
      <c r="E20" s="4434">
        <v>4103.6400000000003</v>
      </c>
      <c r="F20" s="5968"/>
      <c r="G20" s="4434">
        <v>2094</v>
      </c>
      <c r="H20" s="5969"/>
      <c r="I20" s="5619">
        <f t="shared" si="29"/>
        <v>6197.64</v>
      </c>
      <c r="J20" s="5968"/>
      <c r="K20" s="4434">
        <v>2001.6</v>
      </c>
      <c r="L20" s="6069"/>
      <c r="M20" s="6138">
        <f t="shared" si="30"/>
        <v>8199.24</v>
      </c>
      <c r="N20" s="6044"/>
      <c r="O20" s="6125">
        <v>856</v>
      </c>
      <c r="P20" s="6070"/>
      <c r="Q20" s="5015">
        <f t="shared" si="31"/>
        <v>9055.24</v>
      </c>
      <c r="R20" s="6044"/>
      <c r="S20" s="6125">
        <f>3997.68*0.8</f>
        <v>3198.1440000000002</v>
      </c>
      <c r="T20" s="6421"/>
      <c r="U20" s="5015">
        <f t="shared" si="32"/>
        <v>12253.384</v>
      </c>
      <c r="V20" s="6044"/>
      <c r="W20" s="6125">
        <f>2955*0.8</f>
        <v>2364</v>
      </c>
      <c r="X20" s="7017"/>
      <c r="Y20" s="6140">
        <f t="shared" si="33"/>
        <v>6418.1440000000002</v>
      </c>
      <c r="Z20" s="6958"/>
      <c r="AA20" s="6960">
        <f t="shared" si="34"/>
        <v>14617.384</v>
      </c>
      <c r="AB20" s="6044"/>
      <c r="AC20" s="6125">
        <f>6505-1367</f>
        <v>5138</v>
      </c>
      <c r="AD20" s="7334"/>
      <c r="AE20" s="5015">
        <f t="shared" si="35"/>
        <v>19755.383999999998</v>
      </c>
      <c r="AF20" s="6044"/>
      <c r="AG20" s="6125">
        <f>(5355*0.8)+(2675.8*0.5)</f>
        <v>5621.9</v>
      </c>
      <c r="AH20" s="7603"/>
      <c r="AI20" s="5015">
        <f t="shared" si="36"/>
        <v>25377.284</v>
      </c>
      <c r="AJ20" s="6044"/>
      <c r="AK20" s="6125">
        <v>3579</v>
      </c>
      <c r="AL20" s="7754"/>
      <c r="AM20" s="6140">
        <f t="shared" si="37"/>
        <v>14338.9</v>
      </c>
      <c r="AN20" s="7901"/>
      <c r="AO20" s="5015">
        <f t="shared" si="38"/>
        <v>28956.284</v>
      </c>
      <c r="AP20" s="6044"/>
      <c r="AQ20" s="6125">
        <v>4561</v>
      </c>
      <c r="AR20" s="8083"/>
      <c r="AS20" s="5015">
        <f t="shared" si="39"/>
        <v>33517.284</v>
      </c>
      <c r="AT20" s="6044"/>
      <c r="AU20" s="6125">
        <v>6388.7</v>
      </c>
      <c r="AV20" s="8159"/>
      <c r="AW20" s="5015">
        <f t="shared" si="40"/>
        <v>39905.983999999997</v>
      </c>
      <c r="AX20" s="6044"/>
      <c r="AY20" s="6125">
        <f>6915*0.8+11854*0.5</f>
        <v>11459</v>
      </c>
      <c r="AZ20" s="8297"/>
      <c r="BA20" s="6140">
        <f t="shared" si="41"/>
        <v>22408.7</v>
      </c>
      <c r="BB20" s="8297"/>
      <c r="BC20" s="6140">
        <f t="shared" si="42"/>
        <v>36747.599999999999</v>
      </c>
      <c r="BD20" s="8306"/>
      <c r="BE20" s="6960">
        <f t="shared" si="43"/>
        <v>51364.983999999997</v>
      </c>
    </row>
    <row r="21" spans="1:57" ht="20" customHeight="1" x14ac:dyDescent="0.2">
      <c r="A21" s="3404" t="s">
        <v>1024</v>
      </c>
      <c r="B21" s="4003" t="s">
        <v>776</v>
      </c>
      <c r="C21" s="3996" t="s">
        <v>170</v>
      </c>
      <c r="D21" s="4048">
        <f>+D5*D84/1000</f>
        <v>7046.6399999999994</v>
      </c>
      <c r="E21" s="4439">
        <f>SUM(E19:E20)</f>
        <v>7046.64</v>
      </c>
      <c r="F21" s="5777">
        <f>+F5*F84/1000</f>
        <v>3415.9999999999968</v>
      </c>
      <c r="G21" s="4439">
        <f>SUM(G19:G20)</f>
        <v>3416</v>
      </c>
      <c r="H21" s="5480">
        <f t="shared" ref="H21:H22" si="44">+D21+F21</f>
        <v>10462.639999999996</v>
      </c>
      <c r="I21" s="5610">
        <f>+E21+G21</f>
        <v>10462.64</v>
      </c>
      <c r="J21" s="5777">
        <f>+J5*J84/1000</f>
        <v>4534.5159999999987</v>
      </c>
      <c r="K21" s="4439">
        <f>SUM(K19:K20)</f>
        <v>3116.6</v>
      </c>
      <c r="L21" s="6072">
        <f t="shared" ref="L21:L22" si="45">+H21+J21</f>
        <v>14997.155999999995</v>
      </c>
      <c r="M21" s="6132">
        <f>+I21+K21</f>
        <v>13579.24</v>
      </c>
      <c r="N21" s="5777">
        <f>+N5*N84/1000</f>
        <v>6194.9160000000002</v>
      </c>
      <c r="O21" s="4865">
        <f>SUM(O19:O20)</f>
        <v>1307</v>
      </c>
      <c r="P21" s="6071">
        <f t="shared" ref="P21:P22" si="46">+L21+N21</f>
        <v>21192.071999999996</v>
      </c>
      <c r="Q21" s="5610">
        <f>+M21+O21</f>
        <v>14886.24</v>
      </c>
      <c r="R21" s="5777">
        <f>+R5*R84/1000</f>
        <v>6158.8239999999987</v>
      </c>
      <c r="S21" s="4865">
        <f>SUM(S19:S20)</f>
        <v>4685.0039999999999</v>
      </c>
      <c r="T21" s="6420">
        <f t="shared" ref="T21:T22" si="47">+P21+R21</f>
        <v>27350.895999999993</v>
      </c>
      <c r="U21" s="5610">
        <f>+Q21+S21</f>
        <v>19571.243999999999</v>
      </c>
      <c r="V21" s="5777">
        <f>+V5*V84/1000</f>
        <v>6077.7640000000001</v>
      </c>
      <c r="W21" s="4865">
        <f>SUM(W19:W20)</f>
        <v>3670</v>
      </c>
      <c r="X21" s="7017">
        <f t="shared" si="33"/>
        <v>18431.504000000001</v>
      </c>
      <c r="Y21" s="6140">
        <f t="shared" si="33"/>
        <v>9662.0040000000008</v>
      </c>
      <c r="Z21" s="6961">
        <f t="shared" ref="Z21:Z22" si="48">+T21+V21</f>
        <v>33428.659999999996</v>
      </c>
      <c r="AA21" s="6970">
        <f>+U21+W21</f>
        <v>23241.243999999999</v>
      </c>
      <c r="AB21" s="5777">
        <f>+AB5*AB84/1000</f>
        <v>4566.2</v>
      </c>
      <c r="AC21" s="4865">
        <f>SUM(AC19:AC20)</f>
        <v>6505</v>
      </c>
      <c r="AD21" s="7333">
        <f t="shared" ref="AD21:AD22" si="49">+Z21+AB21</f>
        <v>37994.859999999993</v>
      </c>
      <c r="AE21" s="5610">
        <f>+AA21+AC21</f>
        <v>29746.243999999999</v>
      </c>
      <c r="AF21" s="5777">
        <f>+AF5*AF84/1000</f>
        <v>10797.75</v>
      </c>
      <c r="AG21" s="4865">
        <f>SUM(AG19:AG20)</f>
        <v>6974.9</v>
      </c>
      <c r="AH21" s="7602">
        <f t="shared" ref="AH21:AH22" si="50">+AD21+AF21</f>
        <v>48792.609999999993</v>
      </c>
      <c r="AI21" s="4844">
        <f>+AE21+AG21</f>
        <v>36721.144</v>
      </c>
      <c r="AJ21" s="5777">
        <f>+AJ5*AJ84/1000</f>
        <v>11329.5</v>
      </c>
      <c r="AK21" s="4865">
        <f>SUM(AK19:AK20)</f>
        <v>5027</v>
      </c>
      <c r="AL21" s="7754">
        <f t="shared" ref="AL21:AL22" si="51">+AJ21+AF21+AB21</f>
        <v>26693.45</v>
      </c>
      <c r="AM21" s="6140">
        <f t="shared" si="37"/>
        <v>18506.900000000001</v>
      </c>
      <c r="AN21" s="7902">
        <f t="shared" ref="AN21:AN22" si="52">+AH21+AJ21</f>
        <v>60122.109999999993</v>
      </c>
      <c r="AO21" s="4844">
        <f>+AI21+AK21</f>
        <v>41748.144</v>
      </c>
      <c r="AP21" s="5777">
        <f>+AP5*AP84/1000</f>
        <v>11147.875</v>
      </c>
      <c r="AQ21" s="4865">
        <f>SUM(AQ19:AQ20)</f>
        <v>9593</v>
      </c>
      <c r="AR21" s="8084">
        <f t="shared" ref="AR21:AR22" si="53">+AN21+AP21</f>
        <v>71269.984999999986</v>
      </c>
      <c r="AS21" s="4844">
        <f>+AO21+AQ21</f>
        <v>51341.144</v>
      </c>
      <c r="AT21" s="5777">
        <f>+AT5*AT84/1000</f>
        <v>10303.9</v>
      </c>
      <c r="AU21" s="4865">
        <f>SUM(AU19:AU20)</f>
        <v>11831.7</v>
      </c>
      <c r="AV21" s="8160">
        <f t="shared" ref="AV21:AV22" si="54">+AR21+AT21</f>
        <v>81573.88499999998</v>
      </c>
      <c r="AW21" s="4844">
        <f>+AS21+AU21</f>
        <v>63172.843999999997</v>
      </c>
      <c r="AX21" s="5777">
        <f>+AX5*AX84/1000</f>
        <v>11380.9</v>
      </c>
      <c r="AY21" s="4865">
        <f>SUM(AY19:AY20)</f>
        <v>12798</v>
      </c>
      <c r="AZ21" s="8297">
        <f t="shared" ref="AZ21:AZ22" si="55">+AX21+AT21+AP21</f>
        <v>32832.675000000003</v>
      </c>
      <c r="BA21" s="6140">
        <f t="shared" si="41"/>
        <v>34222.699999999997</v>
      </c>
      <c r="BB21" s="8297">
        <f t="shared" ref="BB21:BB22" si="56">+AZ21+AL21</f>
        <v>59526.125</v>
      </c>
      <c r="BC21" s="6140">
        <f t="shared" si="42"/>
        <v>52729.599999999999</v>
      </c>
      <c r="BD21" s="8307">
        <f t="shared" ref="BD21:BD22" si="57">+AV21+AX21</f>
        <v>92954.784999999974</v>
      </c>
      <c r="BE21" s="6970">
        <f>+AW21+AY21</f>
        <v>75970.843999999997</v>
      </c>
    </row>
    <row r="22" spans="1:57" ht="20" customHeight="1" thickBot="1" x14ac:dyDescent="0.25">
      <c r="A22" s="3404" t="s">
        <v>1024</v>
      </c>
      <c r="B22" s="4016" t="s">
        <v>777</v>
      </c>
      <c r="C22" s="3999" t="s">
        <v>170</v>
      </c>
      <c r="D22" s="4017">
        <v>131608</v>
      </c>
      <c r="E22" s="4431">
        <v>131608</v>
      </c>
      <c r="F22" s="4017">
        <v>136603</v>
      </c>
      <c r="G22" s="4431">
        <v>136603</v>
      </c>
      <c r="H22" s="5620">
        <f t="shared" si="44"/>
        <v>268211</v>
      </c>
      <c r="I22" s="5615">
        <f>+E22+G22</f>
        <v>268211</v>
      </c>
      <c r="J22" s="4017">
        <v>166955.67010309279</v>
      </c>
      <c r="K22" s="4431">
        <v>149590</v>
      </c>
      <c r="L22" s="6139">
        <f t="shared" si="45"/>
        <v>435166.67010309279</v>
      </c>
      <c r="M22" s="6137">
        <f>+I22+K22</f>
        <v>417801</v>
      </c>
      <c r="N22" s="4017">
        <v>228089.6907216495</v>
      </c>
      <c r="O22" s="6123">
        <v>163478</v>
      </c>
      <c r="P22" s="5620">
        <f t="shared" si="46"/>
        <v>663256.36082474235</v>
      </c>
      <c r="Q22" s="5615">
        <f>+M22+O22</f>
        <v>581279</v>
      </c>
      <c r="R22" s="4017">
        <v>226760.82474226804</v>
      </c>
      <c r="S22" s="6123">
        <v>174380</v>
      </c>
      <c r="T22" s="5620">
        <f t="shared" si="47"/>
        <v>890017.18556701043</v>
      </c>
      <c r="U22" s="5615">
        <f>+Q22+S22</f>
        <v>755659</v>
      </c>
      <c r="V22" s="4017">
        <v>223776.28865979382</v>
      </c>
      <c r="W22" s="6123">
        <v>84805</v>
      </c>
      <c r="X22" s="7017">
        <f t="shared" si="33"/>
        <v>678626.80412371131</v>
      </c>
      <c r="Y22" s="6140">
        <f t="shared" si="33"/>
        <v>422663</v>
      </c>
      <c r="Z22" s="6962">
        <f t="shared" si="48"/>
        <v>1113793.4742268042</v>
      </c>
      <c r="AA22" s="6951">
        <f>+U22+W22</f>
        <v>840464</v>
      </c>
      <c r="AB22" s="4017">
        <v>117685.56701030929</v>
      </c>
      <c r="AC22" s="6123">
        <v>100198</v>
      </c>
      <c r="AD22" s="5620">
        <f t="shared" si="49"/>
        <v>1231479.0412371135</v>
      </c>
      <c r="AE22" s="5615">
        <f>+AA22+AC22</f>
        <v>940662</v>
      </c>
      <c r="AF22" s="4017">
        <v>222634.02061855671</v>
      </c>
      <c r="AG22" s="6123">
        <v>141541</v>
      </c>
      <c r="AH22" s="5620">
        <f t="shared" si="50"/>
        <v>1454113.0618556703</v>
      </c>
      <c r="AI22" s="5615">
        <f>+AE22+AG22</f>
        <v>1082203</v>
      </c>
      <c r="AJ22" s="4017">
        <v>233597.93814432991</v>
      </c>
      <c r="AK22" s="6123">
        <v>170130</v>
      </c>
      <c r="AL22" s="7754">
        <f t="shared" si="51"/>
        <v>573917.5257731959</v>
      </c>
      <c r="AM22" s="6140">
        <f t="shared" si="37"/>
        <v>411869</v>
      </c>
      <c r="AN22" s="5620">
        <f t="shared" si="52"/>
        <v>1687711.0000000002</v>
      </c>
      <c r="AO22" s="5615">
        <f>+AI22+AK22</f>
        <v>1252333</v>
      </c>
      <c r="AP22" s="4017">
        <v>229853.09278350516</v>
      </c>
      <c r="AQ22" s="6123">
        <v>204088</v>
      </c>
      <c r="AR22" s="5620">
        <f t="shared" si="53"/>
        <v>1917564.0927835053</v>
      </c>
      <c r="AS22" s="5615">
        <f>+AO22+AQ22</f>
        <v>1456421</v>
      </c>
      <c r="AT22" s="4017">
        <v>212451</v>
      </c>
      <c r="AU22" s="6123">
        <v>191972</v>
      </c>
      <c r="AV22" s="5620">
        <f t="shared" si="54"/>
        <v>2130015.0927835051</v>
      </c>
      <c r="AW22" s="5615">
        <f>+AS22+AU22</f>
        <v>1648393</v>
      </c>
      <c r="AX22" s="4017">
        <v>234657</v>
      </c>
      <c r="AY22" s="6123">
        <v>226163</v>
      </c>
      <c r="AZ22" s="8297">
        <f t="shared" si="55"/>
        <v>676961.0927835051</v>
      </c>
      <c r="BA22" s="6140">
        <f t="shared" si="41"/>
        <v>622223</v>
      </c>
      <c r="BB22" s="8297">
        <f t="shared" si="56"/>
        <v>1250878.6185567011</v>
      </c>
      <c r="BC22" s="6140">
        <f t="shared" si="42"/>
        <v>1034092</v>
      </c>
      <c r="BD22" s="6962">
        <f t="shared" si="57"/>
        <v>2364672.0927835051</v>
      </c>
      <c r="BE22" s="6951">
        <f>+AW22+AY22</f>
        <v>1874556</v>
      </c>
    </row>
    <row r="23" spans="1:57" s="3380" customFormat="1" ht="20" customHeight="1" x14ac:dyDescent="0.2">
      <c r="A23" s="5652" t="s">
        <v>1024</v>
      </c>
      <c r="B23" s="5320" t="s">
        <v>793</v>
      </c>
      <c r="C23" s="4902"/>
      <c r="D23" s="5302"/>
      <c r="E23" s="4902"/>
      <c r="F23" s="5302"/>
      <c r="G23" s="4902"/>
      <c r="H23" s="5302"/>
      <c r="I23" s="4902"/>
      <c r="J23" s="5302"/>
      <c r="K23" s="4902"/>
      <c r="L23" s="5302"/>
      <c r="M23" s="4902"/>
      <c r="N23" s="5302"/>
      <c r="O23" s="4902"/>
      <c r="P23" s="5302"/>
      <c r="Q23" s="4902"/>
      <c r="R23" s="5302"/>
      <c r="S23" s="4902"/>
      <c r="T23" s="5302"/>
      <c r="U23" s="4902"/>
      <c r="V23" s="5302"/>
      <c r="W23" s="4902"/>
      <c r="X23" s="5302"/>
      <c r="Y23" s="4902"/>
      <c r="Z23" s="5302"/>
      <c r="AA23" s="4902"/>
      <c r="AB23" s="5302"/>
      <c r="AC23" s="4902"/>
      <c r="AD23" s="5302"/>
      <c r="AE23" s="4902"/>
      <c r="AF23" s="5302"/>
      <c r="AG23" s="4902"/>
      <c r="AH23" s="5302"/>
      <c r="AI23" s="4902"/>
      <c r="AJ23" s="5302"/>
      <c r="AK23" s="4902"/>
      <c r="AL23" s="5302"/>
      <c r="AM23" s="4902"/>
      <c r="AN23" s="7940"/>
      <c r="AO23" s="7939"/>
      <c r="AP23" s="5302"/>
      <c r="AQ23" s="4902"/>
      <c r="AR23" s="5302"/>
      <c r="AS23" s="4902"/>
      <c r="AT23" s="5302"/>
      <c r="AU23" s="4902"/>
      <c r="AV23" s="5302"/>
      <c r="AW23" s="4902"/>
      <c r="AX23" s="5302"/>
      <c r="AY23" s="4902"/>
      <c r="AZ23" s="5302"/>
      <c r="BA23" s="4902"/>
      <c r="BB23" s="5302"/>
      <c r="BC23" s="4902"/>
      <c r="BD23" s="5302"/>
      <c r="BE23" s="4902"/>
    </row>
    <row r="24" spans="1:57" ht="20" customHeight="1" x14ac:dyDescent="0.2">
      <c r="A24" s="3404" t="s">
        <v>1024</v>
      </c>
      <c r="B24" s="4014" t="s">
        <v>778</v>
      </c>
      <c r="C24" s="3997" t="s">
        <v>661</v>
      </c>
      <c r="D24" s="8815">
        <f>+D31/150.9</f>
        <v>712.56461232604374</v>
      </c>
      <c r="E24" s="4432">
        <v>339</v>
      </c>
      <c r="F24" s="8815">
        <f>+F31/151.412626832018</f>
        <v>646.89452953396449</v>
      </c>
      <c r="G24" s="4432">
        <v>346</v>
      </c>
      <c r="H24" s="8789">
        <f>+D24+F24</f>
        <v>1359.4591418600082</v>
      </c>
      <c r="I24" s="5619">
        <f t="shared" ref="I24:I26" si="58">+E24+G24</f>
        <v>685</v>
      </c>
      <c r="J24" s="8815">
        <f>+J31/150</f>
        <v>782.0333333333333</v>
      </c>
      <c r="K24" s="4432">
        <v>329</v>
      </c>
      <c r="L24" s="8713">
        <f>+H24+J24</f>
        <v>2141.4924751933413</v>
      </c>
      <c r="M24" s="6138">
        <f t="shared" ref="M24:M26" si="59">+I24+K24</f>
        <v>1014</v>
      </c>
      <c r="N24" s="8815">
        <f>+N31/150</f>
        <v>1095.8599999999999</v>
      </c>
      <c r="O24" s="6124">
        <v>422</v>
      </c>
      <c r="P24" s="8789">
        <f>+L24+N24</f>
        <v>3237.352475193341</v>
      </c>
      <c r="Q24" s="5619">
        <f t="shared" ref="Q24:Q26" si="60">+M24+O24</f>
        <v>1436</v>
      </c>
      <c r="R24" s="8815">
        <f>+R31/150</f>
        <v>1076.9133333333334</v>
      </c>
      <c r="S24" s="6124">
        <v>389</v>
      </c>
      <c r="T24" s="8789">
        <f>+P24+R24</f>
        <v>4314.2658085266739</v>
      </c>
      <c r="U24" s="5619">
        <f t="shared" ref="U24:U26" si="61">+Q24+S24</f>
        <v>1825</v>
      </c>
      <c r="V24" s="8815">
        <f>+V31/150</f>
        <v>1070.2466666666667</v>
      </c>
      <c r="W24" s="6124">
        <v>228</v>
      </c>
      <c r="X24" s="8713">
        <f>+V24+R24+N24</f>
        <v>3243.0199999999995</v>
      </c>
      <c r="Y24" s="6140">
        <f t="shared" si="33"/>
        <v>1039</v>
      </c>
      <c r="Z24" s="8717">
        <f>+T24+V24</f>
        <v>5384.5124751933408</v>
      </c>
      <c r="AA24" s="6959">
        <f t="shared" ref="AA24:AA26" si="62">+U24+W24</f>
        <v>2053</v>
      </c>
      <c r="AB24" s="8815">
        <f>+AB31/150</f>
        <v>633.33333333333337</v>
      </c>
      <c r="AC24" s="6124">
        <v>296</v>
      </c>
      <c r="AD24" s="8789">
        <f>+Z24+AB24</f>
        <v>6017.8458085266739</v>
      </c>
      <c r="AE24" s="5619">
        <f t="shared" ref="AE24:AE26" si="63">+AA24+AC24</f>
        <v>2349</v>
      </c>
      <c r="AF24" s="8815">
        <f>+AF31/150</f>
        <v>1023.7533333333333</v>
      </c>
      <c r="AG24" s="6124">
        <v>373</v>
      </c>
      <c r="AH24" s="8789">
        <f>+AD24+AF24</f>
        <v>7041.599141860007</v>
      </c>
      <c r="AI24" s="5619">
        <f t="shared" ref="AI24:AI26" si="64">+AE24+AG24</f>
        <v>2722</v>
      </c>
      <c r="AJ24" s="8815">
        <f>+AJ31/150</f>
        <v>1086.5999999999999</v>
      </c>
      <c r="AK24" s="6124">
        <v>482</v>
      </c>
      <c r="AL24" s="8713">
        <f>+AJ24+AF24+AB24</f>
        <v>2743.686666666667</v>
      </c>
      <c r="AM24" s="6140">
        <f t="shared" ref="AM24:AM26" si="65">+AK24+AG24+AC24</f>
        <v>1151</v>
      </c>
      <c r="AN24" s="8789">
        <f>+AH24+AJ24</f>
        <v>8128.1991418600064</v>
      </c>
      <c r="AO24" s="5619">
        <f t="shared" ref="AO24:AO26" si="66">+AI24+AK24</f>
        <v>3204</v>
      </c>
      <c r="AP24" s="8815">
        <f>+AP31/150</f>
        <v>1081.3866666666668</v>
      </c>
      <c r="AQ24" s="6124">
        <v>537</v>
      </c>
      <c r="AR24" s="8789">
        <f>+AN24+AP24</f>
        <v>9209.5858085266736</v>
      </c>
      <c r="AS24" s="5619">
        <f t="shared" ref="AS24:AS26" si="67">+AO24+AQ24</f>
        <v>3741</v>
      </c>
      <c r="AT24" s="8815">
        <f>+AT31/150</f>
        <v>980.4</v>
      </c>
      <c r="AU24" s="6124">
        <v>484</v>
      </c>
      <c r="AV24" s="8789">
        <f>+AR24+AT24</f>
        <v>10189.985808526673</v>
      </c>
      <c r="AW24" s="5619">
        <f t="shared" ref="AW24:AW26" si="68">+AS24+AU24</f>
        <v>4225</v>
      </c>
      <c r="AX24" s="8815">
        <v>1080</v>
      </c>
      <c r="AY24" s="6124">
        <v>575</v>
      </c>
      <c r="AZ24" s="8713">
        <f>+AX24+AT24+AP24</f>
        <v>3141.7866666666669</v>
      </c>
      <c r="BA24" s="6140">
        <f t="shared" ref="BA24:BA26" si="69">+AY24+AU24+AQ24</f>
        <v>1596</v>
      </c>
      <c r="BB24" s="8713">
        <f t="shared" ref="BB24:BB47" si="70">+AZ24+AL24</f>
        <v>5885.4733333333334</v>
      </c>
      <c r="BC24" s="6140">
        <f t="shared" ref="BC24:BC26" si="71">+BA24+AM24</f>
        <v>2747</v>
      </c>
      <c r="BD24" s="8717">
        <f>+AV24+AX24</f>
        <v>11269.985808526673</v>
      </c>
      <c r="BE24" s="6959">
        <f t="shared" ref="BE24:BE26" si="72">+AW24+AY24</f>
        <v>4800</v>
      </c>
    </row>
    <row r="25" spans="1:57" ht="20" customHeight="1" x14ac:dyDescent="0.2">
      <c r="A25" s="3404" t="s">
        <v>1024</v>
      </c>
      <c r="B25" s="4018" t="s">
        <v>779</v>
      </c>
      <c r="C25" s="3996" t="s">
        <v>661</v>
      </c>
      <c r="D25" s="8817"/>
      <c r="E25" s="4432">
        <v>373</v>
      </c>
      <c r="F25" s="8817"/>
      <c r="G25" s="4432">
        <v>302</v>
      </c>
      <c r="H25" s="8790"/>
      <c r="I25" s="5619">
        <f t="shared" si="58"/>
        <v>675</v>
      </c>
      <c r="J25" s="8817"/>
      <c r="K25" s="4432">
        <v>346</v>
      </c>
      <c r="L25" s="8729"/>
      <c r="M25" s="6138">
        <f t="shared" si="59"/>
        <v>1021</v>
      </c>
      <c r="N25" s="8817"/>
      <c r="O25" s="6124">
        <v>273</v>
      </c>
      <c r="P25" s="8790"/>
      <c r="Q25" s="5619">
        <f t="shared" si="60"/>
        <v>1294</v>
      </c>
      <c r="R25" s="8817"/>
      <c r="S25" s="6124">
        <v>475</v>
      </c>
      <c r="T25" s="8790"/>
      <c r="U25" s="5619">
        <f t="shared" si="61"/>
        <v>1769</v>
      </c>
      <c r="V25" s="8817"/>
      <c r="W25" s="6124">
        <v>238</v>
      </c>
      <c r="X25" s="8729"/>
      <c r="Y25" s="6140">
        <f t="shared" si="33"/>
        <v>986</v>
      </c>
      <c r="Z25" s="8726"/>
      <c r="AA25" s="6959">
        <f t="shared" si="62"/>
        <v>2007</v>
      </c>
      <c r="AB25" s="8817"/>
      <c r="AC25" s="6124">
        <v>211</v>
      </c>
      <c r="AD25" s="8790"/>
      <c r="AE25" s="5619">
        <f t="shared" si="63"/>
        <v>2218</v>
      </c>
      <c r="AF25" s="8817"/>
      <c r="AG25" s="6124">
        <v>342</v>
      </c>
      <c r="AH25" s="8790"/>
      <c r="AI25" s="5619">
        <f t="shared" si="64"/>
        <v>2560</v>
      </c>
      <c r="AJ25" s="8817"/>
      <c r="AK25" s="6124">
        <v>432</v>
      </c>
      <c r="AL25" s="8729"/>
      <c r="AM25" s="6140">
        <f t="shared" si="65"/>
        <v>985</v>
      </c>
      <c r="AN25" s="8790"/>
      <c r="AO25" s="5619">
        <f t="shared" si="66"/>
        <v>2992</v>
      </c>
      <c r="AP25" s="8817"/>
      <c r="AQ25" s="6124">
        <v>554</v>
      </c>
      <c r="AR25" s="8790"/>
      <c r="AS25" s="5619">
        <f t="shared" si="67"/>
        <v>3546</v>
      </c>
      <c r="AT25" s="8817"/>
      <c r="AU25" s="6124">
        <v>468</v>
      </c>
      <c r="AV25" s="8790"/>
      <c r="AW25" s="5619">
        <f t="shared" si="68"/>
        <v>4014</v>
      </c>
      <c r="AX25" s="8817"/>
      <c r="AY25" s="6124">
        <v>563</v>
      </c>
      <c r="AZ25" s="8729"/>
      <c r="BA25" s="6140">
        <f t="shared" si="69"/>
        <v>1585</v>
      </c>
      <c r="BB25" s="8729">
        <f t="shared" si="70"/>
        <v>0</v>
      </c>
      <c r="BC25" s="6140">
        <f t="shared" si="71"/>
        <v>2570</v>
      </c>
      <c r="BD25" s="8726"/>
      <c r="BE25" s="6959">
        <f t="shared" si="72"/>
        <v>4577</v>
      </c>
    </row>
    <row r="26" spans="1:57" ht="20" customHeight="1" thickBot="1" x14ac:dyDescent="0.25">
      <c r="A26" s="3404" t="s">
        <v>1024</v>
      </c>
      <c r="B26" s="4019" t="s">
        <v>780</v>
      </c>
      <c r="C26" s="4006" t="s">
        <v>661</v>
      </c>
      <c r="D26" s="4213">
        <f>+D40/150.9</f>
        <v>144.24784625579855</v>
      </c>
      <c r="E26" s="4432">
        <v>145</v>
      </c>
      <c r="F26" s="4213">
        <f>+F40/151.412626832018</f>
        <v>240.10547046603583</v>
      </c>
      <c r="G26" s="4432">
        <v>239</v>
      </c>
      <c r="H26" s="5620">
        <f>+D26+F26</f>
        <v>384.3533167218344</v>
      </c>
      <c r="I26" s="5619">
        <f t="shared" si="58"/>
        <v>384</v>
      </c>
      <c r="J26" s="4213">
        <f>+J40/150</f>
        <v>297.61333333333334</v>
      </c>
      <c r="K26" s="4432">
        <v>293</v>
      </c>
      <c r="L26" s="6139">
        <f>+H26+J26</f>
        <v>681.96665005516775</v>
      </c>
      <c r="M26" s="6138">
        <f t="shared" si="59"/>
        <v>677</v>
      </c>
      <c r="N26" s="4213">
        <f>+N40/150</f>
        <v>379.12</v>
      </c>
      <c r="O26" s="6124">
        <v>371</v>
      </c>
      <c r="P26" s="5620">
        <f>+L26+N26</f>
        <v>1061.0866500551679</v>
      </c>
      <c r="Q26" s="5619">
        <f t="shared" si="60"/>
        <v>1048</v>
      </c>
      <c r="R26" s="4213">
        <f>+R40/150</f>
        <v>389.47333333333336</v>
      </c>
      <c r="S26" s="6124">
        <v>266</v>
      </c>
      <c r="T26" s="5620">
        <f>+P26+R26</f>
        <v>1450.5599833885012</v>
      </c>
      <c r="U26" s="5619">
        <f t="shared" si="61"/>
        <v>1314</v>
      </c>
      <c r="V26" s="4213">
        <f>+V40/150</f>
        <v>376.84</v>
      </c>
      <c r="W26" s="6124">
        <v>72</v>
      </c>
      <c r="X26" s="7017">
        <f t="shared" si="33"/>
        <v>1145.4333333333334</v>
      </c>
      <c r="Y26" s="6140">
        <f t="shared" si="33"/>
        <v>709</v>
      </c>
      <c r="Z26" s="6962">
        <f>+T26+V26</f>
        <v>1827.3999833885011</v>
      </c>
      <c r="AA26" s="6959">
        <f t="shared" si="62"/>
        <v>1386</v>
      </c>
      <c r="AB26" s="4213">
        <f>+AB40/150</f>
        <v>127.7</v>
      </c>
      <c r="AC26" s="6124">
        <v>137</v>
      </c>
      <c r="AD26" s="5620">
        <f>+Z26+AB26</f>
        <v>1955.0999833885012</v>
      </c>
      <c r="AE26" s="5619">
        <f t="shared" si="63"/>
        <v>1523</v>
      </c>
      <c r="AF26" s="4213">
        <f>+AF40/150</f>
        <v>415.95333333333332</v>
      </c>
      <c r="AG26" s="6124">
        <v>203</v>
      </c>
      <c r="AH26" s="5620">
        <f>+AD26+AF26</f>
        <v>2371.0533167218346</v>
      </c>
      <c r="AI26" s="5619">
        <f t="shared" si="64"/>
        <v>1726</v>
      </c>
      <c r="AJ26" s="4213">
        <f>+AJ40/150</f>
        <v>424</v>
      </c>
      <c r="AK26" s="6124">
        <v>197</v>
      </c>
      <c r="AL26" s="7754">
        <f t="shared" ref="AL26" si="73">+AJ26+AF26+AB26</f>
        <v>967.65333333333342</v>
      </c>
      <c r="AM26" s="6140">
        <f t="shared" si="65"/>
        <v>537</v>
      </c>
      <c r="AN26" s="5620">
        <f>+AH26+AJ26</f>
        <v>2795.0533167218346</v>
      </c>
      <c r="AO26" s="5619">
        <f t="shared" si="66"/>
        <v>1923</v>
      </c>
      <c r="AP26" s="4213">
        <f>+AP40/150</f>
        <v>405</v>
      </c>
      <c r="AQ26" s="6124">
        <v>244</v>
      </c>
      <c r="AR26" s="5620">
        <f>+AN26+AP26</f>
        <v>3200.0533167218346</v>
      </c>
      <c r="AS26" s="5619">
        <f t="shared" si="67"/>
        <v>2167</v>
      </c>
      <c r="AT26" s="4213">
        <f>+AT40/150</f>
        <v>393.45333333333332</v>
      </c>
      <c r="AU26" s="6124">
        <v>291</v>
      </c>
      <c r="AV26" s="5620">
        <f>+AR26+AT26</f>
        <v>3593.5066500551679</v>
      </c>
      <c r="AW26" s="5619">
        <f t="shared" si="68"/>
        <v>2458</v>
      </c>
      <c r="AX26" s="4213">
        <v>438.45</v>
      </c>
      <c r="AY26" s="6124">
        <v>323</v>
      </c>
      <c r="AZ26" s="8297">
        <f t="shared" ref="AZ26" si="74">+AX26+AT26+AP26</f>
        <v>1236.9033333333332</v>
      </c>
      <c r="BA26" s="6140">
        <f t="shared" si="69"/>
        <v>858</v>
      </c>
      <c r="BB26" s="8297">
        <f t="shared" si="70"/>
        <v>2204.5566666666664</v>
      </c>
      <c r="BC26" s="6140">
        <f t="shared" si="71"/>
        <v>1395</v>
      </c>
      <c r="BD26" s="6962">
        <f>+AV26+AX26</f>
        <v>4031.9566500551678</v>
      </c>
      <c r="BE26" s="6959">
        <f t="shared" si="72"/>
        <v>2781</v>
      </c>
    </row>
    <row r="27" spans="1:57" ht="20" customHeight="1" thickBot="1" x14ac:dyDescent="0.25">
      <c r="A27" s="3404" t="s">
        <v>1024</v>
      </c>
      <c r="B27" s="2961" t="s">
        <v>781</v>
      </c>
      <c r="C27" s="1599" t="s">
        <v>661</v>
      </c>
      <c r="D27" s="1735">
        <f t="shared" ref="D27:I27" si="75">SUM(D24:D26)</f>
        <v>856.81245858184229</v>
      </c>
      <c r="E27" s="4429">
        <f t="shared" si="75"/>
        <v>857</v>
      </c>
      <c r="F27" s="1735">
        <f t="shared" ref="F27:G27" si="76">SUM(F24:F26)</f>
        <v>887.00000000000034</v>
      </c>
      <c r="G27" s="4429">
        <f t="shared" si="76"/>
        <v>887</v>
      </c>
      <c r="H27" s="2555">
        <f t="shared" si="75"/>
        <v>1743.8124585818427</v>
      </c>
      <c r="I27" s="5611">
        <f t="shared" si="75"/>
        <v>1744</v>
      </c>
      <c r="J27" s="1735">
        <f t="shared" ref="J27:M27" si="77">SUM(J24:J26)</f>
        <v>1079.6466666666665</v>
      </c>
      <c r="K27" s="4429">
        <f t="shared" si="77"/>
        <v>968</v>
      </c>
      <c r="L27" s="2556">
        <f t="shared" si="77"/>
        <v>2823.4591252485088</v>
      </c>
      <c r="M27" s="6133">
        <f t="shared" si="77"/>
        <v>2712</v>
      </c>
      <c r="N27" s="1735">
        <f t="shared" ref="N27" si="78">SUM(N24:N26)</f>
        <v>1474.98</v>
      </c>
      <c r="O27" s="6118">
        <f t="shared" ref="O27:R27" si="79">SUM(O24:O26)</f>
        <v>1066</v>
      </c>
      <c r="P27" s="2555">
        <f t="shared" si="79"/>
        <v>4298.4391252485093</v>
      </c>
      <c r="Q27" s="5611">
        <f t="shared" si="79"/>
        <v>3778</v>
      </c>
      <c r="R27" s="1735">
        <f t="shared" si="79"/>
        <v>1466.3866666666668</v>
      </c>
      <c r="S27" s="6118">
        <f t="shared" ref="S27:V27" si="80">SUM(S24:S26)</f>
        <v>1130</v>
      </c>
      <c r="T27" s="2555">
        <f t="shared" si="80"/>
        <v>5764.8257919151747</v>
      </c>
      <c r="U27" s="5611">
        <f t="shared" si="80"/>
        <v>4908</v>
      </c>
      <c r="V27" s="1735">
        <f t="shared" si="80"/>
        <v>1447.0866666666666</v>
      </c>
      <c r="W27" s="6118">
        <f t="shared" ref="W27:AJ27" si="81">SUM(W24:W26)</f>
        <v>538</v>
      </c>
      <c r="X27" s="2556">
        <f t="shared" si="81"/>
        <v>4388.4533333333329</v>
      </c>
      <c r="Y27" s="6133">
        <f t="shared" si="81"/>
        <v>2734</v>
      </c>
      <c r="Z27" s="6521">
        <f t="shared" si="81"/>
        <v>7211.9124585818417</v>
      </c>
      <c r="AA27" s="6946">
        <f t="shared" si="81"/>
        <v>5446</v>
      </c>
      <c r="AB27" s="1735">
        <f t="shared" si="81"/>
        <v>761.03333333333342</v>
      </c>
      <c r="AC27" s="6118">
        <f t="shared" si="81"/>
        <v>644</v>
      </c>
      <c r="AD27" s="2555">
        <f t="shared" si="81"/>
        <v>7972.9457919151755</v>
      </c>
      <c r="AE27" s="5611">
        <f t="shared" si="81"/>
        <v>6090</v>
      </c>
      <c r="AF27" s="1735">
        <f t="shared" si="81"/>
        <v>1439.7066666666667</v>
      </c>
      <c r="AG27" s="6118">
        <f t="shared" si="81"/>
        <v>918</v>
      </c>
      <c r="AH27" s="2555">
        <f t="shared" si="81"/>
        <v>9412.6524585818406</v>
      </c>
      <c r="AI27" s="5611">
        <f t="shared" si="81"/>
        <v>7008</v>
      </c>
      <c r="AJ27" s="1735">
        <f t="shared" si="81"/>
        <v>1510.6</v>
      </c>
      <c r="AK27" s="6118">
        <f t="shared" ref="AK27:AP27" si="82">SUM(AK24:AK26)</f>
        <v>1111</v>
      </c>
      <c r="AL27" s="2556">
        <f t="shared" si="82"/>
        <v>3711.34</v>
      </c>
      <c r="AM27" s="6133">
        <f t="shared" si="82"/>
        <v>2673</v>
      </c>
      <c r="AN27" s="2555">
        <f t="shared" si="82"/>
        <v>10923.252458581841</v>
      </c>
      <c r="AO27" s="5611">
        <f t="shared" si="82"/>
        <v>8119</v>
      </c>
      <c r="AP27" s="1735">
        <f t="shared" si="82"/>
        <v>1486.3866666666668</v>
      </c>
      <c r="AQ27" s="6118">
        <f t="shared" ref="AQ27:AT27" si="83">SUM(AQ24:AQ26)</f>
        <v>1335</v>
      </c>
      <c r="AR27" s="2555">
        <f t="shared" si="83"/>
        <v>12409.639125248508</v>
      </c>
      <c r="AS27" s="5611">
        <f t="shared" si="83"/>
        <v>9454</v>
      </c>
      <c r="AT27" s="1735">
        <f t="shared" si="83"/>
        <v>1373.8533333333332</v>
      </c>
      <c r="AU27" s="6118">
        <f t="shared" ref="AU27:AX27" si="84">SUM(AU24:AU26)</f>
        <v>1243</v>
      </c>
      <c r="AV27" s="2555">
        <f t="shared" si="84"/>
        <v>13783.492458581841</v>
      </c>
      <c r="AW27" s="5611">
        <f t="shared" si="84"/>
        <v>10697</v>
      </c>
      <c r="AX27" s="1735">
        <f t="shared" si="84"/>
        <v>1518.45</v>
      </c>
      <c r="AY27" s="6118">
        <f t="shared" ref="AY27:BE27" si="85">SUM(AY24:AY26)</f>
        <v>1461</v>
      </c>
      <c r="AZ27" s="2556">
        <f t="shared" si="85"/>
        <v>4378.6900000000005</v>
      </c>
      <c r="BA27" s="6133">
        <f t="shared" si="85"/>
        <v>4039</v>
      </c>
      <c r="BB27" s="2556">
        <f t="shared" si="70"/>
        <v>8090.0300000000007</v>
      </c>
      <c r="BC27" s="6133">
        <f t="shared" ref="BC27" si="86">SUM(BC24:BC26)</f>
        <v>6712</v>
      </c>
      <c r="BD27" s="6521">
        <f t="shared" si="85"/>
        <v>15301.942458581841</v>
      </c>
      <c r="BE27" s="6946">
        <f t="shared" si="85"/>
        <v>12158</v>
      </c>
    </row>
    <row r="28" spans="1:57" ht="20" customHeight="1" thickBot="1" x14ac:dyDescent="0.25">
      <c r="A28" s="3404" t="s">
        <v>1024</v>
      </c>
      <c r="B28" s="2961" t="s">
        <v>1236</v>
      </c>
      <c r="C28" s="2737" t="s">
        <v>862</v>
      </c>
      <c r="D28" s="2716">
        <f t="shared" ref="D28:I28" si="87">+D27/D2</f>
        <v>28.56041528606141</v>
      </c>
      <c r="E28" s="4394">
        <f t="shared" si="87"/>
        <v>28.566666666666666</v>
      </c>
      <c r="F28" s="2716">
        <f>+F27/F2</f>
        <v>28.612903225806463</v>
      </c>
      <c r="G28" s="4394">
        <f t="shared" ref="G28" si="88">+G27/G2</f>
        <v>28.612903225806452</v>
      </c>
      <c r="H28" s="5621">
        <f t="shared" si="87"/>
        <v>28.58708948494824</v>
      </c>
      <c r="I28" s="5609">
        <f t="shared" si="87"/>
        <v>28.590163934426229</v>
      </c>
      <c r="J28" s="2716">
        <f>+J27/J2</f>
        <v>35.98822222222222</v>
      </c>
      <c r="K28" s="4394">
        <f t="shared" ref="K28:M28" si="89">+K27/K2</f>
        <v>32.266666666666666</v>
      </c>
      <c r="L28" s="5737">
        <f t="shared" si="89"/>
        <v>31.027023354379217</v>
      </c>
      <c r="M28" s="6131">
        <f t="shared" si="89"/>
        <v>29.802197802197803</v>
      </c>
      <c r="N28" s="2716">
        <f>+N27/N2</f>
        <v>47.58</v>
      </c>
      <c r="O28" s="6116">
        <f t="shared" ref="O28:Q28" si="90">+O27/O2</f>
        <v>34.387096774193552</v>
      </c>
      <c r="P28" s="5621">
        <f t="shared" si="90"/>
        <v>35.233107584004173</v>
      </c>
      <c r="Q28" s="5609">
        <f t="shared" si="90"/>
        <v>30.967213114754099</v>
      </c>
      <c r="R28" s="2716">
        <f>+R27/R2</f>
        <v>47.302795698924733</v>
      </c>
      <c r="S28" s="6116">
        <f t="shared" ref="S28:U28" si="91">+S27/S2</f>
        <v>36.451612903225808</v>
      </c>
      <c r="T28" s="5621">
        <f t="shared" si="91"/>
        <v>37.678599947158006</v>
      </c>
      <c r="U28" s="5609">
        <f t="shared" si="91"/>
        <v>32.078431372549019</v>
      </c>
      <c r="V28" s="2716">
        <f>+V27/V2</f>
        <v>48.236222222222217</v>
      </c>
      <c r="W28" s="6116">
        <f t="shared" ref="W28:AA28" si="92">+W27/W2</f>
        <v>17.933333333333334</v>
      </c>
      <c r="X28" s="5737">
        <f t="shared" si="92"/>
        <v>23.98061930783242</v>
      </c>
      <c r="Y28" s="6131">
        <f t="shared" si="92"/>
        <v>14.939890710382514</v>
      </c>
      <c r="Z28" s="6755">
        <f t="shared" si="92"/>
        <v>39.409357697168531</v>
      </c>
      <c r="AA28" s="6944">
        <f t="shared" si="92"/>
        <v>29.759562841530055</v>
      </c>
      <c r="AB28" s="2716">
        <f>+AB27/AB2</f>
        <v>24.549462365591399</v>
      </c>
      <c r="AC28" s="6116">
        <f t="shared" ref="AC28:AE28" si="93">+AC27/AC2</f>
        <v>20.774193548387096</v>
      </c>
      <c r="AD28" s="5621">
        <f t="shared" si="93"/>
        <v>37.2567560369868</v>
      </c>
      <c r="AE28" s="5609">
        <f t="shared" si="93"/>
        <v>28.457943925233646</v>
      </c>
      <c r="AF28" s="2716">
        <f>+AF27/AF2</f>
        <v>47.990222222222222</v>
      </c>
      <c r="AG28" s="6116">
        <f t="shared" ref="AG28:AI28" si="94">+AG27/AG2</f>
        <v>30.6</v>
      </c>
      <c r="AH28" s="5621">
        <f t="shared" si="94"/>
        <v>38.576444502384589</v>
      </c>
      <c r="AI28" s="5609">
        <f t="shared" si="94"/>
        <v>28.721311475409838</v>
      </c>
      <c r="AJ28" s="2716">
        <f>+AJ27/AJ2</f>
        <v>48.729032258064514</v>
      </c>
      <c r="AK28" s="6116">
        <f t="shared" ref="AK28:AO28" si="95">+AK27/AK2</f>
        <v>35.838709677419352</v>
      </c>
      <c r="AL28" s="5737">
        <f t="shared" si="95"/>
        <v>40.340652173913043</v>
      </c>
      <c r="AM28" s="6131">
        <f t="shared" si="95"/>
        <v>29.054347826086957</v>
      </c>
      <c r="AN28" s="5621">
        <f t="shared" si="95"/>
        <v>39.720918031206693</v>
      </c>
      <c r="AO28" s="5609">
        <f t="shared" si="95"/>
        <v>29.523636363636363</v>
      </c>
      <c r="AP28" s="2716">
        <f>+AP27/AP2</f>
        <v>47.947956989247317</v>
      </c>
      <c r="AQ28" s="6116">
        <f t="shared" ref="AQ28:AS28" si="96">+AQ27/AQ2</f>
        <v>43.064516129032256</v>
      </c>
      <c r="AR28" s="5621">
        <f t="shared" si="96"/>
        <v>40.554376226302317</v>
      </c>
      <c r="AS28" s="5609">
        <f t="shared" si="96"/>
        <v>30.895424836601308</v>
      </c>
      <c r="AT28" s="2716">
        <f>+AT27/AT2</f>
        <v>49.066190476190471</v>
      </c>
      <c r="AU28" s="6116">
        <f t="shared" ref="AU28:AW28" si="97">+AU27/AU2</f>
        <v>44.392857142857146</v>
      </c>
      <c r="AV28" s="5621">
        <f t="shared" si="97"/>
        <v>41.267941492760002</v>
      </c>
      <c r="AW28" s="5609">
        <f t="shared" si="97"/>
        <v>32.026946107784433</v>
      </c>
      <c r="AX28" s="2716">
        <f>+AX27/AX2</f>
        <v>48.982258064516131</v>
      </c>
      <c r="AY28" s="6116">
        <f t="shared" ref="AY28:BE28" si="98">+AY27/AY2</f>
        <v>47.12903225806452</v>
      </c>
      <c r="AZ28" s="5737">
        <f t="shared" si="98"/>
        <v>48.652111111111118</v>
      </c>
      <c r="BA28" s="6131">
        <f t="shared" si="98"/>
        <v>44.87777777777778</v>
      </c>
      <c r="BB28" s="5737">
        <f t="shared" ref="BB28:BC28" si="99">+BB27/BB2</f>
        <v>44.450714285714291</v>
      </c>
      <c r="BC28" s="6131">
        <f t="shared" si="99"/>
        <v>36.879120879120876</v>
      </c>
      <c r="BD28" s="6755">
        <f t="shared" si="98"/>
        <v>41.923130023511895</v>
      </c>
      <c r="BE28" s="6944">
        <f t="shared" si="98"/>
        <v>33.30958904109589</v>
      </c>
    </row>
    <row r="29" spans="1:57" ht="20" customHeight="1" thickBot="1" x14ac:dyDescent="0.25">
      <c r="A29" s="3404" t="s">
        <v>1024</v>
      </c>
      <c r="B29" s="4021" t="s">
        <v>990</v>
      </c>
      <c r="C29" s="4022" t="s">
        <v>170</v>
      </c>
      <c r="D29" s="1735">
        <f>+D22-D5</f>
        <v>2316</v>
      </c>
      <c r="E29" s="4394">
        <v>2316</v>
      </c>
      <c r="F29" s="1735">
        <f>+F22-F5</f>
        <v>2300</v>
      </c>
      <c r="G29" s="4394">
        <v>2300</v>
      </c>
      <c r="H29" s="2555">
        <f>+D29+F29</f>
        <v>4616</v>
      </c>
      <c r="I29" s="5609">
        <f>+E29+G29</f>
        <v>4616</v>
      </c>
      <c r="J29" s="1735">
        <f>+J22-J5</f>
        <v>5008.6701030927943</v>
      </c>
      <c r="K29" s="4394">
        <v>2208</v>
      </c>
      <c r="L29" s="2556">
        <f>+H29+J29</f>
        <v>9624.6701030927943</v>
      </c>
      <c r="M29" s="6131">
        <f>+I29+K29</f>
        <v>6824</v>
      </c>
      <c r="N29" s="1735">
        <f>+N22-N5</f>
        <v>6842.6907216495019</v>
      </c>
      <c r="O29" s="6116">
        <f>700+616+284+324+625</f>
        <v>2549</v>
      </c>
      <c r="P29" s="2555">
        <f>+L29+N29</f>
        <v>16467.360824742296</v>
      </c>
      <c r="Q29" s="5609">
        <f>+M29+O29</f>
        <v>9373</v>
      </c>
      <c r="R29" s="1735">
        <f>+R22-R5</f>
        <v>6802.8247422680433</v>
      </c>
      <c r="S29" s="6116">
        <f>771+293+340+314+650</f>
        <v>2368</v>
      </c>
      <c r="T29" s="2555">
        <f>+P29+R29</f>
        <v>23270.18556701034</v>
      </c>
      <c r="U29" s="5609">
        <f>+Q29+S29</f>
        <v>11741</v>
      </c>
      <c r="V29" s="1735">
        <f>+V22-V5</f>
        <v>6713.2886597938195</v>
      </c>
      <c r="W29" s="6116">
        <f>350+202+177+139+347</f>
        <v>1215</v>
      </c>
      <c r="X29" s="7017">
        <f t="shared" ref="X29" si="100">+V29+R29+N29</f>
        <v>20358.804123711365</v>
      </c>
      <c r="Y29" s="6140">
        <f t="shared" ref="Y29" si="101">+W29+S29+O29</f>
        <v>6132</v>
      </c>
      <c r="Z29" s="6521">
        <f>+T29+V29</f>
        <v>29983.474226804159</v>
      </c>
      <c r="AA29" s="6944">
        <f>+U29+W29</f>
        <v>12956</v>
      </c>
      <c r="AB29" s="1735">
        <f>+AB22-AB5</f>
        <v>3530.5670103092853</v>
      </c>
      <c r="AC29" s="6116">
        <f>663+300+147+142+171</f>
        <v>1423</v>
      </c>
      <c r="AD29" s="2555">
        <f>+Z29+AB29</f>
        <v>33514.041237113444</v>
      </c>
      <c r="AE29" s="5609">
        <f>+AA29+AC29</f>
        <v>14379</v>
      </c>
      <c r="AF29" s="1735">
        <f>+AF22-AF5</f>
        <v>6679.0206185567076</v>
      </c>
      <c r="AG29" s="6116">
        <f>717+210+254+238+502</f>
        <v>1921</v>
      </c>
      <c r="AH29" s="2555">
        <f>+AD29+AF29</f>
        <v>40193.061855670152</v>
      </c>
      <c r="AI29" s="5609">
        <f>+AE29+AG29</f>
        <v>16300</v>
      </c>
      <c r="AJ29" s="1735">
        <f>+AJ22-AJ5</f>
        <v>7007.9381443299062</v>
      </c>
      <c r="AK29" s="6116">
        <f>676+426+300+284+449</f>
        <v>2135</v>
      </c>
      <c r="AL29" s="7754">
        <f t="shared" ref="AL29" si="102">+AJ29+AF29+AB29</f>
        <v>17217.525773195899</v>
      </c>
      <c r="AM29" s="6140">
        <f t="shared" ref="AM29" si="103">+AK29+AG29+AC29</f>
        <v>5479</v>
      </c>
      <c r="AN29" s="2555">
        <f>+AH29+AJ29</f>
        <v>47201.000000000058</v>
      </c>
      <c r="AO29" s="5609">
        <f>+AI29+AK29</f>
        <v>18435</v>
      </c>
      <c r="AP29" s="1735">
        <f>+AP22-AP5</f>
        <v>6895.5927835051552</v>
      </c>
      <c r="AQ29" s="6116">
        <v>2721</v>
      </c>
      <c r="AR29" s="2555">
        <f>+AN29+AP29</f>
        <v>54096.592783505213</v>
      </c>
      <c r="AS29" s="5609">
        <f>+AO29+AQ29</f>
        <v>21156</v>
      </c>
      <c r="AT29" s="1735">
        <f>+AT22-AT5</f>
        <v>6373</v>
      </c>
      <c r="AU29" s="8391">
        <f>+AU22-AU5</f>
        <v>2824</v>
      </c>
      <c r="AV29" s="2555">
        <f>+AR29+AT29</f>
        <v>60469.592783505213</v>
      </c>
      <c r="AW29" s="5609">
        <f>+AS29+AU29</f>
        <v>23980</v>
      </c>
      <c r="AX29" s="1735">
        <f>+AX22-AX5</f>
        <v>7039</v>
      </c>
      <c r="AY29" s="6116">
        <f>+AY22-AY5</f>
        <v>3143</v>
      </c>
      <c r="AZ29" s="8297">
        <f t="shared" ref="AZ29" si="104">+AX29+AT29+AP29</f>
        <v>20307.592783505155</v>
      </c>
      <c r="BA29" s="6140">
        <f t="shared" ref="BA29" si="105">+AY29+AU29+AQ29</f>
        <v>8688</v>
      </c>
      <c r="BB29" s="8297">
        <f t="shared" si="70"/>
        <v>37525.118556701054</v>
      </c>
      <c r="BC29" s="6140">
        <f>+BA29+AM29</f>
        <v>14167</v>
      </c>
      <c r="BD29" s="6521">
        <f>+AV29+AX29</f>
        <v>67508.592783505213</v>
      </c>
      <c r="BE29" s="6944">
        <f>+AW29+AY29</f>
        <v>27123</v>
      </c>
    </row>
    <row r="30" spans="1:57" s="3380" customFormat="1" ht="20" customHeight="1" thickBot="1" x14ac:dyDescent="0.25">
      <c r="B30" s="6110" t="s">
        <v>765</v>
      </c>
      <c r="C30" s="6111"/>
      <c r="D30" s="6112"/>
      <c r="E30" s="6113"/>
      <c r="F30" s="6112"/>
      <c r="G30" s="6113"/>
      <c r="H30" s="6112"/>
      <c r="I30" s="6113"/>
      <c r="J30" s="6112"/>
      <c r="K30" s="6113"/>
      <c r="L30" s="6112"/>
      <c r="M30" s="6113"/>
      <c r="N30" s="6112"/>
      <c r="O30" s="6113"/>
      <c r="P30" s="6112"/>
      <c r="Q30" s="6113"/>
      <c r="R30" s="6112"/>
      <c r="S30" s="6113"/>
      <c r="T30" s="6112"/>
      <c r="U30" s="6113"/>
      <c r="V30" s="6112"/>
      <c r="W30" s="6113"/>
      <c r="X30" s="6112"/>
      <c r="Y30" s="6113"/>
      <c r="Z30" s="6112"/>
      <c r="AA30" s="6113"/>
      <c r="AB30" s="6112"/>
      <c r="AC30" s="6113"/>
      <c r="AD30" s="6112"/>
      <c r="AE30" s="6113"/>
      <c r="AF30" s="6112"/>
      <c r="AG30" s="6113"/>
      <c r="AH30" s="6112"/>
      <c r="AI30" s="6113"/>
      <c r="AJ30" s="6112"/>
      <c r="AK30" s="6113"/>
      <c r="AL30" s="6112"/>
      <c r="AM30" s="6113"/>
      <c r="AN30" s="7941"/>
      <c r="AO30" s="7942"/>
      <c r="AP30" s="6112"/>
      <c r="AQ30" s="6113"/>
      <c r="AR30" s="6112"/>
      <c r="AS30" s="6113"/>
      <c r="AT30" s="6112"/>
      <c r="AU30" s="6113"/>
      <c r="AV30" s="6112"/>
      <c r="AW30" s="6113"/>
      <c r="AX30" s="6112"/>
      <c r="AY30" s="6113"/>
      <c r="AZ30" s="6112"/>
      <c r="BA30" s="6113"/>
      <c r="BB30" s="6112"/>
      <c r="BC30" s="6113"/>
      <c r="BD30" s="6112"/>
      <c r="BE30" s="6113"/>
    </row>
    <row r="31" spans="1:57" ht="20" customHeight="1" x14ac:dyDescent="0.2">
      <c r="B31" s="4000" t="s">
        <v>641</v>
      </c>
      <c r="C31" s="4001" t="s">
        <v>170</v>
      </c>
      <c r="D31" s="8876">
        <v>107526</v>
      </c>
      <c r="E31" s="4433">
        <v>50674</v>
      </c>
      <c r="F31" s="8876">
        <v>97948</v>
      </c>
      <c r="G31" s="4433">
        <v>51855</v>
      </c>
      <c r="H31" s="8883">
        <f>+D31+F31</f>
        <v>205474</v>
      </c>
      <c r="I31" s="4869">
        <f>+E31+G31</f>
        <v>102529</v>
      </c>
      <c r="J31" s="8876">
        <v>117305</v>
      </c>
      <c r="K31" s="4433">
        <v>49889</v>
      </c>
      <c r="L31" s="8870">
        <f>+H31+J31</f>
        <v>322779</v>
      </c>
      <c r="M31" s="5753">
        <f>+I31+K31</f>
        <v>152418</v>
      </c>
      <c r="N31" s="8876">
        <v>164379</v>
      </c>
      <c r="O31" s="6168">
        <v>63399</v>
      </c>
      <c r="P31" s="8883">
        <f>+L31+N31</f>
        <v>487158</v>
      </c>
      <c r="Q31" s="4869">
        <f>+M31+O31</f>
        <v>215817</v>
      </c>
      <c r="R31" s="8876">
        <v>161537</v>
      </c>
      <c r="S31" s="6168">
        <v>58721</v>
      </c>
      <c r="T31" s="8883">
        <f>+P31+R31</f>
        <v>648695</v>
      </c>
      <c r="U31" s="4869">
        <f>+Q31+S31</f>
        <v>274538</v>
      </c>
      <c r="V31" s="8876">
        <v>160537</v>
      </c>
      <c r="W31" s="6168">
        <v>35021</v>
      </c>
      <c r="X31" s="8870">
        <f>+V31+R31+N31</f>
        <v>486453</v>
      </c>
      <c r="Y31" s="6140">
        <f t="shared" ref="Y31:Y32" si="106">+W31+S31+O31</f>
        <v>157141</v>
      </c>
      <c r="Z31" s="8855">
        <f>+T31+V31</f>
        <v>809232</v>
      </c>
      <c r="AA31" s="6963">
        <f>+U31+W31</f>
        <v>309559</v>
      </c>
      <c r="AB31" s="8876">
        <v>95000</v>
      </c>
      <c r="AC31" s="6168">
        <v>45369</v>
      </c>
      <c r="AD31" s="8883">
        <f>+Z31+AB31</f>
        <v>904232</v>
      </c>
      <c r="AE31" s="4869">
        <f>+AA31+AC31</f>
        <v>354928</v>
      </c>
      <c r="AF31" s="8876">
        <v>153563</v>
      </c>
      <c r="AG31" s="6168">
        <v>56609</v>
      </c>
      <c r="AH31" s="8883">
        <f>+AD31+AF31</f>
        <v>1057795</v>
      </c>
      <c r="AI31" s="4869">
        <f>+AE31+AG31</f>
        <v>411537</v>
      </c>
      <c r="AJ31" s="8876">
        <v>162990</v>
      </c>
      <c r="AK31" s="6168">
        <v>72863</v>
      </c>
      <c r="AL31" s="8870">
        <f>+AJ31+AF31+AB31</f>
        <v>411553</v>
      </c>
      <c r="AM31" s="6140">
        <f t="shared" ref="AM31:AM32" si="107">+AK31+AG31+AC31</f>
        <v>174841</v>
      </c>
      <c r="AN31" s="8883">
        <f>+AH31+AJ31</f>
        <v>1220785</v>
      </c>
      <c r="AO31" s="4869">
        <f>+AI31+AK31</f>
        <v>484400</v>
      </c>
      <c r="AP31" s="8876">
        <v>162208</v>
      </c>
      <c r="AQ31" s="6168">
        <v>80742</v>
      </c>
      <c r="AR31" s="8883">
        <f>+AN31+AP31</f>
        <v>1382993</v>
      </c>
      <c r="AS31" s="4869">
        <f>+AO31+AQ31</f>
        <v>565142</v>
      </c>
      <c r="AT31" s="8876">
        <v>147060</v>
      </c>
      <c r="AU31" s="6168">
        <v>73834</v>
      </c>
      <c r="AV31" s="8883">
        <f>+AR31+AT31</f>
        <v>1530053</v>
      </c>
      <c r="AW31" s="4869">
        <f>+AS31+AU31</f>
        <v>638976</v>
      </c>
      <c r="AX31" s="8876"/>
      <c r="AY31" s="6168">
        <v>87816</v>
      </c>
      <c r="AZ31" s="8870">
        <f>+AX31+AT31+AP31</f>
        <v>309268</v>
      </c>
      <c r="BA31" s="6140">
        <f t="shared" ref="BA31:BA32" si="108">+AY31+AU31+AQ31</f>
        <v>242392</v>
      </c>
      <c r="BB31" s="8870">
        <f t="shared" si="70"/>
        <v>720821</v>
      </c>
      <c r="BC31" s="6140">
        <f t="shared" ref="BC31:BC32" si="109">+BA31+AM31</f>
        <v>417233</v>
      </c>
      <c r="BD31" s="8855">
        <f>+AV31+AX31</f>
        <v>1530053</v>
      </c>
      <c r="BE31" s="6963">
        <f>+AW31+AY31</f>
        <v>726792</v>
      </c>
    </row>
    <row r="32" spans="1:57" ht="20" customHeight="1" thickBot="1" x14ac:dyDescent="0.25">
      <c r="B32" s="4024" t="s">
        <v>642</v>
      </c>
      <c r="C32" s="3999" t="s">
        <v>170</v>
      </c>
      <c r="D32" s="8811"/>
      <c r="E32" s="4434">
        <v>278.5</v>
      </c>
      <c r="F32" s="8811"/>
      <c r="G32" s="4434">
        <v>183.02500000000001</v>
      </c>
      <c r="H32" s="8785"/>
      <c r="I32" s="5015">
        <f>+E32+G32</f>
        <v>461.52499999999998</v>
      </c>
      <c r="J32" s="8811"/>
      <c r="K32" s="4434">
        <v>0</v>
      </c>
      <c r="L32" s="8728"/>
      <c r="M32" s="6140">
        <f>+I32+K32</f>
        <v>461.52499999999998</v>
      </c>
      <c r="N32" s="8811"/>
      <c r="O32" s="6125">
        <v>215.64999999999995</v>
      </c>
      <c r="P32" s="8785"/>
      <c r="Q32" s="5015">
        <f>+M32+O32</f>
        <v>677.17499999999995</v>
      </c>
      <c r="R32" s="8811"/>
      <c r="S32" s="6125">
        <v>220.35000000000002</v>
      </c>
      <c r="T32" s="8785"/>
      <c r="U32" s="5015">
        <f>+Q32+S32</f>
        <v>897.52499999999998</v>
      </c>
      <c r="V32" s="8811"/>
      <c r="W32" s="6125">
        <v>119.47000000000001</v>
      </c>
      <c r="X32" s="8728"/>
      <c r="Y32" s="6140">
        <f t="shared" si="106"/>
        <v>555.47</v>
      </c>
      <c r="Z32" s="8724"/>
      <c r="AA32" s="6960">
        <f>+U32+W32</f>
        <v>1016.995</v>
      </c>
      <c r="AB32" s="8811"/>
      <c r="AC32" s="6125">
        <v>163.85999999999999</v>
      </c>
      <c r="AD32" s="8785"/>
      <c r="AE32" s="5015">
        <f>+AA32+AC32</f>
        <v>1180.855</v>
      </c>
      <c r="AF32" s="8811"/>
      <c r="AG32" s="6125">
        <f>170.545+49.5</f>
        <v>220.04499999999999</v>
      </c>
      <c r="AH32" s="8785"/>
      <c r="AI32" s="5015">
        <f>+AE32+AG32</f>
        <v>1400.9</v>
      </c>
      <c r="AJ32" s="8811"/>
      <c r="AK32" s="6125">
        <v>221</v>
      </c>
      <c r="AL32" s="8728"/>
      <c r="AM32" s="6140">
        <f t="shared" si="107"/>
        <v>604.90499999999997</v>
      </c>
      <c r="AN32" s="8785"/>
      <c r="AO32" s="5015">
        <f>+AI32+AK32</f>
        <v>1621.9</v>
      </c>
      <c r="AP32" s="8811"/>
      <c r="AQ32" s="6125">
        <v>223.41</v>
      </c>
      <c r="AR32" s="8785"/>
      <c r="AS32" s="5015">
        <f>+AO32+AQ32</f>
        <v>1845.3100000000002</v>
      </c>
      <c r="AT32" s="8811"/>
      <c r="AU32" s="6125">
        <f>127-27</f>
        <v>100</v>
      </c>
      <c r="AV32" s="8785"/>
      <c r="AW32" s="5015">
        <f>+AS32+AU32</f>
        <v>1945.3100000000002</v>
      </c>
      <c r="AX32" s="8811"/>
      <c r="AY32" s="6125"/>
      <c r="AZ32" s="8728"/>
      <c r="BA32" s="6140">
        <f t="shared" si="108"/>
        <v>323.40999999999997</v>
      </c>
      <c r="BB32" s="8728">
        <f t="shared" si="70"/>
        <v>0</v>
      </c>
      <c r="BC32" s="6140">
        <f t="shared" si="109"/>
        <v>928.31499999999994</v>
      </c>
      <c r="BD32" s="8724"/>
      <c r="BE32" s="6960">
        <f>+AW32+AY32</f>
        <v>1945.3100000000002</v>
      </c>
    </row>
    <row r="33" spans="1:58" ht="20" customHeight="1" thickBot="1" x14ac:dyDescent="0.25">
      <c r="B33" s="4025" t="s">
        <v>643</v>
      </c>
      <c r="C33" s="1599" t="s">
        <v>170</v>
      </c>
      <c r="D33" s="8811"/>
      <c r="E33" s="4394">
        <f>SUM(E31:E32)</f>
        <v>50952.5</v>
      </c>
      <c r="F33" s="8811"/>
      <c r="G33" s="4394">
        <f>SUM(G31:G32)</f>
        <v>52038.025000000001</v>
      </c>
      <c r="H33" s="8785"/>
      <c r="I33" s="5609">
        <f>SUM(I31:I32)</f>
        <v>102990.52499999999</v>
      </c>
      <c r="J33" s="8811"/>
      <c r="K33" s="4394">
        <f>SUM(K31:K32)</f>
        <v>49889</v>
      </c>
      <c r="L33" s="8728"/>
      <c r="M33" s="6131">
        <f>SUM(M31:M32)</f>
        <v>152879.52499999999</v>
      </c>
      <c r="N33" s="8811"/>
      <c r="O33" s="6116">
        <f>SUM(O31:O32)</f>
        <v>63614.65</v>
      </c>
      <c r="P33" s="8785"/>
      <c r="Q33" s="5609">
        <f>SUM(Q31:Q32)</f>
        <v>216494.17499999999</v>
      </c>
      <c r="R33" s="8811"/>
      <c r="S33" s="6116">
        <f>SUM(S31:S32)</f>
        <v>58941.35</v>
      </c>
      <c r="T33" s="8785"/>
      <c r="U33" s="5609">
        <f>SUM(U31:U32)</f>
        <v>275435.52500000002</v>
      </c>
      <c r="V33" s="8811"/>
      <c r="W33" s="6116">
        <f>SUM(W31:W32)</f>
        <v>35140.47</v>
      </c>
      <c r="X33" s="8728"/>
      <c r="Y33" s="6131">
        <f>SUM(Y31:Y32)</f>
        <v>157696.47</v>
      </c>
      <c r="Z33" s="8724"/>
      <c r="AA33" s="6944">
        <f>SUM(AA31:AA32)</f>
        <v>310575.995</v>
      </c>
      <c r="AB33" s="8811"/>
      <c r="AC33" s="6116">
        <f>SUM(AC31:AC32)</f>
        <v>45532.86</v>
      </c>
      <c r="AD33" s="8785"/>
      <c r="AE33" s="5609">
        <f>SUM(AE31:AE32)</f>
        <v>356108.85499999998</v>
      </c>
      <c r="AF33" s="8811"/>
      <c r="AG33" s="6116">
        <f>SUM(AG31:AG32)</f>
        <v>56829.044999999998</v>
      </c>
      <c r="AH33" s="8785"/>
      <c r="AI33" s="5609">
        <f>SUM(AI31:AI32)</f>
        <v>412937.9</v>
      </c>
      <c r="AJ33" s="8811"/>
      <c r="AK33" s="6116">
        <f>SUM(AK31:AK32)</f>
        <v>73084</v>
      </c>
      <c r="AL33" s="8728"/>
      <c r="AM33" s="6131">
        <f>SUM(AM31:AM32)</f>
        <v>175445.905</v>
      </c>
      <c r="AN33" s="8785"/>
      <c r="AO33" s="5609">
        <f>SUM(AO31:AO32)</f>
        <v>486021.9</v>
      </c>
      <c r="AP33" s="8811"/>
      <c r="AQ33" s="6116">
        <f>SUM(AQ31:AQ32)</f>
        <v>80965.41</v>
      </c>
      <c r="AR33" s="8785"/>
      <c r="AS33" s="5609">
        <f>SUM(AS31:AS32)</f>
        <v>566987.31000000006</v>
      </c>
      <c r="AT33" s="8811"/>
      <c r="AU33" s="6116">
        <f>SUM(AU31:AU32)</f>
        <v>73934</v>
      </c>
      <c r="AV33" s="8785"/>
      <c r="AW33" s="5609">
        <f>SUM(AW31:AW32)</f>
        <v>640921.31000000006</v>
      </c>
      <c r="AX33" s="8811"/>
      <c r="AY33" s="6116">
        <f>SUM(AY31:AY32)</f>
        <v>87816</v>
      </c>
      <c r="AZ33" s="8728"/>
      <c r="BA33" s="6131">
        <f>SUM(BA31:BA32)</f>
        <v>242715.41</v>
      </c>
      <c r="BB33" s="8728">
        <f t="shared" si="70"/>
        <v>0</v>
      </c>
      <c r="BC33" s="6131">
        <f>SUM(BC31:BC32)</f>
        <v>418161.315</v>
      </c>
      <c r="BD33" s="8724"/>
      <c r="BE33" s="6944">
        <f>SUM(BE31:BE32)</f>
        <v>728737.31</v>
      </c>
    </row>
    <row r="34" spans="1:58" ht="20" customHeight="1" x14ac:dyDescent="0.2">
      <c r="B34" s="4026" t="s">
        <v>644</v>
      </c>
      <c r="C34" s="3997" t="s">
        <v>170</v>
      </c>
      <c r="D34" s="8811"/>
      <c r="E34" s="4434">
        <v>56294</v>
      </c>
      <c r="F34" s="8811"/>
      <c r="G34" s="4434">
        <v>45727</v>
      </c>
      <c r="H34" s="8785"/>
      <c r="I34" s="5015">
        <f t="shared" ref="I34:I35" si="110">+E34+G34</f>
        <v>102021</v>
      </c>
      <c r="J34" s="8811"/>
      <c r="K34" s="4434">
        <v>52502</v>
      </c>
      <c r="L34" s="8728"/>
      <c r="M34" s="6140">
        <f t="shared" ref="M34:M35" si="111">+I34+K34</f>
        <v>154523</v>
      </c>
      <c r="N34" s="8811"/>
      <c r="O34" s="6125">
        <v>40885</v>
      </c>
      <c r="P34" s="8785"/>
      <c r="Q34" s="5015">
        <f t="shared" ref="Q34:Q35" si="112">+M34+O34</f>
        <v>195408</v>
      </c>
      <c r="R34" s="8811"/>
      <c r="S34" s="6125">
        <v>72454</v>
      </c>
      <c r="T34" s="8785"/>
      <c r="U34" s="5015">
        <f t="shared" ref="U34:U35" si="113">+Q34+S34</f>
        <v>267862</v>
      </c>
      <c r="V34" s="8811"/>
      <c r="W34" s="6125">
        <v>37051</v>
      </c>
      <c r="X34" s="8728"/>
      <c r="Y34" s="6140">
        <f t="shared" ref="Y34:Y35" si="114">+W34+S34+O34</f>
        <v>150390</v>
      </c>
      <c r="Z34" s="8724"/>
      <c r="AA34" s="6960">
        <f t="shared" ref="AA34:AA35" si="115">+U34+W34</f>
        <v>304913</v>
      </c>
      <c r="AB34" s="8811"/>
      <c r="AC34" s="6125">
        <v>32365</v>
      </c>
      <c r="AD34" s="8785"/>
      <c r="AE34" s="5015">
        <f t="shared" ref="AE34:AE35" si="116">+AA34+AC34</f>
        <v>337278</v>
      </c>
      <c r="AF34" s="8811"/>
      <c r="AG34" s="6125">
        <v>52081</v>
      </c>
      <c r="AH34" s="8785"/>
      <c r="AI34" s="5015">
        <f t="shared" ref="AI34:AI35" si="117">+AE34+AG34</f>
        <v>389359</v>
      </c>
      <c r="AJ34" s="8811"/>
      <c r="AK34" s="6125">
        <v>65263</v>
      </c>
      <c r="AL34" s="8728"/>
      <c r="AM34" s="6140">
        <f t="shared" ref="AM34:AM35" si="118">+AK34+AG34+AC34</f>
        <v>149709</v>
      </c>
      <c r="AN34" s="8785"/>
      <c r="AO34" s="5015">
        <f t="shared" ref="AO34:AO35" si="119">+AI34+AK34</f>
        <v>454622</v>
      </c>
      <c r="AP34" s="8811"/>
      <c r="AQ34" s="6125">
        <v>83767</v>
      </c>
      <c r="AR34" s="8785"/>
      <c r="AS34" s="5015">
        <f t="shared" ref="AS34:AS35" si="120">+AO34+AQ34</f>
        <v>538389</v>
      </c>
      <c r="AT34" s="8811"/>
      <c r="AU34" s="6125">
        <v>71223</v>
      </c>
      <c r="AV34" s="8785"/>
      <c r="AW34" s="5015">
        <f t="shared" ref="AW34:AW35" si="121">+AS34+AU34</f>
        <v>609612</v>
      </c>
      <c r="AX34" s="8811"/>
      <c r="AY34" s="6125">
        <v>86016</v>
      </c>
      <c r="AZ34" s="8728"/>
      <c r="BA34" s="6140">
        <f t="shared" ref="BA34:BA35" si="122">+AY34+AU34+AQ34</f>
        <v>241006</v>
      </c>
      <c r="BB34" s="8728">
        <f t="shared" si="70"/>
        <v>0</v>
      </c>
      <c r="BC34" s="6140">
        <f t="shared" ref="BC34:BC35" si="123">+BA34+AM34</f>
        <v>390715</v>
      </c>
      <c r="BD34" s="8724"/>
      <c r="BE34" s="6960">
        <f t="shared" ref="BE34:BE35" si="124">+AW34+AY34</f>
        <v>695628</v>
      </c>
    </row>
    <row r="35" spans="1:58" ht="20" customHeight="1" thickBot="1" x14ac:dyDescent="0.25">
      <c r="B35" s="4024" t="s">
        <v>645</v>
      </c>
      <c r="C35" s="3999" t="s">
        <v>170</v>
      </c>
      <c r="D35" s="8811"/>
      <c r="E35" s="4434">
        <v>277.5</v>
      </c>
      <c r="F35" s="8811"/>
      <c r="G35" s="4434">
        <v>183.02500000000001</v>
      </c>
      <c r="H35" s="8785"/>
      <c r="I35" s="5015">
        <f t="shared" si="110"/>
        <v>460.52499999999998</v>
      </c>
      <c r="J35" s="8811"/>
      <c r="K35" s="4434">
        <v>296</v>
      </c>
      <c r="L35" s="8728"/>
      <c r="M35" s="6140">
        <f t="shared" si="111"/>
        <v>756.52499999999998</v>
      </c>
      <c r="N35" s="8811"/>
      <c r="O35" s="6125">
        <v>108.24999999999999</v>
      </c>
      <c r="P35" s="8785"/>
      <c r="Q35" s="5015">
        <f t="shared" si="112"/>
        <v>864.77499999999998</v>
      </c>
      <c r="R35" s="8811"/>
      <c r="S35" s="6125">
        <v>143.52000000000001</v>
      </c>
      <c r="T35" s="8785"/>
      <c r="U35" s="5015">
        <f t="shared" si="113"/>
        <v>1008.295</v>
      </c>
      <c r="V35" s="8811"/>
      <c r="W35" s="6125">
        <v>82.740000000000009</v>
      </c>
      <c r="X35" s="8728"/>
      <c r="Y35" s="6140">
        <f t="shared" si="114"/>
        <v>334.51</v>
      </c>
      <c r="Z35" s="8724"/>
      <c r="AA35" s="6960">
        <f t="shared" si="115"/>
        <v>1091.0349999999999</v>
      </c>
      <c r="AB35" s="8811"/>
      <c r="AC35" s="6125">
        <v>94.470000000000013</v>
      </c>
      <c r="AD35" s="8785"/>
      <c r="AE35" s="5015">
        <f t="shared" si="116"/>
        <v>1185.5049999999999</v>
      </c>
      <c r="AF35" s="8811"/>
      <c r="AG35" s="6125">
        <v>114.19200000000002</v>
      </c>
      <c r="AH35" s="8785"/>
      <c r="AI35" s="5015">
        <f t="shared" si="117"/>
        <v>1299.6969999999999</v>
      </c>
      <c r="AJ35" s="8811"/>
      <c r="AK35" s="6125">
        <v>221</v>
      </c>
      <c r="AL35" s="8728"/>
      <c r="AM35" s="6140">
        <f t="shared" si="118"/>
        <v>429.66200000000003</v>
      </c>
      <c r="AN35" s="8785"/>
      <c r="AO35" s="5015">
        <f t="shared" si="119"/>
        <v>1520.6969999999999</v>
      </c>
      <c r="AP35" s="8811"/>
      <c r="AQ35" s="6125">
        <v>223.41</v>
      </c>
      <c r="AR35" s="8785"/>
      <c r="AS35" s="5015">
        <f t="shared" si="120"/>
        <v>1744.107</v>
      </c>
      <c r="AT35" s="8811"/>
      <c r="AU35" s="6125">
        <v>100</v>
      </c>
      <c r="AV35" s="8785"/>
      <c r="AW35" s="5015">
        <f t="shared" si="121"/>
        <v>1844.107</v>
      </c>
      <c r="AX35" s="8811"/>
      <c r="AY35" s="6125">
        <f>559-135</f>
        <v>424</v>
      </c>
      <c r="AZ35" s="8728"/>
      <c r="BA35" s="6140">
        <f t="shared" si="122"/>
        <v>747.41</v>
      </c>
      <c r="BB35" s="8728">
        <f t="shared" si="70"/>
        <v>0</v>
      </c>
      <c r="BC35" s="6140">
        <f t="shared" si="123"/>
        <v>1177.0720000000001</v>
      </c>
      <c r="BD35" s="8724"/>
      <c r="BE35" s="6960">
        <f t="shared" si="124"/>
        <v>2268.107</v>
      </c>
    </row>
    <row r="36" spans="1:58" ht="20" customHeight="1" thickBot="1" x14ac:dyDescent="0.25">
      <c r="B36" s="4025" t="s">
        <v>646</v>
      </c>
      <c r="C36" s="1599" t="s">
        <v>170</v>
      </c>
      <c r="D36" s="8811"/>
      <c r="E36" s="4394">
        <f>SUM(E34:E35)</f>
        <v>56571.5</v>
      </c>
      <c r="F36" s="8811"/>
      <c r="G36" s="4394">
        <f>SUM(G34:G35)</f>
        <v>45910.025000000001</v>
      </c>
      <c r="H36" s="8785"/>
      <c r="I36" s="5609">
        <f>SUM(I34:I35)</f>
        <v>102481.52499999999</v>
      </c>
      <c r="J36" s="8811"/>
      <c r="K36" s="4394">
        <f>SUM(K34:K35)</f>
        <v>52798</v>
      </c>
      <c r="L36" s="8728"/>
      <c r="M36" s="6131">
        <f>SUM(M34:M35)</f>
        <v>155279.52499999999</v>
      </c>
      <c r="N36" s="8811"/>
      <c r="O36" s="6116">
        <f>SUM(O34:O35)</f>
        <v>40993.25</v>
      </c>
      <c r="P36" s="8785"/>
      <c r="Q36" s="5609">
        <f>SUM(Q34:Q35)</f>
        <v>196272.77499999999</v>
      </c>
      <c r="R36" s="8811"/>
      <c r="S36" s="6116">
        <f>SUM(S34:S35)</f>
        <v>72597.52</v>
      </c>
      <c r="T36" s="8785"/>
      <c r="U36" s="5609">
        <f>SUM(U34:U35)</f>
        <v>268870.29499999998</v>
      </c>
      <c r="V36" s="8811"/>
      <c r="W36" s="6116">
        <f>SUM(W34:W35)</f>
        <v>37133.74</v>
      </c>
      <c r="X36" s="8728"/>
      <c r="Y36" s="6131">
        <f>SUM(Y34:Y35)</f>
        <v>150724.51</v>
      </c>
      <c r="Z36" s="8724"/>
      <c r="AA36" s="6944">
        <f>SUM(AA34:AA35)</f>
        <v>306004.03499999997</v>
      </c>
      <c r="AB36" s="8811"/>
      <c r="AC36" s="6116">
        <f>SUM(AC34:AC35)</f>
        <v>32459.47</v>
      </c>
      <c r="AD36" s="8785"/>
      <c r="AE36" s="5609">
        <f>SUM(AE34:AE35)</f>
        <v>338463.505</v>
      </c>
      <c r="AF36" s="8811"/>
      <c r="AG36" s="6116">
        <f>SUM(AG34:AG35)</f>
        <v>52195.192000000003</v>
      </c>
      <c r="AH36" s="8785"/>
      <c r="AI36" s="5609">
        <f>SUM(AI34:AI35)</f>
        <v>390658.69699999999</v>
      </c>
      <c r="AJ36" s="8811"/>
      <c r="AK36" s="6116">
        <f>SUM(AK34:AK35)</f>
        <v>65484</v>
      </c>
      <c r="AL36" s="8728"/>
      <c r="AM36" s="6131">
        <f>SUM(AM34:AM35)</f>
        <v>150138.66200000001</v>
      </c>
      <c r="AN36" s="8785"/>
      <c r="AO36" s="5609">
        <f>SUM(AO34:AO35)</f>
        <v>456142.69699999999</v>
      </c>
      <c r="AP36" s="8811"/>
      <c r="AQ36" s="6116">
        <f>SUM(AQ34:AQ35)</f>
        <v>83990.41</v>
      </c>
      <c r="AR36" s="8785"/>
      <c r="AS36" s="5609">
        <f>SUM(AS34:AS35)</f>
        <v>540133.10699999996</v>
      </c>
      <c r="AT36" s="8811"/>
      <c r="AU36" s="6116">
        <f>SUM(AU34:AU35)</f>
        <v>71323</v>
      </c>
      <c r="AV36" s="8785"/>
      <c r="AW36" s="5609">
        <f>SUM(AW34:AW35)</f>
        <v>611456.10699999996</v>
      </c>
      <c r="AX36" s="8811"/>
      <c r="AY36" s="6116">
        <f>SUM(AY34:AY35)</f>
        <v>86440</v>
      </c>
      <c r="AZ36" s="8728"/>
      <c r="BA36" s="6131">
        <f>SUM(BA34:BA35)</f>
        <v>241753.41</v>
      </c>
      <c r="BB36" s="8728">
        <f t="shared" si="70"/>
        <v>0</v>
      </c>
      <c r="BC36" s="6131">
        <f>SUM(BC34:BC35)</f>
        <v>391892.07199999999</v>
      </c>
      <c r="BD36" s="8724"/>
      <c r="BE36" s="6944">
        <f>SUM(BE34:BE35)</f>
        <v>697896.10699999996</v>
      </c>
    </row>
    <row r="37" spans="1:58" ht="20" customHeight="1" x14ac:dyDescent="0.2">
      <c r="B37" s="4027" t="s">
        <v>992</v>
      </c>
      <c r="C37" s="1736" t="s">
        <v>170</v>
      </c>
      <c r="D37" s="8811"/>
      <c r="E37" s="4435">
        <f>+E31+E34</f>
        <v>106968</v>
      </c>
      <c r="F37" s="8811"/>
      <c r="G37" s="4435">
        <f>+G31+G34</f>
        <v>97582</v>
      </c>
      <c r="H37" s="8785"/>
      <c r="I37" s="5622">
        <f>+I31+I34</f>
        <v>204550</v>
      </c>
      <c r="J37" s="8811"/>
      <c r="K37" s="4435">
        <f>+K31+K34</f>
        <v>102391</v>
      </c>
      <c r="L37" s="8728"/>
      <c r="M37" s="6141">
        <f>+M31+M34</f>
        <v>306941</v>
      </c>
      <c r="N37" s="8811"/>
      <c r="O37" s="6173">
        <f>+O31+O34</f>
        <v>104284</v>
      </c>
      <c r="P37" s="8785"/>
      <c r="Q37" s="5622">
        <f>+Q31+Q34</f>
        <v>411225</v>
      </c>
      <c r="R37" s="8811"/>
      <c r="S37" s="6173">
        <f>+S31+S34</f>
        <v>131175</v>
      </c>
      <c r="T37" s="8785"/>
      <c r="U37" s="5622">
        <f>+U31+U34</f>
        <v>542400</v>
      </c>
      <c r="V37" s="8811"/>
      <c r="W37" s="6173">
        <f>+W31+W34</f>
        <v>72072</v>
      </c>
      <c r="X37" s="8728"/>
      <c r="Y37" s="6141">
        <f>+Y31+Y34</f>
        <v>307531</v>
      </c>
      <c r="Z37" s="8724"/>
      <c r="AA37" s="6964">
        <f>+AA31+AA34</f>
        <v>614472</v>
      </c>
      <c r="AB37" s="8811"/>
      <c r="AC37" s="6173">
        <f>+AC31+AC34</f>
        <v>77734</v>
      </c>
      <c r="AD37" s="8785"/>
      <c r="AE37" s="5622">
        <f>+AE31+AE34</f>
        <v>692206</v>
      </c>
      <c r="AF37" s="8811"/>
      <c r="AG37" s="6173">
        <f>+AG31+AG34</f>
        <v>108690</v>
      </c>
      <c r="AH37" s="8785"/>
      <c r="AI37" s="5622">
        <f>+AI31+AI34</f>
        <v>800896</v>
      </c>
      <c r="AJ37" s="8811"/>
      <c r="AK37" s="6173">
        <f>+AK31+AK34</f>
        <v>138126</v>
      </c>
      <c r="AL37" s="8728"/>
      <c r="AM37" s="6141">
        <f>+AM31+AM34</f>
        <v>324550</v>
      </c>
      <c r="AN37" s="8785"/>
      <c r="AO37" s="5622">
        <f>+AO31+AO34</f>
        <v>939022</v>
      </c>
      <c r="AP37" s="8811"/>
      <c r="AQ37" s="6173">
        <f>+AQ31+AQ34</f>
        <v>164509</v>
      </c>
      <c r="AR37" s="8785"/>
      <c r="AS37" s="5622">
        <f>+AS31+AS34</f>
        <v>1103531</v>
      </c>
      <c r="AT37" s="8811"/>
      <c r="AU37" s="6173">
        <f>+AU31+AU34</f>
        <v>145057</v>
      </c>
      <c r="AV37" s="8785"/>
      <c r="AW37" s="5622">
        <f>+AW31+AW34</f>
        <v>1248588</v>
      </c>
      <c r="AX37" s="8811"/>
      <c r="AY37" s="6173">
        <f>+AY31+AY34</f>
        <v>173832</v>
      </c>
      <c r="AZ37" s="8728"/>
      <c r="BA37" s="6141">
        <f>+BA31+BA34</f>
        <v>483398</v>
      </c>
      <c r="BB37" s="8728">
        <f t="shared" si="70"/>
        <v>0</v>
      </c>
      <c r="BC37" s="6141">
        <f t="shared" ref="BC37:BC38" si="125">+BA37+AM37</f>
        <v>807948</v>
      </c>
      <c r="BD37" s="8724"/>
      <c r="BE37" s="6964">
        <f>+BE31+BE34</f>
        <v>1422420</v>
      </c>
    </row>
    <row r="38" spans="1:58" ht="20" customHeight="1" thickBot="1" x14ac:dyDescent="0.25">
      <c r="A38">
        <v>38339.015544041402</v>
      </c>
      <c r="B38" s="4028" t="s">
        <v>993</v>
      </c>
      <c r="C38" s="4029" t="s">
        <v>170</v>
      </c>
      <c r="D38" s="8811"/>
      <c r="E38" s="4436">
        <f>+E32+E35</f>
        <v>556</v>
      </c>
      <c r="F38" s="8811"/>
      <c r="G38" s="4436">
        <f>+G32+G35</f>
        <v>366.05</v>
      </c>
      <c r="H38" s="8785"/>
      <c r="I38" s="5623">
        <f>+I32+I35</f>
        <v>922.05</v>
      </c>
      <c r="J38" s="8811"/>
      <c r="K38" s="4436">
        <f>+K32+K35</f>
        <v>296</v>
      </c>
      <c r="L38" s="8728"/>
      <c r="M38" s="6142">
        <f>+M32+M35</f>
        <v>1218.05</v>
      </c>
      <c r="N38" s="8811"/>
      <c r="O38" s="6174">
        <f>+O32+O35</f>
        <v>323.89999999999992</v>
      </c>
      <c r="P38" s="8785"/>
      <c r="Q38" s="5623">
        <f>+Q32+Q35</f>
        <v>1541.9499999999998</v>
      </c>
      <c r="R38" s="8811"/>
      <c r="S38" s="6174">
        <f>+S32+S35</f>
        <v>363.87</v>
      </c>
      <c r="T38" s="8785"/>
      <c r="U38" s="5623">
        <f>+U32+U35</f>
        <v>1905.82</v>
      </c>
      <c r="V38" s="8811"/>
      <c r="W38" s="6174">
        <f>+W32+W35</f>
        <v>202.21000000000004</v>
      </c>
      <c r="X38" s="8728"/>
      <c r="Y38" s="6142">
        <f>+Y32+Y35</f>
        <v>889.98</v>
      </c>
      <c r="Z38" s="8724"/>
      <c r="AA38" s="6965">
        <f>+AA32+AA35</f>
        <v>2108.0299999999997</v>
      </c>
      <c r="AB38" s="8811"/>
      <c r="AC38" s="6174">
        <f>+AC32+AC35</f>
        <v>258.33</v>
      </c>
      <c r="AD38" s="8785"/>
      <c r="AE38" s="5623">
        <f>+AE32+AE35</f>
        <v>2366.3599999999997</v>
      </c>
      <c r="AF38" s="8811"/>
      <c r="AG38" s="6174">
        <f>+AG32+AG35</f>
        <v>334.23700000000002</v>
      </c>
      <c r="AH38" s="8785"/>
      <c r="AI38" s="5623">
        <f>+AI32+AI35</f>
        <v>2700.5969999999998</v>
      </c>
      <c r="AJ38" s="8811"/>
      <c r="AK38" s="6174">
        <f>+AK32+AK35</f>
        <v>442</v>
      </c>
      <c r="AL38" s="8728"/>
      <c r="AM38" s="6142">
        <f>+AM32+AM35</f>
        <v>1034.567</v>
      </c>
      <c r="AN38" s="8785"/>
      <c r="AO38" s="5623">
        <f>+AO32+AO35</f>
        <v>3142.5969999999998</v>
      </c>
      <c r="AP38" s="8811"/>
      <c r="AQ38" s="6174">
        <f>+AQ32+AQ35</f>
        <v>446.82</v>
      </c>
      <c r="AR38" s="8785"/>
      <c r="AS38" s="5623">
        <f>+AS32+AS35</f>
        <v>3589.4170000000004</v>
      </c>
      <c r="AT38" s="8811"/>
      <c r="AU38" s="6174">
        <f>+AU32+AU35</f>
        <v>200</v>
      </c>
      <c r="AV38" s="8785"/>
      <c r="AW38" s="5623">
        <f>+AW32+AW35</f>
        <v>3789.4170000000004</v>
      </c>
      <c r="AX38" s="8811"/>
      <c r="AY38" s="6174">
        <f>+AY32+AY35</f>
        <v>424</v>
      </c>
      <c r="AZ38" s="8728"/>
      <c r="BA38" s="6142">
        <f>+BA32+BA35</f>
        <v>1070.82</v>
      </c>
      <c r="BB38" s="8728">
        <f t="shared" si="70"/>
        <v>0</v>
      </c>
      <c r="BC38" s="6142">
        <f t="shared" si="125"/>
        <v>2105.3869999999997</v>
      </c>
      <c r="BD38" s="8724"/>
      <c r="BE38" s="6965">
        <f>+BE32+BE35</f>
        <v>4213.4170000000004</v>
      </c>
    </row>
    <row r="39" spans="1:58" ht="20" customHeight="1" thickBot="1" x14ac:dyDescent="0.25">
      <c r="A39">
        <v>32294.537617554899</v>
      </c>
      <c r="B39" s="1738" t="s">
        <v>991</v>
      </c>
      <c r="C39" s="1733" t="s">
        <v>170</v>
      </c>
      <c r="D39" s="8810"/>
      <c r="E39" s="4394">
        <f>+E33+E36</f>
        <v>107524</v>
      </c>
      <c r="F39" s="8810"/>
      <c r="G39" s="4394">
        <f>+G33+G36</f>
        <v>97948.05</v>
      </c>
      <c r="H39" s="8786"/>
      <c r="I39" s="5609">
        <f>+I33+I36</f>
        <v>205472.05</v>
      </c>
      <c r="J39" s="8810"/>
      <c r="K39" s="4394">
        <f>+K33+K36</f>
        <v>102687</v>
      </c>
      <c r="L39" s="8721"/>
      <c r="M39" s="6131">
        <f>+M33+M36</f>
        <v>308159.05</v>
      </c>
      <c r="N39" s="8810"/>
      <c r="O39" s="6116">
        <f>+O33+O36</f>
        <v>104607.9</v>
      </c>
      <c r="P39" s="8786"/>
      <c r="Q39" s="5609">
        <f>+Q33+Q36</f>
        <v>412766.94999999995</v>
      </c>
      <c r="R39" s="8810"/>
      <c r="S39" s="6116">
        <f>+S33+S36</f>
        <v>131538.87</v>
      </c>
      <c r="T39" s="8786"/>
      <c r="U39" s="5609">
        <f>+U33+U36</f>
        <v>544305.82000000007</v>
      </c>
      <c r="V39" s="8810"/>
      <c r="W39" s="6116">
        <f>+W33+W36</f>
        <v>72274.209999999992</v>
      </c>
      <c r="X39" s="8721"/>
      <c r="Y39" s="6131">
        <f>+Y33+Y36</f>
        <v>308420.98</v>
      </c>
      <c r="Z39" s="8723"/>
      <c r="AA39" s="6944">
        <f>+AA33+AA36</f>
        <v>616580.03</v>
      </c>
      <c r="AB39" s="8810"/>
      <c r="AC39" s="6116">
        <f>+AC33+AC36</f>
        <v>77992.33</v>
      </c>
      <c r="AD39" s="8786"/>
      <c r="AE39" s="5609">
        <f>+AE33+AE36</f>
        <v>694572.36</v>
      </c>
      <c r="AF39" s="8810"/>
      <c r="AG39" s="6116">
        <f>+AG33+AG36</f>
        <v>109024.23699999999</v>
      </c>
      <c r="AH39" s="8786"/>
      <c r="AI39" s="5609">
        <f>+AI33+AI36</f>
        <v>803596.59700000007</v>
      </c>
      <c r="AJ39" s="8810"/>
      <c r="AK39" s="6116">
        <f>+AK33+AK36</f>
        <v>138568</v>
      </c>
      <c r="AL39" s="8721"/>
      <c r="AM39" s="6131">
        <f>+AM33+AM36</f>
        <v>325584.56700000004</v>
      </c>
      <c r="AN39" s="8786"/>
      <c r="AO39" s="5609">
        <f>+AO33+AO36</f>
        <v>942164.59700000007</v>
      </c>
      <c r="AP39" s="8810"/>
      <c r="AQ39" s="6116">
        <f>+AQ33+AQ36</f>
        <v>164955.82</v>
      </c>
      <c r="AR39" s="8786"/>
      <c r="AS39" s="5609">
        <f>+AS33+AS36</f>
        <v>1107120.4169999999</v>
      </c>
      <c r="AT39" s="8810"/>
      <c r="AU39" s="6116">
        <f>+AU33+AU36</f>
        <v>145257</v>
      </c>
      <c r="AV39" s="8786"/>
      <c r="AW39" s="5609">
        <f>+AW33+AW36</f>
        <v>1252377.4169999999</v>
      </c>
      <c r="AX39" s="8810"/>
      <c r="AY39" s="6116">
        <f>+AY33+AY36</f>
        <v>174256</v>
      </c>
      <c r="AZ39" s="8721"/>
      <c r="BA39" s="6131">
        <f>+BA33+BA36</f>
        <v>484468.82</v>
      </c>
      <c r="BB39" s="8721">
        <f t="shared" si="70"/>
        <v>0</v>
      </c>
      <c r="BC39" s="6131">
        <f>+BC33+BC36</f>
        <v>810053.38699999999</v>
      </c>
      <c r="BD39" s="8723"/>
      <c r="BE39" s="6944">
        <f>+BE33+BE36</f>
        <v>1426633.4169999999</v>
      </c>
    </row>
    <row r="40" spans="1:58" ht="20" customHeight="1" x14ac:dyDescent="0.2">
      <c r="A40">
        <f>484-150</f>
        <v>334</v>
      </c>
      <c r="B40" s="4026" t="s">
        <v>1149</v>
      </c>
      <c r="C40" s="3997" t="s">
        <v>170</v>
      </c>
      <c r="D40" s="8876">
        <v>21767</v>
      </c>
      <c r="E40" s="4434">
        <v>21712.58</v>
      </c>
      <c r="F40" s="8876">
        <v>36355</v>
      </c>
      <c r="G40" s="4434">
        <v>36223</v>
      </c>
      <c r="H40" s="8883">
        <f>+D40+F40</f>
        <v>58122</v>
      </c>
      <c r="I40" s="5015">
        <f t="shared" ref="I40:I43" si="126">+E40+G40</f>
        <v>57935.58</v>
      </c>
      <c r="J40" s="8876">
        <v>44642</v>
      </c>
      <c r="K40" s="4434">
        <v>44537</v>
      </c>
      <c r="L40" s="8870">
        <f>+H40+J40</f>
        <v>102764</v>
      </c>
      <c r="M40" s="6140">
        <f t="shared" ref="M40:M43" si="127">+I40+K40</f>
        <v>102472.58</v>
      </c>
      <c r="N40" s="8876">
        <v>56868</v>
      </c>
      <c r="O40" s="6125">
        <v>56069</v>
      </c>
      <c r="P40" s="8883">
        <f>+L40+N40</f>
        <v>159632</v>
      </c>
      <c r="Q40" s="5015">
        <f t="shared" ref="Q40:Q43" si="128">+M40+O40</f>
        <v>158541.58000000002</v>
      </c>
      <c r="R40" s="8876">
        <v>58421</v>
      </c>
      <c r="S40" s="6125">
        <v>40308</v>
      </c>
      <c r="T40" s="8883">
        <f>+P40+R40</f>
        <v>218053</v>
      </c>
      <c r="U40" s="5015">
        <f t="shared" ref="U40:U43" si="129">+Q40+S40</f>
        <v>198849.58000000002</v>
      </c>
      <c r="V40" s="8876">
        <v>56526</v>
      </c>
      <c r="W40" s="6125">
        <v>11235</v>
      </c>
      <c r="X40" s="8870">
        <f>+V40+R40+N40</f>
        <v>171815</v>
      </c>
      <c r="Y40" s="6140">
        <f t="shared" ref="Y40:Y46" si="130">+W40+S40+O40</f>
        <v>107612</v>
      </c>
      <c r="Z40" s="8855">
        <f>+T40+V40</f>
        <v>274579</v>
      </c>
      <c r="AA40" s="6960">
        <f t="shared" ref="AA40:AA43" si="131">+U40+W40</f>
        <v>210084.58000000002</v>
      </c>
      <c r="AB40" s="8876">
        <v>19155</v>
      </c>
      <c r="AC40" s="6125">
        <v>7358</v>
      </c>
      <c r="AD40" s="8883">
        <f>+Z40+AB40</f>
        <v>293734</v>
      </c>
      <c r="AE40" s="5015">
        <f t="shared" ref="AE40:AE43" si="132">+AA40+AC40</f>
        <v>217442.58000000002</v>
      </c>
      <c r="AF40" s="8876">
        <v>62393</v>
      </c>
      <c r="AG40" s="6125">
        <v>7766</v>
      </c>
      <c r="AH40" s="8883">
        <f>+AD40+AF40</f>
        <v>356127</v>
      </c>
      <c r="AI40" s="5015">
        <f t="shared" ref="AI40:AI43" si="133">+AE40+AG40</f>
        <v>225208.58000000002</v>
      </c>
      <c r="AJ40" s="8876">
        <v>63600</v>
      </c>
      <c r="AK40" s="6125">
        <v>19916</v>
      </c>
      <c r="AL40" s="8870">
        <f>+AJ40+AF40+AB40</f>
        <v>145148</v>
      </c>
      <c r="AM40" s="6140">
        <f t="shared" ref="AM40:AM43" si="134">+AK40+AG40+AC40</f>
        <v>35040</v>
      </c>
      <c r="AN40" s="8883">
        <f>+AH40+AJ40</f>
        <v>419727</v>
      </c>
      <c r="AO40" s="5015">
        <f t="shared" ref="AO40:AO43" si="135">+AI40+AK40</f>
        <v>245124.58000000002</v>
      </c>
      <c r="AP40" s="8876">
        <v>60750</v>
      </c>
      <c r="AQ40" s="6125">
        <v>22913</v>
      </c>
      <c r="AR40" s="8883">
        <f>+AN40+AP40</f>
        <v>480477</v>
      </c>
      <c r="AS40" s="5015">
        <f t="shared" ref="AS40:AS43" si="136">+AO40+AQ40</f>
        <v>268037.58</v>
      </c>
      <c r="AT40" s="8876">
        <v>59018</v>
      </c>
      <c r="AU40" s="6125">
        <v>19588</v>
      </c>
      <c r="AV40" s="8883">
        <f>+AR40+AT40</f>
        <v>539495</v>
      </c>
      <c r="AW40" s="5015">
        <f t="shared" ref="AW40:AW43" si="137">+AS40+AU40</f>
        <v>287625.58</v>
      </c>
      <c r="AX40" s="8876"/>
      <c r="AY40" s="6125">
        <v>38799</v>
      </c>
      <c r="AZ40" s="8870">
        <f>+AX40+AT40+AP40</f>
        <v>119768</v>
      </c>
      <c r="BA40" s="6140">
        <f t="shared" ref="BA40:BA43" si="138">+AY40+AU40+AQ40</f>
        <v>81300</v>
      </c>
      <c r="BB40" s="8870">
        <f t="shared" si="70"/>
        <v>264916</v>
      </c>
      <c r="BC40" s="6140">
        <f t="shared" ref="BC40:BC43" si="139">+BA40+AM40</f>
        <v>116340</v>
      </c>
      <c r="BD40" s="8855">
        <f>+AV40+AX40</f>
        <v>539495</v>
      </c>
      <c r="BE40" s="6960">
        <f t="shared" ref="BE40:BE43" si="140">+AW40+AY40</f>
        <v>326424.58</v>
      </c>
      <c r="BF40" s="1673">
        <f>+BE40+BE42</f>
        <v>327630.40000000002</v>
      </c>
    </row>
    <row r="41" spans="1:58" ht="20" customHeight="1" x14ac:dyDescent="0.2">
      <c r="A41">
        <f>171+114</f>
        <v>285</v>
      </c>
      <c r="B41" s="4030" t="s">
        <v>1150</v>
      </c>
      <c r="C41" s="4031" t="s">
        <v>170</v>
      </c>
      <c r="D41" s="8811"/>
      <c r="E41" s="4434">
        <v>0</v>
      </c>
      <c r="F41" s="8811"/>
      <c r="G41" s="4434">
        <v>0</v>
      </c>
      <c r="H41" s="8785"/>
      <c r="I41" s="5015">
        <f t="shared" si="126"/>
        <v>0</v>
      </c>
      <c r="J41" s="8811"/>
      <c r="K41" s="4434">
        <v>0</v>
      </c>
      <c r="L41" s="8728"/>
      <c r="M41" s="6140">
        <f t="shared" si="127"/>
        <v>0</v>
      </c>
      <c r="N41" s="8811"/>
      <c r="O41" s="6125">
        <v>0</v>
      </c>
      <c r="P41" s="8785"/>
      <c r="Q41" s="5015">
        <f t="shared" si="128"/>
        <v>0</v>
      </c>
      <c r="R41" s="8811"/>
      <c r="S41" s="6125">
        <v>0</v>
      </c>
      <c r="T41" s="8785"/>
      <c r="U41" s="5015">
        <f t="shared" si="129"/>
        <v>0</v>
      </c>
      <c r="V41" s="8811"/>
      <c r="W41" s="6125">
        <v>0</v>
      </c>
      <c r="X41" s="8728"/>
      <c r="Y41" s="6140">
        <f t="shared" si="130"/>
        <v>0</v>
      </c>
      <c r="Z41" s="8724"/>
      <c r="AA41" s="6960">
        <f t="shared" si="131"/>
        <v>0</v>
      </c>
      <c r="AB41" s="8811"/>
      <c r="AC41" s="6125">
        <v>13344</v>
      </c>
      <c r="AD41" s="8785"/>
      <c r="AE41" s="5015">
        <f t="shared" si="132"/>
        <v>13344</v>
      </c>
      <c r="AF41" s="8811"/>
      <c r="AG41" s="6125">
        <f>18152+4528</f>
        <v>22680</v>
      </c>
      <c r="AH41" s="8785"/>
      <c r="AI41" s="5015">
        <f t="shared" si="133"/>
        <v>36024</v>
      </c>
      <c r="AJ41" s="8811"/>
      <c r="AK41" s="6125">
        <v>9381</v>
      </c>
      <c r="AL41" s="8728"/>
      <c r="AM41" s="6140">
        <f t="shared" si="134"/>
        <v>45405</v>
      </c>
      <c r="AN41" s="8785"/>
      <c r="AO41" s="5015">
        <f t="shared" si="135"/>
        <v>45405</v>
      </c>
      <c r="AP41" s="8811"/>
      <c r="AQ41" s="6125">
        <v>13302</v>
      </c>
      <c r="AR41" s="8785"/>
      <c r="AS41" s="5015">
        <f t="shared" si="136"/>
        <v>58707</v>
      </c>
      <c r="AT41" s="8811"/>
      <c r="AU41" s="6125">
        <v>24249</v>
      </c>
      <c r="AV41" s="8785"/>
      <c r="AW41" s="5015">
        <f t="shared" si="137"/>
        <v>82956</v>
      </c>
      <c r="AX41" s="8811"/>
      <c r="AY41" s="6125">
        <v>9830</v>
      </c>
      <c r="AZ41" s="8728"/>
      <c r="BA41" s="6140">
        <f t="shared" si="138"/>
        <v>47381</v>
      </c>
      <c r="BB41" s="8728">
        <f t="shared" si="70"/>
        <v>0</v>
      </c>
      <c r="BC41" s="6140">
        <f t="shared" si="139"/>
        <v>92786</v>
      </c>
      <c r="BD41" s="8724"/>
      <c r="BE41" s="6960">
        <f t="shared" si="140"/>
        <v>92786</v>
      </c>
    </row>
    <row r="42" spans="1:58" ht="20" customHeight="1" x14ac:dyDescent="0.2">
      <c r="B42" s="4003" t="s">
        <v>1151</v>
      </c>
      <c r="C42" s="3996" t="s">
        <v>170</v>
      </c>
      <c r="D42" s="8811"/>
      <c r="E42" s="4434">
        <v>55.42</v>
      </c>
      <c r="F42" s="8811"/>
      <c r="G42" s="4434">
        <v>131.94999999999999</v>
      </c>
      <c r="H42" s="8785"/>
      <c r="I42" s="5015">
        <f t="shared" si="126"/>
        <v>187.37</v>
      </c>
      <c r="J42" s="8811"/>
      <c r="K42" s="4434">
        <v>158</v>
      </c>
      <c r="L42" s="8728"/>
      <c r="M42" s="6140">
        <f t="shared" si="127"/>
        <v>345.37</v>
      </c>
      <c r="N42" s="8811"/>
      <c r="O42" s="6125">
        <v>252.48</v>
      </c>
      <c r="P42" s="8785"/>
      <c r="Q42" s="5015">
        <f t="shared" si="128"/>
        <v>597.85</v>
      </c>
      <c r="R42" s="8811"/>
      <c r="S42" s="6125">
        <v>165.19</v>
      </c>
      <c r="T42" s="8785"/>
      <c r="U42" s="5015">
        <f t="shared" si="129"/>
        <v>763.04</v>
      </c>
      <c r="V42" s="8811"/>
      <c r="W42" s="6125">
        <v>80.8</v>
      </c>
      <c r="X42" s="8728"/>
      <c r="Y42" s="6140">
        <f t="shared" si="130"/>
        <v>498.47</v>
      </c>
      <c r="Z42" s="8724"/>
      <c r="AA42" s="6960">
        <f t="shared" si="131"/>
        <v>843.83999999999992</v>
      </c>
      <c r="AB42" s="8811"/>
      <c r="AC42" s="6125">
        <v>23.82</v>
      </c>
      <c r="AD42" s="8785"/>
      <c r="AE42" s="5015">
        <f t="shared" si="132"/>
        <v>867.66</v>
      </c>
      <c r="AF42" s="8811"/>
      <c r="AG42" s="6125">
        <v>34.159999999999997</v>
      </c>
      <c r="AH42" s="8785"/>
      <c r="AI42" s="5015">
        <f t="shared" si="133"/>
        <v>901.81999999999994</v>
      </c>
      <c r="AJ42" s="8811"/>
      <c r="AK42" s="6125">
        <v>50</v>
      </c>
      <c r="AL42" s="8728"/>
      <c r="AM42" s="6140">
        <f t="shared" si="134"/>
        <v>107.97999999999999</v>
      </c>
      <c r="AN42" s="8785"/>
      <c r="AO42" s="5015">
        <f t="shared" si="135"/>
        <v>951.81999999999994</v>
      </c>
      <c r="AP42" s="8811"/>
      <c r="AQ42" s="6125">
        <v>65</v>
      </c>
      <c r="AR42" s="8785"/>
      <c r="AS42" s="5015">
        <f t="shared" si="136"/>
        <v>1016.8199999999999</v>
      </c>
      <c r="AT42" s="8811"/>
      <c r="AU42" s="6125">
        <v>54</v>
      </c>
      <c r="AV42" s="8785"/>
      <c r="AW42" s="5015">
        <f t="shared" si="137"/>
        <v>1070.82</v>
      </c>
      <c r="AX42" s="8811"/>
      <c r="AY42" s="6125">
        <v>135</v>
      </c>
      <c r="AZ42" s="8728"/>
      <c r="BA42" s="6140">
        <f t="shared" si="138"/>
        <v>254</v>
      </c>
      <c r="BB42" s="8728">
        <f t="shared" si="70"/>
        <v>0</v>
      </c>
      <c r="BC42" s="6140">
        <f t="shared" si="139"/>
        <v>361.98</v>
      </c>
      <c r="BD42" s="8724"/>
      <c r="BE42" s="6960">
        <f t="shared" si="140"/>
        <v>1205.82</v>
      </c>
      <c r="BF42" s="1673">
        <f>+BE41+BE43</f>
        <v>93170.324999999997</v>
      </c>
    </row>
    <row r="43" spans="1:58" ht="20" customHeight="1" thickBot="1" x14ac:dyDescent="0.25">
      <c r="A43" s="1673">
        <f>+M40+M42</f>
        <v>102817.95</v>
      </c>
      <c r="B43" s="4030" t="s">
        <v>1152</v>
      </c>
      <c r="C43" s="3996" t="s">
        <v>170</v>
      </c>
      <c r="D43" s="8811"/>
      <c r="E43" s="4434">
        <v>0</v>
      </c>
      <c r="F43" s="8811"/>
      <c r="G43" s="4434">
        <v>0</v>
      </c>
      <c r="H43" s="8785"/>
      <c r="I43" s="5015">
        <f t="shared" si="126"/>
        <v>0</v>
      </c>
      <c r="J43" s="8811"/>
      <c r="K43" s="4434">
        <v>0</v>
      </c>
      <c r="L43" s="8728"/>
      <c r="M43" s="6140">
        <f t="shared" si="127"/>
        <v>0</v>
      </c>
      <c r="N43" s="8811"/>
      <c r="O43" s="6125">
        <v>0</v>
      </c>
      <c r="P43" s="8785"/>
      <c r="Q43" s="5015">
        <f t="shared" si="128"/>
        <v>0</v>
      </c>
      <c r="R43" s="8811"/>
      <c r="S43" s="6125">
        <v>0</v>
      </c>
      <c r="T43" s="8785"/>
      <c r="U43" s="5015">
        <f t="shared" si="129"/>
        <v>0</v>
      </c>
      <c r="V43" s="8811"/>
      <c r="W43" s="6125">
        <v>0</v>
      </c>
      <c r="X43" s="8728"/>
      <c r="Y43" s="6140">
        <f t="shared" si="130"/>
        <v>0</v>
      </c>
      <c r="Z43" s="8724"/>
      <c r="AA43" s="6960">
        <f t="shared" si="131"/>
        <v>0</v>
      </c>
      <c r="AB43" s="8811"/>
      <c r="AC43" s="6125">
        <v>57</v>
      </c>
      <c r="AD43" s="8785"/>
      <c r="AE43" s="5015">
        <f t="shared" si="132"/>
        <v>57</v>
      </c>
      <c r="AF43" s="8811"/>
      <c r="AG43" s="6125">
        <v>115.845</v>
      </c>
      <c r="AH43" s="8785"/>
      <c r="AI43" s="5015">
        <f t="shared" si="133"/>
        <v>172.845</v>
      </c>
      <c r="AJ43" s="8811"/>
      <c r="AK43" s="6125">
        <v>80</v>
      </c>
      <c r="AL43" s="8728"/>
      <c r="AM43" s="6140">
        <f t="shared" si="134"/>
        <v>252.845</v>
      </c>
      <c r="AN43" s="8785"/>
      <c r="AO43" s="5015">
        <f t="shared" si="135"/>
        <v>252.845</v>
      </c>
      <c r="AP43" s="8811"/>
      <c r="AQ43" s="6125">
        <v>131.47999999999999</v>
      </c>
      <c r="AR43" s="8785"/>
      <c r="AS43" s="5015">
        <f t="shared" si="136"/>
        <v>384.32499999999999</v>
      </c>
      <c r="AT43" s="8811"/>
      <c r="AU43" s="6125"/>
      <c r="AV43" s="8785"/>
      <c r="AW43" s="5015">
        <f t="shared" si="137"/>
        <v>384.32499999999999</v>
      </c>
      <c r="AX43" s="8811"/>
      <c r="AY43" s="6125"/>
      <c r="AZ43" s="8728"/>
      <c r="BA43" s="6140">
        <f t="shared" si="138"/>
        <v>131.47999999999999</v>
      </c>
      <c r="BB43" s="8728">
        <f t="shared" si="70"/>
        <v>0</v>
      </c>
      <c r="BC43" s="6140">
        <f t="shared" si="139"/>
        <v>384.32499999999999</v>
      </c>
      <c r="BD43" s="8724"/>
      <c r="BE43" s="6960">
        <f t="shared" si="140"/>
        <v>384.32499999999999</v>
      </c>
    </row>
    <row r="44" spans="1:58" ht="20" customHeight="1" thickBot="1" x14ac:dyDescent="0.25">
      <c r="B44" s="1738" t="s">
        <v>647</v>
      </c>
      <c r="C44" s="1599" t="s">
        <v>170</v>
      </c>
      <c r="D44" s="8810"/>
      <c r="E44" s="4394">
        <f>SUM(E40:E43)</f>
        <v>21768</v>
      </c>
      <c r="F44" s="8810"/>
      <c r="G44" s="4394">
        <f>SUM(G40:G43)</f>
        <v>36354.949999999997</v>
      </c>
      <c r="H44" s="8786"/>
      <c r="I44" s="5609">
        <f>SUM(I40:I43)</f>
        <v>58122.950000000004</v>
      </c>
      <c r="J44" s="8810"/>
      <c r="K44" s="4394">
        <f>SUM(K40:K43)</f>
        <v>44695</v>
      </c>
      <c r="L44" s="8721"/>
      <c r="M44" s="6131">
        <f>SUM(M40:M43)</f>
        <v>102817.95</v>
      </c>
      <c r="N44" s="8810"/>
      <c r="O44" s="6116">
        <f>SUM(O40:O43)</f>
        <v>56321.48</v>
      </c>
      <c r="P44" s="8786"/>
      <c r="Q44" s="5609">
        <f>SUM(Q40:Q43)</f>
        <v>159139.43000000002</v>
      </c>
      <c r="R44" s="8810"/>
      <c r="S44" s="6116">
        <f>SUM(S40:S43)</f>
        <v>40473.19</v>
      </c>
      <c r="T44" s="8786"/>
      <c r="U44" s="5609">
        <f>SUM(U40:U43)</f>
        <v>199612.62000000002</v>
      </c>
      <c r="V44" s="8810"/>
      <c r="W44" s="6116">
        <f>SUM(W40:W43)</f>
        <v>11315.8</v>
      </c>
      <c r="X44" s="8721"/>
      <c r="Y44" s="6131">
        <f>SUM(Y40:Y43)</f>
        <v>108110.47</v>
      </c>
      <c r="Z44" s="8723"/>
      <c r="AA44" s="6944">
        <f>SUM(AA40:AA43)</f>
        <v>210928.42</v>
      </c>
      <c r="AB44" s="8810"/>
      <c r="AC44" s="6116">
        <f>SUM(AC40:AC43)</f>
        <v>20782.82</v>
      </c>
      <c r="AD44" s="8786"/>
      <c r="AE44" s="5609">
        <f>SUM(AE40:AE43)</f>
        <v>231711.24000000002</v>
      </c>
      <c r="AF44" s="8810"/>
      <c r="AG44" s="6116">
        <f>SUM(AG40:AG43)</f>
        <v>30596.005000000001</v>
      </c>
      <c r="AH44" s="8786"/>
      <c r="AI44" s="5609">
        <f>SUM(AI40:AI43)</f>
        <v>262307.245</v>
      </c>
      <c r="AJ44" s="8810"/>
      <c r="AK44" s="6116">
        <f>SUM(AK40:AK43)</f>
        <v>29427</v>
      </c>
      <c r="AL44" s="8721"/>
      <c r="AM44" s="6131">
        <f>SUM(AM40:AM43)</f>
        <v>80805.824999999997</v>
      </c>
      <c r="AN44" s="8786"/>
      <c r="AO44" s="5609">
        <f>SUM(AO40:AO43)</f>
        <v>291734.245</v>
      </c>
      <c r="AP44" s="8810"/>
      <c r="AQ44" s="6116">
        <f>SUM(AQ40:AQ43)</f>
        <v>36411.480000000003</v>
      </c>
      <c r="AR44" s="8786"/>
      <c r="AS44" s="5609">
        <f>SUM(AS40:AS43)</f>
        <v>328145.72500000003</v>
      </c>
      <c r="AT44" s="8810"/>
      <c r="AU44" s="6116">
        <f>SUM(AU40:AU43)</f>
        <v>43891</v>
      </c>
      <c r="AV44" s="8786"/>
      <c r="AW44" s="5609">
        <f>SUM(AW40:AW43)</f>
        <v>372036.72500000003</v>
      </c>
      <c r="AX44" s="8810"/>
      <c r="AY44" s="6116">
        <f>SUM(AY40:AY43)</f>
        <v>48764</v>
      </c>
      <c r="AZ44" s="8721"/>
      <c r="BA44" s="6131">
        <f>SUM(BA40:BA43)</f>
        <v>129066.48</v>
      </c>
      <c r="BB44" s="8721">
        <f t="shared" si="70"/>
        <v>0</v>
      </c>
      <c r="BC44" s="6131">
        <f>SUM(BC40:BC43)</f>
        <v>209872.30500000002</v>
      </c>
      <c r="BD44" s="8723"/>
      <c r="BE44" s="6944">
        <f>SUM(BE40:BE43)</f>
        <v>420800.72500000003</v>
      </c>
    </row>
    <row r="45" spans="1:58" ht="20" customHeight="1" x14ac:dyDescent="0.2">
      <c r="A45" s="8891" t="s">
        <v>1024</v>
      </c>
      <c r="B45" s="1739" t="s">
        <v>648</v>
      </c>
      <c r="C45" s="1740" t="s">
        <v>170</v>
      </c>
      <c r="D45" s="8876">
        <f>+D31+D40</f>
        <v>129293</v>
      </c>
      <c r="E45" s="4434">
        <v>128680.58</v>
      </c>
      <c r="F45" s="8876">
        <f>+F31+F40</f>
        <v>134303</v>
      </c>
      <c r="G45" s="4434">
        <v>133805</v>
      </c>
      <c r="H45" s="8883">
        <f>+D45+F45</f>
        <v>263596</v>
      </c>
      <c r="I45" s="5015">
        <f>+I37+I40+I41</f>
        <v>262485.58</v>
      </c>
      <c r="J45" s="8876">
        <f>+J31+J40</f>
        <v>161947</v>
      </c>
      <c r="K45" s="4434">
        <v>146928</v>
      </c>
      <c r="L45" s="8870">
        <f>+H45+J45</f>
        <v>425543</v>
      </c>
      <c r="M45" s="6140">
        <f>+M37+M40+M41</f>
        <v>409413.58</v>
      </c>
      <c r="N45" s="8876">
        <f>+N31+N40</f>
        <v>221247</v>
      </c>
      <c r="O45" s="6125">
        <f>+O37+O40+O41</f>
        <v>160353</v>
      </c>
      <c r="P45" s="8883">
        <f>+L45+N45</f>
        <v>646790</v>
      </c>
      <c r="Q45" s="5015">
        <f>+Q37+Q40+Q41</f>
        <v>569766.58000000007</v>
      </c>
      <c r="R45" s="8876">
        <f>+R31+R40</f>
        <v>219958</v>
      </c>
      <c r="S45" s="6125">
        <f>+S37+S40+S41</f>
        <v>171483</v>
      </c>
      <c r="T45" s="8883">
        <f>+P45+R45</f>
        <v>866748</v>
      </c>
      <c r="U45" s="5015">
        <f>+U37+U40+U41</f>
        <v>741249.58000000007</v>
      </c>
      <c r="V45" s="8876">
        <f>+V31+V40</f>
        <v>217063</v>
      </c>
      <c r="W45" s="6125">
        <f>+W37+W40+W41</f>
        <v>83307</v>
      </c>
      <c r="X45" s="8870">
        <f>+V45+R45+N45</f>
        <v>658268</v>
      </c>
      <c r="Y45" s="6140">
        <f t="shared" si="130"/>
        <v>415143</v>
      </c>
      <c r="Z45" s="8855">
        <f>+T45+V45</f>
        <v>1083811</v>
      </c>
      <c r="AA45" s="6960">
        <f>+AA37+AA40+AA41</f>
        <v>824556.58000000007</v>
      </c>
      <c r="AB45" s="8876">
        <f>+AB31+AB40</f>
        <v>114155</v>
      </c>
      <c r="AC45" s="6125">
        <f>+AC37+AC40+AC41</f>
        <v>98436</v>
      </c>
      <c r="AD45" s="8883">
        <f>+Z45+AB45</f>
        <v>1197966</v>
      </c>
      <c r="AE45" s="5015">
        <f>+AE37+AE40+AE41</f>
        <v>922992.58000000007</v>
      </c>
      <c r="AF45" s="8876">
        <f>+AF31+AF40</f>
        <v>215956</v>
      </c>
      <c r="AG45" s="6125">
        <f>+AG37+AG40+AG41</f>
        <v>139136</v>
      </c>
      <c r="AH45" s="8883">
        <f>+AD45+AF45</f>
        <v>1413922</v>
      </c>
      <c r="AI45" s="5015">
        <f>+AI37+AI40+AI41</f>
        <v>1062128.58</v>
      </c>
      <c r="AJ45" s="8876">
        <f>+AJ31+AJ40</f>
        <v>226590</v>
      </c>
      <c r="AK45" s="6125">
        <f>+AK37+AK40+AK41</f>
        <v>167423</v>
      </c>
      <c r="AL45" s="8870">
        <f>+AJ45+AF45+AB45</f>
        <v>556701</v>
      </c>
      <c r="AM45" s="6140">
        <f t="shared" ref="AM45:AM46" si="141">+AK45+AG45+AC45</f>
        <v>404995</v>
      </c>
      <c r="AN45" s="8883">
        <f>+AH45+AJ45</f>
        <v>1640512</v>
      </c>
      <c r="AO45" s="5015">
        <f>+AO37+AO40+AO41</f>
        <v>1229551.58</v>
      </c>
      <c r="AP45" s="8876">
        <f>+AP31+AP40</f>
        <v>222958</v>
      </c>
      <c r="AQ45" s="6125">
        <f>+AQ37+AQ40+AQ41</f>
        <v>200724</v>
      </c>
      <c r="AR45" s="8883">
        <f>+AN45+AP45</f>
        <v>1863470</v>
      </c>
      <c r="AS45" s="5015">
        <f>+AS37+AS40+AS41</f>
        <v>1430275.58</v>
      </c>
      <c r="AT45" s="8876">
        <f>+AT31+AT40</f>
        <v>206078</v>
      </c>
      <c r="AU45" s="6125">
        <f>+AU37+AU40+AU41</f>
        <v>188894</v>
      </c>
      <c r="AV45" s="8883">
        <f>+AR45+AT45</f>
        <v>2069548</v>
      </c>
      <c r="AW45" s="5015">
        <f>+AW37+AW40+AW41</f>
        <v>1619169.58</v>
      </c>
      <c r="AX45" s="8876">
        <f>+AX31+AX40</f>
        <v>0</v>
      </c>
      <c r="AY45" s="6125">
        <f>+AY37+AY40+AY41</f>
        <v>222461</v>
      </c>
      <c r="AZ45" s="8870">
        <f>+AX45+AT45+AP45</f>
        <v>429036</v>
      </c>
      <c r="BA45" s="6140">
        <f t="shared" ref="BA45:BA46" si="142">+AY45+AU45+AQ45</f>
        <v>612079</v>
      </c>
      <c r="BB45" s="8870">
        <f t="shared" si="70"/>
        <v>985737</v>
      </c>
      <c r="BC45" s="6140">
        <f t="shared" ref="BC45:BC46" si="143">+BA45+AM45</f>
        <v>1017074</v>
      </c>
      <c r="BD45" s="8855">
        <f>+AV45+AX45</f>
        <v>2069548</v>
      </c>
      <c r="BE45" s="6960">
        <f>+BE37+BE40+BE41</f>
        <v>1841630.58</v>
      </c>
    </row>
    <row r="46" spans="1:58" ht="20" customHeight="1" thickBot="1" x14ac:dyDescent="0.25">
      <c r="A46" s="8891"/>
      <c r="B46" s="1741" t="s">
        <v>649</v>
      </c>
      <c r="C46" s="1742" t="s">
        <v>170</v>
      </c>
      <c r="D46" s="8811"/>
      <c r="E46" s="4437">
        <v>611.41999999999996</v>
      </c>
      <c r="F46" s="8811"/>
      <c r="G46" s="4437">
        <v>498</v>
      </c>
      <c r="H46" s="8785"/>
      <c r="I46" s="5624">
        <f>+I38+I42+I43</f>
        <v>1109.42</v>
      </c>
      <c r="J46" s="8811"/>
      <c r="K46" s="4437">
        <v>454</v>
      </c>
      <c r="L46" s="8728"/>
      <c r="M46" s="6143">
        <f>+M38+M42+M43</f>
        <v>1563.42</v>
      </c>
      <c r="N46" s="8811"/>
      <c r="O46" s="6167">
        <f>+O38+O42+O43</f>
        <v>576.37999999999988</v>
      </c>
      <c r="P46" s="8785"/>
      <c r="Q46" s="5624">
        <f>+Q38+Q42+Q43</f>
        <v>2139.7999999999997</v>
      </c>
      <c r="R46" s="8811"/>
      <c r="S46" s="6167">
        <f>+S38+S42+S43</f>
        <v>529.05999999999995</v>
      </c>
      <c r="T46" s="8785"/>
      <c r="U46" s="5624">
        <f>+U38+U42+U43</f>
        <v>2668.8599999999997</v>
      </c>
      <c r="V46" s="8811"/>
      <c r="W46" s="6167">
        <f>+W38+W42+W43</f>
        <v>283.01000000000005</v>
      </c>
      <c r="X46" s="8728"/>
      <c r="Y46" s="6140">
        <f t="shared" si="130"/>
        <v>1388.4499999999998</v>
      </c>
      <c r="Z46" s="8724"/>
      <c r="AA46" s="6966">
        <f>+AA38+AA42+AA43</f>
        <v>2951.87</v>
      </c>
      <c r="AB46" s="8811"/>
      <c r="AC46" s="6167">
        <f>+AC38+AC42+AC43</f>
        <v>339.15</v>
      </c>
      <c r="AD46" s="8785"/>
      <c r="AE46" s="5624">
        <f>+AE38+AE42+AE43</f>
        <v>3291.0199999999995</v>
      </c>
      <c r="AF46" s="8811"/>
      <c r="AG46" s="6167">
        <f>+AG38+AG42+AG43</f>
        <v>484.24200000000008</v>
      </c>
      <c r="AH46" s="8785"/>
      <c r="AI46" s="5624">
        <f>+AI38+AI42+AI43</f>
        <v>3775.2619999999993</v>
      </c>
      <c r="AJ46" s="8811"/>
      <c r="AK46" s="6167">
        <f>+AK38+AK42+AK43</f>
        <v>572</v>
      </c>
      <c r="AL46" s="8728"/>
      <c r="AM46" s="6140">
        <f t="shared" si="141"/>
        <v>1395.3920000000003</v>
      </c>
      <c r="AN46" s="8785"/>
      <c r="AO46" s="5624">
        <f>+AO38+AO42+AO43</f>
        <v>4347.2619999999997</v>
      </c>
      <c r="AP46" s="8811"/>
      <c r="AQ46" s="6167">
        <f>+AQ38+AQ42+AQ43</f>
        <v>643.29999999999995</v>
      </c>
      <c r="AR46" s="8785"/>
      <c r="AS46" s="5624">
        <f>+AS38+AS42+AS43</f>
        <v>4990.5619999999999</v>
      </c>
      <c r="AT46" s="8811"/>
      <c r="AU46" s="6167">
        <f>+AU38+AU42+AU43</f>
        <v>254</v>
      </c>
      <c r="AV46" s="8785"/>
      <c r="AW46" s="5624">
        <f>+AW38+AW42+AW43</f>
        <v>5244.5619999999999</v>
      </c>
      <c r="AX46" s="8811"/>
      <c r="AY46" s="6167">
        <f>+AY38+AY42+AY43</f>
        <v>559</v>
      </c>
      <c r="AZ46" s="8728"/>
      <c r="BA46" s="6140">
        <f t="shared" si="142"/>
        <v>1456.3</v>
      </c>
      <c r="BB46" s="8728">
        <f t="shared" si="70"/>
        <v>0</v>
      </c>
      <c r="BC46" s="6140">
        <f t="shared" si="143"/>
        <v>2851.692</v>
      </c>
      <c r="BD46" s="8724"/>
      <c r="BE46" s="6966">
        <f>+BE38+BE42+BE43</f>
        <v>5803.5619999999999</v>
      </c>
    </row>
    <row r="47" spans="1:58" ht="20" customHeight="1" thickBot="1" x14ac:dyDescent="0.25">
      <c r="A47" s="8891"/>
      <c r="B47" s="1738" t="s">
        <v>792</v>
      </c>
      <c r="C47" s="1733" t="s">
        <v>170</v>
      </c>
      <c r="D47" s="8810"/>
      <c r="E47" s="4394">
        <f>SUM(E45:E46)</f>
        <v>129292</v>
      </c>
      <c r="F47" s="8810"/>
      <c r="G47" s="4394">
        <f>SUM(G45:G46)</f>
        <v>134303</v>
      </c>
      <c r="H47" s="8786"/>
      <c r="I47" s="5609">
        <f>SUM(I45:I46)</f>
        <v>263595</v>
      </c>
      <c r="J47" s="8810"/>
      <c r="K47" s="4394">
        <f>SUM(K45:K46)</f>
        <v>147382</v>
      </c>
      <c r="L47" s="8721"/>
      <c r="M47" s="6131">
        <f>SUM(M45:M46)</f>
        <v>410977</v>
      </c>
      <c r="N47" s="8810"/>
      <c r="O47" s="6116">
        <f>SUM(O45:O46)</f>
        <v>160929.38</v>
      </c>
      <c r="P47" s="8786"/>
      <c r="Q47" s="5609">
        <f>SUM(Q45:Q46)</f>
        <v>571906.38000000012</v>
      </c>
      <c r="R47" s="8810"/>
      <c r="S47" s="6116">
        <f>SUM(S45:S46)</f>
        <v>172012.06</v>
      </c>
      <c r="T47" s="8786"/>
      <c r="U47" s="5609">
        <f>SUM(U45:U46)</f>
        <v>743918.44000000006</v>
      </c>
      <c r="V47" s="8810"/>
      <c r="W47" s="6116">
        <f>SUM(W45:W46)</f>
        <v>83590.009999999995</v>
      </c>
      <c r="X47" s="8721"/>
      <c r="Y47" s="6131">
        <f>SUM(Y45:Y46)</f>
        <v>416531.45</v>
      </c>
      <c r="Z47" s="8723"/>
      <c r="AA47" s="6944">
        <f>SUM(AA45:AA46)</f>
        <v>827508.45000000007</v>
      </c>
      <c r="AB47" s="8810"/>
      <c r="AC47" s="6116">
        <f>SUM(AC45:AC46)</f>
        <v>98775.15</v>
      </c>
      <c r="AD47" s="8786"/>
      <c r="AE47" s="5609">
        <f>SUM(AE45:AE46)</f>
        <v>926283.60000000009</v>
      </c>
      <c r="AF47" s="8810"/>
      <c r="AG47" s="6116">
        <f>SUM(AG45:AG46)</f>
        <v>139620.242</v>
      </c>
      <c r="AH47" s="8786"/>
      <c r="AI47" s="5609">
        <f>SUM(AI45:AI46)</f>
        <v>1065903.8420000002</v>
      </c>
      <c r="AJ47" s="8810"/>
      <c r="AK47" s="6116">
        <f>SUM(AK45:AK46)</f>
        <v>167995</v>
      </c>
      <c r="AL47" s="8721"/>
      <c r="AM47" s="6131">
        <f>SUM(AM45:AM46)</f>
        <v>406390.39199999999</v>
      </c>
      <c r="AN47" s="8786"/>
      <c r="AO47" s="5609">
        <f>SUM(AO45:AO46)</f>
        <v>1233898.8420000002</v>
      </c>
      <c r="AP47" s="8810"/>
      <c r="AQ47" s="6116">
        <f>SUM(AQ45:AQ46)</f>
        <v>201367.3</v>
      </c>
      <c r="AR47" s="8786"/>
      <c r="AS47" s="5609">
        <f>SUM(AS45:AS46)</f>
        <v>1435266.142</v>
      </c>
      <c r="AT47" s="8810"/>
      <c r="AU47" s="6116">
        <f>SUM(AU45:AU46)</f>
        <v>189148</v>
      </c>
      <c r="AV47" s="8786"/>
      <c r="AW47" s="5609">
        <f>SUM(AW45:AW46)</f>
        <v>1624414.142</v>
      </c>
      <c r="AX47" s="8810"/>
      <c r="AY47" s="6116">
        <f>SUM(AY45:AY46)</f>
        <v>223020</v>
      </c>
      <c r="AZ47" s="8721"/>
      <c r="BA47" s="6131">
        <f>SUM(BA45:BA46)</f>
        <v>613535.30000000005</v>
      </c>
      <c r="BB47" s="8721">
        <f t="shared" si="70"/>
        <v>0</v>
      </c>
      <c r="BC47" s="6131">
        <f>SUM(BC45:BC46)</f>
        <v>1019925.692</v>
      </c>
      <c r="BD47" s="8723"/>
      <c r="BE47" s="6944">
        <f>SUM(BE45:BE46)</f>
        <v>1847434.142</v>
      </c>
    </row>
    <row r="48" spans="1:58" s="3380" customFormat="1" ht="20" customHeight="1" x14ac:dyDescent="0.2">
      <c r="B48" s="5642" t="s">
        <v>763</v>
      </c>
      <c r="C48" s="5643"/>
      <c r="D48" s="5644"/>
      <c r="E48" s="5643"/>
      <c r="F48" s="5644"/>
      <c r="G48" s="5643"/>
      <c r="H48" s="5644"/>
      <c r="I48" s="5643"/>
      <c r="J48" s="5644"/>
      <c r="K48" s="5643"/>
      <c r="L48" s="5644"/>
      <c r="M48" s="5643"/>
      <c r="N48" s="5644"/>
      <c r="O48" s="5643"/>
      <c r="P48" s="5644"/>
      <c r="Q48" s="5643"/>
      <c r="R48" s="5644"/>
      <c r="S48" s="5643"/>
      <c r="T48" s="5644"/>
      <c r="U48" s="5643"/>
      <c r="V48" s="5644"/>
      <c r="W48" s="5643"/>
      <c r="X48" s="5644"/>
      <c r="Y48" s="5643"/>
      <c r="Z48" s="5644"/>
      <c r="AA48" s="5643"/>
      <c r="AB48" s="5644"/>
      <c r="AC48" s="5643"/>
      <c r="AD48" s="5644"/>
      <c r="AE48" s="5643"/>
      <c r="AF48" s="5644"/>
      <c r="AG48" s="5643"/>
      <c r="AH48" s="5644"/>
      <c r="AI48" s="5643"/>
      <c r="AJ48" s="5644"/>
      <c r="AK48" s="5643"/>
      <c r="AL48" s="5644"/>
      <c r="AM48" s="5643"/>
      <c r="AN48" s="7943"/>
      <c r="AO48" s="7944"/>
      <c r="AP48" s="5644"/>
      <c r="AQ48" s="5643"/>
      <c r="AR48" s="5644"/>
      <c r="AS48" s="5643"/>
      <c r="AT48" s="5644"/>
      <c r="AU48" s="5643"/>
      <c r="AV48" s="5644"/>
      <c r="AW48" s="5643"/>
      <c r="AX48" s="5644"/>
      <c r="AY48" s="5643"/>
      <c r="AZ48" s="5644"/>
      <c r="BA48" s="5643"/>
      <c r="BB48" s="5644"/>
      <c r="BC48" s="5643"/>
      <c r="BD48" s="5644"/>
      <c r="BE48" s="5643"/>
    </row>
    <row r="49" spans="1:57" ht="20" customHeight="1" x14ac:dyDescent="0.2">
      <c r="A49" s="3942"/>
      <c r="B49" s="4032" t="s">
        <v>770</v>
      </c>
      <c r="C49" s="3996" t="s">
        <v>169</v>
      </c>
      <c r="D49" s="4036">
        <v>91.29</v>
      </c>
      <c r="E49" s="4428">
        <v>91.29</v>
      </c>
      <c r="F49" s="4036">
        <v>91.16</v>
      </c>
      <c r="G49" s="4428">
        <v>91.16</v>
      </c>
      <c r="H49" s="6176">
        <f>+((D49*D18)+(F18*F49))/H18</f>
        <v>91.223082656857187</v>
      </c>
      <c r="I49" s="5625">
        <f>+((E49*E18)+(G18*G49))/I18</f>
        <v>91.222865425306807</v>
      </c>
      <c r="J49" s="4036">
        <v>91</v>
      </c>
      <c r="K49" s="4428">
        <v>90.46</v>
      </c>
      <c r="L49" s="6177">
        <f>+((H49*H18)+(J18*J49))/L18</f>
        <v>91.138682605185721</v>
      </c>
      <c r="M49" s="6144">
        <f>+((I49*I18)+(K18*K49))/M18</f>
        <v>90.94522056283563</v>
      </c>
      <c r="N49" s="6043">
        <v>91</v>
      </c>
      <c r="O49" s="6117">
        <v>90.23</v>
      </c>
      <c r="P49" s="6176">
        <f>+((L49*L18)+(N18*N49))/P18</f>
        <v>91.091426818679778</v>
      </c>
      <c r="Q49" s="5625">
        <f>+((M49*M18)+(O18*O49))/Q18</f>
        <v>90.739601052268199</v>
      </c>
      <c r="R49" s="6419">
        <v>91</v>
      </c>
      <c r="S49" s="6117">
        <v>90.6</v>
      </c>
      <c r="T49" s="6176">
        <f>+((P49*P18)+(R18*R49))/T18</f>
        <v>91.068292035510638</v>
      </c>
      <c r="U49" s="5625">
        <f>+((Q49*Q18)+(S18*S49))/U18</f>
        <v>90.707375497861037</v>
      </c>
      <c r="V49" s="6857">
        <v>91</v>
      </c>
      <c r="W49" s="6117">
        <v>90.98</v>
      </c>
      <c r="X49" s="6177">
        <f>+((N49*N18)+(R49*R18)+(V18*V49))/X18</f>
        <v>91.000000000000028</v>
      </c>
      <c r="Y49" s="6144">
        <f>+((O49*O18)+(S49*S18)+(W18*W49))/Y18</f>
        <v>90.528854866331443</v>
      </c>
      <c r="Z49" s="6967">
        <f>+((T49*T18)+(V18*V49))/Z18</f>
        <v>91.05464625783938</v>
      </c>
      <c r="AA49" s="6968">
        <f>+((U49*U18)+(W18*W49))/AA18</f>
        <v>90.734409801700281</v>
      </c>
      <c r="AB49" s="7332">
        <v>91</v>
      </c>
      <c r="AC49" s="6117">
        <v>91.08</v>
      </c>
      <c r="AD49" s="6176">
        <f>+((Z49*Z18)+(AB18*AB49))/AD18</f>
        <v>91.049501638598031</v>
      </c>
      <c r="AE49" s="5625">
        <f>+((AA49*AA18)+(AC18*AC49))/AE18</f>
        <v>90.769947363714934</v>
      </c>
      <c r="AF49" s="7601">
        <v>91</v>
      </c>
      <c r="AG49" s="6117">
        <v>90.88</v>
      </c>
      <c r="AH49" s="6176">
        <f>+((AD49*AD18)+(AF18*AF49))/AH18</f>
        <v>91.042077410818706</v>
      </c>
      <c r="AI49" s="5625">
        <f>+((AE49*AE18)+(AG18*AG49))/AI18</f>
        <v>90.784118702046911</v>
      </c>
      <c r="AJ49" s="7752">
        <v>91</v>
      </c>
      <c r="AK49" s="6117">
        <v>91.03</v>
      </c>
      <c r="AL49" s="6177">
        <f>+((AB49*AB18)+(AF49*AF18)+(AJ18*AJ49))/AL18</f>
        <v>90.999999999999986</v>
      </c>
      <c r="AM49" s="6144">
        <f>+((AC49*AC18)+(AG49*AG18)+(AK18*AK49))/AM18</f>
        <v>90.990520769510724</v>
      </c>
      <c r="AN49" s="6176">
        <f>+((AH49*AH18)+(AJ18*AJ49))/AN18</f>
        <v>91.036356203175387</v>
      </c>
      <c r="AO49" s="5625">
        <f>+((AI49*AI18)+(AK18*AK49))/AO18</f>
        <v>90.817562506870829</v>
      </c>
      <c r="AP49" s="8085">
        <v>91</v>
      </c>
      <c r="AQ49" s="6166">
        <v>91.529954165059607</v>
      </c>
      <c r="AR49" s="6176">
        <f>+((AN49*AN18)+(AP18*AP49))/AR18</f>
        <v>91.032066113467451</v>
      </c>
      <c r="AS49" s="5625">
        <f>+((AO49*AO18)+(AQ18*AQ49))/AS18</f>
        <v>90.915598979264558</v>
      </c>
      <c r="AT49" s="8161">
        <v>91</v>
      </c>
      <c r="AU49" s="6166">
        <v>92.26</v>
      </c>
      <c r="AV49" s="6176">
        <f>+((AR49*AR18)+(AT18*AT49))/AV18</f>
        <v>91.02891266733053</v>
      </c>
      <c r="AW49" s="5625">
        <f>+((AS49*AS18)+(AU18*AU49))/AW18</f>
        <v>91.066643893551429</v>
      </c>
      <c r="AX49" s="8287">
        <v>91</v>
      </c>
      <c r="AY49" s="6166">
        <v>92.34</v>
      </c>
      <c r="AZ49" s="6177">
        <f>+((AP49*AP18)+(AT49*AT18)+(AX18*AX49))/AZ18</f>
        <v>90.999999999999986</v>
      </c>
      <c r="BA49" s="6144">
        <f>+((AQ49*AQ18)+(AU49*AU18)+(AY18*AY49))/BA18</f>
        <v>92.046197134558923</v>
      </c>
      <c r="BB49" s="6177">
        <f>+((AR49*AR18)+(AV49*AV18)+(AZ18*AZ49))/BB18</f>
        <v>347.90838064880035</v>
      </c>
      <c r="BC49" s="6144">
        <f>+((AM49*AM18)+(BA18*BA49))/BC18</f>
        <v>91.620211357845477</v>
      </c>
      <c r="BD49" s="6967">
        <f>+((AV49*AV18)+(AX18*AX49))/BD18</f>
        <v>91.026079847546569</v>
      </c>
      <c r="BE49" s="6968">
        <f>+((AW49*AW18)+(AY18*AY49))/BE18</f>
        <v>91.216000830599313</v>
      </c>
    </row>
    <row r="50" spans="1:57" ht="20" customHeight="1" x14ac:dyDescent="0.2">
      <c r="A50" t="s">
        <v>1024</v>
      </c>
      <c r="B50" s="4032" t="s">
        <v>1177</v>
      </c>
      <c r="C50" s="3996" t="s">
        <v>1178</v>
      </c>
      <c r="D50" s="5775">
        <v>150.9</v>
      </c>
      <c r="E50" s="4439">
        <f>+E47/E27</f>
        <v>150.86581096849474</v>
      </c>
      <c r="F50" s="5775">
        <v>151.41262683201799</v>
      </c>
      <c r="G50" s="4438">
        <f>+G47/G27</f>
        <v>151.41262683201805</v>
      </c>
      <c r="H50" s="5478">
        <f>+H45/H27</f>
        <v>151.16075051692755</v>
      </c>
      <c r="I50" s="5625">
        <f>+I47/I27</f>
        <v>151.14392201834863</v>
      </c>
      <c r="J50" s="4004">
        <v>150</v>
      </c>
      <c r="K50" s="4438">
        <f>+K47/K27</f>
        <v>152.25413223140495</v>
      </c>
      <c r="L50" s="4039">
        <f>+L45/L27</f>
        <v>150.71689765034071</v>
      </c>
      <c r="M50" s="6144">
        <f>+M47/M27</f>
        <v>151.54019174041298</v>
      </c>
      <c r="N50" s="5775">
        <v>150</v>
      </c>
      <c r="O50" s="6166">
        <f>+O47/O27</f>
        <v>150.96564727954973</v>
      </c>
      <c r="P50" s="5478">
        <f>+P45/P27</f>
        <v>150.470899122622</v>
      </c>
      <c r="Q50" s="5625">
        <f>+Q47/Q27</f>
        <v>151.37807834833248</v>
      </c>
      <c r="R50" s="5775">
        <v>150</v>
      </c>
      <c r="S50" s="6166">
        <f>+S47/S27</f>
        <v>152.22306194690265</v>
      </c>
      <c r="T50" s="5478">
        <f>+T45/T27</f>
        <v>150.35111749873909</v>
      </c>
      <c r="U50" s="5625">
        <f>+U47/U27</f>
        <v>151.57262428687858</v>
      </c>
      <c r="V50" s="5775">
        <v>150</v>
      </c>
      <c r="W50" s="6169">
        <f>+W47/W27</f>
        <v>155.37176579925651</v>
      </c>
      <c r="X50" s="4039">
        <f>+X45/X27</f>
        <v>150</v>
      </c>
      <c r="Y50" s="6144">
        <f>+Y47/Y27</f>
        <v>152.3523957571324</v>
      </c>
      <c r="Z50" s="6969">
        <f>+Z45/Z27</f>
        <v>150.28066497261972</v>
      </c>
      <c r="AA50" s="6968">
        <f>+AA47/AA27</f>
        <v>151.94793426367977</v>
      </c>
      <c r="AB50" s="5775">
        <v>150</v>
      </c>
      <c r="AC50" s="6166">
        <f>+AC47/AC27</f>
        <v>153.37756211180124</v>
      </c>
      <c r="AD50" s="5478">
        <f>+AD45/AD27</f>
        <v>150.25387494980541</v>
      </c>
      <c r="AE50" s="5625">
        <f>+AE47/AE27</f>
        <v>152.09911330049263</v>
      </c>
      <c r="AF50" s="5775">
        <v>150</v>
      </c>
      <c r="AG50" s="6166">
        <f>+AG47/AG27</f>
        <v>152.09176688453158</v>
      </c>
      <c r="AH50" s="5478">
        <f>+AH45/AH27</f>
        <v>150.21504365763323</v>
      </c>
      <c r="AI50" s="5625">
        <f>+AI47/AI27</f>
        <v>152.09815097031967</v>
      </c>
      <c r="AJ50" s="5775">
        <v>150</v>
      </c>
      <c r="AK50" s="6169">
        <f>+AK47/AK27</f>
        <v>151.21062106210621</v>
      </c>
      <c r="AL50" s="4039">
        <f>+AL45/AL27</f>
        <v>150</v>
      </c>
      <c r="AM50" s="6144">
        <f>+AM47/AM27</f>
        <v>152.03531313131313</v>
      </c>
      <c r="AN50" s="5478">
        <f>+AN45/AN27</f>
        <v>150.18530480920393</v>
      </c>
      <c r="AO50" s="5625">
        <f>+AO47/AO27</f>
        <v>151.97670181056782</v>
      </c>
      <c r="AP50" s="5775">
        <v>150</v>
      </c>
      <c r="AQ50" s="6169">
        <f>+AQ47/AQ27</f>
        <v>150.83692883895131</v>
      </c>
      <c r="AR50" s="5478">
        <f>+AR45/AR27</f>
        <v>150.16310959507319</v>
      </c>
      <c r="AS50" s="5625">
        <f>+AS47/AS27</f>
        <v>151.81575438967633</v>
      </c>
      <c r="AT50" s="5775">
        <v>150</v>
      </c>
      <c r="AU50" s="6169">
        <f>+AU47/AU27</f>
        <v>152.1705551086082</v>
      </c>
      <c r="AV50" s="5478">
        <f>+AV45/AV27</f>
        <v>150.1468518388069</v>
      </c>
      <c r="AW50" s="5625">
        <f>+AW47/AW27</f>
        <v>151.85698251846313</v>
      </c>
      <c r="AX50" s="5775">
        <v>150</v>
      </c>
      <c r="AY50" s="6169">
        <f>+AY47/AY27</f>
        <v>152.6488706365503</v>
      </c>
      <c r="AZ50" s="4039">
        <f>+AZ45/AZ27</f>
        <v>97.982729994587416</v>
      </c>
      <c r="BA50" s="6144">
        <f>+BA47/BA27</f>
        <v>151.90277296360486</v>
      </c>
      <c r="BB50" s="4039">
        <f>+BB45/BB27</f>
        <v>121.84590168392452</v>
      </c>
      <c r="BC50" s="6144">
        <f t="shared" ref="BC50:BC51" si="144">+((AM50*AM19)+(BA19*BA50))/BC19</f>
        <v>151.93733856359285</v>
      </c>
      <c r="BD50" s="6969">
        <f>+BD45/BD27</f>
        <v>135.24740441298209</v>
      </c>
      <c r="BE50" s="6968">
        <f>+BE47/BE27</f>
        <v>151.95214196413883</v>
      </c>
    </row>
    <row r="51" spans="1:57" ht="20" customHeight="1" x14ac:dyDescent="0.2">
      <c r="A51" t="s">
        <v>1024</v>
      </c>
      <c r="B51" s="4032" t="s">
        <v>771</v>
      </c>
      <c r="C51" s="3996" t="s">
        <v>169</v>
      </c>
      <c r="D51" s="4033">
        <v>98.240228557534493</v>
      </c>
      <c r="E51" s="4440">
        <f>+E47/E22*100</f>
        <v>98.240228557534493</v>
      </c>
      <c r="F51" s="4033">
        <v>98.316288807712866</v>
      </c>
      <c r="G51" s="4440">
        <f>+G47/G22*100</f>
        <v>98.316288807712866</v>
      </c>
      <c r="H51" s="5478">
        <f>+H45/H22*100</f>
        <v>98.279339773536506</v>
      </c>
      <c r="I51" s="5625">
        <f>+I47/I22*100</f>
        <v>98.278966932750706</v>
      </c>
      <c r="J51" s="5775">
        <v>97</v>
      </c>
      <c r="K51" s="4440">
        <f>+K47/K22*100</f>
        <v>98.523965505715623</v>
      </c>
      <c r="L51" s="4039">
        <f>+L45/L22*100</f>
        <v>97.788509377151314</v>
      </c>
      <c r="M51" s="6144">
        <f>+M47/M22*100</f>
        <v>98.366686532583685</v>
      </c>
      <c r="N51" s="5775">
        <v>97</v>
      </c>
      <c r="O51" s="6169">
        <f>+O47/O22*100</f>
        <v>98.441001235640272</v>
      </c>
      <c r="P51" s="5478">
        <f>+P45/P22*100</f>
        <v>97.51734596193441</v>
      </c>
      <c r="Q51" s="5625">
        <f>+Q47/Q22*100</f>
        <v>98.387586683847189</v>
      </c>
      <c r="R51" s="5775">
        <v>97</v>
      </c>
      <c r="S51" s="6169">
        <f>+S47/S22*100</f>
        <v>98.642080513820389</v>
      </c>
      <c r="T51" s="5478">
        <f>+T45/T22*100</f>
        <v>97.385535252087735</v>
      </c>
      <c r="U51" s="5625">
        <f>+U47/U22*100</f>
        <v>98.446315070686651</v>
      </c>
      <c r="V51" s="5775">
        <v>97</v>
      </c>
      <c r="W51" s="6169">
        <f>+W47/W22*100</f>
        <v>98.567313248039611</v>
      </c>
      <c r="X51" s="4039">
        <f>+X45/X22*100</f>
        <v>97.000000000000014</v>
      </c>
      <c r="Y51" s="6144">
        <f>+Y47/Y22*100</f>
        <v>98.549305238452391</v>
      </c>
      <c r="Z51" s="6969">
        <f>+Z45/Z22*100</f>
        <v>97.30807596555384</v>
      </c>
      <c r="AA51" s="6968">
        <f>+AA47/AA22*100</f>
        <v>98.458524100972795</v>
      </c>
      <c r="AB51" s="5775">
        <v>97</v>
      </c>
      <c r="AC51" s="6169">
        <f>+AC47/AC22*100</f>
        <v>98.579961675881748</v>
      </c>
      <c r="AD51" s="5478">
        <f>+AD45/AD22*100</f>
        <v>97.278634867918896</v>
      </c>
      <c r="AE51" s="5625">
        <f>+AE47/AE22*100</f>
        <v>98.47145946152817</v>
      </c>
      <c r="AF51" s="5775">
        <v>97</v>
      </c>
      <c r="AG51" s="6169">
        <f>+AG47/AG22*100</f>
        <v>98.64296705548216</v>
      </c>
      <c r="AH51" s="5478">
        <f>+AH45/AH22*100</f>
        <v>97.236042855953698</v>
      </c>
      <c r="AI51" s="5625">
        <f>+AI47/AI22*100</f>
        <v>98.493890887384367</v>
      </c>
      <c r="AJ51" s="5775">
        <v>97</v>
      </c>
      <c r="AK51" s="6169">
        <f>+AK47/AK22*100</f>
        <v>98.745077293834129</v>
      </c>
      <c r="AL51" s="4039">
        <f>+AL45/AL22*100</f>
        <v>97.000174241063405</v>
      </c>
      <c r="AM51" s="6144">
        <f>+AM47/AM22*100</f>
        <v>98.669817830426666</v>
      </c>
      <c r="AN51" s="5478">
        <f>+AN45/AN22*100</f>
        <v>97.203371904312988</v>
      </c>
      <c r="AO51" s="5625">
        <f>+AO47/AO22*100</f>
        <v>98.528014673413551</v>
      </c>
      <c r="AP51" s="5775">
        <v>97</v>
      </c>
      <c r="AQ51" s="6169">
        <f>+AQ47/AQ22*100</f>
        <v>98.6668985927639</v>
      </c>
      <c r="AR51" s="5478">
        <f>+AR45/AR22*100</f>
        <v>97.179020352587884</v>
      </c>
      <c r="AS51" s="5625">
        <f>+AS47/AS22*100</f>
        <v>98.547476450833926</v>
      </c>
      <c r="AT51" s="5775">
        <v>97</v>
      </c>
      <c r="AU51" s="6169">
        <f>+AU47/AU22*100</f>
        <v>98.528952138853583</v>
      </c>
      <c r="AV51" s="5478">
        <f>+AV45/AV22*100</f>
        <v>97.161189468170079</v>
      </c>
      <c r="AW51" s="5625">
        <f>+AW47/AW22*100</f>
        <v>98.545319107761316</v>
      </c>
      <c r="AX51" s="5775">
        <v>97</v>
      </c>
      <c r="AY51" s="6169">
        <f>+AY47/AY22*100</f>
        <v>98.610294345228894</v>
      </c>
      <c r="AZ51" s="4039">
        <f>+AZ45/AZ22*100</f>
        <v>63.376758956102584</v>
      </c>
      <c r="BA51" s="6144">
        <f>+BA47/BA22*100</f>
        <v>98.603764245294698</v>
      </c>
      <c r="BB51" s="4039">
        <f>+BB45/BB22*100</f>
        <v>78.803569377288667</v>
      </c>
      <c r="BC51" s="6144">
        <f t="shared" si="144"/>
        <v>98.629538329911071</v>
      </c>
      <c r="BD51" s="6969">
        <f>+BD45/BD22*100</f>
        <v>87.519449581015337</v>
      </c>
      <c r="BE51" s="6968">
        <f>+BE47/BE22*100</f>
        <v>98.553158294550812</v>
      </c>
    </row>
    <row r="52" spans="1:57" s="3380" customFormat="1" ht="20" customHeight="1" x14ac:dyDescent="0.2">
      <c r="B52" s="4961" t="s">
        <v>772</v>
      </c>
      <c r="C52" s="3237"/>
      <c r="D52" s="5645"/>
      <c r="E52" s="5646"/>
      <c r="F52" s="5645"/>
      <c r="G52" s="5646"/>
      <c r="H52" s="5645"/>
      <c r="I52" s="5646"/>
      <c r="J52" s="5645"/>
      <c r="K52" s="5646"/>
      <c r="L52" s="5645"/>
      <c r="M52" s="5646"/>
      <c r="N52" s="5645"/>
      <c r="O52" s="5646"/>
      <c r="P52" s="5645"/>
      <c r="Q52" s="5646"/>
      <c r="R52" s="5645"/>
      <c r="S52" s="5646"/>
      <c r="T52" s="5645"/>
      <c r="U52" s="5646"/>
      <c r="V52" s="5645"/>
      <c r="W52" s="5646"/>
      <c r="X52" s="5645"/>
      <c r="Y52" s="5646"/>
      <c r="Z52" s="5645"/>
      <c r="AA52" s="5646"/>
      <c r="AB52" s="5645"/>
      <c r="AC52" s="5646"/>
      <c r="AD52" s="5645"/>
      <c r="AE52" s="5646"/>
      <c r="AF52" s="5645"/>
      <c r="AG52" s="5646"/>
      <c r="AH52" s="5645"/>
      <c r="AI52" s="5646"/>
      <c r="AJ52" s="5645"/>
      <c r="AK52" s="5646"/>
      <c r="AL52" s="5645"/>
      <c r="AM52" s="5646"/>
      <c r="AN52" s="7945"/>
      <c r="AO52" s="7946"/>
      <c r="AP52" s="5645"/>
      <c r="AQ52" s="5646"/>
      <c r="AR52" s="5645"/>
      <c r="AS52" s="5646"/>
      <c r="AT52" s="5645"/>
      <c r="AU52" s="5646"/>
      <c r="AV52" s="5645"/>
      <c r="AW52" s="5646"/>
      <c r="AX52" s="5645"/>
      <c r="AY52" s="5646"/>
      <c r="AZ52" s="5645"/>
      <c r="BA52" s="5646"/>
      <c r="BB52" s="5645"/>
      <c r="BC52" s="5646"/>
      <c r="BD52" s="5645"/>
      <c r="BE52" s="5646"/>
    </row>
    <row r="53" spans="1:57" ht="20" customHeight="1" x14ac:dyDescent="0.2">
      <c r="A53" t="s">
        <v>1024</v>
      </c>
      <c r="B53" s="4872" t="s">
        <v>288</v>
      </c>
      <c r="C53" s="3996" t="s">
        <v>170</v>
      </c>
      <c r="D53" s="4038">
        <f>+D68*D$5/1000</f>
        <v>129.292</v>
      </c>
      <c r="E53" s="4439">
        <v>131</v>
      </c>
      <c r="F53" s="5481">
        <f>+F68*F$5/1000</f>
        <v>103</v>
      </c>
      <c r="G53" s="4439">
        <v>103</v>
      </c>
      <c r="H53" s="5478">
        <f>+D53+F53</f>
        <v>232.292</v>
      </c>
      <c r="I53" s="4844">
        <f>+E53+G53</f>
        <v>234</v>
      </c>
      <c r="J53" s="5779">
        <f>+J68*J$5/1000</f>
        <v>291.50460000000004</v>
      </c>
      <c r="K53" s="4439">
        <v>157.96</v>
      </c>
      <c r="L53" s="4039">
        <f>+H53+J53</f>
        <v>523.79660000000001</v>
      </c>
      <c r="M53" s="4879">
        <f>+I53+K53</f>
        <v>391.96000000000004</v>
      </c>
      <c r="N53" s="6043">
        <f>+N68*N$5/1000</f>
        <v>398.24460000000005</v>
      </c>
      <c r="O53" s="4865">
        <v>260</v>
      </c>
      <c r="P53" s="5478">
        <f>+L53+N53</f>
        <v>922.04120000000012</v>
      </c>
      <c r="Q53" s="4844">
        <f>+M53+O53</f>
        <v>651.96</v>
      </c>
      <c r="R53" s="6419">
        <f>+R68*R$5/1000</f>
        <v>395.92440000000005</v>
      </c>
      <c r="S53" s="4865">
        <v>232</v>
      </c>
      <c r="T53" s="5478">
        <f>+P53+R53</f>
        <v>1317.9656000000002</v>
      </c>
      <c r="U53" s="4844">
        <f>+Q53+S53</f>
        <v>883.96</v>
      </c>
      <c r="V53" s="6857">
        <f>+V68*V$5/1000</f>
        <v>390.71340000000004</v>
      </c>
      <c r="W53" s="4865">
        <v>144</v>
      </c>
      <c r="X53" s="7017">
        <f t="shared" ref="X53:X66" si="145">+V53+R53+N53</f>
        <v>1184.8824000000002</v>
      </c>
      <c r="Y53" s="6140">
        <f t="shared" ref="Y53:Y66" si="146">+W53+S53+O53</f>
        <v>636</v>
      </c>
      <c r="Z53" s="6969">
        <f>+T53+V53</f>
        <v>1708.6790000000003</v>
      </c>
      <c r="AA53" s="6970">
        <f>+U53+W53</f>
        <v>1027.96</v>
      </c>
      <c r="AB53" s="7332">
        <f>+AB68*AB$5/1000</f>
        <v>205.47900000000001</v>
      </c>
      <c r="AC53" s="4865">
        <v>131</v>
      </c>
      <c r="AD53" s="5478">
        <f>+Z53+AB53</f>
        <v>1914.1580000000004</v>
      </c>
      <c r="AE53" s="4844">
        <f>+AA53+AC53</f>
        <v>1158.96</v>
      </c>
      <c r="AF53" s="7601">
        <f>+AF68*AF$5/1000</f>
        <v>388.71899999999999</v>
      </c>
      <c r="AG53" s="4865">
        <v>261</v>
      </c>
      <c r="AH53" s="5478">
        <f>+AD53+AF53</f>
        <v>2302.8770000000004</v>
      </c>
      <c r="AI53" s="4844">
        <f>+AE53+AG53</f>
        <v>1419.96</v>
      </c>
      <c r="AJ53" s="7752">
        <f>+AJ68*AJ$5/1000</f>
        <v>407.86200000000002</v>
      </c>
      <c r="AK53" s="4865">
        <v>307</v>
      </c>
      <c r="AL53" s="7754">
        <f t="shared" ref="AL53:AL54" si="147">+AJ53+AF53+AB53</f>
        <v>1002.0600000000001</v>
      </c>
      <c r="AM53" s="6140">
        <f t="shared" ref="AM53:AM54" si="148">+AK53+AG53+AC53</f>
        <v>699</v>
      </c>
      <c r="AN53" s="5478">
        <f>+AH53+AJ53</f>
        <v>2710.7390000000005</v>
      </c>
      <c r="AO53" s="4844">
        <f>+AI53+AK53</f>
        <v>1726.96</v>
      </c>
      <c r="AP53" s="8085">
        <f>+AP68*AP$5/1000</f>
        <v>401.32350000000002</v>
      </c>
      <c r="AQ53" s="4865">
        <v>255</v>
      </c>
      <c r="AR53" s="5478">
        <f>+AN53+AP53</f>
        <v>3112.0625000000005</v>
      </c>
      <c r="AS53" s="4844">
        <f>+AO53+AQ53</f>
        <v>1981.96</v>
      </c>
      <c r="AT53" s="8161">
        <f>+AT68*AT$5/1000</f>
        <v>370.94040000000001</v>
      </c>
      <c r="AU53" s="4865">
        <v>358</v>
      </c>
      <c r="AV53" s="5478">
        <f>+AR53+AT53</f>
        <v>3483.0029000000004</v>
      </c>
      <c r="AW53" s="4844">
        <f>+AS53+AU53</f>
        <v>2339.96</v>
      </c>
      <c r="AX53" s="8287">
        <f>+AX68*AX$5/1000</f>
        <v>409.7124</v>
      </c>
      <c r="AY53" s="4865">
        <v>364</v>
      </c>
      <c r="AZ53" s="8297">
        <f t="shared" ref="AZ53:AZ54" si="149">+AX53+AT53+AP53</f>
        <v>1181.9763</v>
      </c>
      <c r="BA53" s="6140">
        <f t="shared" ref="BA53:BA54" si="150">+AY53+AU53+AQ53</f>
        <v>977</v>
      </c>
      <c r="BB53" s="8297">
        <f>+AZ53+AL53</f>
        <v>2184.0363000000002</v>
      </c>
      <c r="BC53" s="6140">
        <f>+BA53+AM53</f>
        <v>1676</v>
      </c>
      <c r="BD53" s="6969">
        <f>+AV53+AX53</f>
        <v>3892.7153000000003</v>
      </c>
      <c r="BE53" s="6970">
        <f>+AW53+AY53</f>
        <v>2703.96</v>
      </c>
    </row>
    <row r="54" spans="1:57" s="7468" customFormat="1" ht="20" customHeight="1" x14ac:dyDescent="0.2">
      <c r="B54" s="4872" t="s">
        <v>2223</v>
      </c>
      <c r="C54" s="3996" t="s">
        <v>170</v>
      </c>
      <c r="D54" s="7469">
        <v>0</v>
      </c>
      <c r="E54" s="4439">
        <v>0</v>
      </c>
      <c r="F54" s="7469">
        <v>0</v>
      </c>
      <c r="G54" s="4439">
        <v>0</v>
      </c>
      <c r="H54" s="5478">
        <f>+D54+F54</f>
        <v>0</v>
      </c>
      <c r="I54" s="4844">
        <f>+E54+G54</f>
        <v>0</v>
      </c>
      <c r="J54" s="7469">
        <v>0</v>
      </c>
      <c r="K54" s="4439">
        <v>0</v>
      </c>
      <c r="L54" s="4039">
        <f>+H54+J54</f>
        <v>0</v>
      </c>
      <c r="M54" s="4879">
        <f>+I54+K54</f>
        <v>0</v>
      </c>
      <c r="N54" s="7469">
        <v>0</v>
      </c>
      <c r="O54" s="4439">
        <v>0</v>
      </c>
      <c r="P54" s="5478">
        <f>+L54+N54</f>
        <v>0</v>
      </c>
      <c r="Q54" s="4844">
        <f>+M54+O54</f>
        <v>0</v>
      </c>
      <c r="R54" s="7469">
        <v>0</v>
      </c>
      <c r="S54" s="4439">
        <v>65</v>
      </c>
      <c r="T54" s="5478">
        <f>+P54+R54</f>
        <v>0</v>
      </c>
      <c r="U54" s="4844">
        <f>+Q54+S54</f>
        <v>65</v>
      </c>
      <c r="V54" s="7469">
        <v>0</v>
      </c>
      <c r="W54" s="4439">
        <v>31</v>
      </c>
      <c r="X54" s="7473">
        <f t="shared" ref="X54" si="151">+V54+R54+N54</f>
        <v>0</v>
      </c>
      <c r="Y54" s="6140">
        <f t="shared" ref="Y54" si="152">+W54+S54+O54</f>
        <v>96</v>
      </c>
      <c r="Z54" s="6969">
        <f>+T54+V54</f>
        <v>0</v>
      </c>
      <c r="AA54" s="6970">
        <f>+U54+W54</f>
        <v>96</v>
      </c>
      <c r="AB54" s="7469">
        <v>0</v>
      </c>
      <c r="AC54" s="4439">
        <v>39</v>
      </c>
      <c r="AD54" s="5478">
        <f>+Z54+AB54</f>
        <v>0</v>
      </c>
      <c r="AE54" s="4844">
        <f>+AA54+AC54</f>
        <v>135</v>
      </c>
      <c r="AF54" s="7601">
        <v>0</v>
      </c>
      <c r="AG54" s="4439">
        <v>116.6</v>
      </c>
      <c r="AH54" s="5478">
        <f>+AD54+AF54</f>
        <v>0</v>
      </c>
      <c r="AI54" s="4844">
        <f>+AE54+AG54</f>
        <v>251.6</v>
      </c>
      <c r="AJ54" s="7752"/>
      <c r="AK54" s="4439">
        <v>73</v>
      </c>
      <c r="AL54" s="7754">
        <f t="shared" si="147"/>
        <v>0</v>
      </c>
      <c r="AM54" s="6140">
        <f t="shared" si="148"/>
        <v>228.6</v>
      </c>
      <c r="AN54" s="5478">
        <f>+AH54+AJ54</f>
        <v>0</v>
      </c>
      <c r="AO54" s="4844">
        <f>+AI54+AK54</f>
        <v>324.60000000000002</v>
      </c>
      <c r="AP54" s="8085"/>
      <c r="AQ54" s="4439">
        <v>85</v>
      </c>
      <c r="AR54" s="5478">
        <f>+AN54+AP54</f>
        <v>0</v>
      </c>
      <c r="AS54" s="4844">
        <f>+AO54+AQ54</f>
        <v>409.6</v>
      </c>
      <c r="AT54" s="8161"/>
      <c r="AU54" s="4439">
        <v>85</v>
      </c>
      <c r="AV54" s="5478">
        <f>+AR54+AT54</f>
        <v>0</v>
      </c>
      <c r="AW54" s="4844">
        <f>+AS54+AU54</f>
        <v>494.6</v>
      </c>
      <c r="AX54" s="8287"/>
      <c r="AY54" s="4439">
        <v>69</v>
      </c>
      <c r="AZ54" s="8297">
        <f t="shared" si="149"/>
        <v>0</v>
      </c>
      <c r="BA54" s="6140">
        <f t="shared" si="150"/>
        <v>239</v>
      </c>
      <c r="BB54" s="8297">
        <f t="shared" ref="BB54:BC66" si="153">+AZ54+AL54</f>
        <v>0</v>
      </c>
      <c r="BC54" s="6140">
        <f t="shared" si="153"/>
        <v>467.6</v>
      </c>
      <c r="BD54" s="6969">
        <f>+AV54+AX54</f>
        <v>0</v>
      </c>
      <c r="BE54" s="6970">
        <f>+AW54+AY54</f>
        <v>563.6</v>
      </c>
    </row>
    <row r="55" spans="1:57" s="7468" customFormat="1" ht="20" customHeight="1" x14ac:dyDescent="0.2">
      <c r="B55" s="7484" t="s">
        <v>2336</v>
      </c>
      <c r="C55" s="7486" t="s">
        <v>170</v>
      </c>
      <c r="D55" s="7485">
        <f>SUM(D53:D54)</f>
        <v>129.292</v>
      </c>
      <c r="E55" s="7485">
        <f t="shared" ref="E55:AE55" si="154">SUM(E53:E54)</f>
        <v>131</v>
      </c>
      <c r="F55" s="7485">
        <f t="shared" si="154"/>
        <v>103</v>
      </c>
      <c r="G55" s="7485">
        <f t="shared" si="154"/>
        <v>103</v>
      </c>
      <c r="H55" s="7485">
        <f t="shared" si="154"/>
        <v>232.292</v>
      </c>
      <c r="I55" s="7485">
        <f t="shared" si="154"/>
        <v>234</v>
      </c>
      <c r="J55" s="7485">
        <f t="shared" si="154"/>
        <v>291.50460000000004</v>
      </c>
      <c r="K55" s="7485">
        <f t="shared" si="154"/>
        <v>157.96</v>
      </c>
      <c r="L55" s="7485">
        <f t="shared" si="154"/>
        <v>523.79660000000001</v>
      </c>
      <c r="M55" s="7485">
        <f t="shared" si="154"/>
        <v>391.96000000000004</v>
      </c>
      <c r="N55" s="7485">
        <f t="shared" si="154"/>
        <v>398.24460000000005</v>
      </c>
      <c r="O55" s="7485">
        <f t="shared" si="154"/>
        <v>260</v>
      </c>
      <c r="P55" s="7485">
        <f t="shared" si="154"/>
        <v>922.04120000000012</v>
      </c>
      <c r="Q55" s="7485">
        <f t="shared" si="154"/>
        <v>651.96</v>
      </c>
      <c r="R55" s="7485">
        <f t="shared" si="154"/>
        <v>395.92440000000005</v>
      </c>
      <c r="S55" s="7485">
        <f t="shared" si="154"/>
        <v>297</v>
      </c>
      <c r="T55" s="7485">
        <f t="shared" si="154"/>
        <v>1317.9656000000002</v>
      </c>
      <c r="U55" s="7485">
        <f t="shared" si="154"/>
        <v>948.96</v>
      </c>
      <c r="V55" s="7485">
        <f t="shared" si="154"/>
        <v>390.71340000000004</v>
      </c>
      <c r="W55" s="7485">
        <f t="shared" si="154"/>
        <v>175</v>
      </c>
      <c r="X55" s="7485">
        <f t="shared" si="154"/>
        <v>1184.8824000000002</v>
      </c>
      <c r="Y55" s="7485">
        <f t="shared" si="154"/>
        <v>732</v>
      </c>
      <c r="Z55" s="7485">
        <f t="shared" si="154"/>
        <v>1708.6790000000003</v>
      </c>
      <c r="AA55" s="7485">
        <f t="shared" si="154"/>
        <v>1123.96</v>
      </c>
      <c r="AB55" s="7485">
        <f t="shared" si="154"/>
        <v>205.47900000000001</v>
      </c>
      <c r="AC55" s="7485">
        <f t="shared" si="154"/>
        <v>170</v>
      </c>
      <c r="AD55" s="7485">
        <f t="shared" si="154"/>
        <v>1914.1580000000004</v>
      </c>
      <c r="AE55" s="7485">
        <f t="shared" si="154"/>
        <v>1293.96</v>
      </c>
      <c r="AF55" s="7485">
        <f t="shared" ref="AF55:AO55" si="155">SUM(AF53:AF54)</f>
        <v>388.71899999999999</v>
      </c>
      <c r="AG55" s="7485">
        <f t="shared" si="155"/>
        <v>377.6</v>
      </c>
      <c r="AH55" s="7485">
        <f t="shared" si="155"/>
        <v>2302.8770000000004</v>
      </c>
      <c r="AI55" s="7485">
        <f t="shared" si="155"/>
        <v>1671.56</v>
      </c>
      <c r="AJ55" s="7485">
        <f t="shared" si="155"/>
        <v>407.86200000000002</v>
      </c>
      <c r="AK55" s="7485">
        <f t="shared" si="155"/>
        <v>380</v>
      </c>
      <c r="AL55" s="7485">
        <f t="shared" si="155"/>
        <v>1002.0600000000001</v>
      </c>
      <c r="AM55" s="7485">
        <f t="shared" si="155"/>
        <v>927.6</v>
      </c>
      <c r="AN55" s="7947">
        <f t="shared" si="155"/>
        <v>2710.7390000000005</v>
      </c>
      <c r="AO55" s="7947">
        <f t="shared" si="155"/>
        <v>2051.56</v>
      </c>
      <c r="AP55" s="7485">
        <f t="shared" ref="AP55:AS55" si="156">SUM(AP53:AP54)</f>
        <v>401.32350000000002</v>
      </c>
      <c r="AQ55" s="7485">
        <f t="shared" si="156"/>
        <v>340</v>
      </c>
      <c r="AR55" s="7485">
        <f t="shared" si="156"/>
        <v>3112.0625000000005</v>
      </c>
      <c r="AS55" s="7485">
        <f t="shared" si="156"/>
        <v>2391.56</v>
      </c>
      <c r="AT55" s="7485">
        <f t="shared" ref="AT55:AW55" si="157">SUM(AT53:AT54)</f>
        <v>370.94040000000001</v>
      </c>
      <c r="AU55" s="7485">
        <f t="shared" si="157"/>
        <v>443</v>
      </c>
      <c r="AV55" s="7485">
        <f t="shared" si="157"/>
        <v>3483.0029000000004</v>
      </c>
      <c r="AW55" s="7485">
        <f t="shared" si="157"/>
        <v>2834.56</v>
      </c>
      <c r="AX55" s="7485">
        <f t="shared" ref="AX55:BE55" si="158">SUM(AX53:AX54)</f>
        <v>409.7124</v>
      </c>
      <c r="AY55" s="7485">
        <f t="shared" si="158"/>
        <v>433</v>
      </c>
      <c r="AZ55" s="7485">
        <f t="shared" si="158"/>
        <v>1181.9763</v>
      </c>
      <c r="BA55" s="7485">
        <f t="shared" si="158"/>
        <v>1216</v>
      </c>
      <c r="BB55" s="7485">
        <f t="shared" si="153"/>
        <v>2184.0363000000002</v>
      </c>
      <c r="BC55" s="6140">
        <f t="shared" si="153"/>
        <v>2143.6</v>
      </c>
      <c r="BD55" s="7485">
        <f t="shared" si="158"/>
        <v>3892.7153000000003</v>
      </c>
      <c r="BE55" s="7485">
        <f t="shared" si="158"/>
        <v>3267.56</v>
      </c>
    </row>
    <row r="56" spans="1:57" ht="20" customHeight="1" x14ac:dyDescent="0.2">
      <c r="A56" t="s">
        <v>1024</v>
      </c>
      <c r="B56" s="4872" t="s">
        <v>289</v>
      </c>
      <c r="C56" s="3996" t="s">
        <v>170</v>
      </c>
      <c r="D56" s="4038">
        <f>+D71*D$5/1000</f>
        <v>2172.1055999999999</v>
      </c>
      <c r="E56" s="4439">
        <v>2173</v>
      </c>
      <c r="F56" s="5481">
        <f>+F71*F$5/1000</f>
        <v>2322</v>
      </c>
      <c r="G56" s="4439">
        <v>2322</v>
      </c>
      <c r="H56" s="5478">
        <f t="shared" ref="H56:H66" si="159">+D56+F56</f>
        <v>4494.1055999999999</v>
      </c>
      <c r="I56" s="4844">
        <f t="shared" ref="I56:I66" si="160">+E56+G56</f>
        <v>4495</v>
      </c>
      <c r="J56" s="5779">
        <f>+J71*J$5/1000</f>
        <v>2591.152</v>
      </c>
      <c r="K56" s="4439">
        <v>2499</v>
      </c>
      <c r="L56" s="4039">
        <f t="shared" ref="L56:L66" si="161">+H56+J56</f>
        <v>7085.2575999999999</v>
      </c>
      <c r="M56" s="4879">
        <f t="shared" ref="M56:M66" si="162">+I56+K56</f>
        <v>6994</v>
      </c>
      <c r="N56" s="6043">
        <f>+N71*N$5/1000</f>
        <v>3539.9520000000002</v>
      </c>
      <c r="O56" s="4865">
        <v>2600</v>
      </c>
      <c r="P56" s="5478">
        <f t="shared" ref="P56:P66" si="163">+L56+N56</f>
        <v>10625.2096</v>
      </c>
      <c r="Q56" s="4844">
        <f t="shared" ref="Q56:Q66" si="164">+M56+O56</f>
        <v>9594</v>
      </c>
      <c r="R56" s="6419">
        <f>+R71*R$5/1000</f>
        <v>3519.328</v>
      </c>
      <c r="S56" s="4865">
        <v>2786</v>
      </c>
      <c r="T56" s="5478">
        <f t="shared" ref="T56:T66" si="165">+P56+R56</f>
        <v>14144.5376</v>
      </c>
      <c r="U56" s="4844">
        <f t="shared" ref="U56:U66" si="166">+Q56+S56</f>
        <v>12380</v>
      </c>
      <c r="V56" s="6857">
        <f>+V71*V$5/1000</f>
        <v>3473.0079999999998</v>
      </c>
      <c r="W56" s="4865">
        <v>1322</v>
      </c>
      <c r="X56" s="7017">
        <f t="shared" si="145"/>
        <v>10532.288</v>
      </c>
      <c r="Y56" s="6140">
        <f t="shared" si="146"/>
        <v>6708</v>
      </c>
      <c r="Z56" s="6969">
        <f t="shared" ref="Z56:Z66" si="167">+T56+V56</f>
        <v>17617.545599999998</v>
      </c>
      <c r="AA56" s="6970">
        <f t="shared" ref="AA56:AA66" si="168">+U56+W56</f>
        <v>13702</v>
      </c>
      <c r="AB56" s="7332">
        <f>+AB71*AB$5/1000</f>
        <v>1826.48</v>
      </c>
      <c r="AC56" s="4865">
        <v>1605</v>
      </c>
      <c r="AD56" s="5478">
        <f t="shared" ref="AD56:AD66" si="169">+Z56+AB56</f>
        <v>19444.025599999997</v>
      </c>
      <c r="AE56" s="4844">
        <f t="shared" ref="AE56:AE66" si="170">+AA56+AC56</f>
        <v>15307</v>
      </c>
      <c r="AF56" s="7601">
        <f>+AF71*AF$5/1000</f>
        <v>3455.28</v>
      </c>
      <c r="AG56" s="4865">
        <v>2221</v>
      </c>
      <c r="AH56" s="5478">
        <f t="shared" ref="AH56:AH66" si="171">+AD56+AF56</f>
        <v>22899.305599999996</v>
      </c>
      <c r="AI56" s="4844">
        <f t="shared" ref="AI56:AI66" si="172">+AE56+AG56</f>
        <v>17528</v>
      </c>
      <c r="AJ56" s="7752">
        <f>+AJ71*AJ$5/1000</f>
        <v>3625.44</v>
      </c>
      <c r="AK56" s="4865">
        <v>2769</v>
      </c>
      <c r="AL56" s="7754">
        <f t="shared" ref="AL56:AL66" si="173">+AJ56+AF56+AB56</f>
        <v>8907.2000000000007</v>
      </c>
      <c r="AM56" s="6140">
        <f t="shared" ref="AM56:AM66" si="174">+AK56+AG56+AC56</f>
        <v>6595</v>
      </c>
      <c r="AN56" s="5478">
        <f t="shared" ref="AN56:AN66" si="175">+AH56+AJ56</f>
        <v>26524.745599999995</v>
      </c>
      <c r="AO56" s="4844">
        <f t="shared" ref="AO56:AO66" si="176">+AI56+AK56</f>
        <v>20297</v>
      </c>
      <c r="AP56" s="8085">
        <f>+AP71*AP$5/1000</f>
        <v>3567.32</v>
      </c>
      <c r="AQ56" s="4865">
        <v>3382</v>
      </c>
      <c r="AR56" s="5478">
        <f t="shared" ref="AR56:AR66" si="177">+AN56+AP56</f>
        <v>30092.065599999994</v>
      </c>
      <c r="AS56" s="4844">
        <f t="shared" ref="AS56:AS66" si="178">+AO56+AQ56</f>
        <v>23679</v>
      </c>
      <c r="AT56" s="8161">
        <f>+AT71*AT$5/1000</f>
        <v>3297.248</v>
      </c>
      <c r="AU56" s="4865">
        <v>3112</v>
      </c>
      <c r="AV56" s="5478">
        <f t="shared" ref="AV56:AV66" si="179">+AR56+AT56</f>
        <v>33389.313599999994</v>
      </c>
      <c r="AW56" s="4844">
        <f t="shared" ref="AW56:AW66" si="180">+AS56+AU56</f>
        <v>26791</v>
      </c>
      <c r="AX56" s="8287">
        <f>+AX71*AX$5/1000</f>
        <v>3641.8879999999999</v>
      </c>
      <c r="AY56" s="4865">
        <v>3115</v>
      </c>
      <c r="AZ56" s="8297">
        <f t="shared" ref="AZ56:AZ66" si="181">+AX56+AT56+AP56</f>
        <v>10506.456</v>
      </c>
      <c r="BA56" s="6140">
        <f t="shared" ref="BA56:BA66" si="182">+AY56+AU56+AQ56</f>
        <v>9609</v>
      </c>
      <c r="BB56" s="8297">
        <f t="shared" si="153"/>
        <v>19413.656000000003</v>
      </c>
      <c r="BC56" s="6140">
        <f t="shared" si="153"/>
        <v>16204</v>
      </c>
      <c r="BD56" s="6969">
        <f t="shared" ref="BD56:BD66" si="183">+AV56+AX56</f>
        <v>37031.201599999993</v>
      </c>
      <c r="BE56" s="6970">
        <f t="shared" ref="BE56:BE66" si="184">+AW56+AY56</f>
        <v>29906</v>
      </c>
    </row>
    <row r="57" spans="1:57" ht="20" customHeight="1" x14ac:dyDescent="0.2">
      <c r="A57" t="s">
        <v>1024</v>
      </c>
      <c r="B57" s="4872" t="s">
        <v>290</v>
      </c>
      <c r="C57" s="3996" t="s">
        <v>170</v>
      </c>
      <c r="D57" s="4038">
        <f>+D72*D$5/1000</f>
        <v>361</v>
      </c>
      <c r="E57" s="4439">
        <v>361</v>
      </c>
      <c r="F57" s="5481">
        <f>+F72*F$5/1000</f>
        <v>306.99999999999994</v>
      </c>
      <c r="G57" s="4439">
        <v>307</v>
      </c>
      <c r="H57" s="5478">
        <f t="shared" si="159"/>
        <v>668</v>
      </c>
      <c r="I57" s="4844">
        <f t="shared" si="160"/>
        <v>668</v>
      </c>
      <c r="J57" s="5779">
        <f>+J72*J$5/1000</f>
        <v>518.23040000000003</v>
      </c>
      <c r="K57" s="4439">
        <v>343</v>
      </c>
      <c r="L57" s="4039">
        <f t="shared" si="161"/>
        <v>1186.2303999999999</v>
      </c>
      <c r="M57" s="4879">
        <f t="shared" si="162"/>
        <v>1011</v>
      </c>
      <c r="N57" s="6043">
        <f>+N72*N$5/1000</f>
        <v>707.99040000000002</v>
      </c>
      <c r="O57" s="4865">
        <v>395</v>
      </c>
      <c r="P57" s="5478">
        <f t="shared" si="163"/>
        <v>1894.2208000000001</v>
      </c>
      <c r="Q57" s="4844">
        <f t="shared" si="164"/>
        <v>1406</v>
      </c>
      <c r="R57" s="6419">
        <f>+R72*R$5/1000</f>
        <v>703.86560000000009</v>
      </c>
      <c r="S57" s="4865">
        <v>439</v>
      </c>
      <c r="T57" s="5478">
        <f t="shared" si="165"/>
        <v>2598.0864000000001</v>
      </c>
      <c r="U57" s="4844">
        <f t="shared" si="166"/>
        <v>1845</v>
      </c>
      <c r="V57" s="6857">
        <f>+V72*V$5/1000</f>
        <v>694.60160000000008</v>
      </c>
      <c r="W57" s="4865">
        <v>207</v>
      </c>
      <c r="X57" s="7017">
        <f t="shared" si="145"/>
        <v>2106.4576000000002</v>
      </c>
      <c r="Y57" s="6140">
        <f t="shared" si="146"/>
        <v>1041</v>
      </c>
      <c r="Z57" s="6969">
        <f t="shared" si="167"/>
        <v>3292.6880000000001</v>
      </c>
      <c r="AA57" s="6970">
        <f t="shared" si="168"/>
        <v>2052</v>
      </c>
      <c r="AB57" s="7332">
        <f>+AB72*AB$5/1000</f>
        <v>365.29599999999999</v>
      </c>
      <c r="AC57" s="4865">
        <v>233</v>
      </c>
      <c r="AD57" s="5478">
        <f t="shared" si="169"/>
        <v>3657.9839999999999</v>
      </c>
      <c r="AE57" s="4844">
        <f t="shared" si="170"/>
        <v>2285</v>
      </c>
      <c r="AF57" s="7601">
        <f>+AF72*AF$5/1000</f>
        <v>691.05600000000004</v>
      </c>
      <c r="AG57" s="4865">
        <v>263</v>
      </c>
      <c r="AH57" s="5478">
        <f t="shared" si="171"/>
        <v>4349.04</v>
      </c>
      <c r="AI57" s="4844">
        <f t="shared" si="172"/>
        <v>2548</v>
      </c>
      <c r="AJ57" s="7752">
        <f>+AJ72*AJ$5/1000</f>
        <v>725.08799999999997</v>
      </c>
      <c r="AK57" s="4865">
        <v>267</v>
      </c>
      <c r="AL57" s="7754">
        <f t="shared" si="173"/>
        <v>1781.44</v>
      </c>
      <c r="AM57" s="6140">
        <f t="shared" si="174"/>
        <v>763</v>
      </c>
      <c r="AN57" s="5478">
        <f t="shared" si="175"/>
        <v>5074.1279999999997</v>
      </c>
      <c r="AO57" s="4844">
        <f t="shared" si="176"/>
        <v>2815</v>
      </c>
      <c r="AP57" s="8085">
        <f>+AP72*AP$5/1000</f>
        <v>713.46400000000006</v>
      </c>
      <c r="AQ57" s="4865">
        <v>408</v>
      </c>
      <c r="AR57" s="5478">
        <f t="shared" si="177"/>
        <v>5787.5919999999996</v>
      </c>
      <c r="AS57" s="4844">
        <f t="shared" si="178"/>
        <v>3223</v>
      </c>
      <c r="AT57" s="8161">
        <f>+AT72*AT$5/1000</f>
        <v>659.44960000000015</v>
      </c>
      <c r="AU57" s="4865">
        <v>377</v>
      </c>
      <c r="AV57" s="5478">
        <f t="shared" si="179"/>
        <v>6447.0415999999996</v>
      </c>
      <c r="AW57" s="4844">
        <f t="shared" si="180"/>
        <v>3600</v>
      </c>
      <c r="AX57" s="8287">
        <f>+AX72*AX$5/1000</f>
        <v>728.37760000000014</v>
      </c>
      <c r="AY57" s="4865">
        <v>568</v>
      </c>
      <c r="AZ57" s="8297">
        <f t="shared" si="181"/>
        <v>2101.2912000000001</v>
      </c>
      <c r="BA57" s="6140">
        <f t="shared" si="182"/>
        <v>1353</v>
      </c>
      <c r="BB57" s="8297">
        <f t="shared" si="153"/>
        <v>3882.7312000000002</v>
      </c>
      <c r="BC57" s="6140">
        <f t="shared" si="153"/>
        <v>2116</v>
      </c>
      <c r="BD57" s="6969">
        <f t="shared" si="183"/>
        <v>7175.4191999999994</v>
      </c>
      <c r="BE57" s="6970">
        <f t="shared" si="184"/>
        <v>4168</v>
      </c>
    </row>
    <row r="58" spans="1:57" ht="20" hidden="1" customHeight="1" x14ac:dyDescent="0.2">
      <c r="A58" t="s">
        <v>1024</v>
      </c>
      <c r="B58" s="4872" t="s">
        <v>550</v>
      </c>
      <c r="C58" s="3996" t="s">
        <v>170</v>
      </c>
      <c r="D58" s="4040">
        <v>0</v>
      </c>
      <c r="E58" s="4439">
        <v>0</v>
      </c>
      <c r="F58" s="4040">
        <v>0</v>
      </c>
      <c r="G58" s="4439">
        <v>0</v>
      </c>
      <c r="H58" s="5626">
        <f t="shared" si="159"/>
        <v>0</v>
      </c>
      <c r="I58" s="4844">
        <f t="shared" si="160"/>
        <v>0</v>
      </c>
      <c r="J58" s="4040">
        <v>0</v>
      </c>
      <c r="K58" s="4439">
        <v>0</v>
      </c>
      <c r="L58" s="6145">
        <f t="shared" si="161"/>
        <v>0</v>
      </c>
      <c r="M58" s="4879">
        <f t="shared" si="162"/>
        <v>0</v>
      </c>
      <c r="N58" s="4040">
        <v>0</v>
      </c>
      <c r="O58" s="4865">
        <v>0</v>
      </c>
      <c r="P58" s="5626">
        <f t="shared" si="163"/>
        <v>0</v>
      </c>
      <c r="Q58" s="4844">
        <f t="shared" si="164"/>
        <v>0</v>
      </c>
      <c r="R58" s="4040">
        <v>0</v>
      </c>
      <c r="S58" s="4865">
        <v>0</v>
      </c>
      <c r="T58" s="5626">
        <f t="shared" si="165"/>
        <v>0</v>
      </c>
      <c r="U58" s="4844">
        <f t="shared" si="166"/>
        <v>0</v>
      </c>
      <c r="V58" s="4040">
        <v>0</v>
      </c>
      <c r="W58" s="4865">
        <v>0</v>
      </c>
      <c r="X58" s="7017">
        <f t="shared" si="145"/>
        <v>0</v>
      </c>
      <c r="Y58" s="6140">
        <f t="shared" si="146"/>
        <v>0</v>
      </c>
      <c r="Z58" s="6971">
        <f t="shared" si="167"/>
        <v>0</v>
      </c>
      <c r="AA58" s="6970">
        <f t="shared" si="168"/>
        <v>0</v>
      </c>
      <c r="AB58" s="4040">
        <v>0</v>
      </c>
      <c r="AC58" s="4865">
        <v>0</v>
      </c>
      <c r="AD58" s="5626">
        <f t="shared" si="169"/>
        <v>0</v>
      </c>
      <c r="AE58" s="4844">
        <f t="shared" si="170"/>
        <v>0</v>
      </c>
      <c r="AF58" s="4040">
        <v>0</v>
      </c>
      <c r="AG58" s="4865">
        <v>0</v>
      </c>
      <c r="AH58" s="5626">
        <f t="shared" si="171"/>
        <v>0</v>
      </c>
      <c r="AI58" s="4844">
        <f t="shared" si="172"/>
        <v>0</v>
      </c>
      <c r="AJ58" s="4040">
        <v>0</v>
      </c>
      <c r="AK58" s="4865">
        <v>0</v>
      </c>
      <c r="AL58" s="7754">
        <f t="shared" si="173"/>
        <v>0</v>
      </c>
      <c r="AM58" s="6140">
        <f t="shared" si="174"/>
        <v>0</v>
      </c>
      <c r="AN58" s="5626">
        <f t="shared" si="175"/>
        <v>0</v>
      </c>
      <c r="AO58" s="4844">
        <f t="shared" si="176"/>
        <v>0</v>
      </c>
      <c r="AP58" s="4040">
        <v>0</v>
      </c>
      <c r="AQ58" s="4865">
        <v>0</v>
      </c>
      <c r="AR58" s="5626">
        <f t="shared" si="177"/>
        <v>0</v>
      </c>
      <c r="AS58" s="4844">
        <f t="shared" si="178"/>
        <v>0</v>
      </c>
      <c r="AT58" s="4040">
        <v>0</v>
      </c>
      <c r="AU58" s="4865"/>
      <c r="AV58" s="5626">
        <f t="shared" si="179"/>
        <v>0</v>
      </c>
      <c r="AW58" s="4844">
        <f t="shared" si="180"/>
        <v>0</v>
      </c>
      <c r="AX58" s="4040">
        <v>0</v>
      </c>
      <c r="AY58" s="4865"/>
      <c r="AZ58" s="8297">
        <f t="shared" si="181"/>
        <v>0</v>
      </c>
      <c r="BA58" s="6140">
        <f t="shared" si="182"/>
        <v>0</v>
      </c>
      <c r="BB58" s="8297">
        <f t="shared" si="153"/>
        <v>0</v>
      </c>
      <c r="BC58" s="6140">
        <f t="shared" si="153"/>
        <v>0</v>
      </c>
      <c r="BD58" s="6971">
        <f t="shared" si="183"/>
        <v>0</v>
      </c>
      <c r="BE58" s="6970">
        <f t="shared" si="184"/>
        <v>0</v>
      </c>
    </row>
    <row r="59" spans="1:57" ht="20" customHeight="1" x14ac:dyDescent="0.2">
      <c r="A59" t="s">
        <v>1024</v>
      </c>
      <c r="B59" s="4872" t="s">
        <v>291</v>
      </c>
      <c r="C59" s="3996" t="s">
        <v>170</v>
      </c>
      <c r="D59" s="4038">
        <f t="shared" ref="D59:D66" si="185">+D74*D$5/1000</f>
        <v>206.86720000000003</v>
      </c>
      <c r="E59" s="4439">
        <v>206</v>
      </c>
      <c r="F59" s="5481">
        <f t="shared" ref="F59:F66" si="186">+F74*F$5/1000</f>
        <v>185.00000000000003</v>
      </c>
      <c r="G59" s="4439">
        <v>185</v>
      </c>
      <c r="H59" s="5478">
        <f t="shared" si="159"/>
        <v>391.86720000000003</v>
      </c>
      <c r="I59" s="4844">
        <f t="shared" si="160"/>
        <v>391</v>
      </c>
      <c r="J59" s="5779">
        <f t="shared" ref="J59:J66" si="187">+J74*J$5/1000</f>
        <v>323.89400000000001</v>
      </c>
      <c r="K59" s="4439">
        <v>213.5</v>
      </c>
      <c r="L59" s="4039">
        <f t="shared" si="161"/>
        <v>715.76120000000003</v>
      </c>
      <c r="M59" s="4879">
        <f t="shared" si="162"/>
        <v>604.5</v>
      </c>
      <c r="N59" s="6043">
        <f t="shared" ref="N59:N66" si="188">+N74*N$5/1000</f>
        <v>442.49400000000003</v>
      </c>
      <c r="O59" s="4865">
        <v>219</v>
      </c>
      <c r="P59" s="5478">
        <f t="shared" si="163"/>
        <v>1158.2552000000001</v>
      </c>
      <c r="Q59" s="4844">
        <f t="shared" si="164"/>
        <v>823.5</v>
      </c>
      <c r="R59" s="6419">
        <f t="shared" ref="R59:R66" si="189">+R74*R$5/1000</f>
        <v>439.916</v>
      </c>
      <c r="S59" s="4865">
        <v>256</v>
      </c>
      <c r="T59" s="5478">
        <f t="shared" si="165"/>
        <v>1598.1712</v>
      </c>
      <c r="U59" s="4844">
        <f t="shared" si="166"/>
        <v>1079.5</v>
      </c>
      <c r="V59" s="6857">
        <f t="shared" ref="V59:V66" si="190">+V74*V$5/1000</f>
        <v>434.12599999999998</v>
      </c>
      <c r="W59" s="4865">
        <v>144</v>
      </c>
      <c r="X59" s="7017">
        <f t="shared" si="145"/>
        <v>1316.5360000000001</v>
      </c>
      <c r="Y59" s="6140">
        <f t="shared" si="146"/>
        <v>619</v>
      </c>
      <c r="Z59" s="6969">
        <f t="shared" si="167"/>
        <v>2032.2972</v>
      </c>
      <c r="AA59" s="6970">
        <f t="shared" si="168"/>
        <v>1223.5</v>
      </c>
      <c r="AB59" s="7332">
        <f t="shared" ref="AB59:AB66" si="191">+AB74*AB$5/1000</f>
        <v>228.31</v>
      </c>
      <c r="AC59" s="4865">
        <v>178</v>
      </c>
      <c r="AD59" s="5478">
        <f t="shared" si="169"/>
        <v>2260.6071999999999</v>
      </c>
      <c r="AE59" s="4844">
        <f t="shared" si="170"/>
        <v>1401.5</v>
      </c>
      <c r="AF59" s="7601">
        <f t="shared" ref="AF59:AF66" si="192">+AF74*AF$5/1000</f>
        <v>431.91</v>
      </c>
      <c r="AG59" s="4865">
        <v>164</v>
      </c>
      <c r="AH59" s="5478">
        <f t="shared" si="171"/>
        <v>2692.5171999999998</v>
      </c>
      <c r="AI59" s="4844">
        <f t="shared" si="172"/>
        <v>1565.5</v>
      </c>
      <c r="AJ59" s="7752">
        <f t="shared" ref="AJ59:AJ66" si="193">+AJ74*AJ$5/1000</f>
        <v>453.18</v>
      </c>
      <c r="AK59" s="4865">
        <v>228</v>
      </c>
      <c r="AL59" s="7754">
        <f t="shared" si="173"/>
        <v>1113.4000000000001</v>
      </c>
      <c r="AM59" s="6140">
        <f t="shared" si="174"/>
        <v>570</v>
      </c>
      <c r="AN59" s="5478">
        <f t="shared" si="175"/>
        <v>3145.6971999999996</v>
      </c>
      <c r="AO59" s="4844">
        <f t="shared" si="176"/>
        <v>1793.5</v>
      </c>
      <c r="AP59" s="8085">
        <f t="shared" ref="AP59:AP66" si="194">+AP74*AP$5/1000</f>
        <v>445.91500000000002</v>
      </c>
      <c r="AQ59" s="4865">
        <v>293</v>
      </c>
      <c r="AR59" s="5478">
        <f t="shared" si="177"/>
        <v>3591.6121999999996</v>
      </c>
      <c r="AS59" s="4844">
        <f t="shared" si="178"/>
        <v>2086.5</v>
      </c>
      <c r="AT59" s="8161">
        <f t="shared" ref="AT59:AT66" si="195">+AT74*AT$5/1000</f>
        <v>412.15600000000001</v>
      </c>
      <c r="AU59" s="4865">
        <v>277</v>
      </c>
      <c r="AV59" s="5478">
        <f t="shared" si="179"/>
        <v>4003.7681999999995</v>
      </c>
      <c r="AW59" s="4844">
        <f t="shared" si="180"/>
        <v>2363.5</v>
      </c>
      <c r="AX59" s="8287">
        <f t="shared" ref="AX59:AX66" si="196">+AX74*AX$5/1000</f>
        <v>455.23599999999999</v>
      </c>
      <c r="AY59" s="4865">
        <v>290</v>
      </c>
      <c r="AZ59" s="8297">
        <f t="shared" si="181"/>
        <v>1313.307</v>
      </c>
      <c r="BA59" s="6140">
        <f t="shared" si="182"/>
        <v>860</v>
      </c>
      <c r="BB59" s="8297">
        <f t="shared" si="153"/>
        <v>2426.7070000000003</v>
      </c>
      <c r="BC59" s="6140">
        <f t="shared" si="153"/>
        <v>1430</v>
      </c>
      <c r="BD59" s="6969">
        <f t="shared" si="183"/>
        <v>4459.0041999999994</v>
      </c>
      <c r="BE59" s="6970">
        <f t="shared" si="184"/>
        <v>2653.5</v>
      </c>
    </row>
    <row r="60" spans="1:57" ht="20" customHeight="1" x14ac:dyDescent="0.2">
      <c r="A60" t="s">
        <v>1024</v>
      </c>
      <c r="B60" s="4872" t="s">
        <v>2267</v>
      </c>
      <c r="C60" s="3996" t="s">
        <v>170</v>
      </c>
      <c r="D60" s="4038">
        <f t="shared" si="185"/>
        <v>79.674646495209259</v>
      </c>
      <c r="E60" s="4439">
        <v>48.8</v>
      </c>
      <c r="F60" s="5481">
        <f t="shared" si="186"/>
        <v>84.375121533030736</v>
      </c>
      <c r="G60" s="4439">
        <v>55.32</v>
      </c>
      <c r="H60" s="5478">
        <f t="shared" si="159"/>
        <v>164.04976802824001</v>
      </c>
      <c r="I60" s="4844">
        <f t="shared" si="160"/>
        <v>104.12</v>
      </c>
      <c r="J60" s="5779">
        <f t="shared" si="187"/>
        <v>50.797293998991421</v>
      </c>
      <c r="K60" s="4439">
        <v>67.58</v>
      </c>
      <c r="L60" s="4039">
        <f t="shared" si="161"/>
        <v>214.84706202723143</v>
      </c>
      <c r="M60" s="4879">
        <f t="shared" si="162"/>
        <v>171.7</v>
      </c>
      <c r="N60" s="6043">
        <f t="shared" si="188"/>
        <v>69.397697428139182</v>
      </c>
      <c r="O60" s="4865">
        <f>6+81</f>
        <v>87</v>
      </c>
      <c r="P60" s="5478">
        <f t="shared" si="163"/>
        <v>284.24475945537063</v>
      </c>
      <c r="Q60" s="4844">
        <f t="shared" si="164"/>
        <v>258.7</v>
      </c>
      <c r="R60" s="6419">
        <f t="shared" si="189"/>
        <v>68.993381744831055</v>
      </c>
      <c r="S60" s="4865">
        <f>92+9.6</f>
        <v>101.6</v>
      </c>
      <c r="T60" s="5478">
        <f t="shared" si="165"/>
        <v>353.23814120020165</v>
      </c>
      <c r="U60" s="4844">
        <f t="shared" si="166"/>
        <v>360.29999999999995</v>
      </c>
      <c r="V60" s="6857">
        <f t="shared" si="190"/>
        <v>68.08531820474029</v>
      </c>
      <c r="W60" s="4865">
        <f>46.31+6.273</f>
        <v>52.582999999999998</v>
      </c>
      <c r="X60" s="7017">
        <f t="shared" si="145"/>
        <v>206.4763973777105</v>
      </c>
      <c r="Y60" s="6140">
        <f t="shared" si="146"/>
        <v>241.18299999999999</v>
      </c>
      <c r="Z60" s="6969">
        <f t="shared" si="167"/>
        <v>421.32345940494196</v>
      </c>
      <c r="AA60" s="6970">
        <f t="shared" si="168"/>
        <v>412.88299999999992</v>
      </c>
      <c r="AB60" s="7332">
        <f t="shared" si="191"/>
        <v>35.806560766515382</v>
      </c>
      <c r="AC60" s="4865">
        <f>55.7+11.505</f>
        <v>67.204999999999998</v>
      </c>
      <c r="AD60" s="5478">
        <f t="shared" si="169"/>
        <v>457.13002017145732</v>
      </c>
      <c r="AE60" s="4844">
        <f t="shared" si="170"/>
        <v>480.08799999999991</v>
      </c>
      <c r="AF60" s="7601">
        <f t="shared" si="192"/>
        <v>67.162005000000008</v>
      </c>
      <c r="AG60" s="4865">
        <f>97.89+5.3</f>
        <v>103.19</v>
      </c>
      <c r="AH60" s="5478">
        <f t="shared" si="171"/>
        <v>524.29202517145734</v>
      </c>
      <c r="AI60" s="4844">
        <f t="shared" si="172"/>
        <v>583.27799999999991</v>
      </c>
      <c r="AJ60" s="7752">
        <f t="shared" si="193"/>
        <v>70.469490000000008</v>
      </c>
      <c r="AK60" s="4865">
        <f>96+7.47</f>
        <v>103.47</v>
      </c>
      <c r="AL60" s="7754">
        <f t="shared" si="173"/>
        <v>173.43805576651542</v>
      </c>
      <c r="AM60" s="6140">
        <f t="shared" si="174"/>
        <v>273.86500000000001</v>
      </c>
      <c r="AN60" s="5478">
        <f t="shared" si="175"/>
        <v>594.7615151714574</v>
      </c>
      <c r="AO60" s="4844">
        <f t="shared" si="176"/>
        <v>686.74799999999993</v>
      </c>
      <c r="AP60" s="8085">
        <f t="shared" si="194"/>
        <v>69.339782499999998</v>
      </c>
      <c r="AQ60" s="4865">
        <v>140.25</v>
      </c>
      <c r="AR60" s="5478">
        <f t="shared" si="177"/>
        <v>664.10129767145736</v>
      </c>
      <c r="AS60" s="4844">
        <f t="shared" si="178"/>
        <v>826.99799999999993</v>
      </c>
      <c r="AT60" s="8161">
        <f t="shared" si="195"/>
        <v>64.090258000000006</v>
      </c>
      <c r="AU60" s="4865">
        <v>109.26</v>
      </c>
      <c r="AV60" s="5478">
        <f t="shared" si="179"/>
        <v>728.19155567145731</v>
      </c>
      <c r="AW60" s="4844">
        <f t="shared" si="180"/>
        <v>936.25799999999992</v>
      </c>
      <c r="AX60" s="8287">
        <f t="shared" si="196"/>
        <v>70.789197999999999</v>
      </c>
      <c r="AY60" s="4865">
        <v>138.80000000000001</v>
      </c>
      <c r="AZ60" s="8297">
        <f t="shared" si="181"/>
        <v>204.21923850000002</v>
      </c>
      <c r="BA60" s="6140">
        <f t="shared" si="182"/>
        <v>388.31</v>
      </c>
      <c r="BB60" s="8297">
        <f t="shared" si="153"/>
        <v>377.65729426651546</v>
      </c>
      <c r="BC60" s="6140">
        <f t="shared" si="153"/>
        <v>662.17499999999995</v>
      </c>
      <c r="BD60" s="6969">
        <f t="shared" si="183"/>
        <v>798.98075367145725</v>
      </c>
      <c r="BE60" s="6970">
        <f t="shared" si="184"/>
        <v>1075.058</v>
      </c>
    </row>
    <row r="61" spans="1:57" ht="20" customHeight="1" x14ac:dyDescent="0.2">
      <c r="A61" t="s">
        <v>1024</v>
      </c>
      <c r="B61" s="4872" t="s">
        <v>539</v>
      </c>
      <c r="C61" s="3996" t="s">
        <v>170</v>
      </c>
      <c r="D61" s="4038">
        <f t="shared" si="185"/>
        <v>2650.4859999999999</v>
      </c>
      <c r="E61" s="4439">
        <v>2655</v>
      </c>
      <c r="F61" s="5481">
        <f t="shared" si="186"/>
        <v>3943.5</v>
      </c>
      <c r="G61" s="4439">
        <v>3943.5</v>
      </c>
      <c r="H61" s="5478">
        <f t="shared" si="159"/>
        <v>6593.9859999999999</v>
      </c>
      <c r="I61" s="4844">
        <f t="shared" si="160"/>
        <v>6598.5</v>
      </c>
      <c r="J61" s="5779">
        <f t="shared" si="187"/>
        <v>3238.94</v>
      </c>
      <c r="K61" s="4439">
        <v>3915</v>
      </c>
      <c r="L61" s="4039">
        <f t="shared" si="161"/>
        <v>9832.9259999999995</v>
      </c>
      <c r="M61" s="4879">
        <f t="shared" si="162"/>
        <v>10513.5</v>
      </c>
      <c r="N61" s="6043">
        <f t="shared" si="188"/>
        <v>4424.9399999999996</v>
      </c>
      <c r="O61" s="4865">
        <v>2958</v>
      </c>
      <c r="P61" s="5478">
        <f t="shared" si="163"/>
        <v>14257.865999999998</v>
      </c>
      <c r="Q61" s="4844">
        <f t="shared" si="164"/>
        <v>13471.5</v>
      </c>
      <c r="R61" s="6419">
        <f t="shared" si="189"/>
        <v>4399.16</v>
      </c>
      <c r="S61" s="4865">
        <v>4845</v>
      </c>
      <c r="T61" s="5478">
        <f t="shared" si="165"/>
        <v>18657.025999999998</v>
      </c>
      <c r="U61" s="4844">
        <f t="shared" si="166"/>
        <v>18316.5</v>
      </c>
      <c r="V61" s="6857">
        <f t="shared" si="190"/>
        <v>4341.26</v>
      </c>
      <c r="W61" s="4865">
        <v>2249</v>
      </c>
      <c r="X61" s="7017">
        <f t="shared" si="145"/>
        <v>13165.36</v>
      </c>
      <c r="Y61" s="6140">
        <f t="shared" si="146"/>
        <v>10052</v>
      </c>
      <c r="Z61" s="6969">
        <f t="shared" si="167"/>
        <v>22998.286</v>
      </c>
      <c r="AA61" s="6970">
        <f t="shared" si="168"/>
        <v>20565.5</v>
      </c>
      <c r="AB61" s="7332">
        <f t="shared" si="191"/>
        <v>2283.1</v>
      </c>
      <c r="AC61" s="4865">
        <v>2297</v>
      </c>
      <c r="AD61" s="5478">
        <f t="shared" si="169"/>
        <v>25281.385999999999</v>
      </c>
      <c r="AE61" s="4844">
        <f t="shared" si="170"/>
        <v>22862.5</v>
      </c>
      <c r="AF61" s="7601">
        <f t="shared" si="192"/>
        <v>4319.1000000000004</v>
      </c>
      <c r="AG61" s="4865">
        <v>4133</v>
      </c>
      <c r="AH61" s="5478">
        <f t="shared" si="171"/>
        <v>29600.485999999997</v>
      </c>
      <c r="AI61" s="4844">
        <f t="shared" si="172"/>
        <v>26995.5</v>
      </c>
      <c r="AJ61" s="7752">
        <f t="shared" si="193"/>
        <v>4531.8</v>
      </c>
      <c r="AK61" s="4865">
        <v>4100</v>
      </c>
      <c r="AL61" s="7754">
        <f t="shared" si="173"/>
        <v>11134.000000000002</v>
      </c>
      <c r="AM61" s="6140">
        <f t="shared" si="174"/>
        <v>10530</v>
      </c>
      <c r="AN61" s="5478">
        <f t="shared" si="175"/>
        <v>34132.286</v>
      </c>
      <c r="AO61" s="4844">
        <f t="shared" si="176"/>
        <v>31095.5</v>
      </c>
      <c r="AP61" s="8085">
        <f t="shared" si="194"/>
        <v>4459.1499999999996</v>
      </c>
      <c r="AQ61" s="4865">
        <v>5449</v>
      </c>
      <c r="AR61" s="5478">
        <f t="shared" si="177"/>
        <v>38591.436000000002</v>
      </c>
      <c r="AS61" s="4844">
        <f t="shared" si="178"/>
        <v>36544.5</v>
      </c>
      <c r="AT61" s="8161">
        <f t="shared" si="195"/>
        <v>4121.5600000000004</v>
      </c>
      <c r="AU61" s="4865">
        <v>3211</v>
      </c>
      <c r="AV61" s="5478">
        <f t="shared" si="179"/>
        <v>42712.995999999999</v>
      </c>
      <c r="AW61" s="4844">
        <f t="shared" si="180"/>
        <v>39755.5</v>
      </c>
      <c r="AX61" s="8287">
        <f t="shared" si="196"/>
        <v>4552.3599999999997</v>
      </c>
      <c r="AY61" s="4865">
        <v>3571</v>
      </c>
      <c r="AZ61" s="8297">
        <f t="shared" si="181"/>
        <v>13133.07</v>
      </c>
      <c r="BA61" s="6140">
        <f t="shared" si="182"/>
        <v>12231</v>
      </c>
      <c r="BB61" s="8297">
        <f t="shared" si="153"/>
        <v>24267.07</v>
      </c>
      <c r="BC61" s="6140">
        <f t="shared" si="153"/>
        <v>22761</v>
      </c>
      <c r="BD61" s="6969">
        <f t="shared" si="183"/>
        <v>47265.356</v>
      </c>
      <c r="BE61" s="6970">
        <f t="shared" si="184"/>
        <v>43326.5</v>
      </c>
    </row>
    <row r="62" spans="1:57" ht="20" customHeight="1" x14ac:dyDescent="0.2">
      <c r="A62" t="s">
        <v>1024</v>
      </c>
      <c r="B62" s="4872" t="s">
        <v>1197</v>
      </c>
      <c r="C62" s="3996" t="s">
        <v>170</v>
      </c>
      <c r="D62" s="4038">
        <f t="shared" si="185"/>
        <v>51.716800000000006</v>
      </c>
      <c r="E62" s="4439">
        <v>57</v>
      </c>
      <c r="F62" s="5481">
        <f t="shared" si="186"/>
        <v>130</v>
      </c>
      <c r="G62" s="4439">
        <v>130</v>
      </c>
      <c r="H62" s="5478">
        <f t="shared" si="159"/>
        <v>181.71680000000001</v>
      </c>
      <c r="I62" s="4844">
        <f t="shared" si="160"/>
        <v>187</v>
      </c>
      <c r="J62" s="5779">
        <f t="shared" si="187"/>
        <v>0</v>
      </c>
      <c r="K62" s="4439">
        <v>145</v>
      </c>
      <c r="L62" s="4039">
        <f t="shared" si="161"/>
        <v>181.71680000000001</v>
      </c>
      <c r="M62" s="4879">
        <f t="shared" si="162"/>
        <v>332</v>
      </c>
      <c r="N62" s="6043">
        <f t="shared" si="188"/>
        <v>0</v>
      </c>
      <c r="O62" s="4865">
        <v>235</v>
      </c>
      <c r="P62" s="5478">
        <f t="shared" si="163"/>
        <v>181.71680000000001</v>
      </c>
      <c r="Q62" s="4844">
        <f t="shared" si="164"/>
        <v>567</v>
      </c>
      <c r="R62" s="6419">
        <f t="shared" si="189"/>
        <v>0</v>
      </c>
      <c r="S62" s="4865">
        <v>260</v>
      </c>
      <c r="T62" s="5478">
        <f t="shared" si="165"/>
        <v>181.71680000000001</v>
      </c>
      <c r="U62" s="4844">
        <f t="shared" si="166"/>
        <v>827</v>
      </c>
      <c r="V62" s="6857">
        <f t="shared" si="190"/>
        <v>0</v>
      </c>
      <c r="W62" s="4865">
        <v>93</v>
      </c>
      <c r="X62" s="7017">
        <f t="shared" si="145"/>
        <v>0</v>
      </c>
      <c r="Y62" s="6140">
        <f t="shared" si="146"/>
        <v>588</v>
      </c>
      <c r="Z62" s="6969">
        <f t="shared" si="167"/>
        <v>181.71680000000001</v>
      </c>
      <c r="AA62" s="6970">
        <f t="shared" si="168"/>
        <v>920</v>
      </c>
      <c r="AB62" s="7332">
        <f t="shared" si="191"/>
        <v>0</v>
      </c>
      <c r="AC62" s="4865">
        <v>105</v>
      </c>
      <c r="AD62" s="5478">
        <f t="shared" si="169"/>
        <v>181.71680000000001</v>
      </c>
      <c r="AE62" s="4844">
        <f t="shared" si="170"/>
        <v>1025</v>
      </c>
      <c r="AF62" s="7601">
        <f t="shared" si="192"/>
        <v>0</v>
      </c>
      <c r="AG62" s="4865">
        <v>141</v>
      </c>
      <c r="AH62" s="5478">
        <f t="shared" si="171"/>
        <v>181.71680000000001</v>
      </c>
      <c r="AI62" s="4844">
        <f t="shared" si="172"/>
        <v>1166</v>
      </c>
      <c r="AJ62" s="7752">
        <f t="shared" si="193"/>
        <v>0</v>
      </c>
      <c r="AK62" s="4865">
        <v>225</v>
      </c>
      <c r="AL62" s="7754">
        <f t="shared" si="173"/>
        <v>0</v>
      </c>
      <c r="AM62" s="6140">
        <f t="shared" si="174"/>
        <v>471</v>
      </c>
      <c r="AN62" s="5478">
        <f t="shared" si="175"/>
        <v>181.71680000000001</v>
      </c>
      <c r="AO62" s="4844">
        <f t="shared" si="176"/>
        <v>1391</v>
      </c>
      <c r="AP62" s="8085">
        <f t="shared" si="194"/>
        <v>0</v>
      </c>
      <c r="AQ62" s="4865">
        <v>297</v>
      </c>
      <c r="AR62" s="5478">
        <f t="shared" si="177"/>
        <v>181.71680000000001</v>
      </c>
      <c r="AS62" s="4844">
        <f t="shared" si="178"/>
        <v>1688</v>
      </c>
      <c r="AT62" s="8161">
        <f t="shared" si="195"/>
        <v>0</v>
      </c>
      <c r="AU62" s="4865">
        <v>239</v>
      </c>
      <c r="AV62" s="5478">
        <f t="shared" si="179"/>
        <v>181.71680000000001</v>
      </c>
      <c r="AW62" s="4844">
        <f t="shared" si="180"/>
        <v>1927</v>
      </c>
      <c r="AX62" s="8287">
        <f t="shared" si="196"/>
        <v>0</v>
      </c>
      <c r="AY62" s="4865">
        <v>287</v>
      </c>
      <c r="AZ62" s="8297">
        <f t="shared" si="181"/>
        <v>0</v>
      </c>
      <c r="BA62" s="6140">
        <f t="shared" si="182"/>
        <v>823</v>
      </c>
      <c r="BB62" s="8297">
        <f t="shared" si="153"/>
        <v>0</v>
      </c>
      <c r="BC62" s="6140">
        <f t="shared" si="153"/>
        <v>1294</v>
      </c>
      <c r="BD62" s="6969">
        <f t="shared" si="183"/>
        <v>181.71680000000001</v>
      </c>
      <c r="BE62" s="6970">
        <f t="shared" si="184"/>
        <v>2214</v>
      </c>
    </row>
    <row r="63" spans="1:57" ht="20" customHeight="1" x14ac:dyDescent="0.2">
      <c r="A63" t="s">
        <v>1024</v>
      </c>
      <c r="B63" s="4872" t="s">
        <v>540</v>
      </c>
      <c r="C63" s="3996" t="s">
        <v>170</v>
      </c>
      <c r="D63" s="4038">
        <f t="shared" si="185"/>
        <v>64.646000000000001</v>
      </c>
      <c r="E63" s="4439">
        <v>69</v>
      </c>
      <c r="F63" s="5481">
        <f t="shared" si="186"/>
        <v>216</v>
      </c>
      <c r="G63" s="4439">
        <v>216</v>
      </c>
      <c r="H63" s="5478">
        <f t="shared" si="159"/>
        <v>280.64600000000002</v>
      </c>
      <c r="I63" s="4844">
        <f t="shared" si="160"/>
        <v>285</v>
      </c>
      <c r="J63" s="5779">
        <f t="shared" si="187"/>
        <v>1619.47</v>
      </c>
      <c r="K63" s="4439">
        <v>261</v>
      </c>
      <c r="L63" s="4039">
        <f t="shared" si="161"/>
        <v>1900.116</v>
      </c>
      <c r="M63" s="4879">
        <f t="shared" si="162"/>
        <v>546</v>
      </c>
      <c r="N63" s="6043">
        <f t="shared" si="188"/>
        <v>2212.4699999999998</v>
      </c>
      <c r="O63" s="4865">
        <v>2342</v>
      </c>
      <c r="P63" s="5478">
        <f t="shared" si="163"/>
        <v>4112.5859999999993</v>
      </c>
      <c r="Q63" s="4844">
        <f t="shared" si="164"/>
        <v>2888</v>
      </c>
      <c r="R63" s="6419">
        <f t="shared" si="189"/>
        <v>2199.58</v>
      </c>
      <c r="S63" s="4865">
        <v>1269</v>
      </c>
      <c r="T63" s="5478">
        <f t="shared" si="165"/>
        <v>6312.1659999999993</v>
      </c>
      <c r="U63" s="4844">
        <f t="shared" si="166"/>
        <v>4157</v>
      </c>
      <c r="V63" s="6857">
        <f t="shared" si="190"/>
        <v>2170.63</v>
      </c>
      <c r="W63" s="4865">
        <v>244</v>
      </c>
      <c r="X63" s="7017">
        <f t="shared" si="145"/>
        <v>6582.68</v>
      </c>
      <c r="Y63" s="6140">
        <f t="shared" si="146"/>
        <v>3855</v>
      </c>
      <c r="Z63" s="6969">
        <f t="shared" si="167"/>
        <v>8482.7959999999985</v>
      </c>
      <c r="AA63" s="6970">
        <f t="shared" si="168"/>
        <v>4401</v>
      </c>
      <c r="AB63" s="7332">
        <f t="shared" si="191"/>
        <v>1141.55</v>
      </c>
      <c r="AC63" s="4865">
        <v>36</v>
      </c>
      <c r="AD63" s="5478">
        <f t="shared" si="169"/>
        <v>9624.3459999999977</v>
      </c>
      <c r="AE63" s="4844">
        <f t="shared" si="170"/>
        <v>4437</v>
      </c>
      <c r="AF63" s="7601">
        <f t="shared" si="192"/>
        <v>2159.5500000000002</v>
      </c>
      <c r="AG63" s="4865">
        <v>0</v>
      </c>
      <c r="AH63" s="5478">
        <f t="shared" si="171"/>
        <v>11783.895999999997</v>
      </c>
      <c r="AI63" s="4844">
        <f t="shared" si="172"/>
        <v>4437</v>
      </c>
      <c r="AJ63" s="7752">
        <f t="shared" si="193"/>
        <v>2265.9</v>
      </c>
      <c r="AK63" s="4865">
        <v>0</v>
      </c>
      <c r="AL63" s="7754">
        <f t="shared" si="173"/>
        <v>5567.0000000000009</v>
      </c>
      <c r="AM63" s="6140">
        <f t="shared" si="174"/>
        <v>36</v>
      </c>
      <c r="AN63" s="5478">
        <f t="shared" si="175"/>
        <v>14049.795999999997</v>
      </c>
      <c r="AO63" s="4844">
        <f t="shared" si="176"/>
        <v>4437</v>
      </c>
      <c r="AP63" s="8085">
        <f t="shared" si="194"/>
        <v>2229.5749999999998</v>
      </c>
      <c r="AQ63" s="4865">
        <v>216</v>
      </c>
      <c r="AR63" s="5478">
        <f t="shared" si="177"/>
        <v>16279.370999999996</v>
      </c>
      <c r="AS63" s="4844">
        <f t="shared" si="178"/>
        <v>4653</v>
      </c>
      <c r="AT63" s="8161">
        <f t="shared" si="195"/>
        <v>2060.7800000000002</v>
      </c>
      <c r="AU63" s="4865">
        <v>0</v>
      </c>
      <c r="AV63" s="5478">
        <f t="shared" si="179"/>
        <v>18340.150999999994</v>
      </c>
      <c r="AW63" s="4844">
        <f t="shared" si="180"/>
        <v>4653</v>
      </c>
      <c r="AX63" s="8287">
        <f t="shared" si="196"/>
        <v>2276.1799999999998</v>
      </c>
      <c r="AY63" s="4865">
        <v>0</v>
      </c>
      <c r="AZ63" s="8297">
        <f t="shared" si="181"/>
        <v>6566.5349999999999</v>
      </c>
      <c r="BA63" s="6140">
        <f t="shared" si="182"/>
        <v>216</v>
      </c>
      <c r="BB63" s="8297">
        <f t="shared" si="153"/>
        <v>12133.535</v>
      </c>
      <c r="BC63" s="6140">
        <f t="shared" si="153"/>
        <v>252</v>
      </c>
      <c r="BD63" s="6969">
        <f t="shared" si="183"/>
        <v>20616.330999999995</v>
      </c>
      <c r="BE63" s="6970">
        <f t="shared" si="184"/>
        <v>4653</v>
      </c>
    </row>
    <row r="64" spans="1:57" ht="20" customHeight="1" x14ac:dyDescent="0.2">
      <c r="A64" t="s">
        <v>1024</v>
      </c>
      <c r="B64" s="4872" t="s">
        <v>68</v>
      </c>
      <c r="C64" s="3996" t="s">
        <v>170</v>
      </c>
      <c r="D64" s="4038">
        <f t="shared" si="185"/>
        <v>0</v>
      </c>
      <c r="E64" s="4439">
        <v>0</v>
      </c>
      <c r="F64" s="5481">
        <f t="shared" si="186"/>
        <v>0</v>
      </c>
      <c r="G64" s="4439">
        <v>0</v>
      </c>
      <c r="H64" s="5478">
        <f t="shared" si="159"/>
        <v>0</v>
      </c>
      <c r="I64" s="4844">
        <f t="shared" si="160"/>
        <v>0</v>
      </c>
      <c r="J64" s="5779">
        <f t="shared" si="187"/>
        <v>0</v>
      </c>
      <c r="K64" s="4439">
        <v>1104.3</v>
      </c>
      <c r="L64" s="4039">
        <f t="shared" si="161"/>
        <v>0</v>
      </c>
      <c r="M64" s="4879">
        <f t="shared" si="162"/>
        <v>1104.3</v>
      </c>
      <c r="N64" s="6043">
        <f t="shared" si="188"/>
        <v>0</v>
      </c>
      <c r="O64" s="4865">
        <v>1000.1</v>
      </c>
      <c r="P64" s="5478">
        <f t="shared" si="163"/>
        <v>0</v>
      </c>
      <c r="Q64" s="4844">
        <f t="shared" si="164"/>
        <v>2104.4</v>
      </c>
      <c r="R64" s="6419">
        <f t="shared" si="189"/>
        <v>0</v>
      </c>
      <c r="S64" s="4865">
        <v>2528</v>
      </c>
      <c r="T64" s="5478">
        <f t="shared" si="165"/>
        <v>0</v>
      </c>
      <c r="U64" s="4844">
        <f t="shared" si="166"/>
        <v>4632.3999999999996</v>
      </c>
      <c r="V64" s="6857">
        <f t="shared" si="190"/>
        <v>0</v>
      </c>
      <c r="W64" s="4865">
        <v>151</v>
      </c>
      <c r="X64" s="7017">
        <f t="shared" si="145"/>
        <v>0</v>
      </c>
      <c r="Y64" s="6140">
        <f t="shared" si="146"/>
        <v>3679.1</v>
      </c>
      <c r="Z64" s="6969">
        <f t="shared" si="167"/>
        <v>0</v>
      </c>
      <c r="AA64" s="6970">
        <f t="shared" si="168"/>
        <v>4783.3999999999996</v>
      </c>
      <c r="AB64" s="7332">
        <f t="shared" si="191"/>
        <v>0</v>
      </c>
      <c r="AC64" s="4865">
        <v>0</v>
      </c>
      <c r="AD64" s="5478">
        <f t="shared" si="169"/>
        <v>0</v>
      </c>
      <c r="AE64" s="4844">
        <f t="shared" si="170"/>
        <v>4783.3999999999996</v>
      </c>
      <c r="AF64" s="7601">
        <f t="shared" si="192"/>
        <v>0</v>
      </c>
      <c r="AG64" s="4865">
        <v>0</v>
      </c>
      <c r="AH64" s="5478">
        <f t="shared" si="171"/>
        <v>0</v>
      </c>
      <c r="AI64" s="4844">
        <f t="shared" si="172"/>
        <v>4783.3999999999996</v>
      </c>
      <c r="AJ64" s="7752">
        <f t="shared" si="193"/>
        <v>0</v>
      </c>
      <c r="AK64" s="4865">
        <v>0</v>
      </c>
      <c r="AL64" s="7754">
        <f t="shared" si="173"/>
        <v>0</v>
      </c>
      <c r="AM64" s="6140">
        <f t="shared" si="174"/>
        <v>0</v>
      </c>
      <c r="AN64" s="5478">
        <f t="shared" si="175"/>
        <v>0</v>
      </c>
      <c r="AO64" s="4844">
        <f t="shared" si="176"/>
        <v>4783.3999999999996</v>
      </c>
      <c r="AP64" s="8085">
        <f t="shared" si="194"/>
        <v>0</v>
      </c>
      <c r="AQ64" s="4865">
        <v>65</v>
      </c>
      <c r="AR64" s="5478">
        <f t="shared" si="177"/>
        <v>0</v>
      </c>
      <c r="AS64" s="4844">
        <f t="shared" si="178"/>
        <v>4848.3999999999996</v>
      </c>
      <c r="AT64" s="8161">
        <f t="shared" si="195"/>
        <v>0</v>
      </c>
      <c r="AU64" s="4865">
        <v>570</v>
      </c>
      <c r="AV64" s="5478">
        <f t="shared" si="179"/>
        <v>0</v>
      </c>
      <c r="AW64" s="4844">
        <f t="shared" si="180"/>
        <v>5418.4</v>
      </c>
      <c r="AX64" s="8287">
        <f t="shared" si="196"/>
        <v>0</v>
      </c>
      <c r="AY64" s="4865">
        <v>1515</v>
      </c>
      <c r="AZ64" s="8297">
        <f t="shared" si="181"/>
        <v>0</v>
      </c>
      <c r="BA64" s="6140">
        <f t="shared" si="182"/>
        <v>2150</v>
      </c>
      <c r="BB64" s="8297">
        <f t="shared" si="153"/>
        <v>0</v>
      </c>
      <c r="BC64" s="6140">
        <f t="shared" si="153"/>
        <v>2150</v>
      </c>
      <c r="BD64" s="6969">
        <f t="shared" si="183"/>
        <v>0</v>
      </c>
      <c r="BE64" s="6970">
        <f t="shared" si="184"/>
        <v>6933.4</v>
      </c>
    </row>
    <row r="65" spans="1:57" ht="20" customHeight="1" x14ac:dyDescent="0.2">
      <c r="A65" t="s">
        <v>1024</v>
      </c>
      <c r="B65" s="4872" t="s">
        <v>541</v>
      </c>
      <c r="C65" s="3996" t="s">
        <v>170</v>
      </c>
      <c r="D65" s="4038">
        <f t="shared" si="185"/>
        <v>4239</v>
      </c>
      <c r="E65" s="4439">
        <v>4239</v>
      </c>
      <c r="F65" s="5481">
        <f t="shared" si="186"/>
        <v>6486</v>
      </c>
      <c r="G65" s="4439">
        <v>6486</v>
      </c>
      <c r="H65" s="5478">
        <f t="shared" si="159"/>
        <v>10725</v>
      </c>
      <c r="I65" s="4844">
        <f t="shared" si="160"/>
        <v>10725</v>
      </c>
      <c r="J65" s="5779">
        <f t="shared" si="187"/>
        <v>2429.2049999999999</v>
      </c>
      <c r="K65" s="4439">
        <v>2610.8000000000002</v>
      </c>
      <c r="L65" s="4039">
        <f t="shared" si="161"/>
        <v>13154.205</v>
      </c>
      <c r="M65" s="4879">
        <f t="shared" si="162"/>
        <v>13335.8</v>
      </c>
      <c r="N65" s="6043">
        <f t="shared" si="188"/>
        <v>3318.7049999999999</v>
      </c>
      <c r="O65" s="4865">
        <v>1017.5</v>
      </c>
      <c r="P65" s="5478">
        <f t="shared" si="163"/>
        <v>16472.91</v>
      </c>
      <c r="Q65" s="4844">
        <f t="shared" si="164"/>
        <v>14353.3</v>
      </c>
      <c r="R65" s="6419">
        <f t="shared" si="189"/>
        <v>3299.37</v>
      </c>
      <c r="S65" s="4865">
        <v>2411</v>
      </c>
      <c r="T65" s="5478">
        <f t="shared" si="165"/>
        <v>19772.28</v>
      </c>
      <c r="U65" s="4844">
        <f t="shared" si="166"/>
        <v>16764.3</v>
      </c>
      <c r="V65" s="6857">
        <f t="shared" si="190"/>
        <v>3255.9450000000002</v>
      </c>
      <c r="W65" s="4865">
        <v>1258</v>
      </c>
      <c r="X65" s="7017">
        <f t="shared" si="145"/>
        <v>9874.02</v>
      </c>
      <c r="Y65" s="6140">
        <f t="shared" si="146"/>
        <v>4686.5</v>
      </c>
      <c r="Z65" s="6969">
        <f t="shared" si="167"/>
        <v>23028.224999999999</v>
      </c>
      <c r="AA65" s="6970">
        <f t="shared" si="168"/>
        <v>18022.3</v>
      </c>
      <c r="AB65" s="7332">
        <f t="shared" si="191"/>
        <v>1712.325</v>
      </c>
      <c r="AC65" s="4865">
        <v>1436</v>
      </c>
      <c r="AD65" s="5478">
        <f t="shared" si="169"/>
        <v>24740.55</v>
      </c>
      <c r="AE65" s="4844">
        <f t="shared" si="170"/>
        <v>19458.3</v>
      </c>
      <c r="AF65" s="7601">
        <f t="shared" si="192"/>
        <v>3239.3249999999998</v>
      </c>
      <c r="AG65" s="4865">
        <v>3059</v>
      </c>
      <c r="AH65" s="5478">
        <f t="shared" si="171"/>
        <v>27979.875</v>
      </c>
      <c r="AI65" s="4844">
        <f t="shared" si="172"/>
        <v>22517.3</v>
      </c>
      <c r="AJ65" s="7752">
        <f t="shared" si="193"/>
        <v>3398.85</v>
      </c>
      <c r="AK65" s="4865">
        <v>975</v>
      </c>
      <c r="AL65" s="7754">
        <f t="shared" si="173"/>
        <v>8350.5</v>
      </c>
      <c r="AM65" s="6140">
        <f t="shared" si="174"/>
        <v>5470</v>
      </c>
      <c r="AN65" s="5478">
        <f t="shared" si="175"/>
        <v>31378.724999999999</v>
      </c>
      <c r="AO65" s="4844">
        <f t="shared" si="176"/>
        <v>23492.3</v>
      </c>
      <c r="AP65" s="8085">
        <f t="shared" si="194"/>
        <v>3344.3625000000002</v>
      </c>
      <c r="AQ65" s="4865">
        <v>3297</v>
      </c>
      <c r="AR65" s="5478">
        <f t="shared" si="177"/>
        <v>34723.087500000001</v>
      </c>
      <c r="AS65" s="4844">
        <f t="shared" si="178"/>
        <v>26789.3</v>
      </c>
      <c r="AT65" s="8161">
        <f t="shared" si="195"/>
        <v>3091.17</v>
      </c>
      <c r="AU65" s="4865">
        <v>3807</v>
      </c>
      <c r="AV65" s="5478">
        <f t="shared" si="179"/>
        <v>37814.2575</v>
      </c>
      <c r="AW65" s="4844">
        <f t="shared" si="180"/>
        <v>30596.3</v>
      </c>
      <c r="AX65" s="8287">
        <f t="shared" si="196"/>
        <v>3414.27</v>
      </c>
      <c r="AY65" s="4865">
        <v>2550</v>
      </c>
      <c r="AZ65" s="8297">
        <f t="shared" si="181"/>
        <v>9849.8025000000016</v>
      </c>
      <c r="BA65" s="6140">
        <f t="shared" si="182"/>
        <v>9654</v>
      </c>
      <c r="BB65" s="8297">
        <f t="shared" si="153"/>
        <v>18200.302500000002</v>
      </c>
      <c r="BC65" s="6140">
        <f t="shared" si="153"/>
        <v>15124</v>
      </c>
      <c r="BD65" s="6969">
        <f t="shared" si="183"/>
        <v>41228.527499999997</v>
      </c>
      <c r="BE65" s="6970">
        <f t="shared" si="184"/>
        <v>33146.300000000003</v>
      </c>
    </row>
    <row r="66" spans="1:57" ht="20" customHeight="1" x14ac:dyDescent="0.2">
      <c r="A66" t="s">
        <v>1024</v>
      </c>
      <c r="B66" s="4872" t="s">
        <v>477</v>
      </c>
      <c r="C66" s="3996" t="s">
        <v>170</v>
      </c>
      <c r="D66" s="4038">
        <f t="shared" si="185"/>
        <v>9593.4664000000012</v>
      </c>
      <c r="E66" s="4439">
        <v>9592.2199999999993</v>
      </c>
      <c r="F66" s="5481">
        <f t="shared" si="186"/>
        <v>8205.5</v>
      </c>
      <c r="G66" s="4439">
        <v>8205.5</v>
      </c>
      <c r="H66" s="5478">
        <f t="shared" si="159"/>
        <v>17798.966400000001</v>
      </c>
      <c r="I66" s="4844">
        <f t="shared" si="160"/>
        <v>17797.72</v>
      </c>
      <c r="J66" s="5779">
        <f t="shared" si="187"/>
        <v>10850.449000000001</v>
      </c>
      <c r="K66" s="4439">
        <v>9220.91</v>
      </c>
      <c r="L66" s="4039">
        <f t="shared" si="161"/>
        <v>28649.415400000002</v>
      </c>
      <c r="M66" s="4879">
        <f t="shared" si="162"/>
        <v>27018.63</v>
      </c>
      <c r="N66" s="6043">
        <f t="shared" si="188"/>
        <v>14823.549000000001</v>
      </c>
      <c r="O66" s="4865">
        <v>10559.1</v>
      </c>
      <c r="P66" s="5478">
        <f t="shared" si="163"/>
        <v>43472.964400000004</v>
      </c>
      <c r="Q66" s="4844">
        <f t="shared" si="164"/>
        <v>37577.730000000003</v>
      </c>
      <c r="R66" s="6419">
        <f t="shared" si="189"/>
        <v>14737.186</v>
      </c>
      <c r="S66" s="4865">
        <v>11795</v>
      </c>
      <c r="T66" s="5478">
        <f t="shared" si="165"/>
        <v>58210.150400000006</v>
      </c>
      <c r="U66" s="4844">
        <f t="shared" si="166"/>
        <v>49372.73</v>
      </c>
      <c r="V66" s="6857">
        <f t="shared" si="190"/>
        <v>14543.221</v>
      </c>
      <c r="W66" s="4865">
        <v>5742</v>
      </c>
      <c r="X66" s="7017">
        <f t="shared" si="145"/>
        <v>44103.955999999998</v>
      </c>
      <c r="Y66" s="6140">
        <f t="shared" si="146"/>
        <v>28096.1</v>
      </c>
      <c r="Z66" s="6969">
        <f t="shared" si="167"/>
        <v>72753.371400000004</v>
      </c>
      <c r="AA66" s="6970">
        <f t="shared" si="168"/>
        <v>55114.73</v>
      </c>
      <c r="AB66" s="7332">
        <f t="shared" si="191"/>
        <v>7420.0749999999998</v>
      </c>
      <c r="AC66" s="4865">
        <v>8854</v>
      </c>
      <c r="AD66" s="5478">
        <f t="shared" si="169"/>
        <v>80173.446400000001</v>
      </c>
      <c r="AE66" s="4844">
        <f t="shared" si="170"/>
        <v>63968.73</v>
      </c>
      <c r="AF66" s="7601">
        <f t="shared" si="192"/>
        <v>14037.075000000001</v>
      </c>
      <c r="AG66" s="4865">
        <v>11856</v>
      </c>
      <c r="AH66" s="5478">
        <f t="shared" si="171"/>
        <v>94210.521399999998</v>
      </c>
      <c r="AI66" s="4844">
        <f t="shared" si="172"/>
        <v>75824.73000000001</v>
      </c>
      <c r="AJ66" s="7752">
        <f t="shared" si="193"/>
        <v>14728.35</v>
      </c>
      <c r="AK66" s="4865">
        <v>12134</v>
      </c>
      <c r="AL66" s="7754">
        <f t="shared" si="173"/>
        <v>36185.5</v>
      </c>
      <c r="AM66" s="6140">
        <f t="shared" si="174"/>
        <v>32844</v>
      </c>
      <c r="AN66" s="5478">
        <f t="shared" si="175"/>
        <v>108938.8714</v>
      </c>
      <c r="AO66" s="4844">
        <f t="shared" si="176"/>
        <v>87958.73000000001</v>
      </c>
      <c r="AP66" s="8085">
        <f t="shared" si="194"/>
        <v>14492.237499999999</v>
      </c>
      <c r="AQ66" s="4865">
        <v>15000</v>
      </c>
      <c r="AR66" s="5478">
        <f t="shared" si="177"/>
        <v>123431.10890000001</v>
      </c>
      <c r="AS66" s="4844">
        <f t="shared" si="178"/>
        <v>102958.73000000001</v>
      </c>
      <c r="AT66" s="8161">
        <f t="shared" si="195"/>
        <v>13395.07</v>
      </c>
      <c r="AU66" s="4865">
        <v>12199</v>
      </c>
      <c r="AV66" s="5478">
        <f t="shared" si="179"/>
        <v>136826.1789</v>
      </c>
      <c r="AW66" s="4844">
        <f t="shared" si="180"/>
        <v>115157.73000000001</v>
      </c>
      <c r="AX66" s="8287">
        <f t="shared" si="196"/>
        <v>14795.17</v>
      </c>
      <c r="AY66" s="4865">
        <v>12615</v>
      </c>
      <c r="AZ66" s="8297">
        <f t="shared" si="181"/>
        <v>42682.477499999994</v>
      </c>
      <c r="BA66" s="6140">
        <f t="shared" si="182"/>
        <v>39814</v>
      </c>
      <c r="BB66" s="8297">
        <f t="shared" si="153"/>
        <v>78867.977499999994</v>
      </c>
      <c r="BC66" s="6140">
        <f t="shared" si="153"/>
        <v>72658</v>
      </c>
      <c r="BD66" s="6969">
        <f t="shared" si="183"/>
        <v>151621.34890000001</v>
      </c>
      <c r="BE66" s="6970">
        <f t="shared" si="184"/>
        <v>127772.73000000001</v>
      </c>
    </row>
    <row r="67" spans="1:57" s="3380" customFormat="1" ht="20" customHeight="1" x14ac:dyDescent="0.2">
      <c r="B67" s="4961" t="s">
        <v>782</v>
      </c>
      <c r="C67" s="3237"/>
      <c r="D67" s="5645"/>
      <c r="E67" s="5648"/>
      <c r="F67" s="5645"/>
      <c r="G67" s="5648"/>
      <c r="H67" s="5645"/>
      <c r="I67" s="5648"/>
      <c r="J67" s="5645"/>
      <c r="K67" s="5648"/>
      <c r="L67" s="5645"/>
      <c r="M67" s="5648"/>
      <c r="N67" s="5645"/>
      <c r="O67" s="5648"/>
      <c r="P67" s="5645"/>
      <c r="Q67" s="5648"/>
      <c r="R67" s="5645"/>
      <c r="S67" s="5648"/>
      <c r="T67" s="5645"/>
      <c r="U67" s="5648"/>
      <c r="V67" s="5645"/>
      <c r="W67" s="5648"/>
      <c r="X67" s="5645"/>
      <c r="Y67" s="5648"/>
      <c r="Z67" s="5645"/>
      <c r="AA67" s="5648"/>
      <c r="AB67" s="5645"/>
      <c r="AC67" s="5648"/>
      <c r="AD67" s="5645"/>
      <c r="AE67" s="5648"/>
      <c r="AF67" s="5645"/>
      <c r="AG67" s="5648"/>
      <c r="AH67" s="5645"/>
      <c r="AI67" s="5648"/>
      <c r="AJ67" s="5645"/>
      <c r="AK67" s="5648"/>
      <c r="AL67" s="5645"/>
      <c r="AM67" s="5648"/>
      <c r="AN67" s="7945"/>
      <c r="AO67" s="7948"/>
      <c r="AP67" s="5645"/>
      <c r="AQ67" s="5648"/>
      <c r="AR67" s="5645"/>
      <c r="AS67" s="5648"/>
      <c r="AT67" s="5645"/>
      <c r="AU67" s="5648"/>
      <c r="AV67" s="5645"/>
      <c r="AW67" s="5648"/>
      <c r="AX67" s="5645"/>
      <c r="AY67" s="5648"/>
      <c r="AZ67" s="5645"/>
      <c r="BA67" s="5648"/>
      <c r="BB67" s="5645"/>
      <c r="BC67" s="5648"/>
      <c r="BD67" s="5645"/>
      <c r="BE67" s="5648"/>
    </row>
    <row r="68" spans="1:57" ht="20" customHeight="1" x14ac:dyDescent="0.2">
      <c r="A68" t="s">
        <v>1024</v>
      </c>
      <c r="B68" s="4872" t="s">
        <v>288</v>
      </c>
      <c r="C68" s="3996" t="s">
        <v>766</v>
      </c>
      <c r="D68" s="4041">
        <v>1</v>
      </c>
      <c r="E68" s="5254">
        <f t="shared" ref="E68:G70" si="197">+E53/E$47*1000</f>
        <v>1.0132104074498036</v>
      </c>
      <c r="F68" s="4041">
        <v>0.76692255571357304</v>
      </c>
      <c r="G68" s="5254">
        <f t="shared" ref="G68:G69" si="198">+G53/G$47*1000</f>
        <v>0.76692255571357304</v>
      </c>
      <c r="H68" s="4034">
        <f>+H53/H$45*1000</f>
        <v>0.88124250747355803</v>
      </c>
      <c r="I68" s="5627">
        <f>+I53/I$47*1000</f>
        <v>0.88772548796449102</v>
      </c>
      <c r="J68" s="4041">
        <v>1.8</v>
      </c>
      <c r="K68" s="5254">
        <f t="shared" ref="K68:K69" si="199">+K53/K$47*1000</f>
        <v>1.0717726723751884</v>
      </c>
      <c r="L68" s="4035">
        <f>+L53/L$45*1000</f>
        <v>1.2308899453169246</v>
      </c>
      <c r="M68" s="6146">
        <f>+M53/M$47*1000</f>
        <v>0.9537273375395704</v>
      </c>
      <c r="N68" s="4041">
        <v>1.8</v>
      </c>
      <c r="O68" s="6175">
        <f t="shared" ref="O68:O69" si="200">+O53/O$47*1000</f>
        <v>1.6156154954427835</v>
      </c>
      <c r="P68" s="4034">
        <f>+P53/P$45*1000</f>
        <v>1.4255650211042226</v>
      </c>
      <c r="Q68" s="5627">
        <f>+Q53/Q$47*1000</f>
        <v>1.1399767913062973</v>
      </c>
      <c r="R68" s="4041">
        <v>1.8</v>
      </c>
      <c r="S68" s="6175">
        <f t="shared" ref="S68:S69" si="201">+S53/S$47*1000</f>
        <v>1.3487426404869518</v>
      </c>
      <c r="T68" s="4034">
        <f>+T53/T$45*1000</f>
        <v>1.5205868372352751</v>
      </c>
      <c r="U68" s="5627">
        <f>+U53/U$47*1000</f>
        <v>1.1882485397189508</v>
      </c>
      <c r="V68" s="4041">
        <v>1.8</v>
      </c>
      <c r="W68" s="6175">
        <f t="shared" ref="W68:W69" si="202">+W53/W$47*1000</f>
        <v>1.7226938960768161</v>
      </c>
      <c r="X68" s="4035">
        <f>+X53/X$45*1000</f>
        <v>1.8000000000000005</v>
      </c>
      <c r="Y68" s="6146">
        <f>+Y53/Y$47*1000</f>
        <v>1.5268955081302984</v>
      </c>
      <c r="Z68" s="6972">
        <f>+Z53/Z$45*1000</f>
        <v>1.5765470178841148</v>
      </c>
      <c r="AA68" s="6973">
        <f>+AA53/AA$47*1000</f>
        <v>1.2422350490801635</v>
      </c>
      <c r="AB68" s="4041">
        <v>1.8</v>
      </c>
      <c r="AC68" s="6175">
        <f t="shared" ref="AC68:AC69" si="203">+AC53/AC$47*1000</f>
        <v>1.3262445058296546</v>
      </c>
      <c r="AD68" s="4034">
        <f>+AD53/AD$45*1000</f>
        <v>1.5978400054759487</v>
      </c>
      <c r="AE68" s="5627">
        <f>+AE53/AE$47*1000</f>
        <v>1.2511934789733943</v>
      </c>
      <c r="AF68" s="4041">
        <v>1.8</v>
      </c>
      <c r="AG68" s="6175">
        <f t="shared" ref="AG68:AG81" si="204">+AG53/AG$47*1000</f>
        <v>1.8693564504780045</v>
      </c>
      <c r="AH68" s="4034">
        <f>+AH53/AH$45*1000</f>
        <v>1.6287157283075024</v>
      </c>
      <c r="AI68" s="5627">
        <f>+AI53/AI$47*1000</f>
        <v>1.3321651954417102</v>
      </c>
      <c r="AJ68" s="4041">
        <v>1.8</v>
      </c>
      <c r="AK68" s="6175">
        <f t="shared" ref="AK68:AK81" si="205">+AK53/AK$47*1000</f>
        <v>1.8274353403375101</v>
      </c>
      <c r="AL68" s="4035">
        <f>+AL53/AL$45*1000</f>
        <v>1.7999967666664871</v>
      </c>
      <c r="AM68" s="6146">
        <f>+AM53/AM$47*1000</f>
        <v>1.7200209792361429</v>
      </c>
      <c r="AN68" s="4034">
        <f>+AN53/AN$45*1000</f>
        <v>1.6523737711153594</v>
      </c>
      <c r="AO68" s="5627">
        <f>+AO53/AO$47*1000</f>
        <v>1.39959609428015</v>
      </c>
      <c r="AP68" s="4041">
        <v>1.8</v>
      </c>
      <c r="AQ68" s="6175">
        <f t="shared" ref="AQ68:AQ81" si="206">+AQ53/AQ$47*1000</f>
        <v>1.2663426484836418</v>
      </c>
      <c r="AR68" s="4034">
        <f>+AR53/AR$45*1000</f>
        <v>1.670036276409065</v>
      </c>
      <c r="AS68" s="5627">
        <f>+AS53/AS$47*1000</f>
        <v>1.3809006859440009</v>
      </c>
      <c r="AT68" s="4041">
        <v>1.8</v>
      </c>
      <c r="AU68" s="6175">
        <f t="shared" ref="AU68:AU81" si="207">+AU53/AU$47*1000</f>
        <v>1.8926977816313151</v>
      </c>
      <c r="AV68" s="4034">
        <f>+AV53/AV$45*1000</f>
        <v>1.6829775873765676</v>
      </c>
      <c r="AW68" s="5627">
        <f>+AW53/AW$47*1000</f>
        <v>1.4404947232969856</v>
      </c>
      <c r="AX68" s="4041">
        <v>1.8</v>
      </c>
      <c r="AY68" s="6175">
        <f t="shared" ref="AY68:AY81" si="208">+AY53/AY$47*1000</f>
        <v>1.6321406151914626</v>
      </c>
      <c r="AZ68" s="4035">
        <f>+AZ53/AZ$45*1000</f>
        <v>2.7549583251755099</v>
      </c>
      <c r="BA68" s="6146">
        <f>+BA53/BA$47*1000</f>
        <v>1.5924104122452285</v>
      </c>
      <c r="BB68" s="4035">
        <f>+BB53/BB$45*1000</f>
        <v>2.2156379439952039</v>
      </c>
      <c r="BC68" s="6146">
        <f>+BC53/BC$47*1000</f>
        <v>1.6432569677830999</v>
      </c>
      <c r="BD68" s="6972">
        <f>+BD53/BD$45*1000</f>
        <v>1.8809495116808117</v>
      </c>
      <c r="BE68" s="6973">
        <f>+BE53/BE$47*1000</f>
        <v>1.4636299819991094</v>
      </c>
    </row>
    <row r="69" spans="1:57" s="7468" customFormat="1" ht="20" customHeight="1" x14ac:dyDescent="0.2">
      <c r="B69" s="4872" t="s">
        <v>2223</v>
      </c>
      <c r="C69" s="3996" t="s">
        <v>766</v>
      </c>
      <c r="D69" s="4041"/>
      <c r="E69" s="5254">
        <f t="shared" si="197"/>
        <v>0</v>
      </c>
      <c r="F69" s="4041"/>
      <c r="G69" s="5254">
        <f t="shared" si="198"/>
        <v>0</v>
      </c>
      <c r="H69" s="4034">
        <f t="shared" ref="H69:H70" si="209">+H54/H$45*1000</f>
        <v>0</v>
      </c>
      <c r="I69" s="5627">
        <f t="shared" ref="I69:I70" si="210">+I54/I$47*1000</f>
        <v>0</v>
      </c>
      <c r="J69" s="4041"/>
      <c r="K69" s="5254">
        <f t="shared" si="199"/>
        <v>0</v>
      </c>
      <c r="L69" s="4035">
        <f t="shared" ref="L69:L70" si="211">+L54/L$45*1000</f>
        <v>0</v>
      </c>
      <c r="M69" s="6146">
        <f t="shared" ref="M69:M70" si="212">+M54/M$47*1000</f>
        <v>0</v>
      </c>
      <c r="N69" s="4041"/>
      <c r="O69" s="6175">
        <f t="shared" si="200"/>
        <v>0</v>
      </c>
      <c r="P69" s="4034">
        <f t="shared" ref="P69:P70" si="213">+P54/P$45*1000</f>
        <v>0</v>
      </c>
      <c r="Q69" s="5627">
        <f t="shared" ref="Q69:Q70" si="214">+Q54/Q$47*1000</f>
        <v>0</v>
      </c>
      <c r="R69" s="4041"/>
      <c r="S69" s="6175">
        <f t="shared" si="201"/>
        <v>0.37788048117091327</v>
      </c>
      <c r="T69" s="4034">
        <f t="shared" ref="T69:T70" si="215">+T54/T$45*1000</f>
        <v>0</v>
      </c>
      <c r="U69" s="5627">
        <f t="shared" ref="U69:U70" si="216">+U54/U$47*1000</f>
        <v>8.7375169783397211E-2</v>
      </c>
      <c r="V69" s="4041"/>
      <c r="W69" s="6175">
        <f t="shared" si="202"/>
        <v>0.37085771373875898</v>
      </c>
      <c r="X69" s="4035">
        <f t="shared" ref="X69:X70" si="217">+X54/X$45*1000</f>
        <v>0</v>
      </c>
      <c r="Y69" s="6146">
        <f t="shared" ref="Y69:Y70" si="218">+Y54/Y$47*1000</f>
        <v>0.23047479368004503</v>
      </c>
      <c r="Z69" s="6972">
        <f t="shared" ref="Z69:Z70" si="219">+Z54/Z$45*1000</f>
        <v>0</v>
      </c>
      <c r="AA69" s="6973">
        <f t="shared" ref="AA69:AA70" si="220">+AA54/AA$47*1000</f>
        <v>0.11601089994911833</v>
      </c>
      <c r="AB69" s="4041"/>
      <c r="AC69" s="6175">
        <f t="shared" si="203"/>
        <v>0.39483615059050786</v>
      </c>
      <c r="AD69" s="4034">
        <f t="shared" ref="AD69:AD70" si="221">+AD54/AD$45*1000</f>
        <v>0</v>
      </c>
      <c r="AE69" s="5627">
        <f t="shared" ref="AE69:AE70" si="222">+AE54/AE$47*1000</f>
        <v>0.14574370095724459</v>
      </c>
      <c r="AF69" s="4041">
        <v>0</v>
      </c>
      <c r="AG69" s="6175">
        <f t="shared" si="204"/>
        <v>0.83512246025185943</v>
      </c>
      <c r="AH69" s="4034">
        <f t="shared" ref="AH69:AH81" si="223">+AH54/AH$45*1000</f>
        <v>0</v>
      </c>
      <c r="AI69" s="5627">
        <f t="shared" ref="AI69:AI81" si="224">+AI54/AI$47*1000</f>
        <v>0.23604380628548288</v>
      </c>
      <c r="AJ69" s="4041">
        <v>0</v>
      </c>
      <c r="AK69" s="6175">
        <f t="shared" si="205"/>
        <v>0.43453674216494542</v>
      </c>
      <c r="AL69" s="4035">
        <f t="shared" ref="AL69:AL81" si="225">+AL54/AL$45*1000</f>
        <v>0</v>
      </c>
      <c r="AM69" s="6146">
        <f t="shared" ref="AM69:AM81" si="226">+AM54/AM$47*1000</f>
        <v>0.56251329878881595</v>
      </c>
      <c r="AN69" s="4034">
        <f t="shared" ref="AN69:AN81" si="227">+AN54/AN$45*1000</f>
        <v>0</v>
      </c>
      <c r="AO69" s="5627">
        <f t="shared" ref="AO69:AO81" si="228">+AO54/AO$47*1000</f>
        <v>0.2630685668477189</v>
      </c>
      <c r="AP69" s="4041">
        <v>0</v>
      </c>
      <c r="AQ69" s="6175">
        <f t="shared" si="206"/>
        <v>0.42211421616121392</v>
      </c>
      <c r="AR69" s="4034">
        <f t="shared" ref="AR69:AR81" si="229">+AR54/AR$45*1000</f>
        <v>0</v>
      </c>
      <c r="AS69" s="5627">
        <f t="shared" ref="AS69:AS81" si="230">+AS54/AS$47*1000</f>
        <v>0.28538261163830897</v>
      </c>
      <c r="AT69" s="4041">
        <v>0</v>
      </c>
      <c r="AU69" s="6175">
        <f t="shared" si="207"/>
        <v>0.44938355150464182</v>
      </c>
      <c r="AV69" s="4034">
        <f t="shared" ref="AV69:AV81" si="231">+AV54/AV$45*1000</f>
        <v>0</v>
      </c>
      <c r="AW69" s="5627">
        <f t="shared" ref="AW69:AW81" si="232">+AW54/AW$47*1000</f>
        <v>0.30447900397557609</v>
      </c>
      <c r="AX69" s="4041">
        <v>0</v>
      </c>
      <c r="AY69" s="6175">
        <f t="shared" si="208"/>
        <v>0.30938929244013991</v>
      </c>
      <c r="AZ69" s="4035">
        <f t="shared" ref="AZ69:AZ81" si="233">+AZ54/AZ$45*1000</f>
        <v>0</v>
      </c>
      <c r="BA69" s="6146">
        <f t="shared" ref="BA69:BA81" si="234">+BA54/BA$47*1000</f>
        <v>0.38954563820533228</v>
      </c>
      <c r="BB69" s="4035">
        <f t="shared" ref="BB69" si="235">+BB54/BB$45*1000</f>
        <v>0</v>
      </c>
      <c r="BC69" s="6146">
        <f t="shared" ref="BC69" si="236">+BC54/BC$47*1000</f>
        <v>0.45846477215714654</v>
      </c>
      <c r="BD69" s="6972">
        <f t="shared" ref="BD69:BD81" si="237">+BD54/BD$45*1000</f>
        <v>0</v>
      </c>
      <c r="BE69" s="6973">
        <f t="shared" ref="BE69:BE81" si="238">+BE54/BE$47*1000</f>
        <v>0.3050717680197555</v>
      </c>
    </row>
    <row r="70" spans="1:57" s="7468" customFormat="1" ht="20" customHeight="1" x14ac:dyDescent="0.2">
      <c r="B70" s="4872" t="s">
        <v>2336</v>
      </c>
      <c r="C70" s="3996" t="s">
        <v>766</v>
      </c>
      <c r="D70" s="4041">
        <f>SUM(D68:D69)</f>
        <v>1</v>
      </c>
      <c r="E70" s="5254">
        <f t="shared" si="197"/>
        <v>1.0132104074498036</v>
      </c>
      <c r="F70" s="4041">
        <f>SUM(F68:F69)</f>
        <v>0.76692255571357304</v>
      </c>
      <c r="G70" s="5254">
        <f t="shared" si="197"/>
        <v>0.76692255571357304</v>
      </c>
      <c r="H70" s="4034">
        <f t="shared" si="209"/>
        <v>0.88124250747355803</v>
      </c>
      <c r="I70" s="5627">
        <f t="shared" si="210"/>
        <v>0.88772548796449102</v>
      </c>
      <c r="J70" s="4041">
        <f>SUM(J68:J69)</f>
        <v>1.8</v>
      </c>
      <c r="K70" s="5254">
        <f t="shared" ref="K70" si="239">+K55/K$47*1000</f>
        <v>1.0717726723751884</v>
      </c>
      <c r="L70" s="4035">
        <f t="shared" si="211"/>
        <v>1.2308899453169246</v>
      </c>
      <c r="M70" s="6146">
        <f t="shared" si="212"/>
        <v>0.9537273375395704</v>
      </c>
      <c r="N70" s="4041">
        <f>SUM(N68:N69)</f>
        <v>1.8</v>
      </c>
      <c r="O70" s="5254">
        <f t="shared" ref="O70" si="240">+O55/O$47*1000</f>
        <v>1.6156154954427835</v>
      </c>
      <c r="P70" s="4034">
        <f t="shared" si="213"/>
        <v>1.4255650211042226</v>
      </c>
      <c r="Q70" s="5627">
        <f t="shared" si="214"/>
        <v>1.1399767913062973</v>
      </c>
      <c r="R70" s="4041">
        <f>SUM(R68:R69)</f>
        <v>1.8</v>
      </c>
      <c r="S70" s="5254">
        <f t="shared" ref="S70" si="241">+S55/S$47*1000</f>
        <v>1.7266231216578654</v>
      </c>
      <c r="T70" s="4034">
        <f t="shared" si="215"/>
        <v>1.5205868372352751</v>
      </c>
      <c r="U70" s="5627">
        <f t="shared" si="216"/>
        <v>1.2756237095023482</v>
      </c>
      <c r="V70" s="4041">
        <f>SUM(V68:V69)</f>
        <v>1.8</v>
      </c>
      <c r="W70" s="5254">
        <f t="shared" ref="W70" si="242">+W55/W$47*1000</f>
        <v>2.0935516098155751</v>
      </c>
      <c r="X70" s="4035">
        <f t="shared" si="217"/>
        <v>1.8000000000000005</v>
      </c>
      <c r="Y70" s="6146">
        <f t="shared" si="218"/>
        <v>1.7573703018103435</v>
      </c>
      <c r="Z70" s="6972">
        <f t="shared" si="219"/>
        <v>1.5765470178841148</v>
      </c>
      <c r="AA70" s="6973">
        <f t="shared" si="220"/>
        <v>1.3582459490292818</v>
      </c>
      <c r="AB70" s="4041">
        <f>SUM(AB68:AB69)</f>
        <v>1.8</v>
      </c>
      <c r="AC70" s="5254">
        <f t="shared" ref="AC70" si="243">+AC55/AC$47*1000</f>
        <v>1.7210806564201624</v>
      </c>
      <c r="AD70" s="4034">
        <f t="shared" si="221"/>
        <v>1.5978400054759487</v>
      </c>
      <c r="AE70" s="5627">
        <f t="shared" si="222"/>
        <v>1.3969371799306387</v>
      </c>
      <c r="AF70" s="4041">
        <f>SUM(AF68:AF69)</f>
        <v>1.8</v>
      </c>
      <c r="AG70" s="5254">
        <f t="shared" si="204"/>
        <v>2.7044789107298639</v>
      </c>
      <c r="AH70" s="4034">
        <f t="shared" si="223"/>
        <v>1.6287157283075024</v>
      </c>
      <c r="AI70" s="5627">
        <f t="shared" si="224"/>
        <v>1.568209001727193</v>
      </c>
      <c r="AJ70" s="4041">
        <f>SUM(AJ68:AJ69)</f>
        <v>1.8</v>
      </c>
      <c r="AK70" s="5254">
        <f t="shared" si="205"/>
        <v>2.2619720825024556</v>
      </c>
      <c r="AL70" s="4035">
        <f t="shared" si="225"/>
        <v>1.7999967666664871</v>
      </c>
      <c r="AM70" s="6146">
        <f t="shared" si="226"/>
        <v>2.2825342780249591</v>
      </c>
      <c r="AN70" s="4034">
        <f t="shared" si="227"/>
        <v>1.6523737711153594</v>
      </c>
      <c r="AO70" s="5627">
        <f t="shared" si="228"/>
        <v>1.6626646611278688</v>
      </c>
      <c r="AP70" s="4041">
        <f>SUM(AP68:AP69)</f>
        <v>1.8</v>
      </c>
      <c r="AQ70" s="5254">
        <f t="shared" si="206"/>
        <v>1.6884568646448557</v>
      </c>
      <c r="AR70" s="4034">
        <f t="shared" si="229"/>
        <v>1.670036276409065</v>
      </c>
      <c r="AS70" s="5627">
        <f t="shared" si="230"/>
        <v>1.6662832975823099</v>
      </c>
      <c r="AT70" s="4041">
        <f>SUM(AT68:AT69)</f>
        <v>1.8</v>
      </c>
      <c r="AU70" s="5254">
        <f t="shared" si="207"/>
        <v>2.3420813331359569</v>
      </c>
      <c r="AV70" s="4034">
        <f t="shared" si="231"/>
        <v>1.6829775873765676</v>
      </c>
      <c r="AW70" s="5627">
        <f t="shared" si="232"/>
        <v>1.7449737272725616</v>
      </c>
      <c r="AX70" s="4041">
        <f>SUM(AX68:AX69)</f>
        <v>1.8</v>
      </c>
      <c r="AY70" s="5254">
        <f t="shared" si="208"/>
        <v>1.9415299076316024</v>
      </c>
      <c r="AZ70" s="4035">
        <f t="shared" si="233"/>
        <v>2.7549583251755099</v>
      </c>
      <c r="BA70" s="6146">
        <f t="shared" si="234"/>
        <v>1.9819560504505609</v>
      </c>
      <c r="BB70" s="4035">
        <f t="shared" ref="BB70" si="244">+BB55/BB$45*1000</f>
        <v>2.2156379439952039</v>
      </c>
      <c r="BC70" s="6146">
        <f t="shared" ref="BC70" si="245">+BC55/BC$47*1000</f>
        <v>2.1017217399402464</v>
      </c>
      <c r="BD70" s="6972">
        <f t="shared" si="237"/>
        <v>1.8809495116808117</v>
      </c>
      <c r="BE70" s="6973">
        <f t="shared" si="238"/>
        <v>1.7687017500188649</v>
      </c>
    </row>
    <row r="71" spans="1:57" ht="20" customHeight="1" x14ac:dyDescent="0.2">
      <c r="A71" t="s">
        <v>1024</v>
      </c>
      <c r="B71" s="4872" t="s">
        <v>289</v>
      </c>
      <c r="C71" s="3996" t="s">
        <v>766</v>
      </c>
      <c r="D71" s="4044">
        <v>16.8</v>
      </c>
      <c r="E71" s="4438">
        <f t="shared" ref="E71:E81" si="246">+E56/E$47*1000</f>
        <v>16.806917674720786</v>
      </c>
      <c r="F71" s="4044">
        <v>17.289263828805016</v>
      </c>
      <c r="G71" s="4438">
        <f t="shared" ref="G71:G81" si="247">+G56/G$47*1000</f>
        <v>17.289263828805016</v>
      </c>
      <c r="H71" s="4034">
        <f t="shared" ref="H71:H81" si="248">+H56/H$45*1000</f>
        <v>17.049217742302613</v>
      </c>
      <c r="I71" s="5627">
        <f t="shared" ref="I71:I81" si="249">+I56/I$47*1000</f>
        <v>17.05267550598456</v>
      </c>
      <c r="J71" s="4044">
        <v>16</v>
      </c>
      <c r="K71" s="4438">
        <f t="shared" ref="K71:K81" si="250">+K56/K$47*1000</f>
        <v>16.955937631461101</v>
      </c>
      <c r="L71" s="4035">
        <f t="shared" ref="L71:L81" si="251">+L56/L$45*1000</f>
        <v>16.649921629541549</v>
      </c>
      <c r="M71" s="6146">
        <f t="shared" ref="M71" si="252">+M56/M$47*1000</f>
        <v>17.017983974772314</v>
      </c>
      <c r="N71" s="4044">
        <v>16</v>
      </c>
      <c r="O71" s="6166">
        <f t="shared" ref="O71:O81" si="253">+O56/O$47*1000</f>
        <v>16.156154954427837</v>
      </c>
      <c r="P71" s="4034">
        <f t="shared" ref="P71:P81" si="254">+P56/P$45*1000</f>
        <v>16.427603395228743</v>
      </c>
      <c r="Q71" s="5627">
        <f t="shared" ref="Q71" si="255">+Q56/Q$47*1000</f>
        <v>16.775472936671903</v>
      </c>
      <c r="R71" s="4044">
        <v>16</v>
      </c>
      <c r="S71" s="6166">
        <f t="shared" ref="S71:S81" si="256">+S56/S$47*1000</f>
        <v>16.19653877757176</v>
      </c>
      <c r="T71" s="4034">
        <f t="shared" ref="T71:T81" si="257">+T56/T$45*1000</f>
        <v>16.319088823971903</v>
      </c>
      <c r="U71" s="5627">
        <f t="shared" ref="U71:U81" si="258">+U56/U$47*1000</f>
        <v>16.641609260283964</v>
      </c>
      <c r="V71" s="4044">
        <v>16</v>
      </c>
      <c r="W71" s="6166">
        <f t="shared" ref="W71:W81" si="259">+W56/W$47*1000</f>
        <v>15.815287018149656</v>
      </c>
      <c r="X71" s="4035">
        <f t="shared" ref="X71:X81" si="260">+X56/X$45*1000</f>
        <v>16</v>
      </c>
      <c r="Y71" s="6146">
        <f t="shared" ref="Y71:Y81" si="261">+Y56/Y$47*1000</f>
        <v>16.104426208393146</v>
      </c>
      <c r="Z71" s="6972">
        <f t="shared" ref="Z71:Z81" si="262">+Z56/Z$45*1000</f>
        <v>16.255182499531742</v>
      </c>
      <c r="AA71" s="6973">
        <f t="shared" ref="AA71:AA81" si="263">+AA56/AA$47*1000</f>
        <v>16.5581390739877</v>
      </c>
      <c r="AB71" s="4044">
        <v>16</v>
      </c>
      <c r="AC71" s="6166">
        <f t="shared" ref="AC71:AC81" si="264">+AC56/AC$47*1000</f>
        <v>16.249026197378594</v>
      </c>
      <c r="AD71" s="4034">
        <f t="shared" ref="AD71:AD81" si="265">+AD56/AD$45*1000</f>
        <v>16.230865984510409</v>
      </c>
      <c r="AE71" s="5627">
        <f t="shared" ref="AE71:AE81" si="266">+AE56/AE$47*1000</f>
        <v>16.525176522611432</v>
      </c>
      <c r="AF71" s="4044">
        <v>16</v>
      </c>
      <c r="AG71" s="6166">
        <f t="shared" si="204"/>
        <v>15.907435542190221</v>
      </c>
      <c r="AH71" s="4034">
        <f t="shared" si="223"/>
        <v>16.195593250547056</v>
      </c>
      <c r="AI71" s="5627">
        <f t="shared" si="224"/>
        <v>16.444260081764483</v>
      </c>
      <c r="AJ71" s="4044">
        <v>16</v>
      </c>
      <c r="AK71" s="6166">
        <f t="shared" si="205"/>
        <v>16.482633411708679</v>
      </c>
      <c r="AL71" s="4035">
        <f t="shared" si="225"/>
        <v>15.999971259257663</v>
      </c>
      <c r="AM71" s="6146">
        <f t="shared" si="226"/>
        <v>16.228237994366758</v>
      </c>
      <c r="AN71" s="4034">
        <f t="shared" si="227"/>
        <v>16.168577614793428</v>
      </c>
      <c r="AO71" s="5627">
        <f t="shared" si="228"/>
        <v>16.449484600456412</v>
      </c>
      <c r="AP71" s="4044">
        <v>16</v>
      </c>
      <c r="AQ71" s="6166">
        <f t="shared" si="206"/>
        <v>16.795179753614416</v>
      </c>
      <c r="AR71" s="4034">
        <f t="shared" si="229"/>
        <v>16.148403569684511</v>
      </c>
      <c r="AS71" s="5627">
        <f t="shared" si="230"/>
        <v>16.497985500448042</v>
      </c>
      <c r="AT71" s="4044">
        <v>16</v>
      </c>
      <c r="AU71" s="6166">
        <f t="shared" si="207"/>
        <v>16.45272485038171</v>
      </c>
      <c r="AV71" s="4034">
        <f t="shared" si="231"/>
        <v>16.133626086469118</v>
      </c>
      <c r="AW71" s="5627">
        <f t="shared" si="232"/>
        <v>16.492715316436836</v>
      </c>
      <c r="AX71" s="4044">
        <v>16</v>
      </c>
      <c r="AY71" s="6166">
        <f t="shared" si="208"/>
        <v>13.967357187696171</v>
      </c>
      <c r="AZ71" s="4035">
        <f t="shared" si="233"/>
        <v>24.488518446004534</v>
      </c>
      <c r="BA71" s="6146">
        <f t="shared" si="234"/>
        <v>15.661690533535722</v>
      </c>
      <c r="BB71" s="4035">
        <f t="shared" ref="BB71" si="267">+BB56/BB$45*1000</f>
        <v>19.69455950217959</v>
      </c>
      <c r="BC71" s="6146">
        <f t="shared" ref="BC71" si="268">+BC56/BC$47*1000</f>
        <v>15.887431924795557</v>
      </c>
      <c r="BD71" s="6972">
        <f t="shared" si="237"/>
        <v>17.893376524729067</v>
      </c>
      <c r="BE71" s="6973">
        <f t="shared" si="238"/>
        <v>16.187857158266162</v>
      </c>
    </row>
    <row r="72" spans="1:57" ht="20" customHeight="1" x14ac:dyDescent="0.2">
      <c r="A72" t="s">
        <v>1024</v>
      </c>
      <c r="B72" s="4872" t="s">
        <v>290</v>
      </c>
      <c r="C72" s="3996" t="s">
        <v>766</v>
      </c>
      <c r="D72" s="4044">
        <v>2.7921294434303747</v>
      </c>
      <c r="E72" s="4438">
        <f t="shared" si="246"/>
        <v>2.7921294434303747</v>
      </c>
      <c r="F72" s="4044">
        <v>2.2858759670297757</v>
      </c>
      <c r="G72" s="4438">
        <f t="shared" si="247"/>
        <v>2.2858759670297757</v>
      </c>
      <c r="H72" s="4034">
        <f t="shared" si="248"/>
        <v>2.5341810953125239</v>
      </c>
      <c r="I72" s="5627">
        <f t="shared" si="249"/>
        <v>2.5341907092319658</v>
      </c>
      <c r="J72" s="4044">
        <v>3.2</v>
      </c>
      <c r="K72" s="4438">
        <f t="shared" si="250"/>
        <v>2.3272855572593669</v>
      </c>
      <c r="L72" s="4035">
        <f t="shared" si="251"/>
        <v>2.7875688238321392</v>
      </c>
      <c r="M72" s="6146">
        <f t="shared" ref="M72" si="269">+M57/M$47*1000</f>
        <v>2.4599916783664293</v>
      </c>
      <c r="N72" s="4044">
        <v>3.2</v>
      </c>
      <c r="O72" s="6166">
        <f t="shared" si="253"/>
        <v>2.4544927719226908</v>
      </c>
      <c r="P72" s="4034">
        <f t="shared" si="254"/>
        <v>2.9286488659379395</v>
      </c>
      <c r="Q72" s="5627">
        <f t="shared" ref="Q72" si="270">+Q57/Q$47*1000</f>
        <v>2.4584443348927141</v>
      </c>
      <c r="R72" s="4044">
        <v>3.2</v>
      </c>
      <c r="S72" s="6166">
        <f t="shared" si="256"/>
        <v>2.5521466343697066</v>
      </c>
      <c r="T72" s="4034">
        <f t="shared" si="257"/>
        <v>2.9975106951501478</v>
      </c>
      <c r="U72" s="5627">
        <f t="shared" si="258"/>
        <v>2.4801105884671979</v>
      </c>
      <c r="V72" s="4044">
        <v>3.2</v>
      </c>
      <c r="W72" s="6166">
        <f t="shared" si="259"/>
        <v>2.4763724756104231</v>
      </c>
      <c r="X72" s="4035">
        <f t="shared" si="260"/>
        <v>3.2</v>
      </c>
      <c r="Y72" s="6146">
        <f t="shared" si="261"/>
        <v>2.4992110439679882</v>
      </c>
      <c r="Z72" s="6972">
        <f t="shared" si="262"/>
        <v>3.0380647548327153</v>
      </c>
      <c r="AA72" s="6973">
        <f t="shared" si="263"/>
        <v>2.4797329864124045</v>
      </c>
      <c r="AB72" s="4044">
        <v>3.2</v>
      </c>
      <c r="AC72" s="6166">
        <f t="shared" si="264"/>
        <v>2.3588928996817518</v>
      </c>
      <c r="AD72" s="4034">
        <f t="shared" si="265"/>
        <v>3.0534956751694118</v>
      </c>
      <c r="AE72" s="5627">
        <f t="shared" si="266"/>
        <v>2.466847086572622</v>
      </c>
      <c r="AF72" s="4044">
        <v>3.2</v>
      </c>
      <c r="AG72" s="6166">
        <f t="shared" si="204"/>
        <v>1.8836810209797517</v>
      </c>
      <c r="AH72" s="4034">
        <f t="shared" si="223"/>
        <v>3.0758698146008054</v>
      </c>
      <c r="AI72" s="5627">
        <f t="shared" si="224"/>
        <v>2.3904595326526645</v>
      </c>
      <c r="AJ72" s="4044">
        <v>3.2</v>
      </c>
      <c r="AK72" s="6166">
        <f t="shared" si="205"/>
        <v>1.5893330158635675</v>
      </c>
      <c r="AL72" s="4035">
        <f t="shared" si="225"/>
        <v>3.1999942518515327</v>
      </c>
      <c r="AM72" s="6146">
        <f t="shared" si="226"/>
        <v>1.8775050173922421</v>
      </c>
      <c r="AN72" s="4034">
        <f t="shared" si="227"/>
        <v>3.0930148636523231</v>
      </c>
      <c r="AO72" s="5627">
        <f t="shared" si="228"/>
        <v>2.2813863699209143</v>
      </c>
      <c r="AP72" s="4044">
        <v>3.2</v>
      </c>
      <c r="AQ72" s="6166">
        <f t="shared" si="206"/>
        <v>2.0261482375738269</v>
      </c>
      <c r="AR72" s="4034">
        <f t="shared" si="229"/>
        <v>3.1058144214825028</v>
      </c>
      <c r="AS72" s="5627">
        <f t="shared" si="230"/>
        <v>2.2455765559332761</v>
      </c>
      <c r="AT72" s="4044">
        <v>3.2</v>
      </c>
      <c r="AU72" s="6166">
        <f t="shared" si="207"/>
        <v>1.9931482225558823</v>
      </c>
      <c r="AV72" s="4034">
        <f t="shared" si="231"/>
        <v>3.11519307597601</v>
      </c>
      <c r="AW72" s="5627">
        <f t="shared" si="232"/>
        <v>2.2161836116297491</v>
      </c>
      <c r="AX72" s="4044">
        <v>3.2</v>
      </c>
      <c r="AY72" s="6166">
        <f t="shared" si="208"/>
        <v>2.5468567841449197</v>
      </c>
      <c r="AZ72" s="4035">
        <f t="shared" si="233"/>
        <v>4.897703689200906</v>
      </c>
      <c r="BA72" s="6146">
        <f t="shared" si="234"/>
        <v>2.2052520857398097</v>
      </c>
      <c r="BB72" s="4035">
        <f t="shared" ref="BB72" si="271">+BB57/BB$45*1000</f>
        <v>3.9389119004359174</v>
      </c>
      <c r="BC72" s="6146">
        <f t="shared" ref="BC72" si="272">+BC57/BC$47*1000</f>
        <v>2.0746609450053937</v>
      </c>
      <c r="BD72" s="6972">
        <f t="shared" si="237"/>
        <v>3.4671431636279997</v>
      </c>
      <c r="BE72" s="6973">
        <f t="shared" si="238"/>
        <v>2.2561020743547564</v>
      </c>
    </row>
    <row r="73" spans="1:57" ht="20" hidden="1" customHeight="1" x14ac:dyDescent="0.2">
      <c r="A73" t="s">
        <v>1024</v>
      </c>
      <c r="B73" s="4872" t="s">
        <v>550</v>
      </c>
      <c r="C73" s="3996" t="s">
        <v>766</v>
      </c>
      <c r="D73" s="4044"/>
      <c r="E73" s="4438">
        <f t="shared" si="246"/>
        <v>0</v>
      </c>
      <c r="F73" s="4044"/>
      <c r="G73" s="4438">
        <f t="shared" si="247"/>
        <v>0</v>
      </c>
      <c r="H73" s="4034">
        <f t="shared" si="248"/>
        <v>0</v>
      </c>
      <c r="I73" s="5627">
        <f t="shared" si="249"/>
        <v>0</v>
      </c>
      <c r="J73" s="4044"/>
      <c r="K73" s="4438">
        <f t="shared" si="250"/>
        <v>0</v>
      </c>
      <c r="L73" s="4035">
        <f t="shared" si="251"/>
        <v>0</v>
      </c>
      <c r="M73" s="6146">
        <f t="shared" ref="M73" si="273">+M58/M$47*1000</f>
        <v>0</v>
      </c>
      <c r="N73" s="4044">
        <v>0</v>
      </c>
      <c r="O73" s="4438">
        <f t="shared" si="253"/>
        <v>0</v>
      </c>
      <c r="P73" s="4034">
        <f t="shared" si="254"/>
        <v>0</v>
      </c>
      <c r="Q73" s="5627">
        <f t="shared" ref="Q73" si="274">+Q58/Q$47*1000</f>
        <v>0</v>
      </c>
      <c r="R73" s="4044">
        <v>0</v>
      </c>
      <c r="S73" s="4438">
        <f t="shared" si="256"/>
        <v>0</v>
      </c>
      <c r="T73" s="4034">
        <f t="shared" si="257"/>
        <v>0</v>
      </c>
      <c r="U73" s="5627">
        <f t="shared" si="258"/>
        <v>0</v>
      </c>
      <c r="V73" s="4044"/>
      <c r="W73" s="4438">
        <f t="shared" si="259"/>
        <v>0</v>
      </c>
      <c r="X73" s="4035">
        <f t="shared" si="260"/>
        <v>0</v>
      </c>
      <c r="Y73" s="6146">
        <f t="shared" si="261"/>
        <v>0</v>
      </c>
      <c r="Z73" s="6972">
        <f t="shared" si="262"/>
        <v>0</v>
      </c>
      <c r="AA73" s="6973">
        <f t="shared" si="263"/>
        <v>0</v>
      </c>
      <c r="AB73" s="4044">
        <v>0</v>
      </c>
      <c r="AC73" s="4438">
        <f t="shared" si="264"/>
        <v>0</v>
      </c>
      <c r="AD73" s="4034">
        <f t="shared" si="265"/>
        <v>0</v>
      </c>
      <c r="AE73" s="5627">
        <f t="shared" si="266"/>
        <v>0</v>
      </c>
      <c r="AF73" s="4044">
        <v>0</v>
      </c>
      <c r="AG73" s="4438">
        <f t="shared" si="204"/>
        <v>0</v>
      </c>
      <c r="AH73" s="4034">
        <f t="shared" si="223"/>
        <v>0</v>
      </c>
      <c r="AI73" s="5627">
        <f t="shared" si="224"/>
        <v>0</v>
      </c>
      <c r="AJ73" s="4044"/>
      <c r="AK73" s="4438">
        <f t="shared" si="205"/>
        <v>0</v>
      </c>
      <c r="AL73" s="4035">
        <f t="shared" si="225"/>
        <v>0</v>
      </c>
      <c r="AM73" s="6146">
        <f t="shared" si="226"/>
        <v>0</v>
      </c>
      <c r="AN73" s="4034">
        <f t="shared" si="227"/>
        <v>0</v>
      </c>
      <c r="AO73" s="5627">
        <f t="shared" si="228"/>
        <v>0</v>
      </c>
      <c r="AP73" s="4044"/>
      <c r="AQ73" s="4438">
        <f t="shared" si="206"/>
        <v>0</v>
      </c>
      <c r="AR73" s="4034">
        <f t="shared" si="229"/>
        <v>0</v>
      </c>
      <c r="AS73" s="5627">
        <f t="shared" si="230"/>
        <v>0</v>
      </c>
      <c r="AT73" s="4044"/>
      <c r="AU73" s="4438">
        <f t="shared" si="207"/>
        <v>0</v>
      </c>
      <c r="AV73" s="4034">
        <f t="shared" si="231"/>
        <v>0</v>
      </c>
      <c r="AW73" s="5627">
        <f t="shared" si="232"/>
        <v>0</v>
      </c>
      <c r="AX73" s="4044"/>
      <c r="AY73" s="4438">
        <f t="shared" si="208"/>
        <v>0</v>
      </c>
      <c r="AZ73" s="4035">
        <f t="shared" si="233"/>
        <v>0</v>
      </c>
      <c r="BA73" s="6146">
        <f t="shared" si="234"/>
        <v>0</v>
      </c>
      <c r="BB73" s="4035">
        <f t="shared" ref="BB73" si="275">+BB58/BB$45*1000</f>
        <v>0</v>
      </c>
      <c r="BC73" s="6146">
        <f t="shared" ref="BC73" si="276">+BC58/BC$47*1000</f>
        <v>0</v>
      </c>
      <c r="BD73" s="6972">
        <f t="shared" si="237"/>
        <v>0</v>
      </c>
      <c r="BE73" s="6973">
        <f t="shared" si="238"/>
        <v>0</v>
      </c>
    </row>
    <row r="74" spans="1:57" ht="20" customHeight="1" x14ac:dyDescent="0.2">
      <c r="A74" t="s">
        <v>1024</v>
      </c>
      <c r="B74" s="4037" t="s">
        <v>291</v>
      </c>
      <c r="C74" s="3996" t="s">
        <v>766</v>
      </c>
      <c r="D74" s="4044">
        <v>1.6</v>
      </c>
      <c r="E74" s="4438">
        <f t="shared" si="246"/>
        <v>1.5932927017912941</v>
      </c>
      <c r="F74" s="4044">
        <v>1.377482260262243</v>
      </c>
      <c r="G74" s="4438">
        <f t="shared" si="247"/>
        <v>1.377482260262243</v>
      </c>
      <c r="H74" s="4034">
        <f t="shared" si="248"/>
        <v>1.4866204343009757</v>
      </c>
      <c r="I74" s="5627">
        <f t="shared" si="249"/>
        <v>1.4833361786073331</v>
      </c>
      <c r="J74" s="4044">
        <v>2</v>
      </c>
      <c r="K74" s="4438">
        <f t="shared" si="250"/>
        <v>1.4486165203349122</v>
      </c>
      <c r="L74" s="4035">
        <f t="shared" si="251"/>
        <v>1.681995004030145</v>
      </c>
      <c r="M74" s="6146">
        <f t="shared" ref="M74" si="277">+M59/M$47*1000</f>
        <v>1.4708852320202832</v>
      </c>
      <c r="N74" s="4044">
        <v>2</v>
      </c>
      <c r="O74" s="4438">
        <f t="shared" si="253"/>
        <v>1.3608453596229599</v>
      </c>
      <c r="P74" s="4034">
        <f t="shared" si="254"/>
        <v>1.7907747491457817</v>
      </c>
      <c r="Q74" s="5627">
        <f t="shared" ref="Q74" si="278">+Q59/Q$47*1000</f>
        <v>1.4399209884666784</v>
      </c>
      <c r="R74" s="4044">
        <v>2</v>
      </c>
      <c r="S74" s="4438">
        <f t="shared" si="256"/>
        <v>1.4882677412269814</v>
      </c>
      <c r="T74" s="4034">
        <f t="shared" si="257"/>
        <v>1.8438706521387991</v>
      </c>
      <c r="U74" s="5627">
        <f t="shared" si="258"/>
        <v>1.4510999350950353</v>
      </c>
      <c r="V74" s="4044">
        <v>2</v>
      </c>
      <c r="W74" s="4438">
        <f t="shared" si="259"/>
        <v>1.7226938960768161</v>
      </c>
      <c r="X74" s="4035">
        <f t="shared" si="260"/>
        <v>2</v>
      </c>
      <c r="Y74" s="6146">
        <f t="shared" si="261"/>
        <v>1.4860822634161237</v>
      </c>
      <c r="Z74" s="6972">
        <f t="shared" si="262"/>
        <v>1.8751398537198829</v>
      </c>
      <c r="AA74" s="6973">
        <f t="shared" si="263"/>
        <v>1.4785347509140239</v>
      </c>
      <c r="AB74" s="4044">
        <v>2</v>
      </c>
      <c r="AC74" s="4438">
        <f t="shared" si="264"/>
        <v>1.8020726873105231</v>
      </c>
      <c r="AD74" s="4034">
        <f t="shared" si="265"/>
        <v>1.8870378625102884</v>
      </c>
      <c r="AE74" s="5627">
        <f t="shared" si="266"/>
        <v>1.5130355325302098</v>
      </c>
      <c r="AF74" s="4044">
        <v>2</v>
      </c>
      <c r="AG74" s="4438">
        <f t="shared" si="204"/>
        <v>1.1746147811432672</v>
      </c>
      <c r="AH74" s="4034">
        <f t="shared" si="223"/>
        <v>1.9042897698741514</v>
      </c>
      <c r="AI74" s="5627">
        <f t="shared" si="224"/>
        <v>1.4687065927659915</v>
      </c>
      <c r="AJ74" s="4044">
        <v>2</v>
      </c>
      <c r="AK74" s="4438">
        <f t="shared" si="205"/>
        <v>1.3571832495014731</v>
      </c>
      <c r="AL74" s="4035">
        <f t="shared" si="225"/>
        <v>1.9999964074072079</v>
      </c>
      <c r="AM74" s="6146">
        <f t="shared" si="226"/>
        <v>1.4025922148277561</v>
      </c>
      <c r="AN74" s="4034">
        <f t="shared" si="227"/>
        <v>1.9175094116958604</v>
      </c>
      <c r="AO74" s="5627">
        <f t="shared" si="228"/>
        <v>1.4535227191663087</v>
      </c>
      <c r="AP74" s="4044">
        <v>2</v>
      </c>
      <c r="AQ74" s="4438">
        <f t="shared" si="206"/>
        <v>1.4550525333557138</v>
      </c>
      <c r="AR74" s="4034">
        <f t="shared" si="229"/>
        <v>1.927378600138451</v>
      </c>
      <c r="AS74" s="5627">
        <f t="shared" si="230"/>
        <v>1.4537373515218057</v>
      </c>
      <c r="AT74" s="4044">
        <v>2</v>
      </c>
      <c r="AU74" s="4438">
        <f t="shared" si="207"/>
        <v>1.4644616913739505</v>
      </c>
      <c r="AV74" s="4034">
        <f t="shared" si="231"/>
        <v>1.9346099728056558</v>
      </c>
      <c r="AW74" s="5627">
        <f t="shared" si="232"/>
        <v>1.454986101690809</v>
      </c>
      <c r="AX74" s="4044">
        <v>2</v>
      </c>
      <c r="AY74" s="4438">
        <f t="shared" si="208"/>
        <v>1.3003318088063849</v>
      </c>
      <c r="AZ74" s="4035">
        <f t="shared" si="233"/>
        <v>3.0610648057505667</v>
      </c>
      <c r="BA74" s="6146">
        <f t="shared" si="234"/>
        <v>1.4017123383120742</v>
      </c>
      <c r="BB74" s="4035">
        <f t="shared" ref="BB74" si="279">+BB59/BB$45*1000</f>
        <v>2.4618199377724488</v>
      </c>
      <c r="BC74" s="6146">
        <f t="shared" ref="BC74" si="280">+BC59/BC$47*1000</f>
        <v>1.402062925972454</v>
      </c>
      <c r="BD74" s="6972">
        <f t="shared" si="237"/>
        <v>2.1545787775881498</v>
      </c>
      <c r="BE74" s="6973">
        <f t="shared" si="238"/>
        <v>1.4363164237764747</v>
      </c>
    </row>
    <row r="75" spans="1:57" ht="20" customHeight="1" x14ac:dyDescent="0.2">
      <c r="A75" t="s">
        <v>1024</v>
      </c>
      <c r="B75" s="4872" t="s">
        <v>2267</v>
      </c>
      <c r="C75" s="3996" t="s">
        <v>766</v>
      </c>
      <c r="D75" s="4044">
        <v>0.61623802319717591</v>
      </c>
      <c r="E75" s="4438">
        <f t="shared" si="246"/>
        <v>0.37744021285152984</v>
      </c>
      <c r="F75" s="4044">
        <v>0.62824450334713844</v>
      </c>
      <c r="G75" s="4438">
        <f t="shared" si="247"/>
        <v>0.41190442506868796</v>
      </c>
      <c r="H75" s="4034">
        <f t="shared" si="248"/>
        <v>0.62235302519097402</v>
      </c>
      <c r="I75" s="5627">
        <f t="shared" si="249"/>
        <v>0.39499990515753336</v>
      </c>
      <c r="J75" s="4044">
        <v>0.31366616238023193</v>
      </c>
      <c r="K75" s="4438">
        <f t="shared" si="250"/>
        <v>0.4585363205818892</v>
      </c>
      <c r="L75" s="4035">
        <f t="shared" si="251"/>
        <v>0.50487744370658527</v>
      </c>
      <c r="M75" s="6146">
        <f t="shared" ref="M75" si="281">+M60/M$47*1000</f>
        <v>0.41778493686994644</v>
      </c>
      <c r="N75" s="4044">
        <v>0.31366616238023198</v>
      </c>
      <c r="O75" s="4438">
        <f t="shared" si="253"/>
        <v>0.5406098003981622</v>
      </c>
      <c r="P75" s="4034">
        <f t="shared" si="254"/>
        <v>0.43946993530414913</v>
      </c>
      <c r="Q75" s="5627">
        <f t="shared" ref="Q75" si="282">+Q60/Q$47*1000</f>
        <v>0.45234676346852426</v>
      </c>
      <c r="R75" s="4044">
        <v>0.31366616238023193</v>
      </c>
      <c r="S75" s="4438">
        <f t="shared" si="256"/>
        <v>0.59065625979945824</v>
      </c>
      <c r="T75" s="4034">
        <f t="shared" si="257"/>
        <v>0.4075442241576579</v>
      </c>
      <c r="U75" s="5627">
        <f t="shared" si="258"/>
        <v>0.48432728727627716</v>
      </c>
      <c r="V75" s="4044">
        <v>0.31366616238023198</v>
      </c>
      <c r="W75" s="4438">
        <f t="shared" si="259"/>
        <v>0.62905842456532779</v>
      </c>
      <c r="X75" s="4035">
        <f t="shared" si="260"/>
        <v>0.31366616238023193</v>
      </c>
      <c r="Y75" s="6146">
        <f t="shared" si="261"/>
        <v>0.57902710587639894</v>
      </c>
      <c r="Z75" s="6972">
        <f t="shared" si="262"/>
        <v>0.38874255696329152</v>
      </c>
      <c r="AA75" s="6973">
        <f t="shared" si="263"/>
        <v>0.49894717087178969</v>
      </c>
      <c r="AB75" s="4044">
        <v>0.31366616238023198</v>
      </c>
      <c r="AC75" s="4438">
        <f t="shared" si="264"/>
        <v>0.68038367949833545</v>
      </c>
      <c r="AD75" s="4034">
        <f t="shared" si="265"/>
        <v>0.38158847594293771</v>
      </c>
      <c r="AE75" s="5627">
        <f t="shared" si="266"/>
        <v>0.5182948289271232</v>
      </c>
      <c r="AF75" s="4044">
        <v>0.311</v>
      </c>
      <c r="AG75" s="4438">
        <f t="shared" si="204"/>
        <v>0.73907621503764476</v>
      </c>
      <c r="AH75" s="4034">
        <f t="shared" si="223"/>
        <v>0.37080689399518318</v>
      </c>
      <c r="AI75" s="5627">
        <f t="shared" si="224"/>
        <v>0.54721446439818711</v>
      </c>
      <c r="AJ75" s="4044">
        <v>0.311</v>
      </c>
      <c r="AK75" s="4438">
        <f t="shared" si="205"/>
        <v>0.61591118783297116</v>
      </c>
      <c r="AL75" s="4035">
        <f t="shared" si="225"/>
        <v>0.31154615451834189</v>
      </c>
      <c r="AM75" s="6146">
        <f t="shared" si="226"/>
        <v>0.67389634546281307</v>
      </c>
      <c r="AN75" s="4034">
        <f t="shared" si="227"/>
        <v>0.36254627529177319</v>
      </c>
      <c r="AO75" s="5627">
        <f t="shared" si="228"/>
        <v>0.55656750506943087</v>
      </c>
      <c r="AP75" s="4044">
        <v>0.311</v>
      </c>
      <c r="AQ75" s="4438">
        <f t="shared" si="206"/>
        <v>0.69648845666600301</v>
      </c>
      <c r="AR75" s="4034">
        <f t="shared" si="229"/>
        <v>0.3563788511065149</v>
      </c>
      <c r="AS75" s="5627">
        <f t="shared" si="230"/>
        <v>0.5761983619620562</v>
      </c>
      <c r="AT75" s="4044">
        <v>0.311</v>
      </c>
      <c r="AU75" s="4438">
        <f t="shared" si="207"/>
        <v>0.57764290396937845</v>
      </c>
      <c r="AV75" s="4034">
        <f t="shared" si="231"/>
        <v>0.35186019153528081</v>
      </c>
      <c r="AW75" s="5627">
        <f t="shared" si="232"/>
        <v>0.57636656551590149</v>
      </c>
      <c r="AX75" s="4044">
        <v>0.311</v>
      </c>
      <c r="AY75" s="4438">
        <f t="shared" si="208"/>
        <v>0.62236570711146988</v>
      </c>
      <c r="AZ75" s="4035">
        <f t="shared" si="233"/>
        <v>0.47599557729421316</v>
      </c>
      <c r="BA75" s="6146">
        <f t="shared" si="234"/>
        <v>0.6329057187092576</v>
      </c>
      <c r="BB75" s="4035">
        <f t="shared" ref="BB75" si="283">+BB60/BB$45*1000</f>
        <v>0.38312175992837383</v>
      </c>
      <c r="BC75" s="6146">
        <f t="shared" ref="BC75" si="284">+BC60/BC$47*1000</f>
        <v>0.64923847412993685</v>
      </c>
      <c r="BD75" s="6972">
        <f t="shared" si="237"/>
        <v>0.38606534067895854</v>
      </c>
      <c r="BE75" s="6973">
        <f t="shared" si="238"/>
        <v>0.58191952587612195</v>
      </c>
    </row>
    <row r="76" spans="1:57" ht="20" customHeight="1" x14ac:dyDescent="0.2">
      <c r="A76" t="s">
        <v>1024</v>
      </c>
      <c r="B76" s="4037" t="s">
        <v>539</v>
      </c>
      <c r="C76" s="3996" t="s">
        <v>766</v>
      </c>
      <c r="D76" s="4044">
        <v>20.5</v>
      </c>
      <c r="E76" s="4438">
        <f t="shared" si="246"/>
        <v>20.534913219688764</v>
      </c>
      <c r="F76" s="4044">
        <v>29.362709693752187</v>
      </c>
      <c r="G76" s="4438">
        <f t="shared" si="247"/>
        <v>29.362709693752187</v>
      </c>
      <c r="H76" s="4034">
        <f t="shared" si="248"/>
        <v>25.015500993945281</v>
      </c>
      <c r="I76" s="5627">
        <f t="shared" si="249"/>
        <v>25.032720650998691</v>
      </c>
      <c r="J76" s="4044">
        <v>20</v>
      </c>
      <c r="K76" s="4438">
        <f t="shared" si="250"/>
        <v>26.563623780380237</v>
      </c>
      <c r="L76" s="4035">
        <f t="shared" si="251"/>
        <v>23.106774168532908</v>
      </c>
      <c r="M76" s="6146">
        <f t="shared" ref="M76" si="285">+M61/M$47*1000</f>
        <v>25.581723551439616</v>
      </c>
      <c r="N76" s="4044">
        <v>20</v>
      </c>
      <c r="O76" s="4438">
        <f t="shared" si="253"/>
        <v>18.380733213537514</v>
      </c>
      <c r="P76" s="4034">
        <f t="shared" si="254"/>
        <v>22.044042115678966</v>
      </c>
      <c r="Q76" s="5627">
        <f t="shared" ref="Q76" si="286">+Q61/Q$47*1000</f>
        <v>23.555428774898434</v>
      </c>
      <c r="R76" s="4044">
        <v>20</v>
      </c>
      <c r="S76" s="4438">
        <f t="shared" si="256"/>
        <v>28.166629711893457</v>
      </c>
      <c r="T76" s="4034">
        <f t="shared" si="257"/>
        <v>21.525317624038358</v>
      </c>
      <c r="U76" s="5627">
        <f t="shared" si="258"/>
        <v>24.621650728270694</v>
      </c>
      <c r="V76" s="4044">
        <v>20</v>
      </c>
      <c r="W76" s="4438">
        <f t="shared" si="259"/>
        <v>26.905128974144162</v>
      </c>
      <c r="X76" s="4035">
        <f t="shared" si="260"/>
        <v>20</v>
      </c>
      <c r="Y76" s="6146">
        <f t="shared" si="261"/>
        <v>24.132631521581384</v>
      </c>
      <c r="Z76" s="6972">
        <f t="shared" si="262"/>
        <v>21.219830763850894</v>
      </c>
      <c r="AA76" s="6973">
        <f t="shared" si="263"/>
        <v>24.852314196912427</v>
      </c>
      <c r="AB76" s="4044">
        <v>20</v>
      </c>
      <c r="AC76" s="4438">
        <f t="shared" si="264"/>
        <v>23.254836869394783</v>
      </c>
      <c r="AD76" s="4034">
        <f t="shared" si="265"/>
        <v>21.103592255539805</v>
      </c>
      <c r="AE76" s="5627">
        <f t="shared" si="266"/>
        <v>24.681965652851886</v>
      </c>
      <c r="AF76" s="4044">
        <v>20</v>
      </c>
      <c r="AG76" s="4438">
        <f t="shared" si="204"/>
        <v>29.60172494186051</v>
      </c>
      <c r="AH76" s="4034">
        <f t="shared" si="223"/>
        <v>20.935020460817498</v>
      </c>
      <c r="AI76" s="5627">
        <f t="shared" si="224"/>
        <v>25.32639337273352</v>
      </c>
      <c r="AJ76" s="4044">
        <v>20</v>
      </c>
      <c r="AK76" s="4438">
        <f t="shared" si="205"/>
        <v>24.405488258579123</v>
      </c>
      <c r="AL76" s="4035">
        <f t="shared" si="225"/>
        <v>19.999964074072082</v>
      </c>
      <c r="AM76" s="6146">
        <f t="shared" si="226"/>
        <v>25.911045652870651</v>
      </c>
      <c r="AN76" s="4034">
        <f t="shared" si="227"/>
        <v>20.805874019818205</v>
      </c>
      <c r="AO76" s="5627">
        <f t="shared" si="228"/>
        <v>25.201012385746285</v>
      </c>
      <c r="AP76" s="4044">
        <v>20</v>
      </c>
      <c r="AQ76" s="4438">
        <f t="shared" si="206"/>
        <v>27.060004280734756</v>
      </c>
      <c r="AR76" s="4034">
        <f t="shared" si="229"/>
        <v>20.709448501988227</v>
      </c>
      <c r="AS76" s="5627">
        <f t="shared" si="230"/>
        <v>25.461828249551225</v>
      </c>
      <c r="AT76" s="4044">
        <v>20</v>
      </c>
      <c r="AU76" s="4438">
        <f t="shared" si="207"/>
        <v>16.976124516251826</v>
      </c>
      <c r="AV76" s="4034">
        <f t="shared" si="231"/>
        <v>20.638804221984707</v>
      </c>
      <c r="AW76" s="5627">
        <f t="shared" si="232"/>
        <v>24.473746547818468</v>
      </c>
      <c r="AX76" s="4044">
        <v>20</v>
      </c>
      <c r="AY76" s="4438">
        <f t="shared" si="208"/>
        <v>16.012016859474485</v>
      </c>
      <c r="AZ76" s="4035">
        <f t="shared" si="233"/>
        <v>30.610648057505664</v>
      </c>
      <c r="BA76" s="6146">
        <f t="shared" si="234"/>
        <v>19.935283267319743</v>
      </c>
      <c r="BB76" s="4035">
        <f t="shared" ref="BB76" si="287">+BB61/BB$45*1000</f>
        <v>24.618199377724483</v>
      </c>
      <c r="BC76" s="6146">
        <f t="shared" ref="BC76" si="288">+BC61/BC$47*1000</f>
        <v>22.316331648992328</v>
      </c>
      <c r="BD76" s="6972">
        <f t="shared" si="237"/>
        <v>22.838492269809638</v>
      </c>
      <c r="BE76" s="6973">
        <f t="shared" si="238"/>
        <v>23.452256843697544</v>
      </c>
    </row>
    <row r="77" spans="1:57" ht="20" customHeight="1" x14ac:dyDescent="0.2">
      <c r="A77" t="s">
        <v>1024</v>
      </c>
      <c r="B77" s="4037" t="s">
        <v>1197</v>
      </c>
      <c r="C77" s="3996" t="s">
        <v>766</v>
      </c>
      <c r="D77" s="4044">
        <v>0.4</v>
      </c>
      <c r="E77" s="4438">
        <f t="shared" si="246"/>
        <v>0.44086254369953287</v>
      </c>
      <c r="F77" s="4044">
        <v>0.96796050721130578</v>
      </c>
      <c r="G77" s="4438">
        <f t="shared" si="247"/>
        <v>0.96796050721130578</v>
      </c>
      <c r="H77" s="4034">
        <f t="shared" si="248"/>
        <v>0.68937616655791434</v>
      </c>
      <c r="I77" s="5627">
        <f t="shared" si="249"/>
        <v>0.70942165063828977</v>
      </c>
      <c r="J77" s="4044">
        <v>0</v>
      </c>
      <c r="K77" s="4438">
        <f t="shared" si="250"/>
        <v>0.98383791779186047</v>
      </c>
      <c r="L77" s="4035">
        <f t="shared" si="251"/>
        <v>0.42702335604157515</v>
      </c>
      <c r="M77" s="6146">
        <f t="shared" ref="M77" si="289">+M62/M$47*1000</f>
        <v>0.80783109517077589</v>
      </c>
      <c r="N77" s="4044">
        <v>0</v>
      </c>
      <c r="O77" s="4438">
        <f t="shared" si="253"/>
        <v>1.4602678516502083</v>
      </c>
      <c r="P77" s="4034">
        <f t="shared" si="254"/>
        <v>0.28095177723836179</v>
      </c>
      <c r="Q77" s="5627">
        <f t="shared" ref="Q77" si="290">+Q62/Q$47*1000</f>
        <v>0.99142100845246717</v>
      </c>
      <c r="R77" s="4044">
        <v>0</v>
      </c>
      <c r="S77" s="4438">
        <f t="shared" si="256"/>
        <v>1.5115219246836531</v>
      </c>
      <c r="T77" s="4034">
        <f t="shared" si="257"/>
        <v>0.20965355558939855</v>
      </c>
      <c r="U77" s="5627">
        <f t="shared" si="258"/>
        <v>1.1116810063210691</v>
      </c>
      <c r="V77" s="4044">
        <v>0</v>
      </c>
      <c r="W77" s="4438">
        <f t="shared" si="259"/>
        <v>1.1125731412162769</v>
      </c>
      <c r="X77" s="4035">
        <f t="shared" si="260"/>
        <v>0</v>
      </c>
      <c r="Y77" s="6146">
        <f t="shared" si="261"/>
        <v>1.411658111290276</v>
      </c>
      <c r="Z77" s="6972">
        <f t="shared" si="262"/>
        <v>0.16766465739875311</v>
      </c>
      <c r="AA77" s="6973">
        <f t="shared" si="263"/>
        <v>1.111771124512384</v>
      </c>
      <c r="AB77" s="4044">
        <v>0</v>
      </c>
      <c r="AC77" s="4438">
        <f t="shared" si="264"/>
        <v>1.0630204054359829</v>
      </c>
      <c r="AD77" s="4034">
        <f t="shared" si="265"/>
        <v>0.15168777744944348</v>
      </c>
      <c r="AE77" s="5627">
        <f t="shared" si="266"/>
        <v>1.1065725443050054</v>
      </c>
      <c r="AF77" s="4044">
        <v>0</v>
      </c>
      <c r="AG77" s="4438">
        <f t="shared" si="204"/>
        <v>1.009882220373175</v>
      </c>
      <c r="AH77" s="4034">
        <f t="shared" si="223"/>
        <v>0.1285196778888793</v>
      </c>
      <c r="AI77" s="5627">
        <f t="shared" si="224"/>
        <v>1.0939073057586368</v>
      </c>
      <c r="AJ77" s="4044">
        <v>0</v>
      </c>
      <c r="AK77" s="4438">
        <f t="shared" si="205"/>
        <v>1.3393255751659277</v>
      </c>
      <c r="AL77" s="4035">
        <f t="shared" si="225"/>
        <v>0</v>
      </c>
      <c r="AM77" s="6146">
        <f t="shared" si="226"/>
        <v>1.1589840933050406</v>
      </c>
      <c r="AN77" s="4034">
        <f t="shared" si="227"/>
        <v>0.11076834549213904</v>
      </c>
      <c r="AO77" s="5627">
        <f t="shared" si="228"/>
        <v>1.1273209380319684</v>
      </c>
      <c r="AP77" s="4044">
        <v>0</v>
      </c>
      <c r="AQ77" s="4438">
        <f t="shared" si="206"/>
        <v>1.4749167317633003</v>
      </c>
      <c r="AR77" s="4034">
        <f t="shared" si="229"/>
        <v>9.7515280632368653E-2</v>
      </c>
      <c r="AS77" s="5627">
        <f t="shared" si="230"/>
        <v>1.1760884971813121</v>
      </c>
      <c r="AT77" s="4044">
        <v>0</v>
      </c>
      <c r="AU77" s="4438">
        <f t="shared" si="207"/>
        <v>1.2635608095248165</v>
      </c>
      <c r="AV77" s="4034">
        <f t="shared" si="231"/>
        <v>8.7805066613579383E-2</v>
      </c>
      <c r="AW77" s="5627">
        <f t="shared" si="232"/>
        <v>1.1862738387807019</v>
      </c>
      <c r="AX77" s="4044">
        <v>0</v>
      </c>
      <c r="AY77" s="4438">
        <f t="shared" si="208"/>
        <v>1.2868801004394224</v>
      </c>
      <c r="AZ77" s="4035">
        <f t="shared" si="233"/>
        <v>0</v>
      </c>
      <c r="BA77" s="6146">
        <f t="shared" si="234"/>
        <v>1.341406109803299</v>
      </c>
      <c r="BB77" s="4035">
        <f t="shared" ref="BB77" si="291">+BB62/BB$45*1000</f>
        <v>0</v>
      </c>
      <c r="BC77" s="6146">
        <f t="shared" ref="BC77" si="292">+BC62/BC$47*1000</f>
        <v>1.2687198784673814</v>
      </c>
      <c r="BD77" s="6972">
        <f t="shared" si="237"/>
        <v>8.7805066613579383E-2</v>
      </c>
      <c r="BE77" s="6973">
        <f t="shared" si="238"/>
        <v>1.1984189041798061</v>
      </c>
    </row>
    <row r="78" spans="1:57" ht="20" customHeight="1" x14ac:dyDescent="0.2">
      <c r="A78" t="s">
        <v>1024</v>
      </c>
      <c r="B78" s="4037" t="s">
        <v>540</v>
      </c>
      <c r="C78" s="3996" t="s">
        <v>766</v>
      </c>
      <c r="D78" s="4044">
        <v>0.5</v>
      </c>
      <c r="E78" s="4438">
        <f t="shared" si="246"/>
        <v>0.53367571079417131</v>
      </c>
      <c r="F78" s="4044">
        <v>1.6083036119818619</v>
      </c>
      <c r="G78" s="4438">
        <f t="shared" si="247"/>
        <v>1.6083036119818619</v>
      </c>
      <c r="H78" s="4034">
        <f t="shared" si="248"/>
        <v>1.0646823168788602</v>
      </c>
      <c r="I78" s="5627">
        <f t="shared" si="249"/>
        <v>1.0812041199567519</v>
      </c>
      <c r="J78" s="4044">
        <v>10</v>
      </c>
      <c r="K78" s="4438">
        <f t="shared" si="250"/>
        <v>1.770908252025349</v>
      </c>
      <c r="L78" s="4035">
        <f t="shared" si="251"/>
        <v>4.4651562826788362</v>
      </c>
      <c r="M78" s="6146">
        <f t="shared" ref="M78" si="293">+M63/M$47*1000</f>
        <v>1.3285414998892884</v>
      </c>
      <c r="N78" s="4044">
        <v>10</v>
      </c>
      <c r="O78" s="4438">
        <f t="shared" si="253"/>
        <v>14.552967270488457</v>
      </c>
      <c r="P78" s="4034">
        <f t="shared" si="254"/>
        <v>6.3584563768765747</v>
      </c>
      <c r="Q78" s="5627">
        <f t="shared" ref="Q78" si="294">+Q63/Q$47*1000</f>
        <v>5.0497775527526017</v>
      </c>
      <c r="R78" s="4044">
        <v>10</v>
      </c>
      <c r="S78" s="4438">
        <f t="shared" si="256"/>
        <v>7.3773897016290606</v>
      </c>
      <c r="T78" s="4034">
        <f t="shared" si="257"/>
        <v>7.282585018944375</v>
      </c>
      <c r="U78" s="5627">
        <f t="shared" si="258"/>
        <v>5.5879781659935723</v>
      </c>
      <c r="V78" s="4044">
        <v>10</v>
      </c>
      <c r="W78" s="4438">
        <f t="shared" si="259"/>
        <v>2.9190091016857158</v>
      </c>
      <c r="X78" s="4035">
        <f t="shared" si="260"/>
        <v>10</v>
      </c>
      <c r="Y78" s="6146">
        <f t="shared" si="261"/>
        <v>9.2550034337143092</v>
      </c>
      <c r="Z78" s="6972">
        <f t="shared" si="262"/>
        <v>7.8268222042404068</v>
      </c>
      <c r="AA78" s="6973">
        <f t="shared" si="263"/>
        <v>5.3183746945423938</v>
      </c>
      <c r="AB78" s="4044">
        <v>10</v>
      </c>
      <c r="AC78" s="4438">
        <f t="shared" si="264"/>
        <v>0.36446413900662261</v>
      </c>
      <c r="AD78" s="4034">
        <f t="shared" si="265"/>
        <v>8.0339058036705531</v>
      </c>
      <c r="AE78" s="5627">
        <f t="shared" si="266"/>
        <v>4.790109638128107</v>
      </c>
      <c r="AF78" s="4044">
        <v>10</v>
      </c>
      <c r="AG78" s="4438">
        <f t="shared" si="204"/>
        <v>0</v>
      </c>
      <c r="AH78" s="4034">
        <f t="shared" si="223"/>
        <v>8.3341909949770905</v>
      </c>
      <c r="AI78" s="5627">
        <f t="shared" si="224"/>
        <v>4.1626644216561512</v>
      </c>
      <c r="AJ78" s="4044">
        <v>10</v>
      </c>
      <c r="AK78" s="4438">
        <f t="shared" si="205"/>
        <v>0</v>
      </c>
      <c r="AL78" s="4035">
        <f t="shared" si="225"/>
        <v>9.999982037036041</v>
      </c>
      <c r="AM78" s="6146">
        <f t="shared" si="226"/>
        <v>8.8584771462805648E-2</v>
      </c>
      <c r="AN78" s="4034">
        <f t="shared" si="227"/>
        <v>8.5642750555923985</v>
      </c>
      <c r="AO78" s="5627">
        <f t="shared" si="228"/>
        <v>3.5959187649517212</v>
      </c>
      <c r="AP78" s="4044">
        <v>10</v>
      </c>
      <c r="AQ78" s="4438">
        <f t="shared" si="206"/>
        <v>1.0726667140096728</v>
      </c>
      <c r="AR78" s="4034">
        <f t="shared" si="229"/>
        <v>8.7360520963578665</v>
      </c>
      <c r="AS78" s="5627">
        <f t="shared" si="230"/>
        <v>3.241907451057255</v>
      </c>
      <c r="AT78" s="4044">
        <v>10</v>
      </c>
      <c r="AU78" s="4438">
        <f t="shared" si="207"/>
        <v>0</v>
      </c>
      <c r="AV78" s="4034">
        <f t="shared" si="231"/>
        <v>8.8619113932124272</v>
      </c>
      <c r="AW78" s="5627">
        <f t="shared" si="232"/>
        <v>2.8644173180314509</v>
      </c>
      <c r="AX78" s="4044">
        <v>10</v>
      </c>
      <c r="AY78" s="4438">
        <f t="shared" si="208"/>
        <v>0</v>
      </c>
      <c r="AZ78" s="4035">
        <f t="shared" si="233"/>
        <v>15.305324028752832</v>
      </c>
      <c r="BA78" s="6146">
        <f t="shared" si="234"/>
        <v>0.35205798264582328</v>
      </c>
      <c r="BB78" s="4035">
        <f t="shared" ref="BB78" si="295">+BB63/BB$45*1000</f>
        <v>12.309099688862242</v>
      </c>
      <c r="BC78" s="6146">
        <f t="shared" ref="BC78" si="296">+BC63/BC$47*1000</f>
        <v>0.24707682331822267</v>
      </c>
      <c r="BD78" s="6972">
        <f t="shared" si="237"/>
        <v>9.9617554171248965</v>
      </c>
      <c r="BE78" s="6973">
        <f t="shared" si="238"/>
        <v>2.518628347402275</v>
      </c>
    </row>
    <row r="79" spans="1:57" ht="20" customHeight="1" x14ac:dyDescent="0.2">
      <c r="A79" t="s">
        <v>1024</v>
      </c>
      <c r="B79" s="4037" t="s">
        <v>68</v>
      </c>
      <c r="C79" s="3996" t="s">
        <v>766</v>
      </c>
      <c r="D79" s="4045">
        <v>0</v>
      </c>
      <c r="E79" s="4438">
        <f t="shared" si="246"/>
        <v>0</v>
      </c>
      <c r="F79" s="4045">
        <v>0</v>
      </c>
      <c r="G79" s="4438">
        <f t="shared" si="247"/>
        <v>0</v>
      </c>
      <c r="H79" s="4034">
        <f t="shared" si="248"/>
        <v>0</v>
      </c>
      <c r="I79" s="5627">
        <f t="shared" si="249"/>
        <v>0</v>
      </c>
      <c r="J79" s="4045">
        <v>0</v>
      </c>
      <c r="K79" s="4438">
        <f t="shared" si="250"/>
        <v>7.4927738801210459</v>
      </c>
      <c r="L79" s="4035">
        <f t="shared" si="251"/>
        <v>0</v>
      </c>
      <c r="M79" s="6146">
        <f t="shared" ref="M79" si="297">+M64/M$47*1000</f>
        <v>2.6870116819189391</v>
      </c>
      <c r="N79" s="4045">
        <v>0</v>
      </c>
      <c r="O79" s="4438">
        <f t="shared" si="253"/>
        <v>6.2145271422781843</v>
      </c>
      <c r="P79" s="4034">
        <f t="shared" si="254"/>
        <v>0</v>
      </c>
      <c r="Q79" s="5627">
        <f t="shared" ref="Q79" si="298">+Q64/Q$47*1000</f>
        <v>3.6796232278436896</v>
      </c>
      <c r="R79" s="4045">
        <v>0</v>
      </c>
      <c r="S79" s="4438">
        <f t="shared" si="256"/>
        <v>14.696643944616442</v>
      </c>
      <c r="T79" s="4034">
        <f t="shared" si="257"/>
        <v>0</v>
      </c>
      <c r="U79" s="5627">
        <f t="shared" si="258"/>
        <v>6.2270267154555263</v>
      </c>
      <c r="V79" s="4045">
        <v>0</v>
      </c>
      <c r="W79" s="4438">
        <f t="shared" si="259"/>
        <v>1.8064359604694389</v>
      </c>
      <c r="X79" s="4035">
        <f t="shared" si="260"/>
        <v>0</v>
      </c>
      <c r="Y79" s="6146">
        <f t="shared" si="261"/>
        <v>8.832706389877643</v>
      </c>
      <c r="Z79" s="6972">
        <f t="shared" si="262"/>
        <v>0</v>
      </c>
      <c r="AA79" s="6973">
        <f t="shared" si="263"/>
        <v>5.7804847793397149</v>
      </c>
      <c r="AB79" s="4045">
        <v>0</v>
      </c>
      <c r="AC79" s="4438">
        <f t="shared" si="264"/>
        <v>0</v>
      </c>
      <c r="AD79" s="4034">
        <f t="shared" si="265"/>
        <v>0</v>
      </c>
      <c r="AE79" s="5627">
        <f t="shared" si="266"/>
        <v>5.1640771789546953</v>
      </c>
      <c r="AF79" s="4045">
        <v>0</v>
      </c>
      <c r="AG79" s="4438">
        <f t="shared" si="204"/>
        <v>0</v>
      </c>
      <c r="AH79" s="4034">
        <f t="shared" si="223"/>
        <v>0</v>
      </c>
      <c r="AI79" s="5627">
        <f t="shared" si="224"/>
        <v>4.4876468322177212</v>
      </c>
      <c r="AJ79" s="4045">
        <v>0</v>
      </c>
      <c r="AK79" s="4438">
        <f t="shared" si="205"/>
        <v>0</v>
      </c>
      <c r="AL79" s="4035">
        <f t="shared" si="225"/>
        <v>0</v>
      </c>
      <c r="AM79" s="6146">
        <f t="shared" si="226"/>
        <v>0</v>
      </c>
      <c r="AN79" s="4034">
        <f t="shared" si="227"/>
        <v>0</v>
      </c>
      <c r="AO79" s="5627">
        <f t="shared" si="228"/>
        <v>3.8766549065292009</v>
      </c>
      <c r="AP79" s="4045">
        <v>0</v>
      </c>
      <c r="AQ79" s="4438">
        <f t="shared" si="206"/>
        <v>0.32279322412328121</v>
      </c>
      <c r="AR79" s="4034">
        <f t="shared" si="229"/>
        <v>0</v>
      </c>
      <c r="AS79" s="5627">
        <f t="shared" si="230"/>
        <v>3.3780494488944752</v>
      </c>
      <c r="AT79" s="4045">
        <v>0</v>
      </c>
      <c r="AU79" s="4438">
        <f t="shared" si="207"/>
        <v>3.0135132277370098</v>
      </c>
      <c r="AV79" s="4034">
        <f t="shared" si="231"/>
        <v>0</v>
      </c>
      <c r="AW79" s="5627">
        <f t="shared" si="232"/>
        <v>3.3356025781262866</v>
      </c>
      <c r="AX79" s="4045">
        <v>0</v>
      </c>
      <c r="AY79" s="4438">
        <f t="shared" si="208"/>
        <v>6.7931127253161145</v>
      </c>
      <c r="AZ79" s="4035">
        <f t="shared" si="233"/>
        <v>0</v>
      </c>
      <c r="BA79" s="6146">
        <f t="shared" si="234"/>
        <v>3.5042808457801851</v>
      </c>
      <c r="BB79" s="4035">
        <f t="shared" ref="BB79" si="299">+BB64/BB$45*1000</f>
        <v>0</v>
      </c>
      <c r="BC79" s="6146">
        <f t="shared" ref="BC79" si="300">+BC64/BC$47*1000</f>
        <v>2.1079967068816616</v>
      </c>
      <c r="BD79" s="6972">
        <f t="shared" si="237"/>
        <v>0</v>
      </c>
      <c r="BE79" s="6973">
        <f t="shared" si="238"/>
        <v>3.7529889928817823</v>
      </c>
    </row>
    <row r="80" spans="1:57" ht="20" customHeight="1" x14ac:dyDescent="0.2">
      <c r="A80" t="s">
        <v>1024</v>
      </c>
      <c r="B80" s="4037" t="s">
        <v>541</v>
      </c>
      <c r="C80" s="3996" t="s">
        <v>766</v>
      </c>
      <c r="D80" s="4015">
        <v>32.786251276181048</v>
      </c>
      <c r="E80" s="4438">
        <f t="shared" si="246"/>
        <v>32.786251276181048</v>
      </c>
      <c r="F80" s="4015">
        <v>48.293783459788685</v>
      </c>
      <c r="G80" s="4438">
        <f t="shared" si="247"/>
        <v>48.293783459788685</v>
      </c>
      <c r="H80" s="4034">
        <f t="shared" si="248"/>
        <v>40.687263843153914</v>
      </c>
      <c r="I80" s="5627">
        <f t="shared" si="249"/>
        <v>40.687418198372505</v>
      </c>
      <c r="J80" s="4015">
        <v>15</v>
      </c>
      <c r="K80" s="4438">
        <f t="shared" si="250"/>
        <v>17.714510591524068</v>
      </c>
      <c r="L80" s="4035">
        <f t="shared" si="251"/>
        <v>30.911576503432084</v>
      </c>
      <c r="M80" s="6146">
        <f t="shared" ref="M80" si="301">+M65/M$47*1000</f>
        <v>32.449017828248294</v>
      </c>
      <c r="N80" s="4015">
        <v>15</v>
      </c>
      <c r="O80" s="6166">
        <f t="shared" si="253"/>
        <v>6.3226491023578166</v>
      </c>
      <c r="P80" s="4034">
        <f t="shared" si="254"/>
        <v>25.46871472966496</v>
      </c>
      <c r="Q80" s="5627">
        <f t="shared" ref="Q80" si="302">+Q65/Q$47*1000</f>
        <v>25.097289524904404</v>
      </c>
      <c r="R80" s="4015">
        <v>15</v>
      </c>
      <c r="S80" s="6166">
        <f t="shared" si="256"/>
        <v>14.016459078508799</v>
      </c>
      <c r="T80" s="4034">
        <f t="shared" si="257"/>
        <v>22.812028409641556</v>
      </c>
      <c r="U80" s="5627">
        <f t="shared" si="258"/>
        <v>22.535131673843168</v>
      </c>
      <c r="V80" s="4015">
        <v>15</v>
      </c>
      <c r="W80" s="6166">
        <f t="shared" si="259"/>
        <v>15.049645286559961</v>
      </c>
      <c r="X80" s="4035">
        <f t="shared" si="260"/>
        <v>15.000000000000002</v>
      </c>
      <c r="Y80" s="6146">
        <f t="shared" si="261"/>
        <v>11.251251256057614</v>
      </c>
      <c r="Z80" s="6972">
        <f t="shared" si="262"/>
        <v>21.247454583871171</v>
      </c>
      <c r="AA80" s="6973">
        <f t="shared" si="263"/>
        <v>21.778992105760366</v>
      </c>
      <c r="AB80" s="4015">
        <v>15</v>
      </c>
      <c r="AC80" s="6166">
        <f t="shared" si="264"/>
        <v>14.538069544819725</v>
      </c>
      <c r="AD80" s="4034">
        <f t="shared" si="265"/>
        <v>20.652130360961831</v>
      </c>
      <c r="AE80" s="5627">
        <f t="shared" si="266"/>
        <v>21.006849306195207</v>
      </c>
      <c r="AF80" s="4015">
        <v>15</v>
      </c>
      <c r="AG80" s="6166">
        <f t="shared" si="204"/>
        <v>21.909430582422281</v>
      </c>
      <c r="AH80" s="4034">
        <f t="shared" si="223"/>
        <v>19.788839129739831</v>
      </c>
      <c r="AI80" s="5627">
        <f t="shared" si="224"/>
        <v>21.125076308712654</v>
      </c>
      <c r="AJ80" s="4015">
        <v>15</v>
      </c>
      <c r="AK80" s="6166">
        <f t="shared" si="205"/>
        <v>5.8037441590523526</v>
      </c>
      <c r="AL80" s="4035">
        <f t="shared" si="225"/>
        <v>14.99997305555406</v>
      </c>
      <c r="AM80" s="6146">
        <f t="shared" si="226"/>
        <v>13.45996388615408</v>
      </c>
      <c r="AN80" s="4034">
        <f t="shared" si="227"/>
        <v>19.127397422268171</v>
      </c>
      <c r="AO80" s="5627">
        <f t="shared" si="228"/>
        <v>19.039081001098786</v>
      </c>
      <c r="AP80" s="4015">
        <v>15</v>
      </c>
      <c r="AQ80" s="6166">
        <f t="shared" si="206"/>
        <v>16.373065537453204</v>
      </c>
      <c r="AR80" s="4034">
        <f t="shared" si="229"/>
        <v>18.633563996200639</v>
      </c>
      <c r="AS80" s="5627">
        <f t="shared" si="230"/>
        <v>18.66504003408728</v>
      </c>
      <c r="AT80" s="4015">
        <v>15</v>
      </c>
      <c r="AU80" s="6166">
        <f t="shared" si="207"/>
        <v>20.127096242096137</v>
      </c>
      <c r="AV80" s="4034">
        <f t="shared" si="231"/>
        <v>18.271747019155871</v>
      </c>
      <c r="AW80" s="5627">
        <f t="shared" si="232"/>
        <v>18.835282954585356</v>
      </c>
      <c r="AX80" s="4015">
        <v>15</v>
      </c>
      <c r="AY80" s="6166">
        <f t="shared" si="208"/>
        <v>11.433952111918213</v>
      </c>
      <c r="AZ80" s="4035">
        <f t="shared" si="233"/>
        <v>22.957986043129253</v>
      </c>
      <c r="BA80" s="6146">
        <f t="shared" si="234"/>
        <v>15.735035946586935</v>
      </c>
      <c r="BB80" s="4035">
        <f t="shared" ref="BB80" si="303">+BB65/BB$45*1000</f>
        <v>18.463649533293367</v>
      </c>
      <c r="BC80" s="6146">
        <f t="shared" ref="BC80" si="304">+BC65/BC$47*1000</f>
        <v>14.828531253431745</v>
      </c>
      <c r="BD80" s="6972">
        <f t="shared" si="237"/>
        <v>19.921513055024572</v>
      </c>
      <c r="BE80" s="6973">
        <f t="shared" si="238"/>
        <v>17.941803307865904</v>
      </c>
    </row>
    <row r="81" spans="1:57" ht="20" customHeight="1" x14ac:dyDescent="0.2">
      <c r="A81" t="s">
        <v>1024</v>
      </c>
      <c r="B81" s="4037" t="s">
        <v>477</v>
      </c>
      <c r="C81" s="3996" t="s">
        <v>766</v>
      </c>
      <c r="D81" s="4044">
        <v>74.2</v>
      </c>
      <c r="E81" s="4438">
        <f t="shared" si="246"/>
        <v>74.190359805711097</v>
      </c>
      <c r="F81" s="4044">
        <v>61.096922630172074</v>
      </c>
      <c r="G81" s="4438">
        <f t="shared" si="247"/>
        <v>61.096922630172074</v>
      </c>
      <c r="H81" s="4034">
        <f t="shared" si="248"/>
        <v>67.523658932608996</v>
      </c>
      <c r="I81" s="5627">
        <f t="shared" si="249"/>
        <v>67.519186631005908</v>
      </c>
      <c r="J81" s="4044">
        <v>67</v>
      </c>
      <c r="K81" s="4438">
        <f t="shared" si="250"/>
        <v>62.564695824456173</v>
      </c>
      <c r="L81" s="4035">
        <f t="shared" si="251"/>
        <v>67.324372390099242</v>
      </c>
      <c r="M81" s="6146">
        <f t="shared" ref="M81" si="305">+M66/M$47*1000</f>
        <v>65.742438141307176</v>
      </c>
      <c r="N81" s="4044">
        <v>67</v>
      </c>
      <c r="O81" s="6166">
        <f t="shared" si="253"/>
        <v>65.613252222807304</v>
      </c>
      <c r="P81" s="4034">
        <f t="shared" si="254"/>
        <v>67.213414554956032</v>
      </c>
      <c r="Q81" s="5627">
        <f t="shared" ref="Q81" si="306">+Q66/Q$47*1000</f>
        <v>65.70608637029018</v>
      </c>
      <c r="R81" s="4044">
        <v>67</v>
      </c>
      <c r="S81" s="6166">
        <f t="shared" si="256"/>
        <v>68.570773467860334</v>
      </c>
      <c r="T81" s="4034">
        <f t="shared" si="257"/>
        <v>67.159255516020806</v>
      </c>
      <c r="U81" s="5627">
        <f t="shared" si="258"/>
        <v>66.368471791074299</v>
      </c>
      <c r="V81" s="4044">
        <v>67</v>
      </c>
      <c r="W81" s="6166">
        <f t="shared" si="259"/>
        <v>68.692419106063042</v>
      </c>
      <c r="X81" s="4035">
        <f t="shared" si="260"/>
        <v>67</v>
      </c>
      <c r="Y81" s="6146">
        <f t="shared" si="261"/>
        <v>67.452529694936587</v>
      </c>
      <c r="Z81" s="6972">
        <f t="shared" si="262"/>
        <v>67.127360213173702</v>
      </c>
      <c r="AA81" s="6973">
        <f t="shared" si="263"/>
        <v>66.60322320575699</v>
      </c>
      <c r="AB81" s="4044">
        <v>65</v>
      </c>
      <c r="AC81" s="6166">
        <f t="shared" si="264"/>
        <v>89.637930187906591</v>
      </c>
      <c r="AD81" s="4034">
        <f t="shared" si="265"/>
        <v>66.924642602544651</v>
      </c>
      <c r="AE81" s="5627">
        <f t="shared" si="266"/>
        <v>69.05955152396092</v>
      </c>
      <c r="AF81" s="4044">
        <v>65</v>
      </c>
      <c r="AG81" s="6166">
        <f t="shared" si="204"/>
        <v>84.916053934357166</v>
      </c>
      <c r="AH81" s="4034">
        <f t="shared" si="223"/>
        <v>66.630635494744411</v>
      </c>
      <c r="AI81" s="5627">
        <f t="shared" si="224"/>
        <v>71.136557550751377</v>
      </c>
      <c r="AJ81" s="4044">
        <v>65</v>
      </c>
      <c r="AK81" s="6166">
        <f t="shared" si="205"/>
        <v>72.228340129170505</v>
      </c>
      <c r="AL81" s="4035">
        <f t="shared" si="225"/>
        <v>64.999883240734263</v>
      </c>
      <c r="AM81" s="6146">
        <f t="shared" si="226"/>
        <v>80.818839831233021</v>
      </c>
      <c r="AN81" s="4034">
        <f t="shared" si="227"/>
        <v>66.405409652596262</v>
      </c>
      <c r="AO81" s="5627">
        <f t="shared" si="228"/>
        <v>71.285203459166539</v>
      </c>
      <c r="AP81" s="4044">
        <v>65</v>
      </c>
      <c r="AQ81" s="6166">
        <f t="shared" si="206"/>
        <v>74.490744028449498</v>
      </c>
      <c r="AR81" s="4034">
        <f t="shared" si="229"/>
        <v>66.237239612121485</v>
      </c>
      <c r="AS81" s="5627">
        <f t="shared" si="230"/>
        <v>71.734939595614037</v>
      </c>
      <c r="AT81" s="4044">
        <v>65</v>
      </c>
      <c r="AU81" s="6166">
        <f t="shared" si="207"/>
        <v>64.494469938883825</v>
      </c>
      <c r="AV81" s="4034">
        <f t="shared" si="231"/>
        <v>66.114039828986805</v>
      </c>
      <c r="AW81" s="5627">
        <f t="shared" si="232"/>
        <v>70.891853882912102</v>
      </c>
      <c r="AX81" s="4044">
        <v>65</v>
      </c>
      <c r="AY81" s="6166">
        <f t="shared" si="208"/>
        <v>56.564433683077752</v>
      </c>
      <c r="AZ81" s="4035">
        <f t="shared" si="233"/>
        <v>99.484606186893387</v>
      </c>
      <c r="BA81" s="6146">
        <f t="shared" si="234"/>
        <v>64.892761671577816</v>
      </c>
      <c r="BB81" s="4035">
        <f t="shared" ref="BB81" si="307">+BB66/BB$45*1000</f>
        <v>80.00914797760457</v>
      </c>
      <c r="BC81" s="6146">
        <f t="shared" ref="BC81" si="308">+BC66/BC$47*1000</f>
        <v>71.238523129585005</v>
      </c>
      <c r="BD81" s="6972">
        <f t="shared" si="237"/>
        <v>73.263025984417865</v>
      </c>
      <c r="BE81" s="6973">
        <f t="shared" si="238"/>
        <v>69.162265162900738</v>
      </c>
    </row>
    <row r="82" spans="1:57" ht="20" customHeight="1" x14ac:dyDescent="0.2">
      <c r="A82" t="s">
        <v>1024</v>
      </c>
      <c r="B82" s="4049" t="s">
        <v>1237</v>
      </c>
      <c r="C82" s="3996" t="s">
        <v>661</v>
      </c>
      <c r="D82" s="4015">
        <f>12*D27</f>
        <v>10281.749502982108</v>
      </c>
      <c r="E82" s="4428">
        <v>5776</v>
      </c>
      <c r="F82" s="4015">
        <f>12*F27</f>
        <v>10644.000000000004</v>
      </c>
      <c r="G82" s="4428">
        <v>7350</v>
      </c>
      <c r="H82" s="5480">
        <f>12*H27</f>
        <v>20925.749502982115</v>
      </c>
      <c r="I82" s="5610">
        <f>+E82+G82</f>
        <v>13126</v>
      </c>
      <c r="J82" s="4015">
        <f>12*J27</f>
        <v>12955.759999999998</v>
      </c>
      <c r="K82" s="4428">
        <v>7740</v>
      </c>
      <c r="L82" s="6072">
        <f>12*L27</f>
        <v>33881.50950298211</v>
      </c>
      <c r="M82" s="6132">
        <f>+I82+K82</f>
        <v>20866</v>
      </c>
      <c r="N82" s="4015">
        <f>12*N27</f>
        <v>17699.760000000002</v>
      </c>
      <c r="O82" s="6117">
        <v>10020</v>
      </c>
      <c r="P82" s="6071">
        <f>12*P27</f>
        <v>51581.269502982112</v>
      </c>
      <c r="Q82" s="5610">
        <f>+M82+O82</f>
        <v>30886</v>
      </c>
      <c r="R82" s="4015">
        <f>12*R27</f>
        <v>17596.64</v>
      </c>
      <c r="S82" s="6117">
        <v>10536</v>
      </c>
      <c r="T82" s="6420">
        <f>12*T27</f>
        <v>69177.909502982104</v>
      </c>
      <c r="U82" s="5610">
        <f>+Q82+S82</f>
        <v>41422</v>
      </c>
      <c r="V82" s="4015">
        <f>12*V27</f>
        <v>17365.04</v>
      </c>
      <c r="W82" s="6117">
        <v>5148</v>
      </c>
      <c r="X82" s="6858">
        <f>12*X27</f>
        <v>52661.439999999995</v>
      </c>
      <c r="Y82" s="6140">
        <f t="shared" ref="Y82" si="309">+W82+S82+O82</f>
        <v>25704</v>
      </c>
      <c r="Z82" s="6961">
        <f>12*Z27</f>
        <v>86542.949502982097</v>
      </c>
      <c r="AA82" s="6945">
        <f>+U82+W82</f>
        <v>46570</v>
      </c>
      <c r="AB82" s="4015">
        <f>12*AB27</f>
        <v>9132.4000000000015</v>
      </c>
      <c r="AC82" s="6117">
        <v>7400</v>
      </c>
      <c r="AD82" s="7333">
        <f>12*AD27</f>
        <v>95675.349502982106</v>
      </c>
      <c r="AE82" s="5610">
        <f>+AA82+AC82</f>
        <v>53970</v>
      </c>
      <c r="AF82" s="4015">
        <f>12*AF27</f>
        <v>17276.48</v>
      </c>
      <c r="AG82" s="6117">
        <v>10172</v>
      </c>
      <c r="AH82" s="7602">
        <f>12*AH27</f>
        <v>112951.82950298209</v>
      </c>
      <c r="AI82" s="5610">
        <f>+AE82+AG82</f>
        <v>64142</v>
      </c>
      <c r="AJ82" s="4015">
        <f>12*AJ27</f>
        <v>18127.199999999997</v>
      </c>
      <c r="AK82" s="6117">
        <v>9484</v>
      </c>
      <c r="AL82" s="7755">
        <f>12*AL27</f>
        <v>44536.08</v>
      </c>
      <c r="AM82" s="6140">
        <f t="shared" ref="AM82" si="310">+AK82+AG82+AC82</f>
        <v>27056</v>
      </c>
      <c r="AN82" s="7902">
        <f>12*AN27</f>
        <v>131079.0295029821</v>
      </c>
      <c r="AO82" s="5610">
        <f>+AI82+AK82</f>
        <v>73626</v>
      </c>
      <c r="AP82" s="4015">
        <f>12*AP27</f>
        <v>17836.64</v>
      </c>
      <c r="AQ82" s="6117">
        <v>10576</v>
      </c>
      <c r="AR82" s="8084">
        <f>12*AR27</f>
        <v>148915.66950298211</v>
      </c>
      <c r="AS82" s="5610">
        <f>+AO82+AQ82</f>
        <v>84202</v>
      </c>
      <c r="AT82" s="4015">
        <f>12*AT27</f>
        <v>16486.239999999998</v>
      </c>
      <c r="AU82" s="6117">
        <v>10576</v>
      </c>
      <c r="AV82" s="8160">
        <f>12*AV27</f>
        <v>165401.9095029821</v>
      </c>
      <c r="AW82" s="5610">
        <f>+AS82+AU82</f>
        <v>94778</v>
      </c>
      <c r="AX82" s="4015">
        <f>12*AX27</f>
        <v>18221.400000000001</v>
      </c>
      <c r="AY82" s="6117">
        <v>11112</v>
      </c>
      <c r="AZ82" s="8295">
        <f>12*AZ27</f>
        <v>52544.280000000006</v>
      </c>
      <c r="BA82" s="6140">
        <f t="shared" ref="BA82" si="311">+AY82+AU82+AQ82</f>
        <v>32264</v>
      </c>
      <c r="BB82" s="8295">
        <f>12*BB27</f>
        <v>97080.360000000015</v>
      </c>
      <c r="BC82" s="6140">
        <f t="shared" ref="BC82" si="312">+BA82+AW82+AS82</f>
        <v>211244</v>
      </c>
      <c r="BD82" s="8307">
        <f>12*BD27</f>
        <v>183623.3095029821</v>
      </c>
      <c r="BE82" s="6945">
        <f>+AW82+AY82</f>
        <v>105890</v>
      </c>
    </row>
    <row r="83" spans="1:57" ht="20" customHeight="1" x14ac:dyDescent="0.2">
      <c r="A83">
        <v>1090.3404987230367</v>
      </c>
      <c r="B83" s="4049" t="s">
        <v>794</v>
      </c>
      <c r="C83" s="3996" t="s">
        <v>766</v>
      </c>
      <c r="D83" s="4015">
        <f>+'Maj Techno Summ'!D16</f>
        <v>1085.5737400612566</v>
      </c>
      <c r="E83" s="4865">
        <f>+(E18*1000)/E5</f>
        <v>1060.5760603904341</v>
      </c>
      <c r="F83" s="4015">
        <f>+'Maj Techno Summ'!F16</f>
        <v>1108.5977230590531</v>
      </c>
      <c r="G83" s="4865">
        <f>+(G18*1000)/G5</f>
        <v>1090.3404987230367</v>
      </c>
      <c r="H83" s="5893">
        <f>+(H18*1000)/H5</f>
        <v>1097.3045770974411</v>
      </c>
      <c r="I83" s="4844">
        <f>+(I18*1000)/I5</f>
        <v>1075.7411938769703</v>
      </c>
      <c r="J83" s="4015">
        <f>+'Maj Techno Summ'!J16</f>
        <v>1086.9565217391303</v>
      </c>
      <c r="K83" s="4865">
        <f>+(K18*1000)/K5</f>
        <v>1100.9078449200038</v>
      </c>
      <c r="L83" s="5127">
        <f>+(L18*1000)/L5</f>
        <v>1093.3664546063301</v>
      </c>
      <c r="M83" s="4879">
        <f>+(M18*1000)/M5</f>
        <v>1084.7663007905551</v>
      </c>
      <c r="N83" s="4015">
        <f>+'Maj Techno Summ'!N16</f>
        <v>1086.9565217391303</v>
      </c>
      <c r="O83" s="4865">
        <f>+(O18*1000)/O5</f>
        <v>1117.7724338062126</v>
      </c>
      <c r="P83" s="5893">
        <f>+(P18*1000)/P5</f>
        <v>1091.1738099926008</v>
      </c>
      <c r="Q83" s="4844">
        <f>+(Q18*1000)/Q5</f>
        <v>1094.0539179515515</v>
      </c>
      <c r="R83" s="4015">
        <f>+'Maj Techno Summ'!R16</f>
        <v>1086.95652173913</v>
      </c>
      <c r="S83" s="4865">
        <f>+(S18*1000)/S5</f>
        <v>1091.6912773527429</v>
      </c>
      <c r="T83" s="5893">
        <f>+(T18*1000)/T5</f>
        <v>1090.1035711689799</v>
      </c>
      <c r="U83" s="4844">
        <f>+(U18*1000)/U5</f>
        <v>1093.5076177750773</v>
      </c>
      <c r="V83" s="4015">
        <f>+'Maj Techno Summ'!V16</f>
        <v>1086.95652173913</v>
      </c>
      <c r="W83" s="4865">
        <f>+(W18*1000)/W5</f>
        <v>1071.2645053236033</v>
      </c>
      <c r="X83" s="5127">
        <f>+(X18*1000)/X5</f>
        <v>1086.95652173913</v>
      </c>
      <c r="Y83" s="4879">
        <f>+(Y18*1000)/Y5</f>
        <v>1097.6686008964518</v>
      </c>
      <c r="Z83" s="6974">
        <f>+(Z18*1000)/Z5</f>
        <v>1089.4732872719946</v>
      </c>
      <c r="AA83" s="6970">
        <f>+(AA18*1000)/AA5</f>
        <v>1091.2607491407939</v>
      </c>
      <c r="AB83" s="4015">
        <f>+'Maj Techno Summ'!AB16</f>
        <v>1075</v>
      </c>
      <c r="AC83" s="4865">
        <f>+(AC18*1000)/AC5</f>
        <v>1047.8663629460896</v>
      </c>
      <c r="AD83" s="5893">
        <f>+(AD18*1000)/AD5</f>
        <v>1088.0941166714058</v>
      </c>
      <c r="AE83" s="4844">
        <f>+(AE18*1000)/AE5</f>
        <v>1086.6333507146303</v>
      </c>
      <c r="AF83" s="4015">
        <f>+'Maj Techno Summ'!AF16</f>
        <v>1065</v>
      </c>
      <c r="AG83" s="4865">
        <f>+(AG18*1000)/AG5</f>
        <v>1065.5063744449219</v>
      </c>
      <c r="AH83" s="5893">
        <f>+(AH18*1000)/AH5</f>
        <v>1084.5668379245365</v>
      </c>
      <c r="AI83" s="4844">
        <f>+(AI18*1000)/AI5</f>
        <v>1083.8659803002713</v>
      </c>
      <c r="AJ83" s="4015">
        <f>+'Maj Techno Summ'!AJ16</f>
        <v>1065</v>
      </c>
      <c r="AK83" s="4865">
        <f>+(AK18*1000)/AK5</f>
        <v>1082.6334117086817</v>
      </c>
      <c r="AL83" s="5127">
        <f>+(AL18*1000)/AL5</f>
        <v>1067.0505658343811</v>
      </c>
      <c r="AM83" s="4879">
        <f>+(AM18*1000)/AM5</f>
        <v>1068.2989246782647</v>
      </c>
      <c r="AN83" s="5893">
        <f>+(AN18*1000)/AN5</f>
        <v>1081.8642333653927</v>
      </c>
      <c r="AO83" s="4844">
        <f>+(AO18*1000)/AO5</f>
        <v>1083.6981662989972</v>
      </c>
      <c r="AP83" s="4015">
        <f>+'Maj Techno Summ'!AP16</f>
        <v>1065</v>
      </c>
      <c r="AQ83" s="4865">
        <f>+(AQ18*1000)/AQ5</f>
        <v>1059.6622088028325</v>
      </c>
      <c r="AR83" s="5893">
        <f>+(AR18*1000)/AR5</f>
        <v>1079.8464856394116</v>
      </c>
      <c r="AS83" s="4844">
        <f>+(AS18*1000)/AS5</f>
        <v>1080.3259328416705</v>
      </c>
      <c r="AT83" s="4015">
        <f>+'Maj Techno Summ'!AT16</f>
        <v>1065</v>
      </c>
      <c r="AU83" s="4865">
        <f>+(AU18*1000)/AU5</f>
        <v>1037.5790386364117</v>
      </c>
      <c r="AV83" s="5893">
        <f>+(AV18*1000)/AV5</f>
        <v>1078.3680914375936</v>
      </c>
      <c r="AW83" s="4844">
        <f>+(AW18*1000)/AW5</f>
        <v>1075.3484489474044</v>
      </c>
      <c r="AX83" s="4015">
        <f>+'Maj Techno Summ'!AX16</f>
        <v>1065</v>
      </c>
      <c r="AY83" s="4865">
        <f t="shared" ref="AY83:BE83" si="313">+(AY18*1000)/AY5</f>
        <v>1040.7855797686307</v>
      </c>
      <c r="AZ83" s="5127">
        <f t="shared" si="313"/>
        <v>1064.9996345104382</v>
      </c>
      <c r="BA83" s="4879">
        <f t="shared" si="313"/>
        <v>1045.9924861662334</v>
      </c>
      <c r="BB83" s="5127">
        <f t="shared" si="313"/>
        <v>1065.9406244758843</v>
      </c>
      <c r="BC83" s="4879">
        <f t="shared" si="313"/>
        <v>1054.8805059195529</v>
      </c>
      <c r="BD83" s="6974">
        <f t="shared" si="313"/>
        <v>1077.0434194075697</v>
      </c>
      <c r="BE83" s="6970">
        <f t="shared" si="313"/>
        <v>1071.1760588881978</v>
      </c>
    </row>
    <row r="84" spans="1:57" ht="20" customHeight="1" thickBot="1" x14ac:dyDescent="0.25">
      <c r="A84">
        <v>9.8434137733334328</v>
      </c>
      <c r="B84" s="4050" t="s">
        <v>2156</v>
      </c>
      <c r="C84" s="3996" t="s">
        <v>766</v>
      </c>
      <c r="D84" s="4015">
        <f>+'Maj Techno Summ'!D17</f>
        <v>54.501747981313606</v>
      </c>
      <c r="E84" s="6167">
        <f>+(E21*1000)/E5</f>
        <v>54.501747981313613</v>
      </c>
      <c r="F84" s="4015">
        <f>+'Maj Techno Summ'!F17</f>
        <v>25.435023789490902</v>
      </c>
      <c r="G84" s="6167">
        <f>+(G21*1000)/G5</f>
        <v>25.435023789490927</v>
      </c>
      <c r="H84" s="6073">
        <f>+(H21*1000)/H5</f>
        <v>39.692103416225635</v>
      </c>
      <c r="I84" s="5624">
        <f>+(I21*1000)/I5</f>
        <v>39.692103416225649</v>
      </c>
      <c r="J84" s="4015">
        <f>+'Maj Techno Summ'!J17</f>
        <v>27.999999999999996</v>
      </c>
      <c r="K84" s="6167">
        <f>+(K21*1000)/K5</f>
        <v>21.146408652345606</v>
      </c>
      <c r="L84" s="6074">
        <f>+(L21*1000)/L5</f>
        <v>35.24248135319192</v>
      </c>
      <c r="M84" s="6143">
        <f>+(M21*1000)/M5</f>
        <v>33.041362412008461</v>
      </c>
      <c r="N84" s="4015">
        <f>+'Maj Techno Summ'!N17</f>
        <v>28</v>
      </c>
      <c r="O84" s="6167">
        <f>+(O21*1000)/O5</f>
        <v>8.1215939948673022</v>
      </c>
      <c r="P84" s="6073">
        <f>+(P21*1000)/P5</f>
        <v>32.76504702460926</v>
      </c>
      <c r="Q84" s="5624">
        <f>+(Q21*1000)/Q5</f>
        <v>26.02917262627075</v>
      </c>
      <c r="R84" s="4015">
        <f>+'Maj Techno Summ'!R17</f>
        <v>27.999999999999996</v>
      </c>
      <c r="S84" s="6167">
        <f>+(S21*1000)/S5</f>
        <v>27.236495128246865</v>
      </c>
      <c r="T84" s="6422">
        <f>+(T21*1000)/T5</f>
        <v>31.555801173814263</v>
      </c>
      <c r="U84" s="5624">
        <f>+(U21*1000)/U5</f>
        <v>26.308335058433858</v>
      </c>
      <c r="V84" s="4015">
        <f>+'Maj Techno Summ'!V17</f>
        <v>28</v>
      </c>
      <c r="W84" s="6167">
        <f>+(W21*1000)/W5</f>
        <v>43.904773298241416</v>
      </c>
      <c r="X84" s="6859">
        <f>+(X21*1000)/X5</f>
        <v>28</v>
      </c>
      <c r="Y84" s="6143">
        <f>+(Y21*1000)/Y5</f>
        <v>23.196362335576463</v>
      </c>
      <c r="Z84" s="6975">
        <f>+(Z21*1000)/Z5</f>
        <v>30.843653407885142</v>
      </c>
      <c r="AA84" s="6966">
        <f>+(AA21*1000)/AA5</f>
        <v>28.085823943696013</v>
      </c>
      <c r="AB84" s="4015">
        <f>+'Maj Techno Summ'!AB17</f>
        <v>40</v>
      </c>
      <c r="AC84" s="6167">
        <f>+(AC21*1000)/AC5</f>
        <v>65.856745127815742</v>
      </c>
      <c r="AD84" s="7335">
        <f>+(AD21*1000)/AD5</f>
        <v>31.716168669368464</v>
      </c>
      <c r="AE84" s="5624">
        <f>+(AE21*1000)/AE5</f>
        <v>32.113559247011985</v>
      </c>
      <c r="AF84" s="4015">
        <f>+'Maj Techno Summ'!AF17</f>
        <v>50</v>
      </c>
      <c r="AG84" s="6167">
        <f>+(AG21*1000)/AG5</f>
        <v>49.956309984242942</v>
      </c>
      <c r="AH84" s="7604">
        <f>+(AH21*1000)/AH5</f>
        <v>34.50874872694353</v>
      </c>
      <c r="AI84" s="5624">
        <f>+(AI21*1000)/AI5</f>
        <v>34.450737074574327</v>
      </c>
      <c r="AJ84" s="4015">
        <f>+'Maj Techno Summ'!AJ17</f>
        <v>50</v>
      </c>
      <c r="AK84" s="6167">
        <f>+(AK21*1000)/AK5</f>
        <v>29.923509628262746</v>
      </c>
      <c r="AL84" s="7753">
        <f>+(AL21*1000)/AL5</f>
        <v>47.949434165618825</v>
      </c>
      <c r="AM84" s="6143">
        <f>+(AM21*1000)/AM5</f>
        <v>45.539752454538743</v>
      </c>
      <c r="AN84" s="7905">
        <f>+(AN21*1000)/AN5</f>
        <v>36.648426403984125</v>
      </c>
      <c r="AO84" s="5624">
        <f>+(AO21*1000)/AO5</f>
        <v>33.834355838164903</v>
      </c>
      <c r="AP84" s="4015">
        <f>+'Maj Techno Summ'!AP17</f>
        <v>50</v>
      </c>
      <c r="AQ84" s="6167">
        <f>+(AQ21*1000)/AQ5</f>
        <v>47.639384804858793</v>
      </c>
      <c r="AR84" s="8086">
        <f>+(AR21*1000)/AR5</f>
        <v>38.245896426956726</v>
      </c>
      <c r="AS84" s="5624">
        <f>+(AS21*1000)/AS5</f>
        <v>35.771194866453236</v>
      </c>
      <c r="AT84" s="4015">
        <f>+'Maj Techno Summ'!AT17</f>
        <v>50</v>
      </c>
      <c r="AU84" s="6167">
        <f>+(AU21*1000)/AU5</f>
        <v>62.552604309852605</v>
      </c>
      <c r="AV84" s="8162">
        <f>+(AV21*1000)/AV5</f>
        <v>39.416328367750303</v>
      </c>
      <c r="AW84" s="5624">
        <f>+(AW21*1000)/AW5</f>
        <v>38.889644443869877</v>
      </c>
      <c r="AX84" s="4015">
        <f>+'Maj Techno Summ'!AX17</f>
        <v>50</v>
      </c>
      <c r="AY84" s="6167">
        <f t="shared" ref="AY84:BE84" si="314">+(AY21*1000)/AY5</f>
        <v>57.384987893462473</v>
      </c>
      <c r="AZ84" s="8298">
        <f t="shared" si="314"/>
        <v>50.000000000000007</v>
      </c>
      <c r="BA84" s="6143">
        <f t="shared" si="314"/>
        <v>55.779539879550477</v>
      </c>
      <c r="BB84" s="8298">
        <f t="shared" si="314"/>
        <v>49.059177725205394</v>
      </c>
      <c r="BC84" s="6143">
        <f t="shared" si="314"/>
        <v>51.699487707429469</v>
      </c>
      <c r="BD84" s="8308">
        <f t="shared" si="314"/>
        <v>40.465027848474854</v>
      </c>
      <c r="BE84" s="6966">
        <f t="shared" si="314"/>
        <v>41.122381163484683</v>
      </c>
    </row>
    <row r="85" spans="1:57" ht="20" hidden="1" customHeight="1" thickBot="1" x14ac:dyDescent="0.25">
      <c r="A85" t="s">
        <v>1024</v>
      </c>
      <c r="B85" s="4050" t="s">
        <v>994</v>
      </c>
      <c r="C85" s="3999" t="s">
        <v>766</v>
      </c>
      <c r="D85" s="4051">
        <v>0</v>
      </c>
      <c r="E85" s="4437">
        <f>+'2019-20 MASTER'!F1288</f>
        <v>31.73931875135353</v>
      </c>
      <c r="F85" s="5479">
        <v>0</v>
      </c>
      <c r="G85" s="4437">
        <f>+'2019-20 MASTER'!G1288</f>
        <v>15.591610016157494</v>
      </c>
      <c r="H85" s="4104">
        <v>0</v>
      </c>
      <c r="I85" s="5624">
        <f>+'2019-20 MASTER'!H1288</f>
        <v>23.511978603539522</v>
      </c>
      <c r="J85" s="5778">
        <v>0</v>
      </c>
      <c r="K85" s="4437">
        <f>+'2019-20 MASTER'!I1288</f>
        <v>13.581034318980608</v>
      </c>
      <c r="L85" s="6147">
        <v>0</v>
      </c>
      <c r="M85" s="6143">
        <f>+'2019-20 MASTER'!L1288</f>
        <v>15.833427870934422</v>
      </c>
      <c r="N85" s="6042">
        <v>0</v>
      </c>
      <c r="O85" s="6167">
        <f>+'2019-20 MASTER'!O1288</f>
        <v>0</v>
      </c>
      <c r="P85" s="4104">
        <v>0</v>
      </c>
      <c r="Q85" s="5624">
        <f>+'2019-20 MASTER'!P1288</f>
        <v>1.6683278563796187</v>
      </c>
      <c r="R85" s="6423">
        <v>0</v>
      </c>
      <c r="S85" s="6167">
        <f>+'2019-20 MASTER'!S1288</f>
        <v>8.2530836213285834</v>
      </c>
      <c r="T85" s="4104">
        <v>0</v>
      </c>
      <c r="U85" s="5624">
        <f>+'2019-20 MASTER'!T1288</f>
        <v>0</v>
      </c>
      <c r="V85" s="6860">
        <v>0</v>
      </c>
      <c r="W85" s="6167">
        <f>+'2019-20 MASTER'!W1288</f>
        <v>0</v>
      </c>
      <c r="X85" s="6147">
        <v>0</v>
      </c>
      <c r="Y85" s="6143">
        <f>+'2019-20 MASTER'!X1288</f>
        <v>6.1174185686555953</v>
      </c>
      <c r="Z85" s="6976">
        <v>0</v>
      </c>
      <c r="AA85" s="6966">
        <f>+'2019-20 MASTER'!X1288</f>
        <v>6.1174185686555953</v>
      </c>
      <c r="AB85" s="7336">
        <v>0</v>
      </c>
      <c r="AC85" s="6167">
        <f>+'2019-20 MASTER'!AC1288</f>
        <v>0</v>
      </c>
      <c r="AD85" s="4104">
        <v>0</v>
      </c>
      <c r="AE85" s="5624">
        <f>+'2019-20 MASTER'!AD1288</f>
        <v>0</v>
      </c>
      <c r="AF85" s="7605">
        <v>0</v>
      </c>
      <c r="AG85" s="6167">
        <f>+'2019-20 MASTER'!AG1288</f>
        <v>0</v>
      </c>
      <c r="AH85" s="4104">
        <v>0</v>
      </c>
      <c r="AI85" s="5624">
        <f>+'2019-20 MASTER'!AH1288</f>
        <v>0</v>
      </c>
      <c r="AJ85" s="7756">
        <v>0</v>
      </c>
      <c r="AK85" s="6167">
        <f>+'2019-20 MASTER'!AK1288</f>
        <v>0</v>
      </c>
      <c r="AL85" s="6147">
        <v>0</v>
      </c>
      <c r="AM85" s="6143">
        <f>+'2019-20 MASTER'!AL1288</f>
        <v>0</v>
      </c>
      <c r="AN85" s="4104">
        <v>0</v>
      </c>
      <c r="AO85" s="5624">
        <f>+'2019-20 MASTER'!AL1288</f>
        <v>0</v>
      </c>
      <c r="AP85" s="8087">
        <v>0</v>
      </c>
      <c r="AQ85" s="6167">
        <f>+'2019-20 MASTER'!AQ1288</f>
        <v>0</v>
      </c>
      <c r="AR85" s="4104">
        <v>0</v>
      </c>
      <c r="AS85" s="5624">
        <f>+'2019-20 MASTER'!AR1288</f>
        <v>0</v>
      </c>
      <c r="AT85" s="8164">
        <v>0</v>
      </c>
      <c r="AU85" s="6167">
        <f>+'2019-20 MASTER'!AU1288</f>
        <v>0</v>
      </c>
      <c r="AV85" s="4104">
        <v>0</v>
      </c>
      <c r="AW85" s="5624">
        <f>+'2019-20 MASTER'!AV1288</f>
        <v>0</v>
      </c>
      <c r="AX85" s="8313">
        <v>0</v>
      </c>
      <c r="AY85" s="6167">
        <f>+'2019-20 MASTER'!AY1288</f>
        <v>0</v>
      </c>
      <c r="AZ85" s="6147">
        <v>0</v>
      </c>
      <c r="BA85" s="6143">
        <f>+'2019-20 MASTER'!AZ1288</f>
        <v>0</v>
      </c>
      <c r="BB85" s="6147">
        <v>0</v>
      </c>
      <c r="BC85" s="6143">
        <f>+'2019-20 MASTER'!BB1288</f>
        <v>0</v>
      </c>
      <c r="BD85" s="6976">
        <v>0</v>
      </c>
      <c r="BE85" s="6966">
        <f>+'2019-20 MASTER'!AZ1288</f>
        <v>0</v>
      </c>
    </row>
    <row r="86" spans="1:57" ht="20" customHeight="1" thickBot="1" x14ac:dyDescent="0.25">
      <c r="A86" t="s">
        <v>1024</v>
      </c>
      <c r="B86" s="4052" t="s">
        <v>783</v>
      </c>
      <c r="C86" s="1599" t="s">
        <v>766</v>
      </c>
      <c r="D86" s="1735">
        <f t="shared" ref="D86:I86" si="315">SUM(D83:D85)</f>
        <v>1140.0754880425702</v>
      </c>
      <c r="E86" s="4394">
        <f t="shared" si="315"/>
        <v>1146.8171271231013</v>
      </c>
      <c r="F86" s="1735">
        <f t="shared" ref="F86" si="316">SUM(F83:F85)</f>
        <v>1134.0327468485441</v>
      </c>
      <c r="G86" s="4394">
        <f t="shared" si="315"/>
        <v>1131.3671325286853</v>
      </c>
      <c r="H86" s="2555">
        <f t="shared" si="315"/>
        <v>1136.9966805136667</v>
      </c>
      <c r="I86" s="5609">
        <f t="shared" si="315"/>
        <v>1138.9452758967354</v>
      </c>
      <c r="J86" s="1735">
        <f t="shared" ref="J86" si="317">SUM(J83:J85)</f>
        <v>1114.9565217391303</v>
      </c>
      <c r="K86" s="4394">
        <f>SUM(I83:I85)</f>
        <v>1138.9452758967354</v>
      </c>
      <c r="L86" s="2556">
        <f t="shared" ref="L86:M86" si="318">SUM(L83:L85)</f>
        <v>1128.6089359595221</v>
      </c>
      <c r="M86" s="6131">
        <f t="shared" si="318"/>
        <v>1133.641091073498</v>
      </c>
      <c r="N86" s="1735">
        <f t="shared" ref="N86" si="319">SUM(N83:N85)</f>
        <v>1114.9565217391303</v>
      </c>
      <c r="O86" s="6116">
        <f t="shared" ref="O86" si="320">SUM(O83:O85)</f>
        <v>1125.8940278010798</v>
      </c>
      <c r="P86" s="2555">
        <f t="shared" ref="P86:S86" si="321">SUM(P83:P85)</f>
        <v>1123.93885701721</v>
      </c>
      <c r="Q86" s="5609">
        <f t="shared" si="321"/>
        <v>1121.7514184342019</v>
      </c>
      <c r="R86" s="1735">
        <f t="shared" si="321"/>
        <v>1114.95652173913</v>
      </c>
      <c r="S86" s="6116">
        <f t="shared" si="321"/>
        <v>1127.1808561023183</v>
      </c>
      <c r="T86" s="2555">
        <f t="shared" ref="T86:Y86" si="322">SUM(T83:T85)</f>
        <v>1121.6593723427941</v>
      </c>
      <c r="U86" s="5609">
        <f t="shared" si="322"/>
        <v>1119.8159528335111</v>
      </c>
      <c r="V86" s="1735">
        <f t="shared" si="322"/>
        <v>1114.95652173913</v>
      </c>
      <c r="W86" s="6116">
        <f t="shared" si="322"/>
        <v>1115.1692786218448</v>
      </c>
      <c r="X86" s="2556">
        <f t="shared" si="322"/>
        <v>1114.95652173913</v>
      </c>
      <c r="Y86" s="6131">
        <f t="shared" si="322"/>
        <v>1126.9823818006839</v>
      </c>
      <c r="Z86" s="6521">
        <f t="shared" ref="Z86:AM86" si="323">SUM(Z83:Z85)</f>
        <v>1120.3169406798797</v>
      </c>
      <c r="AA86" s="6944">
        <f t="shared" si="323"/>
        <v>1125.4639916531455</v>
      </c>
      <c r="AB86" s="1735">
        <f t="shared" si="323"/>
        <v>1115</v>
      </c>
      <c r="AC86" s="6116">
        <f t="shared" si="323"/>
        <v>1113.7231080739052</v>
      </c>
      <c r="AD86" s="2555">
        <f t="shared" si="323"/>
        <v>1119.8102853407743</v>
      </c>
      <c r="AE86" s="5609">
        <f t="shared" si="323"/>
        <v>1118.7469099616424</v>
      </c>
      <c r="AF86" s="1735">
        <f t="shared" si="323"/>
        <v>1115</v>
      </c>
      <c r="AG86" s="6116">
        <f t="shared" si="323"/>
        <v>1115.4626844291649</v>
      </c>
      <c r="AH86" s="2555">
        <f t="shared" si="323"/>
        <v>1119.0755866514801</v>
      </c>
      <c r="AI86" s="5609">
        <f t="shared" si="323"/>
        <v>1118.3167173748457</v>
      </c>
      <c r="AJ86" s="1735">
        <f t="shared" si="323"/>
        <v>1115</v>
      </c>
      <c r="AK86" s="6116">
        <f t="shared" si="323"/>
        <v>1112.5569213369445</v>
      </c>
      <c r="AL86" s="2556">
        <f t="shared" si="323"/>
        <v>1115</v>
      </c>
      <c r="AM86" s="6131">
        <f t="shared" si="323"/>
        <v>1113.8386771328035</v>
      </c>
      <c r="AN86" s="2555">
        <f t="shared" ref="AN86:AS86" si="324">SUM(AN83:AN85)</f>
        <v>1118.5126597693768</v>
      </c>
      <c r="AO86" s="5609">
        <f t="shared" si="324"/>
        <v>1117.532522137162</v>
      </c>
      <c r="AP86" s="1735">
        <f t="shared" si="324"/>
        <v>1115</v>
      </c>
      <c r="AQ86" s="6116">
        <f t="shared" si="324"/>
        <v>1107.3015936076913</v>
      </c>
      <c r="AR86" s="2555">
        <f t="shared" si="324"/>
        <v>1118.0923820663684</v>
      </c>
      <c r="AS86" s="5609">
        <f t="shared" si="324"/>
        <v>1116.0971277081237</v>
      </c>
      <c r="AT86" s="1735">
        <f t="shared" ref="AT86:AW86" si="325">SUM(AT83:AT85)</f>
        <v>1115</v>
      </c>
      <c r="AU86" s="6116">
        <f t="shared" si="325"/>
        <v>1100.1316429462643</v>
      </c>
      <c r="AV86" s="2555">
        <f t="shared" si="325"/>
        <v>1117.784419805344</v>
      </c>
      <c r="AW86" s="5609">
        <f t="shared" si="325"/>
        <v>1114.2380933912743</v>
      </c>
      <c r="AX86" s="1735">
        <f t="shared" ref="AX86:BE86" si="326">SUM(AX83:AX85)</f>
        <v>1115</v>
      </c>
      <c r="AY86" s="6116">
        <f t="shared" si="326"/>
        <v>1098.1705676620932</v>
      </c>
      <c r="AZ86" s="2556">
        <f t="shared" si="326"/>
        <v>1114.9996345104382</v>
      </c>
      <c r="BA86" s="6131">
        <f t="shared" si="326"/>
        <v>1101.7720260457838</v>
      </c>
      <c r="BB86" s="2556">
        <f t="shared" ref="BB86:BC86" si="327">SUM(BB83:BB85)</f>
        <v>1114.9998022010898</v>
      </c>
      <c r="BC86" s="6131">
        <f t="shared" si="327"/>
        <v>1106.5799936269823</v>
      </c>
      <c r="BD86" s="6521">
        <f t="shared" si="326"/>
        <v>1117.5084472560445</v>
      </c>
      <c r="BE86" s="6944">
        <f t="shared" si="326"/>
        <v>1112.2984400516825</v>
      </c>
    </row>
    <row r="87" spans="1:57" ht="20" customHeight="1" x14ac:dyDescent="0.2">
      <c r="A87" t="s">
        <v>1024</v>
      </c>
      <c r="B87" s="4053" t="s">
        <v>998</v>
      </c>
      <c r="C87" s="4001" t="s">
        <v>170</v>
      </c>
      <c r="D87" s="4054">
        <f>+D89*D5/1000</f>
        <v>17185</v>
      </c>
      <c r="E87" s="4433">
        <v>17185</v>
      </c>
      <c r="F87" s="4054">
        <f>+F89*F5/1000</f>
        <v>17319.999999999996</v>
      </c>
      <c r="G87" s="4433">
        <v>17320</v>
      </c>
      <c r="H87" s="4055">
        <f>+D87+F87</f>
        <v>34505</v>
      </c>
      <c r="I87" s="4869">
        <f>+E87+G87</f>
        <v>34505</v>
      </c>
      <c r="J87" s="4054">
        <f>+J89*J5/1000</f>
        <v>19757.534</v>
      </c>
      <c r="K87" s="4433">
        <v>18558</v>
      </c>
      <c r="L87" s="4056">
        <f>+H87+J87</f>
        <v>54262.534</v>
      </c>
      <c r="M87" s="5753">
        <f>+I87+K87</f>
        <v>53063</v>
      </c>
      <c r="N87" s="4054">
        <f>+N89*N5/1000</f>
        <v>26992.133999999998</v>
      </c>
      <c r="O87" s="6168">
        <v>20495</v>
      </c>
      <c r="P87" s="4055">
        <f>+L87+N87</f>
        <v>81254.668000000005</v>
      </c>
      <c r="Q87" s="4869">
        <f>+M87+O87</f>
        <v>73558</v>
      </c>
      <c r="R87" s="4054">
        <f>+R89*R5/1000</f>
        <v>26834.876</v>
      </c>
      <c r="S87" s="6168">
        <v>23707</v>
      </c>
      <c r="T87" s="4055">
        <f>+P87+R87</f>
        <v>108089.54400000001</v>
      </c>
      <c r="U87" s="4869">
        <f>+Q87+S87</f>
        <v>97265</v>
      </c>
      <c r="V87" s="4054">
        <f>+V89*V5/1000</f>
        <v>26481.686000000002</v>
      </c>
      <c r="W87" s="6168">
        <v>11104</v>
      </c>
      <c r="X87" s="7017">
        <f t="shared" ref="X87" si="328">+V87+R87+N87</f>
        <v>80308.695999999996</v>
      </c>
      <c r="Y87" s="6140">
        <f t="shared" ref="Y87" si="329">+W87+S87+O87</f>
        <v>55306</v>
      </c>
      <c r="Z87" s="6977">
        <f>+T87+V87</f>
        <v>134571.23000000001</v>
      </c>
      <c r="AA87" s="6963">
        <f>+U87+W87</f>
        <v>108369</v>
      </c>
      <c r="AB87" s="4054">
        <f>+AB89*AB5/1000</f>
        <v>13926.91</v>
      </c>
      <c r="AC87" s="6168">
        <v>16560</v>
      </c>
      <c r="AD87" s="4055">
        <f>+Z87+AB87</f>
        <v>148498.14000000001</v>
      </c>
      <c r="AE87" s="4869">
        <f>+AA87+AC87</f>
        <v>124929</v>
      </c>
      <c r="AF87" s="4054">
        <f>+AF89*AF5/1000</f>
        <v>26346.51</v>
      </c>
      <c r="AG87" s="6168">
        <v>21414</v>
      </c>
      <c r="AH87" s="4055">
        <f>+AD87+AF87</f>
        <v>174844.65000000002</v>
      </c>
      <c r="AI87" s="4869">
        <f>+AE87+AG87</f>
        <v>146343</v>
      </c>
      <c r="AJ87" s="4054">
        <f>+AJ89*AJ5/1000</f>
        <v>27643.98</v>
      </c>
      <c r="AK87" s="6168">
        <v>23978</v>
      </c>
      <c r="AL87" s="7754">
        <f t="shared" ref="AL87" si="330">+AJ87+AF87+AB87</f>
        <v>67917.399999999994</v>
      </c>
      <c r="AM87" s="6140">
        <f t="shared" ref="AM87" si="331">+AK87+AG87+AC87</f>
        <v>61952</v>
      </c>
      <c r="AN87" s="4055">
        <f>+AH87+AJ87</f>
        <v>202488.63000000003</v>
      </c>
      <c r="AO87" s="4869">
        <f>+AI87+AK87</f>
        <v>170321</v>
      </c>
      <c r="AP87" s="4054">
        <f>+AP89*AP5/1000</f>
        <v>27200.814999999999</v>
      </c>
      <c r="AQ87" s="6168">
        <v>26943.697760000003</v>
      </c>
      <c r="AR87" s="4055">
        <f>+AN87+AP87</f>
        <v>229689.44500000004</v>
      </c>
      <c r="AS87" s="4869">
        <f>+AO87+AQ87</f>
        <v>197264.69776000001</v>
      </c>
      <c r="AT87" s="4054">
        <f>+AT89*AT5/1000</f>
        <v>25141.516</v>
      </c>
      <c r="AU87" s="6168">
        <v>24774</v>
      </c>
      <c r="AV87" s="4055">
        <f>+AR87+AT87</f>
        <v>254830.96100000004</v>
      </c>
      <c r="AW87" s="4869">
        <f>+AS87+AU87</f>
        <v>222038.69776000001</v>
      </c>
      <c r="AX87" s="4054">
        <f>+AX89*AX5/1000</f>
        <v>27769.396000000001</v>
      </c>
      <c r="AY87" s="6168">
        <v>26092</v>
      </c>
      <c r="AZ87" s="8297">
        <f t="shared" ref="AZ87" si="332">+AX87+AT87+AP87</f>
        <v>80111.726999999999</v>
      </c>
      <c r="BA87" s="6140">
        <f t="shared" ref="BA87" si="333">+AY87+AU87+AQ87</f>
        <v>77809.69776000001</v>
      </c>
      <c r="BB87" s="8297">
        <f t="shared" ref="BB87" si="334">+AZ87+AV87+AR87</f>
        <v>564632.13300000003</v>
      </c>
      <c r="BC87" s="6140">
        <f>+BA87+AM87</f>
        <v>139761.69776000001</v>
      </c>
      <c r="BD87" s="6977">
        <f>+AV87+AX87</f>
        <v>282600.35700000002</v>
      </c>
      <c r="BE87" s="6963">
        <f>+AW87+AY87</f>
        <v>248130.69776000001</v>
      </c>
    </row>
    <row r="88" spans="1:57" ht="20" customHeight="1" x14ac:dyDescent="0.2">
      <c r="A88" t="s">
        <v>1024</v>
      </c>
      <c r="B88" s="4049" t="s">
        <v>784</v>
      </c>
      <c r="C88" s="3996" t="s">
        <v>767</v>
      </c>
      <c r="D88" s="5210">
        <v>130.57716856118168</v>
      </c>
      <c r="E88" s="4439">
        <f>+E87/E22*1000</f>
        <v>130.57716856118168</v>
      </c>
      <c r="F88" s="5475">
        <v>126.79077326266625</v>
      </c>
      <c r="G88" s="4439">
        <f>+G87/G22*1000</f>
        <v>126.79077326266628</v>
      </c>
      <c r="H88" s="5893">
        <f>+H87/H22*1000</f>
        <v>128.64871314002781</v>
      </c>
      <c r="I88" s="4844">
        <f>+I87/I22*1000</f>
        <v>128.64871314002781</v>
      </c>
      <c r="J88" s="5775">
        <v>118.33999999999999</v>
      </c>
      <c r="K88" s="4439">
        <f>+K87/K22*1000</f>
        <v>124.05909485928204</v>
      </c>
      <c r="L88" s="5127">
        <f>+L87/L22*1000</f>
        <v>124.69368112945088</v>
      </c>
      <c r="M88" s="4879">
        <f>+M87/M22*1000</f>
        <v>127.00544038908477</v>
      </c>
      <c r="N88" s="5775">
        <v>118.33999999999999</v>
      </c>
      <c r="O88" s="4865">
        <f>+O87/O22*1000</f>
        <v>125.36855112002837</v>
      </c>
      <c r="P88" s="5893">
        <f>+P87/P22*1000</f>
        <v>122.50869015257072</v>
      </c>
      <c r="Q88" s="4844">
        <f>+Q87/Q22*1000</f>
        <v>126.54508420225055</v>
      </c>
      <c r="R88" s="5775">
        <v>118.33999999999999</v>
      </c>
      <c r="S88" s="4865">
        <f>+S87/S22*1000</f>
        <v>135.95022364950111</v>
      </c>
      <c r="T88" s="5893">
        <f>+T87/T22*1000</f>
        <v>121.44658075466097</v>
      </c>
      <c r="U88" s="4844">
        <f>+U87/U22*1000</f>
        <v>128.71546557375748</v>
      </c>
      <c r="V88" s="5775">
        <v>118.34</v>
      </c>
      <c r="W88" s="4865">
        <f>+W87/W22*1000</f>
        <v>130.93567596250222</v>
      </c>
      <c r="X88" s="5127">
        <f>+X87/X22*1000</f>
        <v>118.34</v>
      </c>
      <c r="Y88" s="4879">
        <f>+Y87/Y22*1000</f>
        <v>130.85129287399181</v>
      </c>
      <c r="Z88" s="6974">
        <f>+Z87/Z22*1000</f>
        <v>120.82242634202845</v>
      </c>
      <c r="AA88" s="6970">
        <f>+AA87/AA22*1000</f>
        <v>128.93949056711531</v>
      </c>
      <c r="AB88" s="5775">
        <v>118.34</v>
      </c>
      <c r="AC88" s="4865">
        <f>+AC87/AC22*1000</f>
        <v>165.27275993532805</v>
      </c>
      <c r="AD88" s="5893">
        <f>+AD87/AD22*1000</f>
        <v>120.5851947352855</v>
      </c>
      <c r="AE88" s="4844">
        <f>+AE87/AE22*1000</f>
        <v>132.80965958016802</v>
      </c>
      <c r="AF88" s="5775">
        <v>118.33999999999999</v>
      </c>
      <c r="AG88" s="4865">
        <f>+AG87/AG22*1000</f>
        <v>151.29185183091826</v>
      </c>
      <c r="AH88" s="5893">
        <f>+AH87/AH22*1000</f>
        <v>120.24144104508048</v>
      </c>
      <c r="AI88" s="4844">
        <f>+AI87/AI22*1000</f>
        <v>135.22693986248422</v>
      </c>
      <c r="AJ88" s="5775">
        <v>118.33999999999999</v>
      </c>
      <c r="AK88" s="4865">
        <f>+AK87/AK22*1000</f>
        <v>140.93928172573914</v>
      </c>
      <c r="AL88" s="5127">
        <f>+AL87/AL22*1000</f>
        <v>118.33999999999999</v>
      </c>
      <c r="AM88" s="4879">
        <f>+AM87/AM22*1000</f>
        <v>150.4167587266825</v>
      </c>
      <c r="AN88" s="5893">
        <f>+AN87/AN22*1000</f>
        <v>119.97826049602095</v>
      </c>
      <c r="AO88" s="4844">
        <f>+AO87/AO22*1000</f>
        <v>136.00296406786376</v>
      </c>
      <c r="AP88" s="5775">
        <v>118.34</v>
      </c>
      <c r="AQ88" s="4865">
        <f>+AQ87/AQ22*1000</f>
        <v>132.02000000000004</v>
      </c>
      <c r="AR88" s="5893">
        <f>+AR87/AR22*1000</f>
        <v>119.78188675122014</v>
      </c>
      <c r="AS88" s="4844">
        <f>+AS87/AS22*1000</f>
        <v>135.44483206435504</v>
      </c>
      <c r="AT88" s="5775">
        <v>118.34</v>
      </c>
      <c r="AU88" s="4865">
        <f>+AU87/AU22*1000</f>
        <v>129.05006980184612</v>
      </c>
      <c r="AV88" s="5893">
        <f>+AV87/AV22*1000</f>
        <v>119.63810109297712</v>
      </c>
      <c r="AW88" s="4844">
        <f>+AW87/AW22*1000</f>
        <v>134.70009746462162</v>
      </c>
      <c r="AX88" s="5775">
        <v>118.34</v>
      </c>
      <c r="AY88" s="4865">
        <f t="shared" ref="AY88:BE88" si="335">+AY87/AY22*1000</f>
        <v>115.36811945366837</v>
      </c>
      <c r="AZ88" s="5127">
        <f t="shared" si="335"/>
        <v>118.3402234692682</v>
      </c>
      <c r="BA88" s="4879">
        <f t="shared" si="335"/>
        <v>125.051143657499</v>
      </c>
      <c r="BB88" s="5127">
        <f t="shared" si="335"/>
        <v>451.38842780084326</v>
      </c>
      <c r="BC88" s="4879">
        <f t="shared" si="335"/>
        <v>135.15402668234549</v>
      </c>
      <c r="BD88" s="6974">
        <f t="shared" si="335"/>
        <v>119.50932133991788</v>
      </c>
      <c r="BE88" s="6970">
        <f t="shared" si="335"/>
        <v>132.36771681400822</v>
      </c>
    </row>
    <row r="89" spans="1:57" ht="20" customHeight="1" x14ac:dyDescent="0.2">
      <c r="A89" t="s">
        <v>1024</v>
      </c>
      <c r="B89" s="4049" t="s">
        <v>784</v>
      </c>
      <c r="C89" s="3996" t="s">
        <v>766</v>
      </c>
      <c r="D89" s="5210">
        <v>132.91618971011354</v>
      </c>
      <c r="E89" s="4439">
        <f>+E87/E5*1000</f>
        <v>132.91618971011354</v>
      </c>
      <c r="F89" s="7031">
        <v>128.9621229607678</v>
      </c>
      <c r="G89" s="4439">
        <f>+G87/G5*1000</f>
        <v>128.9621229607678</v>
      </c>
      <c r="H89" s="5893">
        <f>+H87/H5*1000</f>
        <v>130.90157248809729</v>
      </c>
      <c r="I89" s="4844">
        <f>+I87/I5*1000</f>
        <v>130.90157248809729</v>
      </c>
      <c r="J89" s="5775">
        <v>122</v>
      </c>
      <c r="K89" s="4439">
        <f>+K87/K5*1000</f>
        <v>125.9176832991817</v>
      </c>
      <c r="L89" s="5127">
        <f>+L87/L5*1000</f>
        <v>127.51393281979217</v>
      </c>
      <c r="M89" s="4879">
        <f>+M87/M5*1000</f>
        <v>129.11428133447859</v>
      </c>
      <c r="N89" s="5775">
        <v>122</v>
      </c>
      <c r="O89" s="4865">
        <f>+O87/O5*1000</f>
        <v>127.35429910084572</v>
      </c>
      <c r="P89" s="5893">
        <f>+P87/P5*1000</f>
        <v>125.62778278542153</v>
      </c>
      <c r="Q89" s="4844">
        <f>+Q87/Q5*1000</f>
        <v>128.61903879308835</v>
      </c>
      <c r="R89" s="5775">
        <v>122</v>
      </c>
      <c r="S89" s="4865">
        <f>+S87/S5*1000</f>
        <v>137.82177987582261</v>
      </c>
      <c r="T89" s="5893">
        <f>+T87/T5*1000</f>
        <v>124.70714522230824</v>
      </c>
      <c r="U89" s="4844">
        <f>+U87/U5*1000</f>
        <v>130.74693716242919</v>
      </c>
      <c r="V89" s="5775">
        <v>122</v>
      </c>
      <c r="W89" s="4865">
        <f>+W87/W5*1000</f>
        <v>132.83885632252662</v>
      </c>
      <c r="X89" s="5127">
        <f>+X87/X5*1000</f>
        <v>122</v>
      </c>
      <c r="Y89" s="4879">
        <f>+Y87/Y5*1000</f>
        <v>132.7776323971085</v>
      </c>
      <c r="Z89" s="6974">
        <f>+Z87/Z5*1000</f>
        <v>124.16496433876787</v>
      </c>
      <c r="AA89" s="6970">
        <f>+AA87/AA5*1000</f>
        <v>130.95825055467742</v>
      </c>
      <c r="AB89" s="5775">
        <v>122</v>
      </c>
      <c r="AC89" s="4865">
        <f>+AC87/AC5*1000</f>
        <v>167.65375854214125</v>
      </c>
      <c r="AD89" s="5893">
        <f>+AD87/AD5*1000</f>
        <v>123.95866323306609</v>
      </c>
      <c r="AE89" s="4844">
        <f>+AE87/AE5*1000</f>
        <v>134.87130822869469</v>
      </c>
      <c r="AF89" s="5775">
        <v>122</v>
      </c>
      <c r="AG89" s="4865">
        <f>+AG87/AG5*1000</f>
        <v>153.37344220025784</v>
      </c>
      <c r="AH89" s="5893">
        <f>+AH87/AH5*1000</f>
        <v>123.65950690279507</v>
      </c>
      <c r="AI89" s="4844">
        <f>+AI87/AI5*1000</f>
        <v>137.29485703670971</v>
      </c>
      <c r="AJ89" s="5775">
        <v>122</v>
      </c>
      <c r="AK89" s="4865">
        <f>+AK87/AK5*1000</f>
        <v>142.73043840590495</v>
      </c>
      <c r="AL89" s="5127">
        <f>+AL87/AL5*1000</f>
        <v>121.99999999999999</v>
      </c>
      <c r="AM89" s="4879">
        <f>+AM87/AM5*1000</f>
        <v>152.44469598169246</v>
      </c>
      <c r="AN89" s="5893">
        <f>+AN87/AN5*1000</f>
        <v>123.43029301863447</v>
      </c>
      <c r="AO89" s="4844">
        <f>+AO87/AO5*1000</f>
        <v>138.03491050313721</v>
      </c>
      <c r="AP89" s="5775">
        <v>122</v>
      </c>
      <c r="AQ89" s="4865">
        <f>+AQ87/AQ5*1000</f>
        <v>133.80393887777046</v>
      </c>
      <c r="AR89" s="5893">
        <f>+AR87/AR5*1000</f>
        <v>123.25916336077771</v>
      </c>
      <c r="AS89" s="4844">
        <f>+AS87/AS5*1000</f>
        <v>137.44130718717452</v>
      </c>
      <c r="AT89" s="5775">
        <v>122</v>
      </c>
      <c r="AU89" s="4865">
        <f>+AU87/AU5*1000</f>
        <v>130.97680123501175</v>
      </c>
      <c r="AV89" s="5893">
        <f>+AV87/AV5*1000</f>
        <v>123.13378033969296</v>
      </c>
      <c r="AW89" s="4844">
        <f>+AW87/AW5*1000</f>
        <v>136.68857474053706</v>
      </c>
      <c r="AX89" s="5775">
        <v>122</v>
      </c>
      <c r="AY89" s="4865">
        <f t="shared" ref="AY89:BE89" si="336">+AY87/AY5*1000</f>
        <v>116.99399157026276</v>
      </c>
      <c r="AZ89" s="5127">
        <f t="shared" si="336"/>
        <v>122</v>
      </c>
      <c r="BA89" s="4879">
        <f t="shared" si="336"/>
        <v>126.82193804754417</v>
      </c>
      <c r="BB89" s="5127">
        <f t="shared" si="336"/>
        <v>465.34841907160614</v>
      </c>
      <c r="BC89" s="4879">
        <f t="shared" si="336"/>
        <v>137.03134814814817</v>
      </c>
      <c r="BD89" s="6974">
        <f t="shared" si="336"/>
        <v>123.02143796033674</v>
      </c>
      <c r="BE89" s="6970">
        <f t="shared" si="336"/>
        <v>134.31106717266607</v>
      </c>
    </row>
    <row r="90" spans="1:57" ht="20" customHeight="1" x14ac:dyDescent="0.2">
      <c r="A90" t="s">
        <v>1024</v>
      </c>
      <c r="B90" s="4049" t="s">
        <v>785</v>
      </c>
      <c r="C90" s="3996" t="s">
        <v>997</v>
      </c>
      <c r="D90" s="7031">
        <f>+D91*D5/1000</f>
        <v>6811.1025599999994</v>
      </c>
      <c r="E90" s="4439">
        <v>6811.1769999999997</v>
      </c>
      <c r="F90" s="7031">
        <f>+F91*F5/1000</f>
        <v>7007.4830000000002</v>
      </c>
      <c r="G90" s="4439">
        <v>7007.4830000000002</v>
      </c>
      <c r="H90" s="5893">
        <f>+D90+F90</f>
        <v>13818.58556</v>
      </c>
      <c r="I90" s="4844">
        <f>+E90+G90</f>
        <v>13818.66</v>
      </c>
      <c r="J90" s="7031">
        <f>+J91*J5/1000</f>
        <v>8745.1380000000008</v>
      </c>
      <c r="K90" s="4439">
        <v>7597.2929999999997</v>
      </c>
      <c r="L90" s="5127">
        <f>+H90+J90</f>
        <v>22563.723559999999</v>
      </c>
      <c r="M90" s="4879">
        <f>+I90+K90</f>
        <v>21415.953000000001</v>
      </c>
      <c r="N90" s="5775">
        <f>+N91*N5/1000</f>
        <v>11947.338</v>
      </c>
      <c r="O90" s="4865">
        <f>8496965/1000</f>
        <v>8496.9650000000001</v>
      </c>
      <c r="P90" s="5893">
        <f>+L90+N90</f>
        <v>34511.061560000002</v>
      </c>
      <c r="Q90" s="4844">
        <f>+M90+O90</f>
        <v>29912.918000000001</v>
      </c>
      <c r="R90" s="7031">
        <f>+R91*R5/1000</f>
        <v>11877.732</v>
      </c>
      <c r="S90" s="4865">
        <f>8920610/1000</f>
        <v>8920.61</v>
      </c>
      <c r="T90" s="5893">
        <f>+P90+R90</f>
        <v>46388.793560000006</v>
      </c>
      <c r="U90" s="4844">
        <f>+Q90+S90</f>
        <v>38833.528000000006</v>
      </c>
      <c r="V90" s="5775">
        <f>+V91*V5/1000</f>
        <v>11721.402</v>
      </c>
      <c r="W90" s="4865">
        <f>4329433/1000</f>
        <v>4329.433</v>
      </c>
      <c r="X90" s="7017">
        <f t="shared" ref="X90" si="337">+V90+R90+N90</f>
        <v>35546.471999999994</v>
      </c>
      <c r="Y90" s="6140">
        <f t="shared" ref="Y90" si="338">+W90+S90+O90</f>
        <v>21747.008000000002</v>
      </c>
      <c r="Z90" s="6974">
        <f>+T90+V90</f>
        <v>58110.195560000007</v>
      </c>
      <c r="AA90" s="6970">
        <f>+U90+W90</f>
        <v>43162.961000000003</v>
      </c>
      <c r="AB90" s="7332">
        <f>+AB91*AB5/1000</f>
        <v>6164.37</v>
      </c>
      <c r="AC90" s="4865">
        <f>5080104/1000</f>
        <v>5080.1040000000003</v>
      </c>
      <c r="AD90" s="5893">
        <f>+Z90+AB90</f>
        <v>64274.56556000001</v>
      </c>
      <c r="AE90" s="4844">
        <f>+AA90+AC90</f>
        <v>48243.065000000002</v>
      </c>
      <c r="AF90" s="7601">
        <f>+AF91*AF5/1000</f>
        <v>11661.57</v>
      </c>
      <c r="AG90" s="4865">
        <f>7294533/1000</f>
        <v>7294.5330000000004</v>
      </c>
      <c r="AH90" s="5893">
        <f>+AD90+AF90</f>
        <v>75936.13556000001</v>
      </c>
      <c r="AI90" s="4844">
        <f>+AE90+AG90</f>
        <v>55537.598000000005</v>
      </c>
      <c r="AJ90" s="5775">
        <f>+AJ91*AJ5/1000</f>
        <v>12235.86</v>
      </c>
      <c r="AK90" s="4865">
        <f>8826612/1000</f>
        <v>8826.6119999999992</v>
      </c>
      <c r="AL90" s="7754">
        <f t="shared" ref="AL90" si="339">+AJ90+AF90+AB90</f>
        <v>30061.8</v>
      </c>
      <c r="AM90" s="6140">
        <f t="shared" ref="AM90" si="340">+AK90+AG90+AC90</f>
        <v>21201.249</v>
      </c>
      <c r="AN90" s="5893">
        <f>+AH90+AJ90</f>
        <v>88171.99556000001</v>
      </c>
      <c r="AO90" s="4844">
        <f>+AI90+AK90</f>
        <v>64364.210000000006</v>
      </c>
      <c r="AP90" s="5775">
        <f>+AP91*AP5/1000</f>
        <v>12039.705</v>
      </c>
      <c r="AQ90" s="4865">
        <v>10789271</v>
      </c>
      <c r="AR90" s="5893">
        <f>+AN90+AP90</f>
        <v>100211.70056000001</v>
      </c>
      <c r="AS90" s="4844">
        <f>+AO90+AQ90</f>
        <v>10853635.210000001</v>
      </c>
      <c r="AT90" s="5775">
        <f>+AT91*AT5/1000</f>
        <v>11128.212</v>
      </c>
      <c r="AU90" s="4865">
        <v>9734015</v>
      </c>
      <c r="AV90" s="5893">
        <f>+AR90+AT90</f>
        <v>111339.91256000001</v>
      </c>
      <c r="AW90" s="4844">
        <f>+AS90+AU90</f>
        <v>20587650.210000001</v>
      </c>
      <c r="AX90" s="5775">
        <f>+AX91*AX5/1000</f>
        <v>12291.371999999999</v>
      </c>
      <c r="AY90" s="4865">
        <v>11879699</v>
      </c>
      <c r="AZ90" s="8297">
        <f t="shared" ref="AZ90" si="341">+AX90+AT90+AP90</f>
        <v>35459.288999999997</v>
      </c>
      <c r="BA90" s="6140">
        <f t="shared" ref="BA90" si="342">+AY90+AU90+AQ90</f>
        <v>32402985</v>
      </c>
      <c r="BB90" s="8297">
        <f t="shared" ref="BB90:BC90" si="343">+AZ90+AL90</f>
        <v>65521.088999999993</v>
      </c>
      <c r="BC90" s="6140">
        <f t="shared" si="343"/>
        <v>32424186.249000002</v>
      </c>
      <c r="BD90" s="6974">
        <f>+AV90+AX90</f>
        <v>123631.28456000001</v>
      </c>
      <c r="BE90" s="6970">
        <f>+AW90+AY90</f>
        <v>32467349.210000001</v>
      </c>
    </row>
    <row r="91" spans="1:57" ht="20" customHeight="1" x14ac:dyDescent="0.2">
      <c r="A91" t="s">
        <v>1024</v>
      </c>
      <c r="B91" s="4049" t="s">
        <v>786</v>
      </c>
      <c r="C91" s="3996" t="s">
        <v>768</v>
      </c>
      <c r="D91" s="7031">
        <v>52.68</v>
      </c>
      <c r="E91" s="4439">
        <f>+(E90*1000)/E5</f>
        <v>52.680575751013208</v>
      </c>
      <c r="F91" s="7031">
        <v>52.176667684266171</v>
      </c>
      <c r="G91" s="4440">
        <f>+(G90*1000)/G5</f>
        <v>52.176667684266171</v>
      </c>
      <c r="H91" s="6126">
        <f>+(H90*1000)/H5</f>
        <v>52.423549612094305</v>
      </c>
      <c r="I91" s="5628">
        <f>+(I90*1000)/I5</f>
        <v>52.423832015023045</v>
      </c>
      <c r="J91" s="6121">
        <v>54</v>
      </c>
      <c r="K91" s="4440">
        <f>+(K90*1000)/K5</f>
        <v>51.548309834308121</v>
      </c>
      <c r="L91" s="6148">
        <f>+(L90*1000)/L5</f>
        <v>53.023493709199087</v>
      </c>
      <c r="M91" s="6149">
        <f>+(M90*1000)/M5</f>
        <v>52.109857729264654</v>
      </c>
      <c r="N91" s="6121">
        <v>54</v>
      </c>
      <c r="O91" s="6169">
        <f>+(O90*1000)/O5</f>
        <v>52.799464360059403</v>
      </c>
      <c r="P91" s="6126">
        <f>+(P90*1000)/P5</f>
        <v>53.357527045141467</v>
      </c>
      <c r="Q91" s="5628">
        <f>+(Q90*1000)/Q5</f>
        <v>52.303906586047354</v>
      </c>
      <c r="R91" s="6121">
        <v>54</v>
      </c>
      <c r="S91" s="4865">
        <f>+(S90*1000)/S5</f>
        <v>51.86039346092133</v>
      </c>
      <c r="T91" s="6126">
        <f>+(T90*1000)/T5</f>
        <v>53.520570085618992</v>
      </c>
      <c r="U91" s="5628">
        <f>+(U90*1000)/U5</f>
        <v>52.201355525743438</v>
      </c>
      <c r="V91" s="6121">
        <v>54</v>
      </c>
      <c r="W91" s="4865">
        <f>+(W90*1000)/W5</f>
        <v>51.793671491805242</v>
      </c>
      <c r="X91" s="6148">
        <f>+(X90*1000)/X5</f>
        <v>53.999999999999986</v>
      </c>
      <c r="Y91" s="4879">
        <f>+(Y90*1000)/Y5</f>
        <v>52.209818716974247</v>
      </c>
      <c r="Z91" s="6978">
        <f>+(Z90*1000)/Z5</f>
        <v>53.616589217667311</v>
      </c>
      <c r="AA91" s="6979">
        <f>+(AA90*1000)/AA5</f>
        <v>52.160173678079246</v>
      </c>
      <c r="AB91" s="6121">
        <v>54</v>
      </c>
      <c r="AC91" s="4865">
        <f>+(AC90*1000)/AC5</f>
        <v>51.431070615034166</v>
      </c>
      <c r="AD91" s="6126">
        <f>+(AD90*1000)/AD5</f>
        <v>53.653124724011143</v>
      </c>
      <c r="AE91" s="5628">
        <f>+(AE90*1000)/AE5</f>
        <v>52.082425133571491</v>
      </c>
      <c r="AF91" s="6121">
        <v>54</v>
      </c>
      <c r="AG91" s="4865">
        <f>+(AG90*1000)/AG5</f>
        <v>52.245616673828962</v>
      </c>
      <c r="AH91" s="6126">
        <f>+(AH90*1000)/AH5</f>
        <v>53.706104701821886</v>
      </c>
      <c r="AI91" s="5628">
        <f>+(AI90*1000)/AI5</f>
        <v>52.103801190164589</v>
      </c>
      <c r="AJ91" s="6121">
        <v>54</v>
      </c>
      <c r="AK91" s="4865">
        <f>+(AK90*1000)/AK5</f>
        <v>52.540920860739902</v>
      </c>
      <c r="AL91" s="6148">
        <f>+(AL90*1000)/AL5</f>
        <v>54</v>
      </c>
      <c r="AM91" s="4879">
        <f>+(AM90*1000)/AM5</f>
        <v>52.169711361007899</v>
      </c>
      <c r="AN91" s="6126">
        <f>+(AN90*1000)/AN5</f>
        <v>53.746698014641801</v>
      </c>
      <c r="AO91" s="5628">
        <f>+(AO90*1000)/AO5</f>
        <v>52.163314957962498</v>
      </c>
      <c r="AP91" s="6121">
        <v>54</v>
      </c>
      <c r="AQ91" s="4865">
        <f>+(AQ90*1000)/AQ5</f>
        <v>53580.134778786989</v>
      </c>
      <c r="AR91" s="6126">
        <f>+(AR90*1000)/AR5</f>
        <v>53.777004729087047</v>
      </c>
      <c r="AS91" s="5628">
        <f>+(AS90*1000)/AS5</f>
        <v>7562.1123694927419</v>
      </c>
      <c r="AT91" s="6121">
        <v>54</v>
      </c>
      <c r="AU91" s="4865">
        <f>+(AU90*1000)/AU5</f>
        <v>51462.426248228898</v>
      </c>
      <c r="AV91" s="6126">
        <f>+(AV90*1000)/AV5</f>
        <v>53.799209807177476</v>
      </c>
      <c r="AW91" s="5628">
        <f>+(AW90*1000)/AW5</f>
        <v>12673.901409309086</v>
      </c>
      <c r="AX91" s="6121">
        <v>54</v>
      </c>
      <c r="AY91" s="4865">
        <f t="shared" ref="AY91:BE91" si="344">+(AY90*1000)/AY5</f>
        <v>53267.415478432427</v>
      </c>
      <c r="AZ91" s="6148">
        <f t="shared" si="344"/>
        <v>54</v>
      </c>
      <c r="BA91" s="4879">
        <f t="shared" si="344"/>
        <v>52813.58846683563</v>
      </c>
      <c r="BB91" s="6148">
        <f t="shared" si="344"/>
        <v>53.999999999999993</v>
      </c>
      <c r="BC91" s="4879">
        <f t="shared" si="344"/>
        <v>31790.755446724022</v>
      </c>
      <c r="BD91" s="6978">
        <f t="shared" si="344"/>
        <v>53.819105414133567</v>
      </c>
      <c r="BE91" s="6979">
        <f t="shared" si="344"/>
        <v>17574.304026181195</v>
      </c>
    </row>
    <row r="92" spans="1:57" ht="20" customHeight="1" x14ac:dyDescent="0.2">
      <c r="B92" s="4018" t="s">
        <v>787</v>
      </c>
      <c r="C92" s="3996" t="s">
        <v>797</v>
      </c>
      <c r="D92" s="7196"/>
      <c r="E92" s="4440">
        <f>+(1120.32+386.88)/24/E$2</f>
        <v>2.0933333333333328</v>
      </c>
      <c r="F92" s="7196"/>
      <c r="G92" s="4440">
        <f>+(1557.12+572.4)/24/G$2</f>
        <v>2.8622580645161291</v>
      </c>
      <c r="H92" s="4047">
        <f>+((D92*D2)+(F92*F2))/H2</f>
        <v>0</v>
      </c>
      <c r="I92" s="5629">
        <f>+((E92*E2)+(G92*G2))/I2</f>
        <v>2.4840983606557372</v>
      </c>
      <c r="J92" s="7196"/>
      <c r="K92" s="4440">
        <f>+(2017.2+813.1)/24/K$2</f>
        <v>3.9309722222222225</v>
      </c>
      <c r="L92" s="4046">
        <f>+((H92*H2)+(J92*J2))/L2</f>
        <v>0</v>
      </c>
      <c r="M92" s="6150">
        <f>+((I92*I2)+(K92*K2))/M2</f>
        <v>2.9610897435897434</v>
      </c>
      <c r="N92" s="7196"/>
      <c r="O92" s="6169">
        <f>+(2443.68+1084.08)/24/O$2</f>
        <v>4.7416129032258061</v>
      </c>
      <c r="P92" s="4047">
        <f>+((L92*L2)+(N92*N2))/P2</f>
        <v>0</v>
      </c>
      <c r="Q92" s="5629">
        <f>+((M92*M2)+(O92*O2))/Q2</f>
        <v>3.4135177595628416</v>
      </c>
      <c r="R92" s="7196"/>
      <c r="S92" s="6169">
        <f>+(2443.68+1084.08)/24/S$2</f>
        <v>4.7416129032258061</v>
      </c>
      <c r="T92" s="4047">
        <f>+((P92*P2)+(R92*R2))/T2</f>
        <v>0</v>
      </c>
      <c r="U92" s="5629">
        <f>+((Q92*Q2)+(S92*S2))/U2</f>
        <v>3.6826089324618736</v>
      </c>
      <c r="V92" s="7196"/>
      <c r="W92" s="6169">
        <f>+(1790.6+781.2)/24/W$2</f>
        <v>3.571944444444445</v>
      </c>
      <c r="X92" s="4046">
        <f>+((N92*N2)+(R92*R2)+(V92*V2))/X2</f>
        <v>0</v>
      </c>
      <c r="Y92" s="6150">
        <f>+((O92*O2)+(S92*S2)+(W92*W2))/Y2</f>
        <v>2.1920127504553735</v>
      </c>
      <c r="Z92" s="6980">
        <f>+((T92*T2)+(V92*V2))/Z2</f>
        <v>0</v>
      </c>
      <c r="AA92" s="6981">
        <f>+((U92*U2)+(W92*W2))/AA2</f>
        <v>3.664467213114754</v>
      </c>
      <c r="AB92" s="7196"/>
      <c r="AC92" s="6169">
        <f>+(1879.44+725.28)/24/AC$2</f>
        <v>3.5009677419354843</v>
      </c>
      <c r="AD92" s="4047">
        <f>+((Z92*Z2)+(AB92*AB2))/AD2</f>
        <v>0</v>
      </c>
      <c r="AE92" s="5629">
        <f>+((AA92*AA2)+(AC92*AC2))/AE2</f>
        <v>3.6407827102803734</v>
      </c>
      <c r="AF92" s="7196"/>
      <c r="AG92" s="6169">
        <f>+(2347.68+972.48)/24/AG$2</f>
        <v>4.6113333333333335</v>
      </c>
      <c r="AH92" s="4047">
        <f>+((AD92*AD2)+(AF92*AF2))/AH2</f>
        <v>0</v>
      </c>
      <c r="AI92" s="5629">
        <f>+((AE92*AE2)+(AG92*AG2))/AI2</f>
        <v>3.7601127049180327</v>
      </c>
      <c r="AJ92" s="7196"/>
      <c r="AK92" s="6169">
        <f>+(2360.64+1014.96)/24/AK$2</f>
        <v>4.5370967741935484</v>
      </c>
      <c r="AL92" s="4046">
        <f>+((AB92*AB2)+(AF92*AF2)+(AJ92*AJ2))/AL2</f>
        <v>0</v>
      </c>
      <c r="AM92" s="6150">
        <f>+((AC92*AC2)+(AG92*AG2)+(AK92*AK2))/AM2</f>
        <v>4.2121739130434781</v>
      </c>
      <c r="AN92" s="4047">
        <f>+((AH92*AH2)+(AJ92*AJ2))/AN2</f>
        <v>0</v>
      </c>
      <c r="AO92" s="5629">
        <f>+((AI92*AI2)+(AK92*AK2))/AO2</f>
        <v>3.8477000000000001</v>
      </c>
      <c r="AP92" s="7196"/>
      <c r="AQ92" s="6169">
        <f>+(2594.88+1109.52)/24/AQ$2</f>
        <v>4.9790322580645157</v>
      </c>
      <c r="AR92" s="4047">
        <f>+((AN92*AN2)+(AP92*AP2))/AR2</f>
        <v>0</v>
      </c>
      <c r="AS92" s="5629">
        <f>+((AO92*AO2)+(AQ92*AQ2))/AS2</f>
        <v>3.9623120915032679</v>
      </c>
      <c r="AT92" s="7196"/>
      <c r="AU92" s="6169">
        <f>+(2193.6+997.7)/24/AU$2</f>
        <v>4.7489583333333334</v>
      </c>
      <c r="AV92" s="4047">
        <f>+((AR92*AR2)+(AT92*AT2))/AV2</f>
        <v>0</v>
      </c>
      <c r="AW92" s="5629">
        <f>+((AS92*AS2)+(AU92*AU2))/AW2</f>
        <v>4.0282584830339321</v>
      </c>
      <c r="AX92" s="7196"/>
      <c r="AY92" s="6169">
        <f>+(2591.1+1116)/24/AY$2</f>
        <v>4.9826612903225804</v>
      </c>
      <c r="AZ92" s="4046">
        <f>+((AP92*AP2)+(AT92*AT2)+(AX92*AX2))/AZ2</f>
        <v>0</v>
      </c>
      <c r="BA92" s="6150">
        <f>+((AQ92*AQ2)+(AU92*AU2)+(AY92*AY2))/BA2</f>
        <v>4.9087037037037033</v>
      </c>
      <c r="BB92" s="4046">
        <f>+((AR92*AR2)+(AV92*AV2)+(AZ92*AZ2))/BB2</f>
        <v>0</v>
      </c>
      <c r="BC92" s="6150">
        <f>+((AM92*AM2)+(BA92*BA2))/BC2</f>
        <v>4.5566117216117217</v>
      </c>
      <c r="BD92" s="6980">
        <f>+((AV92*AV2)+(AX92*AX2))/BD2</f>
        <v>0</v>
      </c>
      <c r="BE92" s="6981">
        <f>+((AW92*AW2)+(AY92*AY2))/BE2</f>
        <v>4.1093173515981736</v>
      </c>
    </row>
    <row r="93" spans="1:57" ht="20" customHeight="1" x14ac:dyDescent="0.2">
      <c r="B93" s="4018" t="s">
        <v>1155</v>
      </c>
      <c r="C93" s="3996" t="s">
        <v>1439</v>
      </c>
      <c r="D93" s="4036"/>
      <c r="E93" s="4440">
        <f>+(437.154)/24/E$2</f>
        <v>0.60715833333333324</v>
      </c>
      <c r="F93" s="4036"/>
      <c r="G93" s="4440">
        <f>+(400.211)/24/G$2</f>
        <v>0.53791801075268819</v>
      </c>
      <c r="H93" s="4042">
        <f>+((D93*D2)+(F93*F2))/H2</f>
        <v>0</v>
      </c>
      <c r="I93" s="6127">
        <f>+((E93*E2)+(G93*G2))/I2</f>
        <v>0.57197062841530055</v>
      </c>
      <c r="J93" s="4036"/>
      <c r="K93" s="4440">
        <f>+(228.858)/24/K$2</f>
        <v>0.31785833333333335</v>
      </c>
      <c r="L93" s="4043">
        <f>+((H93*H2)+(J93*J2))/L2</f>
        <v>0</v>
      </c>
      <c r="M93" s="6151">
        <f>+((I93*I2)+(K93*K2))/M2</f>
        <v>0.48819734432234435</v>
      </c>
      <c r="N93" s="4036"/>
      <c r="O93" s="6169">
        <f>+(458.668)/24/O$2</f>
        <v>0.61648924731182797</v>
      </c>
      <c r="P93" s="4042">
        <f>+((L93*L2)+(N93*N2))/P2</f>
        <v>0</v>
      </c>
      <c r="Q93" s="6127">
        <f>+((M93*M2)+(O93*O2))/Q2</f>
        <v>0.52079610655737707</v>
      </c>
      <c r="R93" s="4036"/>
      <c r="S93" s="6169">
        <f>+(458.668)/24/S$2</f>
        <v>0.61648924731182797</v>
      </c>
      <c r="T93" s="4042">
        <f>+((P93*P2)+(R93*R2))/T2</f>
        <v>0</v>
      </c>
      <c r="U93" s="6127">
        <f>+((Q93*Q2)+(S93*S2))/U2</f>
        <v>0.54018491285403047</v>
      </c>
      <c r="V93" s="4036"/>
      <c r="W93" s="6169">
        <f>+(362.791)/24/W$2</f>
        <v>0.50387638888888886</v>
      </c>
      <c r="X93" s="4043">
        <f>+((N93*N2)+(R93*R2)+(V93*V2))/X2</f>
        <v>0</v>
      </c>
      <c r="Y93" s="6151">
        <f>+((O93*O2)+(S93*S2)+(W93*W2))/Y2</f>
        <v>0.29146789617486335</v>
      </c>
      <c r="Z93" s="6982">
        <f>+((T93*T2)+(V93*V2))/Z2</f>
        <v>0</v>
      </c>
      <c r="AA93" s="6983">
        <f>+((U93*U2)+(W93*W2))/AA2</f>
        <v>0.53423269581056465</v>
      </c>
      <c r="AB93" s="4036"/>
      <c r="AC93" s="6169">
        <f>+(461.734)/24/AC$2</f>
        <v>0.62061021505376335</v>
      </c>
      <c r="AD93" s="4042">
        <f>+((Z93*Z2)+(AB93*AB2))/AD2</f>
        <v>0</v>
      </c>
      <c r="AE93" s="6127">
        <f>+((AA93*AA2)+(AC93*AC2))/AE2</f>
        <v>0.54674532710280377</v>
      </c>
      <c r="AF93" s="4036"/>
      <c r="AG93" s="6169">
        <f>+(490.593)/24/AG$2</f>
        <v>0.68137916666666665</v>
      </c>
      <c r="AH93" s="4042">
        <f>+((AD93*AD2)+(AF93*AF2))/AH2</f>
        <v>0</v>
      </c>
      <c r="AI93" s="6127">
        <f>+((AE93*AE2)+(AG93*AG2))/AI2</f>
        <v>0.56329866803278683</v>
      </c>
      <c r="AJ93" s="4036"/>
      <c r="AK93" s="6169">
        <f>+(508.034)/24/AK$2</f>
        <v>0.68284139784946229</v>
      </c>
      <c r="AL93" s="4043">
        <f>+((AB93*AB2)+(AF93*AF2)+(AJ93*AJ2))/AL2</f>
        <v>0</v>
      </c>
      <c r="AM93" s="6151">
        <f>+((AC93*AC2)+(AG93*AG2)+(AK93*AK2))/AM2</f>
        <v>0.66139538043478252</v>
      </c>
      <c r="AN93" s="4042">
        <f>+((AH93*AH2)+(AJ93*AJ2))/AN2</f>
        <v>0</v>
      </c>
      <c r="AO93" s="6127">
        <f>+((AI93*AI2)+(AK93*AK2))/AO2</f>
        <v>0.57677439393939389</v>
      </c>
      <c r="AP93" s="4036"/>
      <c r="AQ93" s="6169">
        <f>+(467.23)/24/AQ$2</f>
        <v>0.62799731182795704</v>
      </c>
      <c r="AR93" s="4042">
        <f>+((AN93*AN2)+(AP93*AP2))/AR2</f>
        <v>0</v>
      </c>
      <c r="AS93" s="6127">
        <f>+((AO93*AO2)+(AQ93*AQ2))/AS2</f>
        <v>0.58196364379084964</v>
      </c>
      <c r="AT93" s="4036"/>
      <c r="AU93" s="6169">
        <f>+(426.216)/24/AU$2</f>
        <v>0.63424999999999998</v>
      </c>
      <c r="AV93" s="4042">
        <f>+((AR93*AR2)+(AT93*AT2))/AV2</f>
        <v>0</v>
      </c>
      <c r="AW93" s="6127">
        <f>+((AS93*AS2)+(AU93*AU2))/AW2</f>
        <v>0.58634693113772463</v>
      </c>
      <c r="AX93" s="4036"/>
      <c r="AY93" s="6169">
        <f>+(471.881)/24/AY$2</f>
        <v>0.6342486559139785</v>
      </c>
      <c r="AZ93" s="4043">
        <f>+((AP93*AP2)+(AT93*AT2)+(AX93*AX2))/AZ2</f>
        <v>0</v>
      </c>
      <c r="BA93" s="6151">
        <f>+((AQ93*AQ2)+(AU93*AU2)+(AY93*AY2))/BA2</f>
        <v>0.63209583333333341</v>
      </c>
      <c r="BB93" s="4043">
        <f>+((AR93*AR2)+(AV93*AV2)+(AZ93*AZ2))/BB2</f>
        <v>0</v>
      </c>
      <c r="BC93" s="6150" t="e">
        <f>+((AM93*AM3)+(BA93*BA3))/BC3</f>
        <v>#DIV/0!</v>
      </c>
      <c r="BD93" s="6982">
        <f>+((AV93*AV2)+(AX93*AX2))/BD2</f>
        <v>0</v>
      </c>
      <c r="BE93" s="6983">
        <f>+((AW93*AW2)+(AY93*AY2))/BE2</f>
        <v>0.59041529680365312</v>
      </c>
    </row>
    <row r="94" spans="1:57" ht="20" customHeight="1" x14ac:dyDescent="0.2">
      <c r="B94" s="4018" t="s">
        <v>788</v>
      </c>
      <c r="C94" s="3996" t="s">
        <v>703</v>
      </c>
      <c r="D94" s="7031">
        <f>+'POWER DISTRIBUTION'!I23</f>
        <v>16006659.999999985</v>
      </c>
      <c r="E94" s="5641">
        <f>+'POWER DISTRIBUTION'!J23</f>
        <v>16006660.000000006</v>
      </c>
      <c r="F94" s="7031">
        <f>+'POWER DISTRIBUTION'!K23</f>
        <v>16895069.99999997</v>
      </c>
      <c r="G94" s="5641">
        <f>+'POWER DISTRIBUTION'!L23</f>
        <v>16895070</v>
      </c>
      <c r="H94" s="5478">
        <f>+D94+F94</f>
        <v>32901729.999999955</v>
      </c>
      <c r="I94" s="5651">
        <f>+E94+G94</f>
        <v>32901730.000000007</v>
      </c>
      <c r="J94" s="7031">
        <f>+'POWER DISTRIBUTION'!O23</f>
        <v>16837500.000000026</v>
      </c>
      <c r="K94" s="5641">
        <f>+'POWER DISTRIBUTION'!P23</f>
        <v>16837500</v>
      </c>
      <c r="L94" s="4039">
        <f>+H94+J94</f>
        <v>49739229.999999985</v>
      </c>
      <c r="M94" s="6152">
        <f>+I94+K94</f>
        <v>49739230.000000007</v>
      </c>
      <c r="N94" s="7031">
        <f>+'POWER DISTRIBUTION'!S23</f>
        <v>20591458.289999999</v>
      </c>
      <c r="O94" s="5641">
        <f>+'POWER DISTRIBUTION'!T23</f>
        <v>18504889.999999996</v>
      </c>
      <c r="P94" s="5478">
        <f>+L94+N94</f>
        <v>70330688.289999992</v>
      </c>
      <c r="Q94" s="5651">
        <f>+M94+O94</f>
        <v>68244120</v>
      </c>
      <c r="R94" s="7031">
        <f>+'POWER DISTRIBUTION'!W23</f>
        <v>20471491.059999999</v>
      </c>
      <c r="S94" s="5641">
        <f>+'POWER DISTRIBUTION'!X23</f>
        <v>19930650.000000004</v>
      </c>
      <c r="T94" s="5478">
        <f>+P94+R94</f>
        <v>90802179.349999994</v>
      </c>
      <c r="U94" s="5651">
        <f>+Q94+S94</f>
        <v>88174770</v>
      </c>
      <c r="V94" s="7031">
        <f>+'POWER DISTRIBUTION'!AA23</f>
        <v>20202053.41</v>
      </c>
      <c r="W94" s="5641">
        <f>+'POWER DISTRIBUTION'!AB23</f>
        <v>13962619.999999994</v>
      </c>
      <c r="X94" s="7017">
        <f t="shared" ref="X94:Y94" si="345">+V94+R94+N94</f>
        <v>61265002.759999998</v>
      </c>
      <c r="Y94" s="6140">
        <f t="shared" si="345"/>
        <v>52398160</v>
      </c>
      <c r="Z94" s="6969">
        <f>+T94+V94</f>
        <v>111004232.75999999</v>
      </c>
      <c r="AA94" s="6984">
        <f>+U94+W94</f>
        <v>102137390</v>
      </c>
      <c r="AB94" s="7332">
        <f>+'POWER DISTRIBUTION'!AG23</f>
        <v>10624405.85</v>
      </c>
      <c r="AC94" s="5641">
        <f>+'POWER DISTRIBUTION'!AH23</f>
        <v>14859900</v>
      </c>
      <c r="AD94" s="5478">
        <f>+Z94+AB94</f>
        <v>121628638.60999998</v>
      </c>
      <c r="AE94" s="5651">
        <f>+AA94+AC94</f>
        <v>116997290</v>
      </c>
      <c r="AF94" s="7601">
        <f>+'POWER DISTRIBUTION'!AK23</f>
        <v>20098931.850000001</v>
      </c>
      <c r="AG94" s="5641">
        <f>+'POWER DISTRIBUTION'!AL23</f>
        <v>16813760</v>
      </c>
      <c r="AH94" s="5478">
        <f>+AD94+AF94</f>
        <v>141727570.45999998</v>
      </c>
      <c r="AI94" s="5651">
        <f>+AE94+AG94</f>
        <v>133811050</v>
      </c>
      <c r="AJ94" s="7752">
        <f>+'POWER DISTRIBUTION'!AO23</f>
        <v>21088731.299999997</v>
      </c>
      <c r="AK94" s="5641">
        <f>+'POWER DISTRIBUTION'!AP23</f>
        <v>17612370</v>
      </c>
      <c r="AL94" s="7754">
        <f t="shared" ref="AL94" si="346">+AJ94+AF94+AB94</f>
        <v>51812069</v>
      </c>
      <c r="AM94" s="6140">
        <f t="shared" ref="AM94" si="347">+AK94+AG94+AC94</f>
        <v>49286030</v>
      </c>
      <c r="AN94" s="5478">
        <f>+AH94+AJ94</f>
        <v>162816301.75999999</v>
      </c>
      <c r="AO94" s="5651">
        <f>+AI94+AK94</f>
        <v>151423420</v>
      </c>
      <c r="AP94" s="8085">
        <f>+'POWER DISTRIBUTION'!AU23</f>
        <v>20750654.524999999</v>
      </c>
      <c r="AQ94" s="5641">
        <f>+'POWER DISTRIBUTION'!AV23</f>
        <v>19595599.999999996</v>
      </c>
      <c r="AR94" s="5478">
        <f>+AN94+AP94</f>
        <v>183566956.285</v>
      </c>
      <c r="AS94" s="5651">
        <f>+AO94+AQ94</f>
        <v>171019020</v>
      </c>
      <c r="AT94" s="8161">
        <f>+'POWER DISTRIBUTION'!AY23</f>
        <v>19179632.924995199</v>
      </c>
      <c r="AU94" s="5641">
        <f>+'POWER DISTRIBUTION'!AZ23</f>
        <v>18174736</v>
      </c>
      <c r="AV94" s="5478">
        <f>+AR94+AT94</f>
        <v>202746589.20999521</v>
      </c>
      <c r="AW94" s="5651">
        <f>+AS94+AU94</f>
        <v>189193756</v>
      </c>
      <c r="AX94" s="8287">
        <f>+'POWER DISTRIBUTION'!BC23</f>
        <v>21184360.725000001</v>
      </c>
      <c r="AY94" s="5641">
        <f>+'POWER DISTRIBUTION'!BD23</f>
        <v>20517614</v>
      </c>
      <c r="AZ94" s="8297">
        <f t="shared" ref="AZ94" si="348">+AX94+AT94+AP94</f>
        <v>61114648.174995199</v>
      </c>
      <c r="BA94" s="6140">
        <f t="shared" ref="BA94" si="349">+AY94+AU94+AQ94</f>
        <v>58287950</v>
      </c>
      <c r="BB94" s="8297">
        <f t="shared" ref="BB94:BC94" si="350">+AZ94+AL94</f>
        <v>112926717.1749952</v>
      </c>
      <c r="BC94" s="6140">
        <f t="shared" si="350"/>
        <v>107573980</v>
      </c>
      <c r="BD94" s="6969">
        <f>+AV94+AX94</f>
        <v>223930949.9349952</v>
      </c>
      <c r="BE94" s="6984">
        <f>+AW94+AY94</f>
        <v>209711370</v>
      </c>
    </row>
    <row r="95" spans="1:57" ht="20" customHeight="1" x14ac:dyDescent="0.2">
      <c r="A95" t="s">
        <v>1024</v>
      </c>
      <c r="B95" s="4018" t="s">
        <v>789</v>
      </c>
      <c r="C95" s="3996" t="s">
        <v>769</v>
      </c>
      <c r="D95" s="4036">
        <f>+D94/D5</f>
        <v>123.80240076725541</v>
      </c>
      <c r="E95" s="7028">
        <f t="shared" ref="E95" si="351">+E94/E5</f>
        <v>123.80240076725556</v>
      </c>
      <c r="F95" s="4036">
        <f>+F94/F5</f>
        <v>125.79815789669605</v>
      </c>
      <c r="G95" s="7028">
        <f t="shared" ref="G95" si="352">+G94/G5</f>
        <v>125.79815789669628</v>
      </c>
      <c r="H95" s="4042">
        <f t="shared" ref="H95:I95" si="353">+H94/H5</f>
        <v>124.81924922703372</v>
      </c>
      <c r="I95" s="6127">
        <f t="shared" si="353"/>
        <v>124.81924922703392</v>
      </c>
      <c r="J95" s="4036">
        <f>+J94/J5</f>
        <v>103.96919979993471</v>
      </c>
      <c r="K95" s="7028">
        <f t="shared" ref="K95:M95" si="354">+K94/K5</f>
        <v>114.24393752289967</v>
      </c>
      <c r="L95" s="4043">
        <f t="shared" si="354"/>
        <v>116.88442033923792</v>
      </c>
      <c r="M95" s="6151">
        <f t="shared" si="354"/>
        <v>121.02679712003349</v>
      </c>
      <c r="N95" s="4036">
        <f>+N94/N5</f>
        <v>93.07</v>
      </c>
      <c r="O95" s="7029">
        <f t="shared" ref="O95:Q95" si="355">+O94/O5</f>
        <v>114.98791392477426</v>
      </c>
      <c r="P95" s="4042">
        <f t="shared" si="355"/>
        <v>108.73822574286203</v>
      </c>
      <c r="Q95" s="6127">
        <f t="shared" si="355"/>
        <v>119.32751186383777</v>
      </c>
      <c r="R95" s="4036">
        <f>+R94/R5</f>
        <v>93.07</v>
      </c>
      <c r="S95" s="7029">
        <f t="shared" ref="S95:U95" si="356">+S94/S5</f>
        <v>115.86778829383999</v>
      </c>
      <c r="T95" s="4042">
        <f t="shared" si="356"/>
        <v>104.76203476908486</v>
      </c>
      <c r="U95" s="6127">
        <f t="shared" si="356"/>
        <v>118.52753932557083</v>
      </c>
      <c r="V95" s="4036">
        <f>+V94/V5</f>
        <v>93.070000000000007</v>
      </c>
      <c r="W95" s="7029">
        <f t="shared" ref="W95:AA95" si="357">+W94/W5</f>
        <v>167.03696614427557</v>
      </c>
      <c r="X95" s="4046">
        <f t="shared" si="357"/>
        <v>93.07</v>
      </c>
      <c r="Y95" s="6150">
        <f t="shared" si="357"/>
        <v>125.79654335451623</v>
      </c>
      <c r="Z95" s="6980">
        <f t="shared" si="357"/>
        <v>102.42038065712624</v>
      </c>
      <c r="AA95" s="6981">
        <f t="shared" si="357"/>
        <v>123.4276768321273</v>
      </c>
      <c r="AB95" s="4036">
        <f>+AB94/AB5</f>
        <v>93.07</v>
      </c>
      <c r="AC95" s="7029">
        <f t="shared" ref="AC95:AE95" si="358">+AC94/AC5</f>
        <v>150.44191343963553</v>
      </c>
      <c r="AD95" s="4042">
        <f t="shared" si="358"/>
        <v>101.52937574136138</v>
      </c>
      <c r="AE95" s="6127">
        <f t="shared" si="358"/>
        <v>126.30836364264485</v>
      </c>
      <c r="AF95" s="4036">
        <f>+AF94/AF5</f>
        <v>93.070000000000007</v>
      </c>
      <c r="AG95" s="7029">
        <f t="shared" ref="AG95:AI95" si="359">+AG94/AG5</f>
        <v>120.4251539893998</v>
      </c>
      <c r="AH95" s="4042">
        <f t="shared" si="359"/>
        <v>100.23733341348873</v>
      </c>
      <c r="AI95" s="6127">
        <f t="shared" si="359"/>
        <v>125.53773654826001</v>
      </c>
      <c r="AJ95" s="4036">
        <f>+AJ94/AJ5</f>
        <v>93.07</v>
      </c>
      <c r="AK95" s="7029">
        <f t="shared" ref="AK95:AO95" si="360">+AK94/AK5</f>
        <v>104.83865591237834</v>
      </c>
      <c r="AL95" s="4046">
        <f t="shared" si="360"/>
        <v>93.07</v>
      </c>
      <c r="AM95" s="6150">
        <f t="shared" si="360"/>
        <v>121.27766431260612</v>
      </c>
      <c r="AN95" s="4047">
        <f t="shared" si="360"/>
        <v>99.247369269312586</v>
      </c>
      <c r="AO95" s="5629">
        <f t="shared" si="360"/>
        <v>122.71956028780336</v>
      </c>
      <c r="AP95" s="4036">
        <f>+AP94/AP5</f>
        <v>93.07</v>
      </c>
      <c r="AQ95" s="7029">
        <f t="shared" ref="AQ95:AS95" si="361">+AQ94/AQ5</f>
        <v>97.31286655708233</v>
      </c>
      <c r="AR95" s="4042">
        <f t="shared" si="361"/>
        <v>98.508268206985093</v>
      </c>
      <c r="AS95" s="6127">
        <f t="shared" si="361"/>
        <v>119.15501318571832</v>
      </c>
      <c r="AT95" s="4036">
        <f>+AT94/AT5</f>
        <v>93.069774187420293</v>
      </c>
      <c r="AU95" s="7029">
        <f t="shared" ref="AU95:AW95" si="362">+AU94/AU5</f>
        <v>96.087381309873749</v>
      </c>
      <c r="AV95" s="4042">
        <f t="shared" si="362"/>
        <v>97.966722263412521</v>
      </c>
      <c r="AW95" s="6127">
        <f t="shared" si="362"/>
        <v>116.46899895531493</v>
      </c>
      <c r="AX95" s="4036">
        <f>+AX94/AX5</f>
        <v>93.069795556590435</v>
      </c>
      <c r="AY95" s="7029">
        <f t="shared" ref="AY95:BE95" si="363">+AY94/AY5</f>
        <v>91.998986637969693</v>
      </c>
      <c r="AZ95" s="4046">
        <f t="shared" si="363"/>
        <v>93.069858266186344</v>
      </c>
      <c r="BA95" s="6150">
        <f t="shared" si="363"/>
        <v>95.003463535087647</v>
      </c>
      <c r="BB95" s="4046">
        <f t="shared" ref="BB95:BC95" si="364">+BB94/BB5</f>
        <v>93.069923295226985</v>
      </c>
      <c r="BC95" s="6150">
        <f t="shared" si="364"/>
        <v>105.47244160109813</v>
      </c>
      <c r="BD95" s="6980">
        <f t="shared" si="363"/>
        <v>97.481502703223001</v>
      </c>
      <c r="BE95" s="6981">
        <f t="shared" si="363"/>
        <v>113.5150070394975</v>
      </c>
    </row>
    <row r="96" spans="1:57" ht="20" customHeight="1" x14ac:dyDescent="0.2">
      <c r="B96" s="4018" t="s">
        <v>790</v>
      </c>
      <c r="C96" s="3996" t="s">
        <v>1468</v>
      </c>
      <c r="D96" s="7197"/>
      <c r="E96" s="4441">
        <v>3.5999999999999997E-2</v>
      </c>
      <c r="F96" s="7197"/>
      <c r="G96" s="4441">
        <v>4.9000000000000002E-2</v>
      </c>
      <c r="H96" s="4060">
        <f>+((D96*D22)+(F96*F22))/H22</f>
        <v>0</v>
      </c>
      <c r="I96" s="6128">
        <f>+((E96*E22)+(G96*G22))/I22</f>
        <v>4.2621052082129372E-2</v>
      </c>
      <c r="J96" s="7197"/>
      <c r="K96" s="4441">
        <v>5.8000000000000003E-2</v>
      </c>
      <c r="L96" s="4061">
        <f>+((H96*H22)+(J96*J22))/L22</f>
        <v>0</v>
      </c>
      <c r="M96" s="6153">
        <f>+((I96*I22)+(K96*K22))/M22</f>
        <v>4.8127350102082099E-2</v>
      </c>
      <c r="N96" s="7197"/>
      <c r="O96" s="6170">
        <v>6.4000000000000001E-2</v>
      </c>
      <c r="P96" s="4060">
        <f>+((L96*L22)+(N96*N22))/P22</f>
        <v>0</v>
      </c>
      <c r="Q96" s="6128">
        <f>+((M96*M22)+(O96*O22))/Q22</f>
        <v>5.2591349420846104E-2</v>
      </c>
      <c r="R96" s="7197"/>
      <c r="S96" s="6170">
        <v>6.3E-2</v>
      </c>
      <c r="T96" s="4060">
        <f>+((P96*P22)+(R96*R22))/T22</f>
        <v>0</v>
      </c>
      <c r="U96" s="6128">
        <f>+((Q96*Q22)+(S96*S22))/U22</f>
        <v>5.4993306504653561E-2</v>
      </c>
      <c r="V96" s="7197"/>
      <c r="W96" s="6170">
        <v>0.09</v>
      </c>
      <c r="X96" s="4039">
        <f>+((N96*N22)+(R96*R22)+(V96*V22))/X22</f>
        <v>0</v>
      </c>
      <c r="Y96" s="6153">
        <f>+((O96*O22)+(S96*S22)+(W96*W22))/Y22</f>
        <v>6.8804182055207108E-2</v>
      </c>
      <c r="Z96" s="6969">
        <f>+((T96*T22)+(V96*V22))/Z22</f>
        <v>0</v>
      </c>
      <c r="AA96" s="6985">
        <f>+((U96*U22)+(W96*W22))/AA22</f>
        <v>5.8525572778845972E-2</v>
      </c>
      <c r="AB96" s="7197"/>
      <c r="AC96" s="6169">
        <v>0.08</v>
      </c>
      <c r="AD96" s="4060">
        <f>+((Z96*Z22)+(AB96*AB22))/AD22</f>
        <v>0</v>
      </c>
      <c r="AE96" s="6128">
        <f>+((AA96*AA22)+(AC96*AC22))/AE22</f>
        <v>6.0812998717924185E-2</v>
      </c>
      <c r="AF96" s="7197"/>
      <c r="AG96" s="6170">
        <v>7.0999999999999994E-2</v>
      </c>
      <c r="AH96" s="4060">
        <f>+((AD96*AD22)+(AF96*AF22))/AH22</f>
        <v>0</v>
      </c>
      <c r="AI96" s="6128">
        <f>+((AE96*AE22)+(AG96*AG22))/AI22</f>
        <v>6.2145353505765548E-2</v>
      </c>
      <c r="AJ96" s="7197"/>
      <c r="AK96" s="6170">
        <v>5.8999999999999997E-2</v>
      </c>
      <c r="AL96" s="4039">
        <f>+((AB96*AB22)+(AF96*AF22)+(AJ96*AJ22))/AL22</f>
        <v>0</v>
      </c>
      <c r="AM96" s="6153">
        <f>+((AC96*AC22)+(AG96*AG22)+(AK96*AK22))/AM22</f>
        <v>6.8232668639785943E-2</v>
      </c>
      <c r="AN96" s="5478">
        <f>+((AH96*AH22)+(AJ96*AJ22))/AN22</f>
        <v>0</v>
      </c>
      <c r="AO96" s="6128">
        <f>+((AI96*AI22)+(AK96*AK22))/AO22</f>
        <v>6.1718055820616395E-2</v>
      </c>
      <c r="AP96" s="7197"/>
      <c r="AQ96" s="6170">
        <v>5.3999999999999999E-2</v>
      </c>
      <c r="AR96" s="4060">
        <f>+((AN96*AN22)+(AP96*AP22))/AR22</f>
        <v>0</v>
      </c>
      <c r="AS96" s="6128">
        <f>+((AO96*AO22)+(AQ96*AQ22))/AS22</f>
        <v>6.0636526114358415E-2</v>
      </c>
      <c r="AT96" s="7197"/>
      <c r="AU96" s="6170">
        <v>4.9000000000000002E-2</v>
      </c>
      <c r="AV96" s="4060">
        <f>+((AR96*AR22)+(AT96*AT22))/AV22</f>
        <v>0</v>
      </c>
      <c r="AW96" s="6128">
        <f>+((AS96*AS22)+(AU96*AU22))/AW22</f>
        <v>5.9281335215570559E-2</v>
      </c>
      <c r="AX96" s="7197"/>
      <c r="AY96" s="6170">
        <v>4.9000000000000002E-2</v>
      </c>
      <c r="AZ96" s="4039">
        <f>+((AP96*AP22)+(AT96*AT22)+(AX96*AX22))/AZ22</f>
        <v>0</v>
      </c>
      <c r="BA96" s="6153">
        <f>+((AQ96*AQ22)+(AU96*AU22)+(AY96*AY22))/BA22</f>
        <v>5.0639990807154353E-2</v>
      </c>
      <c r="BB96" s="4039">
        <f>+((AR96*AR22)+(AV96*AV22)+(AZ96*AZ22))/BB22</f>
        <v>0</v>
      </c>
      <c r="BC96" s="6153">
        <f>+((AM96*AM22)+(BA96*BA22))/BC22</f>
        <v>5.7646986921859954E-2</v>
      </c>
      <c r="BD96" s="6969">
        <f>+((AV96*AV22)+(AX96*AX22))/BD22</f>
        <v>0</v>
      </c>
      <c r="BE96" s="6985">
        <f>+((AW96*AW22)+(AY96*AY22))/BE22</f>
        <v>5.8040904086087579E-2</v>
      </c>
    </row>
    <row r="97" spans="2:57" ht="20" customHeight="1" x14ac:dyDescent="0.2">
      <c r="B97" s="4016" t="s">
        <v>791</v>
      </c>
      <c r="C97" s="3999" t="s">
        <v>1469</v>
      </c>
      <c r="D97" s="7198"/>
      <c r="E97" s="4442">
        <v>4.2999999999999997E-2</v>
      </c>
      <c r="F97" s="7198"/>
      <c r="G97" s="4442">
        <v>4.5999999999999999E-2</v>
      </c>
      <c r="H97" s="4062">
        <f>+((D97*D5)+(F97*F5))/H5</f>
        <v>0</v>
      </c>
      <c r="I97" s="6129">
        <f>+((E97*E5)+(G97*G5))/I5</f>
        <v>4.4528515336026857E-2</v>
      </c>
      <c r="J97" s="7198"/>
      <c r="K97" s="4442">
        <v>4.1000000000000002E-2</v>
      </c>
      <c r="L97" s="4063">
        <f>+((H97*H5)+(J97*J5))/L5</f>
        <v>0</v>
      </c>
      <c r="M97" s="6154">
        <f>+((I97*I5)+(K97*K5))/M5</f>
        <v>4.3263141246347114E-2</v>
      </c>
      <c r="N97" s="7198"/>
      <c r="O97" s="6171">
        <v>5.5E-2</v>
      </c>
      <c r="P97" s="4062">
        <f>+((L97*L5)+(N97*N5))/P5</f>
        <v>0</v>
      </c>
      <c r="Q97" s="6129">
        <f>+((M97*M5)+(O97*O5))/Q5</f>
        <v>4.6565783537854115E-2</v>
      </c>
      <c r="R97" s="7198"/>
      <c r="S97" s="6171">
        <v>5.3999999999999999E-2</v>
      </c>
      <c r="T97" s="4062">
        <f>+((P97*P5)+(R97*R5))/T5</f>
        <v>0</v>
      </c>
      <c r="U97" s="6129">
        <f>+((Q97*Q5)+(S97*S5))/U5</f>
        <v>4.8284755846746547E-2</v>
      </c>
      <c r="V97" s="7198"/>
      <c r="W97" s="6171">
        <v>7.4999999999999997E-2</v>
      </c>
      <c r="X97" s="7040">
        <f>+((N97*N5)+(R97*R5)+(V97*V5))/X5</f>
        <v>0</v>
      </c>
      <c r="Y97" s="6154">
        <f>+((O97*O5)+(S97*S5)+(W97*W5))/Y5</f>
        <v>5.8600663576060363E-2</v>
      </c>
      <c r="Z97" s="7039">
        <f>+((T97*T5)+(V97*V5))/Z5</f>
        <v>0</v>
      </c>
      <c r="AA97" s="6986">
        <f>+((U97*U5)+(W97*W5))/AA5</f>
        <v>5.0983372970412368E-2</v>
      </c>
      <c r="AB97" s="7198"/>
      <c r="AC97" s="7480">
        <v>7.0000000000000007E-2</v>
      </c>
      <c r="AD97" s="4062">
        <f>+((Z97*Z5)+(AB97*AB5))/AD5</f>
        <v>0</v>
      </c>
      <c r="AE97" s="6129">
        <f>+((AA97*AA5)+(AC97*AC5))/AE5</f>
        <v>5.3011227670161275E-2</v>
      </c>
      <c r="AF97" s="7198"/>
      <c r="AG97" s="6171">
        <v>6.0999999999999999E-2</v>
      </c>
      <c r="AH97" s="4062">
        <f>+((AD97*AD5)+(AF97*AF5))/AH5</f>
        <v>0</v>
      </c>
      <c r="AI97" s="6129">
        <f>+((AE97*AE5)+(AG97*AG5))/AI5</f>
        <v>5.4057657216463412E-2</v>
      </c>
      <c r="AJ97" s="7198"/>
      <c r="AK97" s="6171">
        <v>5.5E-2</v>
      </c>
      <c r="AL97" s="7040">
        <f>+((AB97*AB5)+(AF97*AF5)+(AJ97*AJ5))/AL5</f>
        <v>0</v>
      </c>
      <c r="AM97" s="6154">
        <f>+((AC97*AC5)+(AG97*AG5)+(AK97*AK5))/AM5</f>
        <v>6.0707190137552595E-2</v>
      </c>
      <c r="AN97" s="7949">
        <f>+((AH97*AH5)+(AJ97*AJ5))/AN5</f>
        <v>0</v>
      </c>
      <c r="AO97" s="6129">
        <f>+((AI97*AI5)+(AK97*AK5))/AO5</f>
        <v>5.4185957024000364E-2</v>
      </c>
      <c r="AP97" s="7198"/>
      <c r="AQ97" s="6171">
        <v>4.5999999999999999E-2</v>
      </c>
      <c r="AR97" s="4062">
        <f>+((AN97*AN5)+(AP97*AP5))/AR5</f>
        <v>0</v>
      </c>
      <c r="AS97" s="6129">
        <f>+((AO97*AO5)+(AQ97*AQ5))/AS5</f>
        <v>5.3037471129024953E-2</v>
      </c>
      <c r="AT97" s="7198"/>
      <c r="AU97" s="6171">
        <v>4.3999999999999997E-2</v>
      </c>
      <c r="AV97" s="4062">
        <f>+((AR97*AR5)+(AT97*AT5))/AV5</f>
        <v>0</v>
      </c>
      <c r="AW97" s="6129">
        <f>+((AS97*AS5)+(AU97*AU5))/AW5</f>
        <v>5.1985140478437442E-2</v>
      </c>
      <c r="AX97" s="7198"/>
      <c r="AY97" s="6171">
        <v>4.1000000000000002E-2</v>
      </c>
      <c r="AZ97" s="7040">
        <f>+((AP97*AP5)+(AT97*AT5)+(AX97*AX5))/AZ5</f>
        <v>0</v>
      </c>
      <c r="BA97" s="6154">
        <f>+((AQ97*AQ5)+(AU97*AU5)+(AY97*AY5))/BA5</f>
        <v>4.3565915554939813E-2</v>
      </c>
      <c r="BB97" s="7040">
        <f>+((AR97*AR5)+(AV97*AV5)+(AZ97*AZ5))/BB5</f>
        <v>0</v>
      </c>
      <c r="BC97" s="6154">
        <f>+((AM97*AM5)+(BA97*BA5))/BC5</f>
        <v>5.0395871265043996E-2</v>
      </c>
      <c r="BD97" s="7039">
        <f>+((AV97*AV5)+(AX97*AX5))/BD5</f>
        <v>0</v>
      </c>
      <c r="BE97" s="6986">
        <f>+((AW97*AW5)+(AY97*AY5))/BE5</f>
        <v>5.065902687675277E-2</v>
      </c>
    </row>
    <row r="98" spans="2:57" ht="20" customHeight="1" x14ac:dyDescent="0.2">
      <c r="B98" s="4064" t="s">
        <v>1296</v>
      </c>
      <c r="C98" s="4065" t="s">
        <v>1440</v>
      </c>
      <c r="D98" s="7198"/>
      <c r="E98" s="4442">
        <v>0.69166666666666676</v>
      </c>
      <c r="F98" s="7198"/>
      <c r="G98" s="4442">
        <v>0.9916666666666667</v>
      </c>
      <c r="H98" s="4062">
        <f>+((D98*D2)+(F98*F2))/H2</f>
        <v>0</v>
      </c>
      <c r="I98" s="5630">
        <f>+((E98*E2)+(G98*G2))/I2</f>
        <v>0.84412568306010938</v>
      </c>
      <c r="J98" s="7198"/>
      <c r="K98" s="4442">
        <v>1.3062500000000001</v>
      </c>
      <c r="L98" s="4063">
        <f>+((H98*H2)+(J98*J2))/L2</f>
        <v>0</v>
      </c>
      <c r="M98" s="6155">
        <f>+((I98*I2)+(K98*K2))/M2</f>
        <v>0.9964743589743591</v>
      </c>
      <c r="N98" s="7198"/>
      <c r="O98" s="6171">
        <f>20.9/(24*31)</f>
        <v>2.8091397849462362E-2</v>
      </c>
      <c r="P98" s="4062">
        <f>+((L98*L2)+(N98*N2))/P2</f>
        <v>0</v>
      </c>
      <c r="Q98" s="5630">
        <f>+((M98*M2)+(O98*O2))/Q2</f>
        <v>0.75040983606557388</v>
      </c>
      <c r="R98" s="7198"/>
      <c r="S98" s="6171">
        <f>6.7/(24*31)</f>
        <v>9.0053763440860225E-3</v>
      </c>
      <c r="T98" s="4062">
        <f>+((P98*P2)+(R98*R2))/T2</f>
        <v>0</v>
      </c>
      <c r="U98" s="5630">
        <f>+((Q98*Q2)+(S98*S2))/U2</f>
        <v>0.60019063180827892</v>
      </c>
      <c r="V98" s="7198"/>
      <c r="W98" s="6171">
        <f>2.85/(24*30)</f>
        <v>3.9583333333333337E-3</v>
      </c>
      <c r="X98" s="7040">
        <f>+((N98*N2)+(R98*R2)+(V98*V2))/X2</f>
        <v>0</v>
      </c>
      <c r="Y98" s="6154">
        <f>+((O98*O2)+(S98*S2)+(W98*W2))/Y2</f>
        <v>6.9330601092896169E-3</v>
      </c>
      <c r="Z98" s="7039">
        <f>+((T98*T2)+(V98*V2))/Z2</f>
        <v>0</v>
      </c>
      <c r="AA98" s="6987">
        <f>+((U98*U2)+(W98*W2))/AA2</f>
        <v>0.50244763205828791</v>
      </c>
      <c r="AB98" s="7198"/>
      <c r="AC98" s="6171">
        <f>5.225/(24*31)</f>
        <v>7.0228494623655905E-3</v>
      </c>
      <c r="AD98" s="4062">
        <f>+((Z98*Z2)+(AB98*AB2))/AD2</f>
        <v>0</v>
      </c>
      <c r="AE98" s="5630">
        <f>+((AA98*AA2)+(AC98*AC2))/AE2</f>
        <v>0.43068049065420572</v>
      </c>
      <c r="AF98" s="7198"/>
      <c r="AG98" s="6171">
        <f>17.575/(24*30)</f>
        <v>2.4409722222222222E-2</v>
      </c>
      <c r="AH98" s="4062">
        <f>+((AD98*AD2)+(AF98*AF2))/AH2</f>
        <v>0</v>
      </c>
      <c r="AI98" s="5630">
        <f>+((AE98*AE2)+(AG98*AG2))/AI2</f>
        <v>0.38072916666666673</v>
      </c>
      <c r="AJ98" s="7198"/>
      <c r="AK98" s="7480">
        <f>31.35/(24*31)</f>
        <v>4.2137096774193548E-2</v>
      </c>
      <c r="AL98" s="7040">
        <f>+((AB98*AB2)+(AF98*AF2)+(AJ98*AJ2))/AL2</f>
        <v>0</v>
      </c>
      <c r="AM98" s="6154">
        <f>+((AC98*AC2)+(AG98*AG2)+(AK98*AK2))/AM2</f>
        <v>2.4524456521739128E-2</v>
      </c>
      <c r="AN98" s="7949">
        <f>+((AH98*AH2)+(AJ98*AJ2))/AN2</f>
        <v>0</v>
      </c>
      <c r="AO98" s="5630">
        <f>+((AI98*AI2)+(AK98*AK2))/AO2</f>
        <v>0.34256060606060618</v>
      </c>
      <c r="AP98" s="7198"/>
      <c r="AQ98" s="7480">
        <f>28.5/(24*31)</f>
        <v>3.8306451612903226E-2</v>
      </c>
      <c r="AR98" s="4062">
        <f>+((AN98*AN2)+(AP98*AP2))/AR2</f>
        <v>0</v>
      </c>
      <c r="AS98" s="5630">
        <f>+((AO98*AO2)+(AQ98*AQ2))/AS2</f>
        <v>0.31173747276688463</v>
      </c>
      <c r="AT98" s="7198"/>
      <c r="AU98" s="7480">
        <f>24.225/(28*24)</f>
        <v>3.6049107142857147E-2</v>
      </c>
      <c r="AV98" s="4062">
        <f>+((AR98*AR2)+(AT98*AT2))/AV2</f>
        <v>0</v>
      </c>
      <c r="AW98" s="5630">
        <f>+((AS98*AS2)+(AU98*AU2))/AW2</f>
        <v>0.28862587325349309</v>
      </c>
      <c r="AX98" s="7198"/>
      <c r="AY98" s="7480">
        <f>24.7/(28*24)</f>
        <v>3.6755952380952382E-2</v>
      </c>
      <c r="AZ98" s="7040">
        <f>+((AP98*AP2)+(AT98*AT2)+(AX98*AX2))/AZ2</f>
        <v>0</v>
      </c>
      <c r="BA98" s="6154">
        <f>+((AQ98*AQ2)+(AU98*AU2)+(AY98*AY2))/BA2</f>
        <v>3.7070105820105823E-2</v>
      </c>
      <c r="BB98" s="7040">
        <f>+((AR98*AR2)+(AV98*AV2)+(AZ98*AZ2))/BB2</f>
        <v>0</v>
      </c>
      <c r="BC98" s="6154">
        <f>+((AM98*AM2)+(BA98*BA2))/BC2</f>
        <v>3.0728349031920458E-2</v>
      </c>
      <c r="BD98" s="7039">
        <f>+((AV98*AV2)+(AX98*AX2))/BD2</f>
        <v>0</v>
      </c>
      <c r="BE98" s="6987">
        <f>+((AW98*AW2)+(AY98*AY2))/BE2</f>
        <v>0.26723418134377047</v>
      </c>
    </row>
    <row r="99" spans="2:57" ht="20" customHeight="1" thickBot="1" x14ac:dyDescent="0.25">
      <c r="B99" s="4066" t="s">
        <v>1207</v>
      </c>
      <c r="C99" s="4067" t="s">
        <v>766</v>
      </c>
      <c r="D99" s="4068">
        <v>9.8000000000000007</v>
      </c>
      <c r="E99" s="5264">
        <v>9.8000000000000007</v>
      </c>
      <c r="F99" s="4068">
        <v>8.9</v>
      </c>
      <c r="G99" s="5264">
        <v>8.9</v>
      </c>
      <c r="H99" s="6130">
        <f>+((D5*D99)+(F5*F99))/H5</f>
        <v>9.3414453991919419</v>
      </c>
      <c r="I99" s="5631">
        <f>+((E5*E99)+(G5*G99))/I5</f>
        <v>9.3414453991919419</v>
      </c>
      <c r="J99" s="4068">
        <v>9.5</v>
      </c>
      <c r="K99" s="5264">
        <v>9</v>
      </c>
      <c r="L99" s="6156">
        <f>+((H5*H99)+(J5*J99))/L5</f>
        <v>9.4017859576728036</v>
      </c>
      <c r="M99" s="6157">
        <f>+((I5*I99)+(K5*K99))/M5</f>
        <v>9.2189983867710357</v>
      </c>
      <c r="N99" s="4068">
        <v>9.5</v>
      </c>
      <c r="O99" s="6172">
        <v>10.5</v>
      </c>
      <c r="P99" s="6130">
        <f>+((L5*L99)+(N5*N99))/P5</f>
        <v>9.4353820179378456</v>
      </c>
      <c r="Q99" s="5631">
        <f>+((M5*M99)+(O5*O99))/Q5</f>
        <v>9.5794602609519739</v>
      </c>
      <c r="R99" s="4068">
        <v>9.5</v>
      </c>
      <c r="S99" s="6172">
        <v>10.68</v>
      </c>
      <c r="T99" s="6130">
        <f>+((P5*P99)+(R5*R99))/T5</f>
        <v>9.4517803926636041</v>
      </c>
      <c r="U99" s="5631">
        <f>+((Q5*Q99)+(S5*S99))/U5</f>
        <v>9.8339319118504989</v>
      </c>
      <c r="V99" s="4068">
        <v>9.5</v>
      </c>
      <c r="W99" s="6172">
        <v>12.8</v>
      </c>
      <c r="X99" s="6156">
        <f>+((N5*N99)+(R5*R99)+(V5*V99))/X5</f>
        <v>9.5</v>
      </c>
      <c r="Y99" s="6157">
        <f>+((O5*O99)+(S5*S99)+(W5*W99))/Y5</f>
        <v>11.035900473194072</v>
      </c>
      <c r="Z99" s="6988">
        <f>+((T5*T99)+(V5*V99))/Z5</f>
        <v>9.4614377058709564</v>
      </c>
      <c r="AA99" s="6989">
        <f>+((U5*U99)+(W5*W99))/AA5</f>
        <v>10.133546696829516</v>
      </c>
      <c r="AB99" s="4068">
        <v>9.5</v>
      </c>
      <c r="AC99" s="6172">
        <v>13.36</v>
      </c>
      <c r="AD99" s="6130">
        <f>+((Z5*Z99)+(AB5*AB99))/AD5</f>
        <v>9.4651123363370395</v>
      </c>
      <c r="AE99" s="5631">
        <f>+((AA5*AA99)+(AC5*AC99))/AE5</f>
        <v>10.477602374220405</v>
      </c>
      <c r="AF99" s="4068">
        <v>9.5</v>
      </c>
      <c r="AG99" s="6172">
        <v>10.199999999999999</v>
      </c>
      <c r="AH99" s="6130">
        <f>+((AD5*AD99)+(AF5*AF99))/AH5</f>
        <v>9.4704409018897824</v>
      </c>
      <c r="AI99" s="5631">
        <f>+((AE5*AE99)+(AG5*AG99))/AI5</f>
        <v>10.441239925208952</v>
      </c>
      <c r="AJ99" s="4068">
        <v>9.5</v>
      </c>
      <c r="AK99" s="6172">
        <v>8.1</v>
      </c>
      <c r="AL99" s="6156">
        <f>+((AB5*AB99)+(AF5*AF99)+(AJ5*AJ99))/AL5</f>
        <v>9.5</v>
      </c>
      <c r="AM99" s="6157">
        <f>+((AC5*AC99)+(AG5*AG99)+(AK5*AK99))/AM5</f>
        <v>10.099947095154901</v>
      </c>
      <c r="AN99" s="6130">
        <f>+((AH5*AH99)+(AJ5*AJ99))/AN5</f>
        <v>9.4745236542294773</v>
      </c>
      <c r="AO99" s="5631">
        <f>+((AI5*AI99)+(AK5*AK99))/AO5</f>
        <v>10.122480512975949</v>
      </c>
      <c r="AP99" s="4068">
        <v>9.5</v>
      </c>
      <c r="AQ99" s="6172">
        <v>8.73</v>
      </c>
      <c r="AR99" s="6130">
        <f>+((AN5*AN99)+(AP5*AP99))/AR5</f>
        <v>9.4775718116897654</v>
      </c>
      <c r="AS99" s="5631">
        <f>+((AO5*AO99)+(AQ5*AQ99))/AS5</f>
        <v>9.9271161562498893</v>
      </c>
      <c r="AT99" s="4068">
        <v>9.5</v>
      </c>
      <c r="AU99" s="6172">
        <v>8.6999999999999993</v>
      </c>
      <c r="AV99" s="6130">
        <f>+((AR5*AR99)+(AT5*AT99))/AV5</f>
        <v>9.479805131126616</v>
      </c>
      <c r="AW99" s="5631">
        <f>+((AS5*AS99)+(AU5*AU99))/AW5</f>
        <v>9.7842297309858992</v>
      </c>
      <c r="AX99" s="4068">
        <v>9.5</v>
      </c>
      <c r="AY99" s="6172">
        <v>7.6</v>
      </c>
      <c r="AZ99" s="6156">
        <f>+((AP5*AP99)+(AT5*AT99)+(AX5*AX99))/AZ5</f>
        <v>9.5</v>
      </c>
      <c r="BA99" s="6157">
        <f>+((AQ5*AQ99)+(AU5*AU99)+(AY5*AY99))/BA5</f>
        <v>8.3099961860366562</v>
      </c>
      <c r="BB99" s="6156">
        <f>+((AL5*AL99)+(AZ5*AZ99))/BB5</f>
        <v>9.5</v>
      </c>
      <c r="BC99" s="6157">
        <f>+((AM5*AM99)+(BA5*BA99))/BC5</f>
        <v>9.0232036767409358</v>
      </c>
      <c r="BD99" s="6988">
        <f>+((AV5*AV99)+(AX5*AX99))/BD5</f>
        <v>9.481806170958226</v>
      </c>
      <c r="BE99" s="6989">
        <f>+((AW5*AW99)+(AY5*AY99))/BE5</f>
        <v>9.5205520146062117</v>
      </c>
    </row>
    <row r="100" spans="2:57" s="3380" customFormat="1" ht="20" customHeight="1" thickBot="1" x14ac:dyDescent="0.25">
      <c r="B100" s="5256"/>
      <c r="C100" s="5649"/>
      <c r="D100" s="5255"/>
      <c r="E100" s="5650"/>
      <c r="F100" s="5255"/>
      <c r="G100" s="5650"/>
      <c r="H100" s="5255"/>
      <c r="I100" s="5650"/>
      <c r="J100" s="5255"/>
      <c r="K100" s="5650"/>
      <c r="L100" s="5255"/>
      <c r="M100" s="5650"/>
      <c r="N100" s="5255"/>
      <c r="O100" s="5650"/>
      <c r="P100" s="5255"/>
      <c r="Q100" s="5650"/>
      <c r="R100" s="5255"/>
      <c r="S100" s="5650"/>
      <c r="T100" s="5255"/>
      <c r="U100" s="5650"/>
      <c r="V100" s="5255"/>
      <c r="W100" s="5650"/>
      <c r="X100" s="5255"/>
      <c r="Y100" s="5650"/>
      <c r="Z100" s="5255"/>
      <c r="AA100" s="5650"/>
      <c r="AB100" s="5255"/>
      <c r="AC100" s="5650"/>
      <c r="AD100" s="5255"/>
      <c r="AE100" s="5650"/>
      <c r="AF100" s="5255"/>
      <c r="AG100" s="5650"/>
      <c r="AH100" s="5255"/>
      <c r="AI100" s="5650"/>
      <c r="AJ100" s="5255"/>
      <c r="AK100" s="5650"/>
      <c r="AL100" s="5255"/>
      <c r="AM100" s="5650"/>
      <c r="AN100" s="7950"/>
      <c r="AO100" s="7951"/>
      <c r="AP100" s="5255"/>
      <c r="AQ100" s="5650"/>
      <c r="AR100" s="5255"/>
      <c r="AS100" s="5650"/>
      <c r="AT100" s="5255"/>
      <c r="AU100" s="5650"/>
      <c r="AV100" s="5255"/>
      <c r="AW100" s="5650"/>
      <c r="AX100" s="5255"/>
      <c r="AY100" s="5650"/>
      <c r="AZ100" s="5255"/>
      <c r="BA100" s="5650"/>
      <c r="BB100" s="5255"/>
      <c r="BC100" s="5650"/>
      <c r="BD100" s="5255"/>
      <c r="BE100" s="5650"/>
    </row>
    <row r="101" spans="2:57" s="5207" customFormat="1" ht="20" customHeight="1" x14ac:dyDescent="0.2">
      <c r="B101" s="5654" t="s">
        <v>1914</v>
      </c>
      <c r="C101" s="5258"/>
      <c r="D101" s="5259"/>
      <c r="E101" s="5260"/>
      <c r="F101" s="5259"/>
      <c r="G101" s="5260"/>
      <c r="H101" s="5632"/>
      <c r="I101" s="5632"/>
      <c r="J101" s="5259"/>
      <c r="K101" s="5260"/>
      <c r="L101" s="5821"/>
      <c r="M101" s="5821"/>
      <c r="N101" s="5259"/>
      <c r="O101" s="5260"/>
      <c r="P101" s="5632"/>
      <c r="Q101" s="5632"/>
      <c r="R101" s="5259"/>
      <c r="S101" s="5260"/>
      <c r="T101" s="5632"/>
      <c r="U101" s="5632"/>
      <c r="V101" s="5259"/>
      <c r="W101" s="5260"/>
      <c r="X101" s="5821"/>
      <c r="Y101" s="5821"/>
      <c r="Z101" s="6990"/>
      <c r="AA101" s="6990"/>
      <c r="AB101" s="5259"/>
      <c r="AC101" s="5260"/>
      <c r="AD101" s="5632"/>
      <c r="AE101" s="5632"/>
      <c r="AF101" s="5259"/>
      <c r="AG101" s="5260"/>
      <c r="AH101" s="5632"/>
      <c r="AI101" s="5632"/>
      <c r="AJ101" s="5259"/>
      <c r="AK101" s="5260"/>
      <c r="AL101" s="5821"/>
      <c r="AM101" s="5821"/>
      <c r="AN101" s="5632"/>
      <c r="AO101" s="5632"/>
      <c r="AP101" s="5259"/>
      <c r="AQ101" s="5260"/>
      <c r="AR101" s="5632"/>
      <c r="AS101" s="5632"/>
      <c r="AT101" s="5259"/>
      <c r="AU101" s="5260"/>
      <c r="AV101" s="5632"/>
      <c r="AW101" s="5632"/>
      <c r="AX101" s="5259"/>
      <c r="AY101" s="5260"/>
      <c r="AZ101" s="5821"/>
      <c r="BA101" s="5821"/>
      <c r="BB101" s="5821"/>
      <c r="BC101" s="5821"/>
      <c r="BD101" s="6990"/>
      <c r="BE101" s="6990"/>
    </row>
    <row r="102" spans="2:57" s="5207" customFormat="1" ht="20" customHeight="1" x14ac:dyDescent="0.2">
      <c r="B102" s="5261" t="s">
        <v>1282</v>
      </c>
      <c r="C102" s="3996" t="s">
        <v>170</v>
      </c>
      <c r="D102" s="5257"/>
      <c r="E102" s="4455">
        <v>0</v>
      </c>
      <c r="F102" s="5257"/>
      <c r="G102" s="4455">
        <v>5.51</v>
      </c>
      <c r="H102" s="4467"/>
      <c r="I102" s="4467">
        <f>+E102+G102</f>
        <v>5.51</v>
      </c>
      <c r="J102" s="5257"/>
      <c r="K102" s="7033">
        <v>0</v>
      </c>
      <c r="L102" s="5822"/>
      <c r="M102" s="7034">
        <f>+I102+K102</f>
        <v>5.51</v>
      </c>
      <c r="N102" s="5257"/>
      <c r="O102" s="4453">
        <v>0</v>
      </c>
      <c r="P102" s="4467"/>
      <c r="Q102" s="6473">
        <f>+M102+O102</f>
        <v>5.51</v>
      </c>
      <c r="R102" s="5257"/>
      <c r="S102" s="4453">
        <v>0</v>
      </c>
      <c r="T102" s="4467"/>
      <c r="U102" s="6473">
        <f>+Q102+S102</f>
        <v>5.51</v>
      </c>
      <c r="V102" s="5257"/>
      <c r="W102" s="4453">
        <v>0</v>
      </c>
      <c r="X102" s="5822"/>
      <c r="Y102" s="6140">
        <f t="shared" ref="Y102:Y116" si="365">+W102+S102+O102</f>
        <v>0</v>
      </c>
      <c r="Z102" s="6991"/>
      <c r="AA102" s="6992">
        <f>+U102+W102</f>
        <v>5.51</v>
      </c>
      <c r="AB102" s="5257"/>
      <c r="AC102" s="6472">
        <v>0</v>
      </c>
      <c r="AD102" s="4467"/>
      <c r="AE102" s="6473">
        <f>+AA102+AC102</f>
        <v>5.51</v>
      </c>
      <c r="AF102" s="5257"/>
      <c r="AG102" s="4453">
        <v>0</v>
      </c>
      <c r="AH102" s="4467"/>
      <c r="AI102" s="6473">
        <f>+AE102+AG102</f>
        <v>5.51</v>
      </c>
      <c r="AJ102" s="5257"/>
      <c r="AK102" s="7033">
        <v>1.78</v>
      </c>
      <c r="AL102" s="5822"/>
      <c r="AM102" s="6140">
        <f t="shared" ref="AM102:AM116" si="366">+AK102+AG102+AC102</f>
        <v>1.78</v>
      </c>
      <c r="AN102" s="4467"/>
      <c r="AO102" s="6473">
        <f>+AI102+AK102</f>
        <v>7.29</v>
      </c>
      <c r="AP102" s="5257"/>
      <c r="AQ102" s="7033">
        <v>14.9</v>
      </c>
      <c r="AR102" s="4467"/>
      <c r="AS102" s="6473">
        <f>+AO102+AQ102</f>
        <v>22.19</v>
      </c>
      <c r="AT102" s="5257"/>
      <c r="AU102" s="7033">
        <v>0</v>
      </c>
      <c r="AV102" s="4467"/>
      <c r="AW102" s="6473">
        <f>+AS102+AU102</f>
        <v>22.19</v>
      </c>
      <c r="AX102" s="5257"/>
      <c r="AY102" s="7033">
        <v>0</v>
      </c>
      <c r="AZ102" s="5822"/>
      <c r="BA102" s="6140">
        <f t="shared" ref="BA102:BA116" si="367">+AY102+AU102+AQ102</f>
        <v>14.9</v>
      </c>
      <c r="BB102" s="5822"/>
      <c r="BC102" s="6140">
        <f t="shared" ref="BC102:BC117" si="368">+BA102+AM102</f>
        <v>16.68</v>
      </c>
      <c r="BD102" s="6991"/>
      <c r="BE102" s="6992">
        <f>+AW102+AY102</f>
        <v>22.19</v>
      </c>
    </row>
    <row r="103" spans="2:57" s="5799" customFormat="1" ht="20" customHeight="1" x14ac:dyDescent="0.2">
      <c r="B103" s="5261" t="s">
        <v>2110</v>
      </c>
      <c r="C103" s="3996" t="s">
        <v>170</v>
      </c>
      <c r="D103" s="5257"/>
      <c r="E103" s="4455"/>
      <c r="F103" s="5257"/>
      <c r="G103" s="4455">
        <v>1.24</v>
      </c>
      <c r="H103" s="4467"/>
      <c r="I103" s="4467">
        <f t="shared" ref="I103:I116" si="369">+E103+G103</f>
        <v>1.24</v>
      </c>
      <c r="J103" s="5257"/>
      <c r="K103" s="7033">
        <v>0</v>
      </c>
      <c r="L103" s="5822"/>
      <c r="M103" s="7034">
        <f t="shared" ref="M103:M116" si="370">+I103+K103</f>
        <v>1.24</v>
      </c>
      <c r="N103" s="5257"/>
      <c r="O103" s="4453">
        <v>0</v>
      </c>
      <c r="P103" s="4467"/>
      <c r="Q103" s="6473">
        <f t="shared" ref="Q103:Q116" si="371">+M103+O103</f>
        <v>1.24</v>
      </c>
      <c r="R103" s="5257"/>
      <c r="S103" s="4453">
        <v>0</v>
      </c>
      <c r="T103" s="4467"/>
      <c r="U103" s="6473">
        <f t="shared" ref="U103:U116" si="372">+Q103+S103</f>
        <v>1.24</v>
      </c>
      <c r="V103" s="5257"/>
      <c r="W103" s="4453">
        <v>0</v>
      </c>
      <c r="X103" s="5822"/>
      <c r="Y103" s="6140">
        <f t="shared" si="365"/>
        <v>0</v>
      </c>
      <c r="Z103" s="6991"/>
      <c r="AA103" s="6992">
        <f t="shared" ref="AA103:AA116" si="373">+U103+W103</f>
        <v>1.24</v>
      </c>
      <c r="AB103" s="5257"/>
      <c r="AC103" s="6472">
        <v>0</v>
      </c>
      <c r="AD103" s="4467"/>
      <c r="AE103" s="6473">
        <f t="shared" ref="AE103:AE116" si="374">+AA103+AC103</f>
        <v>1.24</v>
      </c>
      <c r="AF103" s="5257"/>
      <c r="AG103" s="4453">
        <v>0</v>
      </c>
      <c r="AH103" s="4467"/>
      <c r="AI103" s="6473">
        <f t="shared" ref="AI103:AI116" si="375">+AE103+AG103</f>
        <v>1.24</v>
      </c>
      <c r="AJ103" s="5257"/>
      <c r="AK103" s="7033">
        <v>2.2200000000000002</v>
      </c>
      <c r="AL103" s="5822"/>
      <c r="AM103" s="6140">
        <f t="shared" si="366"/>
        <v>2.2200000000000002</v>
      </c>
      <c r="AN103" s="4467"/>
      <c r="AO103" s="6473">
        <f t="shared" ref="AO103:AO116" si="376">+AI103+AK103</f>
        <v>3.46</v>
      </c>
      <c r="AP103" s="5257"/>
      <c r="AQ103" s="7033">
        <v>12.52</v>
      </c>
      <c r="AR103" s="4467"/>
      <c r="AS103" s="6473">
        <f t="shared" ref="AS103:AS116" si="377">+AO103+AQ103</f>
        <v>15.98</v>
      </c>
      <c r="AT103" s="5257"/>
      <c r="AU103" s="7033">
        <v>0</v>
      </c>
      <c r="AV103" s="4467"/>
      <c r="AW103" s="6473">
        <f t="shared" ref="AW103:AW116" si="378">+AS103+AU103</f>
        <v>15.98</v>
      </c>
      <c r="AX103" s="5257"/>
      <c r="AY103" s="7033">
        <v>0</v>
      </c>
      <c r="AZ103" s="5822"/>
      <c r="BA103" s="6140">
        <f t="shared" si="367"/>
        <v>12.52</v>
      </c>
      <c r="BB103" s="5822"/>
      <c r="BC103" s="6140">
        <f t="shared" si="368"/>
        <v>14.74</v>
      </c>
      <c r="BD103" s="6991"/>
      <c r="BE103" s="6992">
        <f t="shared" ref="BE103:BE116" si="379">+AW103+AY103</f>
        <v>15.98</v>
      </c>
    </row>
    <row r="104" spans="2:57" s="5207" customFormat="1" ht="20" customHeight="1" x14ac:dyDescent="0.2">
      <c r="B104" s="5261" t="s">
        <v>1278</v>
      </c>
      <c r="C104" s="3996" t="s">
        <v>170</v>
      </c>
      <c r="D104" s="5257"/>
      <c r="E104" s="4455">
        <v>0</v>
      </c>
      <c r="F104" s="5257"/>
      <c r="G104" s="4455">
        <v>36</v>
      </c>
      <c r="H104" s="4467"/>
      <c r="I104" s="4467">
        <f t="shared" si="369"/>
        <v>36</v>
      </c>
      <c r="J104" s="5257"/>
      <c r="K104" s="7033">
        <v>0</v>
      </c>
      <c r="L104" s="5822"/>
      <c r="M104" s="7034">
        <f t="shared" si="370"/>
        <v>36</v>
      </c>
      <c r="N104" s="5257"/>
      <c r="O104" s="4453">
        <v>12</v>
      </c>
      <c r="P104" s="4467"/>
      <c r="Q104" s="6473">
        <f t="shared" si="371"/>
        <v>48</v>
      </c>
      <c r="R104" s="5257"/>
      <c r="S104" s="4453">
        <v>0</v>
      </c>
      <c r="T104" s="4467"/>
      <c r="U104" s="6473">
        <f t="shared" si="372"/>
        <v>48</v>
      </c>
      <c r="V104" s="5257"/>
      <c r="W104" s="4453">
        <v>18</v>
      </c>
      <c r="X104" s="5822"/>
      <c r="Y104" s="6140">
        <f t="shared" si="365"/>
        <v>30</v>
      </c>
      <c r="Z104" s="6991"/>
      <c r="AA104" s="6992">
        <f t="shared" si="373"/>
        <v>66</v>
      </c>
      <c r="AB104" s="5257"/>
      <c r="AC104" s="6472">
        <v>16</v>
      </c>
      <c r="AD104" s="4467"/>
      <c r="AE104" s="6473">
        <f t="shared" si="374"/>
        <v>82</v>
      </c>
      <c r="AF104" s="5257"/>
      <c r="AG104" s="4453">
        <v>10</v>
      </c>
      <c r="AH104" s="4467"/>
      <c r="AI104" s="6473">
        <f t="shared" si="375"/>
        <v>92</v>
      </c>
      <c r="AJ104" s="5257"/>
      <c r="AK104" s="4453">
        <v>35</v>
      </c>
      <c r="AL104" s="5822"/>
      <c r="AM104" s="6140">
        <f t="shared" si="366"/>
        <v>61</v>
      </c>
      <c r="AN104" s="4467"/>
      <c r="AO104" s="6473">
        <f t="shared" si="376"/>
        <v>127</v>
      </c>
      <c r="AP104" s="5257"/>
      <c r="AQ104" s="4453">
        <v>127</v>
      </c>
      <c r="AR104" s="4467"/>
      <c r="AS104" s="6473">
        <f t="shared" si="377"/>
        <v>254</v>
      </c>
      <c r="AT104" s="5257"/>
      <c r="AU104" s="4453">
        <v>36</v>
      </c>
      <c r="AV104" s="4467"/>
      <c r="AW104" s="6473">
        <f t="shared" si="378"/>
        <v>290</v>
      </c>
      <c r="AX104" s="5257"/>
      <c r="AY104" s="4453">
        <v>31</v>
      </c>
      <c r="AZ104" s="5822"/>
      <c r="BA104" s="6140">
        <f t="shared" si="367"/>
        <v>194</v>
      </c>
      <c r="BB104" s="5822"/>
      <c r="BC104" s="6140">
        <f t="shared" si="368"/>
        <v>255</v>
      </c>
      <c r="BD104" s="6991"/>
      <c r="BE104" s="6992">
        <f t="shared" si="379"/>
        <v>321</v>
      </c>
    </row>
    <row r="105" spans="2:57" s="5207" customFormat="1" ht="20" customHeight="1" x14ac:dyDescent="0.2">
      <c r="B105" s="5261" t="s">
        <v>1915</v>
      </c>
      <c r="C105" s="3996" t="s">
        <v>170</v>
      </c>
      <c r="D105" s="5257"/>
      <c r="E105" s="4455">
        <v>0</v>
      </c>
      <c r="F105" s="5257"/>
      <c r="G105" s="4455">
        <v>0.77400000000000002</v>
      </c>
      <c r="H105" s="4467"/>
      <c r="I105" s="4467">
        <f t="shared" si="369"/>
        <v>0.77400000000000002</v>
      </c>
      <c r="J105" s="5257"/>
      <c r="K105" s="7033">
        <v>0</v>
      </c>
      <c r="L105" s="5822"/>
      <c r="M105" s="7034">
        <f t="shared" si="370"/>
        <v>0.77400000000000002</v>
      </c>
      <c r="N105" s="5257"/>
      <c r="O105" s="4453">
        <v>0</v>
      </c>
      <c r="P105" s="4467"/>
      <c r="Q105" s="6473">
        <f t="shared" si="371"/>
        <v>0.77400000000000002</v>
      </c>
      <c r="R105" s="5257"/>
      <c r="S105" s="4453">
        <v>0</v>
      </c>
      <c r="T105" s="4467"/>
      <c r="U105" s="6473">
        <f t="shared" si="372"/>
        <v>0.77400000000000002</v>
      </c>
      <c r="V105" s="5257"/>
      <c r="W105" s="4453">
        <v>0</v>
      </c>
      <c r="X105" s="5822"/>
      <c r="Y105" s="6140">
        <f t="shared" si="365"/>
        <v>0</v>
      </c>
      <c r="Z105" s="6991"/>
      <c r="AA105" s="6992">
        <f t="shared" si="373"/>
        <v>0.77400000000000002</v>
      </c>
      <c r="AB105" s="5257"/>
      <c r="AC105" s="6472">
        <v>6.66</v>
      </c>
      <c r="AD105" s="4467"/>
      <c r="AE105" s="6473">
        <f t="shared" si="374"/>
        <v>7.4340000000000002</v>
      </c>
      <c r="AF105" s="5257"/>
      <c r="AG105" s="4453">
        <v>10.5</v>
      </c>
      <c r="AH105" s="4467"/>
      <c r="AI105" s="6473">
        <f t="shared" si="375"/>
        <v>17.934000000000001</v>
      </c>
      <c r="AJ105" s="5257"/>
      <c r="AK105" s="4453">
        <v>2.94</v>
      </c>
      <c r="AL105" s="5822"/>
      <c r="AM105" s="6140">
        <f t="shared" si="366"/>
        <v>20.100000000000001</v>
      </c>
      <c r="AN105" s="4467"/>
      <c r="AO105" s="6473">
        <f t="shared" si="376"/>
        <v>20.874000000000002</v>
      </c>
      <c r="AP105" s="5257"/>
      <c r="AQ105" s="4453">
        <v>6.0149999999999997</v>
      </c>
      <c r="AR105" s="4467"/>
      <c r="AS105" s="6473">
        <f t="shared" si="377"/>
        <v>26.889000000000003</v>
      </c>
      <c r="AT105" s="5257"/>
      <c r="AU105" s="4453">
        <v>8.2530000000000001</v>
      </c>
      <c r="AV105" s="4467"/>
      <c r="AW105" s="6473">
        <f t="shared" si="378"/>
        <v>35.142000000000003</v>
      </c>
      <c r="AX105" s="5257"/>
      <c r="AY105" s="7033">
        <v>1.165</v>
      </c>
      <c r="AZ105" s="5822"/>
      <c r="BA105" s="6140">
        <f t="shared" si="367"/>
        <v>15.433</v>
      </c>
      <c r="BB105" s="5822"/>
      <c r="BC105" s="6140">
        <f t="shared" si="368"/>
        <v>35.533000000000001</v>
      </c>
      <c r="BD105" s="6991"/>
      <c r="BE105" s="6992">
        <f t="shared" si="379"/>
        <v>36.307000000000002</v>
      </c>
    </row>
    <row r="106" spans="2:57" s="5207" customFormat="1" ht="20" customHeight="1" x14ac:dyDescent="0.2">
      <c r="B106" s="5261" t="s">
        <v>1276</v>
      </c>
      <c r="C106" s="3996" t="s">
        <v>170</v>
      </c>
      <c r="D106" s="5257"/>
      <c r="E106" s="4455">
        <v>27.92</v>
      </c>
      <c r="F106" s="5257"/>
      <c r="G106" s="4455">
        <v>24</v>
      </c>
      <c r="H106" s="4467"/>
      <c r="I106" s="4467">
        <f t="shared" si="369"/>
        <v>51.92</v>
      </c>
      <c r="J106" s="5257"/>
      <c r="K106" s="7033">
        <v>29.28</v>
      </c>
      <c r="L106" s="5822"/>
      <c r="M106" s="7034">
        <f t="shared" si="370"/>
        <v>81.2</v>
      </c>
      <c r="N106" s="5257"/>
      <c r="O106" s="4453">
        <v>45</v>
      </c>
      <c r="P106" s="4467"/>
      <c r="Q106" s="6473">
        <f t="shared" si="371"/>
        <v>126.2</v>
      </c>
      <c r="R106" s="5257"/>
      <c r="S106" s="4453">
        <v>61</v>
      </c>
      <c r="T106" s="4467"/>
      <c r="U106" s="6473">
        <f t="shared" si="372"/>
        <v>187.2</v>
      </c>
      <c r="V106" s="5257"/>
      <c r="W106" s="4453">
        <v>32</v>
      </c>
      <c r="X106" s="5822"/>
      <c r="Y106" s="6140">
        <f t="shared" si="365"/>
        <v>138</v>
      </c>
      <c r="Z106" s="6991"/>
      <c r="AA106" s="6992">
        <f t="shared" si="373"/>
        <v>219.2</v>
      </c>
      <c r="AB106" s="5257"/>
      <c r="AC106" s="6472">
        <v>35.917000000000002</v>
      </c>
      <c r="AD106" s="4467"/>
      <c r="AE106" s="6473">
        <f t="shared" si="374"/>
        <v>255.11699999999999</v>
      </c>
      <c r="AF106" s="5257"/>
      <c r="AG106" s="4453">
        <v>28.9</v>
      </c>
      <c r="AH106" s="4467"/>
      <c r="AI106" s="6473">
        <f t="shared" si="375"/>
        <v>284.017</v>
      </c>
      <c r="AJ106" s="5257"/>
      <c r="AK106" s="4453">
        <v>40</v>
      </c>
      <c r="AL106" s="5822"/>
      <c r="AM106" s="6140">
        <f t="shared" si="366"/>
        <v>104.81700000000001</v>
      </c>
      <c r="AN106" s="4467"/>
      <c r="AO106" s="6473">
        <f t="shared" si="376"/>
        <v>324.017</v>
      </c>
      <c r="AP106" s="5257"/>
      <c r="AQ106" s="4453">
        <v>69.709999999999994</v>
      </c>
      <c r="AR106" s="4467"/>
      <c r="AS106" s="6473">
        <f t="shared" si="377"/>
        <v>393.72699999999998</v>
      </c>
      <c r="AT106" s="5257"/>
      <c r="AU106" s="4453">
        <v>43.83</v>
      </c>
      <c r="AV106" s="4467"/>
      <c r="AW106" s="6473">
        <f t="shared" si="378"/>
        <v>437.55699999999996</v>
      </c>
      <c r="AX106" s="5257"/>
      <c r="AY106" s="4453">
        <v>40.68</v>
      </c>
      <c r="AZ106" s="5822"/>
      <c r="BA106" s="6140">
        <f t="shared" si="367"/>
        <v>154.21999999999997</v>
      </c>
      <c r="BB106" s="5822"/>
      <c r="BC106" s="6140">
        <f t="shared" si="368"/>
        <v>259.03699999999998</v>
      </c>
      <c r="BD106" s="6991"/>
      <c r="BE106" s="6992">
        <f t="shared" si="379"/>
        <v>478.23699999999997</v>
      </c>
    </row>
    <row r="107" spans="2:57" s="5799" customFormat="1" ht="20" customHeight="1" x14ac:dyDescent="0.2">
      <c r="B107" s="5261" t="s">
        <v>2109</v>
      </c>
      <c r="C107" s="3996" t="s">
        <v>170</v>
      </c>
      <c r="D107" s="5257"/>
      <c r="E107" s="4455"/>
      <c r="F107" s="5257"/>
      <c r="G107" s="4455">
        <v>7</v>
      </c>
      <c r="H107" s="4467"/>
      <c r="I107" s="4467">
        <f t="shared" si="369"/>
        <v>7</v>
      </c>
      <c r="J107" s="5257"/>
      <c r="K107" s="7033">
        <v>0.5</v>
      </c>
      <c r="L107" s="5822"/>
      <c r="M107" s="7034">
        <f t="shared" si="370"/>
        <v>7.5</v>
      </c>
      <c r="N107" s="5257"/>
      <c r="O107" s="4453">
        <v>12</v>
      </c>
      <c r="P107" s="4467"/>
      <c r="Q107" s="6473">
        <f t="shared" si="371"/>
        <v>19.5</v>
      </c>
      <c r="R107" s="5257"/>
      <c r="S107" s="4453">
        <v>18</v>
      </c>
      <c r="T107" s="4467"/>
      <c r="U107" s="6473">
        <f t="shared" si="372"/>
        <v>37.5</v>
      </c>
      <c r="V107" s="5257"/>
      <c r="W107" s="4453">
        <v>12.94</v>
      </c>
      <c r="X107" s="5822"/>
      <c r="Y107" s="6140">
        <f t="shared" si="365"/>
        <v>42.94</v>
      </c>
      <c r="Z107" s="6991"/>
      <c r="AA107" s="6992">
        <f t="shared" si="373"/>
        <v>50.44</v>
      </c>
      <c r="AB107" s="5257"/>
      <c r="AC107" s="6472">
        <v>16.5</v>
      </c>
      <c r="AD107" s="4467"/>
      <c r="AE107" s="6473">
        <f t="shared" si="374"/>
        <v>66.94</v>
      </c>
      <c r="AF107" s="5257"/>
      <c r="AG107" s="4453">
        <v>23.12</v>
      </c>
      <c r="AH107" s="4467"/>
      <c r="AI107" s="6473">
        <f t="shared" si="375"/>
        <v>90.06</v>
      </c>
      <c r="AJ107" s="5257"/>
      <c r="AK107" s="4453">
        <v>20</v>
      </c>
      <c r="AL107" s="5822"/>
      <c r="AM107" s="6140">
        <f t="shared" si="366"/>
        <v>59.620000000000005</v>
      </c>
      <c r="AN107" s="4467"/>
      <c r="AO107" s="6473">
        <f t="shared" si="376"/>
        <v>110.06</v>
      </c>
      <c r="AP107" s="5257"/>
      <c r="AQ107" s="4453">
        <v>22.95</v>
      </c>
      <c r="AR107" s="4467"/>
      <c r="AS107" s="6473">
        <f t="shared" si="377"/>
        <v>133.01</v>
      </c>
      <c r="AT107" s="5257"/>
      <c r="AU107" s="4453">
        <v>19.739999999999998</v>
      </c>
      <c r="AV107" s="4467"/>
      <c r="AW107" s="6473">
        <f t="shared" si="378"/>
        <v>152.75</v>
      </c>
      <c r="AX107" s="5257"/>
      <c r="AY107" s="4453">
        <v>28.36</v>
      </c>
      <c r="AZ107" s="5822"/>
      <c r="BA107" s="6140">
        <f t="shared" si="367"/>
        <v>71.05</v>
      </c>
      <c r="BB107" s="5822"/>
      <c r="BC107" s="6140">
        <f t="shared" si="368"/>
        <v>130.67000000000002</v>
      </c>
      <c r="BD107" s="6991"/>
      <c r="BE107" s="6992">
        <f t="shared" si="379"/>
        <v>181.11</v>
      </c>
    </row>
    <row r="108" spans="2:57" s="5207" customFormat="1" ht="20" customHeight="1" x14ac:dyDescent="0.2">
      <c r="B108" s="5261" t="s">
        <v>1390</v>
      </c>
      <c r="C108" s="3996" t="s">
        <v>170</v>
      </c>
      <c r="D108" s="5257"/>
      <c r="E108" s="4455">
        <v>40.119999999999997</v>
      </c>
      <c r="F108" s="5257"/>
      <c r="G108" s="4455">
        <v>43.7</v>
      </c>
      <c r="H108" s="4467"/>
      <c r="I108" s="4467">
        <f t="shared" si="369"/>
        <v>83.82</v>
      </c>
      <c r="J108" s="5257"/>
      <c r="K108" s="7033">
        <v>48.5</v>
      </c>
      <c r="L108" s="5822"/>
      <c r="M108" s="7034">
        <f t="shared" si="370"/>
        <v>132.32</v>
      </c>
      <c r="N108" s="5257"/>
      <c r="O108" s="4453">
        <v>51</v>
      </c>
      <c r="P108" s="4467"/>
      <c r="Q108" s="6473">
        <f t="shared" si="371"/>
        <v>183.32</v>
      </c>
      <c r="R108" s="5257"/>
      <c r="S108" s="4453">
        <v>54</v>
      </c>
      <c r="T108" s="4467"/>
      <c r="U108" s="6473">
        <f t="shared" si="372"/>
        <v>237.32</v>
      </c>
      <c r="V108" s="5257"/>
      <c r="W108" s="4453">
        <v>25</v>
      </c>
      <c r="X108" s="5822"/>
      <c r="Y108" s="6140">
        <f t="shared" si="365"/>
        <v>130</v>
      </c>
      <c r="Z108" s="6991"/>
      <c r="AA108" s="6992">
        <f t="shared" si="373"/>
        <v>262.32</v>
      </c>
      <c r="AB108" s="5257"/>
      <c r="AC108" s="6472">
        <v>38.512</v>
      </c>
      <c r="AD108" s="4467"/>
      <c r="AE108" s="6473">
        <f t="shared" si="374"/>
        <v>300.83199999999999</v>
      </c>
      <c r="AF108" s="5257"/>
      <c r="AG108" s="4453">
        <v>43</v>
      </c>
      <c r="AH108" s="4467"/>
      <c r="AI108" s="6473">
        <f t="shared" si="375"/>
        <v>343.83199999999999</v>
      </c>
      <c r="AJ108" s="5257"/>
      <c r="AK108" s="4453">
        <v>54</v>
      </c>
      <c r="AL108" s="5822"/>
      <c r="AM108" s="6140">
        <f t="shared" si="366"/>
        <v>135.512</v>
      </c>
      <c r="AN108" s="4467"/>
      <c r="AO108" s="6473">
        <f t="shared" si="376"/>
        <v>397.83199999999999</v>
      </c>
      <c r="AP108" s="5257"/>
      <c r="AQ108" s="4453">
        <v>68.98</v>
      </c>
      <c r="AR108" s="4467"/>
      <c r="AS108" s="6473">
        <f t="shared" si="377"/>
        <v>466.81200000000001</v>
      </c>
      <c r="AT108" s="5257"/>
      <c r="AU108" s="4453">
        <v>58</v>
      </c>
      <c r="AV108" s="4467"/>
      <c r="AW108" s="6473">
        <f t="shared" si="378"/>
        <v>524.81200000000001</v>
      </c>
      <c r="AX108" s="5257"/>
      <c r="AY108" s="4453">
        <v>66.930000000000007</v>
      </c>
      <c r="AZ108" s="5822"/>
      <c r="BA108" s="6140">
        <f t="shared" si="367"/>
        <v>193.91000000000003</v>
      </c>
      <c r="BB108" s="5822"/>
      <c r="BC108" s="6140">
        <f t="shared" si="368"/>
        <v>329.42200000000003</v>
      </c>
      <c r="BD108" s="6991"/>
      <c r="BE108" s="6992">
        <f t="shared" si="379"/>
        <v>591.74199999999996</v>
      </c>
    </row>
    <row r="109" spans="2:57" s="6451" customFormat="1" ht="20" customHeight="1" x14ac:dyDescent="0.2">
      <c r="B109" s="5261" t="s">
        <v>2222</v>
      </c>
      <c r="C109" s="3996" t="s">
        <v>170</v>
      </c>
      <c r="D109" s="5257"/>
      <c r="E109" s="4455"/>
      <c r="F109" s="5257"/>
      <c r="G109" s="4455"/>
      <c r="H109" s="4467"/>
      <c r="I109" s="4467">
        <f t="shared" si="369"/>
        <v>0</v>
      </c>
      <c r="J109" s="5257"/>
      <c r="K109" s="7033">
        <v>0</v>
      </c>
      <c r="L109" s="5822"/>
      <c r="M109" s="7034">
        <f t="shared" si="370"/>
        <v>0</v>
      </c>
      <c r="N109" s="5257"/>
      <c r="O109" s="4453"/>
      <c r="P109" s="4467"/>
      <c r="Q109" s="6473">
        <f t="shared" si="371"/>
        <v>0</v>
      </c>
      <c r="R109" s="5257"/>
      <c r="S109" s="4453">
        <v>199</v>
      </c>
      <c r="T109" s="4467"/>
      <c r="U109" s="6473">
        <f t="shared" si="372"/>
        <v>199</v>
      </c>
      <c r="V109" s="5257"/>
      <c r="W109" s="4453">
        <v>0</v>
      </c>
      <c r="X109" s="5822"/>
      <c r="Y109" s="6140">
        <f t="shared" si="365"/>
        <v>199</v>
      </c>
      <c r="Z109" s="6991"/>
      <c r="AA109" s="6992">
        <f t="shared" si="373"/>
        <v>199</v>
      </c>
      <c r="AB109" s="5257"/>
      <c r="AC109" s="6472">
        <v>0</v>
      </c>
      <c r="AD109" s="4467"/>
      <c r="AE109" s="6473">
        <f t="shared" si="374"/>
        <v>199</v>
      </c>
      <c r="AF109" s="5257"/>
      <c r="AG109" s="4453">
        <v>0</v>
      </c>
      <c r="AH109" s="4467"/>
      <c r="AI109" s="6473">
        <f t="shared" si="375"/>
        <v>199</v>
      </c>
      <c r="AJ109" s="5257"/>
      <c r="AK109" s="4453">
        <v>0</v>
      </c>
      <c r="AL109" s="5822"/>
      <c r="AM109" s="6140">
        <f t="shared" si="366"/>
        <v>0</v>
      </c>
      <c r="AN109" s="4467"/>
      <c r="AO109" s="6473">
        <f t="shared" si="376"/>
        <v>199</v>
      </c>
      <c r="AP109" s="5257"/>
      <c r="AQ109" s="4453">
        <v>0</v>
      </c>
      <c r="AR109" s="4467"/>
      <c r="AS109" s="6473">
        <f t="shared" si="377"/>
        <v>199</v>
      </c>
      <c r="AT109" s="5257"/>
      <c r="AU109" s="4453">
        <v>0</v>
      </c>
      <c r="AV109" s="4467"/>
      <c r="AW109" s="6473">
        <f t="shared" si="378"/>
        <v>199</v>
      </c>
      <c r="AX109" s="5257"/>
      <c r="AY109" s="4453">
        <v>0</v>
      </c>
      <c r="AZ109" s="5822"/>
      <c r="BA109" s="6140">
        <f t="shared" si="367"/>
        <v>0</v>
      </c>
      <c r="BB109" s="5822"/>
      <c r="BC109" s="6140">
        <f t="shared" si="368"/>
        <v>0</v>
      </c>
      <c r="BD109" s="6991"/>
      <c r="BE109" s="6992">
        <f t="shared" si="379"/>
        <v>199</v>
      </c>
    </row>
    <row r="110" spans="2:57" s="5207" customFormat="1" ht="20" customHeight="1" x14ac:dyDescent="0.2">
      <c r="B110" s="5261" t="s">
        <v>1916</v>
      </c>
      <c r="C110" s="3996" t="s">
        <v>170</v>
      </c>
      <c r="D110" s="5257"/>
      <c r="E110" s="4455">
        <v>0</v>
      </c>
      <c r="F110" s="5257"/>
      <c r="G110" s="4455">
        <v>2.766</v>
      </c>
      <c r="H110" s="4467"/>
      <c r="I110" s="4467">
        <f t="shared" si="369"/>
        <v>2.766</v>
      </c>
      <c r="J110" s="5257"/>
      <c r="K110" s="7033">
        <v>0.14000000000000001</v>
      </c>
      <c r="L110" s="5822"/>
      <c r="M110" s="7034">
        <f t="shared" si="370"/>
        <v>2.9060000000000001</v>
      </c>
      <c r="N110" s="5257"/>
      <c r="O110" s="4453">
        <v>4.0759999999999996</v>
      </c>
      <c r="P110" s="4467"/>
      <c r="Q110" s="6473">
        <f t="shared" si="371"/>
        <v>6.9819999999999993</v>
      </c>
      <c r="R110" s="5257"/>
      <c r="S110" s="6472">
        <v>2.34</v>
      </c>
      <c r="T110" s="4467"/>
      <c r="U110" s="6473">
        <f t="shared" si="372"/>
        <v>9.3219999999999992</v>
      </c>
      <c r="V110" s="5257"/>
      <c r="W110" s="6472">
        <v>0.3</v>
      </c>
      <c r="X110" s="5822"/>
      <c r="Y110" s="6140">
        <f t="shared" si="365"/>
        <v>6.7159999999999993</v>
      </c>
      <c r="Z110" s="6991"/>
      <c r="AA110" s="6992">
        <f t="shared" si="373"/>
        <v>9.6219999999999999</v>
      </c>
      <c r="AB110" s="5257"/>
      <c r="AC110" s="6472">
        <v>0</v>
      </c>
      <c r="AD110" s="4467"/>
      <c r="AE110" s="6473">
        <f t="shared" si="374"/>
        <v>9.6219999999999999</v>
      </c>
      <c r="AF110" s="5257"/>
      <c r="AG110" s="6472">
        <v>1.42</v>
      </c>
      <c r="AH110" s="4467"/>
      <c r="AI110" s="6473">
        <f t="shared" si="375"/>
        <v>11.042</v>
      </c>
      <c r="AJ110" s="5257"/>
      <c r="AK110" s="6472">
        <v>8.93</v>
      </c>
      <c r="AL110" s="5822"/>
      <c r="AM110" s="6140">
        <f t="shared" si="366"/>
        <v>10.35</v>
      </c>
      <c r="AN110" s="4467"/>
      <c r="AO110" s="6473">
        <f t="shared" si="376"/>
        <v>19.972000000000001</v>
      </c>
      <c r="AP110" s="5257"/>
      <c r="AQ110" s="6472">
        <v>2.359</v>
      </c>
      <c r="AR110" s="4467"/>
      <c r="AS110" s="6473">
        <f t="shared" si="377"/>
        <v>22.331000000000003</v>
      </c>
      <c r="AT110" s="5257"/>
      <c r="AU110" s="6472">
        <v>2.66</v>
      </c>
      <c r="AV110" s="4467"/>
      <c r="AW110" s="6473">
        <f t="shared" si="378"/>
        <v>24.991000000000003</v>
      </c>
      <c r="AX110" s="5257"/>
      <c r="AY110" s="6472">
        <v>969</v>
      </c>
      <c r="AZ110" s="5822"/>
      <c r="BA110" s="6140">
        <f t="shared" si="367"/>
        <v>974.01900000000001</v>
      </c>
      <c r="BB110" s="5822"/>
      <c r="BC110" s="6140">
        <f t="shared" si="368"/>
        <v>984.36900000000003</v>
      </c>
      <c r="BD110" s="6991"/>
      <c r="BE110" s="6992">
        <f t="shared" si="379"/>
        <v>993.99099999999999</v>
      </c>
    </row>
    <row r="111" spans="2:57" s="5207" customFormat="1" ht="20" customHeight="1" x14ac:dyDescent="0.2">
      <c r="B111" s="5261" t="s">
        <v>1277</v>
      </c>
      <c r="C111" s="3996" t="s">
        <v>170</v>
      </c>
      <c r="D111" s="5257"/>
      <c r="E111" s="4455">
        <v>0</v>
      </c>
      <c r="F111" s="5257"/>
      <c r="G111" s="4455">
        <v>0</v>
      </c>
      <c r="H111" s="4467"/>
      <c r="I111" s="4467">
        <f t="shared" si="369"/>
        <v>0</v>
      </c>
      <c r="J111" s="5257"/>
      <c r="K111" s="7033">
        <v>0.14000000000000001</v>
      </c>
      <c r="L111" s="5822"/>
      <c r="M111" s="7034">
        <f t="shared" si="370"/>
        <v>0.14000000000000001</v>
      </c>
      <c r="N111" s="5257"/>
      <c r="O111" s="4453">
        <v>0</v>
      </c>
      <c r="P111" s="4467"/>
      <c r="Q111" s="6473">
        <f t="shared" si="371"/>
        <v>0.14000000000000001</v>
      </c>
      <c r="R111" s="5257"/>
      <c r="S111" s="4453">
        <v>0</v>
      </c>
      <c r="T111" s="4467"/>
      <c r="U111" s="6473">
        <f t="shared" si="372"/>
        <v>0.14000000000000001</v>
      </c>
      <c r="V111" s="5257"/>
      <c r="W111" s="4453">
        <v>0</v>
      </c>
      <c r="X111" s="5822"/>
      <c r="Y111" s="6140">
        <f t="shared" si="365"/>
        <v>0</v>
      </c>
      <c r="Z111" s="6991"/>
      <c r="AA111" s="6992">
        <f t="shared" si="373"/>
        <v>0.14000000000000001</v>
      </c>
      <c r="AB111" s="5257"/>
      <c r="AC111" s="6472">
        <v>0</v>
      </c>
      <c r="AD111" s="4467"/>
      <c r="AE111" s="6473">
        <f t="shared" si="374"/>
        <v>0.14000000000000001</v>
      </c>
      <c r="AF111" s="5257"/>
      <c r="AG111" s="4453">
        <v>0</v>
      </c>
      <c r="AH111" s="4467"/>
      <c r="AI111" s="6473">
        <f t="shared" si="375"/>
        <v>0.14000000000000001</v>
      </c>
      <c r="AJ111" s="5257"/>
      <c r="AK111" s="4453">
        <v>0</v>
      </c>
      <c r="AL111" s="5822"/>
      <c r="AM111" s="6140">
        <f t="shared" si="366"/>
        <v>0</v>
      </c>
      <c r="AN111" s="4467"/>
      <c r="AO111" s="6473">
        <f t="shared" si="376"/>
        <v>0.14000000000000001</v>
      </c>
      <c r="AP111" s="5257"/>
      <c r="AQ111" s="4453">
        <v>0</v>
      </c>
      <c r="AR111" s="4467"/>
      <c r="AS111" s="6473">
        <f t="shared" si="377"/>
        <v>0.14000000000000001</v>
      </c>
      <c r="AT111" s="5257"/>
      <c r="AU111" s="4453">
        <v>0</v>
      </c>
      <c r="AV111" s="4467"/>
      <c r="AW111" s="6473">
        <f t="shared" si="378"/>
        <v>0.14000000000000001</v>
      </c>
      <c r="AX111" s="5257"/>
      <c r="AY111" s="4453">
        <v>0</v>
      </c>
      <c r="AZ111" s="5822"/>
      <c r="BA111" s="6140">
        <f t="shared" si="367"/>
        <v>0</v>
      </c>
      <c r="BB111" s="5822"/>
      <c r="BC111" s="6140">
        <f t="shared" si="368"/>
        <v>0</v>
      </c>
      <c r="BD111" s="6991"/>
      <c r="BE111" s="6992">
        <f t="shared" si="379"/>
        <v>0.14000000000000001</v>
      </c>
    </row>
    <row r="112" spans="2:57" s="5799" customFormat="1" ht="20" customHeight="1" x14ac:dyDescent="0.2">
      <c r="B112" s="5261" t="s">
        <v>1397</v>
      </c>
      <c r="C112" s="3996" t="s">
        <v>170</v>
      </c>
      <c r="D112" s="5257"/>
      <c r="E112" s="4455"/>
      <c r="F112" s="5257"/>
      <c r="G112" s="4455"/>
      <c r="H112" s="4467"/>
      <c r="I112" s="4467">
        <f t="shared" si="369"/>
        <v>0</v>
      </c>
      <c r="J112" s="5257"/>
      <c r="K112" s="7033">
        <v>0.57499999999999996</v>
      </c>
      <c r="L112" s="5822"/>
      <c r="M112" s="7034">
        <f t="shared" si="370"/>
        <v>0.57499999999999996</v>
      </c>
      <c r="N112" s="5257"/>
      <c r="O112" s="4453">
        <v>0</v>
      </c>
      <c r="P112" s="4467"/>
      <c r="Q112" s="6473">
        <f t="shared" si="371"/>
        <v>0.57499999999999996</v>
      </c>
      <c r="R112" s="5257"/>
      <c r="S112" s="4453">
        <v>0</v>
      </c>
      <c r="T112" s="4467"/>
      <c r="U112" s="6473">
        <f t="shared" si="372"/>
        <v>0.57499999999999996</v>
      </c>
      <c r="V112" s="5257"/>
      <c r="W112" s="4453">
        <v>0</v>
      </c>
      <c r="X112" s="5822"/>
      <c r="Y112" s="6140">
        <f t="shared" si="365"/>
        <v>0</v>
      </c>
      <c r="Z112" s="6991"/>
      <c r="AA112" s="6992">
        <f t="shared" si="373"/>
        <v>0.57499999999999996</v>
      </c>
      <c r="AB112" s="5257"/>
      <c r="AC112" s="6472">
        <v>0</v>
      </c>
      <c r="AD112" s="4467"/>
      <c r="AE112" s="6473">
        <f t="shared" si="374"/>
        <v>0.57499999999999996</v>
      </c>
      <c r="AF112" s="5257"/>
      <c r="AG112" s="4453">
        <v>0</v>
      </c>
      <c r="AH112" s="4467"/>
      <c r="AI112" s="6473">
        <f t="shared" si="375"/>
        <v>0.57499999999999996</v>
      </c>
      <c r="AJ112" s="5257"/>
      <c r="AK112" s="4453">
        <v>0</v>
      </c>
      <c r="AL112" s="5822"/>
      <c r="AM112" s="6140">
        <f t="shared" si="366"/>
        <v>0</v>
      </c>
      <c r="AN112" s="4467"/>
      <c r="AO112" s="6473">
        <f t="shared" si="376"/>
        <v>0.57499999999999996</v>
      </c>
      <c r="AP112" s="5257"/>
      <c r="AQ112" s="4453">
        <v>0</v>
      </c>
      <c r="AR112" s="4467"/>
      <c r="AS112" s="6473">
        <f t="shared" si="377"/>
        <v>0.57499999999999996</v>
      </c>
      <c r="AT112" s="5257"/>
      <c r="AU112" s="4453">
        <v>0</v>
      </c>
      <c r="AV112" s="4467"/>
      <c r="AW112" s="6473">
        <f t="shared" si="378"/>
        <v>0.57499999999999996</v>
      </c>
      <c r="AX112" s="5257"/>
      <c r="AY112" s="4453">
        <v>0</v>
      </c>
      <c r="AZ112" s="5822"/>
      <c r="BA112" s="6140">
        <f t="shared" si="367"/>
        <v>0</v>
      </c>
      <c r="BB112" s="5822"/>
      <c r="BC112" s="6140">
        <f t="shared" si="368"/>
        <v>0</v>
      </c>
      <c r="BD112" s="6991"/>
      <c r="BE112" s="6992">
        <f t="shared" si="379"/>
        <v>0.57499999999999996</v>
      </c>
    </row>
    <row r="113" spans="2:57" s="5799" customFormat="1" ht="20" customHeight="1" x14ac:dyDescent="0.2">
      <c r="B113" s="5261" t="s">
        <v>2108</v>
      </c>
      <c r="C113" s="3996" t="s">
        <v>170</v>
      </c>
      <c r="D113" s="5257"/>
      <c r="E113" s="4455"/>
      <c r="F113" s="5257"/>
      <c r="G113" s="4455">
        <v>7.96</v>
      </c>
      <c r="H113" s="4467"/>
      <c r="I113" s="4467">
        <f t="shared" si="369"/>
        <v>7.96</v>
      </c>
      <c r="J113" s="5257"/>
      <c r="K113" s="7033">
        <v>12.04</v>
      </c>
      <c r="L113" s="5822"/>
      <c r="M113" s="7034">
        <f t="shared" si="370"/>
        <v>20</v>
      </c>
      <c r="N113" s="5257"/>
      <c r="O113" s="4453">
        <v>31.97</v>
      </c>
      <c r="P113" s="4467"/>
      <c r="Q113" s="6473">
        <f t="shared" si="371"/>
        <v>51.97</v>
      </c>
      <c r="R113" s="5257"/>
      <c r="S113" s="4453">
        <v>3.9</v>
      </c>
      <c r="T113" s="4467"/>
      <c r="U113" s="6473">
        <f t="shared" si="372"/>
        <v>55.87</v>
      </c>
      <c r="V113" s="5257"/>
      <c r="W113" s="4453">
        <v>0</v>
      </c>
      <c r="X113" s="5822"/>
      <c r="Y113" s="6140">
        <f t="shared" si="365"/>
        <v>35.869999999999997</v>
      </c>
      <c r="Z113" s="6991"/>
      <c r="AA113" s="6992">
        <f t="shared" si="373"/>
        <v>55.87</v>
      </c>
      <c r="AB113" s="5257"/>
      <c r="AC113" s="6472">
        <v>0</v>
      </c>
      <c r="AD113" s="4467"/>
      <c r="AE113" s="6473">
        <f t="shared" si="374"/>
        <v>55.87</v>
      </c>
      <c r="AF113" s="5257"/>
      <c r="AG113" s="4453">
        <v>0</v>
      </c>
      <c r="AH113" s="4467"/>
      <c r="AI113" s="6473">
        <f t="shared" si="375"/>
        <v>55.87</v>
      </c>
      <c r="AJ113" s="5257"/>
      <c r="AK113" s="4453">
        <v>0</v>
      </c>
      <c r="AL113" s="5822"/>
      <c r="AM113" s="6140">
        <f t="shared" si="366"/>
        <v>0</v>
      </c>
      <c r="AN113" s="4467"/>
      <c r="AO113" s="6473">
        <f t="shared" si="376"/>
        <v>55.87</v>
      </c>
      <c r="AP113" s="5257"/>
      <c r="AQ113" s="4453">
        <v>0</v>
      </c>
      <c r="AR113" s="4467"/>
      <c r="AS113" s="6473">
        <f t="shared" si="377"/>
        <v>55.87</v>
      </c>
      <c r="AT113" s="5257"/>
      <c r="AU113" s="4453">
        <v>0</v>
      </c>
      <c r="AV113" s="4467"/>
      <c r="AW113" s="6473">
        <f t="shared" si="378"/>
        <v>55.87</v>
      </c>
      <c r="AX113" s="5257"/>
      <c r="AY113" s="4453">
        <v>0</v>
      </c>
      <c r="AZ113" s="5822"/>
      <c r="BA113" s="6140">
        <f t="shared" si="367"/>
        <v>0</v>
      </c>
      <c r="BB113" s="5822"/>
      <c r="BC113" s="6140">
        <f t="shared" si="368"/>
        <v>0</v>
      </c>
      <c r="BD113" s="6991"/>
      <c r="BE113" s="6992">
        <f t="shared" si="379"/>
        <v>55.87</v>
      </c>
    </row>
    <row r="114" spans="2:57" s="5207" customFormat="1" ht="20" customHeight="1" x14ac:dyDescent="0.2">
      <c r="B114" s="5261" t="s">
        <v>13</v>
      </c>
      <c r="C114" s="3996" t="s">
        <v>170</v>
      </c>
      <c r="D114" s="5257"/>
      <c r="E114" s="4455">
        <v>59</v>
      </c>
      <c r="F114" s="5257"/>
      <c r="G114" s="4455">
        <v>115</v>
      </c>
      <c r="H114" s="4467"/>
      <c r="I114" s="4467">
        <f t="shared" si="369"/>
        <v>174</v>
      </c>
      <c r="J114" s="5257"/>
      <c r="K114" s="7033">
        <v>106</v>
      </c>
      <c r="L114" s="5822"/>
      <c r="M114" s="7034">
        <f t="shared" si="370"/>
        <v>280</v>
      </c>
      <c r="N114" s="5257"/>
      <c r="O114" s="4453">
        <v>259</v>
      </c>
      <c r="P114" s="4467"/>
      <c r="Q114" s="6473">
        <f t="shared" si="371"/>
        <v>539</v>
      </c>
      <c r="R114" s="5257"/>
      <c r="S114" s="4453">
        <v>296</v>
      </c>
      <c r="T114" s="4467"/>
      <c r="U114" s="6473">
        <f t="shared" si="372"/>
        <v>835</v>
      </c>
      <c r="V114" s="5257"/>
      <c r="W114" s="4453">
        <v>87</v>
      </c>
      <c r="X114" s="5822"/>
      <c r="Y114" s="6140">
        <f t="shared" si="365"/>
        <v>642</v>
      </c>
      <c r="Z114" s="6991"/>
      <c r="AA114" s="6992">
        <f t="shared" si="373"/>
        <v>922</v>
      </c>
      <c r="AB114" s="5257"/>
      <c r="AC114" s="6472">
        <v>165</v>
      </c>
      <c r="AD114" s="4467"/>
      <c r="AE114" s="6473">
        <f t="shared" si="374"/>
        <v>1087</v>
      </c>
      <c r="AF114" s="5257"/>
      <c r="AG114" s="4453">
        <v>130</v>
      </c>
      <c r="AH114" s="4467"/>
      <c r="AI114" s="6473">
        <f t="shared" si="375"/>
        <v>1217</v>
      </c>
      <c r="AJ114" s="5257"/>
      <c r="AK114" s="4453">
        <v>239</v>
      </c>
      <c r="AL114" s="5822"/>
      <c r="AM114" s="6140">
        <f t="shared" si="366"/>
        <v>534</v>
      </c>
      <c r="AN114" s="4467"/>
      <c r="AO114" s="6473">
        <f t="shared" si="376"/>
        <v>1456</v>
      </c>
      <c r="AP114" s="5257"/>
      <c r="AQ114" s="4453">
        <v>431</v>
      </c>
      <c r="AR114" s="4467"/>
      <c r="AS114" s="6473">
        <f t="shared" si="377"/>
        <v>1887</v>
      </c>
      <c r="AT114" s="5257"/>
      <c r="AU114" s="4453">
        <v>152</v>
      </c>
      <c r="AV114" s="4467"/>
      <c r="AW114" s="6473">
        <f t="shared" si="378"/>
        <v>2039</v>
      </c>
      <c r="AX114" s="5257"/>
      <c r="AY114" s="4453">
        <v>164</v>
      </c>
      <c r="AZ114" s="5822"/>
      <c r="BA114" s="6140">
        <f t="shared" si="367"/>
        <v>747</v>
      </c>
      <c r="BB114" s="5822"/>
      <c r="BC114" s="6140">
        <f t="shared" si="368"/>
        <v>1281</v>
      </c>
      <c r="BD114" s="6991"/>
      <c r="BE114" s="6992">
        <f t="shared" si="379"/>
        <v>2203</v>
      </c>
    </row>
    <row r="115" spans="2:57" s="5207" customFormat="1" ht="20" customHeight="1" x14ac:dyDescent="0.2">
      <c r="B115" s="5261" t="s">
        <v>1917</v>
      </c>
      <c r="C115" s="3996" t="s">
        <v>170</v>
      </c>
      <c r="D115" s="5257"/>
      <c r="E115" s="4455">
        <v>247</v>
      </c>
      <c r="F115" s="5257"/>
      <c r="G115" s="4455">
        <v>450</v>
      </c>
      <c r="H115" s="4467"/>
      <c r="I115" s="4467">
        <f t="shared" si="369"/>
        <v>697</v>
      </c>
      <c r="J115" s="5257"/>
      <c r="K115" s="7033">
        <v>473</v>
      </c>
      <c r="L115" s="5822"/>
      <c r="M115" s="7034">
        <f t="shared" si="370"/>
        <v>1170</v>
      </c>
      <c r="N115" s="5257"/>
      <c r="O115" s="4453">
        <v>473</v>
      </c>
      <c r="P115" s="4467"/>
      <c r="Q115" s="6473">
        <f t="shared" si="371"/>
        <v>1643</v>
      </c>
      <c r="R115" s="5257"/>
      <c r="S115" s="4453">
        <v>545</v>
      </c>
      <c r="T115" s="4467"/>
      <c r="U115" s="6473">
        <f t="shared" si="372"/>
        <v>2188</v>
      </c>
      <c r="V115" s="5257"/>
      <c r="W115" s="4453">
        <v>363</v>
      </c>
      <c r="X115" s="5822"/>
      <c r="Y115" s="6140">
        <f t="shared" si="365"/>
        <v>1381</v>
      </c>
      <c r="Z115" s="6991"/>
      <c r="AA115" s="6992">
        <f t="shared" si="373"/>
        <v>2551</v>
      </c>
      <c r="AB115" s="5257"/>
      <c r="AC115" s="6472">
        <v>416.64</v>
      </c>
      <c r="AD115" s="4467"/>
      <c r="AE115" s="6473">
        <f t="shared" si="374"/>
        <v>2967.64</v>
      </c>
      <c r="AF115" s="5257"/>
      <c r="AG115" s="4453">
        <v>844</v>
      </c>
      <c r="AH115" s="4467"/>
      <c r="AI115" s="6473">
        <f t="shared" si="375"/>
        <v>3811.64</v>
      </c>
      <c r="AJ115" s="5257"/>
      <c r="AK115" s="4453">
        <v>415</v>
      </c>
      <c r="AL115" s="5822"/>
      <c r="AM115" s="6140">
        <f t="shared" si="366"/>
        <v>1675.6399999999999</v>
      </c>
      <c r="AN115" s="4467"/>
      <c r="AO115" s="6473">
        <f t="shared" si="376"/>
        <v>4226.6399999999994</v>
      </c>
      <c r="AP115" s="5257"/>
      <c r="AQ115" s="4453">
        <v>368</v>
      </c>
      <c r="AR115" s="4467"/>
      <c r="AS115" s="6473">
        <f t="shared" si="377"/>
        <v>4594.6399999999994</v>
      </c>
      <c r="AT115" s="5257"/>
      <c r="AU115" s="4453">
        <v>472</v>
      </c>
      <c r="AV115" s="4467"/>
      <c r="AW115" s="6473">
        <f t="shared" si="378"/>
        <v>5066.6399999999994</v>
      </c>
      <c r="AX115" s="5257"/>
      <c r="AY115" s="4453">
        <v>585</v>
      </c>
      <c r="AZ115" s="5822"/>
      <c r="BA115" s="6140">
        <f t="shared" si="367"/>
        <v>1425</v>
      </c>
      <c r="BB115" s="5822"/>
      <c r="BC115" s="6140">
        <f t="shared" si="368"/>
        <v>3100.64</v>
      </c>
      <c r="BD115" s="6991"/>
      <c r="BE115" s="6992">
        <f t="shared" si="379"/>
        <v>5651.6399999999994</v>
      </c>
    </row>
    <row r="116" spans="2:57" s="5207" customFormat="1" ht="20" customHeight="1" x14ac:dyDescent="0.2">
      <c r="B116" s="5261" t="s">
        <v>1918</v>
      </c>
      <c r="C116" s="3996" t="s">
        <v>170</v>
      </c>
      <c r="D116" s="5257"/>
      <c r="E116" s="4455">
        <v>34.72</v>
      </c>
      <c r="F116" s="5257"/>
      <c r="G116" s="4455">
        <v>35.92</v>
      </c>
      <c r="H116" s="4467"/>
      <c r="I116" s="4467">
        <f t="shared" si="369"/>
        <v>70.64</v>
      </c>
      <c r="J116" s="5257"/>
      <c r="K116" s="7033">
        <v>38.96</v>
      </c>
      <c r="L116" s="5822"/>
      <c r="M116" s="7034">
        <f t="shared" si="370"/>
        <v>109.6</v>
      </c>
      <c r="N116" s="5257"/>
      <c r="O116" s="4453">
        <v>43</v>
      </c>
      <c r="P116" s="4467"/>
      <c r="Q116" s="6473">
        <f t="shared" si="371"/>
        <v>152.6</v>
      </c>
      <c r="R116" s="5257"/>
      <c r="S116" s="4453">
        <v>45</v>
      </c>
      <c r="T116" s="4467"/>
      <c r="U116" s="6473">
        <f t="shared" si="372"/>
        <v>197.6</v>
      </c>
      <c r="V116" s="5257"/>
      <c r="W116" s="4453">
        <v>24</v>
      </c>
      <c r="X116" s="5822"/>
      <c r="Y116" s="6140">
        <f t="shared" si="365"/>
        <v>112</v>
      </c>
      <c r="Z116" s="6991"/>
      <c r="AA116" s="6992">
        <f t="shared" si="373"/>
        <v>221.6</v>
      </c>
      <c r="AB116" s="5257"/>
      <c r="AC116" s="6472">
        <v>27</v>
      </c>
      <c r="AD116" s="4467"/>
      <c r="AE116" s="6473">
        <f t="shared" si="374"/>
        <v>248.6</v>
      </c>
      <c r="AF116" s="5257"/>
      <c r="AG116" s="4453">
        <v>39.5</v>
      </c>
      <c r="AH116" s="4467"/>
      <c r="AI116" s="6473">
        <f t="shared" si="375"/>
        <v>288.10000000000002</v>
      </c>
      <c r="AJ116" s="5257"/>
      <c r="AK116" s="4453">
        <v>46.5</v>
      </c>
      <c r="AL116" s="5822"/>
      <c r="AM116" s="6140">
        <f t="shared" si="366"/>
        <v>113</v>
      </c>
      <c r="AN116" s="4467"/>
      <c r="AO116" s="6473">
        <f t="shared" si="376"/>
        <v>334.6</v>
      </c>
      <c r="AP116" s="5257"/>
      <c r="AQ116" s="4453">
        <v>59</v>
      </c>
      <c r="AR116" s="4467"/>
      <c r="AS116" s="6473">
        <f t="shared" si="377"/>
        <v>393.6</v>
      </c>
      <c r="AT116" s="5257"/>
      <c r="AU116" s="4453">
        <v>53.5</v>
      </c>
      <c r="AV116" s="4467"/>
      <c r="AW116" s="6473">
        <f t="shared" si="378"/>
        <v>447.1</v>
      </c>
      <c r="AX116" s="5257"/>
      <c r="AY116" s="4453">
        <v>67.8</v>
      </c>
      <c r="AZ116" s="5822"/>
      <c r="BA116" s="6140">
        <f t="shared" si="367"/>
        <v>180.3</v>
      </c>
      <c r="BB116" s="5822"/>
      <c r="BC116" s="6140">
        <f t="shared" si="368"/>
        <v>293.3</v>
      </c>
      <c r="BD116" s="6991"/>
      <c r="BE116" s="6992">
        <f t="shared" si="379"/>
        <v>514.9</v>
      </c>
    </row>
    <row r="117" spans="2:57" ht="20" customHeight="1" thickBot="1" x14ac:dyDescent="0.25">
      <c r="B117" s="4019"/>
      <c r="C117" s="3996" t="s">
        <v>170</v>
      </c>
      <c r="D117" s="5262"/>
      <c r="E117" s="5263"/>
      <c r="F117" s="5262"/>
      <c r="G117" s="5263"/>
      <c r="H117" s="5633"/>
      <c r="I117" s="5633"/>
      <c r="J117" s="5262"/>
      <c r="K117" s="5263"/>
      <c r="L117" s="5823"/>
      <c r="M117" s="5823"/>
      <c r="N117" s="5262"/>
      <c r="O117" s="5263"/>
      <c r="P117" s="5633"/>
      <c r="Q117" s="5633"/>
      <c r="R117" s="5262"/>
      <c r="S117" s="5263"/>
      <c r="T117" s="5633"/>
      <c r="U117" s="5633"/>
      <c r="V117" s="5262"/>
      <c r="W117" s="5263"/>
      <c r="X117" s="5823"/>
      <c r="Y117" s="5823"/>
      <c r="Z117" s="6993"/>
      <c r="AA117" s="6993"/>
      <c r="AB117" s="5262"/>
      <c r="AC117" s="5263"/>
      <c r="AD117" s="5633"/>
      <c r="AE117" s="5633"/>
      <c r="AF117" s="5262"/>
      <c r="AG117" s="5263"/>
      <c r="AH117" s="5633"/>
      <c r="AI117" s="5633"/>
      <c r="AJ117" s="5262"/>
      <c r="AK117" s="5263"/>
      <c r="AL117" s="5823"/>
      <c r="AM117" s="5823"/>
      <c r="AN117" s="5633"/>
      <c r="AO117" s="5633"/>
      <c r="AP117" s="5262"/>
      <c r="AQ117" s="5263"/>
      <c r="AR117" s="5633"/>
      <c r="AS117" s="5633"/>
      <c r="AT117" s="5262"/>
      <c r="AU117" s="5263"/>
      <c r="AV117" s="5633"/>
      <c r="AW117" s="5633"/>
      <c r="AX117" s="5262"/>
      <c r="AY117" s="5263"/>
      <c r="AZ117" s="5823"/>
      <c r="BA117" s="5823"/>
      <c r="BB117" s="5823"/>
      <c r="BC117" s="6140">
        <f t="shared" si="368"/>
        <v>0</v>
      </c>
      <c r="BD117" s="6993"/>
      <c r="BE117" s="6993"/>
    </row>
    <row r="118" spans="2:57" s="3380" customFormat="1" ht="20" customHeight="1" thickBot="1" x14ac:dyDescent="0.25">
      <c r="B118" s="5256"/>
      <c r="C118" s="5256"/>
      <c r="D118" s="6108"/>
      <c r="E118" s="6109"/>
      <c r="F118" s="6108"/>
      <c r="G118" s="6109"/>
      <c r="H118" s="6108"/>
      <c r="I118" s="6109"/>
      <c r="J118" s="6108"/>
      <c r="K118" s="6109"/>
      <c r="L118" s="6108"/>
      <c r="M118" s="6109"/>
      <c r="N118" s="6108"/>
      <c r="O118" s="6109"/>
      <c r="P118" s="6108"/>
      <c r="Q118" s="6109"/>
      <c r="R118" s="6108"/>
      <c r="S118" s="6109"/>
      <c r="T118" s="6108"/>
      <c r="U118" s="6109"/>
      <c r="V118" s="6108"/>
      <c r="W118" s="6109"/>
      <c r="X118" s="6108"/>
      <c r="Y118" s="6109"/>
      <c r="Z118" s="6108"/>
      <c r="AA118" s="6109"/>
      <c r="AB118" s="6108"/>
      <c r="AC118" s="6109"/>
      <c r="AD118" s="6108"/>
      <c r="AE118" s="6109"/>
      <c r="AF118" s="6108"/>
      <c r="AG118" s="6109"/>
      <c r="AH118" s="6108"/>
      <c r="AI118" s="6109"/>
      <c r="AJ118" s="6108"/>
      <c r="AK118" s="6109"/>
      <c r="AL118" s="6108"/>
      <c r="AM118" s="6109"/>
      <c r="AN118" s="7952"/>
      <c r="AO118" s="7953"/>
      <c r="AP118" s="6108"/>
      <c r="AQ118" s="6109"/>
      <c r="AR118" s="6108"/>
      <c r="AS118" s="6109"/>
      <c r="AT118" s="6108"/>
      <c r="AU118" s="6109"/>
      <c r="AV118" s="6108"/>
      <c r="AW118" s="6109"/>
      <c r="AX118" s="6108"/>
      <c r="AY118" s="6109"/>
      <c r="AZ118" s="6108"/>
      <c r="BA118" s="6109"/>
      <c r="BB118" s="6108"/>
      <c r="BC118" s="6109"/>
      <c r="BD118" s="6108"/>
      <c r="BE118" s="6109"/>
    </row>
    <row r="119" spans="2:57" ht="20" customHeight="1" thickBot="1" x14ac:dyDescent="0.25">
      <c r="B119" s="4069" t="s">
        <v>1256</v>
      </c>
      <c r="C119" s="4070" t="s">
        <v>169</v>
      </c>
      <c r="D119" s="8877"/>
      <c r="E119" s="4443">
        <v>76.16</v>
      </c>
      <c r="F119" s="8877"/>
      <c r="G119" s="4443">
        <v>81.34</v>
      </c>
      <c r="H119" s="8884"/>
      <c r="I119" s="5634">
        <f>+((E119*E7)+(G119*G7))/I7</f>
        <v>78.840253431890176</v>
      </c>
      <c r="J119" s="8877"/>
      <c r="K119" s="4443">
        <v>84.07</v>
      </c>
      <c r="L119" s="8856"/>
      <c r="M119" s="6158">
        <f>+((I119*I7)+(K119*K7))/M7</f>
        <v>80.574890613973182</v>
      </c>
      <c r="N119" s="8877"/>
      <c r="O119" s="4443">
        <v>96.85</v>
      </c>
      <c r="P119" s="8884"/>
      <c r="Q119" s="5634">
        <f>+((M119*M7)+(O119*O7))/Q7</f>
        <v>81.687718606180141</v>
      </c>
      <c r="R119" s="8877"/>
      <c r="S119" s="4443">
        <v>50.09</v>
      </c>
      <c r="T119" s="8884"/>
      <c r="U119" s="5634">
        <f>+((Q119*Q7)+(S119*S7))/U7</f>
        <v>76.209635869565204</v>
      </c>
      <c r="V119" s="8877"/>
      <c r="W119" s="4443">
        <v>42.64</v>
      </c>
      <c r="X119" s="8856"/>
      <c r="Y119" s="6158">
        <f>+((O119*O7)+(S119*S7)+(W119*W7))/Y7</f>
        <v>54.39130498533725</v>
      </c>
      <c r="Z119" s="8859"/>
      <c r="AA119" s="6994">
        <f>+((U119*U7)+(W119*W7))/AA7</f>
        <v>72.067408289661742</v>
      </c>
      <c r="AB119" s="8877"/>
      <c r="AC119" s="4443">
        <v>72.53</v>
      </c>
      <c r="AD119" s="8884"/>
      <c r="AE119" s="5634">
        <f>+((AA119*AA7)+(AC119*AC7))/AE7</f>
        <v>72.128934324659227</v>
      </c>
      <c r="AF119" s="8877"/>
      <c r="AG119" s="4443">
        <v>69</v>
      </c>
      <c r="AH119" s="8884"/>
      <c r="AI119" s="5634">
        <f>+((AE119*AE7)+(AG119*AG7))/AI7</f>
        <v>71.629347448802491</v>
      </c>
      <c r="AJ119" s="8877"/>
      <c r="AK119" s="4443">
        <v>68.34</v>
      </c>
      <c r="AL119" s="8856"/>
      <c r="AM119" s="6158">
        <f>+((AC119*AC7)+(AG119*AG7)+(AK119*AK7))/AM7</f>
        <v>69.613328197226508</v>
      </c>
      <c r="AN119" s="8884"/>
      <c r="AO119" s="5634">
        <f>+((AI119*AI7)+(AK119*AK7))/AO7</f>
        <v>71.129699735060342</v>
      </c>
      <c r="AP119" s="8877"/>
      <c r="AQ119" s="4443">
        <v>49.56</v>
      </c>
      <c r="AR119" s="8884"/>
      <c r="AS119" s="5634">
        <f>+((AO119*AO7)+(AQ119*AQ7))/AS7</f>
        <v>69.678690280065894</v>
      </c>
      <c r="AT119" s="8877"/>
      <c r="AU119" s="4443">
        <v>74.84</v>
      </c>
      <c r="AV119" s="8884"/>
      <c r="AW119" s="5634">
        <f>+((AS119*AS7)+(AU119*AU7))/AW7</f>
        <v>70.413936896632919</v>
      </c>
      <c r="AX119" s="8877"/>
      <c r="AY119" s="4443"/>
      <c r="AZ119" s="8856"/>
      <c r="BA119" s="6158">
        <f>+((AQ119*AQ7)+(AU119*AU7)+(AY119*AY7))/BA7</f>
        <v>38.537181208053696</v>
      </c>
      <c r="BB119" s="8856"/>
      <c r="BC119" s="6158">
        <f>+((AM119*AM7)+(BA119*BA7))/BC7</f>
        <v>53.00520086083214</v>
      </c>
      <c r="BD119" s="8859"/>
      <c r="BE119" s="6994">
        <f>+((AW119*AW7)+(AY119*AY7))/BE7</f>
        <v>61.192549621444648</v>
      </c>
    </row>
    <row r="120" spans="2:57" ht="20" customHeight="1" thickBot="1" x14ac:dyDescent="0.25">
      <c r="B120" s="4071" t="s">
        <v>1255</v>
      </c>
      <c r="C120" s="4072" t="s">
        <v>169</v>
      </c>
      <c r="D120" s="8878"/>
      <c r="E120" s="4444">
        <v>0</v>
      </c>
      <c r="F120" s="8878"/>
      <c r="G120" s="4444">
        <v>75</v>
      </c>
      <c r="H120" s="8885"/>
      <c r="I120" s="5635">
        <f>+((E120*E8)+(G120*G8))/I8</f>
        <v>75</v>
      </c>
      <c r="J120" s="8878"/>
      <c r="K120" s="4444">
        <v>85.1</v>
      </c>
      <c r="L120" s="8857"/>
      <c r="M120" s="6159">
        <f>+((I120*I8)+(K120*K8))/M8</f>
        <v>83.806920415224909</v>
      </c>
      <c r="N120" s="8878"/>
      <c r="O120" s="4444">
        <v>95.5</v>
      </c>
      <c r="P120" s="8885"/>
      <c r="Q120" s="5635">
        <f>+((M120*M8)+(O120*O8))/Q8</f>
        <v>89.383619909502258</v>
      </c>
      <c r="R120" s="8878"/>
      <c r="S120" s="4444">
        <v>62.16</v>
      </c>
      <c r="T120" s="8885"/>
      <c r="U120" s="5635">
        <f>+((Q120*Q8)+(S120*S8))/U8</f>
        <v>81.873040629095669</v>
      </c>
      <c r="V120" s="8878"/>
      <c r="W120" s="4444">
        <v>9.17</v>
      </c>
      <c r="X120" s="8857"/>
      <c r="Y120" s="6158">
        <f>+((O120*O8)+(S120*S8)+(W120*W8))/Y8</f>
        <v>75.775795677799607</v>
      </c>
      <c r="Z120" s="8860"/>
      <c r="AA120" s="6995">
        <f>+((U120*U8)+(W120*W8))/AA8</f>
        <v>78.684310776942354</v>
      </c>
      <c r="AB120" s="8878"/>
      <c r="AC120" s="4444">
        <v>0</v>
      </c>
      <c r="AD120" s="8885"/>
      <c r="AE120" s="5635">
        <f>+((AA120*AA8)+(AC120*AC8))/AE8</f>
        <v>78.684310776942354</v>
      </c>
      <c r="AF120" s="8878"/>
      <c r="AG120" s="4444">
        <v>0</v>
      </c>
      <c r="AH120" s="8885"/>
      <c r="AI120" s="5635">
        <f>+((AE120*AE8)+(AG120*AG8))/AI8</f>
        <v>78.684310776942354</v>
      </c>
      <c r="AJ120" s="8878"/>
      <c r="AK120" s="4444">
        <v>8.8000000000000007</v>
      </c>
      <c r="AL120" s="8857"/>
      <c r="AM120" s="6158">
        <f>+((AC120*AC8)+(AG120*AG8)+(AK120*AK8))/AM8</f>
        <v>8.8000000000000007</v>
      </c>
      <c r="AN120" s="8885"/>
      <c r="AO120" s="5635">
        <f>+((AI120*AI8)+(AK120*AK8))/AO8</f>
        <v>76.767921998781233</v>
      </c>
      <c r="AP120" s="8878"/>
      <c r="AQ120" s="4444">
        <v>56.44</v>
      </c>
      <c r="AR120" s="8885"/>
      <c r="AS120" s="5635">
        <f>+((AO120*AO8)+(AQ120*AQ8))/AS8</f>
        <v>72.035194015895271</v>
      </c>
      <c r="AT120" s="8878"/>
      <c r="AU120" s="4444">
        <v>20</v>
      </c>
      <c r="AV120" s="8885"/>
      <c r="AW120" s="5635">
        <f>+((AS120*AS8)+(AU120*AU8))/AW8</f>
        <v>66.707209399916067</v>
      </c>
      <c r="AX120" s="8878"/>
      <c r="AY120" s="4444"/>
      <c r="AZ120" s="8857"/>
      <c r="BA120" s="6158">
        <f>+((AQ120*AQ8)+(AU120*AU8)+(AY120*AY8))/BA8</f>
        <v>28.936070175438591</v>
      </c>
      <c r="BB120" s="8857"/>
      <c r="BC120" s="6158">
        <f>+((AM120*AM8)+(BA120*BA8))/BC8</f>
        <v>28.171409282700417</v>
      </c>
      <c r="BD120" s="8860"/>
      <c r="BE120" s="6995">
        <f>+((AW120*AW8)+(AY120*AY8))/BE8</f>
        <v>57.160474649406687</v>
      </c>
    </row>
    <row r="121" spans="2:57" ht="20" customHeight="1" thickBot="1" x14ac:dyDescent="0.25">
      <c r="B121" s="4073" t="s">
        <v>1257</v>
      </c>
      <c r="C121" s="3994" t="s">
        <v>169</v>
      </c>
      <c r="D121" s="8879"/>
      <c r="E121" s="4445">
        <v>81.569999999999993</v>
      </c>
      <c r="F121" s="8879"/>
      <c r="G121" s="4445">
        <v>86.94</v>
      </c>
      <c r="H121" s="8886"/>
      <c r="I121" s="5636">
        <f>+((E121*E9)+(G121*G9))/I9</f>
        <v>83.977489932885902</v>
      </c>
      <c r="J121" s="8879"/>
      <c r="K121" s="4445">
        <v>0</v>
      </c>
      <c r="L121" s="8858"/>
      <c r="M121" s="6160">
        <f>+((I121*I9)+(K121*K9))/M9</f>
        <v>83.977489932885902</v>
      </c>
      <c r="N121" s="8879"/>
      <c r="O121" s="4445">
        <v>91.91</v>
      </c>
      <c r="P121" s="8886"/>
      <c r="Q121" s="5636">
        <f>+((M121*M9)+(O121*O9))/Q9</f>
        <v>86.948018471872373</v>
      </c>
      <c r="R121" s="8879"/>
      <c r="S121" s="4445">
        <v>62.81</v>
      </c>
      <c r="T121" s="8886"/>
      <c r="U121" s="5636">
        <f>+((Q121*Q9)+(S121*S9))/U9</f>
        <v>80.822769423558896</v>
      </c>
      <c r="V121" s="8879"/>
      <c r="W121" s="4445">
        <v>34.74</v>
      </c>
      <c r="X121" s="8858"/>
      <c r="Y121" s="6158">
        <f>+((O121*O9)+(S121*S9)+(W121*W9))/Y9</f>
        <v>69.194364485981311</v>
      </c>
      <c r="Z121" s="8861"/>
      <c r="AA121" s="6996">
        <f>+((U121*U9)+(W121*W9))/AA9</f>
        <v>75.262369146005511</v>
      </c>
      <c r="AB121" s="8879"/>
      <c r="AC121" s="4445">
        <v>73.2</v>
      </c>
      <c r="AD121" s="8886"/>
      <c r="AE121" s="5636">
        <f>+((AA121*AA9)+(AC121*AC9))/AE9</f>
        <v>74.939405204460968</v>
      </c>
      <c r="AF121" s="8879"/>
      <c r="AG121" s="4445">
        <v>69.239999999999995</v>
      </c>
      <c r="AH121" s="8886"/>
      <c r="AI121" s="5636">
        <f>+((AE121*AE9)+(AG121*AG9))/AI9</f>
        <v>73.923130966017567</v>
      </c>
      <c r="AJ121" s="8879"/>
      <c r="AK121" s="4445">
        <v>72.760000000000005</v>
      </c>
      <c r="AL121" s="8858"/>
      <c r="AM121" s="6158">
        <f>+((AC121*AC9)+(AG121*AG9)+(AK121*AK9))/AM9</f>
        <v>71.667552958363771</v>
      </c>
      <c r="AN121" s="8886"/>
      <c r="AO121" s="5636">
        <f>+((AI121*AI9)+(AK121*AK9))/AO9</f>
        <v>73.716733668341703</v>
      </c>
      <c r="AP121" s="8879"/>
      <c r="AQ121" s="4445">
        <v>73.73</v>
      </c>
      <c r="AR121" s="8886"/>
      <c r="AS121" s="5636">
        <f>+((AO121*AO9)+(AQ121*AQ9))/AS9</f>
        <v>73.718837209302308</v>
      </c>
      <c r="AT121" s="8879"/>
      <c r="AU121" s="4445">
        <v>50</v>
      </c>
      <c r="AV121" s="8886"/>
      <c r="AW121" s="5636">
        <f>+((AS121*AS9)+(AU121*AU9))/AW9</f>
        <v>71.415433070866129</v>
      </c>
      <c r="AX121" s="8879"/>
      <c r="AY121" s="4445"/>
      <c r="AZ121" s="8858"/>
      <c r="BA121" s="6158">
        <f>+((AQ121*AQ9)+(AU121*AU9)+(AY121*AY9))/BA9</f>
        <v>44.72853185595568</v>
      </c>
      <c r="BB121" s="8858"/>
      <c r="BC121" s="6158">
        <f>+((AM121*AM9)+(BA121*BA9))/BC9</f>
        <v>57.838919303234981</v>
      </c>
      <c r="BD121" s="8861"/>
      <c r="BE121" s="6996">
        <f>+((AW121*AW9)+(AY121*AY9))/BE9</f>
        <v>64.672013828867748</v>
      </c>
    </row>
    <row r="122" spans="2:57" ht="20" customHeight="1" thickBot="1" x14ac:dyDescent="0.25">
      <c r="B122" s="4069" t="s">
        <v>1293</v>
      </c>
      <c r="C122" s="4070" t="s">
        <v>169</v>
      </c>
      <c r="D122" s="3032"/>
      <c r="E122" s="4443">
        <v>64.39</v>
      </c>
      <c r="F122" s="3032"/>
      <c r="G122" s="4443">
        <v>71.88</v>
      </c>
      <c r="H122" s="4074"/>
      <c r="I122" s="5634">
        <f>+((E122*E24)+(G122*G24))/I24</f>
        <v>68.173270072992707</v>
      </c>
      <c r="J122" s="3032"/>
      <c r="K122" s="4443">
        <v>68.45</v>
      </c>
      <c r="L122" s="4075"/>
      <c r="M122" s="6158">
        <f>+((I122*I24)+(K122*K24))/M24</f>
        <v>68.263057199211048</v>
      </c>
      <c r="N122" s="3032"/>
      <c r="O122" s="4443">
        <v>73.099999999999994</v>
      </c>
      <c r="P122" s="4074"/>
      <c r="Q122" s="5634">
        <f>+((M122*M24)+(O122*O24))/Q24</f>
        <v>69.684498607242347</v>
      </c>
      <c r="R122" s="3032"/>
      <c r="S122" s="4443">
        <v>63.15</v>
      </c>
      <c r="T122" s="4074"/>
      <c r="U122" s="5634">
        <f>+((Q122*Q24)+(S122*S24))/U24</f>
        <v>68.291665753424667</v>
      </c>
      <c r="V122" s="3032"/>
      <c r="W122" s="4443">
        <v>39.130000000000003</v>
      </c>
      <c r="X122" s="4075"/>
      <c r="Y122" s="6158">
        <f>+((O122*O24)+(S122*S24)+(W122*W24))/Y24</f>
        <v>61.920298363811355</v>
      </c>
      <c r="Z122" s="6997"/>
      <c r="AA122" s="6994">
        <f>+((U122*U24)+(W122*W24))/AA24</f>
        <v>65.053058938139316</v>
      </c>
      <c r="AB122" s="3032"/>
      <c r="AC122" s="4443">
        <v>67.5</v>
      </c>
      <c r="AD122" s="4074"/>
      <c r="AE122" s="5634">
        <f>+((AA122*AA24)+(AC122*AC24))/AE24</f>
        <v>65.361400595998305</v>
      </c>
      <c r="AF122" s="3032"/>
      <c r="AG122" s="4443">
        <v>61.26</v>
      </c>
      <c r="AH122" s="4074"/>
      <c r="AI122" s="5634">
        <f>+((AE122*AE24)+(AG122*AG24))/AI24</f>
        <v>64.799379132990467</v>
      </c>
      <c r="AJ122" s="3032"/>
      <c r="AK122" s="4443">
        <v>83.06</v>
      </c>
      <c r="AL122" s="4075"/>
      <c r="AM122" s="6158">
        <f>+((AC122*AC24)+(AG122*AG24)+(AK122*AK24))/AM24</f>
        <v>71.993831450912239</v>
      </c>
      <c r="AN122" s="4074"/>
      <c r="AO122" s="5634">
        <f>+((AI122*AI24)+(AK122*AK24))/AO24</f>
        <v>67.546451310861443</v>
      </c>
      <c r="AP122" s="3032"/>
      <c r="AQ122" s="4443">
        <v>77.540000000000006</v>
      </c>
      <c r="AR122" s="4074"/>
      <c r="AS122" s="5634">
        <f>+((AO122*AO24)+(AQ122*AQ24))/AS24</f>
        <v>68.980970328789113</v>
      </c>
      <c r="AT122" s="3032"/>
      <c r="AU122" s="4443">
        <v>77.16</v>
      </c>
      <c r="AV122" s="4074"/>
      <c r="AW122" s="5634">
        <f>+((AS122*AS24)+(AU122*AU24))/AW24</f>
        <v>69.917928994082857</v>
      </c>
      <c r="AX122" s="3032"/>
      <c r="AY122" s="4443"/>
      <c r="AZ122" s="4075"/>
      <c r="BA122" s="6158">
        <f>+((AQ122*AQ24)+(AU122*AU24)+(AY122*AY24))/BA24</f>
        <v>49.488984962406015</v>
      </c>
      <c r="BB122" s="4075"/>
      <c r="BC122" s="6158">
        <f>+((AM122*AM24)+(BA122*BA24))/BC24</f>
        <v>58.918572988714963</v>
      </c>
      <c r="BD122" s="6997"/>
      <c r="BE122" s="6994">
        <f>+((AW122*AW24)+(AY122*AY24))/BE24</f>
        <v>61.542343750000015</v>
      </c>
    </row>
    <row r="123" spans="2:57" ht="20" customHeight="1" thickBot="1" x14ac:dyDescent="0.25">
      <c r="B123" s="4071" t="s">
        <v>1294</v>
      </c>
      <c r="C123" s="4072" t="s">
        <v>169</v>
      </c>
      <c r="D123" s="1488"/>
      <c r="E123" s="4444">
        <v>76.099999999999994</v>
      </c>
      <c r="F123" s="1488"/>
      <c r="G123" s="4444">
        <v>62.68</v>
      </c>
      <c r="H123" s="4076"/>
      <c r="I123" s="5635">
        <f>+((E123*E25)+(G123*G25))/I25</f>
        <v>70.095792592592602</v>
      </c>
      <c r="J123" s="1488"/>
      <c r="K123" s="4444">
        <v>67.73</v>
      </c>
      <c r="L123" s="4077"/>
      <c r="M123" s="6159">
        <f>+((I123*I25)+(K123*K25))/M25</f>
        <v>69.294064642507351</v>
      </c>
      <c r="N123" s="1488"/>
      <c r="O123" s="4444">
        <v>66.7</v>
      </c>
      <c r="P123" s="4076"/>
      <c r="Q123" s="5635">
        <f>+((M123*M25)+(O123*O25))/Q25</f>
        <v>68.746785162287495</v>
      </c>
      <c r="R123" s="1488"/>
      <c r="S123" s="4444">
        <v>72.069999999999993</v>
      </c>
      <c r="T123" s="4076"/>
      <c r="U123" s="5635">
        <f>+((Q123*Q25)+(S123*S25))/U25</f>
        <v>69.639112492933862</v>
      </c>
      <c r="V123" s="1488"/>
      <c r="W123" s="4444">
        <v>40.5</v>
      </c>
      <c r="X123" s="4077"/>
      <c r="Y123" s="6158">
        <f>+((O123*O25)+(S123*S25)+(W123*W25))/Y25</f>
        <v>62.962829614604466</v>
      </c>
      <c r="Z123" s="6998"/>
      <c r="AA123" s="6995">
        <f>+((U123*U25)+(W123*W25))/AA25</f>
        <v>66.183652217239654</v>
      </c>
      <c r="AB123" s="1488"/>
      <c r="AC123" s="4444">
        <v>69.2</v>
      </c>
      <c r="AD123" s="4076"/>
      <c r="AE123" s="5635">
        <f>+((AA123*AA25)+(AC123*AC25))/AE25</f>
        <v>66.470599639314699</v>
      </c>
      <c r="AF123" s="1488"/>
      <c r="AG123" s="4444">
        <v>60.32</v>
      </c>
      <c r="AH123" s="4076"/>
      <c r="AI123" s="5635">
        <f>+((AE123*AE25)+(AG123*AG25))/AI25</f>
        <v>65.648917968749998</v>
      </c>
      <c r="AJ123" s="1488"/>
      <c r="AK123" s="4444">
        <v>79.08</v>
      </c>
      <c r="AL123" s="4077"/>
      <c r="AM123" s="6158">
        <f>+((AC123*AC25)+(AG123*AG25)+(AK123*AK25))/AM25</f>
        <v>70.449949238578682</v>
      </c>
      <c r="AN123" s="4076"/>
      <c r="AO123" s="5635">
        <f>+((AI123*AI25)+(AK123*AK25))/AO25</f>
        <v>67.588165106951863</v>
      </c>
      <c r="AP123" s="1488"/>
      <c r="AQ123" s="4444">
        <v>78.67</v>
      </c>
      <c r="AR123" s="4076"/>
      <c r="AS123" s="5635">
        <f>+((AO123*AO25)+(AQ123*AQ25))/AS25</f>
        <v>69.319506486181609</v>
      </c>
      <c r="AT123" s="1488"/>
      <c r="AU123" s="4444">
        <v>73.92</v>
      </c>
      <c r="AV123" s="4076"/>
      <c r="AW123" s="5635">
        <f>+((AS123*AS25)+(AU123*AU25))/AW25</f>
        <v>69.855886895864472</v>
      </c>
      <c r="AX123" s="1488"/>
      <c r="AY123" s="4444"/>
      <c r="AZ123" s="4077"/>
      <c r="BA123" s="6158">
        <f>+((AQ123*AQ25)+(AU123*AU25)+(AY123*AY25))/BA25</f>
        <v>49.323495268138792</v>
      </c>
      <c r="BB123" s="4077"/>
      <c r="BC123" s="6158">
        <f>+((AM123*AM25)+(BA123*BA25))/BC25</f>
        <v>57.420599221789885</v>
      </c>
      <c r="BD123" s="6998"/>
      <c r="BE123" s="6995">
        <f>+((AW123*AW25)+(AY123*AY25))/BE25</f>
        <v>61.263170198820184</v>
      </c>
    </row>
    <row r="124" spans="2:57" ht="20" customHeight="1" thickBot="1" x14ac:dyDescent="0.25">
      <c r="B124" s="4073" t="s">
        <v>1295</v>
      </c>
      <c r="C124" s="3994" t="s">
        <v>169</v>
      </c>
      <c r="D124" s="4078"/>
      <c r="E124" s="4445">
        <v>70.680000000000007</v>
      </c>
      <c r="F124" s="4078"/>
      <c r="G124" s="4445">
        <v>61.9</v>
      </c>
      <c r="H124" s="4079"/>
      <c r="I124" s="5636">
        <f>+((E124*E26)+(G124*G26))/I26</f>
        <v>65.21536458333334</v>
      </c>
      <c r="J124" s="4078"/>
      <c r="K124" s="4445">
        <v>65.209999999999994</v>
      </c>
      <c r="L124" s="6161"/>
      <c r="M124" s="6160">
        <f>+((I124*I26)+(K124*K26))/M26</f>
        <v>65.213042836041367</v>
      </c>
      <c r="N124" s="4078"/>
      <c r="O124" s="4445">
        <v>74.05</v>
      </c>
      <c r="P124" s="4079"/>
      <c r="Q124" s="5636">
        <f>+((M124*M26)+(O124*O26))/Q26</f>
        <v>68.341393129770992</v>
      </c>
      <c r="R124" s="4078"/>
      <c r="S124" s="4445">
        <v>62.85</v>
      </c>
      <c r="T124" s="4079"/>
      <c r="U124" s="5636">
        <f>+((Q124*Q26)+(S124*S26))/U26</f>
        <v>67.229741248097412</v>
      </c>
      <c r="V124" s="4078"/>
      <c r="W124" s="4445">
        <v>16.71</v>
      </c>
      <c r="X124" s="6161"/>
      <c r="Y124" s="6158">
        <f>+((O124*O26)+(S124*S26)+(W124*W26))/Y26</f>
        <v>64.025063469675601</v>
      </c>
      <c r="Z124" s="6999"/>
      <c r="AA124" s="6996">
        <f>+((U124*U26)+(W124*W26))/AA26</f>
        <v>64.605339105339112</v>
      </c>
      <c r="AB124" s="4078"/>
      <c r="AC124" s="4445">
        <v>60.92</v>
      </c>
      <c r="AD124" s="4079"/>
      <c r="AE124" s="5636">
        <f>+((AA124*AA26)+(AC124*AC26))/AE26</f>
        <v>64.273827971109654</v>
      </c>
      <c r="AF124" s="4078"/>
      <c r="AG124" s="4445">
        <v>44.44</v>
      </c>
      <c r="AH124" s="4079"/>
      <c r="AI124" s="5636">
        <f>+((AE124*AE26)+(AG124*AG26))/AI26</f>
        <v>61.941112398609512</v>
      </c>
      <c r="AJ124" s="4078"/>
      <c r="AK124" s="4445">
        <v>47.87</v>
      </c>
      <c r="AL124" s="6161"/>
      <c r="AM124" s="6158">
        <f>+((AC124*AC26)+(AG124*AG26)+(AK124*AK26))/AM26</f>
        <v>49.902700186219739</v>
      </c>
      <c r="AN124" s="4079"/>
      <c r="AO124" s="5636">
        <f>+((AI124*AI26)+(AK124*AK26))/AO26</f>
        <v>60.499609984399385</v>
      </c>
      <c r="AP124" s="4078"/>
      <c r="AQ124" s="4445">
        <v>45.57</v>
      </c>
      <c r="AR124" s="4079"/>
      <c r="AS124" s="5636">
        <f>+((AO124*AO26)+(AQ124*AQ26))/AS26</f>
        <v>58.818564836179057</v>
      </c>
      <c r="AT124" s="4078"/>
      <c r="AU124" s="4445">
        <v>55.57</v>
      </c>
      <c r="AV124" s="4079"/>
      <c r="AW124" s="5636">
        <f>+((AS124*AS26)+(AU124*AU26))/AW26</f>
        <v>58.433970707892598</v>
      </c>
      <c r="AX124" s="4078"/>
      <c r="AY124" s="4445"/>
      <c r="AZ124" s="6161"/>
      <c r="BA124" s="6158">
        <f>+((AQ124*AQ26)+(AU124*AU26)+(AY124*AY26))/BA26</f>
        <v>31.806468531468532</v>
      </c>
      <c r="BB124" s="6161"/>
      <c r="BC124" s="6158">
        <f>+((AM124*AM26)+(BA124*BA26))/BC26</f>
        <v>38.77254480286738</v>
      </c>
      <c r="BD124" s="6999"/>
      <c r="BE124" s="6996">
        <f>+((AW124*AW26)+(AY124*AY26))/BE26</f>
        <v>51.647141316073359</v>
      </c>
    </row>
    <row r="125" spans="2:57" s="3380" customFormat="1" ht="20" customHeight="1" x14ac:dyDescent="0.25">
      <c r="B125" s="4852"/>
      <c r="C125" s="4852"/>
      <c r="D125" s="4858"/>
      <c r="E125" s="5764"/>
      <c r="F125" s="4858"/>
      <c r="G125" s="5764"/>
      <c r="H125" s="4858"/>
      <c r="I125" s="5764"/>
      <c r="J125" s="4858"/>
      <c r="K125" s="5764"/>
      <c r="L125" s="4858"/>
      <c r="M125" s="5764"/>
      <c r="N125" s="4858"/>
      <c r="O125" s="5764"/>
      <c r="P125" s="4858"/>
      <c r="Q125" s="5764"/>
      <c r="R125" s="4858"/>
      <c r="S125" s="5764"/>
      <c r="T125" s="4858"/>
      <c r="U125" s="5764"/>
      <c r="V125" s="4858"/>
      <c r="W125" s="5764"/>
      <c r="X125" s="4858"/>
      <c r="Y125" s="5764"/>
      <c r="Z125" s="4858"/>
      <c r="AA125" s="5764"/>
      <c r="AB125" s="4858"/>
      <c r="AC125" s="5764"/>
      <c r="AD125" s="4858"/>
      <c r="AE125" s="5764"/>
      <c r="AF125" s="4858"/>
      <c r="AG125" s="5764"/>
      <c r="AH125" s="4858"/>
      <c r="AI125" s="5764"/>
      <c r="AJ125" s="4858"/>
      <c r="AK125" s="5764"/>
      <c r="AL125" s="4858"/>
      <c r="AM125" s="5764"/>
      <c r="AN125" s="7954"/>
      <c r="AO125" s="7955"/>
      <c r="AP125" s="4858"/>
      <c r="AQ125" s="5764"/>
      <c r="AR125" s="4858"/>
      <c r="AS125" s="5764"/>
      <c r="AT125" s="4858"/>
      <c r="AU125" s="5764"/>
      <c r="AV125" s="4858"/>
      <c r="AW125" s="5764"/>
      <c r="AX125" s="4858"/>
      <c r="AY125" s="5764"/>
      <c r="AZ125" s="4858"/>
      <c r="BA125" s="5764"/>
      <c r="BB125" s="4858"/>
      <c r="BC125" s="5764"/>
      <c r="BD125" s="4858"/>
      <c r="BE125" s="5764"/>
    </row>
    <row r="126" spans="2:57" s="3380" customFormat="1" ht="20" customHeight="1" thickBot="1" x14ac:dyDescent="0.3">
      <c r="B126" s="6107" t="s">
        <v>1072</v>
      </c>
      <c r="C126" s="4852"/>
      <c r="D126" s="4858"/>
      <c r="E126" s="5764"/>
      <c r="F126" s="4858"/>
      <c r="G126" s="5764"/>
      <c r="H126" s="4858"/>
      <c r="I126" s="5764"/>
      <c r="J126" s="4858"/>
      <c r="K126" s="5764"/>
      <c r="L126" s="4858"/>
      <c r="M126" s="5764"/>
      <c r="N126" s="4858"/>
      <c r="O126" s="5764"/>
      <c r="P126" s="4858"/>
      <c r="Q126" s="5764"/>
      <c r="R126" s="4858"/>
      <c r="S126" s="5764"/>
      <c r="T126" s="4858"/>
      <c r="U126" s="5764"/>
      <c r="V126" s="4858"/>
      <c r="W126" s="5764"/>
      <c r="X126" s="4858"/>
      <c r="Y126" s="7038"/>
      <c r="Z126" s="4858"/>
      <c r="AA126" s="5764"/>
      <c r="AB126" s="4858"/>
      <c r="AC126" s="5764"/>
      <c r="AD126" s="4858"/>
      <c r="AE126" s="5764"/>
      <c r="AF126" s="4858"/>
      <c r="AG126" s="5764"/>
      <c r="AH126" s="4858"/>
      <c r="AI126" s="5764"/>
      <c r="AJ126" s="4858"/>
      <c r="AK126" s="5764"/>
      <c r="AL126" s="4858"/>
      <c r="AM126" s="7038"/>
      <c r="AN126" s="7954"/>
      <c r="AO126" s="7955"/>
      <c r="AP126" s="4858"/>
      <c r="AQ126" s="5764"/>
      <c r="AR126" s="4858"/>
      <c r="AS126" s="5764"/>
      <c r="AT126" s="4858"/>
      <c r="AU126" s="5764"/>
      <c r="AV126" s="4858"/>
      <c r="AW126" s="5764"/>
      <c r="AX126" s="4858"/>
      <c r="AY126" s="5764"/>
      <c r="AZ126" s="4858"/>
      <c r="BA126" s="7038"/>
      <c r="BB126" s="4858"/>
      <c r="BC126" s="7038"/>
      <c r="BD126" s="4858"/>
      <c r="BE126" s="5764"/>
    </row>
    <row r="127" spans="2:57" ht="20" customHeight="1" x14ac:dyDescent="0.2">
      <c r="B127" s="4080" t="s">
        <v>1066</v>
      </c>
      <c r="C127" s="4081" t="s">
        <v>170</v>
      </c>
      <c r="D127" s="4082"/>
      <c r="E127" s="4430">
        <f>+'B-FCE'!E5</f>
        <v>143766</v>
      </c>
      <c r="F127" s="4082"/>
      <c r="G127" s="4430">
        <f>+'B-FCE'!G5</f>
        <v>152132</v>
      </c>
      <c r="H127" s="5637"/>
      <c r="I127" s="5613">
        <f>+E127+G127</f>
        <v>295898</v>
      </c>
      <c r="J127" s="4082"/>
      <c r="K127" s="4430">
        <f>+'B-FCE'!K5</f>
        <v>167381</v>
      </c>
      <c r="L127" s="6162"/>
      <c r="M127" s="6135">
        <f>+I127+K127</f>
        <v>463279</v>
      </c>
      <c r="N127" s="4082"/>
      <c r="O127" s="4430">
        <f>+'B-FCE'!O5</f>
        <v>190559</v>
      </c>
      <c r="P127" s="5637"/>
      <c r="Q127" s="5613">
        <f>+M127+O127</f>
        <v>653838</v>
      </c>
      <c r="R127" s="4082"/>
      <c r="S127" s="4430">
        <f>+'B-FCE'!S5</f>
        <v>195518</v>
      </c>
      <c r="T127" s="5637"/>
      <c r="U127" s="5613">
        <f>+Q127+S127</f>
        <v>849356</v>
      </c>
      <c r="V127" s="4082"/>
      <c r="W127" s="4430">
        <f>+'B-FCE'!W5</f>
        <v>107327</v>
      </c>
      <c r="X127" s="6162"/>
      <c r="Y127" s="6140">
        <f t="shared" ref="Y127:Y130" si="380">+W127+S127+O127</f>
        <v>493404</v>
      </c>
      <c r="Z127" s="7000"/>
      <c r="AA127" s="6948">
        <f>+U127+W127</f>
        <v>956683</v>
      </c>
      <c r="AB127" s="4082"/>
      <c r="AC127" s="4430">
        <f>+'B-FCE'!AC5</f>
        <v>125039</v>
      </c>
      <c r="AD127" s="5637"/>
      <c r="AE127" s="5613">
        <f>+AA127+AC127</f>
        <v>1081722</v>
      </c>
      <c r="AF127" s="4082"/>
      <c r="AG127" s="4430">
        <f>+'B-FCE'!AG5</f>
        <v>154255</v>
      </c>
      <c r="AH127" s="5637"/>
      <c r="AI127" s="5613">
        <f>+AE127+AG127</f>
        <v>1235977</v>
      </c>
      <c r="AJ127" s="4082"/>
      <c r="AK127" s="4430">
        <f>+'B-FCE'!AK5</f>
        <v>198815</v>
      </c>
      <c r="AL127" s="6162"/>
      <c r="AM127" s="6140">
        <f t="shared" ref="AM127:AM130" si="381">+AK127+AG127+AC127</f>
        <v>478109</v>
      </c>
      <c r="AN127" s="5637"/>
      <c r="AO127" s="5613">
        <f>+AI127+AK127</f>
        <v>1434792</v>
      </c>
      <c r="AP127" s="4082"/>
      <c r="AQ127" s="4430">
        <f>+'B-FCE'!AQ5</f>
        <v>221321</v>
      </c>
      <c r="AR127" s="5637"/>
      <c r="AS127" s="5613">
        <f>+AO127+AQ127</f>
        <v>1656113</v>
      </c>
      <c r="AT127" s="4082"/>
      <c r="AU127" s="4430">
        <f>+'B-FCE'!AU5</f>
        <v>198514</v>
      </c>
      <c r="AV127" s="5637"/>
      <c r="AW127" s="5613">
        <f>+AS127+AU127</f>
        <v>1854627</v>
      </c>
      <c r="AX127" s="4082"/>
      <c r="AY127" s="4430">
        <f>+'B-FCE'!AY5</f>
        <v>238171</v>
      </c>
      <c r="AZ127" s="6162"/>
      <c r="BA127" s="6140">
        <f t="shared" ref="BA127:BA130" si="382">+AY127+AU127+AQ127</f>
        <v>658006</v>
      </c>
      <c r="BB127" s="6162"/>
      <c r="BC127" s="6140">
        <f t="shared" ref="BC127:BC130" si="383">+BA127+AM127</f>
        <v>1136115</v>
      </c>
      <c r="BD127" s="7000"/>
      <c r="BE127" s="6948">
        <f>+AW127+AY127</f>
        <v>2092798</v>
      </c>
    </row>
    <row r="128" spans="2:57" ht="20" customHeight="1" x14ac:dyDescent="0.2">
      <c r="B128" s="4083" t="s">
        <v>1067</v>
      </c>
      <c r="C128" s="4084" t="s">
        <v>170</v>
      </c>
      <c r="D128" s="4085"/>
      <c r="E128" s="4439">
        <f>+'B-FCE'!E7</f>
        <v>140356</v>
      </c>
      <c r="F128" s="4085"/>
      <c r="G128" s="4439">
        <f>+'B-FCE'!G7</f>
        <v>148888</v>
      </c>
      <c r="H128" s="5638"/>
      <c r="I128" s="4844">
        <f>+E128+G128</f>
        <v>289244</v>
      </c>
      <c r="J128" s="4085"/>
      <c r="K128" s="4439">
        <f>+'B-FCE'!K7</f>
        <v>164243</v>
      </c>
      <c r="L128" s="6163"/>
      <c r="M128" s="4879">
        <f>+I128+K128</f>
        <v>453487</v>
      </c>
      <c r="N128" s="4085"/>
      <c r="O128" s="4439">
        <f>+'B-FCE'!O7</f>
        <v>180924</v>
      </c>
      <c r="P128" s="5638"/>
      <c r="Q128" s="4844">
        <f>+M128+O128</f>
        <v>634411</v>
      </c>
      <c r="R128" s="4085"/>
      <c r="S128" s="4439">
        <f>+'B-FCE'!S7</f>
        <v>190850</v>
      </c>
      <c r="T128" s="5638"/>
      <c r="U128" s="4844">
        <f>+Q128+S128</f>
        <v>825261</v>
      </c>
      <c r="V128" s="4085"/>
      <c r="W128" s="4439">
        <f>+'B-FCE'!W7</f>
        <v>88338</v>
      </c>
      <c r="X128" s="6163"/>
      <c r="Y128" s="6140">
        <f t="shared" si="380"/>
        <v>460112</v>
      </c>
      <c r="Z128" s="7001"/>
      <c r="AA128" s="6970">
        <f>+U128+W128</f>
        <v>913599</v>
      </c>
      <c r="AB128" s="4085"/>
      <c r="AC128" s="4439">
        <f>+'B-FCE'!AC7</f>
        <v>106085</v>
      </c>
      <c r="AD128" s="5638"/>
      <c r="AE128" s="4844">
        <f>+AA128+AC128</f>
        <v>1019684</v>
      </c>
      <c r="AF128" s="4085"/>
      <c r="AG128" s="4439">
        <f>+'B-FCE'!AG7</f>
        <v>148769</v>
      </c>
      <c r="AH128" s="5638"/>
      <c r="AI128" s="4844">
        <f>+AE128+AG128</f>
        <v>1168453</v>
      </c>
      <c r="AJ128" s="4085"/>
      <c r="AK128" s="4439">
        <f>+'B-FCE'!AK7</f>
        <v>185194</v>
      </c>
      <c r="AL128" s="6163"/>
      <c r="AM128" s="6140">
        <f t="shared" si="381"/>
        <v>440048</v>
      </c>
      <c r="AN128" s="5638"/>
      <c r="AO128" s="4844">
        <f>+AI128+AK128</f>
        <v>1353647</v>
      </c>
      <c r="AP128" s="4085"/>
      <c r="AQ128" s="4439">
        <f>+'B-FCE'!AQ7</f>
        <v>215876</v>
      </c>
      <c r="AR128" s="5638"/>
      <c r="AS128" s="4844">
        <f>+AO128+AQ128</f>
        <v>1569523</v>
      </c>
      <c r="AT128" s="4085"/>
      <c r="AU128" s="4439">
        <f>+'B-FCE'!AU7</f>
        <v>197807</v>
      </c>
      <c r="AV128" s="5638"/>
      <c r="AW128" s="4844">
        <f>+AS128+AU128</f>
        <v>1767330</v>
      </c>
      <c r="AX128" s="4085"/>
      <c r="AY128" s="4439">
        <f>+'B-FCE'!AY7</f>
        <v>235089</v>
      </c>
      <c r="AZ128" s="6163"/>
      <c r="BA128" s="6140">
        <f t="shared" si="382"/>
        <v>648772</v>
      </c>
      <c r="BB128" s="6163"/>
      <c r="BC128" s="6140">
        <f t="shared" si="383"/>
        <v>1088820</v>
      </c>
      <c r="BD128" s="7001"/>
      <c r="BE128" s="6970">
        <f>+AW128+AY128</f>
        <v>2002419</v>
      </c>
    </row>
    <row r="129" spans="2:57" ht="20" customHeight="1" x14ac:dyDescent="0.2">
      <c r="B129" s="4083" t="s">
        <v>1070</v>
      </c>
      <c r="C129" s="4084" t="s">
        <v>170</v>
      </c>
      <c r="D129" s="4085"/>
      <c r="E129" s="4428">
        <f>+E18</f>
        <v>137124</v>
      </c>
      <c r="F129" s="4085"/>
      <c r="G129" s="4428">
        <f>+G18</f>
        <v>146436</v>
      </c>
      <c r="H129" s="5638"/>
      <c r="I129" s="5610">
        <f>+E129+G129</f>
        <v>283560</v>
      </c>
      <c r="J129" s="4085"/>
      <c r="K129" s="4428">
        <f>+K18</f>
        <v>162254</v>
      </c>
      <c r="L129" s="6163"/>
      <c r="M129" s="6132">
        <f>+I129+K129</f>
        <v>445814</v>
      </c>
      <c r="N129" s="4085"/>
      <c r="O129" s="4428">
        <f>+O18</f>
        <v>179882</v>
      </c>
      <c r="P129" s="5638"/>
      <c r="Q129" s="5610">
        <f>+M129+O129</f>
        <v>625696</v>
      </c>
      <c r="R129" s="4085"/>
      <c r="S129" s="4428">
        <f>+S18</f>
        <v>187784</v>
      </c>
      <c r="T129" s="5638"/>
      <c r="U129" s="5610">
        <f>+Q129+S129</f>
        <v>813480</v>
      </c>
      <c r="V129" s="4085"/>
      <c r="W129" s="4428">
        <f>+W18</f>
        <v>89547</v>
      </c>
      <c r="X129" s="6163"/>
      <c r="Y129" s="6140">
        <f t="shared" si="380"/>
        <v>457213</v>
      </c>
      <c r="Z129" s="7001"/>
      <c r="AA129" s="6945">
        <f>+U129+W129</f>
        <v>903027</v>
      </c>
      <c r="AB129" s="4085"/>
      <c r="AC129" s="4428">
        <f>+AC18</f>
        <v>103503</v>
      </c>
      <c r="AD129" s="5638"/>
      <c r="AE129" s="5610">
        <f>+AA129+AC129</f>
        <v>1006530</v>
      </c>
      <c r="AF129" s="4085"/>
      <c r="AG129" s="4428">
        <f>+AG18</f>
        <v>148766</v>
      </c>
      <c r="AH129" s="5638"/>
      <c r="AI129" s="5610">
        <f>+AE129+AG129</f>
        <v>1155296</v>
      </c>
      <c r="AJ129" s="4085"/>
      <c r="AK129" s="4428">
        <f>+AK18</f>
        <v>181877</v>
      </c>
      <c r="AL129" s="6163"/>
      <c r="AM129" s="6140">
        <f t="shared" si="381"/>
        <v>434146</v>
      </c>
      <c r="AN129" s="5638"/>
      <c r="AO129" s="5610">
        <f>+AI129+AK129</f>
        <v>1337173</v>
      </c>
      <c r="AP129" s="4085"/>
      <c r="AQ129" s="4428">
        <f>+AQ18</f>
        <v>213381</v>
      </c>
      <c r="AR129" s="5638"/>
      <c r="AS129" s="5610">
        <f>+AO129+AQ129</f>
        <v>1550554</v>
      </c>
      <c r="AT129" s="4085"/>
      <c r="AU129" s="4428">
        <f>+AU18</f>
        <v>196256</v>
      </c>
      <c r="AV129" s="5638"/>
      <c r="AW129" s="5610">
        <f>+AS129+AU129</f>
        <v>1746810</v>
      </c>
      <c r="AX129" s="4085"/>
      <c r="AY129" s="4428">
        <f>+AY18</f>
        <v>232116</v>
      </c>
      <c r="AZ129" s="6163"/>
      <c r="BA129" s="6140">
        <f t="shared" si="382"/>
        <v>641753</v>
      </c>
      <c r="BB129" s="6163"/>
      <c r="BC129" s="6140">
        <f t="shared" si="383"/>
        <v>1075899</v>
      </c>
      <c r="BD129" s="7001"/>
      <c r="BE129" s="6945">
        <f>+AW129+AY129</f>
        <v>1978926</v>
      </c>
    </row>
    <row r="130" spans="2:57" ht="20" customHeight="1" x14ac:dyDescent="0.2">
      <c r="B130" s="4083" t="s">
        <v>1068</v>
      </c>
      <c r="C130" s="4084" t="s">
        <v>170</v>
      </c>
      <c r="D130" s="4085"/>
      <c r="E130" s="4439">
        <f>+E128-E129</f>
        <v>3232</v>
      </c>
      <c r="F130" s="4085"/>
      <c r="G130" s="4439">
        <f>+G128-G129</f>
        <v>2452</v>
      </c>
      <c r="H130" s="5638"/>
      <c r="I130" s="4844">
        <f>+E130+G130</f>
        <v>5684</v>
      </c>
      <c r="J130" s="4085"/>
      <c r="K130" s="4439">
        <f>+K128-K129</f>
        <v>1989</v>
      </c>
      <c r="L130" s="6163"/>
      <c r="M130" s="4879">
        <f>+I130+K130</f>
        <v>7673</v>
      </c>
      <c r="N130" s="4085"/>
      <c r="O130" s="4439">
        <f>+O128-O129</f>
        <v>1042</v>
      </c>
      <c r="P130" s="5638"/>
      <c r="Q130" s="4844">
        <f>+M130+O130</f>
        <v>8715</v>
      </c>
      <c r="R130" s="4085"/>
      <c r="S130" s="4439">
        <f>+S128-S129</f>
        <v>3066</v>
      </c>
      <c r="T130" s="5638"/>
      <c r="U130" s="4844">
        <f>+Q130+S130</f>
        <v>11781</v>
      </c>
      <c r="V130" s="4085"/>
      <c r="W130" s="4439">
        <f>+W128-W129</f>
        <v>-1209</v>
      </c>
      <c r="X130" s="6163"/>
      <c r="Y130" s="6140">
        <f t="shared" si="380"/>
        <v>2899</v>
      </c>
      <c r="Z130" s="7001"/>
      <c r="AA130" s="6970">
        <f>+U130+W130</f>
        <v>10572</v>
      </c>
      <c r="AB130" s="4085"/>
      <c r="AC130" s="4439">
        <f>+AC128-AC129</f>
        <v>2582</v>
      </c>
      <c r="AD130" s="5638"/>
      <c r="AE130" s="4844">
        <f>+AA130+AC130</f>
        <v>13154</v>
      </c>
      <c r="AF130" s="4085"/>
      <c r="AG130" s="4439">
        <f>+AG128-AG129</f>
        <v>3</v>
      </c>
      <c r="AH130" s="5638"/>
      <c r="AI130" s="4844">
        <f>+AE130+AG130</f>
        <v>13157</v>
      </c>
      <c r="AJ130" s="4085"/>
      <c r="AK130" s="4439">
        <f>+AK128-AK129</f>
        <v>3317</v>
      </c>
      <c r="AL130" s="6163"/>
      <c r="AM130" s="6140">
        <f t="shared" si="381"/>
        <v>5902</v>
      </c>
      <c r="AN130" s="5638"/>
      <c r="AO130" s="4844">
        <f>+AI130+AK130</f>
        <v>16474</v>
      </c>
      <c r="AP130" s="4085"/>
      <c r="AQ130" s="4439">
        <f>+AQ128-AQ129</f>
        <v>2495</v>
      </c>
      <c r="AR130" s="5638"/>
      <c r="AS130" s="4844">
        <f>+AO130+AQ130</f>
        <v>18969</v>
      </c>
      <c r="AT130" s="4085"/>
      <c r="AU130" s="4439">
        <f>+AU128-AU129</f>
        <v>1551</v>
      </c>
      <c r="AV130" s="5638"/>
      <c r="AW130" s="4844">
        <f>+AS130+AU130</f>
        <v>20520</v>
      </c>
      <c r="AX130" s="4085"/>
      <c r="AY130" s="4439">
        <f>+AY128-AY129</f>
        <v>2973</v>
      </c>
      <c r="AZ130" s="6163"/>
      <c r="BA130" s="6140">
        <f t="shared" si="382"/>
        <v>7019</v>
      </c>
      <c r="BB130" s="6163"/>
      <c r="BC130" s="6140">
        <f t="shared" si="383"/>
        <v>12921</v>
      </c>
      <c r="BD130" s="7001"/>
      <c r="BE130" s="6970">
        <f>+AW130+AY130</f>
        <v>23493</v>
      </c>
    </row>
    <row r="131" spans="2:57" ht="20" customHeight="1" x14ac:dyDescent="0.2">
      <c r="B131" s="4083" t="s">
        <v>1071</v>
      </c>
      <c r="C131" s="4084" t="s">
        <v>169</v>
      </c>
      <c r="D131" s="4085"/>
      <c r="E131" s="4440">
        <f>+E130/E128*100</f>
        <v>2.302715950867793</v>
      </c>
      <c r="F131" s="4085"/>
      <c r="G131" s="4440">
        <f>+G130/G128*100</f>
        <v>1.6468755037343505</v>
      </c>
      <c r="H131" s="5638"/>
      <c r="I131" s="5628">
        <f>+I130/I128*100</f>
        <v>1.9651228720388321</v>
      </c>
      <c r="J131" s="4085"/>
      <c r="K131" s="4440">
        <f>+K130/K128*100</f>
        <v>1.211010514907789</v>
      </c>
      <c r="L131" s="6163"/>
      <c r="M131" s="6149">
        <f>+M130/M128*100</f>
        <v>1.6919999911794608</v>
      </c>
      <c r="N131" s="4085"/>
      <c r="O131" s="4440">
        <f>+O130/O128*100</f>
        <v>0.57593243571886543</v>
      </c>
      <c r="P131" s="5638"/>
      <c r="Q131" s="5628">
        <f>+Q130/Q128*100</f>
        <v>1.373715146805462</v>
      </c>
      <c r="R131" s="4085"/>
      <c r="S131" s="4440">
        <f>+S130/S128*100</f>
        <v>1.6064972491485461</v>
      </c>
      <c r="T131" s="5638"/>
      <c r="U131" s="5628">
        <f>+U130/U128*100</f>
        <v>1.4275483756048086</v>
      </c>
      <c r="V131" s="4085"/>
      <c r="W131" s="4440">
        <f>+W130/W128*100</f>
        <v>-1.3686069415200706</v>
      </c>
      <c r="X131" s="6163"/>
      <c r="Y131" s="6149">
        <f>+Y130/Y128*100</f>
        <v>0.63006398442118439</v>
      </c>
      <c r="Z131" s="7001"/>
      <c r="AA131" s="6979">
        <f>+AA130/AA128*100</f>
        <v>1.1571816519063616</v>
      </c>
      <c r="AB131" s="4085"/>
      <c r="AC131" s="4440">
        <f>+AC130/AC128*100</f>
        <v>2.4338973464674551</v>
      </c>
      <c r="AD131" s="5638"/>
      <c r="AE131" s="5628">
        <f>+AE130/AE128*100</f>
        <v>1.2900074925172895</v>
      </c>
      <c r="AF131" s="4085"/>
      <c r="AG131" s="4440">
        <f>+AG130/AG128*100</f>
        <v>2.0165491466636195E-3</v>
      </c>
      <c r="AH131" s="5638"/>
      <c r="AI131" s="5628">
        <f>+AI130/AI128*100</f>
        <v>1.1260187615590871</v>
      </c>
      <c r="AJ131" s="4085"/>
      <c r="AK131" s="4440">
        <f>+AK130/AK128*100</f>
        <v>1.7910947438901907</v>
      </c>
      <c r="AL131" s="6163"/>
      <c r="AM131" s="6149">
        <f>+AM130/AM128*100</f>
        <v>1.3412173217467187</v>
      </c>
      <c r="AN131" s="5638"/>
      <c r="AO131" s="5628">
        <f>+AO130/AO128*100</f>
        <v>1.2170085701811475</v>
      </c>
      <c r="AP131" s="4085"/>
      <c r="AQ131" s="4440">
        <f>+AQ130/AQ128*100</f>
        <v>1.1557560821953343</v>
      </c>
      <c r="AR131" s="5638"/>
      <c r="AS131" s="5628">
        <f>+AS130/AS128*100</f>
        <v>1.2085837544273006</v>
      </c>
      <c r="AT131" s="4085"/>
      <c r="AU131" s="4440">
        <f>+AU130/AU128*100</f>
        <v>0.7840976305186369</v>
      </c>
      <c r="AV131" s="5638"/>
      <c r="AW131" s="5628">
        <f>+AW130/AW128*100</f>
        <v>1.1610734837296939</v>
      </c>
      <c r="AX131" s="4085"/>
      <c r="AY131" s="4440">
        <f>+AY130/AY128*100</f>
        <v>1.2646274389699219</v>
      </c>
      <c r="AZ131" s="6163"/>
      <c r="BA131" s="6149">
        <f>+BA130/BA128*100</f>
        <v>1.0818900939004765</v>
      </c>
      <c r="BB131" s="6163"/>
      <c r="BC131" s="6149">
        <f>+BC130/BC128*100</f>
        <v>1.186697525761834</v>
      </c>
      <c r="BD131" s="7001"/>
      <c r="BE131" s="6979">
        <f>+BE130/BE128*100</f>
        <v>1.1732309771331575</v>
      </c>
    </row>
    <row r="132" spans="2:57" ht="20" customHeight="1" thickBot="1" x14ac:dyDescent="0.25">
      <c r="B132" s="4087" t="s">
        <v>1069</v>
      </c>
      <c r="C132" s="4088" t="s">
        <v>169</v>
      </c>
      <c r="D132" s="4089"/>
      <c r="E132" s="4446">
        <f>+E130/E127*100</f>
        <v>2.2480976030493998</v>
      </c>
      <c r="F132" s="4089"/>
      <c r="G132" s="4446">
        <f>+G130/G127*100</f>
        <v>1.6117582099755476</v>
      </c>
      <c r="H132" s="5639"/>
      <c r="I132" s="5640">
        <f>+I130/I127*100</f>
        <v>1.9209322131274968</v>
      </c>
      <c r="J132" s="4089"/>
      <c r="K132" s="4446">
        <f>+K130/K127*100</f>
        <v>1.1883069165556426</v>
      </c>
      <c r="L132" s="6164"/>
      <c r="M132" s="6165">
        <f>+M130/M127*100</f>
        <v>1.6562373861107456</v>
      </c>
      <c r="N132" s="4089"/>
      <c r="O132" s="4446">
        <f>+O130/O127*100</f>
        <v>0.54681227336415494</v>
      </c>
      <c r="P132" s="5639"/>
      <c r="Q132" s="5640">
        <f>+Q130/Q127*100</f>
        <v>1.3328989749754527</v>
      </c>
      <c r="R132" s="4089"/>
      <c r="S132" s="4446">
        <f>+S130/S127*100</f>
        <v>1.5681420636463141</v>
      </c>
      <c r="T132" s="5639"/>
      <c r="U132" s="5640">
        <f>+U130/U127*100</f>
        <v>1.3870508950310589</v>
      </c>
      <c r="V132" s="4089"/>
      <c r="W132" s="4446">
        <f>+W130/W127*100</f>
        <v>-1.1264639838996711</v>
      </c>
      <c r="X132" s="6164"/>
      <c r="Y132" s="6165">
        <f>+Y130/Y127*100</f>
        <v>0.58755097242827381</v>
      </c>
      <c r="Z132" s="7002"/>
      <c r="AA132" s="7003">
        <f>+AA130/AA127*100</f>
        <v>1.1050682409951886</v>
      </c>
      <c r="AB132" s="4089"/>
      <c r="AC132" s="4446">
        <f>+AC130/AC127*100</f>
        <v>2.0649557338110509</v>
      </c>
      <c r="AD132" s="5639"/>
      <c r="AE132" s="5640">
        <f>+AE130/AE127*100</f>
        <v>1.2160240801240985</v>
      </c>
      <c r="AF132" s="4089"/>
      <c r="AG132" s="4446">
        <f>+AG130/AG127*100</f>
        <v>1.9448316099964344E-3</v>
      </c>
      <c r="AH132" s="5639"/>
      <c r="AI132" s="5640">
        <f>+AI130/AI127*100</f>
        <v>1.0645020093415978</v>
      </c>
      <c r="AJ132" s="4089"/>
      <c r="AK132" s="4446">
        <f>+AK130/AK127*100</f>
        <v>1.6683851822045619</v>
      </c>
      <c r="AL132" s="6164"/>
      <c r="AM132" s="6165">
        <f>+AM130/AM127*100</f>
        <v>1.2344465383416752</v>
      </c>
      <c r="AN132" s="5639"/>
      <c r="AO132" s="5640">
        <f>+AO130/AO127*100</f>
        <v>1.1481803634254999</v>
      </c>
      <c r="AP132" s="4089"/>
      <c r="AQ132" s="4446">
        <f>+AQ130/AQ127*100</f>
        <v>1.1273218537779965</v>
      </c>
      <c r="AR132" s="5639"/>
      <c r="AS132" s="5640">
        <f>+AS130/AS127*100</f>
        <v>1.1453928566468592</v>
      </c>
      <c r="AT132" s="4089"/>
      <c r="AU132" s="4446">
        <f>+AU130/AU127*100</f>
        <v>0.78130509686974214</v>
      </c>
      <c r="AV132" s="5639"/>
      <c r="AW132" s="5640">
        <f>+AW130/AW127*100</f>
        <v>1.1064219382118345</v>
      </c>
      <c r="AX132" s="4089"/>
      <c r="AY132" s="4446">
        <f>+AY130/AY127*100</f>
        <v>1.2482628027761566</v>
      </c>
      <c r="AZ132" s="6164"/>
      <c r="BA132" s="6165">
        <f>+BA130/BA127*100</f>
        <v>1.0667075984109569</v>
      </c>
      <c r="BB132" s="6164"/>
      <c r="BC132" s="6165">
        <f>+BC130/BC127*100</f>
        <v>1.1372968405487121</v>
      </c>
      <c r="BD132" s="7002"/>
      <c r="BE132" s="7003">
        <f>+BE130/BE127*100</f>
        <v>1.1225641461813323</v>
      </c>
    </row>
    <row r="133" spans="2:57" s="3380" customFormat="1" x14ac:dyDescent="0.2">
      <c r="D133" s="4408"/>
      <c r="E133" s="3453"/>
      <c r="F133" s="4408"/>
      <c r="G133" s="3453"/>
      <c r="H133" s="4408"/>
      <c r="I133" s="3453"/>
      <c r="J133" s="4408"/>
      <c r="L133" s="4408"/>
      <c r="N133" s="4408"/>
      <c r="P133" s="4408"/>
      <c r="X133" s="4408"/>
      <c r="AL133" s="4408"/>
      <c r="AZ133" s="4408"/>
      <c r="BB133" s="4408"/>
    </row>
    <row r="134" spans="2:57" hidden="1" x14ac:dyDescent="0.2">
      <c r="S134">
        <f>+S108*1000</f>
        <v>54000</v>
      </c>
      <c r="V134" s="6851"/>
      <c r="W134" s="6851">
        <f>+W108*1000</f>
        <v>25000</v>
      </c>
      <c r="X134" s="2100"/>
      <c r="Z134" s="6530"/>
      <c r="AA134" s="6530"/>
      <c r="AF134" s="7598"/>
      <c r="AG134" s="7598">
        <f>+AG108*1000</f>
        <v>43000</v>
      </c>
      <c r="AH134" s="7598"/>
      <c r="AI134" s="7598"/>
      <c r="AJ134" s="7744"/>
      <c r="AK134" s="7744">
        <f>+AK108*1000</f>
        <v>54000</v>
      </c>
      <c r="AL134" s="2100"/>
      <c r="AM134" s="7744"/>
      <c r="AN134" s="6530"/>
      <c r="AO134" s="6530"/>
      <c r="AP134" s="8077"/>
      <c r="AQ134" s="8077">
        <f>+AQ108*1000</f>
        <v>68980</v>
      </c>
      <c r="AR134" s="8077"/>
      <c r="AS134" s="8077"/>
      <c r="AT134" s="8143"/>
      <c r="AU134" s="8143">
        <f>+AU108*1000</f>
        <v>58000</v>
      </c>
      <c r="AV134" s="8143"/>
      <c r="AW134" s="8143"/>
      <c r="AY134" s="8260">
        <f>+AY108*1000</f>
        <v>66930</v>
      </c>
      <c r="AZ134" s="2100"/>
      <c r="BB134" s="2100"/>
      <c r="BD134" s="6530"/>
      <c r="BE134" s="6530"/>
    </row>
    <row r="135" spans="2:57" hidden="1" x14ac:dyDescent="0.2">
      <c r="G135" s="4457"/>
      <c r="H135" s="3374"/>
      <c r="I135" s="4468"/>
      <c r="J135" s="3374"/>
      <c r="K135" s="4108"/>
      <c r="L135" s="3376"/>
      <c r="S135">
        <f>+S134/S5</f>
        <v>0.31393158616840683</v>
      </c>
      <c r="V135" s="6851"/>
      <c r="W135" s="6851">
        <f>+W134/W5</f>
        <v>0.29907883718148104</v>
      </c>
      <c r="X135" s="3376"/>
      <c r="Z135" s="6530"/>
      <c r="AA135" s="6530"/>
      <c r="AF135" s="7598"/>
      <c r="AG135" s="7598">
        <f>+AG134/AG5</f>
        <v>0.30797879959891133</v>
      </c>
      <c r="AH135" s="7598"/>
      <c r="AI135" s="7598"/>
      <c r="AJ135" s="7744"/>
      <c r="AK135" s="7744">
        <f>+AK134/AK5</f>
        <v>0.32143813803982263</v>
      </c>
      <c r="AL135" s="3376"/>
      <c r="AM135" s="7744"/>
      <c r="AN135" s="6530"/>
      <c r="AO135" s="6530"/>
      <c r="AP135" s="8077"/>
      <c r="AQ135" s="8077">
        <f>+AQ134/AQ5</f>
        <v>0.34255861188774722</v>
      </c>
      <c r="AR135" s="8077"/>
      <c r="AS135" s="8077"/>
      <c r="AT135" s="8143"/>
      <c r="AU135" s="8143">
        <f>+AU134/AU5</f>
        <v>0.30663818808552035</v>
      </c>
      <c r="AV135" s="8143"/>
      <c r="AW135" s="8143"/>
      <c r="AY135" s="8260">
        <f>+AY134/AY5</f>
        <v>0.30010761366693572</v>
      </c>
      <c r="AZ135" s="3376"/>
      <c r="BB135" s="3376"/>
      <c r="BD135" s="6530"/>
      <c r="BE135" s="6530"/>
    </row>
    <row r="136" spans="2:57" hidden="1" x14ac:dyDescent="0.2">
      <c r="H136" s="3375"/>
      <c r="I136" s="3206"/>
      <c r="J136" s="3375"/>
      <c r="K136" s="2551"/>
      <c r="L136" s="3375"/>
      <c r="V136" s="6851"/>
      <c r="W136" s="6851"/>
      <c r="X136" s="3375"/>
      <c r="Z136" s="6530"/>
      <c r="AA136" s="6530"/>
      <c r="AF136" s="7598"/>
      <c r="AG136" s="7598"/>
      <c r="AH136" s="7598"/>
      <c r="AI136" s="7598"/>
      <c r="AJ136" s="7744"/>
      <c r="AK136" s="7744"/>
      <c r="AL136" s="3375"/>
      <c r="AM136" s="7744"/>
      <c r="AN136" s="6530"/>
      <c r="AO136" s="6530"/>
      <c r="AP136" s="8077"/>
      <c r="AQ136" s="8077"/>
      <c r="AR136" s="8077"/>
      <c r="AS136" s="8077"/>
      <c r="AT136" s="8143"/>
      <c r="AU136" s="8143"/>
      <c r="AV136" s="8143"/>
      <c r="AW136" s="8143"/>
      <c r="AZ136" s="3375"/>
      <c r="BB136" s="3375"/>
      <c r="BD136" s="6530"/>
      <c r="BE136" s="6530"/>
    </row>
    <row r="137" spans="2:57" ht="15" hidden="1" customHeight="1" x14ac:dyDescent="0.2">
      <c r="B137" s="2810" t="s">
        <v>1276</v>
      </c>
      <c r="C137" s="1924" t="s">
        <v>170</v>
      </c>
      <c r="D137" s="8892"/>
      <c r="E137" s="2743">
        <v>9.1</v>
      </c>
      <c r="F137" s="8893"/>
      <c r="G137" s="4458">
        <v>8.34</v>
      </c>
      <c r="H137" s="8887"/>
      <c r="I137" s="4469">
        <f>+E137+G137</f>
        <v>17.439999999999998</v>
      </c>
      <c r="J137" s="8893"/>
      <c r="K137" s="4105">
        <v>7.2299999999999995</v>
      </c>
      <c r="L137" s="8862"/>
      <c r="M137" s="4113">
        <f>+I137+K137</f>
        <v>24.669999999999998</v>
      </c>
      <c r="N137" s="8880"/>
      <c r="O137" s="4105">
        <v>5.59</v>
      </c>
      <c r="P137" s="8887"/>
      <c r="Q137" s="4109">
        <f>+M137+O137</f>
        <v>30.259999999999998</v>
      </c>
      <c r="R137" s="8880"/>
      <c r="S137" s="4105"/>
      <c r="T137" s="8887"/>
      <c r="U137" s="4109">
        <f>+Q137+S137</f>
        <v>30.259999999999998</v>
      </c>
      <c r="V137" s="8880"/>
      <c r="W137" s="4105"/>
      <c r="X137" s="8862"/>
      <c r="Y137" s="4113">
        <f>+U137+W137</f>
        <v>30.259999999999998</v>
      </c>
      <c r="Z137" s="8865"/>
      <c r="AA137" s="6900">
        <f>+U137+W137</f>
        <v>30.259999999999998</v>
      </c>
      <c r="AF137" s="8880"/>
      <c r="AG137" s="7606"/>
      <c r="AH137" s="8887"/>
      <c r="AI137" s="4109">
        <f>+AE137+AG137</f>
        <v>0</v>
      </c>
      <c r="AJ137" s="8880"/>
      <c r="AK137" s="7758"/>
      <c r="AL137" s="8862"/>
      <c r="AM137" s="4113">
        <f>+AI137+AK137</f>
        <v>0</v>
      </c>
      <c r="AN137" s="8865"/>
      <c r="AO137" s="6900">
        <f>+AI137+AK137</f>
        <v>0</v>
      </c>
      <c r="AP137" s="8880"/>
      <c r="AQ137" s="8089"/>
      <c r="AR137" s="8887"/>
      <c r="AS137" s="4109">
        <f>+AO137+AQ137</f>
        <v>0</v>
      </c>
      <c r="AT137" s="8880"/>
      <c r="AU137" s="8167"/>
      <c r="AV137" s="8887"/>
      <c r="AW137" s="4109">
        <f>+AS137+AU137</f>
        <v>0</v>
      </c>
      <c r="AX137" s="8880"/>
      <c r="AY137" s="8320"/>
      <c r="AZ137" s="8862"/>
      <c r="BA137" s="4113">
        <f>+AW137+AY137</f>
        <v>0</v>
      </c>
      <c r="BB137" s="8862"/>
      <c r="BC137" s="4113">
        <f>+AY137+BA137</f>
        <v>0</v>
      </c>
      <c r="BD137" s="8865"/>
      <c r="BE137" s="6900">
        <f>+AW137+AY137</f>
        <v>0</v>
      </c>
    </row>
    <row r="138" spans="2:57" ht="15" hidden="1" customHeight="1" x14ac:dyDescent="0.2">
      <c r="B138" s="2811" t="s">
        <v>1277</v>
      </c>
      <c r="C138" s="1923" t="s">
        <v>170</v>
      </c>
      <c r="D138" s="8892"/>
      <c r="E138" s="2743">
        <v>0</v>
      </c>
      <c r="F138" s="8893"/>
      <c r="G138" s="4458">
        <v>0.18</v>
      </c>
      <c r="H138" s="8888"/>
      <c r="I138" s="4469">
        <f t="shared" ref="I138:I147" si="384">+E138+G138</f>
        <v>0.18</v>
      </c>
      <c r="J138" s="8893"/>
      <c r="K138" s="4105">
        <v>0</v>
      </c>
      <c r="L138" s="8863"/>
      <c r="M138" s="4113">
        <f t="shared" ref="M138:M146" si="385">+I138+K138</f>
        <v>0.18</v>
      </c>
      <c r="N138" s="8881"/>
      <c r="O138" s="4105">
        <v>0</v>
      </c>
      <c r="P138" s="8888"/>
      <c r="Q138" s="4109">
        <f t="shared" ref="Q138:Q146" si="386">+M138+O138</f>
        <v>0.18</v>
      </c>
      <c r="R138" s="8881"/>
      <c r="S138" s="4105"/>
      <c r="T138" s="8888"/>
      <c r="U138" s="4109">
        <f t="shared" ref="U138:U146" si="387">+Q138+S138</f>
        <v>0.18</v>
      </c>
      <c r="V138" s="8881"/>
      <c r="W138" s="4105"/>
      <c r="X138" s="8863"/>
      <c r="Y138" s="4113">
        <f t="shared" ref="Y138:Y146" si="388">+U138+W138</f>
        <v>0.18</v>
      </c>
      <c r="Z138" s="8866"/>
      <c r="AA138" s="6900">
        <f t="shared" ref="AA138:AA146" si="389">+U138+W138</f>
        <v>0.18</v>
      </c>
      <c r="AF138" s="8881"/>
      <c r="AG138" s="7606"/>
      <c r="AH138" s="8888"/>
      <c r="AI138" s="4109">
        <f t="shared" ref="AI138:AI146" si="390">+AE138+AG138</f>
        <v>0</v>
      </c>
      <c r="AJ138" s="8881"/>
      <c r="AK138" s="7758"/>
      <c r="AL138" s="8863"/>
      <c r="AM138" s="4113">
        <f t="shared" ref="AM138:AM146" si="391">+AI138+AK138</f>
        <v>0</v>
      </c>
      <c r="AN138" s="8866"/>
      <c r="AO138" s="6900">
        <f t="shared" ref="AO138:AO146" si="392">+AI138+AK138</f>
        <v>0</v>
      </c>
      <c r="AP138" s="8881"/>
      <c r="AQ138" s="8089"/>
      <c r="AR138" s="8888"/>
      <c r="AS138" s="4109">
        <f t="shared" ref="AS138:AS146" si="393">+AO138+AQ138</f>
        <v>0</v>
      </c>
      <c r="AT138" s="8881"/>
      <c r="AU138" s="8167"/>
      <c r="AV138" s="8888"/>
      <c r="AW138" s="4109">
        <f t="shared" ref="AW138:AW146" si="394">+AS138+AU138</f>
        <v>0</v>
      </c>
      <c r="AX138" s="8881"/>
      <c r="AY138" s="8320"/>
      <c r="AZ138" s="8863"/>
      <c r="BA138" s="4113">
        <f t="shared" ref="BA138:BA146" si="395">+AW138+AY138</f>
        <v>0</v>
      </c>
      <c r="BB138" s="8863"/>
      <c r="BC138" s="4113">
        <f t="shared" ref="BC138:BC146" si="396">+AY138+BA138</f>
        <v>0</v>
      </c>
      <c r="BD138" s="8866"/>
      <c r="BE138" s="6900">
        <f t="shared" ref="BE138:BE146" si="397">+AW138+AY138</f>
        <v>0</v>
      </c>
    </row>
    <row r="139" spans="2:57" ht="15" hidden="1" customHeight="1" x14ac:dyDescent="0.2">
      <c r="B139" s="2811" t="s">
        <v>1278</v>
      </c>
      <c r="C139" s="1923" t="s">
        <v>170</v>
      </c>
      <c r="D139" s="8892"/>
      <c r="E139" s="4447">
        <v>19</v>
      </c>
      <c r="F139" s="8893"/>
      <c r="G139" s="4459">
        <v>8.3000000000000007</v>
      </c>
      <c r="H139" s="8888"/>
      <c r="I139" s="4469">
        <f t="shared" si="384"/>
        <v>27.3</v>
      </c>
      <c r="J139" s="8893"/>
      <c r="K139" s="4105">
        <v>0</v>
      </c>
      <c r="L139" s="8863"/>
      <c r="M139" s="4113">
        <f t="shared" si="385"/>
        <v>27.3</v>
      </c>
      <c r="N139" s="8881"/>
      <c r="O139" s="4106">
        <v>9.4</v>
      </c>
      <c r="P139" s="8888"/>
      <c r="Q139" s="4109">
        <f t="shared" si="386"/>
        <v>36.700000000000003</v>
      </c>
      <c r="R139" s="8881"/>
      <c r="S139" s="4106"/>
      <c r="T139" s="8888"/>
      <c r="U139" s="4109">
        <f t="shared" si="387"/>
        <v>36.700000000000003</v>
      </c>
      <c r="V139" s="8881"/>
      <c r="W139" s="4106"/>
      <c r="X139" s="8863"/>
      <c r="Y139" s="4113">
        <f t="shared" si="388"/>
        <v>36.700000000000003</v>
      </c>
      <c r="Z139" s="8866"/>
      <c r="AA139" s="6900">
        <f t="shared" si="389"/>
        <v>36.700000000000003</v>
      </c>
      <c r="AF139" s="8881"/>
      <c r="AG139" s="4106"/>
      <c r="AH139" s="8888"/>
      <c r="AI139" s="4109">
        <f t="shared" si="390"/>
        <v>0</v>
      </c>
      <c r="AJ139" s="8881"/>
      <c r="AK139" s="4106"/>
      <c r="AL139" s="8863"/>
      <c r="AM139" s="4113">
        <f t="shared" si="391"/>
        <v>0</v>
      </c>
      <c r="AN139" s="8866"/>
      <c r="AO139" s="6900">
        <f t="shared" si="392"/>
        <v>0</v>
      </c>
      <c r="AP139" s="8881"/>
      <c r="AQ139" s="4106"/>
      <c r="AR139" s="8888"/>
      <c r="AS139" s="4109">
        <f t="shared" si="393"/>
        <v>0</v>
      </c>
      <c r="AT139" s="8881"/>
      <c r="AU139" s="4106"/>
      <c r="AV139" s="8888"/>
      <c r="AW139" s="4109">
        <f t="shared" si="394"/>
        <v>0</v>
      </c>
      <c r="AX139" s="8881"/>
      <c r="AY139" s="4106"/>
      <c r="AZ139" s="8863"/>
      <c r="BA139" s="4113">
        <f t="shared" si="395"/>
        <v>0</v>
      </c>
      <c r="BB139" s="8863"/>
      <c r="BC139" s="4113">
        <f t="shared" si="396"/>
        <v>0</v>
      </c>
      <c r="BD139" s="8866"/>
      <c r="BE139" s="6900">
        <f t="shared" si="397"/>
        <v>0</v>
      </c>
    </row>
    <row r="140" spans="2:57" ht="15" hidden="1" customHeight="1" x14ac:dyDescent="0.2">
      <c r="B140" s="2811" t="s">
        <v>1279</v>
      </c>
      <c r="C140" s="1923" t="s">
        <v>170</v>
      </c>
      <c r="D140" s="8892"/>
      <c r="E140" s="2743">
        <v>0</v>
      </c>
      <c r="F140" s="8893"/>
      <c r="G140" s="4458">
        <v>0</v>
      </c>
      <c r="H140" s="8888"/>
      <c r="I140" s="4469">
        <f t="shared" si="384"/>
        <v>0</v>
      </c>
      <c r="J140" s="8893"/>
      <c r="K140" s="4105">
        <v>0</v>
      </c>
      <c r="L140" s="8863"/>
      <c r="M140" s="4113">
        <f t="shared" si="385"/>
        <v>0</v>
      </c>
      <c r="N140" s="8881"/>
      <c r="O140" s="4105">
        <v>0</v>
      </c>
      <c r="P140" s="8888"/>
      <c r="Q140" s="4109">
        <f t="shared" si="386"/>
        <v>0</v>
      </c>
      <c r="R140" s="8881"/>
      <c r="S140" s="4105"/>
      <c r="T140" s="8888"/>
      <c r="U140" s="4109">
        <f t="shared" si="387"/>
        <v>0</v>
      </c>
      <c r="V140" s="8881"/>
      <c r="W140" s="4105"/>
      <c r="X140" s="8863"/>
      <c r="Y140" s="4113">
        <f t="shared" si="388"/>
        <v>0</v>
      </c>
      <c r="Z140" s="8866"/>
      <c r="AA140" s="6900">
        <f t="shared" si="389"/>
        <v>0</v>
      </c>
      <c r="AF140" s="8881"/>
      <c r="AG140" s="7606"/>
      <c r="AH140" s="8888"/>
      <c r="AI140" s="4109">
        <f t="shared" si="390"/>
        <v>0</v>
      </c>
      <c r="AJ140" s="8881"/>
      <c r="AK140" s="7758"/>
      <c r="AL140" s="8863"/>
      <c r="AM140" s="4113">
        <f t="shared" si="391"/>
        <v>0</v>
      </c>
      <c r="AN140" s="8866"/>
      <c r="AO140" s="6900">
        <f t="shared" si="392"/>
        <v>0</v>
      </c>
      <c r="AP140" s="8881"/>
      <c r="AQ140" s="8089"/>
      <c r="AR140" s="8888"/>
      <c r="AS140" s="4109">
        <f t="shared" si="393"/>
        <v>0</v>
      </c>
      <c r="AT140" s="8881"/>
      <c r="AU140" s="8167"/>
      <c r="AV140" s="8888"/>
      <c r="AW140" s="4109">
        <f t="shared" si="394"/>
        <v>0</v>
      </c>
      <c r="AX140" s="8881"/>
      <c r="AY140" s="8320"/>
      <c r="AZ140" s="8863"/>
      <c r="BA140" s="4113">
        <f t="shared" si="395"/>
        <v>0</v>
      </c>
      <c r="BB140" s="8863"/>
      <c r="BC140" s="4113">
        <f t="shared" si="396"/>
        <v>0</v>
      </c>
      <c r="BD140" s="8866"/>
      <c r="BE140" s="6900">
        <f t="shared" si="397"/>
        <v>0</v>
      </c>
    </row>
    <row r="141" spans="2:57" ht="15" hidden="1" customHeight="1" x14ac:dyDescent="0.2">
      <c r="B141" s="2811" t="s">
        <v>1280</v>
      </c>
      <c r="C141" s="1923" t="s">
        <v>170</v>
      </c>
      <c r="D141" s="8892"/>
      <c r="E141" s="2743">
        <v>0</v>
      </c>
      <c r="F141" s="8893"/>
      <c r="G141" s="4458">
        <v>0</v>
      </c>
      <c r="H141" s="8888"/>
      <c r="I141" s="4469">
        <f t="shared" si="384"/>
        <v>0</v>
      </c>
      <c r="J141" s="8893"/>
      <c r="K141" s="4105">
        <v>0</v>
      </c>
      <c r="L141" s="8863"/>
      <c r="M141" s="4113">
        <f t="shared" si="385"/>
        <v>0</v>
      </c>
      <c r="N141" s="8881"/>
      <c r="O141" s="4105">
        <v>0</v>
      </c>
      <c r="P141" s="8888"/>
      <c r="Q141" s="4109">
        <f t="shared" si="386"/>
        <v>0</v>
      </c>
      <c r="R141" s="8881"/>
      <c r="S141" s="4105"/>
      <c r="T141" s="8888"/>
      <c r="U141" s="4109">
        <f t="shared" si="387"/>
        <v>0</v>
      </c>
      <c r="V141" s="8881"/>
      <c r="W141" s="4105"/>
      <c r="X141" s="8863"/>
      <c r="Y141" s="4113">
        <f t="shared" si="388"/>
        <v>0</v>
      </c>
      <c r="Z141" s="8866"/>
      <c r="AA141" s="6900">
        <f t="shared" si="389"/>
        <v>0</v>
      </c>
      <c r="AF141" s="8881"/>
      <c r="AG141" s="7606"/>
      <c r="AH141" s="8888"/>
      <c r="AI141" s="4109">
        <f t="shared" si="390"/>
        <v>0</v>
      </c>
      <c r="AJ141" s="8881"/>
      <c r="AK141" s="7758"/>
      <c r="AL141" s="8863"/>
      <c r="AM141" s="4113">
        <f t="shared" si="391"/>
        <v>0</v>
      </c>
      <c r="AN141" s="8866"/>
      <c r="AO141" s="6900">
        <f t="shared" si="392"/>
        <v>0</v>
      </c>
      <c r="AP141" s="8881"/>
      <c r="AQ141" s="8089"/>
      <c r="AR141" s="8888"/>
      <c r="AS141" s="4109">
        <f t="shared" si="393"/>
        <v>0</v>
      </c>
      <c r="AT141" s="8881"/>
      <c r="AU141" s="8167"/>
      <c r="AV141" s="8888"/>
      <c r="AW141" s="4109">
        <f t="shared" si="394"/>
        <v>0</v>
      </c>
      <c r="AX141" s="8881"/>
      <c r="AY141" s="8320"/>
      <c r="AZ141" s="8863"/>
      <c r="BA141" s="4113">
        <f t="shared" si="395"/>
        <v>0</v>
      </c>
      <c r="BB141" s="8863"/>
      <c r="BC141" s="4113">
        <f t="shared" si="396"/>
        <v>0</v>
      </c>
      <c r="BD141" s="8866"/>
      <c r="BE141" s="6900">
        <f t="shared" si="397"/>
        <v>0</v>
      </c>
    </row>
    <row r="142" spans="2:57" ht="15" hidden="1" customHeight="1" x14ac:dyDescent="0.2">
      <c r="B142" s="2811" t="s">
        <v>1281</v>
      </c>
      <c r="C142" s="1923" t="s">
        <v>170</v>
      </c>
      <c r="D142" s="8892"/>
      <c r="E142" s="2743">
        <v>25</v>
      </c>
      <c r="F142" s="8893"/>
      <c r="G142" s="4458">
        <v>20.63</v>
      </c>
      <c r="H142" s="8888"/>
      <c r="I142" s="4469">
        <f t="shared" si="384"/>
        <v>45.629999999999995</v>
      </c>
      <c r="J142" s="8893"/>
      <c r="K142" s="4105">
        <v>8.6100000000000012</v>
      </c>
      <c r="L142" s="8863"/>
      <c r="M142" s="4113">
        <f t="shared" si="385"/>
        <v>54.239999999999995</v>
      </c>
      <c r="N142" s="8881"/>
      <c r="O142" s="4105">
        <v>12.3</v>
      </c>
      <c r="P142" s="8888"/>
      <c r="Q142" s="4109">
        <f t="shared" si="386"/>
        <v>66.539999999999992</v>
      </c>
      <c r="R142" s="8881"/>
      <c r="S142" s="4105"/>
      <c r="T142" s="8888"/>
      <c r="U142" s="4109">
        <f t="shared" si="387"/>
        <v>66.539999999999992</v>
      </c>
      <c r="V142" s="8881"/>
      <c r="W142" s="4105"/>
      <c r="X142" s="8863"/>
      <c r="Y142" s="4113">
        <f t="shared" si="388"/>
        <v>66.539999999999992</v>
      </c>
      <c r="Z142" s="8866"/>
      <c r="AA142" s="6900">
        <f t="shared" si="389"/>
        <v>66.539999999999992</v>
      </c>
      <c r="AF142" s="8881"/>
      <c r="AG142" s="7606"/>
      <c r="AH142" s="8888"/>
      <c r="AI142" s="4109">
        <f t="shared" si="390"/>
        <v>0</v>
      </c>
      <c r="AJ142" s="8881"/>
      <c r="AK142" s="7758"/>
      <c r="AL142" s="8863"/>
      <c r="AM142" s="4113">
        <f t="shared" si="391"/>
        <v>0</v>
      </c>
      <c r="AN142" s="8866"/>
      <c r="AO142" s="6900">
        <f t="shared" si="392"/>
        <v>0</v>
      </c>
      <c r="AP142" s="8881"/>
      <c r="AQ142" s="8089"/>
      <c r="AR142" s="8888"/>
      <c r="AS142" s="4109">
        <f t="shared" si="393"/>
        <v>0</v>
      </c>
      <c r="AT142" s="8881"/>
      <c r="AU142" s="8167"/>
      <c r="AV142" s="8888"/>
      <c r="AW142" s="4109">
        <f t="shared" si="394"/>
        <v>0</v>
      </c>
      <c r="AX142" s="8881"/>
      <c r="AY142" s="8320"/>
      <c r="AZ142" s="8863"/>
      <c r="BA142" s="4113">
        <f t="shared" si="395"/>
        <v>0</v>
      </c>
      <c r="BB142" s="8863"/>
      <c r="BC142" s="4113">
        <f t="shared" si="396"/>
        <v>0</v>
      </c>
      <c r="BD142" s="8866"/>
      <c r="BE142" s="6900">
        <f t="shared" si="397"/>
        <v>0</v>
      </c>
    </row>
    <row r="143" spans="2:57" ht="15" hidden="1" customHeight="1" x14ac:dyDescent="0.2">
      <c r="B143" s="2837" t="s">
        <v>1282</v>
      </c>
      <c r="C143" s="2708" t="s">
        <v>170</v>
      </c>
      <c r="D143" s="8892"/>
      <c r="E143" s="2743">
        <v>7.8</v>
      </c>
      <c r="F143" s="8893"/>
      <c r="G143" s="4460">
        <v>2.4</v>
      </c>
      <c r="H143" s="8888"/>
      <c r="I143" s="4469">
        <f t="shared" si="384"/>
        <v>10.199999999999999</v>
      </c>
      <c r="J143" s="8893"/>
      <c r="K143" s="4105">
        <v>0</v>
      </c>
      <c r="L143" s="8863"/>
      <c r="M143" s="4113">
        <f t="shared" si="385"/>
        <v>10.199999999999999</v>
      </c>
      <c r="N143" s="8881"/>
      <c r="O143" s="4105">
        <v>3.38</v>
      </c>
      <c r="P143" s="8888"/>
      <c r="Q143" s="4115">
        <f t="shared" si="386"/>
        <v>13.579999999999998</v>
      </c>
      <c r="R143" s="8881"/>
      <c r="S143" s="4105"/>
      <c r="T143" s="8888"/>
      <c r="U143" s="4115">
        <f t="shared" si="387"/>
        <v>13.579999999999998</v>
      </c>
      <c r="V143" s="8881"/>
      <c r="W143" s="4105"/>
      <c r="X143" s="8863"/>
      <c r="Y143" s="4113">
        <f t="shared" si="388"/>
        <v>13.579999999999998</v>
      </c>
      <c r="Z143" s="8866"/>
      <c r="AA143" s="7004">
        <f t="shared" si="389"/>
        <v>13.579999999999998</v>
      </c>
      <c r="AF143" s="8881"/>
      <c r="AG143" s="7606"/>
      <c r="AH143" s="8888"/>
      <c r="AI143" s="4115">
        <f t="shared" si="390"/>
        <v>0</v>
      </c>
      <c r="AJ143" s="8881"/>
      <c r="AK143" s="7758"/>
      <c r="AL143" s="8863"/>
      <c r="AM143" s="4113">
        <f t="shared" si="391"/>
        <v>0</v>
      </c>
      <c r="AN143" s="8866"/>
      <c r="AO143" s="7004">
        <f t="shared" si="392"/>
        <v>0</v>
      </c>
      <c r="AP143" s="8881"/>
      <c r="AQ143" s="8089"/>
      <c r="AR143" s="8888"/>
      <c r="AS143" s="4115">
        <f t="shared" si="393"/>
        <v>0</v>
      </c>
      <c r="AT143" s="8881"/>
      <c r="AU143" s="8167"/>
      <c r="AV143" s="8888"/>
      <c r="AW143" s="4115">
        <f t="shared" si="394"/>
        <v>0</v>
      </c>
      <c r="AX143" s="8881"/>
      <c r="AY143" s="8320"/>
      <c r="AZ143" s="8863"/>
      <c r="BA143" s="4113">
        <f t="shared" si="395"/>
        <v>0</v>
      </c>
      <c r="BB143" s="8863"/>
      <c r="BC143" s="4113">
        <f t="shared" si="396"/>
        <v>0</v>
      </c>
      <c r="BD143" s="8866"/>
      <c r="BE143" s="7004">
        <f t="shared" si="397"/>
        <v>0</v>
      </c>
    </row>
    <row r="144" spans="2:57" ht="15" hidden="1" customHeight="1" x14ac:dyDescent="0.2">
      <c r="B144" s="1543" t="s">
        <v>1312</v>
      </c>
      <c r="C144" s="1923" t="s">
        <v>170</v>
      </c>
      <c r="D144" s="8892"/>
      <c r="E144" s="2743">
        <v>18.48</v>
      </c>
      <c r="F144" s="8893"/>
      <c r="G144" s="4460">
        <v>26.9</v>
      </c>
      <c r="H144" s="8888"/>
      <c r="I144" s="4469">
        <f t="shared" si="384"/>
        <v>45.379999999999995</v>
      </c>
      <c r="J144" s="8893"/>
      <c r="K144" s="4105">
        <v>6.36</v>
      </c>
      <c r="L144" s="8863"/>
      <c r="M144" s="4113">
        <f t="shared" si="385"/>
        <v>51.739999999999995</v>
      </c>
      <c r="N144" s="8881"/>
      <c r="O144" s="4105">
        <v>22.4</v>
      </c>
      <c r="P144" s="8888"/>
      <c r="Q144" s="4109">
        <f t="shared" si="386"/>
        <v>74.139999999999986</v>
      </c>
      <c r="R144" s="8881"/>
      <c r="S144" s="4105"/>
      <c r="T144" s="8888"/>
      <c r="U144" s="4109">
        <f t="shared" si="387"/>
        <v>74.139999999999986</v>
      </c>
      <c r="V144" s="8881"/>
      <c r="W144" s="4105"/>
      <c r="X144" s="8863"/>
      <c r="Y144" s="4113">
        <f t="shared" si="388"/>
        <v>74.139999999999986</v>
      </c>
      <c r="Z144" s="8866"/>
      <c r="AA144" s="6900">
        <f t="shared" si="389"/>
        <v>74.139999999999986</v>
      </c>
      <c r="AF144" s="8881"/>
      <c r="AG144" s="7606"/>
      <c r="AH144" s="8888"/>
      <c r="AI144" s="4109">
        <f t="shared" si="390"/>
        <v>0</v>
      </c>
      <c r="AJ144" s="8881"/>
      <c r="AK144" s="7758"/>
      <c r="AL144" s="8863"/>
      <c r="AM144" s="4113">
        <f t="shared" si="391"/>
        <v>0</v>
      </c>
      <c r="AN144" s="8866"/>
      <c r="AO144" s="6900">
        <f t="shared" si="392"/>
        <v>0</v>
      </c>
      <c r="AP144" s="8881"/>
      <c r="AQ144" s="8089"/>
      <c r="AR144" s="8888"/>
      <c r="AS144" s="4109">
        <f t="shared" si="393"/>
        <v>0</v>
      </c>
      <c r="AT144" s="8881"/>
      <c r="AU144" s="8167"/>
      <c r="AV144" s="8888"/>
      <c r="AW144" s="4109">
        <f t="shared" si="394"/>
        <v>0</v>
      </c>
      <c r="AX144" s="8881"/>
      <c r="AY144" s="8320"/>
      <c r="AZ144" s="8863"/>
      <c r="BA144" s="4113">
        <f t="shared" si="395"/>
        <v>0</v>
      </c>
      <c r="BB144" s="8863"/>
      <c r="BC144" s="4113">
        <f t="shared" si="396"/>
        <v>0</v>
      </c>
      <c r="BD144" s="8866"/>
      <c r="BE144" s="6900">
        <f t="shared" si="397"/>
        <v>0</v>
      </c>
    </row>
    <row r="145" spans="2:57" ht="15" hidden="1" customHeight="1" x14ac:dyDescent="0.2">
      <c r="B145" s="1546" t="s">
        <v>1313</v>
      </c>
      <c r="C145" s="2708" t="s">
        <v>170</v>
      </c>
      <c r="D145" s="8892"/>
      <c r="E145" s="2743">
        <v>3.98</v>
      </c>
      <c r="F145" s="8893"/>
      <c r="G145" s="4460">
        <v>6.55</v>
      </c>
      <c r="H145" s="8888"/>
      <c r="I145" s="4469">
        <f t="shared" si="384"/>
        <v>10.53</v>
      </c>
      <c r="J145" s="8893"/>
      <c r="K145" s="4105">
        <v>2.3849999999999998</v>
      </c>
      <c r="L145" s="8863"/>
      <c r="M145" s="4113">
        <f t="shared" si="385"/>
        <v>12.914999999999999</v>
      </c>
      <c r="N145" s="8881"/>
      <c r="O145" s="4105">
        <v>8.1999999999999993</v>
      </c>
      <c r="P145" s="8888"/>
      <c r="Q145" s="4109">
        <f t="shared" si="386"/>
        <v>21.114999999999998</v>
      </c>
      <c r="R145" s="8881"/>
      <c r="S145" s="4105"/>
      <c r="T145" s="8888"/>
      <c r="U145" s="4109">
        <f t="shared" si="387"/>
        <v>21.114999999999998</v>
      </c>
      <c r="V145" s="8881"/>
      <c r="W145" s="4105"/>
      <c r="X145" s="8863"/>
      <c r="Y145" s="4113">
        <f t="shared" si="388"/>
        <v>21.114999999999998</v>
      </c>
      <c r="Z145" s="8866"/>
      <c r="AA145" s="6900">
        <f t="shared" si="389"/>
        <v>21.114999999999998</v>
      </c>
      <c r="AF145" s="8881"/>
      <c r="AG145" s="7606"/>
      <c r="AH145" s="8888"/>
      <c r="AI145" s="4109">
        <f t="shared" si="390"/>
        <v>0</v>
      </c>
      <c r="AJ145" s="8881"/>
      <c r="AK145" s="7758"/>
      <c r="AL145" s="8863"/>
      <c r="AM145" s="4113">
        <f t="shared" si="391"/>
        <v>0</v>
      </c>
      <c r="AN145" s="8866"/>
      <c r="AO145" s="6900">
        <f t="shared" si="392"/>
        <v>0</v>
      </c>
      <c r="AP145" s="8881"/>
      <c r="AQ145" s="8089"/>
      <c r="AR145" s="8888"/>
      <c r="AS145" s="4109">
        <f t="shared" si="393"/>
        <v>0</v>
      </c>
      <c r="AT145" s="8881"/>
      <c r="AU145" s="8167"/>
      <c r="AV145" s="8888"/>
      <c r="AW145" s="4109">
        <f t="shared" si="394"/>
        <v>0</v>
      </c>
      <c r="AX145" s="8881"/>
      <c r="AY145" s="8320"/>
      <c r="AZ145" s="8863"/>
      <c r="BA145" s="4113">
        <f t="shared" si="395"/>
        <v>0</v>
      </c>
      <c r="BB145" s="8863"/>
      <c r="BC145" s="4113">
        <f t="shared" si="396"/>
        <v>0</v>
      </c>
      <c r="BD145" s="8866"/>
      <c r="BE145" s="6900">
        <f t="shared" si="397"/>
        <v>0</v>
      </c>
    </row>
    <row r="146" spans="2:57" ht="15" hidden="1" customHeight="1" x14ac:dyDescent="0.2">
      <c r="B146" s="3173" t="s">
        <v>1390</v>
      </c>
      <c r="C146" s="1923" t="s">
        <v>170</v>
      </c>
      <c r="D146" s="8892"/>
      <c r="E146" s="2743">
        <v>49.5</v>
      </c>
      <c r="F146" s="8893"/>
      <c r="G146" s="4460">
        <v>64</v>
      </c>
      <c r="H146" s="8888"/>
      <c r="I146" s="4470">
        <f t="shared" si="384"/>
        <v>113.5</v>
      </c>
      <c r="J146" s="8893"/>
      <c r="K146" s="4111">
        <v>0</v>
      </c>
      <c r="L146" s="8863"/>
      <c r="M146" s="4114">
        <f t="shared" si="385"/>
        <v>113.5</v>
      </c>
      <c r="N146" s="8881"/>
      <c r="O146" s="4111">
        <v>51.5</v>
      </c>
      <c r="P146" s="8888"/>
      <c r="Q146" s="4110">
        <f t="shared" si="386"/>
        <v>165</v>
      </c>
      <c r="R146" s="8881"/>
      <c r="S146" s="4111"/>
      <c r="T146" s="8888"/>
      <c r="U146" s="4110">
        <f t="shared" si="387"/>
        <v>165</v>
      </c>
      <c r="V146" s="8881"/>
      <c r="W146" s="4111"/>
      <c r="X146" s="8863"/>
      <c r="Y146" s="4114">
        <f t="shared" si="388"/>
        <v>165</v>
      </c>
      <c r="Z146" s="8866"/>
      <c r="AA146" s="7005">
        <f t="shared" si="389"/>
        <v>165</v>
      </c>
      <c r="AF146" s="8881"/>
      <c r="AG146" s="4111"/>
      <c r="AH146" s="8888"/>
      <c r="AI146" s="4110">
        <f t="shared" si="390"/>
        <v>0</v>
      </c>
      <c r="AJ146" s="8881"/>
      <c r="AK146" s="4111"/>
      <c r="AL146" s="8863"/>
      <c r="AM146" s="4114">
        <f t="shared" si="391"/>
        <v>0</v>
      </c>
      <c r="AN146" s="8866"/>
      <c r="AO146" s="7005">
        <f t="shared" si="392"/>
        <v>0</v>
      </c>
      <c r="AP146" s="8881"/>
      <c r="AQ146" s="4111"/>
      <c r="AR146" s="8888"/>
      <c r="AS146" s="4110">
        <f t="shared" si="393"/>
        <v>0</v>
      </c>
      <c r="AT146" s="8881"/>
      <c r="AU146" s="4111"/>
      <c r="AV146" s="8888"/>
      <c r="AW146" s="4110">
        <f t="shared" si="394"/>
        <v>0</v>
      </c>
      <c r="AX146" s="8881"/>
      <c r="AY146" s="4111"/>
      <c r="AZ146" s="8863"/>
      <c r="BA146" s="4114">
        <f t="shared" si="395"/>
        <v>0</v>
      </c>
      <c r="BB146" s="8863"/>
      <c r="BC146" s="4114">
        <f t="shared" si="396"/>
        <v>0</v>
      </c>
      <c r="BD146" s="8866"/>
      <c r="BE146" s="7005">
        <f t="shared" si="397"/>
        <v>0</v>
      </c>
    </row>
    <row r="147" spans="2:57" ht="15.75" hidden="1" customHeight="1" thickBot="1" x14ac:dyDescent="0.25">
      <c r="B147" s="3172" t="s">
        <v>1397</v>
      </c>
      <c r="C147" s="3171" t="s">
        <v>170</v>
      </c>
      <c r="D147" s="8892"/>
      <c r="E147" s="2743">
        <v>0</v>
      </c>
      <c r="F147" s="8893"/>
      <c r="G147" s="4461">
        <v>0</v>
      </c>
      <c r="H147" s="8889"/>
      <c r="I147" s="4470">
        <f t="shared" si="384"/>
        <v>0</v>
      </c>
      <c r="J147" s="8893"/>
      <c r="K147" s="3938"/>
      <c r="L147" s="8864"/>
      <c r="M147" s="4114"/>
      <c r="N147" s="8882"/>
      <c r="O147" s="3938"/>
      <c r="P147" s="8889"/>
      <c r="Q147" s="4110"/>
      <c r="R147" s="8882"/>
      <c r="S147" s="3938"/>
      <c r="T147" s="8889"/>
      <c r="U147" s="4110"/>
      <c r="V147" s="8882"/>
      <c r="W147" s="3938"/>
      <c r="X147" s="8864"/>
      <c r="Y147" s="4114"/>
      <c r="Z147" s="8867"/>
      <c r="AA147" s="7005"/>
      <c r="AF147" s="8882"/>
      <c r="AG147" s="3938"/>
      <c r="AH147" s="8889"/>
      <c r="AI147" s="4110"/>
      <c r="AJ147" s="8882"/>
      <c r="AK147" s="3938"/>
      <c r="AL147" s="8864"/>
      <c r="AM147" s="4114"/>
      <c r="AN147" s="8867"/>
      <c r="AO147" s="7005"/>
      <c r="AP147" s="8882"/>
      <c r="AQ147" s="3938"/>
      <c r="AR147" s="8889"/>
      <c r="AS147" s="4110"/>
      <c r="AT147" s="8882"/>
      <c r="AU147" s="3938"/>
      <c r="AV147" s="8889"/>
      <c r="AW147" s="4110"/>
      <c r="AX147" s="8882"/>
      <c r="AY147" s="3938"/>
      <c r="AZ147" s="8864"/>
      <c r="BA147" s="4114"/>
      <c r="BB147" s="8864"/>
      <c r="BC147" s="4114"/>
      <c r="BD147" s="8867"/>
      <c r="BE147" s="7005"/>
    </row>
    <row r="148" spans="2:57" hidden="1" x14ac:dyDescent="0.2">
      <c r="AF148" s="7598"/>
      <c r="AG148" s="7598"/>
      <c r="AH148" s="7598"/>
      <c r="AI148" s="7598"/>
      <c r="AJ148" s="7744"/>
      <c r="AK148" s="7744"/>
      <c r="AL148" s="7744"/>
      <c r="AM148" s="7744"/>
      <c r="AN148" s="7744"/>
      <c r="AO148" s="7744"/>
      <c r="AP148" s="8077"/>
      <c r="AQ148" s="8077"/>
      <c r="AR148" s="8077"/>
      <c r="AS148" s="8077"/>
      <c r="AT148" s="8143"/>
      <c r="AU148" s="8143"/>
      <c r="AV148" s="8143"/>
      <c r="AW148" s="8143"/>
    </row>
    <row r="149" spans="2:57" hidden="1" x14ac:dyDescent="0.2">
      <c r="AF149" s="7598"/>
      <c r="AG149" s="7598"/>
      <c r="AH149" s="7598"/>
      <c r="AI149" s="7598"/>
      <c r="AJ149" s="7744"/>
      <c r="AK149" s="7744"/>
      <c r="AL149" s="7744"/>
      <c r="AM149" s="7744"/>
      <c r="AN149" s="7744"/>
      <c r="AO149" s="7744"/>
      <c r="AP149" s="8077"/>
      <c r="AQ149" s="8077"/>
      <c r="AR149" s="8077"/>
      <c r="AS149" s="8077"/>
      <c r="AT149" s="8143"/>
      <c r="AU149" s="8143"/>
      <c r="AV149" s="8143"/>
      <c r="AW149" s="8143"/>
    </row>
    <row r="150" spans="2:57" hidden="1" x14ac:dyDescent="0.2">
      <c r="AF150" s="7598"/>
      <c r="AG150" s="7598"/>
      <c r="AH150" s="7598"/>
      <c r="AI150" s="7598"/>
      <c r="AJ150" s="7744"/>
      <c r="AK150" s="7744"/>
      <c r="AL150" s="7744"/>
      <c r="AM150" s="7744"/>
      <c r="AN150" s="7744"/>
      <c r="AO150" s="7744"/>
      <c r="AP150" s="8077"/>
      <c r="AQ150" s="8077"/>
      <c r="AR150" s="8077"/>
      <c r="AS150" s="8077"/>
      <c r="AT150" s="8143"/>
      <c r="AU150" s="8143"/>
      <c r="AV150" s="8143"/>
      <c r="AW150" s="8143"/>
    </row>
    <row r="151" spans="2:57" hidden="1" x14ac:dyDescent="0.2">
      <c r="AF151" s="7598"/>
      <c r="AG151" s="7598"/>
      <c r="AH151" s="7598"/>
      <c r="AI151" s="7598"/>
      <c r="AJ151" s="7744"/>
      <c r="AK151" s="7744"/>
      <c r="AL151" s="7744"/>
      <c r="AM151" s="7744"/>
      <c r="AN151" s="7744"/>
      <c r="AO151" s="7744"/>
      <c r="AP151" s="8077"/>
      <c r="AQ151" s="8077"/>
      <c r="AR151" s="8077"/>
      <c r="AS151" s="8077"/>
      <c r="AT151" s="8143"/>
      <c r="AU151" s="8143"/>
      <c r="AV151" s="8143"/>
      <c r="AW151" s="8143"/>
    </row>
    <row r="152" spans="2:57" hidden="1" x14ac:dyDescent="0.2">
      <c r="AF152" s="7598"/>
      <c r="AG152" s="7598"/>
      <c r="AH152" s="7598"/>
      <c r="AI152" s="7598"/>
      <c r="AJ152" s="7744"/>
      <c r="AK152" s="7744"/>
      <c r="AL152" s="7744"/>
      <c r="AM152" s="7744"/>
      <c r="AN152" s="7744"/>
      <c r="AO152" s="7744"/>
      <c r="AP152" s="8077"/>
      <c r="AQ152" s="8077"/>
      <c r="AR152" s="8077"/>
      <c r="AS152" s="8077"/>
      <c r="AT152" s="8143"/>
      <c r="AU152" s="8143"/>
      <c r="AV152" s="8143"/>
      <c r="AW152" s="8143"/>
    </row>
    <row r="153" spans="2:57" hidden="1" x14ac:dyDescent="0.2">
      <c r="AF153" s="7598"/>
      <c r="AG153" s="7598"/>
      <c r="AH153" s="7598"/>
      <c r="AI153" s="7598"/>
      <c r="AJ153" s="7744"/>
      <c r="AK153" s="7744"/>
      <c r="AL153" s="7744"/>
      <c r="AM153" s="7744"/>
      <c r="AN153" s="7744"/>
      <c r="AO153" s="7744"/>
      <c r="AP153" s="8077"/>
      <c r="AQ153" s="8077"/>
      <c r="AR153" s="8077"/>
      <c r="AS153" s="8077"/>
      <c r="AT153" s="8143"/>
      <c r="AU153" s="8143"/>
      <c r="AV153" s="8143"/>
      <c r="AW153" s="8143"/>
    </row>
    <row r="154" spans="2:57" hidden="1" x14ac:dyDescent="0.2">
      <c r="AF154" s="7598"/>
      <c r="AG154" s="7598"/>
      <c r="AH154" s="7598"/>
      <c r="AI154" s="7598"/>
      <c r="AJ154" s="7744"/>
      <c r="AK154" s="7744"/>
      <c r="AL154" s="7744"/>
      <c r="AM154" s="7744"/>
      <c r="AN154" s="7744"/>
      <c r="AO154" s="7744"/>
      <c r="AP154" s="8077"/>
      <c r="AQ154" s="8077"/>
      <c r="AR154" s="8077"/>
      <c r="AS154" s="8077"/>
      <c r="AT154" s="8143"/>
      <c r="AU154" s="8143"/>
      <c r="AV154" s="8143"/>
      <c r="AW154" s="8143"/>
    </row>
    <row r="155" spans="2:57" hidden="1" x14ac:dyDescent="0.2">
      <c r="AF155" s="7598"/>
      <c r="AG155" s="7598"/>
      <c r="AH155" s="7598"/>
      <c r="AI155" s="7598"/>
      <c r="AJ155" s="7744"/>
      <c r="AK155" s="7744"/>
      <c r="AL155" s="7744"/>
      <c r="AM155" s="7744"/>
      <c r="AN155" s="7744"/>
      <c r="AO155" s="7744"/>
      <c r="AP155" s="8077"/>
      <c r="AQ155" s="8077"/>
      <c r="AR155" s="8077"/>
      <c r="AS155" s="8077"/>
      <c r="AT155" s="8143"/>
      <c r="AU155" s="8143"/>
      <c r="AV155" s="8143"/>
      <c r="AW155" s="8143"/>
    </row>
    <row r="156" spans="2:57" hidden="1" x14ac:dyDescent="0.2">
      <c r="AF156" s="7598"/>
      <c r="AG156" s="7598"/>
      <c r="AH156" s="7598"/>
      <c r="AI156" s="7598"/>
      <c r="AJ156" s="7744"/>
      <c r="AK156" s="7744"/>
      <c r="AL156" s="7744"/>
      <c r="AM156" s="7744"/>
      <c r="AN156" s="7744"/>
      <c r="AO156" s="7744"/>
      <c r="AP156" s="8077"/>
      <c r="AQ156" s="8077"/>
      <c r="AR156" s="8077"/>
      <c r="AS156" s="8077"/>
      <c r="AT156" s="8143"/>
      <c r="AU156" s="8143"/>
      <c r="AV156" s="8143"/>
      <c r="AW156" s="8143"/>
    </row>
    <row r="157" spans="2:57" hidden="1" x14ac:dyDescent="0.2">
      <c r="AF157" s="7598"/>
      <c r="AG157" s="7598"/>
      <c r="AH157" s="7598"/>
      <c r="AI157" s="7598"/>
      <c r="AJ157" s="7744"/>
      <c r="AK157" s="7744"/>
      <c r="AL157" s="7744"/>
      <c r="AM157" s="7744"/>
      <c r="AN157" s="7744"/>
      <c r="AO157" s="7744"/>
      <c r="AP157" s="8077"/>
      <c r="AQ157" s="8077"/>
      <c r="AR157" s="8077"/>
      <c r="AS157" s="8077"/>
      <c r="AT157" s="8143"/>
      <c r="AU157" s="8143"/>
      <c r="AV157" s="8143"/>
      <c r="AW157" s="8143"/>
    </row>
    <row r="158" spans="2:57" hidden="1" x14ac:dyDescent="0.2">
      <c r="AF158" s="7598"/>
      <c r="AG158" s="7598"/>
      <c r="AH158" s="7598"/>
      <c r="AI158" s="7598"/>
      <c r="AJ158" s="7744"/>
      <c r="AK158" s="7744"/>
      <c r="AL158" s="7744"/>
      <c r="AM158" s="7744"/>
      <c r="AN158" s="7744"/>
      <c r="AO158" s="7744"/>
      <c r="AP158" s="8077"/>
      <c r="AQ158" s="8077"/>
      <c r="AR158" s="8077"/>
      <c r="AS158" s="8077"/>
      <c r="AT158" s="8143"/>
      <c r="AU158" s="8143"/>
      <c r="AV158" s="8143"/>
      <c r="AW158" s="8143"/>
    </row>
    <row r="159" spans="2:57" ht="24" hidden="1" x14ac:dyDescent="0.2">
      <c r="E159" s="4448"/>
      <c r="F159" s="4094"/>
      <c r="G159" s="4448"/>
      <c r="H159" s="4094"/>
      <c r="I159" s="4448"/>
      <c r="J159" s="4094"/>
      <c r="K159" s="4095"/>
      <c r="L159" s="4094"/>
      <c r="M159" s="4095"/>
      <c r="N159" s="4094"/>
      <c r="O159" s="4095"/>
      <c r="P159" s="4094"/>
      <c r="Q159" s="4095"/>
      <c r="R159" s="4095"/>
      <c r="AF159" s="4095"/>
      <c r="AG159" s="7598"/>
      <c r="AH159" s="7598"/>
      <c r="AI159" s="7598"/>
      <c r="AJ159" s="7744"/>
      <c r="AK159" s="7744"/>
      <c r="AL159" s="7744"/>
      <c r="AM159" s="7744"/>
      <c r="AN159" s="7744"/>
      <c r="AO159" s="7744"/>
      <c r="AP159" s="8077"/>
      <c r="AQ159" s="8077"/>
      <c r="AR159" s="8077"/>
      <c r="AS159" s="8077"/>
      <c r="AT159" s="8143"/>
      <c r="AU159" s="8143"/>
      <c r="AV159" s="8143"/>
      <c r="AW159" s="8143"/>
    </row>
    <row r="160" spans="2:57" ht="24" hidden="1" x14ac:dyDescent="0.2">
      <c r="E160" s="4448"/>
      <c r="F160" s="4094"/>
      <c r="G160" s="4448"/>
      <c r="H160" s="4094"/>
      <c r="I160" s="4448"/>
      <c r="J160" s="4094"/>
      <c r="K160" s="4095"/>
      <c r="L160" s="4094"/>
      <c r="M160" s="4095"/>
      <c r="N160" s="4094"/>
      <c r="O160" s="4095"/>
      <c r="P160" s="4094"/>
      <c r="Q160" s="4095"/>
      <c r="R160" s="4095"/>
      <c r="AF160" s="4095"/>
      <c r="AG160" s="7598"/>
      <c r="AH160" s="7598"/>
      <c r="AI160" s="7598"/>
      <c r="AJ160" s="7744"/>
      <c r="AK160" s="7744"/>
      <c r="AL160" s="7744"/>
      <c r="AM160" s="7744"/>
      <c r="AN160" s="7744"/>
      <c r="AO160" s="7744"/>
      <c r="AP160" s="8077"/>
      <c r="AQ160" s="8077"/>
      <c r="AR160" s="8077"/>
      <c r="AS160" s="8077"/>
      <c r="AT160" s="8143"/>
      <c r="AU160" s="8143"/>
      <c r="AV160" s="8143"/>
      <c r="AW160" s="8143"/>
    </row>
    <row r="161" spans="2:57" ht="24" x14ac:dyDescent="0.25">
      <c r="B161" s="7936" t="s">
        <v>2490</v>
      </c>
      <c r="C161" s="7935"/>
      <c r="E161" s="4448"/>
      <c r="F161" s="4094"/>
      <c r="G161" s="4448"/>
      <c r="H161" s="4094"/>
      <c r="I161" s="4448"/>
      <c r="J161" s="4094"/>
      <c r="K161" s="4095"/>
      <c r="L161" s="4094"/>
      <c r="M161" s="4095"/>
      <c r="N161" s="4094"/>
      <c r="O161" s="4095"/>
      <c r="P161" s="4094"/>
      <c r="Q161" s="4095"/>
      <c r="R161" s="4095"/>
      <c r="AF161" s="4095"/>
      <c r="AG161" s="7598"/>
      <c r="AH161" s="7598"/>
      <c r="AI161" s="7598"/>
      <c r="AJ161" s="7744"/>
      <c r="AK161" s="7744"/>
      <c r="AL161" s="7744"/>
      <c r="AM161" s="7744"/>
      <c r="AN161" s="7744"/>
      <c r="AO161" s="7744"/>
      <c r="AP161" s="8077"/>
      <c r="AQ161" s="8077"/>
      <c r="AR161" s="8077"/>
      <c r="AS161" s="8077"/>
      <c r="AT161" s="8143"/>
      <c r="AU161" s="8143"/>
      <c r="AV161" s="8143"/>
      <c r="AW161" s="8143"/>
    </row>
    <row r="162" spans="2:57" ht="24" x14ac:dyDescent="0.25">
      <c r="B162" s="7935" t="s">
        <v>732</v>
      </c>
      <c r="C162" s="7935"/>
      <c r="E162" s="4449"/>
      <c r="F162" s="4092"/>
      <c r="G162" s="4449"/>
      <c r="H162" s="4092"/>
      <c r="I162" s="4449"/>
      <c r="J162" s="4092"/>
      <c r="K162" s="4093"/>
      <c r="L162" s="4092"/>
      <c r="M162" s="4093"/>
      <c r="N162" s="4092"/>
      <c r="O162" s="4093"/>
      <c r="P162" s="4092"/>
      <c r="Q162" s="4093"/>
      <c r="R162" s="4093"/>
      <c r="AF162" s="4093"/>
      <c r="AG162" s="7598"/>
      <c r="AH162" s="7598"/>
      <c r="AI162" s="7598"/>
      <c r="AJ162" s="7744"/>
      <c r="AK162" s="7744"/>
      <c r="AL162" s="7744"/>
      <c r="AM162" s="7744"/>
      <c r="AN162" s="7744"/>
      <c r="AO162" s="7744"/>
      <c r="AP162" s="8077"/>
      <c r="AQ162" s="8077"/>
      <c r="AR162" s="8077"/>
      <c r="AS162" s="8077"/>
      <c r="AT162" s="8143"/>
      <c r="AU162" s="8143"/>
      <c r="AV162" s="8143"/>
      <c r="AW162" s="8143"/>
    </row>
    <row r="163" spans="2:57" ht="19" x14ac:dyDescent="0.25">
      <c r="B163" s="7935" t="s">
        <v>2489</v>
      </c>
      <c r="C163" s="7937" t="s">
        <v>170</v>
      </c>
      <c r="D163" s="7903"/>
      <c r="E163" s="4439">
        <f>+E65</f>
        <v>4239</v>
      </c>
      <c r="F163" s="7903"/>
      <c r="G163" s="4439">
        <f>+G65</f>
        <v>6486</v>
      </c>
      <c r="H163" s="5478"/>
      <c r="I163" s="4844">
        <f>+I65</f>
        <v>10725</v>
      </c>
      <c r="J163" s="7903"/>
      <c r="K163" s="4439">
        <f>+K65</f>
        <v>2610.8000000000002</v>
      </c>
      <c r="L163" s="4039"/>
      <c r="M163" s="4879">
        <f>+M65</f>
        <v>13335.8</v>
      </c>
      <c r="N163" s="7903"/>
      <c r="O163" s="4865">
        <f>+O65</f>
        <v>1017.5</v>
      </c>
      <c r="P163" s="5478"/>
      <c r="Q163" s="4844">
        <f>+Q65</f>
        <v>14353.3</v>
      </c>
      <c r="R163" s="7903"/>
      <c r="S163" s="4865">
        <f>+S65</f>
        <v>2411</v>
      </c>
      <c r="T163" s="5478"/>
      <c r="U163" s="4844">
        <f>+U65</f>
        <v>16764.3</v>
      </c>
      <c r="V163" s="7903"/>
      <c r="W163" s="4865">
        <f>+W65</f>
        <v>1258</v>
      </c>
      <c r="X163" s="7904"/>
      <c r="Y163" s="6140">
        <f>+Y65</f>
        <v>4686.5</v>
      </c>
      <c r="Z163" s="6969"/>
      <c r="AA163" s="6970">
        <f>+AA65</f>
        <v>18022.3</v>
      </c>
      <c r="AB163" s="7903"/>
      <c r="AC163" s="4865">
        <f>+AC65</f>
        <v>1436</v>
      </c>
      <c r="AD163" s="5478"/>
      <c r="AE163" s="4844">
        <f>+AE65</f>
        <v>19458.3</v>
      </c>
      <c r="AF163" s="7903"/>
      <c r="AG163" s="4865">
        <f>+AG65</f>
        <v>3059</v>
      </c>
      <c r="AH163" s="5478"/>
      <c r="AI163" s="4844">
        <f>+AI65</f>
        <v>22517.3</v>
      </c>
      <c r="AJ163" s="7903"/>
      <c r="AK163" s="4865">
        <f>+AK65</f>
        <v>975</v>
      </c>
      <c r="AL163" s="7904"/>
      <c r="AM163" s="6140">
        <f>+AM65</f>
        <v>5470</v>
      </c>
      <c r="AN163" s="5478"/>
      <c r="AO163" s="4844">
        <f>+AO65</f>
        <v>23492.3</v>
      </c>
      <c r="AP163" s="8085"/>
      <c r="AQ163" s="4865">
        <f>+AQ65</f>
        <v>3297</v>
      </c>
      <c r="AR163" s="5478"/>
      <c r="AS163" s="4844">
        <f>+AS65</f>
        <v>26789.3</v>
      </c>
      <c r="AT163" s="8161"/>
      <c r="AU163" s="4865">
        <f>+AU65</f>
        <v>3807</v>
      </c>
      <c r="AV163" s="5478"/>
      <c r="AW163" s="4844">
        <f>+AW65</f>
        <v>30596.3</v>
      </c>
      <c r="AX163" s="8287"/>
      <c r="AY163" s="4865">
        <f>+AY65</f>
        <v>2550</v>
      </c>
      <c r="AZ163" s="8297"/>
      <c r="BA163" s="6140">
        <f>+BA65</f>
        <v>9654</v>
      </c>
      <c r="BB163" s="8297"/>
      <c r="BC163" s="6140">
        <f>+BC65</f>
        <v>15124</v>
      </c>
      <c r="BD163" s="6969"/>
      <c r="BE163" s="6970">
        <f>+BE65</f>
        <v>33146.300000000003</v>
      </c>
    </row>
    <row r="164" spans="2:57" ht="19" x14ac:dyDescent="0.25">
      <c r="B164" s="7935" t="s">
        <v>2491</v>
      </c>
      <c r="C164" s="7937" t="s">
        <v>169</v>
      </c>
      <c r="D164" s="7903"/>
      <c r="E164" s="4439">
        <v>20</v>
      </c>
      <c r="F164" s="7903"/>
      <c r="G164" s="4439">
        <v>20</v>
      </c>
      <c r="H164" s="5478"/>
      <c r="I164" s="4844">
        <v>20</v>
      </c>
      <c r="J164" s="7903"/>
      <c r="K164" s="4439">
        <v>20</v>
      </c>
      <c r="L164" s="4039"/>
      <c r="M164" s="4879">
        <v>20</v>
      </c>
      <c r="N164" s="7903"/>
      <c r="O164" s="4865">
        <v>20</v>
      </c>
      <c r="P164" s="5478"/>
      <c r="Q164" s="4844">
        <v>20</v>
      </c>
      <c r="R164" s="7903"/>
      <c r="S164" s="4865">
        <v>20</v>
      </c>
      <c r="T164" s="5478"/>
      <c r="U164" s="4844">
        <v>20</v>
      </c>
      <c r="V164" s="7903"/>
      <c r="W164" s="4865">
        <v>20</v>
      </c>
      <c r="X164" s="7904"/>
      <c r="Y164" s="6140">
        <v>20</v>
      </c>
      <c r="Z164" s="6969"/>
      <c r="AA164" s="6970">
        <v>20</v>
      </c>
      <c r="AB164" s="7903"/>
      <c r="AC164" s="4865">
        <v>20</v>
      </c>
      <c r="AD164" s="5478"/>
      <c r="AE164" s="4844">
        <v>20</v>
      </c>
      <c r="AF164" s="7903"/>
      <c r="AG164" s="4865">
        <v>20</v>
      </c>
      <c r="AH164" s="5478"/>
      <c r="AI164" s="4844">
        <v>20</v>
      </c>
      <c r="AJ164" s="7903"/>
      <c r="AK164" s="4865">
        <v>20</v>
      </c>
      <c r="AL164" s="7904"/>
      <c r="AM164" s="6140">
        <v>20</v>
      </c>
      <c r="AN164" s="5478"/>
      <c r="AO164" s="4844">
        <v>20</v>
      </c>
      <c r="AP164" s="8085"/>
      <c r="AQ164" s="4865">
        <v>20</v>
      </c>
      <c r="AR164" s="5478"/>
      <c r="AS164" s="4844">
        <v>20</v>
      </c>
      <c r="AT164" s="8161"/>
      <c r="AU164" s="4865">
        <v>20</v>
      </c>
      <c r="AV164" s="5478"/>
      <c r="AW164" s="4844">
        <v>20</v>
      </c>
      <c r="AX164" s="8287"/>
      <c r="AY164" s="4865">
        <v>20</v>
      </c>
      <c r="AZ164" s="8297"/>
      <c r="BA164" s="6140">
        <v>20</v>
      </c>
      <c r="BB164" s="8297"/>
      <c r="BC164" s="6140">
        <v>20</v>
      </c>
      <c r="BD164" s="6969"/>
      <c r="BE164" s="6970">
        <v>20</v>
      </c>
    </row>
    <row r="165" spans="2:57" ht="19" x14ac:dyDescent="0.25">
      <c r="B165" s="7935" t="s">
        <v>2483</v>
      </c>
      <c r="C165" s="7937" t="s">
        <v>170</v>
      </c>
      <c r="D165" s="7903"/>
      <c r="E165" s="4439">
        <f>+E163/(100-E164)*E164</f>
        <v>1059.75</v>
      </c>
      <c r="F165" s="7903"/>
      <c r="G165" s="4439">
        <f>+G163/(100-G164)*G164</f>
        <v>1621.5</v>
      </c>
      <c r="H165" s="5478"/>
      <c r="I165" s="4844">
        <f>+I163/(100-I164)*I164</f>
        <v>2681.25</v>
      </c>
      <c r="J165" s="7903"/>
      <c r="K165" s="4439">
        <f>+K163/(100-K164)*K164</f>
        <v>652.70000000000005</v>
      </c>
      <c r="L165" s="4039"/>
      <c r="M165" s="4879">
        <f>+M163/(100-M164)*M164</f>
        <v>3333.95</v>
      </c>
      <c r="N165" s="7903"/>
      <c r="O165" s="4865">
        <f>+O163/(100-O164)*O164</f>
        <v>254.375</v>
      </c>
      <c r="P165" s="5478"/>
      <c r="Q165" s="4844">
        <f>+Q163/(100-Q164)*Q164</f>
        <v>3588.3249999999998</v>
      </c>
      <c r="R165" s="7903"/>
      <c r="S165" s="4865">
        <f>+S163/(100-S164)*S164</f>
        <v>602.75</v>
      </c>
      <c r="T165" s="5478"/>
      <c r="U165" s="4844">
        <f>+U163/(100-U164)*U164</f>
        <v>4191.0749999999998</v>
      </c>
      <c r="V165" s="7903"/>
      <c r="W165" s="4865">
        <f>+W163/(100-W164)*W164</f>
        <v>314.5</v>
      </c>
      <c r="X165" s="7904"/>
      <c r="Y165" s="6140">
        <f>+Y163/(100-Y164)*Y164</f>
        <v>1171.625</v>
      </c>
      <c r="Z165" s="6969"/>
      <c r="AA165" s="6970">
        <f>+AA163/(100-AA164)*AA164</f>
        <v>4505.5749999999998</v>
      </c>
      <c r="AB165" s="7903"/>
      <c r="AC165" s="4865">
        <f>+AC163/(100-AC164)*AC164</f>
        <v>359</v>
      </c>
      <c r="AD165" s="5478"/>
      <c r="AE165" s="4844">
        <f>+AE163/(100-AE164)*AE164</f>
        <v>4864.5749999999998</v>
      </c>
      <c r="AF165" s="7903"/>
      <c r="AG165" s="4865">
        <f>+AG163/(100-AG164)*AG164</f>
        <v>764.75</v>
      </c>
      <c r="AH165" s="5478"/>
      <c r="AI165" s="4844">
        <f>+AI163/(100-AI164)*AI164</f>
        <v>5629.3249999999998</v>
      </c>
      <c r="AJ165" s="7903"/>
      <c r="AK165" s="4865">
        <f>+AK163/(100-AK164)*AK164</f>
        <v>243.75</v>
      </c>
      <c r="AL165" s="7904"/>
      <c r="AM165" s="6140">
        <f>+AM163/(100-AM164)*AM164</f>
        <v>1367.5</v>
      </c>
      <c r="AN165" s="5478"/>
      <c r="AO165" s="4844">
        <f>+AO163/(100-AO164)*AO164</f>
        <v>5873.0749999999998</v>
      </c>
      <c r="AP165" s="8085"/>
      <c r="AQ165" s="4865">
        <f>+AQ163/(100-AQ164)*AQ164</f>
        <v>824.25</v>
      </c>
      <c r="AR165" s="5478"/>
      <c r="AS165" s="4844">
        <f>+AS163/(100-AS164)*AS164</f>
        <v>6697.3249999999998</v>
      </c>
      <c r="AT165" s="8161"/>
      <c r="AU165" s="4865">
        <f>+AU163/(100-AU164)*AU164</f>
        <v>951.75</v>
      </c>
      <c r="AV165" s="5478"/>
      <c r="AW165" s="4844">
        <f>+AW163/(100-AW164)*AW164</f>
        <v>7649.0750000000007</v>
      </c>
      <c r="AX165" s="8287"/>
      <c r="AY165" s="4865">
        <f>+AY163/(100-AY164)*AY164</f>
        <v>637.5</v>
      </c>
      <c r="AZ165" s="8297"/>
      <c r="BA165" s="6140">
        <f>+BA163/(100-BA164)*BA164</f>
        <v>2413.5</v>
      </c>
      <c r="BB165" s="8297"/>
      <c r="BC165" s="6140">
        <f>+BC163/(100-BC164)*BC164</f>
        <v>3781</v>
      </c>
      <c r="BD165" s="6969"/>
      <c r="BE165" s="6970">
        <f>+BE163/(100-BE164)*BE164</f>
        <v>8286.5750000000007</v>
      </c>
    </row>
    <row r="166" spans="2:57" ht="19" x14ac:dyDescent="0.25">
      <c r="B166" s="7935" t="s">
        <v>97</v>
      </c>
      <c r="C166" s="7937" t="s">
        <v>170</v>
      </c>
      <c r="D166" s="7903"/>
      <c r="E166" s="4439">
        <f>+E163+E165</f>
        <v>5298.75</v>
      </c>
      <c r="F166" s="7903"/>
      <c r="G166" s="4439">
        <f>+G163+G165</f>
        <v>8107.5</v>
      </c>
      <c r="H166" s="5478"/>
      <c r="I166" s="4844">
        <f>+I163+I165</f>
        <v>13406.25</v>
      </c>
      <c r="J166" s="7903"/>
      <c r="K166" s="4439">
        <f>+K163+K165</f>
        <v>3263.5</v>
      </c>
      <c r="L166" s="4039"/>
      <c r="M166" s="4879">
        <f>+M163+M165</f>
        <v>16669.75</v>
      </c>
      <c r="N166" s="7903"/>
      <c r="O166" s="4865">
        <f>+O163+O165</f>
        <v>1271.875</v>
      </c>
      <c r="P166" s="5478"/>
      <c r="Q166" s="4844">
        <f>+Q163+Q165</f>
        <v>17941.625</v>
      </c>
      <c r="R166" s="7903"/>
      <c r="S166" s="4865">
        <f>+S163+S165</f>
        <v>3013.75</v>
      </c>
      <c r="T166" s="5478"/>
      <c r="U166" s="4844">
        <f>+U163+U165</f>
        <v>20955.375</v>
      </c>
      <c r="V166" s="7903"/>
      <c r="W166" s="4865">
        <f>+W163+W165</f>
        <v>1572.5</v>
      </c>
      <c r="X166" s="7904"/>
      <c r="Y166" s="6140">
        <f>+Y163+Y165</f>
        <v>5858.125</v>
      </c>
      <c r="Z166" s="6969"/>
      <c r="AA166" s="6970">
        <f>+AA163+AA165</f>
        <v>22527.875</v>
      </c>
      <c r="AB166" s="7903"/>
      <c r="AC166" s="4865">
        <f>+AC163+AC165</f>
        <v>1795</v>
      </c>
      <c r="AD166" s="5478"/>
      <c r="AE166" s="4844">
        <f>+AE163+AE165</f>
        <v>24322.875</v>
      </c>
      <c r="AF166" s="7903"/>
      <c r="AG166" s="4865">
        <f>+AG163+AG165</f>
        <v>3823.75</v>
      </c>
      <c r="AH166" s="5478"/>
      <c r="AI166" s="4844">
        <f>+AI163+AI165</f>
        <v>28146.625</v>
      </c>
      <c r="AJ166" s="7903"/>
      <c r="AK166" s="4865">
        <f>+AK163+AK165</f>
        <v>1218.75</v>
      </c>
      <c r="AL166" s="7904"/>
      <c r="AM166" s="6140">
        <f>+AM163+AM165</f>
        <v>6837.5</v>
      </c>
      <c r="AN166" s="5478"/>
      <c r="AO166" s="4844">
        <f>+AO163+AO165</f>
        <v>29365.375</v>
      </c>
      <c r="AP166" s="8085"/>
      <c r="AQ166" s="4865">
        <f>+AQ163+AQ165</f>
        <v>4121.25</v>
      </c>
      <c r="AR166" s="5478"/>
      <c r="AS166" s="4844">
        <f>+AS163+AS165</f>
        <v>33486.625</v>
      </c>
      <c r="AT166" s="8161"/>
      <c r="AU166" s="4865">
        <f>+AU163+AU165</f>
        <v>4758.75</v>
      </c>
      <c r="AV166" s="5478"/>
      <c r="AW166" s="4844">
        <f>+AW163+AW165</f>
        <v>38245.375</v>
      </c>
      <c r="AX166" s="8287"/>
      <c r="AY166" s="4865">
        <f>+AY163+AY165</f>
        <v>3187.5</v>
      </c>
      <c r="AZ166" s="8297"/>
      <c r="BA166" s="6140">
        <f>+BA163+BA165</f>
        <v>12067.5</v>
      </c>
      <c r="BB166" s="8297"/>
      <c r="BC166" s="6140">
        <f>+BC163+BC165</f>
        <v>18905</v>
      </c>
      <c r="BD166" s="6969"/>
      <c r="BE166" s="6970">
        <f>+BE163+BE165</f>
        <v>41432.875</v>
      </c>
    </row>
    <row r="167" spans="2:57" ht="19" x14ac:dyDescent="0.25">
      <c r="B167" s="7935" t="s">
        <v>698</v>
      </c>
      <c r="C167" s="7937" t="s">
        <v>169</v>
      </c>
      <c r="D167" s="7903"/>
      <c r="E167" s="4438">
        <f>+'B-FCE'!E118</f>
        <v>4</v>
      </c>
      <c r="F167" s="4036"/>
      <c r="G167" s="4438">
        <f>+'B-FCE'!G118</f>
        <v>4.0005620458468822</v>
      </c>
      <c r="H167" s="4042"/>
      <c r="I167" s="5625">
        <f>+'B-FCE'!I118</f>
        <v>4.0003034021676998</v>
      </c>
      <c r="J167" s="4036"/>
      <c r="K167" s="4438">
        <f>+'B-FCE'!K118</f>
        <v>3.9994642191198757</v>
      </c>
      <c r="L167" s="4043"/>
      <c r="M167" s="6144">
        <f>+'B-FCE'!M118</f>
        <v>4.0000025021719807</v>
      </c>
      <c r="N167" s="4036"/>
      <c r="O167" s="6166">
        <f>+'B-FCE'!O118</f>
        <v>4.0009020601461867</v>
      </c>
      <c r="P167" s="4042"/>
      <c r="Q167" s="5625">
        <f>+'B-FCE'!Q118</f>
        <v>4.000311778812331</v>
      </c>
      <c r="R167" s="4036"/>
      <c r="S167" s="6166">
        <f>+'B-FCE'!S118</f>
        <v>4.0002014580526559</v>
      </c>
      <c r="T167" s="4042"/>
      <c r="U167" s="5625">
        <f>+'B-FCE'!U118</f>
        <v>4.000282443690196</v>
      </c>
      <c r="V167" s="4036"/>
      <c r="W167" s="6166">
        <f>+'B-FCE'!W118</f>
        <v>0.99937688731246699</v>
      </c>
      <c r="X167" s="7975"/>
      <c r="Y167" s="6146">
        <f>+'B-FCE'!Y118</f>
        <v>3.3633541952882511</v>
      </c>
      <c r="Z167" s="6982"/>
      <c r="AA167" s="6968">
        <f>+'B-FCE'!AA118</f>
        <v>3.6324388930196601</v>
      </c>
      <c r="AB167" s="4036"/>
      <c r="AC167" s="6166">
        <f>+'B-FCE'!AC118</f>
        <v>4.0009173546826791</v>
      </c>
      <c r="AD167" s="4042"/>
      <c r="AE167" s="5625">
        <f>+'B-FCE'!AE118</f>
        <v>3.6779463891497626</v>
      </c>
      <c r="AF167" s="4036"/>
      <c r="AG167" s="6166">
        <f>+'B-FCE'!AG118</f>
        <v>3.9998812651201447</v>
      </c>
      <c r="AH167" s="4042"/>
      <c r="AI167" s="5625">
        <f>+'B-FCE'!AI118</f>
        <v>3.7255408956507017</v>
      </c>
      <c r="AJ167" s="4036"/>
      <c r="AK167" s="6166">
        <f>+'B-FCE'!AK118</f>
        <v>3.9995863388401975</v>
      </c>
      <c r="AL167" s="7975"/>
      <c r="AM167" s="6146">
        <f>+'B-FCE'!AM118</f>
        <v>4.0000207577621056</v>
      </c>
      <c r="AN167" s="4042"/>
      <c r="AO167" s="5625">
        <f>+'B-FCE'!AO118</f>
        <v>3.7653072587714611</v>
      </c>
      <c r="AP167" s="4036"/>
      <c r="AQ167" s="6166">
        <f>+'B-FCE'!AQ118</f>
        <v>3.9997073639765053</v>
      </c>
      <c r="AR167" s="4042"/>
      <c r="AS167" s="5625">
        <f>+'B-FCE'!AS118</f>
        <v>3.8009757862712337</v>
      </c>
      <c r="AT167" s="4036"/>
      <c r="AU167" s="6166">
        <f>+'B-FCE'!AU118</f>
        <v>3.9995065106941374</v>
      </c>
      <c r="AV167" s="4042"/>
      <c r="AW167" s="5625">
        <f>+'B-FCE'!AW118</f>
        <v>3.8256310850994386</v>
      </c>
      <c r="AX167" s="4036"/>
      <c r="AY167" s="6166">
        <f>+'B-FCE'!AY118</f>
        <v>-9.1396462578930251</v>
      </c>
      <c r="AZ167" s="7975"/>
      <c r="BA167" s="6146">
        <f>+'B-FCE'!BA118</f>
        <v>-0.27590838089954889</v>
      </c>
      <c r="BB167" s="7975"/>
      <c r="BC167" s="6146">
        <f>+'B-FCE'!BC118</f>
        <v>3.122653907808671</v>
      </c>
      <c r="BD167" s="6982"/>
      <c r="BE167" s="6968">
        <f>+'B-FCE'!BC118</f>
        <v>3.122653907808671</v>
      </c>
    </row>
    <row r="168" spans="2:57" ht="19" x14ac:dyDescent="0.25">
      <c r="B168" s="7935" t="s">
        <v>698</v>
      </c>
      <c r="C168" s="7937" t="s">
        <v>170</v>
      </c>
      <c r="D168" s="7903"/>
      <c r="E168" s="4439">
        <f>+E166/(100-E167)*E167</f>
        <v>220.78125</v>
      </c>
      <c r="F168" s="7903"/>
      <c r="G168" s="4439">
        <f>+G166/(100-G167)*G167</f>
        <v>337.86194458964974</v>
      </c>
      <c r="H168" s="5478"/>
      <c r="I168" s="4844">
        <f>+I166/(100-I167)*I167</f>
        <v>558.63788517975058</v>
      </c>
      <c r="J168" s="7903"/>
      <c r="K168" s="4439">
        <f>+K166/(100-K167)*K167</f>
        <v>135.96019410651306</v>
      </c>
      <c r="L168" s="4039"/>
      <c r="M168" s="4879">
        <f>+M166/(100-M167)*M167</f>
        <v>694.57336925545212</v>
      </c>
      <c r="N168" s="7903"/>
      <c r="O168" s="4865">
        <f>+O166/(100-O167)*O167</f>
        <v>53.007240869457071</v>
      </c>
      <c r="P168" s="5478"/>
      <c r="Q168" s="4844">
        <f>+Q166/(100-Q167)*Q167</f>
        <v>747.62840534614668</v>
      </c>
      <c r="R168" s="7903"/>
      <c r="S168" s="4865">
        <f>+S166/(100-S167)*S167</f>
        <v>125.57950461675674</v>
      </c>
      <c r="T168" s="5478"/>
      <c r="U168" s="4844">
        <f>+U166/(100-U167)*U167</f>
        <v>873.20484734003981</v>
      </c>
      <c r="V168" s="7903"/>
      <c r="W168" s="4865">
        <f>+W166/(100-W167)*W167</f>
        <v>15.873841051586819</v>
      </c>
      <c r="X168" s="7904"/>
      <c r="Y168" s="6140">
        <f>+Y166/(100-Y167)*Y167</f>
        <v>203.88693265585511</v>
      </c>
      <c r="Z168" s="6969"/>
      <c r="AA168" s="6970">
        <f>+AA166/(100-AA167)*AA167</f>
        <v>849.15637987602736</v>
      </c>
      <c r="AB168" s="7903"/>
      <c r="AC168" s="4865">
        <f>+AC166/(100-AC167)*AC167</f>
        <v>74.809534151373668</v>
      </c>
      <c r="AD168" s="5478"/>
      <c r="AE168" s="4844">
        <f>+AE166/(100-AE167)*AE167</f>
        <v>928.74089501258277</v>
      </c>
      <c r="AF168" s="7903"/>
      <c r="AG168" s="4865">
        <f>+AG166/(100-AG167)*AG167</f>
        <v>159.31799032188243</v>
      </c>
      <c r="AH168" s="5478"/>
      <c r="AI168" s="4844">
        <f>+AI166/(100-AI167)*AI167</f>
        <v>1089.1923308381092</v>
      </c>
      <c r="AJ168" s="7903"/>
      <c r="AK168" s="4865">
        <f>+AK166/(100-AK167)*AK167</f>
        <v>50.775779650974904</v>
      </c>
      <c r="AL168" s="7904"/>
      <c r="AM168" s="6140">
        <f>+AM166/(100-AM167)*AM167</f>
        <v>284.89737338573229</v>
      </c>
      <c r="AN168" s="5478"/>
      <c r="AO168" s="4844">
        <f>+AO166/(100-AO167)*AO167</f>
        <v>1148.9584108858085</v>
      </c>
      <c r="AP168" s="8085"/>
      <c r="AQ168" s="4865">
        <f>+AQ166/(100-AQ167)*AQ167</f>
        <v>171.70566381797397</v>
      </c>
      <c r="AR168" s="5478"/>
      <c r="AS168" s="4844">
        <f>+AS166/(100-AS167)*AS167</f>
        <v>1323.1095827558331</v>
      </c>
      <c r="AT168" s="8161"/>
      <c r="AU168" s="4865">
        <f>+AU166/(100-AU167)*AU167</f>
        <v>198.25576844441846</v>
      </c>
      <c r="AV168" s="5478"/>
      <c r="AW168" s="4844">
        <f>+AW166/(100-AW167)*AW167</f>
        <v>1521.3273256905804</v>
      </c>
      <c r="AX168" s="8287"/>
      <c r="AY168" s="4865">
        <f>+AY166/(100-AY167)*AY167</f>
        <v>-266.92978625012847</v>
      </c>
      <c r="AZ168" s="8297"/>
      <c r="BA168" s="6140">
        <f>+BA166/(100-BA167)*BA167</f>
        <v>-33.203632260882216</v>
      </c>
      <c r="BB168" s="8297"/>
      <c r="BC168" s="6140">
        <f>+BC166/(100-BC167)*BC167</f>
        <v>609.36611610876139</v>
      </c>
      <c r="BD168" s="6969"/>
      <c r="BE168" s="6970">
        <f>+BE166/(100-BE167)*BE167</f>
        <v>1335.5086018497645</v>
      </c>
    </row>
    <row r="169" spans="2:57" ht="19" x14ac:dyDescent="0.25">
      <c r="B169" s="7935" t="s">
        <v>2240</v>
      </c>
      <c r="C169" s="7937" t="s">
        <v>169</v>
      </c>
      <c r="D169" s="7903"/>
      <c r="E169" s="4438">
        <v>2.5</v>
      </c>
      <c r="F169" s="4036"/>
      <c r="G169" s="4438">
        <v>2.5</v>
      </c>
      <c r="H169" s="4042"/>
      <c r="I169" s="5625">
        <v>2.5</v>
      </c>
      <c r="J169" s="4036"/>
      <c r="K169" s="4438">
        <v>2.5</v>
      </c>
      <c r="L169" s="4043"/>
      <c r="M169" s="6144">
        <v>2.5</v>
      </c>
      <c r="N169" s="4036"/>
      <c r="O169" s="6166">
        <v>2.5</v>
      </c>
      <c r="P169" s="4042"/>
      <c r="Q169" s="5625">
        <v>2.5</v>
      </c>
      <c r="R169" s="4036"/>
      <c r="S169" s="6166">
        <v>2.5</v>
      </c>
      <c r="T169" s="4042"/>
      <c r="U169" s="5625">
        <v>2.5</v>
      </c>
      <c r="V169" s="4036"/>
      <c r="W169" s="6166">
        <v>2.5</v>
      </c>
      <c r="X169" s="7975"/>
      <c r="Y169" s="6146">
        <v>2.5</v>
      </c>
      <c r="Z169" s="6982"/>
      <c r="AA169" s="6968">
        <v>2.5</v>
      </c>
      <c r="AB169" s="4036"/>
      <c r="AC169" s="6166">
        <v>2.5</v>
      </c>
      <c r="AD169" s="4042"/>
      <c r="AE169" s="5625">
        <v>2.5</v>
      </c>
      <c r="AF169" s="4036"/>
      <c r="AG169" s="6166">
        <v>2.5</v>
      </c>
      <c r="AH169" s="4042"/>
      <c r="AI169" s="5625">
        <v>2.5</v>
      </c>
      <c r="AJ169" s="4036"/>
      <c r="AK169" s="6166">
        <v>2.5</v>
      </c>
      <c r="AL169" s="7975"/>
      <c r="AM169" s="6146">
        <v>2.5</v>
      </c>
      <c r="AN169" s="4042"/>
      <c r="AO169" s="5625">
        <v>2.5</v>
      </c>
      <c r="AP169" s="4036"/>
      <c r="AQ169" s="6166">
        <v>2.5</v>
      </c>
      <c r="AR169" s="4042"/>
      <c r="AS169" s="5625">
        <v>2.5</v>
      </c>
      <c r="AT169" s="4036"/>
      <c r="AU169" s="6166">
        <v>2.5</v>
      </c>
      <c r="AV169" s="4042"/>
      <c r="AW169" s="5625">
        <v>2.5</v>
      </c>
      <c r="AX169" s="4036"/>
      <c r="AY169" s="6166">
        <v>2.5</v>
      </c>
      <c r="AZ169" s="7975"/>
      <c r="BA169" s="6146">
        <v>2.5</v>
      </c>
      <c r="BB169" s="7975"/>
      <c r="BC169" s="6146">
        <v>2.5</v>
      </c>
      <c r="BD169" s="6982"/>
      <c r="BE169" s="6968">
        <v>2.5</v>
      </c>
    </row>
    <row r="170" spans="2:57" ht="19" x14ac:dyDescent="0.25">
      <c r="B170" s="7935" t="s">
        <v>2240</v>
      </c>
      <c r="C170" s="7937" t="s">
        <v>170</v>
      </c>
      <c r="D170" s="7903"/>
      <c r="E170" s="4439">
        <f>+E166/(100-E169)*E169</f>
        <v>135.86538461538461</v>
      </c>
      <c r="F170" s="7903"/>
      <c r="G170" s="4439">
        <f>+G166/(100-G169)*G169</f>
        <v>207.88461538461542</v>
      </c>
      <c r="H170" s="5478"/>
      <c r="I170" s="4844">
        <f>+I166/(100-I169)*I169</f>
        <v>343.75</v>
      </c>
      <c r="J170" s="7903"/>
      <c r="K170" s="4439">
        <f>+K166/(100-K169)*K169</f>
        <v>83.679487179487182</v>
      </c>
      <c r="L170" s="4039"/>
      <c r="M170" s="4879">
        <f>+M166/(100-M169)*M169</f>
        <v>427.42948717948718</v>
      </c>
      <c r="N170" s="7903"/>
      <c r="O170" s="4865">
        <f>+O166/(100-O169)*O169</f>
        <v>32.612179487179489</v>
      </c>
      <c r="P170" s="5478"/>
      <c r="Q170" s="4844">
        <f>+Q166/(100-Q169)*Q169</f>
        <v>460.04166666666669</v>
      </c>
      <c r="R170" s="7903"/>
      <c r="S170" s="4865">
        <f>+S166/(100-S169)*S169</f>
        <v>77.275641025641022</v>
      </c>
      <c r="T170" s="5478"/>
      <c r="U170" s="4844">
        <f>+U166/(100-U169)*U169</f>
        <v>537.31730769230774</v>
      </c>
      <c r="V170" s="7903"/>
      <c r="W170" s="4865">
        <f>+W166/(100-W169)*W169</f>
        <v>40.320512820512818</v>
      </c>
      <c r="X170" s="7904"/>
      <c r="Y170" s="6140">
        <f>+Y166/(100-Y169)*Y169</f>
        <v>150.20833333333334</v>
      </c>
      <c r="Z170" s="6969"/>
      <c r="AA170" s="6970">
        <f>+AA166/(100-AA169)*AA169</f>
        <v>577.63782051282055</v>
      </c>
      <c r="AB170" s="7903"/>
      <c r="AC170" s="4865">
        <f>+AC166/(100-AC169)*AC169</f>
        <v>46.025641025641022</v>
      </c>
      <c r="AD170" s="5478"/>
      <c r="AE170" s="4844">
        <f>+AE166/(100-AE169)*AE169</f>
        <v>623.66346153846155</v>
      </c>
      <c r="AF170" s="7903"/>
      <c r="AG170" s="4865">
        <f>+AG166/(100-AG169)*AG169</f>
        <v>98.044871794871796</v>
      </c>
      <c r="AH170" s="5478"/>
      <c r="AI170" s="4844">
        <f>+AI166/(100-AI169)*AI169</f>
        <v>721.70833333333337</v>
      </c>
      <c r="AJ170" s="7903"/>
      <c r="AK170" s="4865">
        <f>+AK166/(100-AK169)*AK169</f>
        <v>31.25</v>
      </c>
      <c r="AL170" s="7904"/>
      <c r="AM170" s="6140">
        <f>+AM166/(100-AM169)*AM169</f>
        <v>175.32051282051282</v>
      </c>
      <c r="AN170" s="5478"/>
      <c r="AO170" s="4844">
        <f>+AO166/(100-AO169)*AO169</f>
        <v>752.95833333333337</v>
      </c>
      <c r="AP170" s="8085"/>
      <c r="AQ170" s="4865">
        <f>+AQ166/(100-AQ169)*AQ169</f>
        <v>105.67307692307692</v>
      </c>
      <c r="AR170" s="5478"/>
      <c r="AS170" s="4844">
        <f>+AS166/(100-AS169)*AS169</f>
        <v>858.63141025641028</v>
      </c>
      <c r="AT170" s="8161"/>
      <c r="AU170" s="4865">
        <f>+AU166/(100-AU169)*AU169</f>
        <v>122.01923076923077</v>
      </c>
      <c r="AV170" s="5478"/>
      <c r="AW170" s="4844">
        <f>+AW166/(100-AW169)*AW169</f>
        <v>980.65064102564111</v>
      </c>
      <c r="AX170" s="8287"/>
      <c r="AY170" s="4865">
        <f>+AY166/(100-AY169)*AY169</f>
        <v>81.730769230769226</v>
      </c>
      <c r="AZ170" s="8297"/>
      <c r="BA170" s="6140">
        <f>+BA166/(100-BA169)*BA169</f>
        <v>309.42307692307691</v>
      </c>
      <c r="BB170" s="8297"/>
      <c r="BC170" s="6140">
        <f>+BC166/(100-BC169)*BC169</f>
        <v>484.74358974358972</v>
      </c>
      <c r="BD170" s="6969"/>
      <c r="BE170" s="6970">
        <f>+BE166/(100-BE169)*BE169</f>
        <v>1062.3814102564102</v>
      </c>
    </row>
    <row r="171" spans="2:57" ht="19" x14ac:dyDescent="0.25">
      <c r="B171" s="7935" t="s">
        <v>2472</v>
      </c>
      <c r="C171" s="7937" t="s">
        <v>170</v>
      </c>
      <c r="D171" s="7903"/>
      <c r="E171" s="4439">
        <f>+E170/(100-E167)*E167</f>
        <v>5.6610576923076925</v>
      </c>
      <c r="F171" s="7903"/>
      <c r="G171" s="4439">
        <f>+G170/(100-G167)*G167</f>
        <v>8.6631267843499931</v>
      </c>
      <c r="H171" s="5478"/>
      <c r="I171" s="4844">
        <f>+I170/(100-I167)*I167</f>
        <v>14.324048337942321</v>
      </c>
      <c r="J171" s="7903"/>
      <c r="K171" s="4439">
        <f>+K170/(100-K167)*K167</f>
        <v>3.4861588232439247</v>
      </c>
      <c r="L171" s="4039"/>
      <c r="M171" s="4879">
        <f>+M170/(100-M167)*M167</f>
        <v>17.809573570652617</v>
      </c>
      <c r="N171" s="7903"/>
      <c r="O171" s="4865">
        <f>+O170/(100-O167)*O167</f>
        <v>1.359160022293771</v>
      </c>
      <c r="P171" s="5478"/>
      <c r="Q171" s="4844">
        <f>+Q170/(100-Q167)*Q167</f>
        <v>19.169959111439656</v>
      </c>
      <c r="R171" s="7903"/>
      <c r="S171" s="4865">
        <f>+S170/(100-S167)*S167</f>
        <v>3.2199872978655573</v>
      </c>
      <c r="T171" s="5478"/>
      <c r="U171" s="4844">
        <f>+U170/(100-U167)*U167</f>
        <v>22.389867880513844</v>
      </c>
      <c r="V171" s="7903"/>
      <c r="W171" s="4865">
        <f>+W170/(100-W167)*W167</f>
        <v>0.40702156542530304</v>
      </c>
      <c r="X171" s="7904"/>
      <c r="Y171" s="6140">
        <f>+Y170/(100-Y167)*Y167</f>
        <v>5.2278700680988495</v>
      </c>
      <c r="Z171" s="6969"/>
      <c r="AA171" s="6970">
        <f>+AA170/(100-AA167)*AA167</f>
        <v>21.773240509641724</v>
      </c>
      <c r="AB171" s="7903"/>
      <c r="AC171" s="4865">
        <f>+AC170/(100-AC167)*AC167</f>
        <v>1.9181931833685553</v>
      </c>
      <c r="AD171" s="5478"/>
      <c r="AE171" s="4844">
        <f>+AE170/(100-AE167)*AE167</f>
        <v>23.813869102886738</v>
      </c>
      <c r="AF171" s="7903"/>
      <c r="AG171" s="4865">
        <f>+AG170/(100-AG167)*AG167</f>
        <v>4.085076674920062</v>
      </c>
      <c r="AH171" s="5478"/>
      <c r="AI171" s="4844">
        <f>+AI170/(100-AI167)*AI167</f>
        <v>27.928008483028442</v>
      </c>
      <c r="AJ171" s="7903"/>
      <c r="AK171" s="4865">
        <f>+AK170/(100-AK167)*AK167</f>
        <v>1.3019430679737154</v>
      </c>
      <c r="AL171" s="7904"/>
      <c r="AM171" s="6140">
        <f>+AM170/(100-AM167)*AM167</f>
        <v>7.3050608560444168</v>
      </c>
      <c r="AN171" s="5478"/>
      <c r="AO171" s="4844">
        <f>+AO170/(100-AO167)*AO167</f>
        <v>29.460472073995088</v>
      </c>
      <c r="AP171" s="8085"/>
      <c r="AQ171" s="4865">
        <f>+AQ170/(100-AQ167)*AQ167</f>
        <v>4.4027093286659991</v>
      </c>
      <c r="AR171" s="5478"/>
      <c r="AS171" s="4844">
        <f>+AS170/(100-AS167)*AS167</f>
        <v>33.925886737329051</v>
      </c>
      <c r="AT171" s="8161"/>
      <c r="AU171" s="4865">
        <f>+AU170/(100-AU167)*AU167</f>
        <v>5.0834812421645763</v>
      </c>
      <c r="AV171" s="5478"/>
      <c r="AW171" s="4844">
        <f>+AW170/(100-AW167)*AW167</f>
        <v>39.008392966425141</v>
      </c>
      <c r="AX171" s="8287"/>
      <c r="AY171" s="4865">
        <f>+AY170/(100-AY167)*AY167</f>
        <v>-6.8443534935930375</v>
      </c>
      <c r="AZ171" s="8297"/>
      <c r="BA171" s="6140">
        <f>+BA170/(100-BA167)*BA167</f>
        <v>-0.85137518617646712</v>
      </c>
      <c r="BB171" s="8297"/>
      <c r="BC171" s="6140">
        <f>+BC170/(100-BC167)*BC167</f>
        <v>15.624772207916958</v>
      </c>
      <c r="BD171" s="6969"/>
      <c r="BE171" s="6970">
        <f>+BE170/(100-BE167)*BE167</f>
        <v>34.243810303840114</v>
      </c>
    </row>
    <row r="172" spans="2:57" ht="19" x14ac:dyDescent="0.25">
      <c r="B172" s="7935" t="s">
        <v>1080</v>
      </c>
      <c r="C172" s="7937" t="s">
        <v>170</v>
      </c>
      <c r="D172" s="7903"/>
      <c r="E172" s="4439">
        <f>+E166+E168+E170+E171</f>
        <v>5661.0576923076924</v>
      </c>
      <c r="F172" s="7903"/>
      <c r="G172" s="4439">
        <f>+G166+G168+G170+G171</f>
        <v>8661.909686758614</v>
      </c>
      <c r="H172" s="5478"/>
      <c r="I172" s="4844">
        <f>+I166+I168+I170+I171</f>
        <v>14322.961933517694</v>
      </c>
      <c r="J172" s="7903"/>
      <c r="K172" s="4439">
        <f>+K166+K168+K170+K171</f>
        <v>3486.6258401092441</v>
      </c>
      <c r="L172" s="4039"/>
      <c r="M172" s="4879">
        <f>+M166+M168+M170+M171</f>
        <v>17809.562430005593</v>
      </c>
      <c r="N172" s="7903"/>
      <c r="O172" s="4865">
        <f>+O166+O168+O170+O171</f>
        <v>1358.8535803789302</v>
      </c>
      <c r="P172" s="5478"/>
      <c r="Q172" s="4844">
        <f>+Q166+Q168+Q170+Q171</f>
        <v>19168.465031124255</v>
      </c>
      <c r="R172" s="7903"/>
      <c r="S172" s="4865">
        <f>+S166+S168+S170+S171</f>
        <v>3219.8251329402633</v>
      </c>
      <c r="T172" s="5478"/>
      <c r="U172" s="4844">
        <f>+U166+U168+U170+U171</f>
        <v>22388.28702291286</v>
      </c>
      <c r="V172" s="7903"/>
      <c r="W172" s="4865">
        <f>+W166+W168+W170+W171</f>
        <v>1629.1013754375251</v>
      </c>
      <c r="X172" s="7904"/>
      <c r="Y172" s="6140">
        <f>+Y166+Y168+Y170+Y171</f>
        <v>6217.4481360572872</v>
      </c>
      <c r="Z172" s="6969"/>
      <c r="AA172" s="6970">
        <f>+AA166+AA168+AA170+AA171</f>
        <v>23976.442440898492</v>
      </c>
      <c r="AB172" s="7903"/>
      <c r="AC172" s="4865">
        <f>+AC166+AC168+AC170+AC171</f>
        <v>1917.7533683603833</v>
      </c>
      <c r="AD172" s="5478"/>
      <c r="AE172" s="4844">
        <f>+AE166+AE168+AE170+AE171</f>
        <v>25899.093225653931</v>
      </c>
      <c r="AF172" s="7903"/>
      <c r="AG172" s="4865">
        <f>+AG166+AG168+AG170+AG171</f>
        <v>4085.197938791674</v>
      </c>
      <c r="AH172" s="5478"/>
      <c r="AI172" s="4844">
        <f>+AI166+AI168+AI170+AI171</f>
        <v>29985.453672654468</v>
      </c>
      <c r="AJ172" s="7903"/>
      <c r="AK172" s="4865">
        <f>+AK166+AK168+AK170+AK171</f>
        <v>1302.0777227189487</v>
      </c>
      <c r="AL172" s="7904"/>
      <c r="AM172" s="6140">
        <f>+AM166+AM168+AM170+AM171</f>
        <v>7305.0229470622889</v>
      </c>
      <c r="AN172" s="5478"/>
      <c r="AO172" s="4844">
        <f>+AO166+AO168+AO170+AO171</f>
        <v>31296.752216293135</v>
      </c>
      <c r="AP172" s="8085"/>
      <c r="AQ172" s="4865">
        <f>+AQ166+AQ168+AQ170+AQ171</f>
        <v>4403.0314500697168</v>
      </c>
      <c r="AR172" s="5478"/>
      <c r="AS172" s="4844">
        <f>+AS166+AS168+AS170+AS171</f>
        <v>35702.291879749573</v>
      </c>
      <c r="AT172" s="8161"/>
      <c r="AU172" s="4865">
        <f>+AU166+AU168+AU170+AU171</f>
        <v>5084.1084804558132</v>
      </c>
      <c r="AV172" s="5478"/>
      <c r="AW172" s="4844">
        <f>+AW166+AW168+AW170+AW171</f>
        <v>40786.361359682647</v>
      </c>
      <c r="AX172" s="8287"/>
      <c r="AY172" s="4865">
        <f>+AY166+AY168+AY170+AY171</f>
        <v>2995.4566294870474</v>
      </c>
      <c r="AZ172" s="8297"/>
      <c r="BA172" s="6140">
        <f>+BA166+BA168+BA170+BA171</f>
        <v>12342.868069476019</v>
      </c>
      <c r="BB172" s="8297"/>
      <c r="BC172" s="6140">
        <f>+BC166+BC168+BC170+BC171</f>
        <v>20014.734478060269</v>
      </c>
      <c r="BD172" s="6969"/>
      <c r="BE172" s="6970">
        <f>+BE166+BE168+BE170+BE171</f>
        <v>43865.008822410011</v>
      </c>
    </row>
    <row r="173" spans="2:57" x14ac:dyDescent="0.2">
      <c r="AF173" s="7598"/>
      <c r="AG173" s="7598"/>
      <c r="AH173" s="7598"/>
      <c r="AI173" s="7598"/>
      <c r="AJ173" s="7744"/>
      <c r="AK173" s="7744"/>
      <c r="AL173" s="7744"/>
      <c r="AM173" s="7744"/>
      <c r="AN173" s="7744"/>
      <c r="AO173" s="7744"/>
      <c r="AP173" s="8077"/>
      <c r="AQ173" s="8077"/>
      <c r="AR173" s="8077"/>
      <c r="AS173" s="8077"/>
    </row>
    <row r="174" spans="2:57" ht="19" x14ac:dyDescent="0.25">
      <c r="B174" s="7935" t="s">
        <v>2508</v>
      </c>
      <c r="C174" s="7937" t="s">
        <v>170</v>
      </c>
      <c r="AF174" s="7598"/>
      <c r="AG174" s="7598"/>
      <c r="AH174" s="7598"/>
      <c r="AI174" s="7598"/>
      <c r="AJ174" s="7744"/>
      <c r="AK174" s="7744"/>
      <c r="AL174" s="7744"/>
      <c r="AM174" s="7744"/>
      <c r="AN174" s="7744"/>
      <c r="AO174" s="7744"/>
      <c r="AP174" s="8077"/>
      <c r="AQ174" s="8077"/>
      <c r="AR174" s="8077"/>
      <c r="AS174" s="8077"/>
    </row>
    <row r="175" spans="2:57" x14ac:dyDescent="0.2">
      <c r="AF175" s="7598"/>
      <c r="AG175" s="7598"/>
      <c r="AH175" s="7598"/>
      <c r="AI175" s="7598"/>
      <c r="AP175" s="8077"/>
      <c r="AQ175" s="8077"/>
      <c r="AR175" s="8077"/>
      <c r="AS175" s="8077"/>
    </row>
    <row r="176" spans="2:57" x14ac:dyDescent="0.2">
      <c r="AF176" s="7598"/>
      <c r="AG176" s="7598"/>
      <c r="AH176" s="7598"/>
      <c r="AI176" s="7598"/>
      <c r="AP176" s="8077"/>
      <c r="AQ176" s="8077"/>
      <c r="AR176" s="8077"/>
      <c r="AS176" s="8077"/>
    </row>
    <row r="177" spans="32:45" x14ac:dyDescent="0.2">
      <c r="AF177" s="7598"/>
      <c r="AG177" s="7598"/>
      <c r="AH177" s="7598"/>
      <c r="AI177" s="7598"/>
      <c r="AP177" s="8077"/>
      <c r="AQ177" s="8077"/>
      <c r="AR177" s="8077"/>
      <c r="AS177" s="8077"/>
    </row>
    <row r="178" spans="32:45" x14ac:dyDescent="0.2">
      <c r="AF178" s="7598"/>
      <c r="AG178" s="7598"/>
      <c r="AH178" s="7598"/>
      <c r="AI178" s="7598"/>
      <c r="AP178" s="8077"/>
      <c r="AQ178" s="8077"/>
      <c r="AR178" s="8077"/>
      <c r="AS178" s="8077"/>
    </row>
    <row r="179" spans="32:45" x14ac:dyDescent="0.2">
      <c r="AF179" s="7598"/>
      <c r="AG179" s="7598"/>
      <c r="AH179" s="7598"/>
      <c r="AI179" s="7598"/>
      <c r="AP179" s="8077"/>
      <c r="AQ179" s="8077"/>
      <c r="AR179" s="8077"/>
      <c r="AS179" s="8077"/>
    </row>
    <row r="180" spans="32:45" x14ac:dyDescent="0.2">
      <c r="AF180" s="7598"/>
      <c r="AG180" s="7598"/>
      <c r="AH180" s="7598"/>
      <c r="AI180" s="7598"/>
      <c r="AP180" s="8077"/>
      <c r="AQ180" s="8077"/>
      <c r="AR180" s="8077"/>
      <c r="AS180" s="8077"/>
    </row>
    <row r="181" spans="32:45" x14ac:dyDescent="0.2">
      <c r="AF181" s="7598"/>
      <c r="AG181" s="7598"/>
      <c r="AH181" s="7598"/>
      <c r="AI181" s="7598"/>
      <c r="AP181" s="8077"/>
      <c r="AQ181" s="8077"/>
      <c r="AR181" s="8077"/>
      <c r="AS181" s="8077"/>
    </row>
    <row r="182" spans="32:45" x14ac:dyDescent="0.2">
      <c r="AF182" s="7598"/>
      <c r="AG182" s="7598"/>
      <c r="AH182" s="7598"/>
      <c r="AI182" s="7598"/>
      <c r="AP182" s="8077"/>
      <c r="AQ182" s="8077"/>
      <c r="AR182" s="8077"/>
      <c r="AS182" s="8077"/>
    </row>
    <row r="183" spans="32:45" x14ac:dyDescent="0.2">
      <c r="AF183" s="7598"/>
      <c r="AG183" s="7598"/>
      <c r="AH183" s="7598"/>
      <c r="AI183" s="7598"/>
      <c r="AP183" s="8077"/>
      <c r="AQ183" s="8077"/>
      <c r="AR183" s="8077"/>
      <c r="AS183" s="8077"/>
    </row>
    <row r="184" spans="32:45" x14ac:dyDescent="0.2">
      <c r="AF184" s="7598"/>
      <c r="AG184" s="7598"/>
      <c r="AH184" s="7598"/>
      <c r="AI184" s="7598"/>
      <c r="AP184" s="8077"/>
      <c r="AQ184" s="8077"/>
      <c r="AR184" s="8077"/>
      <c r="AS184" s="8077"/>
    </row>
    <row r="185" spans="32:45" x14ac:dyDescent="0.2">
      <c r="AF185" s="7598"/>
      <c r="AG185" s="7598"/>
      <c r="AH185" s="7598"/>
      <c r="AI185" s="7598"/>
      <c r="AP185" s="8077"/>
      <c r="AQ185" s="8077"/>
      <c r="AR185" s="8077"/>
      <c r="AS185" s="8077"/>
    </row>
    <row r="186" spans="32:45" x14ac:dyDescent="0.2">
      <c r="AF186" s="7598"/>
      <c r="AG186" s="7598"/>
      <c r="AH186" s="7598"/>
      <c r="AI186" s="7598"/>
      <c r="AP186" s="8077"/>
      <c r="AQ186" s="8077"/>
      <c r="AR186" s="8077"/>
      <c r="AS186" s="8077"/>
    </row>
    <row r="187" spans="32:45" x14ac:dyDescent="0.2">
      <c r="AF187" s="7598"/>
      <c r="AG187" s="7598"/>
      <c r="AH187" s="7598"/>
      <c r="AI187" s="7598"/>
      <c r="AP187" s="8077"/>
      <c r="AQ187" s="8077"/>
      <c r="AR187" s="8077"/>
      <c r="AS187" s="8077"/>
    </row>
    <row r="188" spans="32:45" x14ac:dyDescent="0.2">
      <c r="AF188" s="7598"/>
      <c r="AG188" s="7598"/>
      <c r="AH188" s="7598"/>
      <c r="AI188" s="7598"/>
      <c r="AP188" s="8077"/>
      <c r="AQ188" s="8077"/>
      <c r="AR188" s="8077"/>
      <c r="AS188" s="8077"/>
    </row>
    <row r="189" spans="32:45" x14ac:dyDescent="0.2">
      <c r="AF189" s="7598"/>
      <c r="AG189" s="7598"/>
      <c r="AH189" s="7598"/>
      <c r="AI189" s="7598"/>
      <c r="AP189" s="8077"/>
      <c r="AQ189" s="8077"/>
      <c r="AR189" s="8077"/>
      <c r="AS189" s="8077"/>
    </row>
    <row r="190" spans="32:45" x14ac:dyDescent="0.2">
      <c r="AF190" s="7598"/>
      <c r="AG190" s="7598"/>
      <c r="AH190" s="7598"/>
      <c r="AI190" s="7598"/>
      <c r="AP190" s="8077"/>
      <c r="AQ190" s="8077"/>
      <c r="AR190" s="8077"/>
      <c r="AS190" s="8077"/>
    </row>
    <row r="191" spans="32:45" x14ac:dyDescent="0.2">
      <c r="AF191" s="7598"/>
      <c r="AG191" s="7598"/>
      <c r="AH191" s="7598"/>
      <c r="AI191" s="7598"/>
      <c r="AP191" s="8077"/>
      <c r="AQ191" s="8077"/>
    </row>
    <row r="192" spans="32:45" x14ac:dyDescent="0.2">
      <c r="AF192" s="7598"/>
      <c r="AG192" s="7598"/>
      <c r="AH192" s="7598"/>
      <c r="AI192" s="7598"/>
      <c r="AP192" s="8077"/>
      <c r="AQ192" s="8077"/>
    </row>
    <row r="193" spans="32:43" x14ac:dyDescent="0.2">
      <c r="AF193" s="7598"/>
      <c r="AG193" s="7598"/>
      <c r="AH193" s="7598"/>
      <c r="AI193" s="7598"/>
      <c r="AP193" s="8077"/>
      <c r="AQ193" s="8077"/>
    </row>
    <row r="194" spans="32:43" x14ac:dyDescent="0.2">
      <c r="AF194" s="7598"/>
      <c r="AG194" s="7598"/>
      <c r="AH194" s="7598"/>
      <c r="AI194" s="7598"/>
      <c r="AP194" s="8077"/>
      <c r="AQ194" s="8077"/>
    </row>
  </sheetData>
  <mergeCells count="218">
    <mergeCell ref="AJ119:AJ121"/>
    <mergeCell ref="AL119:AL121"/>
    <mergeCell ref="AN119:AN121"/>
    <mergeCell ref="AJ137:AJ147"/>
    <mergeCell ref="AL137:AL147"/>
    <mergeCell ref="AN137:AN147"/>
    <mergeCell ref="AJ31:AJ39"/>
    <mergeCell ref="AL31:AL39"/>
    <mergeCell ref="AN31:AN39"/>
    <mergeCell ref="AJ40:AJ44"/>
    <mergeCell ref="AL40:AL44"/>
    <mergeCell ref="AN40:AN44"/>
    <mergeCell ref="AJ45:AJ47"/>
    <mergeCell ref="AL45:AL47"/>
    <mergeCell ref="AN45:AN47"/>
    <mergeCell ref="AJ3:AK3"/>
    <mergeCell ref="AL3:AM3"/>
    <mergeCell ref="AN3:AO3"/>
    <mergeCell ref="AJ7:AJ10"/>
    <mergeCell ref="AL7:AL10"/>
    <mergeCell ref="AN7:AN10"/>
    <mergeCell ref="AJ24:AJ25"/>
    <mergeCell ref="AL24:AL25"/>
    <mergeCell ref="AN24:AN25"/>
    <mergeCell ref="P3:Q3"/>
    <mergeCell ref="N7:N10"/>
    <mergeCell ref="N3:O3"/>
    <mergeCell ref="N24:N25"/>
    <mergeCell ref="H40:H44"/>
    <mergeCell ref="H45:H47"/>
    <mergeCell ref="N40:N44"/>
    <mergeCell ref="J45:J47"/>
    <mergeCell ref="L45:L47"/>
    <mergeCell ref="N45:N47"/>
    <mergeCell ref="L3:M3"/>
    <mergeCell ref="J7:J10"/>
    <mergeCell ref="L7:L10"/>
    <mergeCell ref="L31:L39"/>
    <mergeCell ref="L40:L44"/>
    <mergeCell ref="B3:B4"/>
    <mergeCell ref="C3:C4"/>
    <mergeCell ref="D3:E3"/>
    <mergeCell ref="F3:G3"/>
    <mergeCell ref="H3:I3"/>
    <mergeCell ref="F45:F47"/>
    <mergeCell ref="J3:K3"/>
    <mergeCell ref="D7:D10"/>
    <mergeCell ref="F7:F10"/>
    <mergeCell ref="H7:H10"/>
    <mergeCell ref="J31:J39"/>
    <mergeCell ref="J40:J44"/>
    <mergeCell ref="H119:H121"/>
    <mergeCell ref="J119:J121"/>
    <mergeCell ref="P119:P121"/>
    <mergeCell ref="P24:P25"/>
    <mergeCell ref="N31:N39"/>
    <mergeCell ref="P31:P39"/>
    <mergeCell ref="L24:L25"/>
    <mergeCell ref="D31:D39"/>
    <mergeCell ref="F31:F39"/>
    <mergeCell ref="H31:H39"/>
    <mergeCell ref="D24:D25"/>
    <mergeCell ref="D45:D47"/>
    <mergeCell ref="F40:F44"/>
    <mergeCell ref="P45:P47"/>
    <mergeCell ref="T3:U3"/>
    <mergeCell ref="R7:R10"/>
    <mergeCell ref="T7:T10"/>
    <mergeCell ref="R24:R25"/>
    <mergeCell ref="T24:T25"/>
    <mergeCell ref="A7:A10"/>
    <mergeCell ref="A45:A47"/>
    <mergeCell ref="P137:P147"/>
    <mergeCell ref="N137:N147"/>
    <mergeCell ref="L137:L147"/>
    <mergeCell ref="N119:N121"/>
    <mergeCell ref="D137:D147"/>
    <mergeCell ref="F137:F147"/>
    <mergeCell ref="J137:J147"/>
    <mergeCell ref="H137:H147"/>
    <mergeCell ref="L119:L121"/>
    <mergeCell ref="F24:F25"/>
    <mergeCell ref="H24:H25"/>
    <mergeCell ref="J24:J25"/>
    <mergeCell ref="D40:D44"/>
    <mergeCell ref="P40:P44"/>
    <mergeCell ref="P7:P10"/>
    <mergeCell ref="D119:D121"/>
    <mergeCell ref="F119:F121"/>
    <mergeCell ref="R137:R147"/>
    <mergeCell ref="T137:T147"/>
    <mergeCell ref="V3:W3"/>
    <mergeCell ref="Z3:AA3"/>
    <mergeCell ref="V7:V10"/>
    <mergeCell ref="Z7:Z10"/>
    <mergeCell ref="V24:V25"/>
    <mergeCell ref="Z24:Z25"/>
    <mergeCell ref="V31:V39"/>
    <mergeCell ref="Z31:Z39"/>
    <mergeCell ref="V40:V44"/>
    <mergeCell ref="Z40:Z44"/>
    <mergeCell ref="V45:V47"/>
    <mergeCell ref="Z45:Z47"/>
    <mergeCell ref="V119:V121"/>
    <mergeCell ref="R119:R121"/>
    <mergeCell ref="T119:T121"/>
    <mergeCell ref="R31:R39"/>
    <mergeCell ref="T31:T39"/>
    <mergeCell ref="R40:R44"/>
    <mergeCell ref="T40:T44"/>
    <mergeCell ref="R45:R47"/>
    <mergeCell ref="T45:T47"/>
    <mergeCell ref="R3:S3"/>
    <mergeCell ref="Z119:Z121"/>
    <mergeCell ref="V137:V147"/>
    <mergeCell ref="Z137:Z147"/>
    <mergeCell ref="X3:Y3"/>
    <mergeCell ref="X7:X10"/>
    <mergeCell ref="X24:X25"/>
    <mergeCell ref="X31:X39"/>
    <mergeCell ref="X40:X44"/>
    <mergeCell ref="X45:X47"/>
    <mergeCell ref="X119:X121"/>
    <mergeCell ref="X137:X147"/>
    <mergeCell ref="AB119:AB121"/>
    <mergeCell ref="AD119:AD121"/>
    <mergeCell ref="AB31:AB39"/>
    <mergeCell ref="AD31:AD39"/>
    <mergeCell ref="AB40:AB44"/>
    <mergeCell ref="AD40:AD44"/>
    <mergeCell ref="AB45:AB47"/>
    <mergeCell ref="AD45:AD47"/>
    <mergeCell ref="AB3:AC3"/>
    <mergeCell ref="AD3:AE3"/>
    <mergeCell ref="AB7:AB10"/>
    <mergeCell ref="AD7:AD10"/>
    <mergeCell ref="AB24:AB25"/>
    <mergeCell ref="AD24:AD25"/>
    <mergeCell ref="AF45:AF47"/>
    <mergeCell ref="AH45:AH47"/>
    <mergeCell ref="AF119:AF121"/>
    <mergeCell ref="AH119:AH121"/>
    <mergeCell ref="AF137:AF147"/>
    <mergeCell ref="AH137:AH147"/>
    <mergeCell ref="AF3:AG3"/>
    <mergeCell ref="AH3:AI3"/>
    <mergeCell ref="AF7:AF10"/>
    <mergeCell ref="AH7:AH10"/>
    <mergeCell ref="AF24:AF25"/>
    <mergeCell ref="AH24:AH25"/>
    <mergeCell ref="AF31:AF39"/>
    <mergeCell ref="AH31:AH39"/>
    <mergeCell ref="AF40:AF44"/>
    <mergeCell ref="AH40:AH44"/>
    <mergeCell ref="AP3:AQ3"/>
    <mergeCell ref="AP7:AP10"/>
    <mergeCell ref="AP24:AP25"/>
    <mergeCell ref="AP31:AP39"/>
    <mergeCell ref="AP40:AP44"/>
    <mergeCell ref="AP45:AP47"/>
    <mergeCell ref="AP119:AP121"/>
    <mergeCell ref="AP137:AP147"/>
    <mergeCell ref="AR3:AS3"/>
    <mergeCell ref="AR7:AR10"/>
    <mergeCell ref="AR24:AR25"/>
    <mergeCell ref="AR31:AR39"/>
    <mergeCell ref="AR40:AR44"/>
    <mergeCell ref="AR45:AR47"/>
    <mergeCell ref="AR119:AR121"/>
    <mergeCell ref="AR137:AR147"/>
    <mergeCell ref="AT45:AT47"/>
    <mergeCell ref="AV45:AV47"/>
    <mergeCell ref="AT119:AT121"/>
    <mergeCell ref="AV119:AV121"/>
    <mergeCell ref="AT137:AT147"/>
    <mergeCell ref="AV137:AV147"/>
    <mergeCell ref="AT3:AU3"/>
    <mergeCell ref="AV3:AW3"/>
    <mergeCell ref="AT7:AT10"/>
    <mergeCell ref="AV7:AV10"/>
    <mergeCell ref="AT24:AT25"/>
    <mergeCell ref="AV24:AV25"/>
    <mergeCell ref="AT31:AT39"/>
    <mergeCell ref="AV31:AV39"/>
    <mergeCell ref="AT40:AT44"/>
    <mergeCell ref="AV40:AV44"/>
    <mergeCell ref="AX3:AY3"/>
    <mergeCell ref="AX7:AX10"/>
    <mergeCell ref="AX24:AX25"/>
    <mergeCell ref="AX31:AX39"/>
    <mergeCell ref="AX40:AX44"/>
    <mergeCell ref="AX45:AX47"/>
    <mergeCell ref="AX119:AX121"/>
    <mergeCell ref="AX137:AX147"/>
    <mergeCell ref="AZ3:BA3"/>
    <mergeCell ref="AZ45:AZ47"/>
    <mergeCell ref="BD45:BD47"/>
    <mergeCell ref="AZ119:AZ121"/>
    <mergeCell ref="BD119:BD121"/>
    <mergeCell ref="AZ137:AZ147"/>
    <mergeCell ref="BD137:BD147"/>
    <mergeCell ref="BB3:BC3"/>
    <mergeCell ref="BB7:BB10"/>
    <mergeCell ref="BB24:BB25"/>
    <mergeCell ref="BB31:BB39"/>
    <mergeCell ref="BB40:BB44"/>
    <mergeCell ref="BB45:BB47"/>
    <mergeCell ref="BB119:BB121"/>
    <mergeCell ref="BB137:BB147"/>
    <mergeCell ref="BD3:BE3"/>
    <mergeCell ref="AZ7:AZ10"/>
    <mergeCell ref="BD7:BD10"/>
    <mergeCell ref="AZ24:AZ25"/>
    <mergeCell ref="BD24:BD25"/>
    <mergeCell ref="AZ31:AZ39"/>
    <mergeCell ref="BD31:BD39"/>
    <mergeCell ref="AZ40:AZ44"/>
    <mergeCell ref="BD40:BD44"/>
  </mergeCells>
  <pageMargins left="1.2" right="0.7" top="0.25" bottom="0.25" header="0.3" footer="0.3"/>
  <pageSetup scale="31" orientation="portrait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97575"/>
  </sheetPr>
  <dimension ref="E1:BF56"/>
  <sheetViews>
    <sheetView topLeftCell="E1" workbookViewId="0">
      <pane xSplit="1" topLeftCell="F1" activePane="topRight" state="frozen"/>
      <selection activeCell="E1" sqref="E1"/>
      <selection pane="topRight" activeCell="I3" sqref="I3"/>
    </sheetView>
  </sheetViews>
  <sheetFormatPr baseColWidth="10" defaultColWidth="9.1640625" defaultRowHeight="13" x14ac:dyDescent="0.2"/>
  <cols>
    <col min="1" max="4" width="9.1640625" style="4714"/>
    <col min="5" max="5" width="45.6640625" style="4713" customWidth="1"/>
    <col min="6" max="7" width="17.33203125" style="4714" customWidth="1"/>
    <col min="8" max="9" width="15.83203125" style="4714" customWidth="1"/>
    <col min="10" max="10" width="9.1640625" style="4714" customWidth="1"/>
    <col min="11" max="12" width="8.33203125" style="4714" customWidth="1"/>
    <col min="13" max="18" width="8.5" style="4714" customWidth="1"/>
    <col min="19" max="19" width="9.83203125" style="4714" customWidth="1"/>
    <col min="20" max="20" width="9.83203125" style="5120" customWidth="1"/>
    <col min="21" max="21" width="9.83203125" style="4714" customWidth="1"/>
    <col min="22" max="23" width="9.83203125" style="5120" customWidth="1"/>
    <col min="24" max="26" width="9.83203125" style="4714" customWidth="1"/>
    <col min="27" max="27" width="8.5" style="4714" customWidth="1"/>
    <col min="28" max="28" width="14" style="4714" customWidth="1"/>
    <col min="29" max="29" width="9.1640625" style="4714" customWidth="1"/>
    <col min="30" max="32" width="8.33203125" style="4714" customWidth="1"/>
    <col min="33" max="33" width="8.6640625" style="4714" customWidth="1"/>
    <col min="34" max="37" width="8.33203125" style="4714" customWidth="1"/>
    <col min="38" max="38" width="9.5" style="4714" customWidth="1"/>
    <col min="39" max="42" width="8.33203125" style="4714" customWidth="1"/>
    <col min="43" max="43" width="9.5" style="4714" customWidth="1"/>
    <col min="44" max="45" width="8.33203125" style="4714" customWidth="1"/>
    <col min="46" max="46" width="7.83203125" style="4714" customWidth="1"/>
    <col min="47" max="47" width="11.1640625" style="4714" customWidth="1"/>
    <col min="48" max="48" width="16.6640625" style="4714" bestFit="1" customWidth="1"/>
    <col min="49" max="49" width="18.1640625" style="4714" bestFit="1" customWidth="1"/>
    <col min="50" max="50" width="17" style="4714" bestFit="1" customWidth="1"/>
    <col min="51" max="51" width="19.5" style="4714" bestFit="1" customWidth="1"/>
    <col min="52" max="16384" width="9.1640625" style="4714"/>
  </cols>
  <sheetData>
    <row r="1" spans="5:50" x14ac:dyDescent="0.2">
      <c r="V1" s="5153">
        <f>+V13+V14+V15+V19</f>
        <v>0</v>
      </c>
      <c r="W1" s="5153"/>
      <c r="X1" s="4726"/>
      <c r="Y1" s="4726"/>
      <c r="Z1" s="4726"/>
      <c r="AO1" s="4726">
        <f>+AO13+AO14+AO15+AO19</f>
        <v>0</v>
      </c>
      <c r="AP1" s="4726"/>
      <c r="AQ1" s="4726"/>
      <c r="AR1" s="4726"/>
      <c r="AS1" s="4726"/>
      <c r="AT1" s="4726">
        <f>+AO1+V1</f>
        <v>0</v>
      </c>
    </row>
    <row r="2" spans="5:50" ht="23" x14ac:dyDescent="0.2">
      <c r="E2" s="8898" t="s">
        <v>1860</v>
      </c>
      <c r="F2" s="8898"/>
      <c r="G2" s="8898"/>
      <c r="H2" s="8898"/>
      <c r="I2" s="8898"/>
      <c r="J2" s="8898"/>
      <c r="K2" s="8898"/>
      <c r="L2" s="8898"/>
      <c r="M2" s="8898"/>
      <c r="N2" s="8898"/>
      <c r="O2" s="8898"/>
      <c r="P2" s="8898"/>
      <c r="Q2" s="8898"/>
      <c r="R2" s="8898"/>
      <c r="S2" s="8898"/>
      <c r="T2" s="8898"/>
      <c r="U2" s="8898"/>
      <c r="V2" s="8898"/>
      <c r="W2" s="8898"/>
      <c r="X2" s="8898"/>
      <c r="Y2" s="8898"/>
      <c r="Z2" s="8898"/>
      <c r="AA2" s="8898"/>
      <c r="AB2" s="8898"/>
      <c r="AC2" s="8898"/>
      <c r="AD2" s="8898"/>
      <c r="AE2" s="8898"/>
      <c r="AF2" s="8898"/>
      <c r="AG2" s="8898"/>
      <c r="AH2" s="8898"/>
      <c r="AI2" s="8898"/>
      <c r="AJ2" s="8898"/>
      <c r="AK2" s="8898"/>
      <c r="AL2" s="8898"/>
      <c r="AM2" s="8898"/>
      <c r="AN2" s="8898"/>
      <c r="AO2" s="8898"/>
      <c r="AP2" s="8898"/>
      <c r="AQ2" s="8898"/>
      <c r="AR2" s="8898"/>
      <c r="AS2" s="8898"/>
      <c r="AT2" s="8898"/>
      <c r="AU2" s="8898"/>
    </row>
    <row r="3" spans="5:50" ht="14" thickBot="1" x14ac:dyDescent="0.25">
      <c r="I3" s="5843">
        <v>73040</v>
      </c>
    </row>
    <row r="4" spans="5:50" ht="17" thickBot="1" x14ac:dyDescent="0.25">
      <c r="E4" s="4715"/>
      <c r="F4" s="8899" t="s">
        <v>1587</v>
      </c>
      <c r="G4" s="8900"/>
      <c r="H4" s="8900"/>
      <c r="I4" s="8900"/>
      <c r="J4" s="8900"/>
      <c r="K4" s="8900"/>
      <c r="L4" s="8900"/>
      <c r="M4" s="8900"/>
      <c r="N4" s="8900"/>
      <c r="O4" s="8900"/>
      <c r="P4" s="8900"/>
      <c r="Q4" s="8900"/>
      <c r="R4" s="8900"/>
      <c r="S4" s="8900"/>
      <c r="T4" s="8900"/>
      <c r="U4" s="8900"/>
      <c r="V4" s="8900"/>
      <c r="W4" s="8900"/>
      <c r="X4" s="8900"/>
      <c r="Y4" s="8900"/>
      <c r="Z4" s="8900"/>
      <c r="AA4" s="8901"/>
      <c r="AB4" s="8902" t="s">
        <v>1588</v>
      </c>
      <c r="AC4" s="8903"/>
      <c r="AD4" s="8903"/>
      <c r="AE4" s="8904"/>
      <c r="AF4" s="8904"/>
      <c r="AG4" s="8904"/>
      <c r="AH4" s="8904"/>
      <c r="AI4" s="8904"/>
      <c r="AJ4" s="8904"/>
      <c r="AK4" s="8904"/>
      <c r="AL4" s="8904"/>
      <c r="AM4" s="8904"/>
      <c r="AN4" s="8905"/>
      <c r="AO4" s="8905"/>
      <c r="AP4" s="8905"/>
      <c r="AQ4" s="8905"/>
      <c r="AR4" s="8905"/>
      <c r="AS4" s="8905"/>
      <c r="AT4" s="8905"/>
      <c r="AU4" s="4793" t="s">
        <v>15</v>
      </c>
    </row>
    <row r="5" spans="5:50" ht="17" thickBot="1" x14ac:dyDescent="0.25">
      <c r="E5" s="5703"/>
      <c r="F5" s="8906" t="s">
        <v>2076</v>
      </c>
      <c r="G5" s="8907"/>
      <c r="H5" s="8907"/>
      <c r="I5" s="8908"/>
      <c r="J5" s="5705"/>
      <c r="K5" s="5680"/>
      <c r="L5" s="5680"/>
      <c r="M5" s="5680"/>
      <c r="N5" s="5680"/>
      <c r="O5" s="5680"/>
      <c r="P5" s="5680"/>
      <c r="Q5" s="5680"/>
      <c r="R5" s="5680"/>
      <c r="S5" s="5680"/>
      <c r="T5" s="5680"/>
      <c r="U5" s="5680"/>
      <c r="V5" s="5680"/>
      <c r="W5" s="5680"/>
      <c r="X5" s="5680"/>
      <c r="Y5" s="5680"/>
      <c r="Z5" s="5680"/>
      <c r="AA5" s="5681"/>
      <c r="AB5" s="5700"/>
      <c r="AC5" s="5701"/>
      <c r="AD5" s="5701"/>
      <c r="AE5" s="5679"/>
      <c r="AF5" s="5702"/>
      <c r="AG5" s="5702"/>
      <c r="AH5" s="5702"/>
      <c r="AI5" s="5679"/>
      <c r="AJ5" s="5679"/>
      <c r="AK5" s="5702"/>
      <c r="AL5" s="5702"/>
      <c r="AM5" s="5702"/>
      <c r="AN5" s="5679"/>
      <c r="AO5" s="5702"/>
      <c r="AP5" s="5702"/>
      <c r="AQ5" s="5680"/>
      <c r="AR5" s="5679"/>
      <c r="AS5" s="5679"/>
      <c r="AT5" s="5680"/>
      <c r="AU5" s="5704"/>
    </row>
    <row r="6" spans="5:50" ht="35" thickBot="1" x14ac:dyDescent="0.25">
      <c r="E6" s="4716"/>
      <c r="F6" s="5110" t="s">
        <v>1587</v>
      </c>
      <c r="G6" s="5110" t="s">
        <v>1588</v>
      </c>
      <c r="H6" s="5706" t="s">
        <v>2077</v>
      </c>
      <c r="I6" s="5706" t="s">
        <v>2078</v>
      </c>
      <c r="J6" s="5111" t="s">
        <v>1975</v>
      </c>
      <c r="K6" s="5111" t="s">
        <v>1590</v>
      </c>
      <c r="L6" s="5112" t="s">
        <v>1568</v>
      </c>
      <c r="M6" s="5113" t="s">
        <v>1660</v>
      </c>
      <c r="N6" s="5113" t="s">
        <v>1670</v>
      </c>
      <c r="O6" s="5113" t="s">
        <v>1695</v>
      </c>
      <c r="P6" s="5112" t="s">
        <v>1717</v>
      </c>
      <c r="Q6" s="5114" t="s">
        <v>1131</v>
      </c>
      <c r="R6" s="5113" t="s">
        <v>1719</v>
      </c>
      <c r="S6" s="5113" t="s">
        <v>1735</v>
      </c>
      <c r="T6" s="5152" t="s">
        <v>1750</v>
      </c>
      <c r="U6" s="5112" t="s">
        <v>1756</v>
      </c>
      <c r="V6" s="5152" t="s">
        <v>1763</v>
      </c>
      <c r="W6" s="5152" t="s">
        <v>1792</v>
      </c>
      <c r="X6" s="5039" t="s">
        <v>1840</v>
      </c>
      <c r="Y6" s="5112" t="s">
        <v>1757</v>
      </c>
      <c r="Z6" s="5114" t="s">
        <v>1219</v>
      </c>
      <c r="AA6" s="5682" t="s">
        <v>117</v>
      </c>
      <c r="AB6" s="4968" t="s">
        <v>1861</v>
      </c>
      <c r="AC6" s="4969" t="s">
        <v>1975</v>
      </c>
      <c r="AD6" s="4969" t="s">
        <v>1590</v>
      </c>
      <c r="AE6" s="5112" t="s">
        <v>1568</v>
      </c>
      <c r="AF6" s="4970" t="s">
        <v>1660</v>
      </c>
      <c r="AG6" s="4970" t="s">
        <v>1670</v>
      </c>
      <c r="AH6" s="4970" t="s">
        <v>1695</v>
      </c>
      <c r="AI6" s="5112" t="s">
        <v>1717</v>
      </c>
      <c r="AJ6" s="5114" t="s">
        <v>1131</v>
      </c>
      <c r="AK6" s="4970" t="s">
        <v>1719</v>
      </c>
      <c r="AL6" s="4970" t="s">
        <v>1735</v>
      </c>
      <c r="AM6" s="4970" t="s">
        <v>1750</v>
      </c>
      <c r="AN6" s="5112" t="s">
        <v>1756</v>
      </c>
      <c r="AO6" s="4970" t="s">
        <v>1763</v>
      </c>
      <c r="AP6" s="4970" t="s">
        <v>1792</v>
      </c>
      <c r="AQ6" s="5039" t="s">
        <v>1840</v>
      </c>
      <c r="AR6" s="5112" t="s">
        <v>1757</v>
      </c>
      <c r="AS6" s="5114" t="s">
        <v>1219</v>
      </c>
      <c r="AT6" s="5103" t="s">
        <v>117</v>
      </c>
      <c r="AU6" s="4794" t="s">
        <v>1865</v>
      </c>
    </row>
    <row r="7" spans="5:50" ht="16" x14ac:dyDescent="0.2">
      <c r="E7" s="4966" t="s">
        <v>1592</v>
      </c>
      <c r="F7" s="5108">
        <v>447.3</v>
      </c>
      <c r="G7" s="5698">
        <v>1022.4</v>
      </c>
      <c r="H7" s="5698">
        <f>SUM(F7:G7)</f>
        <v>1469.7</v>
      </c>
      <c r="I7" s="5698"/>
      <c r="J7" s="5100">
        <v>161.88</v>
      </c>
      <c r="K7" s="5100"/>
      <c r="L7" s="5106">
        <f t="shared" ref="L7:L22" si="0">SUM(F7:K7)</f>
        <v>3101.28</v>
      </c>
      <c r="M7" s="5100"/>
      <c r="N7" s="5100"/>
      <c r="O7" s="5151"/>
      <c r="P7" s="5106">
        <f>SUM(M7:O7)</f>
        <v>0</v>
      </c>
      <c r="Q7" s="5107">
        <f>+L7+P7</f>
        <v>3101.28</v>
      </c>
      <c r="R7" s="5100"/>
      <c r="S7" s="5100"/>
      <c r="T7" s="5151"/>
      <c r="U7" s="5106">
        <f>SUM(R7:T7)</f>
        <v>0</v>
      </c>
      <c r="V7" s="5151"/>
      <c r="W7" s="5151"/>
      <c r="X7" s="5100"/>
      <c r="Y7" s="5106">
        <f>SUM(V7:X7)</f>
        <v>0</v>
      </c>
      <c r="Z7" s="5107">
        <f>+U7+Y7</f>
        <v>0</v>
      </c>
      <c r="AA7" s="5109">
        <f>+Q7+Z7</f>
        <v>3101.28</v>
      </c>
      <c r="AB7" s="5037">
        <v>1022.4</v>
      </c>
      <c r="AC7" s="4971">
        <v>634.74</v>
      </c>
      <c r="AD7" s="4971"/>
      <c r="AE7" s="5106">
        <f>SUM(AB7:AD7)</f>
        <v>1657.1399999999999</v>
      </c>
      <c r="AF7" s="4971"/>
      <c r="AG7" s="4903"/>
      <c r="AH7" s="4903"/>
      <c r="AI7" s="5106">
        <f>SUM(AF7:AH7)</f>
        <v>0</v>
      </c>
      <c r="AJ7" s="5107">
        <f>+AE7+AI7</f>
        <v>1657.1399999999999</v>
      </c>
      <c r="AK7" s="4971"/>
      <c r="AL7" s="4972"/>
      <c r="AM7" s="5154"/>
      <c r="AN7" s="5106">
        <f>SUM(AK7:AM7)</f>
        <v>0</v>
      </c>
      <c r="AO7" s="5154"/>
      <c r="AP7" s="5154"/>
      <c r="AQ7" s="5101"/>
      <c r="AR7" s="5106">
        <f>SUM(AO7:AQ7)</f>
        <v>0</v>
      </c>
      <c r="AS7" s="5107">
        <f>+AN7+AR7</f>
        <v>0</v>
      </c>
      <c r="AT7" s="5038">
        <f>+AJ7+AS7</f>
        <v>1657.1399999999999</v>
      </c>
      <c r="AU7" s="5102">
        <f>+AA7+AT7</f>
        <v>4758.42</v>
      </c>
    </row>
    <row r="8" spans="5:50" ht="16" x14ac:dyDescent="0.2">
      <c r="E8" s="4966" t="s">
        <v>1733</v>
      </c>
      <c r="F8" s="4719">
        <v>0</v>
      </c>
      <c r="G8" s="4722">
        <v>0</v>
      </c>
      <c r="H8" s="5698">
        <f t="shared" ref="H8:H50" si="1">SUM(F8:G8)</f>
        <v>0</v>
      </c>
      <c r="I8" s="5698"/>
      <c r="J8" s="4720"/>
      <c r="K8" s="4720"/>
      <c r="L8" s="5106">
        <f t="shared" si="0"/>
        <v>0</v>
      </c>
      <c r="M8" s="4720"/>
      <c r="N8" s="4720"/>
      <c r="O8" s="4727"/>
      <c r="P8" s="5106">
        <f t="shared" ref="P8:P50" si="2">SUM(M8:O8)</f>
        <v>0</v>
      </c>
      <c r="Q8" s="5107">
        <f t="shared" ref="Q8:Q50" si="3">+L8+P8</f>
        <v>0</v>
      </c>
      <c r="R8" s="4720"/>
      <c r="S8" s="4720"/>
      <c r="T8" s="4727"/>
      <c r="U8" s="5106">
        <f t="shared" ref="U8:U50" si="4">SUM(R8:T8)</f>
        <v>0</v>
      </c>
      <c r="V8" s="4727"/>
      <c r="W8" s="4727"/>
      <c r="X8" s="4720"/>
      <c r="Y8" s="5106">
        <f t="shared" ref="Y8:Y50" si="5">SUM(V8:X8)</f>
        <v>0</v>
      </c>
      <c r="Z8" s="5107">
        <f t="shared" ref="Z8:Z50" si="6">+U8+Y8</f>
        <v>0</v>
      </c>
      <c r="AA8" s="5109">
        <f t="shared" ref="AA8:AA50" si="7">+Q8+Z8</f>
        <v>0</v>
      </c>
      <c r="AB8" s="4722"/>
      <c r="AC8" s="4720">
        <v>2751.96</v>
      </c>
      <c r="AD8" s="4720"/>
      <c r="AE8" s="5106">
        <f t="shared" ref="AE8:AE50" si="8">SUM(AB8:AD8)</f>
        <v>2751.96</v>
      </c>
      <c r="AF8" s="4720"/>
      <c r="AG8" s="4727"/>
      <c r="AH8" s="4727"/>
      <c r="AI8" s="5105">
        <f t="shared" ref="AI8:AI50" si="9">SUM(AF8:AH8)</f>
        <v>0</v>
      </c>
      <c r="AJ8" s="5107">
        <f t="shared" ref="AJ8:AJ50" si="10">+AE8+AI8</f>
        <v>2751.96</v>
      </c>
      <c r="AK8" s="4720"/>
      <c r="AL8" s="4973"/>
      <c r="AM8" s="4909"/>
      <c r="AN8" s="5105">
        <f t="shared" ref="AN8:AN50" si="11">SUM(AK8:AM8)</f>
        <v>0</v>
      </c>
      <c r="AO8" s="4727"/>
      <c r="AP8" s="4727"/>
      <c r="AQ8" s="5101"/>
      <c r="AR8" s="5106">
        <f t="shared" ref="AR8:AR50" si="12">SUM(AO8:AQ8)</f>
        <v>0</v>
      </c>
      <c r="AS8" s="5107">
        <f t="shared" ref="AS8:AS50" si="13">+AN8+AR8</f>
        <v>0</v>
      </c>
      <c r="AT8" s="5038">
        <f t="shared" ref="AT8:AT50" si="14">+AJ8+AS8</f>
        <v>2751.96</v>
      </c>
      <c r="AU8" s="5102">
        <f t="shared" ref="AU8:AU51" si="15">+AA8+AT8</f>
        <v>2751.96</v>
      </c>
    </row>
    <row r="9" spans="5:50" ht="16" x14ac:dyDescent="0.2">
      <c r="E9" s="4966" t="s">
        <v>1907</v>
      </c>
      <c r="F9" s="4719">
        <v>413.22</v>
      </c>
      <c r="G9" s="4722">
        <v>0</v>
      </c>
      <c r="H9" s="5698">
        <f t="shared" si="1"/>
        <v>413.22</v>
      </c>
      <c r="I9" s="5698"/>
      <c r="J9" s="4720">
        <v>2581.56</v>
      </c>
      <c r="K9" s="4720"/>
      <c r="L9" s="5106">
        <f t="shared" si="0"/>
        <v>3408</v>
      </c>
      <c r="M9" s="4720"/>
      <c r="N9" s="4720"/>
      <c r="O9" s="4727"/>
      <c r="P9" s="5106">
        <f t="shared" si="2"/>
        <v>0</v>
      </c>
      <c r="Q9" s="5107">
        <f t="shared" si="3"/>
        <v>3408</v>
      </c>
      <c r="R9" s="4720"/>
      <c r="S9" s="4720"/>
      <c r="T9" s="4727"/>
      <c r="U9" s="5106">
        <f t="shared" si="4"/>
        <v>0</v>
      </c>
      <c r="V9" s="4727"/>
      <c r="W9" s="4727"/>
      <c r="X9" s="4720"/>
      <c r="Y9" s="5106">
        <f t="shared" si="5"/>
        <v>0</v>
      </c>
      <c r="Z9" s="5107">
        <f t="shared" si="6"/>
        <v>0</v>
      </c>
      <c r="AA9" s="5109">
        <f t="shared" si="7"/>
        <v>3408</v>
      </c>
      <c r="AB9" s="4722"/>
      <c r="AC9" s="4720"/>
      <c r="AD9" s="4720"/>
      <c r="AE9" s="5106">
        <f t="shared" si="8"/>
        <v>0</v>
      </c>
      <c r="AF9" s="4720"/>
      <c r="AG9" s="4727"/>
      <c r="AH9" s="4727"/>
      <c r="AI9" s="5105"/>
      <c r="AJ9" s="5107"/>
      <c r="AK9" s="4720"/>
      <c r="AL9" s="4973"/>
      <c r="AM9" s="4909"/>
      <c r="AN9" s="5105"/>
      <c r="AO9" s="4727"/>
      <c r="AP9" s="4727"/>
      <c r="AQ9" s="5101"/>
      <c r="AR9" s="5106"/>
      <c r="AS9" s="5107"/>
      <c r="AT9" s="5038"/>
      <c r="AU9" s="5102"/>
      <c r="AX9" s="4726"/>
    </row>
    <row r="10" spans="5:50" ht="16" x14ac:dyDescent="0.2">
      <c r="E10" s="5076" t="s">
        <v>1593</v>
      </c>
      <c r="F10" s="4719">
        <v>0</v>
      </c>
      <c r="G10" s="4722">
        <v>0</v>
      </c>
      <c r="H10" s="5698">
        <f t="shared" si="1"/>
        <v>0</v>
      </c>
      <c r="I10" s="5698"/>
      <c r="J10" s="4720"/>
      <c r="K10" s="4720"/>
      <c r="L10" s="5106">
        <f t="shared" si="0"/>
        <v>0</v>
      </c>
      <c r="M10" s="4720"/>
      <c r="N10" s="4720"/>
      <c r="O10" s="4727"/>
      <c r="P10" s="5106">
        <f t="shared" si="2"/>
        <v>0</v>
      </c>
      <c r="Q10" s="5107">
        <f t="shared" si="3"/>
        <v>0</v>
      </c>
      <c r="R10" s="4720"/>
      <c r="S10" s="4720"/>
      <c r="T10" s="4727"/>
      <c r="U10" s="5106">
        <f t="shared" si="4"/>
        <v>0</v>
      </c>
      <c r="V10" s="4727"/>
      <c r="W10" s="4727"/>
      <c r="X10" s="4720"/>
      <c r="Y10" s="5106">
        <f t="shared" si="5"/>
        <v>0</v>
      </c>
      <c r="Z10" s="5107">
        <f t="shared" si="6"/>
        <v>0</v>
      </c>
      <c r="AA10" s="5109">
        <f t="shared" si="7"/>
        <v>0</v>
      </c>
      <c r="AB10" s="4722"/>
      <c r="AC10" s="4720"/>
      <c r="AD10" s="4720"/>
      <c r="AE10" s="5106">
        <f t="shared" si="8"/>
        <v>0</v>
      </c>
      <c r="AF10" s="4720"/>
      <c r="AG10" s="4727"/>
      <c r="AH10" s="4727"/>
      <c r="AI10" s="5105">
        <f t="shared" si="9"/>
        <v>0</v>
      </c>
      <c r="AJ10" s="5107">
        <f t="shared" si="10"/>
        <v>0</v>
      </c>
      <c r="AK10" s="4720"/>
      <c r="AL10" s="4973"/>
      <c r="AM10" s="4909"/>
      <c r="AN10" s="5105">
        <f t="shared" si="11"/>
        <v>0</v>
      </c>
      <c r="AO10" s="4727"/>
      <c r="AP10" s="4727"/>
      <c r="AQ10" s="5101"/>
      <c r="AR10" s="5106">
        <f t="shared" si="12"/>
        <v>0</v>
      </c>
      <c r="AS10" s="5107">
        <f t="shared" si="13"/>
        <v>0</v>
      </c>
      <c r="AT10" s="5038">
        <f t="shared" si="14"/>
        <v>0</v>
      </c>
      <c r="AU10" s="5102">
        <f t="shared" si="15"/>
        <v>0</v>
      </c>
    </row>
    <row r="11" spans="5:50" ht="16" x14ac:dyDescent="0.2">
      <c r="E11" s="5076" t="s">
        <v>1847</v>
      </c>
      <c r="F11" s="4719">
        <v>0</v>
      </c>
      <c r="G11" s="4722">
        <v>0</v>
      </c>
      <c r="H11" s="5698">
        <f t="shared" si="1"/>
        <v>0</v>
      </c>
      <c r="I11" s="5698"/>
      <c r="J11" s="4720"/>
      <c r="K11" s="4720"/>
      <c r="L11" s="5106">
        <f t="shared" si="0"/>
        <v>0</v>
      </c>
      <c r="M11" s="4720"/>
      <c r="N11" s="4720"/>
      <c r="O11" s="4727"/>
      <c r="P11" s="5106">
        <f t="shared" si="2"/>
        <v>0</v>
      </c>
      <c r="Q11" s="5107">
        <f t="shared" si="3"/>
        <v>0</v>
      </c>
      <c r="R11" s="4720"/>
      <c r="S11" s="4720"/>
      <c r="T11" s="4727"/>
      <c r="U11" s="5106">
        <f t="shared" si="4"/>
        <v>0</v>
      </c>
      <c r="V11" s="4727"/>
      <c r="W11" s="4727"/>
      <c r="X11" s="4720"/>
      <c r="Y11" s="5106">
        <f t="shared" si="5"/>
        <v>0</v>
      </c>
      <c r="Z11" s="5107">
        <f t="shared" si="6"/>
        <v>0</v>
      </c>
      <c r="AA11" s="5109">
        <f t="shared" si="7"/>
        <v>0</v>
      </c>
      <c r="AB11" s="4722"/>
      <c r="AC11" s="4720"/>
      <c r="AD11" s="4720"/>
      <c r="AE11" s="5106">
        <f t="shared" si="8"/>
        <v>0</v>
      </c>
      <c r="AF11" s="4720"/>
      <c r="AG11" s="4727"/>
      <c r="AH11" s="4727"/>
      <c r="AI11" s="5105"/>
      <c r="AJ11" s="5107"/>
      <c r="AK11" s="4720"/>
      <c r="AL11" s="4973"/>
      <c r="AM11" s="5157"/>
      <c r="AN11" s="5105"/>
      <c r="AO11" s="5155"/>
      <c r="AP11" s="5155"/>
      <c r="AQ11" s="5101"/>
      <c r="AR11" s="5106">
        <f t="shared" si="12"/>
        <v>0</v>
      </c>
      <c r="AS11" s="5107">
        <f t="shared" si="13"/>
        <v>0</v>
      </c>
      <c r="AT11" s="5038">
        <f t="shared" si="14"/>
        <v>0</v>
      </c>
      <c r="AU11" s="5102">
        <f t="shared" si="15"/>
        <v>0</v>
      </c>
    </row>
    <row r="12" spans="5:50" ht="16" x14ac:dyDescent="0.2">
      <c r="E12" s="5076" t="s">
        <v>1594</v>
      </c>
      <c r="F12" s="4719">
        <v>300.33</v>
      </c>
      <c r="G12" s="4722">
        <v>1043.7</v>
      </c>
      <c r="H12" s="5698">
        <f t="shared" si="1"/>
        <v>1344.03</v>
      </c>
      <c r="I12" s="5698"/>
      <c r="J12" s="4720">
        <v>146.97</v>
      </c>
      <c r="K12" s="4720"/>
      <c r="L12" s="5106">
        <f t="shared" si="0"/>
        <v>2835.0299999999997</v>
      </c>
      <c r="M12" s="4720"/>
      <c r="N12" s="4720"/>
      <c r="O12" s="4727"/>
      <c r="P12" s="5106">
        <f t="shared" si="2"/>
        <v>0</v>
      </c>
      <c r="Q12" s="5107">
        <f t="shared" si="3"/>
        <v>2835.0299999999997</v>
      </c>
      <c r="R12" s="4720"/>
      <c r="S12" s="4720"/>
      <c r="T12" s="4727"/>
      <c r="U12" s="5106">
        <f t="shared" si="4"/>
        <v>0</v>
      </c>
      <c r="V12" s="4727"/>
      <c r="W12" s="4727"/>
      <c r="X12" s="4720"/>
      <c r="Y12" s="5106">
        <f t="shared" si="5"/>
        <v>0</v>
      </c>
      <c r="Z12" s="5107">
        <f t="shared" si="6"/>
        <v>0</v>
      </c>
      <c r="AA12" s="5109">
        <f t="shared" si="7"/>
        <v>2835.0299999999997</v>
      </c>
      <c r="AB12" s="4722">
        <v>1043.7</v>
      </c>
      <c r="AC12" s="4720">
        <v>276.89999999999998</v>
      </c>
      <c r="AD12" s="4720"/>
      <c r="AE12" s="5106">
        <f t="shared" si="8"/>
        <v>1320.6</v>
      </c>
      <c r="AF12" s="4720"/>
      <c r="AG12" s="4727"/>
      <c r="AH12" s="4727"/>
      <c r="AI12" s="5105">
        <f t="shared" si="9"/>
        <v>0</v>
      </c>
      <c r="AJ12" s="5107">
        <f t="shared" si="10"/>
        <v>1320.6</v>
      </c>
      <c r="AK12" s="4720"/>
      <c r="AL12" s="4973"/>
      <c r="AM12" s="5156"/>
      <c r="AN12" s="5105">
        <f t="shared" si="11"/>
        <v>0</v>
      </c>
      <c r="AO12" s="5156"/>
      <c r="AP12" s="5156"/>
      <c r="AQ12" s="5101"/>
      <c r="AR12" s="5106">
        <f t="shared" si="12"/>
        <v>0</v>
      </c>
      <c r="AS12" s="5107">
        <f t="shared" si="13"/>
        <v>0</v>
      </c>
      <c r="AT12" s="5038">
        <f t="shared" si="14"/>
        <v>1320.6</v>
      </c>
      <c r="AU12" s="5102">
        <f t="shared" si="15"/>
        <v>4155.6299999999992</v>
      </c>
    </row>
    <row r="13" spans="5:50" ht="16" x14ac:dyDescent="0.2">
      <c r="E13" s="5076" t="s">
        <v>1595</v>
      </c>
      <c r="F13" s="4719">
        <v>26022.21</v>
      </c>
      <c r="G13" s="4722">
        <v>25257.54</v>
      </c>
      <c r="H13" s="5698">
        <f t="shared" si="1"/>
        <v>51279.75</v>
      </c>
      <c r="I13" s="5698"/>
      <c r="J13" s="4720">
        <v>1804.11</v>
      </c>
      <c r="K13" s="4720"/>
      <c r="L13" s="5106">
        <f t="shared" si="0"/>
        <v>104363.61</v>
      </c>
      <c r="M13" s="4720"/>
      <c r="N13" s="4720"/>
      <c r="O13" s="4727"/>
      <c r="P13" s="5106">
        <f t="shared" si="2"/>
        <v>0</v>
      </c>
      <c r="Q13" s="5107">
        <f t="shared" si="3"/>
        <v>104363.61</v>
      </c>
      <c r="R13" s="4720"/>
      <c r="S13" s="4720"/>
      <c r="T13" s="4727"/>
      <c r="U13" s="5106">
        <f t="shared" si="4"/>
        <v>0</v>
      </c>
      <c r="V13" s="4727"/>
      <c r="W13" s="4727"/>
      <c r="X13" s="4720"/>
      <c r="Y13" s="5106">
        <f t="shared" si="5"/>
        <v>0</v>
      </c>
      <c r="Z13" s="5107">
        <f t="shared" si="6"/>
        <v>0</v>
      </c>
      <c r="AA13" s="5109">
        <f t="shared" si="7"/>
        <v>104363.61</v>
      </c>
      <c r="AB13" s="4722">
        <v>25257.54</v>
      </c>
      <c r="AC13" s="4720">
        <v>24135.03</v>
      </c>
      <c r="AD13" s="4720"/>
      <c r="AE13" s="5106">
        <f t="shared" si="8"/>
        <v>49392.57</v>
      </c>
      <c r="AF13" s="4720"/>
      <c r="AG13" s="4727"/>
      <c r="AH13" s="4727"/>
      <c r="AI13" s="5105">
        <f t="shared" si="9"/>
        <v>0</v>
      </c>
      <c r="AJ13" s="5107">
        <f t="shared" si="10"/>
        <v>49392.57</v>
      </c>
      <c r="AK13" s="4720"/>
      <c r="AL13" s="4973"/>
      <c r="AM13" s="5156"/>
      <c r="AN13" s="5105">
        <f t="shared" si="11"/>
        <v>0</v>
      </c>
      <c r="AO13" s="5156"/>
      <c r="AP13" s="5156"/>
      <c r="AQ13" s="5101"/>
      <c r="AR13" s="5106">
        <f t="shared" si="12"/>
        <v>0</v>
      </c>
      <c r="AS13" s="5107">
        <f t="shared" si="13"/>
        <v>0</v>
      </c>
      <c r="AT13" s="5038">
        <f t="shared" si="14"/>
        <v>49392.57</v>
      </c>
      <c r="AU13" s="5102">
        <f t="shared" si="15"/>
        <v>153756.18</v>
      </c>
    </row>
    <row r="14" spans="5:50" ht="16" x14ac:dyDescent="0.2">
      <c r="E14" s="5076" t="s">
        <v>1716</v>
      </c>
      <c r="F14" s="4719">
        <v>1446.27</v>
      </c>
      <c r="G14" s="4722">
        <v>443.04</v>
      </c>
      <c r="H14" s="5698">
        <f t="shared" si="1"/>
        <v>1889.31</v>
      </c>
      <c r="I14" s="5698"/>
      <c r="J14" s="4720"/>
      <c r="K14" s="4720"/>
      <c r="L14" s="5106">
        <f t="shared" si="0"/>
        <v>3778.62</v>
      </c>
      <c r="M14" s="4720"/>
      <c r="N14" s="4720"/>
      <c r="O14" s="4727"/>
      <c r="P14" s="5106">
        <f t="shared" si="2"/>
        <v>0</v>
      </c>
      <c r="Q14" s="5107">
        <f t="shared" si="3"/>
        <v>3778.62</v>
      </c>
      <c r="R14" s="4720"/>
      <c r="S14" s="4720"/>
      <c r="T14" s="4727"/>
      <c r="U14" s="5106">
        <f t="shared" si="4"/>
        <v>0</v>
      </c>
      <c r="V14" s="4727"/>
      <c r="W14" s="4727"/>
      <c r="X14" s="4720"/>
      <c r="Y14" s="5106">
        <f t="shared" si="5"/>
        <v>0</v>
      </c>
      <c r="Z14" s="5107">
        <f t="shared" si="6"/>
        <v>0</v>
      </c>
      <c r="AA14" s="5109">
        <f t="shared" si="7"/>
        <v>3778.62</v>
      </c>
      <c r="AB14" s="4722">
        <v>443.04</v>
      </c>
      <c r="AC14" s="4720">
        <v>2954.31</v>
      </c>
      <c r="AD14" s="4720"/>
      <c r="AE14" s="5106">
        <f t="shared" si="8"/>
        <v>3397.35</v>
      </c>
      <c r="AF14" s="4720"/>
      <c r="AG14" s="4727"/>
      <c r="AH14" s="4727"/>
      <c r="AI14" s="5105">
        <f t="shared" si="9"/>
        <v>0</v>
      </c>
      <c r="AJ14" s="5107">
        <f t="shared" si="10"/>
        <v>3397.35</v>
      </c>
      <c r="AK14" s="4720"/>
      <c r="AL14" s="4973"/>
      <c r="AM14" s="5156"/>
      <c r="AN14" s="5105">
        <f t="shared" si="11"/>
        <v>0</v>
      </c>
      <c r="AO14" s="5156"/>
      <c r="AP14" s="5156"/>
      <c r="AQ14" s="5101"/>
      <c r="AR14" s="5106">
        <f t="shared" si="12"/>
        <v>0</v>
      </c>
      <c r="AS14" s="5107">
        <f t="shared" si="13"/>
        <v>0</v>
      </c>
      <c r="AT14" s="5038">
        <f t="shared" si="14"/>
        <v>3397.35</v>
      </c>
      <c r="AU14" s="5102">
        <f t="shared" si="15"/>
        <v>7175.9699999999993</v>
      </c>
      <c r="AX14" s="4726"/>
    </row>
    <row r="15" spans="5:50" ht="16" x14ac:dyDescent="0.2">
      <c r="E15" s="5076" t="s">
        <v>1661</v>
      </c>
      <c r="F15" s="4719">
        <v>0</v>
      </c>
      <c r="G15" s="4722">
        <v>0</v>
      </c>
      <c r="H15" s="5698">
        <f t="shared" si="1"/>
        <v>0</v>
      </c>
      <c r="I15" s="5698"/>
      <c r="J15" s="4720"/>
      <c r="K15" s="4720"/>
      <c r="L15" s="5106">
        <f t="shared" si="0"/>
        <v>0</v>
      </c>
      <c r="M15" s="4720"/>
      <c r="N15" s="4720"/>
      <c r="O15" s="4727"/>
      <c r="P15" s="5106">
        <f t="shared" si="2"/>
        <v>0</v>
      </c>
      <c r="Q15" s="5107">
        <f t="shared" si="3"/>
        <v>0</v>
      </c>
      <c r="R15" s="4720"/>
      <c r="S15" s="4720"/>
      <c r="T15" s="4727"/>
      <c r="U15" s="5106">
        <f t="shared" si="4"/>
        <v>0</v>
      </c>
      <c r="V15" s="4727"/>
      <c r="W15" s="4727"/>
      <c r="X15" s="4720"/>
      <c r="Y15" s="5106">
        <f t="shared" si="5"/>
        <v>0</v>
      </c>
      <c r="Z15" s="5107">
        <f t="shared" si="6"/>
        <v>0</v>
      </c>
      <c r="AA15" s="5109">
        <f t="shared" si="7"/>
        <v>0</v>
      </c>
      <c r="AB15" s="4722"/>
      <c r="AC15" s="4720"/>
      <c r="AD15" s="4720"/>
      <c r="AE15" s="5106">
        <f t="shared" si="8"/>
        <v>0</v>
      </c>
      <c r="AF15" s="4720"/>
      <c r="AG15" s="4727"/>
      <c r="AH15" s="4727"/>
      <c r="AI15" s="5105">
        <f t="shared" si="9"/>
        <v>0</v>
      </c>
      <c r="AJ15" s="5107">
        <f t="shared" si="10"/>
        <v>0</v>
      </c>
      <c r="AK15" s="4720"/>
      <c r="AL15" s="4720"/>
      <c r="AM15" s="4909"/>
      <c r="AN15" s="5105">
        <f t="shared" si="11"/>
        <v>0</v>
      </c>
      <c r="AO15" s="4727"/>
      <c r="AP15" s="4727"/>
      <c r="AQ15" s="5101"/>
      <c r="AR15" s="5106">
        <f t="shared" si="12"/>
        <v>0</v>
      </c>
      <c r="AS15" s="5107">
        <f t="shared" si="13"/>
        <v>0</v>
      </c>
      <c r="AT15" s="5038">
        <f t="shared" si="14"/>
        <v>0</v>
      </c>
      <c r="AU15" s="5102">
        <f t="shared" si="15"/>
        <v>0</v>
      </c>
    </row>
    <row r="16" spans="5:50" ht="16" x14ac:dyDescent="0.2">
      <c r="E16" s="5076" t="s">
        <v>1596</v>
      </c>
      <c r="F16" s="4719">
        <v>0</v>
      </c>
      <c r="G16" s="4722">
        <v>0</v>
      </c>
      <c r="H16" s="5698">
        <f t="shared" si="1"/>
        <v>0</v>
      </c>
      <c r="I16" s="5698"/>
      <c r="J16" s="4720"/>
      <c r="K16" s="4720"/>
      <c r="L16" s="5106">
        <f t="shared" si="0"/>
        <v>0</v>
      </c>
      <c r="M16" s="4720"/>
      <c r="N16" s="4720"/>
      <c r="O16" s="4727"/>
      <c r="P16" s="5106">
        <f t="shared" si="2"/>
        <v>0</v>
      </c>
      <c r="Q16" s="5107">
        <f t="shared" si="3"/>
        <v>0</v>
      </c>
      <c r="R16" s="4720"/>
      <c r="S16" s="4720"/>
      <c r="T16" s="4727"/>
      <c r="U16" s="5106">
        <f t="shared" si="4"/>
        <v>0</v>
      </c>
      <c r="V16" s="4727"/>
      <c r="W16" s="4727"/>
      <c r="X16" s="4720"/>
      <c r="Y16" s="5106">
        <f t="shared" si="5"/>
        <v>0</v>
      </c>
      <c r="Z16" s="5107">
        <f t="shared" si="6"/>
        <v>0</v>
      </c>
      <c r="AA16" s="5109">
        <f t="shared" si="7"/>
        <v>0</v>
      </c>
      <c r="AB16" s="4722"/>
      <c r="AC16" s="4720"/>
      <c r="AD16" s="4720"/>
      <c r="AE16" s="5106">
        <f t="shared" si="8"/>
        <v>0</v>
      </c>
      <c r="AF16" s="4720"/>
      <c r="AG16" s="4727"/>
      <c r="AH16" s="4727"/>
      <c r="AI16" s="5105">
        <f t="shared" si="9"/>
        <v>0</v>
      </c>
      <c r="AJ16" s="5107">
        <f t="shared" si="10"/>
        <v>0</v>
      </c>
      <c r="AK16" s="4720"/>
      <c r="AL16" s="4720"/>
      <c r="AM16" s="4909"/>
      <c r="AN16" s="5105">
        <f t="shared" si="11"/>
        <v>0</v>
      </c>
      <c r="AO16" s="4727"/>
      <c r="AP16" s="4727"/>
      <c r="AQ16" s="5101"/>
      <c r="AR16" s="5106">
        <f t="shared" si="12"/>
        <v>0</v>
      </c>
      <c r="AS16" s="5107">
        <f t="shared" si="13"/>
        <v>0</v>
      </c>
      <c r="AT16" s="5038">
        <f t="shared" si="14"/>
        <v>0</v>
      </c>
      <c r="AU16" s="5102">
        <f t="shared" si="15"/>
        <v>0</v>
      </c>
    </row>
    <row r="17" spans="5:58" ht="16" x14ac:dyDescent="0.2">
      <c r="E17" s="5076" t="s">
        <v>1597</v>
      </c>
      <c r="F17" s="4719">
        <v>0</v>
      </c>
      <c r="G17" s="4722">
        <v>0</v>
      </c>
      <c r="H17" s="5698">
        <f t="shared" si="1"/>
        <v>0</v>
      </c>
      <c r="I17" s="5698"/>
      <c r="J17" s="4720"/>
      <c r="K17" s="4720"/>
      <c r="L17" s="5106">
        <f t="shared" si="0"/>
        <v>0</v>
      </c>
      <c r="M17" s="4720"/>
      <c r="N17" s="4720"/>
      <c r="O17" s="4727"/>
      <c r="P17" s="5106">
        <f t="shared" si="2"/>
        <v>0</v>
      </c>
      <c r="Q17" s="5107">
        <f t="shared" si="3"/>
        <v>0</v>
      </c>
      <c r="R17" s="4720"/>
      <c r="S17" s="4720"/>
      <c r="T17" s="4727"/>
      <c r="U17" s="5106">
        <f t="shared" si="4"/>
        <v>0</v>
      </c>
      <c r="V17" s="4727"/>
      <c r="W17" s="4727"/>
      <c r="X17" s="4720"/>
      <c r="Y17" s="5106">
        <f t="shared" si="5"/>
        <v>0</v>
      </c>
      <c r="Z17" s="5107">
        <f t="shared" si="6"/>
        <v>0</v>
      </c>
      <c r="AA17" s="5109">
        <f t="shared" si="7"/>
        <v>0</v>
      </c>
      <c r="AB17" s="4722"/>
      <c r="AC17" s="4720"/>
      <c r="AD17" s="4720"/>
      <c r="AE17" s="5106">
        <f t="shared" si="8"/>
        <v>0</v>
      </c>
      <c r="AF17" s="4720"/>
      <c r="AG17" s="4727"/>
      <c r="AH17" s="4727"/>
      <c r="AI17" s="5105">
        <f t="shared" si="9"/>
        <v>0</v>
      </c>
      <c r="AJ17" s="5107">
        <f t="shared" si="10"/>
        <v>0</v>
      </c>
      <c r="AK17" s="4720"/>
      <c r="AL17" s="4720"/>
      <c r="AM17" s="4909"/>
      <c r="AN17" s="5105">
        <f t="shared" si="11"/>
        <v>0</v>
      </c>
      <c r="AO17" s="4727"/>
      <c r="AP17" s="4727"/>
      <c r="AQ17" s="5101"/>
      <c r="AR17" s="5106">
        <f t="shared" si="12"/>
        <v>0</v>
      </c>
      <c r="AS17" s="5107">
        <f t="shared" si="13"/>
        <v>0</v>
      </c>
      <c r="AT17" s="5038">
        <f t="shared" si="14"/>
        <v>0</v>
      </c>
      <c r="AU17" s="5102">
        <f t="shared" si="15"/>
        <v>0</v>
      </c>
      <c r="BE17" s="5040">
        <f>1200000/1000000</f>
        <v>1.2</v>
      </c>
    </row>
    <row r="18" spans="5:58" ht="16" x14ac:dyDescent="0.2">
      <c r="E18" s="5076" t="s">
        <v>1598</v>
      </c>
      <c r="F18" s="4719">
        <v>283.29000000000002</v>
      </c>
      <c r="G18" s="4722">
        <v>426</v>
      </c>
      <c r="H18" s="5698">
        <f t="shared" si="1"/>
        <v>709.29</v>
      </c>
      <c r="I18" s="5698"/>
      <c r="J18" s="4720"/>
      <c r="K18" s="4720"/>
      <c r="L18" s="5106">
        <f t="shared" si="0"/>
        <v>1418.58</v>
      </c>
      <c r="M18" s="4720"/>
      <c r="N18" s="4720"/>
      <c r="O18" s="4727"/>
      <c r="P18" s="5106">
        <f t="shared" si="2"/>
        <v>0</v>
      </c>
      <c r="Q18" s="5107">
        <f t="shared" si="3"/>
        <v>1418.58</v>
      </c>
      <c r="R18" s="4720"/>
      <c r="S18" s="4720"/>
      <c r="T18" s="4727"/>
      <c r="U18" s="5106">
        <f t="shared" si="4"/>
        <v>0</v>
      </c>
      <c r="V18" s="4727"/>
      <c r="W18" s="4727"/>
      <c r="X18" s="4720"/>
      <c r="Y18" s="5106">
        <f t="shared" si="5"/>
        <v>0</v>
      </c>
      <c r="Z18" s="5107">
        <f t="shared" si="6"/>
        <v>0</v>
      </c>
      <c r="AA18" s="5109">
        <f t="shared" si="7"/>
        <v>1418.58</v>
      </c>
      <c r="AB18" s="4722">
        <v>426</v>
      </c>
      <c r="AC18" s="4720">
        <v>189.57</v>
      </c>
      <c r="AD18" s="4720"/>
      <c r="AE18" s="5106">
        <f t="shared" si="8"/>
        <v>615.56999999999994</v>
      </c>
      <c r="AF18" s="4720"/>
      <c r="AG18" s="4727"/>
      <c r="AH18" s="4727"/>
      <c r="AI18" s="5105">
        <f t="shared" si="9"/>
        <v>0</v>
      </c>
      <c r="AJ18" s="5107">
        <f t="shared" si="10"/>
        <v>615.56999999999994</v>
      </c>
      <c r="AK18" s="4720"/>
      <c r="AL18" s="4973"/>
      <c r="AM18" s="4909"/>
      <c r="AN18" s="5105">
        <f t="shared" si="11"/>
        <v>0</v>
      </c>
      <c r="AO18" s="4909"/>
      <c r="AP18" s="4909"/>
      <c r="AQ18" s="5101"/>
      <c r="AR18" s="5106">
        <f t="shared" si="12"/>
        <v>0</v>
      </c>
      <c r="AS18" s="5107">
        <f t="shared" si="13"/>
        <v>0</v>
      </c>
      <c r="AT18" s="5038">
        <f t="shared" si="14"/>
        <v>615.56999999999994</v>
      </c>
      <c r="AU18" s="5102">
        <f t="shared" si="15"/>
        <v>2034.1499999999999</v>
      </c>
      <c r="BE18" s="5040">
        <v>0.28689750000000003</v>
      </c>
    </row>
    <row r="19" spans="5:58" ht="16" x14ac:dyDescent="0.2">
      <c r="E19" s="5076" t="s">
        <v>1734</v>
      </c>
      <c r="F19" s="4719">
        <v>9985.44</v>
      </c>
      <c r="G19" s="4722">
        <v>27042.48</v>
      </c>
      <c r="H19" s="5698">
        <f t="shared" si="1"/>
        <v>37027.919999999998</v>
      </c>
      <c r="I19" s="5698"/>
      <c r="J19" s="4720">
        <v>27868.92</v>
      </c>
      <c r="K19" s="4720"/>
      <c r="L19" s="5106">
        <f t="shared" si="0"/>
        <v>101924.76</v>
      </c>
      <c r="M19" s="4720"/>
      <c r="N19" s="4720"/>
      <c r="O19" s="4727"/>
      <c r="P19" s="5106">
        <f t="shared" si="2"/>
        <v>0</v>
      </c>
      <c r="Q19" s="5107">
        <f t="shared" si="3"/>
        <v>101924.76</v>
      </c>
      <c r="R19" s="4720"/>
      <c r="S19" s="4720"/>
      <c r="T19" s="4727"/>
      <c r="U19" s="5106">
        <f t="shared" si="4"/>
        <v>0</v>
      </c>
      <c r="V19" s="4727"/>
      <c r="W19" s="4727"/>
      <c r="X19" s="4720"/>
      <c r="Y19" s="5106">
        <f t="shared" si="5"/>
        <v>0</v>
      </c>
      <c r="Z19" s="5107">
        <f t="shared" si="6"/>
        <v>0</v>
      </c>
      <c r="AA19" s="5109">
        <f t="shared" si="7"/>
        <v>101924.76</v>
      </c>
      <c r="AB19" s="4722">
        <v>27042.48</v>
      </c>
      <c r="AC19" s="4720">
        <v>14754.51</v>
      </c>
      <c r="AD19" s="4720"/>
      <c r="AE19" s="5106">
        <f t="shared" si="8"/>
        <v>41796.99</v>
      </c>
      <c r="AF19" s="4720"/>
      <c r="AG19" s="4727"/>
      <c r="AH19" s="4727"/>
      <c r="AI19" s="5105">
        <f t="shared" si="9"/>
        <v>0</v>
      </c>
      <c r="AJ19" s="5107">
        <f t="shared" si="10"/>
        <v>41796.99</v>
      </c>
      <c r="AK19" s="4720"/>
      <c r="AL19" s="4720"/>
      <c r="AM19" s="4727"/>
      <c r="AN19" s="5105">
        <f t="shared" si="11"/>
        <v>0</v>
      </c>
      <c r="AO19" s="4727"/>
      <c r="AP19" s="4727"/>
      <c r="AQ19" s="5101"/>
      <c r="AR19" s="5106">
        <f t="shared" si="12"/>
        <v>0</v>
      </c>
      <c r="AS19" s="5107">
        <f t="shared" si="13"/>
        <v>0</v>
      </c>
      <c r="AT19" s="5038">
        <f t="shared" si="14"/>
        <v>41796.99</v>
      </c>
      <c r="AU19" s="5102">
        <f t="shared" si="15"/>
        <v>143721.75</v>
      </c>
      <c r="BE19" s="5040">
        <f>SUM(BE17:BE18)</f>
        <v>1.4868975</v>
      </c>
      <c r="BF19" s="5040">
        <f>2.5-BE19</f>
        <v>1.0131025</v>
      </c>
    </row>
    <row r="20" spans="5:58" ht="16" x14ac:dyDescent="0.2">
      <c r="E20" s="5076" t="s">
        <v>1706</v>
      </c>
      <c r="F20" s="4719">
        <v>0</v>
      </c>
      <c r="G20" s="4722">
        <v>0</v>
      </c>
      <c r="H20" s="5698">
        <f t="shared" si="1"/>
        <v>0</v>
      </c>
      <c r="I20" s="5698"/>
      <c r="J20" s="4720"/>
      <c r="K20" s="4720"/>
      <c r="L20" s="5106">
        <f t="shared" si="0"/>
        <v>0</v>
      </c>
      <c r="M20" s="4720"/>
      <c r="N20" s="4720"/>
      <c r="O20" s="4727"/>
      <c r="P20" s="5106">
        <f t="shared" si="2"/>
        <v>0</v>
      </c>
      <c r="Q20" s="5107">
        <f t="shared" si="3"/>
        <v>0</v>
      </c>
      <c r="R20" s="4720"/>
      <c r="S20" s="4720"/>
      <c r="T20" s="4727"/>
      <c r="U20" s="5106">
        <f t="shared" si="4"/>
        <v>0</v>
      </c>
      <c r="V20" s="4727"/>
      <c r="W20" s="4727"/>
      <c r="X20" s="4720"/>
      <c r="Y20" s="5106">
        <f t="shared" si="5"/>
        <v>0</v>
      </c>
      <c r="Z20" s="5107">
        <f t="shared" si="6"/>
        <v>0</v>
      </c>
      <c r="AA20" s="5109">
        <f t="shared" si="7"/>
        <v>0</v>
      </c>
      <c r="AB20" s="4722"/>
      <c r="AC20" s="4720"/>
      <c r="AD20" s="4720"/>
      <c r="AE20" s="5106">
        <f t="shared" si="8"/>
        <v>0</v>
      </c>
      <c r="AF20" s="4720"/>
      <c r="AG20" s="4727"/>
      <c r="AH20" s="4727"/>
      <c r="AI20" s="5105">
        <f t="shared" si="9"/>
        <v>0</v>
      </c>
      <c r="AJ20" s="5107">
        <f t="shared" si="10"/>
        <v>0</v>
      </c>
      <c r="AK20" s="4720"/>
      <c r="AL20" s="4720"/>
      <c r="AM20" s="4727"/>
      <c r="AN20" s="5105">
        <f t="shared" si="11"/>
        <v>0</v>
      </c>
      <c r="AO20" s="4727"/>
      <c r="AP20" s="4727"/>
      <c r="AQ20" s="5101"/>
      <c r="AR20" s="5106">
        <f t="shared" si="12"/>
        <v>0</v>
      </c>
      <c r="AS20" s="5107">
        <f t="shared" si="13"/>
        <v>0</v>
      </c>
      <c r="AT20" s="5038">
        <f t="shared" si="14"/>
        <v>0</v>
      </c>
      <c r="AU20" s="5102">
        <f t="shared" si="15"/>
        <v>0</v>
      </c>
    </row>
    <row r="21" spans="5:58" ht="16" x14ac:dyDescent="0.2">
      <c r="E21" s="5076" t="s">
        <v>1707</v>
      </c>
      <c r="F21" s="4719">
        <v>0</v>
      </c>
      <c r="G21" s="4722">
        <v>0</v>
      </c>
      <c r="H21" s="5698">
        <f t="shared" si="1"/>
        <v>0</v>
      </c>
      <c r="I21" s="5698"/>
      <c r="J21" s="4720"/>
      <c r="K21" s="4720"/>
      <c r="L21" s="5106">
        <f t="shared" si="0"/>
        <v>0</v>
      </c>
      <c r="M21" s="4720"/>
      <c r="N21" s="4720"/>
      <c r="O21" s="4727"/>
      <c r="P21" s="5106">
        <f t="shared" si="2"/>
        <v>0</v>
      </c>
      <c r="Q21" s="5107">
        <f t="shared" si="3"/>
        <v>0</v>
      </c>
      <c r="R21" s="4720"/>
      <c r="S21" s="4720"/>
      <c r="T21" s="4727"/>
      <c r="U21" s="5106">
        <f t="shared" si="4"/>
        <v>0</v>
      </c>
      <c r="V21" s="4727"/>
      <c r="W21" s="4727"/>
      <c r="X21" s="4720"/>
      <c r="Y21" s="5106">
        <f t="shared" si="5"/>
        <v>0</v>
      </c>
      <c r="Z21" s="5107">
        <f t="shared" si="6"/>
        <v>0</v>
      </c>
      <c r="AA21" s="5109">
        <f t="shared" si="7"/>
        <v>0</v>
      </c>
      <c r="AB21" s="4722"/>
      <c r="AC21" s="4720"/>
      <c r="AD21" s="4720"/>
      <c r="AE21" s="5106">
        <f t="shared" si="8"/>
        <v>0</v>
      </c>
      <c r="AF21" s="4720"/>
      <c r="AG21" s="4727"/>
      <c r="AH21" s="4727"/>
      <c r="AI21" s="5105">
        <f t="shared" si="9"/>
        <v>0</v>
      </c>
      <c r="AJ21" s="5107">
        <f t="shared" si="10"/>
        <v>0</v>
      </c>
      <c r="AK21" s="4720"/>
      <c r="AL21" s="4720"/>
      <c r="AM21" s="4909"/>
      <c r="AN21" s="5105">
        <f t="shared" si="11"/>
        <v>0</v>
      </c>
      <c r="AO21" s="4727"/>
      <c r="AP21" s="4727"/>
      <c r="AQ21" s="5101"/>
      <c r="AR21" s="5106">
        <f t="shared" si="12"/>
        <v>0</v>
      </c>
      <c r="AS21" s="5107">
        <f t="shared" si="13"/>
        <v>0</v>
      </c>
      <c r="AT21" s="5038">
        <f t="shared" si="14"/>
        <v>0</v>
      </c>
      <c r="AU21" s="5102">
        <f t="shared" si="15"/>
        <v>0</v>
      </c>
      <c r="BE21" s="4714">
        <f>+BE19/9</f>
        <v>0.16521083333333333</v>
      </c>
      <c r="BF21" s="4714">
        <f>+BE21*3</f>
        <v>0.49563250000000003</v>
      </c>
    </row>
    <row r="22" spans="5:58" ht="16" x14ac:dyDescent="0.2">
      <c r="E22" s="5076" t="s">
        <v>1730</v>
      </c>
      <c r="F22" s="4719">
        <v>0</v>
      </c>
      <c r="G22" s="4722">
        <v>0</v>
      </c>
      <c r="H22" s="5698">
        <f t="shared" si="1"/>
        <v>0</v>
      </c>
      <c r="I22" s="5698"/>
      <c r="J22" s="4720"/>
      <c r="K22" s="4720"/>
      <c r="L22" s="5106">
        <f t="shared" si="0"/>
        <v>0</v>
      </c>
      <c r="M22" s="4720"/>
      <c r="N22" s="4720"/>
      <c r="O22" s="4727"/>
      <c r="P22" s="5106">
        <f t="shared" si="2"/>
        <v>0</v>
      </c>
      <c r="Q22" s="5107">
        <f t="shared" si="3"/>
        <v>0</v>
      </c>
      <c r="R22" s="4720"/>
      <c r="S22" s="4720"/>
      <c r="T22" s="4727"/>
      <c r="U22" s="5106">
        <f t="shared" si="4"/>
        <v>0</v>
      </c>
      <c r="V22" s="4727"/>
      <c r="W22" s="4727"/>
      <c r="X22" s="4720"/>
      <c r="Y22" s="5106">
        <f t="shared" si="5"/>
        <v>0</v>
      </c>
      <c r="Z22" s="5107">
        <f t="shared" si="6"/>
        <v>0</v>
      </c>
      <c r="AA22" s="5109">
        <f t="shared" si="7"/>
        <v>0</v>
      </c>
      <c r="AB22" s="4722"/>
      <c r="AC22" s="4720"/>
      <c r="AD22" s="4720"/>
      <c r="AE22" s="5106">
        <f t="shared" si="8"/>
        <v>0</v>
      </c>
      <c r="AF22" s="4720"/>
      <c r="AG22" s="4727"/>
      <c r="AH22" s="4727"/>
      <c r="AI22" s="5105">
        <f t="shared" si="9"/>
        <v>0</v>
      </c>
      <c r="AJ22" s="5107">
        <f t="shared" si="10"/>
        <v>0</v>
      </c>
      <c r="AK22" s="4720"/>
      <c r="AL22" s="4720"/>
      <c r="AM22" s="4909"/>
      <c r="AN22" s="5105">
        <f t="shared" si="11"/>
        <v>0</v>
      </c>
      <c r="AO22" s="4727"/>
      <c r="AP22" s="4727"/>
      <c r="AQ22" s="5101"/>
      <c r="AR22" s="5106">
        <f t="shared" si="12"/>
        <v>0</v>
      </c>
      <c r="AS22" s="5107">
        <f t="shared" si="13"/>
        <v>0</v>
      </c>
      <c r="AT22" s="5038">
        <f t="shared" si="14"/>
        <v>0</v>
      </c>
      <c r="AU22" s="5102">
        <f t="shared" si="15"/>
        <v>0</v>
      </c>
    </row>
    <row r="23" spans="5:58" ht="16" x14ac:dyDescent="0.2">
      <c r="E23" s="5076" t="s">
        <v>1977</v>
      </c>
      <c r="F23" s="4719">
        <v>0</v>
      </c>
      <c r="G23" s="4722">
        <v>0</v>
      </c>
      <c r="H23" s="5698">
        <f t="shared" si="1"/>
        <v>0</v>
      </c>
      <c r="I23" s="5698"/>
      <c r="J23" s="4720">
        <v>8434.7999999999993</v>
      </c>
      <c r="K23" s="4720"/>
      <c r="L23" s="5106"/>
      <c r="M23" s="4720"/>
      <c r="N23" s="4720"/>
      <c r="O23" s="4727"/>
      <c r="P23" s="5106"/>
      <c r="Q23" s="5107"/>
      <c r="R23" s="4720"/>
      <c r="S23" s="4720"/>
      <c r="T23" s="4727"/>
      <c r="U23" s="5106"/>
      <c r="V23" s="4727"/>
      <c r="W23" s="4727"/>
      <c r="X23" s="4720"/>
      <c r="Y23" s="5106"/>
      <c r="Z23" s="5107"/>
      <c r="AA23" s="5109"/>
      <c r="AB23" s="4722"/>
      <c r="AC23" s="4720"/>
      <c r="AD23" s="4720"/>
      <c r="AE23" s="5106"/>
      <c r="AF23" s="4720"/>
      <c r="AG23" s="4727"/>
      <c r="AH23" s="4727"/>
      <c r="AI23" s="5105"/>
      <c r="AJ23" s="5107"/>
      <c r="AK23" s="4720"/>
      <c r="AL23" s="4720"/>
      <c r="AM23" s="4909"/>
      <c r="AN23" s="5105"/>
      <c r="AO23" s="4727"/>
      <c r="AP23" s="4727"/>
      <c r="AQ23" s="5101"/>
      <c r="AR23" s="5106"/>
      <c r="AS23" s="5107"/>
      <c r="AT23" s="5038"/>
      <c r="AU23" s="5102"/>
    </row>
    <row r="24" spans="5:58" ht="16" x14ac:dyDescent="0.2">
      <c r="E24" s="4932" t="s">
        <v>1662</v>
      </c>
      <c r="F24" s="4719">
        <v>5902.2300000000005</v>
      </c>
      <c r="G24" s="4722">
        <v>0</v>
      </c>
      <c r="H24" s="5698">
        <f t="shared" si="1"/>
        <v>5902.2300000000005</v>
      </c>
      <c r="I24" s="5698"/>
      <c r="J24" s="4720">
        <v>5874.54</v>
      </c>
      <c r="K24" s="4720"/>
      <c r="L24" s="5106">
        <f t="shared" ref="L24:L39" si="16">SUM(F24:K24)</f>
        <v>17679</v>
      </c>
      <c r="M24" s="4720"/>
      <c r="N24" s="4720"/>
      <c r="O24" s="4727"/>
      <c r="P24" s="5106">
        <f t="shared" si="2"/>
        <v>0</v>
      </c>
      <c r="Q24" s="5107">
        <f t="shared" si="3"/>
        <v>17679</v>
      </c>
      <c r="R24" s="4720"/>
      <c r="S24" s="4720"/>
      <c r="T24" s="4727"/>
      <c r="U24" s="5106">
        <f t="shared" si="4"/>
        <v>0</v>
      </c>
      <c r="V24" s="4727"/>
      <c r="W24" s="4727"/>
      <c r="X24" s="4720"/>
      <c r="Y24" s="5106">
        <f t="shared" si="5"/>
        <v>0</v>
      </c>
      <c r="Z24" s="5107">
        <f t="shared" si="6"/>
        <v>0</v>
      </c>
      <c r="AA24" s="5109">
        <f t="shared" si="7"/>
        <v>17679</v>
      </c>
      <c r="AB24" s="4722"/>
      <c r="AC24" s="4720"/>
      <c r="AD24" s="4720"/>
      <c r="AE24" s="5106">
        <f t="shared" si="8"/>
        <v>0</v>
      </c>
      <c r="AF24" s="4720"/>
      <c r="AG24" s="4727"/>
      <c r="AH24" s="4727"/>
      <c r="AI24" s="5105">
        <f t="shared" si="9"/>
        <v>0</v>
      </c>
      <c r="AJ24" s="5107">
        <f t="shared" si="10"/>
        <v>0</v>
      </c>
      <c r="AK24" s="4720"/>
      <c r="AL24" s="4720"/>
      <c r="AM24" s="4909"/>
      <c r="AN24" s="5105">
        <f t="shared" si="11"/>
        <v>0</v>
      </c>
      <c r="AO24" s="4727"/>
      <c r="AP24" s="4727"/>
      <c r="AQ24" s="5101"/>
      <c r="AR24" s="5106">
        <f t="shared" si="12"/>
        <v>0</v>
      </c>
      <c r="AS24" s="5107">
        <f t="shared" si="13"/>
        <v>0</v>
      </c>
      <c r="AT24" s="5038">
        <f t="shared" si="14"/>
        <v>0</v>
      </c>
      <c r="AU24" s="5102">
        <f t="shared" si="15"/>
        <v>17679</v>
      </c>
      <c r="BF24" s="5040">
        <f>+BF19-BF21</f>
        <v>0.51746999999999999</v>
      </c>
    </row>
    <row r="25" spans="5:58" ht="16" x14ac:dyDescent="0.2">
      <c r="E25" s="4932" t="s">
        <v>1754</v>
      </c>
      <c r="F25" s="4719">
        <v>0</v>
      </c>
      <c r="G25" s="4722">
        <v>0</v>
      </c>
      <c r="H25" s="5698">
        <f t="shared" si="1"/>
        <v>0</v>
      </c>
      <c r="I25" s="5698"/>
      <c r="J25" s="4720"/>
      <c r="K25" s="4720"/>
      <c r="L25" s="5106">
        <f t="shared" si="16"/>
        <v>0</v>
      </c>
      <c r="M25" s="4720"/>
      <c r="N25" s="4720"/>
      <c r="O25" s="4727"/>
      <c r="P25" s="5106">
        <f t="shared" si="2"/>
        <v>0</v>
      </c>
      <c r="Q25" s="5107">
        <f t="shared" si="3"/>
        <v>0</v>
      </c>
      <c r="R25" s="4720"/>
      <c r="S25" s="4720"/>
      <c r="T25" s="4727"/>
      <c r="U25" s="5106">
        <f t="shared" si="4"/>
        <v>0</v>
      </c>
      <c r="V25" s="4727"/>
      <c r="W25" s="4727"/>
      <c r="X25" s="4720"/>
      <c r="Y25" s="5106">
        <f t="shared" si="5"/>
        <v>0</v>
      </c>
      <c r="Z25" s="5107">
        <f t="shared" si="6"/>
        <v>0</v>
      </c>
      <c r="AA25" s="5109">
        <f t="shared" si="7"/>
        <v>0</v>
      </c>
      <c r="AB25" s="4722"/>
      <c r="AC25" s="4722"/>
      <c r="AD25" s="4722"/>
      <c r="AE25" s="5106">
        <f t="shared" si="8"/>
        <v>0</v>
      </c>
      <c r="AF25" s="4722"/>
      <c r="AG25" s="4909"/>
      <c r="AH25" s="4909"/>
      <c r="AI25" s="5105">
        <f t="shared" si="9"/>
        <v>0</v>
      </c>
      <c r="AJ25" s="5107">
        <f t="shared" si="10"/>
        <v>0</v>
      </c>
      <c r="AK25" s="4722"/>
      <c r="AL25" s="4722"/>
      <c r="AM25" s="4909"/>
      <c r="AN25" s="5105">
        <f t="shared" si="11"/>
        <v>0</v>
      </c>
      <c r="AO25" s="4727"/>
      <c r="AP25" s="4727"/>
      <c r="AQ25" s="5101"/>
      <c r="AR25" s="5106">
        <f t="shared" si="12"/>
        <v>0</v>
      </c>
      <c r="AS25" s="5107">
        <f t="shared" si="13"/>
        <v>0</v>
      </c>
      <c r="AT25" s="5038">
        <f t="shared" si="14"/>
        <v>0</v>
      </c>
      <c r="AU25" s="5102">
        <f t="shared" si="15"/>
        <v>0</v>
      </c>
      <c r="BF25" s="4714">
        <f>2500000-500000</f>
        <v>2000000</v>
      </c>
    </row>
    <row r="26" spans="5:58" ht="16" x14ac:dyDescent="0.2">
      <c r="E26" s="4932" t="s">
        <v>1714</v>
      </c>
      <c r="F26" s="4719">
        <v>0</v>
      </c>
      <c r="G26" s="4722">
        <v>0</v>
      </c>
      <c r="H26" s="5698">
        <f t="shared" si="1"/>
        <v>0</v>
      </c>
      <c r="I26" s="5698"/>
      <c r="J26" s="4720"/>
      <c r="K26" s="4720"/>
      <c r="L26" s="5106">
        <f t="shared" si="16"/>
        <v>0</v>
      </c>
      <c r="M26" s="4720"/>
      <c r="N26" s="4720"/>
      <c r="O26" s="4727"/>
      <c r="P26" s="5106">
        <f t="shared" si="2"/>
        <v>0</v>
      </c>
      <c r="Q26" s="5107">
        <f t="shared" si="3"/>
        <v>0</v>
      </c>
      <c r="R26" s="4720"/>
      <c r="S26" s="4720"/>
      <c r="T26" s="4727"/>
      <c r="U26" s="5106">
        <f t="shared" si="4"/>
        <v>0</v>
      </c>
      <c r="V26" s="4727"/>
      <c r="W26" s="4727"/>
      <c r="X26" s="4720"/>
      <c r="Y26" s="5106">
        <f t="shared" si="5"/>
        <v>0</v>
      </c>
      <c r="Z26" s="5107">
        <f t="shared" si="6"/>
        <v>0</v>
      </c>
      <c r="AA26" s="5109">
        <f t="shared" si="7"/>
        <v>0</v>
      </c>
      <c r="AB26" s="4722"/>
      <c r="AC26" s="4720"/>
      <c r="AD26" s="4720"/>
      <c r="AE26" s="5106">
        <f t="shared" si="8"/>
        <v>0</v>
      </c>
      <c r="AF26" s="4720"/>
      <c r="AG26" s="4727"/>
      <c r="AH26" s="4727"/>
      <c r="AI26" s="5105">
        <f t="shared" si="9"/>
        <v>0</v>
      </c>
      <c r="AJ26" s="5107">
        <f t="shared" si="10"/>
        <v>0</v>
      </c>
      <c r="AK26" s="4720"/>
      <c r="AL26" s="4720"/>
      <c r="AM26" s="4909"/>
      <c r="AN26" s="5105">
        <f t="shared" si="11"/>
        <v>0</v>
      </c>
      <c r="AO26" s="4727"/>
      <c r="AP26" s="4727"/>
      <c r="AQ26" s="5101"/>
      <c r="AR26" s="5106">
        <f t="shared" si="12"/>
        <v>0</v>
      </c>
      <c r="AS26" s="5107">
        <f t="shared" si="13"/>
        <v>0</v>
      </c>
      <c r="AT26" s="5038">
        <f t="shared" si="14"/>
        <v>0</v>
      </c>
      <c r="AU26" s="5102">
        <f t="shared" si="15"/>
        <v>0</v>
      </c>
      <c r="BF26" s="4714">
        <f>+BF25/1000000</f>
        <v>2</v>
      </c>
    </row>
    <row r="27" spans="5:58" ht="16" x14ac:dyDescent="0.2">
      <c r="E27" s="4932" t="s">
        <v>1690</v>
      </c>
      <c r="F27" s="4719">
        <v>1910.6100000000001</v>
      </c>
      <c r="G27" s="4722">
        <v>0</v>
      </c>
      <c r="H27" s="5698">
        <f t="shared" si="1"/>
        <v>1910.6100000000001</v>
      </c>
      <c r="I27" s="5698"/>
      <c r="J27" s="4720">
        <v>3471.9</v>
      </c>
      <c r="K27" s="4720"/>
      <c r="L27" s="5106">
        <f t="shared" si="16"/>
        <v>7293.1200000000008</v>
      </c>
      <c r="M27" s="4720"/>
      <c r="N27" s="4720"/>
      <c r="O27" s="4727"/>
      <c r="P27" s="5106">
        <f t="shared" si="2"/>
        <v>0</v>
      </c>
      <c r="Q27" s="5107">
        <f t="shared" si="3"/>
        <v>7293.1200000000008</v>
      </c>
      <c r="R27" s="4720"/>
      <c r="S27" s="4720"/>
      <c r="T27" s="4727"/>
      <c r="U27" s="5106">
        <f t="shared" si="4"/>
        <v>0</v>
      </c>
      <c r="V27" s="4727"/>
      <c r="W27" s="4727"/>
      <c r="X27" s="4720"/>
      <c r="Y27" s="5106">
        <f t="shared" si="5"/>
        <v>0</v>
      </c>
      <c r="Z27" s="5107">
        <f t="shared" si="6"/>
        <v>0</v>
      </c>
      <c r="AA27" s="5109">
        <f t="shared" si="7"/>
        <v>7293.1200000000008</v>
      </c>
      <c r="AB27" s="4722"/>
      <c r="AC27" s="4720"/>
      <c r="AD27" s="4720"/>
      <c r="AE27" s="5106">
        <f t="shared" si="8"/>
        <v>0</v>
      </c>
      <c r="AF27" s="4720"/>
      <c r="AG27" s="4727"/>
      <c r="AH27" s="4727"/>
      <c r="AI27" s="5105">
        <f t="shared" si="9"/>
        <v>0</v>
      </c>
      <c r="AJ27" s="5107">
        <f t="shared" si="10"/>
        <v>0</v>
      </c>
      <c r="AK27" s="4720"/>
      <c r="AL27" s="4720"/>
      <c r="AM27" s="4909"/>
      <c r="AN27" s="5105">
        <f t="shared" si="11"/>
        <v>0</v>
      </c>
      <c r="AO27" s="4727"/>
      <c r="AP27" s="4727"/>
      <c r="AQ27" s="5101"/>
      <c r="AR27" s="5106">
        <f t="shared" si="12"/>
        <v>0</v>
      </c>
      <c r="AS27" s="5107">
        <f t="shared" si="13"/>
        <v>0</v>
      </c>
      <c r="AT27" s="5038">
        <f t="shared" si="14"/>
        <v>0</v>
      </c>
      <c r="AU27" s="5102">
        <f t="shared" si="15"/>
        <v>7293.1200000000008</v>
      </c>
    </row>
    <row r="28" spans="5:58" ht="16" x14ac:dyDescent="0.2">
      <c r="E28" s="4932" t="s">
        <v>1755</v>
      </c>
      <c r="F28" s="4719">
        <v>0</v>
      </c>
      <c r="G28" s="4722">
        <v>0</v>
      </c>
      <c r="H28" s="5698">
        <f t="shared" si="1"/>
        <v>0</v>
      </c>
      <c r="I28" s="5698"/>
      <c r="J28" s="4720"/>
      <c r="K28" s="4720"/>
      <c r="L28" s="5106">
        <f t="shared" si="16"/>
        <v>0</v>
      </c>
      <c r="M28" s="4720"/>
      <c r="N28" s="4720"/>
      <c r="O28" s="4727"/>
      <c r="P28" s="5106">
        <f t="shared" si="2"/>
        <v>0</v>
      </c>
      <c r="Q28" s="5107">
        <f t="shared" si="3"/>
        <v>0</v>
      </c>
      <c r="R28" s="4720"/>
      <c r="S28" s="4720"/>
      <c r="T28" s="4727"/>
      <c r="U28" s="5106">
        <f t="shared" si="4"/>
        <v>0</v>
      </c>
      <c r="V28" s="4727"/>
      <c r="W28" s="4727"/>
      <c r="X28" s="4720"/>
      <c r="Y28" s="5106">
        <f t="shared" si="5"/>
        <v>0</v>
      </c>
      <c r="Z28" s="5107">
        <f t="shared" si="6"/>
        <v>0</v>
      </c>
      <c r="AA28" s="5109">
        <f t="shared" si="7"/>
        <v>0</v>
      </c>
      <c r="AB28" s="4722"/>
      <c r="AC28" s="4722"/>
      <c r="AD28" s="4722"/>
      <c r="AE28" s="5106">
        <f t="shared" si="8"/>
        <v>0</v>
      </c>
      <c r="AF28" s="4722"/>
      <c r="AG28" s="4909"/>
      <c r="AH28" s="4909"/>
      <c r="AI28" s="5105">
        <f t="shared" si="9"/>
        <v>0</v>
      </c>
      <c r="AJ28" s="5107">
        <f t="shared" si="10"/>
        <v>0</v>
      </c>
      <c r="AK28" s="4722"/>
      <c r="AL28" s="4722"/>
      <c r="AM28" s="4909"/>
      <c r="AN28" s="5105">
        <f t="shared" si="11"/>
        <v>0</v>
      </c>
      <c r="AO28" s="4727"/>
      <c r="AP28" s="4727"/>
      <c r="AQ28" s="5101"/>
      <c r="AR28" s="5106">
        <f t="shared" si="12"/>
        <v>0</v>
      </c>
      <c r="AS28" s="5107">
        <f t="shared" si="13"/>
        <v>0</v>
      </c>
      <c r="AT28" s="5038">
        <f t="shared" si="14"/>
        <v>0</v>
      </c>
      <c r="AU28" s="5102">
        <f t="shared" si="15"/>
        <v>0</v>
      </c>
    </row>
    <row r="29" spans="5:58" ht="16" x14ac:dyDescent="0.2">
      <c r="E29" s="4932" t="s">
        <v>1784</v>
      </c>
      <c r="F29" s="4719">
        <v>0</v>
      </c>
      <c r="G29" s="4722">
        <v>0</v>
      </c>
      <c r="H29" s="5698">
        <f t="shared" si="1"/>
        <v>0</v>
      </c>
      <c r="I29" s="5698"/>
      <c r="J29" s="4720"/>
      <c r="K29" s="4720"/>
      <c r="L29" s="5106">
        <f t="shared" si="16"/>
        <v>0</v>
      </c>
      <c r="M29" s="4720"/>
      <c r="N29" s="4720"/>
      <c r="O29" s="4727"/>
      <c r="P29" s="5106">
        <f t="shared" si="2"/>
        <v>0</v>
      </c>
      <c r="Q29" s="5107">
        <f t="shared" si="3"/>
        <v>0</v>
      </c>
      <c r="R29" s="4720"/>
      <c r="S29" s="4720"/>
      <c r="T29" s="4727"/>
      <c r="U29" s="5106">
        <f t="shared" si="4"/>
        <v>0</v>
      </c>
      <c r="V29" s="4727"/>
      <c r="W29" s="4727"/>
      <c r="X29" s="4720"/>
      <c r="Y29" s="5106">
        <f t="shared" si="5"/>
        <v>0</v>
      </c>
      <c r="Z29" s="5107">
        <f t="shared" si="6"/>
        <v>0</v>
      </c>
      <c r="AA29" s="5109">
        <f t="shared" si="7"/>
        <v>0</v>
      </c>
      <c r="AB29" s="4722"/>
      <c r="AC29" s="4722"/>
      <c r="AD29" s="4722"/>
      <c r="AE29" s="5106">
        <f t="shared" si="8"/>
        <v>0</v>
      </c>
      <c r="AF29" s="4722"/>
      <c r="AG29" s="4909"/>
      <c r="AH29" s="4909"/>
      <c r="AI29" s="5105">
        <f t="shared" si="9"/>
        <v>0</v>
      </c>
      <c r="AJ29" s="5107">
        <f t="shared" si="10"/>
        <v>0</v>
      </c>
      <c r="AK29" s="4722"/>
      <c r="AL29" s="4722"/>
      <c r="AM29" s="4909"/>
      <c r="AN29" s="5105">
        <f t="shared" si="11"/>
        <v>0</v>
      </c>
      <c r="AO29" s="4727"/>
      <c r="AP29" s="4727"/>
      <c r="AQ29" s="5101"/>
      <c r="AR29" s="5106">
        <f t="shared" si="12"/>
        <v>0</v>
      </c>
      <c r="AS29" s="5107">
        <f t="shared" si="13"/>
        <v>0</v>
      </c>
      <c r="AT29" s="5038">
        <f t="shared" si="14"/>
        <v>0</v>
      </c>
      <c r="AU29" s="5102">
        <f t="shared" si="15"/>
        <v>0</v>
      </c>
    </row>
    <row r="30" spans="5:58" ht="16" x14ac:dyDescent="0.2">
      <c r="E30" s="4932" t="s">
        <v>1793</v>
      </c>
      <c r="F30" s="4719">
        <v>0</v>
      </c>
      <c r="G30" s="4722">
        <v>0</v>
      </c>
      <c r="H30" s="5698">
        <f t="shared" si="1"/>
        <v>0</v>
      </c>
      <c r="I30" s="5698"/>
      <c r="J30" s="4720"/>
      <c r="K30" s="4720"/>
      <c r="L30" s="5106">
        <f t="shared" si="16"/>
        <v>0</v>
      </c>
      <c r="M30" s="4720"/>
      <c r="N30" s="4720"/>
      <c r="O30" s="4727"/>
      <c r="P30" s="5106">
        <f t="shared" si="2"/>
        <v>0</v>
      </c>
      <c r="Q30" s="5107">
        <f t="shared" si="3"/>
        <v>0</v>
      </c>
      <c r="R30" s="4720"/>
      <c r="S30" s="4720"/>
      <c r="T30" s="4727"/>
      <c r="U30" s="5106">
        <f t="shared" si="4"/>
        <v>0</v>
      </c>
      <c r="V30" s="4727"/>
      <c r="W30" s="4727"/>
      <c r="X30" s="4720"/>
      <c r="Y30" s="5106">
        <f t="shared" si="5"/>
        <v>0</v>
      </c>
      <c r="Z30" s="5107">
        <f t="shared" si="6"/>
        <v>0</v>
      </c>
      <c r="AA30" s="5109">
        <f t="shared" si="7"/>
        <v>0</v>
      </c>
      <c r="AB30" s="4722"/>
      <c r="AC30" s="4722"/>
      <c r="AD30" s="4722"/>
      <c r="AE30" s="5106">
        <f t="shared" si="8"/>
        <v>0</v>
      </c>
      <c r="AF30" s="4722"/>
      <c r="AG30" s="4909"/>
      <c r="AH30" s="4909"/>
      <c r="AI30" s="5105">
        <f t="shared" si="9"/>
        <v>0</v>
      </c>
      <c r="AJ30" s="5107">
        <f t="shared" si="10"/>
        <v>0</v>
      </c>
      <c r="AK30" s="4722"/>
      <c r="AL30" s="4722"/>
      <c r="AM30" s="4909"/>
      <c r="AN30" s="5105">
        <f t="shared" si="11"/>
        <v>0</v>
      </c>
      <c r="AO30" s="4727"/>
      <c r="AP30" s="4727"/>
      <c r="AQ30" s="5101"/>
      <c r="AR30" s="5106">
        <f t="shared" si="12"/>
        <v>0</v>
      </c>
      <c r="AS30" s="5107">
        <f t="shared" si="13"/>
        <v>0</v>
      </c>
      <c r="AT30" s="5038">
        <f t="shared" si="14"/>
        <v>0</v>
      </c>
      <c r="AU30" s="5102">
        <f t="shared" si="15"/>
        <v>0</v>
      </c>
    </row>
    <row r="31" spans="5:58" ht="16" x14ac:dyDescent="0.2">
      <c r="E31" s="4932" t="s">
        <v>1715</v>
      </c>
      <c r="F31" s="4719">
        <v>0</v>
      </c>
      <c r="G31" s="4722">
        <v>0</v>
      </c>
      <c r="H31" s="5698">
        <f t="shared" si="1"/>
        <v>0</v>
      </c>
      <c r="I31" s="5698"/>
      <c r="J31" s="4720"/>
      <c r="K31" s="4720"/>
      <c r="L31" s="5106">
        <f t="shared" si="16"/>
        <v>0</v>
      </c>
      <c r="M31" s="4720"/>
      <c r="N31" s="4720"/>
      <c r="O31" s="4727"/>
      <c r="P31" s="5106">
        <f t="shared" si="2"/>
        <v>0</v>
      </c>
      <c r="Q31" s="5107">
        <f t="shared" si="3"/>
        <v>0</v>
      </c>
      <c r="R31" s="4720"/>
      <c r="S31" s="4720"/>
      <c r="T31" s="4727"/>
      <c r="U31" s="5106">
        <f t="shared" si="4"/>
        <v>0</v>
      </c>
      <c r="V31" s="4727"/>
      <c r="W31" s="4727"/>
      <c r="X31" s="4720"/>
      <c r="Y31" s="5106">
        <f t="shared" si="5"/>
        <v>0</v>
      </c>
      <c r="Z31" s="5107">
        <f t="shared" si="6"/>
        <v>0</v>
      </c>
      <c r="AA31" s="5109">
        <f t="shared" si="7"/>
        <v>0</v>
      </c>
      <c r="AB31" s="4722"/>
      <c r="AC31" s="4720"/>
      <c r="AD31" s="4720"/>
      <c r="AE31" s="5106">
        <f t="shared" si="8"/>
        <v>0</v>
      </c>
      <c r="AF31" s="4720"/>
      <c r="AG31" s="4727"/>
      <c r="AH31" s="4727"/>
      <c r="AI31" s="5105">
        <f t="shared" si="9"/>
        <v>0</v>
      </c>
      <c r="AJ31" s="5107">
        <f t="shared" si="10"/>
        <v>0</v>
      </c>
      <c r="AK31" s="4720"/>
      <c r="AL31" s="4720"/>
      <c r="AM31" s="4909"/>
      <c r="AN31" s="5105">
        <f t="shared" si="11"/>
        <v>0</v>
      </c>
      <c r="AO31" s="4727"/>
      <c r="AP31" s="4727"/>
      <c r="AQ31" s="5101"/>
      <c r="AR31" s="5106">
        <f t="shared" si="12"/>
        <v>0</v>
      </c>
      <c r="AS31" s="5107">
        <f t="shared" si="13"/>
        <v>0</v>
      </c>
      <c r="AT31" s="5038">
        <f t="shared" si="14"/>
        <v>0</v>
      </c>
      <c r="AU31" s="5102">
        <f t="shared" si="15"/>
        <v>0</v>
      </c>
    </row>
    <row r="32" spans="5:58" ht="16" x14ac:dyDescent="0.2">
      <c r="E32" s="4932" t="s">
        <v>1599</v>
      </c>
      <c r="F32" s="4719">
        <v>0</v>
      </c>
      <c r="G32" s="4722">
        <v>0</v>
      </c>
      <c r="H32" s="5698">
        <f t="shared" si="1"/>
        <v>0</v>
      </c>
      <c r="I32" s="5698"/>
      <c r="J32" s="4720"/>
      <c r="K32" s="4720"/>
      <c r="L32" s="5106">
        <f t="shared" si="16"/>
        <v>0</v>
      </c>
      <c r="M32" s="4720"/>
      <c r="N32" s="4720"/>
      <c r="O32" s="4727"/>
      <c r="P32" s="5106">
        <f t="shared" si="2"/>
        <v>0</v>
      </c>
      <c r="Q32" s="5107">
        <f t="shared" si="3"/>
        <v>0</v>
      </c>
      <c r="R32" s="4720"/>
      <c r="S32" s="4720"/>
      <c r="T32" s="4727"/>
      <c r="U32" s="5106">
        <f t="shared" si="4"/>
        <v>0</v>
      </c>
      <c r="V32" s="4727"/>
      <c r="W32" s="4727"/>
      <c r="X32" s="4720"/>
      <c r="Y32" s="5106">
        <f t="shared" si="5"/>
        <v>0</v>
      </c>
      <c r="Z32" s="5107">
        <f t="shared" si="6"/>
        <v>0</v>
      </c>
      <c r="AA32" s="5109">
        <f t="shared" si="7"/>
        <v>0</v>
      </c>
      <c r="AB32" s="4722"/>
      <c r="AC32" s="4720"/>
      <c r="AD32" s="4720"/>
      <c r="AE32" s="5106">
        <f t="shared" si="8"/>
        <v>0</v>
      </c>
      <c r="AF32" s="4720"/>
      <c r="AG32" s="4727"/>
      <c r="AH32" s="4727"/>
      <c r="AI32" s="5105">
        <f t="shared" si="9"/>
        <v>0</v>
      </c>
      <c r="AJ32" s="5107">
        <f t="shared" si="10"/>
        <v>0</v>
      </c>
      <c r="AK32" s="4720"/>
      <c r="AL32" s="4720"/>
      <c r="AM32" s="4909"/>
      <c r="AN32" s="5105">
        <f t="shared" si="11"/>
        <v>0</v>
      </c>
      <c r="AO32" s="4727"/>
      <c r="AP32" s="4727"/>
      <c r="AQ32" s="5101"/>
      <c r="AR32" s="5106">
        <f t="shared" si="12"/>
        <v>0</v>
      </c>
      <c r="AS32" s="5107">
        <f t="shared" si="13"/>
        <v>0</v>
      </c>
      <c r="AT32" s="5038">
        <f t="shared" si="14"/>
        <v>0</v>
      </c>
      <c r="AU32" s="5102">
        <f t="shared" si="15"/>
        <v>0</v>
      </c>
    </row>
    <row r="33" spans="5:47" ht="16" x14ac:dyDescent="0.2">
      <c r="E33" s="4932" t="s">
        <v>1689</v>
      </c>
      <c r="F33" s="4719">
        <v>2700.84</v>
      </c>
      <c r="G33" s="4722">
        <v>0</v>
      </c>
      <c r="H33" s="5698">
        <f t="shared" si="1"/>
        <v>2700.84</v>
      </c>
      <c r="I33" s="5698"/>
      <c r="J33" s="4720">
        <v>153.36000000000001</v>
      </c>
      <c r="K33" s="4720"/>
      <c r="L33" s="5106">
        <f t="shared" si="16"/>
        <v>5555.04</v>
      </c>
      <c r="M33" s="4720"/>
      <c r="N33" s="4720"/>
      <c r="O33" s="4727"/>
      <c r="P33" s="5106">
        <f t="shared" si="2"/>
        <v>0</v>
      </c>
      <c r="Q33" s="5107">
        <f t="shared" si="3"/>
        <v>5555.04</v>
      </c>
      <c r="R33" s="4720"/>
      <c r="S33" s="4720"/>
      <c r="T33" s="4727"/>
      <c r="U33" s="5106">
        <f t="shared" si="4"/>
        <v>0</v>
      </c>
      <c r="V33" s="4727"/>
      <c r="W33" s="4727"/>
      <c r="X33" s="4720"/>
      <c r="Y33" s="5106">
        <f t="shared" si="5"/>
        <v>0</v>
      </c>
      <c r="Z33" s="5107">
        <f t="shared" si="6"/>
        <v>0</v>
      </c>
      <c r="AA33" s="5109">
        <f t="shared" si="7"/>
        <v>5555.04</v>
      </c>
      <c r="AB33" s="4722"/>
      <c r="AC33" s="4720"/>
      <c r="AD33" s="4720"/>
      <c r="AE33" s="5106">
        <f t="shared" si="8"/>
        <v>0</v>
      </c>
      <c r="AF33" s="4720"/>
      <c r="AG33" s="4727"/>
      <c r="AH33" s="4727"/>
      <c r="AI33" s="5105">
        <f t="shared" si="9"/>
        <v>0</v>
      </c>
      <c r="AJ33" s="5107">
        <f t="shared" si="10"/>
        <v>0</v>
      </c>
      <c r="AK33" s="4720"/>
      <c r="AL33" s="4720"/>
      <c r="AM33" s="4909"/>
      <c r="AN33" s="5105">
        <f t="shared" si="11"/>
        <v>0</v>
      </c>
      <c r="AO33" s="4909"/>
      <c r="AP33" s="4909"/>
      <c r="AQ33" s="5101"/>
      <c r="AR33" s="5106">
        <f t="shared" si="12"/>
        <v>0</v>
      </c>
      <c r="AS33" s="5107">
        <f t="shared" si="13"/>
        <v>0</v>
      </c>
      <c r="AT33" s="5038">
        <f t="shared" si="14"/>
        <v>0</v>
      </c>
      <c r="AU33" s="5102">
        <f t="shared" si="15"/>
        <v>5555.04</v>
      </c>
    </row>
    <row r="34" spans="5:47" ht="16" x14ac:dyDescent="0.2">
      <c r="E34" s="4932" t="s">
        <v>1600</v>
      </c>
      <c r="F34" s="4719">
        <v>0</v>
      </c>
      <c r="G34" s="4722">
        <v>0</v>
      </c>
      <c r="H34" s="5698">
        <f t="shared" si="1"/>
        <v>0</v>
      </c>
      <c r="I34" s="5698"/>
      <c r="J34" s="4720"/>
      <c r="K34" s="4720"/>
      <c r="L34" s="5106">
        <f t="shared" si="16"/>
        <v>0</v>
      </c>
      <c r="M34" s="4720"/>
      <c r="N34" s="4720"/>
      <c r="O34" s="4727"/>
      <c r="P34" s="5106">
        <f t="shared" si="2"/>
        <v>0</v>
      </c>
      <c r="Q34" s="5107">
        <f t="shared" si="3"/>
        <v>0</v>
      </c>
      <c r="R34" s="4720"/>
      <c r="S34" s="4720"/>
      <c r="T34" s="4727"/>
      <c r="U34" s="5106">
        <f t="shared" si="4"/>
        <v>0</v>
      </c>
      <c r="V34" s="4727"/>
      <c r="W34" s="4727"/>
      <c r="X34" s="4720"/>
      <c r="Y34" s="5106">
        <f t="shared" si="5"/>
        <v>0</v>
      </c>
      <c r="Z34" s="5107">
        <f t="shared" si="6"/>
        <v>0</v>
      </c>
      <c r="AA34" s="5109">
        <f t="shared" si="7"/>
        <v>0</v>
      </c>
      <c r="AB34" s="4722"/>
      <c r="AC34" s="4720"/>
      <c r="AD34" s="4720"/>
      <c r="AE34" s="5106">
        <f t="shared" si="8"/>
        <v>0</v>
      </c>
      <c r="AF34" s="4720"/>
      <c r="AG34" s="4727"/>
      <c r="AH34" s="4727"/>
      <c r="AI34" s="5105">
        <f t="shared" si="9"/>
        <v>0</v>
      </c>
      <c r="AJ34" s="5107">
        <f t="shared" si="10"/>
        <v>0</v>
      </c>
      <c r="AK34" s="4720"/>
      <c r="AL34" s="4720"/>
      <c r="AM34" s="4909"/>
      <c r="AN34" s="5105">
        <f t="shared" si="11"/>
        <v>0</v>
      </c>
      <c r="AO34" s="4727"/>
      <c r="AP34" s="4727"/>
      <c r="AQ34" s="5101"/>
      <c r="AR34" s="5106">
        <f t="shared" si="12"/>
        <v>0</v>
      </c>
      <c r="AS34" s="5107">
        <f t="shared" si="13"/>
        <v>0</v>
      </c>
      <c r="AT34" s="5038">
        <f t="shared" si="14"/>
        <v>0</v>
      </c>
      <c r="AU34" s="5102">
        <f t="shared" si="15"/>
        <v>0</v>
      </c>
    </row>
    <row r="35" spans="5:47" ht="16" x14ac:dyDescent="0.2">
      <c r="E35" s="4932" t="s">
        <v>1601</v>
      </c>
      <c r="F35" s="4719">
        <v>381.27</v>
      </c>
      <c r="G35" s="4722">
        <v>0</v>
      </c>
      <c r="H35" s="5698">
        <f t="shared" si="1"/>
        <v>381.27</v>
      </c>
      <c r="I35" s="5698"/>
      <c r="J35" s="4720">
        <v>151.22999999999999</v>
      </c>
      <c r="K35" s="4720"/>
      <c r="L35" s="5106">
        <f t="shared" si="16"/>
        <v>913.77</v>
      </c>
      <c r="M35" s="4720"/>
      <c r="N35" s="4720"/>
      <c r="O35" s="4727"/>
      <c r="P35" s="5106">
        <f t="shared" si="2"/>
        <v>0</v>
      </c>
      <c r="Q35" s="5107">
        <f t="shared" si="3"/>
        <v>913.77</v>
      </c>
      <c r="R35" s="4720"/>
      <c r="S35" s="4720"/>
      <c r="T35" s="4727"/>
      <c r="U35" s="5106">
        <f t="shared" si="4"/>
        <v>0</v>
      </c>
      <c r="V35" s="4727"/>
      <c r="W35" s="4727"/>
      <c r="X35" s="4720"/>
      <c r="Y35" s="5106">
        <f t="shared" si="5"/>
        <v>0</v>
      </c>
      <c r="Z35" s="5107">
        <f t="shared" si="6"/>
        <v>0</v>
      </c>
      <c r="AA35" s="5109">
        <f t="shared" si="7"/>
        <v>913.77</v>
      </c>
      <c r="AB35" s="4722"/>
      <c r="AC35" s="4720"/>
      <c r="AD35" s="4720"/>
      <c r="AE35" s="5106">
        <f t="shared" si="8"/>
        <v>0</v>
      </c>
      <c r="AF35" s="4720"/>
      <c r="AG35" s="4727"/>
      <c r="AH35" s="4727"/>
      <c r="AI35" s="5105">
        <f t="shared" si="9"/>
        <v>0</v>
      </c>
      <c r="AJ35" s="5107">
        <f t="shared" si="10"/>
        <v>0</v>
      </c>
      <c r="AK35" s="4720"/>
      <c r="AL35" s="4720"/>
      <c r="AM35" s="4909"/>
      <c r="AN35" s="5105">
        <f t="shared" si="11"/>
        <v>0</v>
      </c>
      <c r="AO35" s="4727"/>
      <c r="AP35" s="4727"/>
      <c r="AQ35" s="5101"/>
      <c r="AR35" s="5106">
        <f t="shared" si="12"/>
        <v>0</v>
      </c>
      <c r="AS35" s="5107">
        <f t="shared" si="13"/>
        <v>0</v>
      </c>
      <c r="AT35" s="5038">
        <f t="shared" si="14"/>
        <v>0</v>
      </c>
      <c r="AU35" s="5102">
        <f t="shared" si="15"/>
        <v>913.77</v>
      </c>
    </row>
    <row r="36" spans="5:47" ht="16" x14ac:dyDescent="0.2">
      <c r="E36" s="4932" t="s">
        <v>1602</v>
      </c>
      <c r="F36" s="4719">
        <v>466.47</v>
      </c>
      <c r="G36" s="4722">
        <v>0</v>
      </c>
      <c r="H36" s="5698">
        <f t="shared" si="1"/>
        <v>466.47</v>
      </c>
      <c r="I36" s="5698"/>
      <c r="J36" s="4720">
        <v>146.97</v>
      </c>
      <c r="K36" s="4720"/>
      <c r="L36" s="5106">
        <f t="shared" si="16"/>
        <v>1079.9100000000001</v>
      </c>
      <c r="M36" s="4720"/>
      <c r="N36" s="4720"/>
      <c r="O36" s="4727"/>
      <c r="P36" s="5106">
        <f t="shared" si="2"/>
        <v>0</v>
      </c>
      <c r="Q36" s="5107">
        <f t="shared" si="3"/>
        <v>1079.9100000000001</v>
      </c>
      <c r="R36" s="4720"/>
      <c r="S36" s="4720"/>
      <c r="T36" s="4727"/>
      <c r="U36" s="5106">
        <f t="shared" si="4"/>
        <v>0</v>
      </c>
      <c r="V36" s="4727"/>
      <c r="W36" s="4727"/>
      <c r="X36" s="4720"/>
      <c r="Y36" s="5106">
        <f t="shared" si="5"/>
        <v>0</v>
      </c>
      <c r="Z36" s="5107">
        <f t="shared" si="6"/>
        <v>0</v>
      </c>
      <c r="AA36" s="5109">
        <f t="shared" si="7"/>
        <v>1079.9100000000001</v>
      </c>
      <c r="AB36" s="4722"/>
      <c r="AC36" s="4720"/>
      <c r="AD36" s="4720"/>
      <c r="AE36" s="5106">
        <f t="shared" si="8"/>
        <v>0</v>
      </c>
      <c r="AF36" s="4720"/>
      <c r="AG36" s="4727"/>
      <c r="AH36" s="4727"/>
      <c r="AI36" s="5105">
        <f t="shared" si="9"/>
        <v>0</v>
      </c>
      <c r="AJ36" s="5107">
        <f t="shared" si="10"/>
        <v>0</v>
      </c>
      <c r="AK36" s="4720"/>
      <c r="AL36" s="4720"/>
      <c r="AM36" s="4909"/>
      <c r="AN36" s="5105">
        <f t="shared" si="11"/>
        <v>0</v>
      </c>
      <c r="AO36" s="4727"/>
      <c r="AP36" s="4727"/>
      <c r="AQ36" s="5101"/>
      <c r="AR36" s="5106">
        <f t="shared" si="12"/>
        <v>0</v>
      </c>
      <c r="AS36" s="5107">
        <f t="shared" si="13"/>
        <v>0</v>
      </c>
      <c r="AT36" s="5038">
        <f t="shared" si="14"/>
        <v>0</v>
      </c>
      <c r="AU36" s="5102">
        <f t="shared" si="15"/>
        <v>1079.9100000000001</v>
      </c>
    </row>
    <row r="37" spans="5:47" ht="16" x14ac:dyDescent="0.2">
      <c r="E37" s="4932" t="s">
        <v>1796</v>
      </c>
      <c r="F37" s="4719">
        <v>0</v>
      </c>
      <c r="G37" s="4722">
        <v>0</v>
      </c>
      <c r="H37" s="5698">
        <f t="shared" si="1"/>
        <v>0</v>
      </c>
      <c r="I37" s="5698"/>
      <c r="J37" s="4720"/>
      <c r="K37" s="4720"/>
      <c r="L37" s="5106">
        <f t="shared" si="16"/>
        <v>0</v>
      </c>
      <c r="M37" s="4720"/>
      <c r="N37" s="4720"/>
      <c r="O37" s="4727"/>
      <c r="P37" s="5106">
        <f t="shared" si="2"/>
        <v>0</v>
      </c>
      <c r="Q37" s="5107">
        <f t="shared" si="3"/>
        <v>0</v>
      </c>
      <c r="R37" s="4720"/>
      <c r="S37" s="4720"/>
      <c r="T37" s="4727"/>
      <c r="U37" s="5106">
        <f t="shared" si="4"/>
        <v>0</v>
      </c>
      <c r="V37" s="4727"/>
      <c r="W37" s="4727"/>
      <c r="X37" s="4720"/>
      <c r="Y37" s="5106">
        <f t="shared" si="5"/>
        <v>0</v>
      </c>
      <c r="Z37" s="5107">
        <f t="shared" si="6"/>
        <v>0</v>
      </c>
      <c r="AA37" s="5109">
        <f t="shared" si="7"/>
        <v>0</v>
      </c>
      <c r="AB37" s="4722"/>
      <c r="AC37" s="4722"/>
      <c r="AD37" s="4722"/>
      <c r="AE37" s="5106">
        <f t="shared" si="8"/>
        <v>0</v>
      </c>
      <c r="AF37" s="4722"/>
      <c r="AG37" s="4909"/>
      <c r="AH37" s="4909"/>
      <c r="AI37" s="5105">
        <f t="shared" si="9"/>
        <v>0</v>
      </c>
      <c r="AJ37" s="5107">
        <f t="shared" si="10"/>
        <v>0</v>
      </c>
      <c r="AK37" s="4722"/>
      <c r="AL37" s="4722"/>
      <c r="AM37" s="4909"/>
      <c r="AN37" s="5105">
        <f t="shared" si="11"/>
        <v>0</v>
      </c>
      <c r="AO37" s="4727"/>
      <c r="AP37" s="4727"/>
      <c r="AQ37" s="5101"/>
      <c r="AR37" s="5106">
        <f t="shared" si="12"/>
        <v>0</v>
      </c>
      <c r="AS37" s="5107">
        <f t="shared" si="13"/>
        <v>0</v>
      </c>
      <c r="AT37" s="5038">
        <f t="shared" si="14"/>
        <v>0</v>
      </c>
      <c r="AU37" s="5102">
        <f t="shared" si="15"/>
        <v>0</v>
      </c>
    </row>
    <row r="38" spans="5:47" ht="16" x14ac:dyDescent="0.2">
      <c r="E38" s="4932" t="s">
        <v>1797</v>
      </c>
      <c r="F38" s="4719">
        <v>0</v>
      </c>
      <c r="G38" s="4722">
        <v>0</v>
      </c>
      <c r="H38" s="5698">
        <f t="shared" si="1"/>
        <v>0</v>
      </c>
      <c r="I38" s="5698"/>
      <c r="J38" s="4720"/>
      <c r="K38" s="4720"/>
      <c r="L38" s="5106">
        <f t="shared" si="16"/>
        <v>0</v>
      </c>
      <c r="M38" s="4720"/>
      <c r="N38" s="4720"/>
      <c r="O38" s="4727"/>
      <c r="P38" s="5106">
        <f t="shared" si="2"/>
        <v>0</v>
      </c>
      <c r="Q38" s="5107">
        <f t="shared" si="3"/>
        <v>0</v>
      </c>
      <c r="R38" s="4720"/>
      <c r="S38" s="4720"/>
      <c r="T38" s="4727"/>
      <c r="U38" s="5106">
        <f t="shared" si="4"/>
        <v>0</v>
      </c>
      <c r="V38" s="4727"/>
      <c r="W38" s="4727"/>
      <c r="X38" s="4720"/>
      <c r="Y38" s="5106">
        <f t="shared" si="5"/>
        <v>0</v>
      </c>
      <c r="Z38" s="5107">
        <f t="shared" si="6"/>
        <v>0</v>
      </c>
      <c r="AA38" s="5109">
        <f t="shared" si="7"/>
        <v>0</v>
      </c>
      <c r="AB38" s="4722"/>
      <c r="AC38" s="4722"/>
      <c r="AD38" s="4722"/>
      <c r="AE38" s="5106">
        <f t="shared" si="8"/>
        <v>0</v>
      </c>
      <c r="AF38" s="4722"/>
      <c r="AG38" s="4909"/>
      <c r="AH38" s="4909"/>
      <c r="AI38" s="5105">
        <f t="shared" si="9"/>
        <v>0</v>
      </c>
      <c r="AJ38" s="5107">
        <f t="shared" si="10"/>
        <v>0</v>
      </c>
      <c r="AK38" s="4722"/>
      <c r="AL38" s="4722"/>
      <c r="AM38" s="4909"/>
      <c r="AN38" s="5105">
        <f t="shared" si="11"/>
        <v>0</v>
      </c>
      <c r="AO38" s="4727"/>
      <c r="AP38" s="4727"/>
      <c r="AQ38" s="5101"/>
      <c r="AR38" s="5106">
        <f t="shared" si="12"/>
        <v>0</v>
      </c>
      <c r="AS38" s="5107">
        <f t="shared" si="13"/>
        <v>0</v>
      </c>
      <c r="AT38" s="5038">
        <f t="shared" si="14"/>
        <v>0</v>
      </c>
      <c r="AU38" s="5102">
        <f t="shared" si="15"/>
        <v>0</v>
      </c>
    </row>
    <row r="39" spans="5:47" ht="16" x14ac:dyDescent="0.2">
      <c r="E39" s="4932" t="s">
        <v>1794</v>
      </c>
      <c r="F39" s="4719">
        <v>0</v>
      </c>
      <c r="G39" s="4722">
        <v>0</v>
      </c>
      <c r="H39" s="5698">
        <f t="shared" si="1"/>
        <v>0</v>
      </c>
      <c r="I39" s="5698"/>
      <c r="J39" s="4720"/>
      <c r="K39" s="4720"/>
      <c r="L39" s="5106">
        <f t="shared" si="16"/>
        <v>0</v>
      </c>
      <c r="M39" s="4720"/>
      <c r="N39" s="4720"/>
      <c r="O39" s="4727"/>
      <c r="P39" s="5106">
        <f t="shared" si="2"/>
        <v>0</v>
      </c>
      <c r="Q39" s="5107">
        <f t="shared" si="3"/>
        <v>0</v>
      </c>
      <c r="R39" s="4720"/>
      <c r="S39" s="4720"/>
      <c r="T39" s="4727"/>
      <c r="U39" s="5106">
        <f t="shared" si="4"/>
        <v>0</v>
      </c>
      <c r="V39" s="4727"/>
      <c r="W39" s="4727"/>
      <c r="X39" s="4720"/>
      <c r="Y39" s="5106">
        <f t="shared" si="5"/>
        <v>0</v>
      </c>
      <c r="Z39" s="5107">
        <f t="shared" si="6"/>
        <v>0</v>
      </c>
      <c r="AA39" s="5109">
        <f t="shared" si="7"/>
        <v>0</v>
      </c>
      <c r="AB39" s="4722"/>
      <c r="AC39" s="4722"/>
      <c r="AD39" s="4722"/>
      <c r="AE39" s="5106">
        <f t="shared" si="8"/>
        <v>0</v>
      </c>
      <c r="AF39" s="4722"/>
      <c r="AG39" s="4909"/>
      <c r="AH39" s="4909"/>
      <c r="AI39" s="5105">
        <f t="shared" si="9"/>
        <v>0</v>
      </c>
      <c r="AJ39" s="5107">
        <f t="shared" si="10"/>
        <v>0</v>
      </c>
      <c r="AK39" s="4722"/>
      <c r="AL39" s="4722"/>
      <c r="AM39" s="4909"/>
      <c r="AN39" s="5105">
        <f t="shared" si="11"/>
        <v>0</v>
      </c>
      <c r="AO39" s="4727"/>
      <c r="AP39" s="4727"/>
      <c r="AQ39" s="5101"/>
      <c r="AR39" s="5106">
        <f t="shared" si="12"/>
        <v>0</v>
      </c>
      <c r="AS39" s="5107">
        <f t="shared" si="13"/>
        <v>0</v>
      </c>
      <c r="AT39" s="5038">
        <f t="shared" si="14"/>
        <v>0</v>
      </c>
      <c r="AU39" s="5102">
        <f t="shared" si="15"/>
        <v>0</v>
      </c>
    </row>
    <row r="40" spans="5:47" ht="16" x14ac:dyDescent="0.2">
      <c r="E40" s="4932" t="s">
        <v>1976</v>
      </c>
      <c r="F40" s="4719">
        <v>0</v>
      </c>
      <c r="G40" s="4722">
        <v>0</v>
      </c>
      <c r="H40" s="5698">
        <f t="shared" si="1"/>
        <v>0</v>
      </c>
      <c r="I40" s="5698"/>
      <c r="J40" s="4720">
        <v>304.58999999999997</v>
      </c>
      <c r="K40" s="4720"/>
      <c r="L40" s="5106"/>
      <c r="M40" s="4720"/>
      <c r="N40" s="4720"/>
      <c r="O40" s="4727"/>
      <c r="P40" s="5106"/>
      <c r="Q40" s="5107"/>
      <c r="R40" s="4720"/>
      <c r="S40" s="4720"/>
      <c r="T40" s="4727"/>
      <c r="U40" s="5106"/>
      <c r="V40" s="4727"/>
      <c r="W40" s="4727"/>
      <c r="X40" s="4720"/>
      <c r="Y40" s="5106"/>
      <c r="Z40" s="5107"/>
      <c r="AA40" s="5109"/>
      <c r="AB40" s="4722"/>
      <c r="AC40" s="4722"/>
      <c r="AD40" s="4722"/>
      <c r="AE40" s="5106"/>
      <c r="AF40" s="4722"/>
      <c r="AG40" s="4909"/>
      <c r="AH40" s="4909"/>
      <c r="AI40" s="5105"/>
      <c r="AJ40" s="5107"/>
      <c r="AK40" s="4722"/>
      <c r="AL40" s="4722"/>
      <c r="AM40" s="4909"/>
      <c r="AN40" s="5105"/>
      <c r="AO40" s="4727"/>
      <c r="AP40" s="4727"/>
      <c r="AQ40" s="5101"/>
      <c r="AR40" s="5106"/>
      <c r="AS40" s="5107"/>
      <c r="AT40" s="5038"/>
      <c r="AU40" s="5102"/>
    </row>
    <row r="41" spans="5:47" ht="16" x14ac:dyDescent="0.2">
      <c r="E41" s="4932" t="s">
        <v>1848</v>
      </c>
      <c r="F41" s="4719">
        <v>0</v>
      </c>
      <c r="G41" s="4722">
        <v>0</v>
      </c>
      <c r="H41" s="5698">
        <f t="shared" si="1"/>
        <v>0</v>
      </c>
      <c r="I41" s="5698"/>
      <c r="J41" s="4720"/>
      <c r="K41" s="4720"/>
      <c r="L41" s="5106">
        <f t="shared" ref="L41:L50" si="17">SUM(F41:K41)</f>
        <v>0</v>
      </c>
      <c r="M41" s="4720"/>
      <c r="N41" s="4720"/>
      <c r="O41" s="4727"/>
      <c r="P41" s="5106">
        <f t="shared" si="2"/>
        <v>0</v>
      </c>
      <c r="Q41" s="5107">
        <f t="shared" si="3"/>
        <v>0</v>
      </c>
      <c r="R41" s="4720"/>
      <c r="S41" s="4720"/>
      <c r="T41" s="4727"/>
      <c r="U41" s="5106">
        <f t="shared" si="4"/>
        <v>0</v>
      </c>
      <c r="V41" s="4727"/>
      <c r="W41" s="4727"/>
      <c r="X41" s="4720"/>
      <c r="Y41" s="5106">
        <f t="shared" si="5"/>
        <v>0</v>
      </c>
      <c r="Z41" s="5107">
        <f t="shared" si="6"/>
        <v>0</v>
      </c>
      <c r="AA41" s="5109">
        <f t="shared" si="7"/>
        <v>0</v>
      </c>
      <c r="AB41" s="4722"/>
      <c r="AC41" s="4722"/>
      <c r="AD41" s="4722"/>
      <c r="AE41" s="5106">
        <f t="shared" si="8"/>
        <v>0</v>
      </c>
      <c r="AF41" s="4722"/>
      <c r="AG41" s="4909"/>
      <c r="AH41" s="4909"/>
      <c r="AI41" s="5105"/>
      <c r="AJ41" s="5107"/>
      <c r="AK41" s="4722"/>
      <c r="AL41" s="4722"/>
      <c r="AM41" s="4909"/>
      <c r="AN41" s="5105"/>
      <c r="AO41" s="4727"/>
      <c r="AP41" s="4727"/>
      <c r="AQ41" s="5101"/>
      <c r="AR41" s="5106">
        <f t="shared" si="12"/>
        <v>0</v>
      </c>
      <c r="AS41" s="5107">
        <f t="shared" si="13"/>
        <v>0</v>
      </c>
      <c r="AT41" s="5038">
        <f t="shared" si="14"/>
        <v>0</v>
      </c>
      <c r="AU41" s="5102">
        <f t="shared" si="15"/>
        <v>0</v>
      </c>
    </row>
    <row r="42" spans="5:47" ht="16" x14ac:dyDescent="0.2">
      <c r="E42" s="4932" t="s">
        <v>1752</v>
      </c>
      <c r="F42" s="4719">
        <v>0</v>
      </c>
      <c r="G42" s="4722">
        <v>0</v>
      </c>
      <c r="H42" s="5698">
        <f t="shared" si="1"/>
        <v>0</v>
      </c>
      <c r="I42" s="5698"/>
      <c r="J42" s="4720"/>
      <c r="K42" s="4720"/>
      <c r="L42" s="5106">
        <f t="shared" si="17"/>
        <v>0</v>
      </c>
      <c r="M42" s="4720"/>
      <c r="N42" s="4720"/>
      <c r="O42" s="4727"/>
      <c r="P42" s="5106">
        <f t="shared" si="2"/>
        <v>0</v>
      </c>
      <c r="Q42" s="5107">
        <f t="shared" si="3"/>
        <v>0</v>
      </c>
      <c r="R42" s="4720"/>
      <c r="S42" s="4720"/>
      <c r="T42" s="4727"/>
      <c r="U42" s="5106">
        <f t="shared" si="4"/>
        <v>0</v>
      </c>
      <c r="V42" s="4727"/>
      <c r="W42" s="4727"/>
      <c r="X42" s="4720"/>
      <c r="Y42" s="5106">
        <f t="shared" si="5"/>
        <v>0</v>
      </c>
      <c r="Z42" s="5107">
        <f t="shared" si="6"/>
        <v>0</v>
      </c>
      <c r="AA42" s="5109">
        <f t="shared" si="7"/>
        <v>0</v>
      </c>
      <c r="AB42" s="4722"/>
      <c r="AC42" s="4722"/>
      <c r="AD42" s="4722"/>
      <c r="AE42" s="5106">
        <f t="shared" si="8"/>
        <v>0</v>
      </c>
      <c r="AF42" s="4722"/>
      <c r="AG42" s="4909"/>
      <c r="AH42" s="4909"/>
      <c r="AI42" s="5105">
        <f t="shared" si="9"/>
        <v>0</v>
      </c>
      <c r="AJ42" s="5107">
        <f t="shared" si="10"/>
        <v>0</v>
      </c>
      <c r="AK42" s="4722"/>
      <c r="AL42" s="4722"/>
      <c r="AM42" s="4909"/>
      <c r="AN42" s="5105">
        <f t="shared" si="11"/>
        <v>0</v>
      </c>
      <c r="AO42" s="4727"/>
      <c r="AP42" s="4727"/>
      <c r="AQ42" s="5101"/>
      <c r="AR42" s="5106">
        <f t="shared" si="12"/>
        <v>0</v>
      </c>
      <c r="AS42" s="5107">
        <f t="shared" si="13"/>
        <v>0</v>
      </c>
      <c r="AT42" s="5038">
        <f t="shared" si="14"/>
        <v>0</v>
      </c>
      <c r="AU42" s="5102">
        <f t="shared" si="15"/>
        <v>0</v>
      </c>
    </row>
    <row r="43" spans="5:47" ht="16" x14ac:dyDescent="0.2">
      <c r="E43" s="4932" t="s">
        <v>1753</v>
      </c>
      <c r="F43" s="4719">
        <v>0</v>
      </c>
      <c r="G43" s="4722">
        <v>0</v>
      </c>
      <c r="H43" s="5698">
        <f t="shared" si="1"/>
        <v>0</v>
      </c>
      <c r="I43" s="5698"/>
      <c r="J43" s="4720">
        <v>310.98</v>
      </c>
      <c r="K43" s="4720"/>
      <c r="L43" s="5106">
        <f t="shared" si="17"/>
        <v>310.98</v>
      </c>
      <c r="M43" s="4720"/>
      <c r="N43" s="4720"/>
      <c r="O43" s="4727"/>
      <c r="P43" s="5106">
        <f t="shared" si="2"/>
        <v>0</v>
      </c>
      <c r="Q43" s="5107">
        <f t="shared" si="3"/>
        <v>310.98</v>
      </c>
      <c r="R43" s="4720"/>
      <c r="S43" s="4720"/>
      <c r="T43" s="4727"/>
      <c r="U43" s="5106">
        <f t="shared" si="4"/>
        <v>0</v>
      </c>
      <c r="V43" s="4727"/>
      <c r="W43" s="4727"/>
      <c r="X43" s="4720"/>
      <c r="Y43" s="5106">
        <f t="shared" si="5"/>
        <v>0</v>
      </c>
      <c r="Z43" s="5107">
        <f t="shared" si="6"/>
        <v>0</v>
      </c>
      <c r="AA43" s="5109">
        <f t="shared" si="7"/>
        <v>310.98</v>
      </c>
      <c r="AB43" s="4722"/>
      <c r="AC43" s="4722"/>
      <c r="AD43" s="4722"/>
      <c r="AE43" s="5106">
        <f t="shared" si="8"/>
        <v>0</v>
      </c>
      <c r="AF43" s="4722"/>
      <c r="AG43" s="4909"/>
      <c r="AH43" s="4909"/>
      <c r="AI43" s="5105">
        <f t="shared" si="9"/>
        <v>0</v>
      </c>
      <c r="AJ43" s="5107">
        <f t="shared" si="10"/>
        <v>0</v>
      </c>
      <c r="AK43" s="4722"/>
      <c r="AL43" s="4722"/>
      <c r="AM43" s="4909"/>
      <c r="AN43" s="5105">
        <f t="shared" si="11"/>
        <v>0</v>
      </c>
      <c r="AO43" s="4727"/>
      <c r="AP43" s="4727"/>
      <c r="AQ43" s="5101"/>
      <c r="AR43" s="5106">
        <f t="shared" si="12"/>
        <v>0</v>
      </c>
      <c r="AS43" s="5107">
        <f t="shared" si="13"/>
        <v>0</v>
      </c>
      <c r="AT43" s="5038">
        <f t="shared" si="14"/>
        <v>0</v>
      </c>
      <c r="AU43" s="5102">
        <f t="shared" si="15"/>
        <v>310.98</v>
      </c>
    </row>
    <row r="44" spans="5:47" ht="16" x14ac:dyDescent="0.2">
      <c r="E44" s="4932" t="s">
        <v>1795</v>
      </c>
      <c r="F44" s="4719">
        <v>0</v>
      </c>
      <c r="G44" s="4722">
        <v>0</v>
      </c>
      <c r="H44" s="5698">
        <f t="shared" si="1"/>
        <v>0</v>
      </c>
      <c r="I44" s="5698"/>
      <c r="J44" s="4720">
        <v>151.22999999999999</v>
      </c>
      <c r="K44" s="4720"/>
      <c r="L44" s="5106">
        <f t="shared" si="17"/>
        <v>151.22999999999999</v>
      </c>
      <c r="M44" s="4720"/>
      <c r="N44" s="4720"/>
      <c r="O44" s="4727"/>
      <c r="P44" s="5106">
        <f t="shared" si="2"/>
        <v>0</v>
      </c>
      <c r="Q44" s="5107">
        <f t="shared" si="3"/>
        <v>151.22999999999999</v>
      </c>
      <c r="R44" s="4720"/>
      <c r="S44" s="4720"/>
      <c r="T44" s="4727"/>
      <c r="U44" s="5106">
        <f t="shared" si="4"/>
        <v>0</v>
      </c>
      <c r="V44" s="4727"/>
      <c r="W44" s="4727"/>
      <c r="X44" s="4720"/>
      <c r="Y44" s="5106">
        <f t="shared" si="5"/>
        <v>0</v>
      </c>
      <c r="Z44" s="5107">
        <f t="shared" si="6"/>
        <v>0</v>
      </c>
      <c r="AA44" s="5109">
        <f t="shared" si="7"/>
        <v>151.22999999999999</v>
      </c>
      <c r="AB44" s="4722"/>
      <c r="AC44" s="4722"/>
      <c r="AD44" s="4722"/>
      <c r="AE44" s="5106">
        <f t="shared" si="8"/>
        <v>0</v>
      </c>
      <c r="AF44" s="4722"/>
      <c r="AG44" s="4909"/>
      <c r="AH44" s="4909"/>
      <c r="AI44" s="5105">
        <f t="shared" si="9"/>
        <v>0</v>
      </c>
      <c r="AJ44" s="5107">
        <f t="shared" si="10"/>
        <v>0</v>
      </c>
      <c r="AK44" s="4722"/>
      <c r="AL44" s="4722"/>
      <c r="AM44" s="4909"/>
      <c r="AN44" s="5105">
        <f t="shared" si="11"/>
        <v>0</v>
      </c>
      <c r="AO44" s="4727"/>
      <c r="AP44" s="4727"/>
      <c r="AQ44" s="5101"/>
      <c r="AR44" s="5106">
        <f t="shared" si="12"/>
        <v>0</v>
      </c>
      <c r="AS44" s="5107">
        <f t="shared" si="13"/>
        <v>0</v>
      </c>
      <c r="AT44" s="5038">
        <f t="shared" si="14"/>
        <v>0</v>
      </c>
      <c r="AU44" s="5102">
        <f t="shared" si="15"/>
        <v>151.22999999999999</v>
      </c>
    </row>
    <row r="45" spans="5:47" ht="16" x14ac:dyDescent="0.2">
      <c r="E45" s="4932" t="s">
        <v>1663</v>
      </c>
      <c r="F45" s="4719">
        <v>0</v>
      </c>
      <c r="G45" s="4722">
        <v>0</v>
      </c>
      <c r="H45" s="5698">
        <f t="shared" si="1"/>
        <v>0</v>
      </c>
      <c r="I45" s="5698"/>
      <c r="J45" s="4720"/>
      <c r="K45" s="4720"/>
      <c r="L45" s="5106">
        <f t="shared" si="17"/>
        <v>0</v>
      </c>
      <c r="M45" s="4720"/>
      <c r="N45" s="4720"/>
      <c r="O45" s="4727"/>
      <c r="P45" s="5106">
        <f t="shared" si="2"/>
        <v>0</v>
      </c>
      <c r="Q45" s="5107">
        <f t="shared" si="3"/>
        <v>0</v>
      </c>
      <c r="R45" s="4720"/>
      <c r="S45" s="4720"/>
      <c r="T45" s="4727"/>
      <c r="U45" s="5106">
        <f t="shared" si="4"/>
        <v>0</v>
      </c>
      <c r="V45" s="4727"/>
      <c r="W45" s="4727"/>
      <c r="X45" s="4720"/>
      <c r="Y45" s="5106">
        <f t="shared" si="5"/>
        <v>0</v>
      </c>
      <c r="Z45" s="5107">
        <f t="shared" si="6"/>
        <v>0</v>
      </c>
      <c r="AA45" s="5109">
        <f t="shared" si="7"/>
        <v>0</v>
      </c>
      <c r="AB45" s="4722"/>
      <c r="AC45" s="4720"/>
      <c r="AD45" s="4720"/>
      <c r="AE45" s="5106">
        <f t="shared" si="8"/>
        <v>0</v>
      </c>
      <c r="AF45" s="4720"/>
      <c r="AG45" s="4727"/>
      <c r="AH45" s="4727"/>
      <c r="AI45" s="5105">
        <f t="shared" si="9"/>
        <v>0</v>
      </c>
      <c r="AJ45" s="5107">
        <f t="shared" si="10"/>
        <v>0</v>
      </c>
      <c r="AK45" s="4720"/>
      <c r="AL45" s="4720"/>
      <c r="AM45" s="4909"/>
      <c r="AN45" s="5105">
        <f t="shared" si="11"/>
        <v>0</v>
      </c>
      <c r="AO45" s="4727"/>
      <c r="AP45" s="4727"/>
      <c r="AQ45" s="5101"/>
      <c r="AR45" s="5106">
        <f t="shared" si="12"/>
        <v>0</v>
      </c>
      <c r="AS45" s="5107">
        <f t="shared" si="13"/>
        <v>0</v>
      </c>
      <c r="AT45" s="5038">
        <f t="shared" si="14"/>
        <v>0</v>
      </c>
      <c r="AU45" s="5102">
        <f t="shared" si="15"/>
        <v>0</v>
      </c>
    </row>
    <row r="46" spans="5:47" ht="16" x14ac:dyDescent="0.2">
      <c r="E46" s="4932" t="s">
        <v>1603</v>
      </c>
      <c r="F46" s="4719">
        <v>340.8</v>
      </c>
      <c r="G46" s="4722">
        <v>796.62</v>
      </c>
      <c r="H46" s="5698">
        <f t="shared" si="1"/>
        <v>1137.42</v>
      </c>
      <c r="I46" s="5698"/>
      <c r="J46" s="4720"/>
      <c r="K46" s="4720"/>
      <c r="L46" s="5106">
        <f t="shared" si="17"/>
        <v>2274.84</v>
      </c>
      <c r="M46" s="4720"/>
      <c r="N46" s="4720"/>
      <c r="O46" s="4727"/>
      <c r="P46" s="5106">
        <f t="shared" si="2"/>
        <v>0</v>
      </c>
      <c r="Q46" s="5107">
        <f t="shared" si="3"/>
        <v>2274.84</v>
      </c>
      <c r="R46" s="4720"/>
      <c r="S46" s="4720"/>
      <c r="T46" s="4727"/>
      <c r="U46" s="5106">
        <f t="shared" si="4"/>
        <v>0</v>
      </c>
      <c r="V46" s="4727"/>
      <c r="W46" s="4727"/>
      <c r="X46" s="4720"/>
      <c r="Y46" s="5106">
        <f t="shared" si="5"/>
        <v>0</v>
      </c>
      <c r="Z46" s="5107">
        <f t="shared" si="6"/>
        <v>0</v>
      </c>
      <c r="AA46" s="5109">
        <f t="shared" si="7"/>
        <v>2274.84</v>
      </c>
      <c r="AB46" s="4722">
        <v>796.62</v>
      </c>
      <c r="AC46" s="4720">
        <v>153.36000000000001</v>
      </c>
      <c r="AD46" s="4720"/>
      <c r="AE46" s="5106">
        <f t="shared" si="8"/>
        <v>949.98</v>
      </c>
      <c r="AF46" s="4720"/>
      <c r="AG46" s="4727"/>
      <c r="AH46" s="4727"/>
      <c r="AI46" s="5105">
        <f t="shared" si="9"/>
        <v>0</v>
      </c>
      <c r="AJ46" s="5107">
        <f t="shared" si="10"/>
        <v>949.98</v>
      </c>
      <c r="AK46" s="4720"/>
      <c r="AL46" s="4973"/>
      <c r="AM46" s="4909"/>
      <c r="AN46" s="5105">
        <f t="shared" si="11"/>
        <v>0</v>
      </c>
      <c r="AO46" s="4909"/>
      <c r="AP46" s="4909"/>
      <c r="AQ46" s="5101"/>
      <c r="AR46" s="5106">
        <f t="shared" si="12"/>
        <v>0</v>
      </c>
      <c r="AS46" s="5107">
        <f t="shared" si="13"/>
        <v>0</v>
      </c>
      <c r="AT46" s="5038">
        <f t="shared" si="14"/>
        <v>949.98</v>
      </c>
      <c r="AU46" s="5102">
        <f t="shared" si="15"/>
        <v>3224.82</v>
      </c>
    </row>
    <row r="47" spans="5:47" ht="16" x14ac:dyDescent="0.2">
      <c r="E47" s="4932" t="s">
        <v>1604</v>
      </c>
      <c r="F47" s="4719">
        <v>0</v>
      </c>
      <c r="G47" s="4722">
        <v>0</v>
      </c>
      <c r="H47" s="5698">
        <f t="shared" si="1"/>
        <v>0</v>
      </c>
      <c r="I47" s="5698"/>
      <c r="J47" s="4720"/>
      <c r="K47" s="4720"/>
      <c r="L47" s="5106">
        <f t="shared" si="17"/>
        <v>0</v>
      </c>
      <c r="M47" s="4720"/>
      <c r="N47" s="4720"/>
      <c r="O47" s="4727"/>
      <c r="P47" s="5106">
        <f t="shared" si="2"/>
        <v>0</v>
      </c>
      <c r="Q47" s="5107">
        <f t="shared" si="3"/>
        <v>0</v>
      </c>
      <c r="R47" s="4720"/>
      <c r="S47" s="4720"/>
      <c r="T47" s="4727"/>
      <c r="U47" s="5106">
        <f t="shared" si="4"/>
        <v>0</v>
      </c>
      <c r="V47" s="4727"/>
      <c r="W47" s="4727"/>
      <c r="X47" s="4720"/>
      <c r="Y47" s="5106">
        <f t="shared" si="5"/>
        <v>0</v>
      </c>
      <c r="Z47" s="5107">
        <f t="shared" si="6"/>
        <v>0</v>
      </c>
      <c r="AA47" s="5109">
        <f t="shared" si="7"/>
        <v>0</v>
      </c>
      <c r="AB47" s="4722"/>
      <c r="AC47" s="4720"/>
      <c r="AD47" s="4720"/>
      <c r="AE47" s="5106">
        <f t="shared" si="8"/>
        <v>0</v>
      </c>
      <c r="AF47" s="4720"/>
      <c r="AG47" s="4727"/>
      <c r="AH47" s="4727"/>
      <c r="AI47" s="5105">
        <f t="shared" si="9"/>
        <v>0</v>
      </c>
      <c r="AJ47" s="5107">
        <f t="shared" si="10"/>
        <v>0</v>
      </c>
      <c r="AK47" s="4720"/>
      <c r="AL47" s="4720"/>
      <c r="AM47" s="4909"/>
      <c r="AN47" s="5105">
        <f t="shared" si="11"/>
        <v>0</v>
      </c>
      <c r="AO47" s="4727"/>
      <c r="AP47" s="4727"/>
      <c r="AQ47" s="5101"/>
      <c r="AR47" s="5106">
        <f t="shared" si="12"/>
        <v>0</v>
      </c>
      <c r="AS47" s="5107">
        <f t="shared" si="13"/>
        <v>0</v>
      </c>
      <c r="AT47" s="5038">
        <f t="shared" si="14"/>
        <v>0</v>
      </c>
      <c r="AU47" s="5102">
        <f t="shared" si="15"/>
        <v>0</v>
      </c>
    </row>
    <row r="48" spans="5:47" ht="16" x14ac:dyDescent="0.2">
      <c r="E48" s="4932" t="s">
        <v>1856</v>
      </c>
      <c r="F48" s="4719">
        <v>0</v>
      </c>
      <c r="G48" s="4722">
        <v>0</v>
      </c>
      <c r="H48" s="5698">
        <f t="shared" si="1"/>
        <v>0</v>
      </c>
      <c r="I48" s="5698"/>
      <c r="J48" s="4720"/>
      <c r="K48" s="4720"/>
      <c r="L48" s="5106">
        <f t="shared" si="17"/>
        <v>0</v>
      </c>
      <c r="M48" s="4720"/>
      <c r="N48" s="4720"/>
      <c r="O48" s="4727"/>
      <c r="P48" s="5106">
        <f t="shared" si="2"/>
        <v>0</v>
      </c>
      <c r="Q48" s="5107">
        <f t="shared" si="3"/>
        <v>0</v>
      </c>
      <c r="R48" s="4720"/>
      <c r="S48" s="4720"/>
      <c r="T48" s="4727"/>
      <c r="U48" s="5106">
        <f t="shared" si="4"/>
        <v>0</v>
      </c>
      <c r="V48" s="4727"/>
      <c r="W48" s="4727"/>
      <c r="X48" s="4720"/>
      <c r="Y48" s="5106">
        <f t="shared" si="5"/>
        <v>0</v>
      </c>
      <c r="Z48" s="5107">
        <f t="shared" si="6"/>
        <v>0</v>
      </c>
      <c r="AA48" s="5109">
        <f t="shared" si="7"/>
        <v>0</v>
      </c>
      <c r="AB48" s="4722"/>
      <c r="AC48" s="4720"/>
      <c r="AD48" s="4720"/>
      <c r="AE48" s="5106">
        <f t="shared" si="8"/>
        <v>0</v>
      </c>
      <c r="AF48" s="4720"/>
      <c r="AG48" s="4727"/>
      <c r="AH48" s="4727"/>
      <c r="AI48" s="5105">
        <f t="shared" si="9"/>
        <v>0</v>
      </c>
      <c r="AJ48" s="5107">
        <f t="shared" si="10"/>
        <v>0</v>
      </c>
      <c r="AK48" s="4720"/>
      <c r="AL48" s="4720"/>
      <c r="AM48" s="4727"/>
      <c r="AN48" s="5105">
        <f t="shared" si="11"/>
        <v>0</v>
      </c>
      <c r="AO48" s="4727"/>
      <c r="AP48" s="4727"/>
      <c r="AQ48" s="5101"/>
      <c r="AR48" s="5106">
        <f t="shared" si="12"/>
        <v>0</v>
      </c>
      <c r="AS48" s="5107">
        <f t="shared" si="13"/>
        <v>0</v>
      </c>
      <c r="AT48" s="5038">
        <f t="shared" si="14"/>
        <v>0</v>
      </c>
      <c r="AU48" s="5102">
        <f t="shared" si="15"/>
        <v>0</v>
      </c>
    </row>
    <row r="49" spans="5:48" ht="16" x14ac:dyDescent="0.2">
      <c r="E49" s="4932" t="s">
        <v>1855</v>
      </c>
      <c r="F49" s="4719">
        <v>0</v>
      </c>
      <c r="G49" s="4722">
        <v>0</v>
      </c>
      <c r="H49" s="5698">
        <f t="shared" si="1"/>
        <v>0</v>
      </c>
      <c r="I49" s="5698"/>
      <c r="J49" s="4720"/>
      <c r="K49" s="4720"/>
      <c r="L49" s="5106">
        <f t="shared" si="17"/>
        <v>0</v>
      </c>
      <c r="M49" s="4720"/>
      <c r="N49" s="4720"/>
      <c r="O49" s="4727"/>
      <c r="P49" s="5106">
        <f t="shared" si="2"/>
        <v>0</v>
      </c>
      <c r="Q49" s="5107">
        <f t="shared" si="3"/>
        <v>0</v>
      </c>
      <c r="R49" s="4720"/>
      <c r="S49" s="4720"/>
      <c r="T49" s="4727"/>
      <c r="U49" s="5106">
        <f t="shared" si="4"/>
        <v>0</v>
      </c>
      <c r="V49" s="4727"/>
      <c r="W49" s="4727"/>
      <c r="X49" s="4720"/>
      <c r="Y49" s="5106">
        <f t="shared" si="5"/>
        <v>0</v>
      </c>
      <c r="Z49" s="5107">
        <f t="shared" si="6"/>
        <v>0</v>
      </c>
      <c r="AA49" s="5109">
        <f t="shared" si="7"/>
        <v>0</v>
      </c>
      <c r="AB49" s="4722"/>
      <c r="AC49" s="4720"/>
      <c r="AD49" s="4720"/>
      <c r="AE49" s="5106">
        <f t="shared" si="8"/>
        <v>0</v>
      </c>
      <c r="AF49" s="4720"/>
      <c r="AG49" s="4727"/>
      <c r="AH49" s="4727"/>
      <c r="AI49" s="5105">
        <f t="shared" si="9"/>
        <v>0</v>
      </c>
      <c r="AJ49" s="5107">
        <f t="shared" si="10"/>
        <v>0</v>
      </c>
      <c r="AK49" s="4720"/>
      <c r="AL49" s="4720"/>
      <c r="AM49" s="4909"/>
      <c r="AN49" s="5105">
        <f t="shared" si="11"/>
        <v>0</v>
      </c>
      <c r="AO49" s="4727"/>
      <c r="AP49" s="4727"/>
      <c r="AQ49" s="5101"/>
      <c r="AR49" s="5106">
        <f t="shared" si="12"/>
        <v>0</v>
      </c>
      <c r="AS49" s="5107">
        <f t="shared" si="13"/>
        <v>0</v>
      </c>
      <c r="AT49" s="5038">
        <f t="shared" si="14"/>
        <v>0</v>
      </c>
      <c r="AU49" s="5102">
        <f t="shared" si="15"/>
        <v>0</v>
      </c>
    </row>
    <row r="50" spans="5:48" ht="17" thickBot="1" x14ac:dyDescent="0.25">
      <c r="E50" s="4967" t="s">
        <v>1613</v>
      </c>
      <c r="F50" s="4719">
        <v>0</v>
      </c>
      <c r="G50" s="4725">
        <v>153.36000000000001</v>
      </c>
      <c r="H50" s="5698">
        <f t="shared" si="1"/>
        <v>153.36000000000001</v>
      </c>
      <c r="I50" s="5707"/>
      <c r="J50" s="4724"/>
      <c r="K50" s="4724"/>
      <c r="L50" s="5106">
        <f t="shared" si="17"/>
        <v>306.72000000000003</v>
      </c>
      <c r="M50" s="4724"/>
      <c r="N50" s="4724"/>
      <c r="O50" s="4798"/>
      <c r="P50" s="5106">
        <f t="shared" si="2"/>
        <v>0</v>
      </c>
      <c r="Q50" s="5107">
        <f t="shared" si="3"/>
        <v>306.72000000000003</v>
      </c>
      <c r="R50" s="4724"/>
      <c r="S50" s="4724"/>
      <c r="T50" s="4798"/>
      <c r="U50" s="5106">
        <f t="shared" si="4"/>
        <v>0</v>
      </c>
      <c r="V50" s="4727"/>
      <c r="W50" s="4727"/>
      <c r="X50" s="4720"/>
      <c r="Y50" s="5106">
        <f t="shared" si="5"/>
        <v>0</v>
      </c>
      <c r="Z50" s="5107">
        <f t="shared" si="6"/>
        <v>0</v>
      </c>
      <c r="AA50" s="5109">
        <f t="shared" si="7"/>
        <v>306.72000000000003</v>
      </c>
      <c r="AB50" s="4725">
        <v>153.36000000000001</v>
      </c>
      <c r="AC50" s="4724"/>
      <c r="AD50" s="4724"/>
      <c r="AE50" s="5106">
        <f t="shared" si="8"/>
        <v>153.36000000000001</v>
      </c>
      <c r="AF50" s="4724"/>
      <c r="AG50" s="4798"/>
      <c r="AH50" s="4798"/>
      <c r="AI50" s="5105">
        <f t="shared" si="9"/>
        <v>0</v>
      </c>
      <c r="AJ50" s="5107">
        <f t="shared" si="10"/>
        <v>153.36000000000001</v>
      </c>
      <c r="AK50" s="4724"/>
      <c r="AL50" s="4724"/>
      <c r="AM50" s="4909"/>
      <c r="AN50" s="5105">
        <f t="shared" si="11"/>
        <v>0</v>
      </c>
      <c r="AO50" s="4727"/>
      <c r="AP50" s="4727"/>
      <c r="AQ50" s="5101"/>
      <c r="AR50" s="5106">
        <f t="shared" si="12"/>
        <v>0</v>
      </c>
      <c r="AS50" s="5107">
        <f t="shared" si="13"/>
        <v>0</v>
      </c>
      <c r="AT50" s="5038">
        <f t="shared" si="14"/>
        <v>153.36000000000001</v>
      </c>
      <c r="AU50" s="5102">
        <f t="shared" si="15"/>
        <v>460.08000000000004</v>
      </c>
    </row>
    <row r="51" spans="5:48" s="5120" customFormat="1" ht="17" thickBot="1" x14ac:dyDescent="0.25">
      <c r="E51" s="5115" t="s">
        <v>15</v>
      </c>
      <c r="F51" s="5116">
        <f t="shared" ref="F51:AT51" si="18">SUM(F7:F50)</f>
        <v>50600.280000000006</v>
      </c>
      <c r="G51" s="5116">
        <f t="shared" si="18"/>
        <v>56185.140000000007</v>
      </c>
      <c r="H51" s="5116">
        <f t="shared" si="18"/>
        <v>106785.42</v>
      </c>
      <c r="I51" s="5699">
        <v>73040</v>
      </c>
      <c r="J51" s="5117">
        <f t="shared" si="18"/>
        <v>51563.040000000008</v>
      </c>
      <c r="K51" s="5117">
        <f t="shared" si="18"/>
        <v>0</v>
      </c>
      <c r="L51" s="5117">
        <f t="shared" si="18"/>
        <v>256394.49000000002</v>
      </c>
      <c r="M51" s="5117">
        <f t="shared" si="18"/>
        <v>0</v>
      </c>
      <c r="N51" s="5117">
        <f t="shared" si="18"/>
        <v>0</v>
      </c>
      <c r="O51" s="5117">
        <f t="shared" si="18"/>
        <v>0</v>
      </c>
      <c r="P51" s="5117">
        <f t="shared" ref="P51:Z51" si="19">SUM(P7:P50)</f>
        <v>0</v>
      </c>
      <c r="Q51" s="5117">
        <f t="shared" si="19"/>
        <v>256394.49000000002</v>
      </c>
      <c r="R51" s="5117">
        <f t="shared" si="19"/>
        <v>0</v>
      </c>
      <c r="S51" s="5117">
        <f t="shared" si="19"/>
        <v>0</v>
      </c>
      <c r="T51" s="5117">
        <f t="shared" si="19"/>
        <v>0</v>
      </c>
      <c r="U51" s="5117">
        <f t="shared" si="19"/>
        <v>0</v>
      </c>
      <c r="V51" s="5117">
        <f t="shared" si="19"/>
        <v>0</v>
      </c>
      <c r="W51" s="5117">
        <f t="shared" si="19"/>
        <v>0</v>
      </c>
      <c r="X51" s="5117">
        <f t="shared" si="19"/>
        <v>0</v>
      </c>
      <c r="Y51" s="5117">
        <f t="shared" si="19"/>
        <v>0</v>
      </c>
      <c r="Z51" s="5117">
        <f t="shared" si="19"/>
        <v>0</v>
      </c>
      <c r="AA51" s="5117">
        <f t="shared" si="18"/>
        <v>256394.49000000002</v>
      </c>
      <c r="AB51" s="5116">
        <f t="shared" si="18"/>
        <v>56185.140000000007</v>
      </c>
      <c r="AC51" s="5117">
        <f t="shared" si="18"/>
        <v>45850.38</v>
      </c>
      <c r="AD51" s="5117">
        <f t="shared" si="18"/>
        <v>0</v>
      </c>
      <c r="AE51" s="5117">
        <f t="shared" ref="AE51" si="20">SUM(AE7:AE50)</f>
        <v>102035.51999999999</v>
      </c>
      <c r="AF51" s="5117">
        <f t="shared" si="18"/>
        <v>0</v>
      </c>
      <c r="AG51" s="5117">
        <f t="shared" si="18"/>
        <v>0</v>
      </c>
      <c r="AH51" s="5117">
        <f t="shared" si="18"/>
        <v>0</v>
      </c>
      <c r="AI51" s="5117">
        <f t="shared" si="18"/>
        <v>0</v>
      </c>
      <c r="AJ51" s="5117">
        <f t="shared" si="18"/>
        <v>102035.51999999999</v>
      </c>
      <c r="AK51" s="5117">
        <f t="shared" si="18"/>
        <v>0</v>
      </c>
      <c r="AL51" s="5117">
        <f t="shared" si="18"/>
        <v>0</v>
      </c>
      <c r="AM51" s="5117">
        <f t="shared" si="18"/>
        <v>0</v>
      </c>
      <c r="AN51" s="5117">
        <f t="shared" si="18"/>
        <v>0</v>
      </c>
      <c r="AO51" s="5117">
        <f t="shared" ref="AO51:AS51" si="21">SUM(AO7:AO50)</f>
        <v>0</v>
      </c>
      <c r="AP51" s="5117">
        <f t="shared" si="21"/>
        <v>0</v>
      </c>
      <c r="AQ51" s="5117">
        <f t="shared" si="21"/>
        <v>0</v>
      </c>
      <c r="AR51" s="5117">
        <f t="shared" si="21"/>
        <v>0</v>
      </c>
      <c r="AS51" s="5117">
        <f t="shared" si="21"/>
        <v>0</v>
      </c>
      <c r="AT51" s="5118">
        <f t="shared" si="18"/>
        <v>102035.51999999999</v>
      </c>
      <c r="AU51" s="5119">
        <f t="shared" si="15"/>
        <v>358430.01</v>
      </c>
    </row>
    <row r="53" spans="5:48" x14ac:dyDescent="0.2">
      <c r="F53" s="4726"/>
      <c r="G53" s="4726"/>
      <c r="H53" s="4726"/>
      <c r="I53" s="4726"/>
      <c r="M53" s="4726"/>
      <c r="N53" s="4726"/>
      <c r="O53" s="4726"/>
      <c r="P53" s="4726"/>
      <c r="Q53" s="4726"/>
      <c r="R53" s="4726"/>
      <c r="S53" s="4726"/>
      <c r="T53" s="5153"/>
      <c r="U53" s="4726"/>
      <c r="V53" s="5153"/>
      <c r="W53" s="5153"/>
      <c r="X53" s="4726"/>
      <c r="Y53" s="4726"/>
      <c r="Z53" s="4726"/>
      <c r="AA53" s="4726"/>
    </row>
    <row r="55" spans="5:48" x14ac:dyDescent="0.2">
      <c r="F55" s="4726"/>
      <c r="G55" s="4726"/>
      <c r="H55" s="4726"/>
      <c r="I55" s="4726"/>
    </row>
    <row r="56" spans="5:48" x14ac:dyDescent="0.2">
      <c r="F56" s="4726"/>
      <c r="G56" s="4726"/>
      <c r="H56" s="4726"/>
      <c r="I56" s="4726"/>
      <c r="AV56" s="4726"/>
    </row>
  </sheetData>
  <mergeCells count="4">
    <mergeCell ref="E2:AU2"/>
    <mergeCell ref="F4:AA4"/>
    <mergeCell ref="AB4:AT4"/>
    <mergeCell ref="F5:I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97575"/>
  </sheetPr>
  <dimension ref="A1:AR66"/>
  <sheetViews>
    <sheetView topLeftCell="E37" workbookViewId="0">
      <pane xSplit="1" topLeftCell="X1" activePane="topRight" state="frozen"/>
      <selection activeCell="E1" sqref="E1"/>
      <selection pane="topRight" activeCell="AM27" sqref="AM27"/>
    </sheetView>
  </sheetViews>
  <sheetFormatPr baseColWidth="10" defaultColWidth="9.1640625" defaultRowHeight="13" x14ac:dyDescent="0.2"/>
  <cols>
    <col min="1" max="4" width="9.1640625" style="4714"/>
    <col min="5" max="5" width="50.6640625" style="4713" bestFit="1" customWidth="1"/>
    <col min="6" max="6" width="8.5" style="4714" hidden="1" customWidth="1"/>
    <col min="7" max="7" width="9.1640625" style="4714" hidden="1" customWidth="1"/>
    <col min="8" max="8" width="8.33203125" style="4714" hidden="1" customWidth="1"/>
    <col min="9" max="9" width="7.83203125" style="4714" hidden="1" customWidth="1"/>
    <col min="10" max="12" width="8.5" style="4714" hidden="1" customWidth="1"/>
    <col min="13" max="14" width="7.83203125" style="4714" hidden="1" customWidth="1"/>
    <col min="15" max="15" width="8.5" style="4714" hidden="1" customWidth="1"/>
    <col min="16" max="16" width="9.83203125" style="4714" hidden="1" customWidth="1"/>
    <col min="17" max="17" width="8.5" style="5120" hidden="1" customWidth="1"/>
    <col min="18" max="18" width="9.83203125" style="4714" hidden="1" customWidth="1"/>
    <col min="19" max="20" width="9.83203125" style="5120" customWidth="1"/>
    <col min="21" max="23" width="9.83203125" style="4714" customWidth="1"/>
    <col min="24" max="25" width="8.5" style="4714" customWidth="1"/>
    <col min="26" max="26" width="9.1640625" style="4714" customWidth="1"/>
    <col min="27" max="29" width="8.33203125" style="4714" customWidth="1"/>
    <col min="30" max="30" width="8.6640625" style="4714" customWidth="1"/>
    <col min="31" max="34" width="8.33203125" style="4714" customWidth="1"/>
    <col min="35" max="35" width="9.5" style="4714" customWidth="1"/>
    <col min="36" max="39" width="8.33203125" style="4714" customWidth="1"/>
    <col min="40" max="40" width="9.5" style="4714" customWidth="1"/>
    <col min="41" max="42" width="8.33203125" style="4714" customWidth="1"/>
    <col min="43" max="43" width="7.83203125" style="4714" customWidth="1"/>
    <col min="44" max="44" width="13.83203125" style="4714" bestFit="1" customWidth="1"/>
    <col min="45" max="16384" width="9.1640625" style="4714"/>
  </cols>
  <sheetData>
    <row r="1" spans="5:44" x14ac:dyDescent="0.2">
      <c r="S1" s="5153">
        <f>+S13+S14+S15+S20</f>
        <v>9962</v>
      </c>
      <c r="T1" s="5153"/>
      <c r="U1" s="4726"/>
      <c r="V1" s="4726"/>
      <c r="W1" s="4726"/>
      <c r="AL1" s="4726">
        <f>+AL13+AL14+AL15+AL20</f>
        <v>63027</v>
      </c>
      <c r="AM1" s="4726"/>
      <c r="AN1" s="4726"/>
      <c r="AO1" s="4726"/>
      <c r="AP1" s="4726"/>
      <c r="AQ1" s="4726">
        <f>+AL1+S1</f>
        <v>72989</v>
      </c>
    </row>
    <row r="2" spans="5:44" ht="23" x14ac:dyDescent="0.2">
      <c r="E2" s="8898" t="s">
        <v>1860</v>
      </c>
      <c r="F2" s="8898"/>
      <c r="G2" s="8898"/>
      <c r="H2" s="8898"/>
      <c r="I2" s="8898"/>
      <c r="J2" s="8898"/>
      <c r="K2" s="8898"/>
      <c r="L2" s="8898"/>
      <c r="M2" s="8898"/>
      <c r="N2" s="8898"/>
      <c r="O2" s="8898"/>
      <c r="P2" s="8898"/>
      <c r="Q2" s="8898"/>
      <c r="R2" s="8898"/>
      <c r="S2" s="8898"/>
      <c r="T2" s="8898"/>
      <c r="U2" s="8898"/>
      <c r="V2" s="8898"/>
      <c r="W2" s="8898"/>
      <c r="X2" s="8898"/>
      <c r="Y2" s="8898"/>
      <c r="Z2" s="8898"/>
      <c r="AA2" s="8898"/>
      <c r="AB2" s="8898"/>
      <c r="AC2" s="8898"/>
      <c r="AD2" s="8898"/>
      <c r="AE2" s="8898"/>
      <c r="AF2" s="8898"/>
      <c r="AG2" s="8898"/>
      <c r="AH2" s="8898"/>
      <c r="AI2" s="8898"/>
      <c r="AJ2" s="8898"/>
      <c r="AK2" s="8898"/>
      <c r="AL2" s="8898"/>
      <c r="AM2" s="8898"/>
      <c r="AN2" s="8898"/>
      <c r="AO2" s="8898"/>
      <c r="AP2" s="8898"/>
      <c r="AQ2" s="8898"/>
      <c r="AR2" s="8898"/>
    </row>
    <row r="3" spans="5:44" ht="14" thickBot="1" x14ac:dyDescent="0.25">
      <c r="AB3" s="4714">
        <v>28297</v>
      </c>
    </row>
    <row r="4" spans="5:44" ht="17" thickBot="1" x14ac:dyDescent="0.25">
      <c r="E4" s="4715"/>
      <c r="F4" s="8906" t="s">
        <v>1587</v>
      </c>
      <c r="G4" s="8907"/>
      <c r="H4" s="8907"/>
      <c r="I4" s="8907"/>
      <c r="J4" s="8907"/>
      <c r="K4" s="8907"/>
      <c r="L4" s="8907"/>
      <c r="M4" s="8907"/>
      <c r="N4" s="8907"/>
      <c r="O4" s="8907"/>
      <c r="P4" s="8907"/>
      <c r="Q4" s="8907"/>
      <c r="R4" s="8907"/>
      <c r="S4" s="8907"/>
      <c r="T4" s="8907"/>
      <c r="U4" s="8907"/>
      <c r="V4" s="8907"/>
      <c r="W4" s="8907"/>
      <c r="X4" s="8908"/>
      <c r="Y4" s="8909" t="s">
        <v>1588</v>
      </c>
      <c r="Z4" s="8910"/>
      <c r="AA4" s="8910"/>
      <c r="AB4" s="8911"/>
      <c r="AC4" s="8911"/>
      <c r="AD4" s="8911"/>
      <c r="AE4" s="8911"/>
      <c r="AF4" s="8911"/>
      <c r="AG4" s="8911"/>
      <c r="AH4" s="8911"/>
      <c r="AI4" s="8911"/>
      <c r="AJ4" s="8911"/>
      <c r="AK4" s="8911"/>
      <c r="AL4" s="8911"/>
      <c r="AM4" s="8911"/>
      <c r="AN4" s="8911"/>
      <c r="AO4" s="8911"/>
      <c r="AP4" s="8911"/>
      <c r="AQ4" s="8911"/>
      <c r="AR4" s="7651" t="s">
        <v>2602</v>
      </c>
    </row>
    <row r="5" spans="5:44" ht="17" thickBot="1" x14ac:dyDescent="0.25">
      <c r="E5" s="4716"/>
      <c r="F5" s="7643" t="s">
        <v>1861</v>
      </c>
      <c r="G5" s="7644" t="s">
        <v>1975</v>
      </c>
      <c r="H5" s="7644" t="s">
        <v>2118</v>
      </c>
      <c r="I5" s="7645" t="s">
        <v>1568</v>
      </c>
      <c r="J5" s="7646" t="s">
        <v>2119</v>
      </c>
      <c r="K5" s="7646" t="s">
        <v>2205</v>
      </c>
      <c r="L5" s="7646" t="s">
        <v>2259</v>
      </c>
      <c r="M5" s="7645" t="s">
        <v>1717</v>
      </c>
      <c r="N5" s="7647" t="s">
        <v>1131</v>
      </c>
      <c r="O5" s="7646" t="s">
        <v>2266</v>
      </c>
      <c r="P5" s="7646" t="s">
        <v>2428</v>
      </c>
      <c r="Q5" s="7646" t="s">
        <v>2429</v>
      </c>
      <c r="R5" s="7645" t="s">
        <v>1756</v>
      </c>
      <c r="S5" s="7648" t="s">
        <v>2530</v>
      </c>
      <c r="T5" s="7648" t="s">
        <v>2531</v>
      </c>
      <c r="U5" s="7648" t="s">
        <v>2532</v>
      </c>
      <c r="V5" s="7645" t="s">
        <v>1757</v>
      </c>
      <c r="W5" s="7647" t="s">
        <v>1219</v>
      </c>
      <c r="X5" s="7649" t="s">
        <v>113</v>
      </c>
      <c r="Y5" s="7643" t="s">
        <v>1861</v>
      </c>
      <c r="Z5" s="7644" t="s">
        <v>1975</v>
      </c>
      <c r="AA5" s="7644" t="s">
        <v>2118</v>
      </c>
      <c r="AB5" s="7645" t="s">
        <v>1568</v>
      </c>
      <c r="AC5" s="7646" t="s">
        <v>2119</v>
      </c>
      <c r="AD5" s="7646" t="s">
        <v>2205</v>
      </c>
      <c r="AE5" s="7646" t="s">
        <v>2259</v>
      </c>
      <c r="AF5" s="7645" t="s">
        <v>1717</v>
      </c>
      <c r="AG5" s="7647" t="s">
        <v>1131</v>
      </c>
      <c r="AH5" s="7646" t="s">
        <v>2266</v>
      </c>
      <c r="AI5" s="7646" t="s">
        <v>2428</v>
      </c>
      <c r="AJ5" s="7646" t="s">
        <v>2429</v>
      </c>
      <c r="AK5" s="7645" t="s">
        <v>1756</v>
      </c>
      <c r="AL5" s="7646" t="s">
        <v>2530</v>
      </c>
      <c r="AM5" s="7646" t="s">
        <v>2531</v>
      </c>
      <c r="AN5" s="7648" t="s">
        <v>2532</v>
      </c>
      <c r="AO5" s="7645" t="s">
        <v>1757</v>
      </c>
      <c r="AP5" s="7647" t="s">
        <v>1219</v>
      </c>
      <c r="AQ5" s="7649" t="s">
        <v>117</v>
      </c>
      <c r="AR5" s="7650" t="s">
        <v>1865</v>
      </c>
    </row>
    <row r="6" spans="5:44" ht="16" x14ac:dyDescent="0.2">
      <c r="E6" s="4966" t="s">
        <v>1592</v>
      </c>
      <c r="F6" s="5100">
        <v>447.3</v>
      </c>
      <c r="G6" s="5100">
        <v>161.88</v>
      </c>
      <c r="H6" s="5100">
        <v>0</v>
      </c>
      <c r="I6" s="5106">
        <f>SUM(F6:H6)</f>
        <v>609.18000000000006</v>
      </c>
      <c r="J6" s="5100">
        <v>0</v>
      </c>
      <c r="K6" s="5100">
        <v>168.3</v>
      </c>
      <c r="L6" s="5151">
        <v>0</v>
      </c>
      <c r="M6" s="5106">
        <f>SUM(J6:L6)</f>
        <v>168.3</v>
      </c>
      <c r="N6" s="5107">
        <f>+I6+M6</f>
        <v>777.48</v>
      </c>
      <c r="O6" s="5100">
        <v>277</v>
      </c>
      <c r="P6" s="5100">
        <v>190</v>
      </c>
      <c r="Q6" s="5151">
        <v>750</v>
      </c>
      <c r="R6" s="5106">
        <f>SUM(O6:Q6)</f>
        <v>1217</v>
      </c>
      <c r="S6" s="5151">
        <v>38</v>
      </c>
      <c r="T6" s="5151">
        <v>452</v>
      </c>
      <c r="U6" s="5100">
        <v>677.34</v>
      </c>
      <c r="V6" s="5106">
        <f>SUM(S6:U6)</f>
        <v>1167.3400000000001</v>
      </c>
      <c r="W6" s="5107">
        <f>+R6+V6</f>
        <v>2384.34</v>
      </c>
      <c r="X6" s="5109">
        <f>+I6+M6+R6+S6+T6+U6</f>
        <v>3161.82</v>
      </c>
      <c r="Y6" s="5100">
        <v>1022.4</v>
      </c>
      <c r="Z6" s="5100">
        <v>634.74</v>
      </c>
      <c r="AA6" s="5100">
        <v>598.53</v>
      </c>
      <c r="AB6" s="5106">
        <f>SUM(Y6:AA6)</f>
        <v>2255.67</v>
      </c>
      <c r="AC6" s="5100">
        <v>321.63</v>
      </c>
      <c r="AD6" s="7642">
        <v>924.4</v>
      </c>
      <c r="AE6" s="5151">
        <v>473</v>
      </c>
      <c r="AF6" s="7229">
        <f>SUM(AC6:AE6)</f>
        <v>1719.03</v>
      </c>
      <c r="AG6" s="5107">
        <f>+AB6+AF6</f>
        <v>3974.7</v>
      </c>
      <c r="AH6" s="5100">
        <v>846</v>
      </c>
      <c r="AI6" s="5100">
        <v>1338</v>
      </c>
      <c r="AJ6" s="5100">
        <v>1557</v>
      </c>
      <c r="AK6" s="5106">
        <f>SUM(AH6:AJ6)</f>
        <v>3741</v>
      </c>
      <c r="AL6" s="5151">
        <v>1563</v>
      </c>
      <c r="AM6" s="5151">
        <v>2694</v>
      </c>
      <c r="AN6" s="5101">
        <v>1533.6</v>
      </c>
      <c r="AO6" s="5106">
        <f>SUM(AL6:AN6)</f>
        <v>5790.6</v>
      </c>
      <c r="AP6" s="5107">
        <f>+AK6+AO6</f>
        <v>9531.6</v>
      </c>
      <c r="AQ6" s="5109">
        <f>+AB6+AF6+AK6+AL6+AM6+AN6</f>
        <v>13506.300000000001</v>
      </c>
      <c r="AR6" s="5102">
        <f>+AQ6+X6</f>
        <v>16668.120000000003</v>
      </c>
    </row>
    <row r="7" spans="5:44" ht="16" x14ac:dyDescent="0.2">
      <c r="E7" s="4966" t="s">
        <v>1733</v>
      </c>
      <c r="F7" s="4720">
        <v>0</v>
      </c>
      <c r="G7" s="4720">
        <v>0</v>
      </c>
      <c r="H7" s="4720">
        <v>0</v>
      </c>
      <c r="I7" s="5105">
        <f t="shared" ref="I7:I60" si="0">SUM(F7:H7)</f>
        <v>0</v>
      </c>
      <c r="J7" s="4720">
        <v>0</v>
      </c>
      <c r="K7" s="4720">
        <v>0</v>
      </c>
      <c r="L7" s="4727">
        <v>0</v>
      </c>
      <c r="M7" s="5106">
        <f t="shared" ref="M7:M60" si="1">SUM(J7:L7)</f>
        <v>0</v>
      </c>
      <c r="N7" s="5107">
        <f t="shared" ref="N7:N60" si="2">+I7+M7</f>
        <v>0</v>
      </c>
      <c r="O7" s="4720">
        <v>0</v>
      </c>
      <c r="P7" s="4720">
        <v>0</v>
      </c>
      <c r="Q7" s="4727"/>
      <c r="R7" s="5106">
        <f t="shared" ref="R7:R60" si="3">SUM(O7:Q7)</f>
        <v>0</v>
      </c>
      <c r="S7" s="4727">
        <v>2876</v>
      </c>
      <c r="T7" s="4727"/>
      <c r="U7" s="4720"/>
      <c r="V7" s="5106">
        <f t="shared" ref="V7:V60" si="4">SUM(S7:U7)</f>
        <v>2876</v>
      </c>
      <c r="W7" s="5107">
        <f t="shared" ref="W7:W60" si="5">+R7+V7</f>
        <v>2876</v>
      </c>
      <c r="X7" s="5109">
        <f t="shared" ref="X7:X60" si="6">+I7+M7+R7+S7+T7+U7</f>
        <v>2876</v>
      </c>
      <c r="Y7" s="4720">
        <v>0</v>
      </c>
      <c r="Z7" s="4720">
        <v>2751.96</v>
      </c>
      <c r="AA7" s="4720">
        <v>0</v>
      </c>
      <c r="AB7" s="5105">
        <f t="shared" ref="AB7:AB60" si="7">SUM(Y7:AA7)</f>
        <v>2751.96</v>
      </c>
      <c r="AC7" s="4720">
        <v>0</v>
      </c>
      <c r="AD7" s="5155">
        <v>0</v>
      </c>
      <c r="AE7" s="4727"/>
      <c r="AF7" s="7229">
        <f t="shared" ref="AF7:AF60" si="8">SUM(AC7:AE7)</f>
        <v>0</v>
      </c>
      <c r="AG7" s="5107">
        <f t="shared" ref="AG7:AG60" si="9">+AB7+AF7</f>
        <v>2751.96</v>
      </c>
      <c r="AH7" s="4720">
        <v>0</v>
      </c>
      <c r="AI7" s="4720">
        <v>0</v>
      </c>
      <c r="AJ7" s="4720">
        <v>1468</v>
      </c>
      <c r="AK7" s="5106">
        <f t="shared" ref="AK7:AK60" si="10">SUM(AH7:AJ7)</f>
        <v>1468</v>
      </c>
      <c r="AL7" s="4727">
        <v>6386</v>
      </c>
      <c r="AM7" s="4727"/>
      <c r="AN7" s="5101"/>
      <c r="AO7" s="5106">
        <f t="shared" ref="AO7:AO60" si="11">SUM(AL7:AN7)</f>
        <v>6386</v>
      </c>
      <c r="AP7" s="5107">
        <f t="shared" ref="AP7:AP60" si="12">+AK7+AO7</f>
        <v>7854</v>
      </c>
      <c r="AQ7" s="5109">
        <f t="shared" ref="AQ7:AQ60" si="13">+AB7+AF7+AK7+AL7+AM7+AN7</f>
        <v>10605.96</v>
      </c>
      <c r="AR7" s="5102">
        <f t="shared" ref="AR7:AR60" si="14">+AQ7+X7</f>
        <v>13481.96</v>
      </c>
    </row>
    <row r="8" spans="5:44" ht="16" x14ac:dyDescent="0.2">
      <c r="E8" s="4966" t="s">
        <v>1907</v>
      </c>
      <c r="F8" s="4720">
        <v>413.22</v>
      </c>
      <c r="G8" s="4720">
        <v>2581.56</v>
      </c>
      <c r="H8" s="4720">
        <v>3895.77</v>
      </c>
      <c r="I8" s="5105">
        <f t="shared" si="0"/>
        <v>6890.5499999999993</v>
      </c>
      <c r="J8" s="4720">
        <v>8262.2699999999986</v>
      </c>
      <c r="K8" s="4720">
        <v>7849.1</v>
      </c>
      <c r="L8" s="4727">
        <v>4428</v>
      </c>
      <c r="M8" s="5106">
        <f t="shared" si="1"/>
        <v>20539.37</v>
      </c>
      <c r="N8" s="5107">
        <f t="shared" si="2"/>
        <v>27429.919999999998</v>
      </c>
      <c r="O8" s="4720">
        <v>7711</v>
      </c>
      <c r="P8" s="4720">
        <v>13014</v>
      </c>
      <c r="Q8" s="4727">
        <v>10196</v>
      </c>
      <c r="R8" s="5106">
        <f t="shared" si="3"/>
        <v>30921</v>
      </c>
      <c r="S8" s="4727">
        <v>12718</v>
      </c>
      <c r="T8" s="4727">
        <v>9753</v>
      </c>
      <c r="U8" s="4720">
        <v>4892.6099999999997</v>
      </c>
      <c r="V8" s="5106">
        <f t="shared" si="4"/>
        <v>27363.61</v>
      </c>
      <c r="W8" s="5107">
        <f t="shared" si="5"/>
        <v>58284.61</v>
      </c>
      <c r="X8" s="5109">
        <f t="shared" si="6"/>
        <v>85714.53</v>
      </c>
      <c r="Y8" s="4720">
        <v>0</v>
      </c>
      <c r="Z8" s="4720">
        <v>0</v>
      </c>
      <c r="AA8" s="4720">
        <v>0</v>
      </c>
      <c r="AB8" s="5105">
        <f t="shared" si="7"/>
        <v>0</v>
      </c>
      <c r="AC8" s="4720">
        <v>261.99</v>
      </c>
      <c r="AD8" s="5155">
        <v>0</v>
      </c>
      <c r="AE8" s="4727"/>
      <c r="AF8" s="7229">
        <f t="shared" si="8"/>
        <v>261.99</v>
      </c>
      <c r="AG8" s="5107">
        <f t="shared" si="9"/>
        <v>261.99</v>
      </c>
      <c r="AH8" s="4720">
        <v>0</v>
      </c>
      <c r="AI8" s="4720">
        <v>0</v>
      </c>
      <c r="AJ8" s="4720"/>
      <c r="AK8" s="5106">
        <f t="shared" si="10"/>
        <v>0</v>
      </c>
      <c r="AL8" s="4727"/>
      <c r="AM8" s="4727"/>
      <c r="AN8" s="5101"/>
      <c r="AO8" s="5106">
        <f t="shared" si="11"/>
        <v>0</v>
      </c>
      <c r="AP8" s="5107">
        <f t="shared" si="12"/>
        <v>0</v>
      </c>
      <c r="AQ8" s="5109">
        <f t="shared" si="13"/>
        <v>261.99</v>
      </c>
      <c r="AR8" s="5102">
        <f t="shared" si="14"/>
        <v>85976.52</v>
      </c>
    </row>
    <row r="9" spans="5:44" ht="16" x14ac:dyDescent="0.2">
      <c r="E9" s="5076" t="s">
        <v>1593</v>
      </c>
      <c r="F9" s="4720">
        <v>0</v>
      </c>
      <c r="G9" s="4720">
        <v>0</v>
      </c>
      <c r="H9" s="4720">
        <v>0</v>
      </c>
      <c r="I9" s="5105">
        <f t="shared" si="0"/>
        <v>0</v>
      </c>
      <c r="J9" s="4720">
        <v>0</v>
      </c>
      <c r="K9" s="4720">
        <v>0</v>
      </c>
      <c r="L9" s="4727">
        <v>0</v>
      </c>
      <c r="M9" s="5106">
        <f t="shared" si="1"/>
        <v>0</v>
      </c>
      <c r="N9" s="5107">
        <f t="shared" si="2"/>
        <v>0</v>
      </c>
      <c r="O9" s="4720">
        <v>0</v>
      </c>
      <c r="P9" s="4720">
        <v>0</v>
      </c>
      <c r="Q9" s="4727"/>
      <c r="R9" s="5106">
        <f t="shared" si="3"/>
        <v>0</v>
      </c>
      <c r="S9" s="4727"/>
      <c r="T9" s="4727"/>
      <c r="U9" s="4720"/>
      <c r="V9" s="5106">
        <f t="shared" si="4"/>
        <v>0</v>
      </c>
      <c r="W9" s="5107">
        <f t="shared" si="5"/>
        <v>0</v>
      </c>
      <c r="X9" s="5109">
        <f t="shared" si="6"/>
        <v>0</v>
      </c>
      <c r="Y9" s="4720">
        <v>0</v>
      </c>
      <c r="Z9" s="4720">
        <v>0</v>
      </c>
      <c r="AA9" s="4720">
        <v>0</v>
      </c>
      <c r="AB9" s="5105">
        <f t="shared" si="7"/>
        <v>0</v>
      </c>
      <c r="AC9" s="4720"/>
      <c r="AD9" s="5155"/>
      <c r="AE9" s="4727"/>
      <c r="AF9" s="7229">
        <f t="shared" si="8"/>
        <v>0</v>
      </c>
      <c r="AG9" s="5107">
        <f t="shared" si="9"/>
        <v>0</v>
      </c>
      <c r="AH9" s="4720">
        <v>0</v>
      </c>
      <c r="AI9" s="4720">
        <v>0</v>
      </c>
      <c r="AJ9" s="4720"/>
      <c r="AK9" s="5106">
        <f t="shared" si="10"/>
        <v>0</v>
      </c>
      <c r="AL9" s="4727"/>
      <c r="AM9" s="4727"/>
      <c r="AN9" s="5101"/>
      <c r="AO9" s="5106">
        <f t="shared" si="11"/>
        <v>0</v>
      </c>
      <c r="AP9" s="5107">
        <f t="shared" si="12"/>
        <v>0</v>
      </c>
      <c r="AQ9" s="5109">
        <f t="shared" si="13"/>
        <v>0</v>
      </c>
      <c r="AR9" s="5102">
        <f t="shared" si="14"/>
        <v>0</v>
      </c>
    </row>
    <row r="10" spans="5:44" ht="16" x14ac:dyDescent="0.2">
      <c r="E10" s="5076" t="s">
        <v>1847</v>
      </c>
      <c r="F10" s="4720">
        <v>0</v>
      </c>
      <c r="G10" s="4720">
        <v>0</v>
      </c>
      <c r="H10" s="4720">
        <v>0</v>
      </c>
      <c r="I10" s="5105">
        <f t="shared" si="0"/>
        <v>0</v>
      </c>
      <c r="J10" s="4720">
        <v>0</v>
      </c>
      <c r="K10" s="4720">
        <v>0</v>
      </c>
      <c r="L10" s="4727">
        <v>0</v>
      </c>
      <c r="M10" s="5106">
        <f t="shared" si="1"/>
        <v>0</v>
      </c>
      <c r="N10" s="5107">
        <f t="shared" si="2"/>
        <v>0</v>
      </c>
      <c r="O10" s="4720">
        <v>0</v>
      </c>
      <c r="P10" s="4720">
        <v>0</v>
      </c>
      <c r="Q10" s="4727"/>
      <c r="R10" s="5106">
        <f t="shared" si="3"/>
        <v>0</v>
      </c>
      <c r="S10" s="4727"/>
      <c r="T10" s="4727"/>
      <c r="U10" s="4720"/>
      <c r="V10" s="5106">
        <f t="shared" si="4"/>
        <v>0</v>
      </c>
      <c r="W10" s="5107">
        <f t="shared" si="5"/>
        <v>0</v>
      </c>
      <c r="X10" s="5109">
        <f t="shared" si="6"/>
        <v>0</v>
      </c>
      <c r="Y10" s="4720">
        <v>0</v>
      </c>
      <c r="Z10" s="4720">
        <v>0</v>
      </c>
      <c r="AA10" s="4720">
        <v>0</v>
      </c>
      <c r="AB10" s="5105">
        <f t="shared" si="7"/>
        <v>0</v>
      </c>
      <c r="AC10" s="4720"/>
      <c r="AD10" s="5155"/>
      <c r="AE10" s="4727"/>
      <c r="AF10" s="7229">
        <f t="shared" si="8"/>
        <v>0</v>
      </c>
      <c r="AG10" s="5107">
        <f t="shared" si="9"/>
        <v>0</v>
      </c>
      <c r="AH10" s="4720">
        <v>0</v>
      </c>
      <c r="AI10" s="4720">
        <v>0</v>
      </c>
      <c r="AJ10" s="4720"/>
      <c r="AK10" s="5106">
        <f t="shared" si="10"/>
        <v>0</v>
      </c>
      <c r="AL10" s="4727"/>
      <c r="AM10" s="4727"/>
      <c r="AN10" s="5101"/>
      <c r="AO10" s="5106">
        <f t="shared" si="11"/>
        <v>0</v>
      </c>
      <c r="AP10" s="5107">
        <f t="shared" si="12"/>
        <v>0</v>
      </c>
      <c r="AQ10" s="5109">
        <f t="shared" si="13"/>
        <v>0</v>
      </c>
      <c r="AR10" s="5102">
        <f t="shared" si="14"/>
        <v>0</v>
      </c>
    </row>
    <row r="11" spans="5:44" ht="16" x14ac:dyDescent="0.2">
      <c r="E11" s="5076" t="s">
        <v>2575</v>
      </c>
      <c r="F11" s="4720"/>
      <c r="G11" s="4720"/>
      <c r="H11" s="4720"/>
      <c r="I11" s="5105"/>
      <c r="J11" s="4720"/>
      <c r="K11" s="4720"/>
      <c r="L11" s="4727"/>
      <c r="M11" s="5106"/>
      <c r="N11" s="5107"/>
      <c r="O11" s="4720"/>
      <c r="P11" s="4720"/>
      <c r="Q11" s="4727"/>
      <c r="R11" s="5106"/>
      <c r="S11" s="4727"/>
      <c r="T11" s="4727"/>
      <c r="U11" s="4720"/>
      <c r="V11" s="5106"/>
      <c r="W11" s="5107"/>
      <c r="X11" s="5109">
        <f t="shared" si="6"/>
        <v>0</v>
      </c>
      <c r="Y11" s="4720"/>
      <c r="Z11" s="4720"/>
      <c r="AA11" s="4720"/>
      <c r="AB11" s="5105"/>
      <c r="AC11" s="4720"/>
      <c r="AD11" s="5155"/>
      <c r="AE11" s="4727"/>
      <c r="AF11" s="7229"/>
      <c r="AG11" s="5107"/>
      <c r="AH11" s="4720"/>
      <c r="AI11" s="4720"/>
      <c r="AJ11" s="4720"/>
      <c r="AK11" s="5106"/>
      <c r="AL11" s="4727">
        <v>533</v>
      </c>
      <c r="AM11" s="4727"/>
      <c r="AN11" s="5101"/>
      <c r="AO11" s="5106"/>
      <c r="AP11" s="5107"/>
      <c r="AQ11" s="5109">
        <f t="shared" si="13"/>
        <v>533</v>
      </c>
      <c r="AR11" s="5102">
        <f t="shared" ref="AR11" si="15">+AQ11+X11</f>
        <v>533</v>
      </c>
    </row>
    <row r="12" spans="5:44" ht="16" x14ac:dyDescent="0.2">
      <c r="E12" s="5076" t="s">
        <v>1594</v>
      </c>
      <c r="F12" s="4720">
        <v>300.33</v>
      </c>
      <c r="G12" s="4720">
        <v>146.97</v>
      </c>
      <c r="H12" s="4720">
        <v>0</v>
      </c>
      <c r="I12" s="5105">
        <f t="shared" si="0"/>
        <v>447.29999999999995</v>
      </c>
      <c r="J12" s="4720">
        <v>155.49</v>
      </c>
      <c r="K12" s="4720">
        <v>183.2</v>
      </c>
      <c r="L12" s="4727">
        <v>0</v>
      </c>
      <c r="M12" s="5106">
        <f t="shared" si="1"/>
        <v>338.69</v>
      </c>
      <c r="N12" s="5107">
        <f t="shared" si="2"/>
        <v>785.99</v>
      </c>
      <c r="O12" s="4720">
        <v>183</v>
      </c>
      <c r="P12" s="4720">
        <v>0</v>
      </c>
      <c r="Q12" s="4727">
        <v>160</v>
      </c>
      <c r="R12" s="5106">
        <f t="shared" si="3"/>
        <v>343</v>
      </c>
      <c r="S12" s="4727">
        <v>168</v>
      </c>
      <c r="T12" s="4727">
        <v>177</v>
      </c>
      <c r="U12" s="4720"/>
      <c r="V12" s="5106">
        <f t="shared" si="4"/>
        <v>345</v>
      </c>
      <c r="W12" s="5107">
        <f t="shared" si="5"/>
        <v>688</v>
      </c>
      <c r="X12" s="5109">
        <f t="shared" si="6"/>
        <v>1473.99</v>
      </c>
      <c r="Y12" s="4720">
        <v>1043.7</v>
      </c>
      <c r="Z12" s="4720">
        <v>276.89999999999998</v>
      </c>
      <c r="AA12" s="4720">
        <v>1514.43</v>
      </c>
      <c r="AB12" s="5105">
        <f t="shared" si="7"/>
        <v>2835.0299999999997</v>
      </c>
      <c r="AC12" s="4720">
        <v>760.41000000000008</v>
      </c>
      <c r="AD12" s="5155">
        <v>0</v>
      </c>
      <c r="AE12" s="4727"/>
      <c r="AF12" s="7229">
        <f t="shared" si="8"/>
        <v>760.41000000000008</v>
      </c>
      <c r="AG12" s="5107">
        <f t="shared" si="9"/>
        <v>3595.4399999999996</v>
      </c>
      <c r="AH12" s="4720">
        <v>158</v>
      </c>
      <c r="AI12" s="4720">
        <v>0</v>
      </c>
      <c r="AJ12" s="4720">
        <v>1050</v>
      </c>
      <c r="AK12" s="5106">
        <f t="shared" si="10"/>
        <v>1208</v>
      </c>
      <c r="AL12" s="4727">
        <v>986</v>
      </c>
      <c r="AM12" s="4727"/>
      <c r="AN12" s="5101">
        <v>521.85</v>
      </c>
      <c r="AO12" s="5106">
        <f t="shared" si="11"/>
        <v>1507.85</v>
      </c>
      <c r="AP12" s="5107">
        <f t="shared" si="12"/>
        <v>2715.85</v>
      </c>
      <c r="AQ12" s="5109">
        <f t="shared" si="13"/>
        <v>6311.29</v>
      </c>
      <c r="AR12" s="5102">
        <f t="shared" si="14"/>
        <v>7785.28</v>
      </c>
    </row>
    <row r="13" spans="5:44" ht="16" x14ac:dyDescent="0.2">
      <c r="E13" s="5076" t="s">
        <v>1595</v>
      </c>
      <c r="F13" s="4720">
        <v>26022.21</v>
      </c>
      <c r="G13" s="4720">
        <v>1804.11</v>
      </c>
      <c r="H13" s="4720">
        <v>4843.62</v>
      </c>
      <c r="I13" s="5105">
        <f t="shared" si="0"/>
        <v>32669.94</v>
      </c>
      <c r="J13" s="4720">
        <v>144.84</v>
      </c>
      <c r="K13" s="4720">
        <v>1942.6</v>
      </c>
      <c r="L13" s="4727">
        <v>3898</v>
      </c>
      <c r="M13" s="5106">
        <f t="shared" si="1"/>
        <v>5985.4400000000005</v>
      </c>
      <c r="N13" s="5107">
        <f t="shared" si="2"/>
        <v>38655.379999999997</v>
      </c>
      <c r="O13" s="4720">
        <v>1738</v>
      </c>
      <c r="P13" s="4720">
        <v>5821</v>
      </c>
      <c r="Q13" s="4727">
        <v>2232</v>
      </c>
      <c r="R13" s="5106">
        <f t="shared" si="3"/>
        <v>9791</v>
      </c>
      <c r="S13" s="4727">
        <f>973+4032</f>
        <v>5005</v>
      </c>
      <c r="T13" s="4727">
        <v>9519</v>
      </c>
      <c r="U13" s="4720">
        <v>4400.58</v>
      </c>
      <c r="V13" s="5106">
        <f t="shared" si="4"/>
        <v>18924.580000000002</v>
      </c>
      <c r="W13" s="5107">
        <f t="shared" si="5"/>
        <v>28715.58</v>
      </c>
      <c r="X13" s="5109">
        <f t="shared" si="6"/>
        <v>67370.959999999992</v>
      </c>
      <c r="Y13" s="4720">
        <v>25257.54</v>
      </c>
      <c r="Z13" s="4720">
        <v>24135.03</v>
      </c>
      <c r="AA13" s="4720">
        <v>23532.240000000002</v>
      </c>
      <c r="AB13" s="5105">
        <f t="shared" si="7"/>
        <v>72924.81</v>
      </c>
      <c r="AC13" s="4720">
        <v>11154.810000000001</v>
      </c>
      <c r="AD13" s="5155">
        <v>32169.4</v>
      </c>
      <c r="AE13" s="4727">
        <v>26906</v>
      </c>
      <c r="AF13" s="7229">
        <f t="shared" si="8"/>
        <v>70230.210000000006</v>
      </c>
      <c r="AG13" s="5107">
        <f t="shared" si="9"/>
        <v>143155.02000000002</v>
      </c>
      <c r="AH13" s="4720">
        <v>27984</v>
      </c>
      <c r="AI13" s="4720">
        <v>34851</v>
      </c>
      <c r="AJ13" s="4720">
        <v>47182</v>
      </c>
      <c r="AK13" s="5106">
        <f t="shared" si="10"/>
        <v>110017</v>
      </c>
      <c r="AL13" s="4727">
        <f>53625+641</f>
        <v>54266</v>
      </c>
      <c r="AM13" s="4727">
        <v>46517</v>
      </c>
      <c r="AN13" s="5101">
        <v>51413.94</v>
      </c>
      <c r="AO13" s="5106">
        <f t="shared" si="11"/>
        <v>152196.94</v>
      </c>
      <c r="AP13" s="5107">
        <f t="shared" si="12"/>
        <v>262213.94</v>
      </c>
      <c r="AQ13" s="5109">
        <f t="shared" si="13"/>
        <v>405368.96</v>
      </c>
      <c r="AR13" s="5102">
        <f t="shared" si="14"/>
        <v>472739.92000000004</v>
      </c>
    </row>
    <row r="14" spans="5:44" ht="16" x14ac:dyDescent="0.2">
      <c r="E14" s="5076" t="s">
        <v>1716</v>
      </c>
      <c r="F14" s="4720">
        <v>1446.27</v>
      </c>
      <c r="G14" s="4720">
        <v>0</v>
      </c>
      <c r="H14" s="4720">
        <v>0</v>
      </c>
      <c r="I14" s="5105">
        <f t="shared" si="0"/>
        <v>1446.27</v>
      </c>
      <c r="J14" s="4720">
        <v>0</v>
      </c>
      <c r="K14" s="4720">
        <v>0</v>
      </c>
      <c r="L14" s="4727">
        <v>0</v>
      </c>
      <c r="M14" s="5106">
        <f t="shared" si="1"/>
        <v>0</v>
      </c>
      <c r="N14" s="5107">
        <f t="shared" si="2"/>
        <v>1446.27</v>
      </c>
      <c r="O14" s="4720">
        <v>0</v>
      </c>
      <c r="P14" s="4720">
        <v>0</v>
      </c>
      <c r="Q14" s="4727"/>
      <c r="R14" s="5106">
        <f t="shared" si="3"/>
        <v>0</v>
      </c>
      <c r="S14" s="4727"/>
      <c r="T14" s="4727"/>
      <c r="U14" s="4720"/>
      <c r="V14" s="5106">
        <f t="shared" si="4"/>
        <v>0</v>
      </c>
      <c r="W14" s="5107">
        <f t="shared" si="5"/>
        <v>0</v>
      </c>
      <c r="X14" s="5109">
        <f t="shared" si="6"/>
        <v>1446.27</v>
      </c>
      <c r="Y14" s="4720">
        <v>443.04</v>
      </c>
      <c r="Z14" s="4720">
        <v>2954.31</v>
      </c>
      <c r="AA14" s="4720">
        <v>619.83000000000004</v>
      </c>
      <c r="AB14" s="5105">
        <f t="shared" si="7"/>
        <v>4017.18</v>
      </c>
      <c r="AC14" s="4720">
        <v>0</v>
      </c>
      <c r="AD14" s="5155">
        <v>0</v>
      </c>
      <c r="AE14" s="4727"/>
      <c r="AF14" s="7229">
        <f t="shared" si="8"/>
        <v>0</v>
      </c>
      <c r="AG14" s="5107">
        <f t="shared" si="9"/>
        <v>4017.18</v>
      </c>
      <c r="AH14" s="4720">
        <v>0</v>
      </c>
      <c r="AI14" s="4720">
        <v>0</v>
      </c>
      <c r="AJ14" s="4720"/>
      <c r="AK14" s="5106">
        <f t="shared" si="10"/>
        <v>0</v>
      </c>
      <c r="AL14" s="4727"/>
      <c r="AM14" s="4727"/>
      <c r="AN14" s="5101"/>
      <c r="AO14" s="5106">
        <f t="shared" si="11"/>
        <v>0</v>
      </c>
      <c r="AP14" s="5107">
        <f t="shared" si="12"/>
        <v>0</v>
      </c>
      <c r="AQ14" s="5109">
        <f t="shared" si="13"/>
        <v>4017.18</v>
      </c>
      <c r="AR14" s="5102">
        <f t="shared" si="14"/>
        <v>5463.45</v>
      </c>
    </row>
    <row r="15" spans="5:44" ht="16" x14ac:dyDescent="0.2">
      <c r="E15" s="5076" t="s">
        <v>2626</v>
      </c>
      <c r="F15" s="4720">
        <v>0</v>
      </c>
      <c r="G15" s="4720">
        <v>0</v>
      </c>
      <c r="H15" s="4720">
        <v>0</v>
      </c>
      <c r="I15" s="5105">
        <f t="shared" si="0"/>
        <v>0</v>
      </c>
      <c r="J15" s="4720">
        <v>0</v>
      </c>
      <c r="K15" s="4720">
        <v>0</v>
      </c>
      <c r="L15" s="4727">
        <v>0</v>
      </c>
      <c r="M15" s="5106">
        <f t="shared" si="1"/>
        <v>0</v>
      </c>
      <c r="N15" s="5107">
        <f t="shared" si="2"/>
        <v>0</v>
      </c>
      <c r="O15" s="4720">
        <v>0</v>
      </c>
      <c r="P15" s="4720">
        <v>0</v>
      </c>
      <c r="Q15" s="4727"/>
      <c r="R15" s="5106">
        <f t="shared" si="3"/>
        <v>0</v>
      </c>
      <c r="S15" s="4727"/>
      <c r="T15" s="4727"/>
      <c r="U15" s="4720">
        <v>93.72</v>
      </c>
      <c r="V15" s="5106">
        <f t="shared" si="4"/>
        <v>93.72</v>
      </c>
      <c r="W15" s="5107">
        <f t="shared" si="5"/>
        <v>93.72</v>
      </c>
      <c r="X15" s="5109">
        <f t="shared" si="6"/>
        <v>93.72</v>
      </c>
      <c r="Y15" s="4720">
        <v>0</v>
      </c>
      <c r="Z15" s="4720">
        <v>0</v>
      </c>
      <c r="AA15" s="4720">
        <v>0</v>
      </c>
      <c r="AB15" s="5105">
        <f t="shared" si="7"/>
        <v>0</v>
      </c>
      <c r="AC15" s="4720"/>
      <c r="AD15" s="5155"/>
      <c r="AE15" s="4727"/>
      <c r="AF15" s="7229">
        <f t="shared" si="8"/>
        <v>0</v>
      </c>
      <c r="AG15" s="5107">
        <f t="shared" si="9"/>
        <v>0</v>
      </c>
      <c r="AH15" s="4720">
        <v>0</v>
      </c>
      <c r="AI15" s="4720">
        <v>0</v>
      </c>
      <c r="AJ15" s="4720"/>
      <c r="AK15" s="5106">
        <f t="shared" si="10"/>
        <v>0</v>
      </c>
      <c r="AL15" s="4727"/>
      <c r="AM15" s="4727"/>
      <c r="AN15" s="5101"/>
      <c r="AO15" s="5106">
        <f t="shared" si="11"/>
        <v>0</v>
      </c>
      <c r="AP15" s="5107">
        <f t="shared" si="12"/>
        <v>0</v>
      </c>
      <c r="AQ15" s="5109">
        <f t="shared" si="13"/>
        <v>0</v>
      </c>
      <c r="AR15" s="5102">
        <f t="shared" si="14"/>
        <v>93.72</v>
      </c>
    </row>
    <row r="16" spans="5:44" ht="16" x14ac:dyDescent="0.2">
      <c r="E16" s="5076" t="s">
        <v>1596</v>
      </c>
      <c r="F16" s="4720">
        <v>0</v>
      </c>
      <c r="G16" s="4720">
        <v>0</v>
      </c>
      <c r="H16" s="4720">
        <v>0</v>
      </c>
      <c r="I16" s="5105">
        <f t="shared" si="0"/>
        <v>0</v>
      </c>
      <c r="J16" s="4720">
        <v>0</v>
      </c>
      <c r="K16" s="4720">
        <v>0</v>
      </c>
      <c r="L16" s="4727">
        <v>0</v>
      </c>
      <c r="M16" s="5106">
        <f t="shared" si="1"/>
        <v>0</v>
      </c>
      <c r="N16" s="5107">
        <f t="shared" si="2"/>
        <v>0</v>
      </c>
      <c r="O16" s="4720">
        <v>0</v>
      </c>
      <c r="P16" s="4720">
        <v>0</v>
      </c>
      <c r="Q16" s="4727"/>
      <c r="R16" s="5106">
        <f t="shared" si="3"/>
        <v>0</v>
      </c>
      <c r="S16" s="4727"/>
      <c r="T16" s="4727"/>
      <c r="U16" s="4720"/>
      <c r="V16" s="5106">
        <f t="shared" si="4"/>
        <v>0</v>
      </c>
      <c r="W16" s="5107">
        <f t="shared" si="5"/>
        <v>0</v>
      </c>
      <c r="X16" s="5109">
        <f t="shared" si="6"/>
        <v>0</v>
      </c>
      <c r="Y16" s="4720">
        <v>0</v>
      </c>
      <c r="Z16" s="4720">
        <v>0</v>
      </c>
      <c r="AA16" s="4720">
        <v>0</v>
      </c>
      <c r="AB16" s="5105">
        <f t="shared" si="7"/>
        <v>0</v>
      </c>
      <c r="AC16" s="4720"/>
      <c r="AD16" s="5155"/>
      <c r="AE16" s="4727"/>
      <c r="AF16" s="7229">
        <f t="shared" si="8"/>
        <v>0</v>
      </c>
      <c r="AG16" s="5107">
        <f t="shared" si="9"/>
        <v>0</v>
      </c>
      <c r="AH16" s="4720">
        <v>0</v>
      </c>
      <c r="AI16" s="4720">
        <v>0</v>
      </c>
      <c r="AJ16" s="4720"/>
      <c r="AK16" s="5106">
        <f t="shared" si="10"/>
        <v>0</v>
      </c>
      <c r="AL16" s="4727"/>
      <c r="AM16" s="4727"/>
      <c r="AN16" s="5101"/>
      <c r="AO16" s="5106">
        <f t="shared" si="11"/>
        <v>0</v>
      </c>
      <c r="AP16" s="5107">
        <f t="shared" si="12"/>
        <v>0</v>
      </c>
      <c r="AQ16" s="5109">
        <f t="shared" si="13"/>
        <v>0</v>
      </c>
      <c r="AR16" s="5102">
        <f t="shared" si="14"/>
        <v>0</v>
      </c>
    </row>
    <row r="17" spans="5:44" ht="16" x14ac:dyDescent="0.2">
      <c r="E17" s="5076" t="s">
        <v>1597</v>
      </c>
      <c r="F17" s="4720">
        <v>0</v>
      </c>
      <c r="G17" s="4720">
        <v>0</v>
      </c>
      <c r="H17" s="4720">
        <v>0</v>
      </c>
      <c r="I17" s="5105">
        <f t="shared" si="0"/>
        <v>0</v>
      </c>
      <c r="J17" s="4720">
        <v>0</v>
      </c>
      <c r="K17" s="4720">
        <v>0</v>
      </c>
      <c r="L17" s="4727">
        <v>0</v>
      </c>
      <c r="M17" s="5106">
        <f t="shared" si="1"/>
        <v>0</v>
      </c>
      <c r="N17" s="5107">
        <f t="shared" si="2"/>
        <v>0</v>
      </c>
      <c r="O17" s="4720">
        <v>0</v>
      </c>
      <c r="P17" s="4720">
        <v>0</v>
      </c>
      <c r="Q17" s="4727"/>
      <c r="R17" s="5106">
        <f t="shared" si="3"/>
        <v>0</v>
      </c>
      <c r="S17" s="4727"/>
      <c r="T17" s="4727"/>
      <c r="U17" s="4720"/>
      <c r="V17" s="5106">
        <f t="shared" si="4"/>
        <v>0</v>
      </c>
      <c r="W17" s="5107">
        <f t="shared" si="5"/>
        <v>0</v>
      </c>
      <c r="X17" s="5109">
        <f t="shared" si="6"/>
        <v>0</v>
      </c>
      <c r="Y17" s="4720">
        <v>0</v>
      </c>
      <c r="Z17" s="4720">
        <v>0</v>
      </c>
      <c r="AA17" s="4720">
        <v>0</v>
      </c>
      <c r="AB17" s="5105">
        <f t="shared" si="7"/>
        <v>0</v>
      </c>
      <c r="AC17" s="4720"/>
      <c r="AD17" s="5155"/>
      <c r="AE17" s="4727"/>
      <c r="AF17" s="7229">
        <f t="shared" si="8"/>
        <v>0</v>
      </c>
      <c r="AG17" s="5107">
        <f t="shared" si="9"/>
        <v>0</v>
      </c>
      <c r="AH17" s="4720">
        <v>0</v>
      </c>
      <c r="AI17" s="4720">
        <v>0</v>
      </c>
      <c r="AJ17" s="4720"/>
      <c r="AK17" s="5106">
        <f t="shared" si="10"/>
        <v>0</v>
      </c>
      <c r="AL17" s="4727"/>
      <c r="AM17" s="4727"/>
      <c r="AN17" s="5101"/>
      <c r="AO17" s="5106">
        <f t="shared" si="11"/>
        <v>0</v>
      </c>
      <c r="AP17" s="5107">
        <f t="shared" si="12"/>
        <v>0</v>
      </c>
      <c r="AQ17" s="5109">
        <f t="shared" si="13"/>
        <v>0</v>
      </c>
      <c r="AR17" s="5102">
        <f t="shared" si="14"/>
        <v>0</v>
      </c>
    </row>
    <row r="18" spans="5:44" ht="16" x14ac:dyDescent="0.2">
      <c r="E18" s="5076" t="s">
        <v>1598</v>
      </c>
      <c r="F18" s="4720">
        <v>283.29000000000002</v>
      </c>
      <c r="G18" s="4720">
        <v>0</v>
      </c>
      <c r="H18" s="4720">
        <v>85.2</v>
      </c>
      <c r="I18" s="5105">
        <f t="shared" si="0"/>
        <v>368.49</v>
      </c>
      <c r="J18" s="4720">
        <v>375.94</v>
      </c>
      <c r="K18" s="4720">
        <v>937.2</v>
      </c>
      <c r="L18" s="4727">
        <v>0</v>
      </c>
      <c r="M18" s="5106">
        <f t="shared" si="1"/>
        <v>1313.14</v>
      </c>
      <c r="N18" s="5107">
        <f t="shared" si="2"/>
        <v>1681.63</v>
      </c>
      <c r="O18" s="4720">
        <v>471</v>
      </c>
      <c r="P18" s="4720">
        <v>1078</v>
      </c>
      <c r="Q18" s="4727">
        <v>1979</v>
      </c>
      <c r="R18" s="5106">
        <f t="shared" si="3"/>
        <v>3528</v>
      </c>
      <c r="S18" s="4727">
        <v>1233</v>
      </c>
      <c r="T18" s="4727">
        <v>920</v>
      </c>
      <c r="U18" s="4720">
        <v>1665.66</v>
      </c>
      <c r="V18" s="5106">
        <f t="shared" si="4"/>
        <v>3818.66</v>
      </c>
      <c r="W18" s="5107">
        <f t="shared" si="5"/>
        <v>7346.66</v>
      </c>
      <c r="X18" s="5109">
        <f t="shared" si="6"/>
        <v>9028.2900000000009</v>
      </c>
      <c r="Y18" s="4720">
        <v>426</v>
      </c>
      <c r="Z18" s="4720">
        <v>189.57</v>
      </c>
      <c r="AA18" s="4720">
        <v>470.73</v>
      </c>
      <c r="AB18" s="5105">
        <f t="shared" si="7"/>
        <v>1086.3</v>
      </c>
      <c r="AC18" s="4720">
        <v>240.69</v>
      </c>
      <c r="AD18" s="5155">
        <v>443.6</v>
      </c>
      <c r="AE18" s="4727"/>
      <c r="AF18" s="7229">
        <f t="shared" si="8"/>
        <v>684.29</v>
      </c>
      <c r="AG18" s="5107">
        <f t="shared" si="9"/>
        <v>1770.59</v>
      </c>
      <c r="AH18" s="4720">
        <v>0</v>
      </c>
      <c r="AI18" s="4720">
        <v>2</v>
      </c>
      <c r="AJ18" s="4720">
        <v>226</v>
      </c>
      <c r="AK18" s="5106">
        <f t="shared" si="10"/>
        <v>228</v>
      </c>
      <c r="AL18" s="4727">
        <v>1065</v>
      </c>
      <c r="AM18" s="4727">
        <v>400</v>
      </c>
      <c r="AN18" s="5101">
        <v>270.51</v>
      </c>
      <c r="AO18" s="5106">
        <f t="shared" si="11"/>
        <v>1735.51</v>
      </c>
      <c r="AP18" s="5107">
        <f t="shared" si="12"/>
        <v>1963.51</v>
      </c>
      <c r="AQ18" s="5109">
        <f t="shared" si="13"/>
        <v>3734.1000000000004</v>
      </c>
      <c r="AR18" s="5102">
        <f t="shared" si="14"/>
        <v>12762.390000000001</v>
      </c>
    </row>
    <row r="19" spans="5:44" ht="16" x14ac:dyDescent="0.2">
      <c r="E19" s="5076" t="s">
        <v>2260</v>
      </c>
      <c r="F19" s="4720"/>
      <c r="G19" s="4720"/>
      <c r="H19" s="4720"/>
      <c r="I19" s="5105">
        <f t="shared" si="0"/>
        <v>0</v>
      </c>
      <c r="J19" s="4720">
        <v>0</v>
      </c>
      <c r="K19" s="4720">
        <v>0</v>
      </c>
      <c r="L19" s="4727">
        <v>0</v>
      </c>
      <c r="M19" s="5106">
        <f t="shared" si="1"/>
        <v>0</v>
      </c>
      <c r="N19" s="5107">
        <f t="shared" si="2"/>
        <v>0</v>
      </c>
      <c r="O19" s="4720">
        <v>0</v>
      </c>
      <c r="P19" s="4720">
        <v>0</v>
      </c>
      <c r="Q19" s="4727"/>
      <c r="R19" s="5106">
        <f t="shared" si="3"/>
        <v>0</v>
      </c>
      <c r="S19" s="4727"/>
      <c r="T19" s="4727"/>
      <c r="U19" s="4720"/>
      <c r="V19" s="5106">
        <f t="shared" si="4"/>
        <v>0</v>
      </c>
      <c r="W19" s="5107">
        <f t="shared" si="5"/>
        <v>0</v>
      </c>
      <c r="X19" s="5109">
        <f t="shared" si="6"/>
        <v>0</v>
      </c>
      <c r="Y19" s="4720"/>
      <c r="Z19" s="4720"/>
      <c r="AA19" s="4720"/>
      <c r="AB19" s="5105">
        <f t="shared" si="7"/>
        <v>0</v>
      </c>
      <c r="AC19" s="4720"/>
      <c r="AD19" s="5155"/>
      <c r="AE19" s="4727">
        <v>703</v>
      </c>
      <c r="AF19" s="7229">
        <f t="shared" si="8"/>
        <v>703</v>
      </c>
      <c r="AG19" s="5107">
        <f t="shared" si="9"/>
        <v>703</v>
      </c>
      <c r="AH19" s="4720">
        <v>0</v>
      </c>
      <c r="AI19" s="4720">
        <v>0</v>
      </c>
      <c r="AJ19" s="4720"/>
      <c r="AK19" s="5106">
        <f t="shared" si="10"/>
        <v>0</v>
      </c>
      <c r="AL19" s="4727"/>
      <c r="AM19" s="4727"/>
      <c r="AN19" s="5101"/>
      <c r="AO19" s="5106">
        <f t="shared" si="11"/>
        <v>0</v>
      </c>
      <c r="AP19" s="5107">
        <f t="shared" si="12"/>
        <v>0</v>
      </c>
      <c r="AQ19" s="5109">
        <f t="shared" si="13"/>
        <v>703</v>
      </c>
      <c r="AR19" s="5102">
        <f t="shared" si="14"/>
        <v>703</v>
      </c>
    </row>
    <row r="20" spans="5:44" ht="16" x14ac:dyDescent="0.2">
      <c r="E20" s="5076" t="s">
        <v>1734</v>
      </c>
      <c r="F20" s="4720">
        <v>9985.44</v>
      </c>
      <c r="G20" s="4720">
        <v>27868.92</v>
      </c>
      <c r="H20" s="4720">
        <v>13644.78</v>
      </c>
      <c r="I20" s="5105">
        <f t="shared" si="0"/>
        <v>51499.14</v>
      </c>
      <c r="J20" s="4720">
        <v>25178.199999999997</v>
      </c>
      <c r="K20" s="4720">
        <v>16863.900000000001</v>
      </c>
      <c r="L20" s="4727">
        <v>9926</v>
      </c>
      <c r="M20" s="5106">
        <f t="shared" si="1"/>
        <v>51968.1</v>
      </c>
      <c r="N20" s="5107">
        <f t="shared" si="2"/>
        <v>103467.23999999999</v>
      </c>
      <c r="O20" s="4720">
        <v>6918</v>
      </c>
      <c r="P20" s="4720">
        <v>7806</v>
      </c>
      <c r="Q20" s="4727">
        <v>24740</v>
      </c>
      <c r="R20" s="5106">
        <f t="shared" si="3"/>
        <v>39464</v>
      </c>
      <c r="S20" s="4727">
        <v>4957</v>
      </c>
      <c r="T20" s="4727"/>
      <c r="U20" s="4720"/>
      <c r="V20" s="5106">
        <f t="shared" si="4"/>
        <v>4957</v>
      </c>
      <c r="W20" s="5107">
        <f t="shared" si="5"/>
        <v>44421</v>
      </c>
      <c r="X20" s="5109">
        <f t="shared" si="6"/>
        <v>147888.24</v>
      </c>
      <c r="Y20" s="4720">
        <v>27042.48</v>
      </c>
      <c r="Z20" s="4720">
        <v>14754.51</v>
      </c>
      <c r="AA20" s="4720">
        <v>25349.13</v>
      </c>
      <c r="AB20" s="5105">
        <f t="shared" si="7"/>
        <v>67146.12</v>
      </c>
      <c r="AC20" s="4720">
        <v>24401.280000000006</v>
      </c>
      <c r="AD20" s="5155">
        <v>20571.5</v>
      </c>
      <c r="AE20" s="4727">
        <v>7815</v>
      </c>
      <c r="AF20" s="7229">
        <f t="shared" si="8"/>
        <v>52787.780000000006</v>
      </c>
      <c r="AG20" s="5107">
        <f t="shared" si="9"/>
        <v>119933.9</v>
      </c>
      <c r="AH20" s="4720">
        <v>435</v>
      </c>
      <c r="AI20" s="4720">
        <v>11609</v>
      </c>
      <c r="AJ20" s="4720">
        <v>8616</v>
      </c>
      <c r="AK20" s="5106">
        <f t="shared" si="10"/>
        <v>20660</v>
      </c>
      <c r="AL20" s="4727">
        <v>8761</v>
      </c>
      <c r="AM20" s="4727"/>
      <c r="AN20" s="5101"/>
      <c r="AO20" s="5106">
        <f t="shared" si="11"/>
        <v>8761</v>
      </c>
      <c r="AP20" s="5107">
        <f t="shared" si="12"/>
        <v>29421</v>
      </c>
      <c r="AQ20" s="5109">
        <f t="shared" si="13"/>
        <v>149354.9</v>
      </c>
      <c r="AR20" s="5102">
        <f t="shared" si="14"/>
        <v>297243.14</v>
      </c>
    </row>
    <row r="21" spans="5:44" ht="16" x14ac:dyDescent="0.2">
      <c r="E21" s="5076" t="s">
        <v>2148</v>
      </c>
      <c r="F21" s="4720"/>
      <c r="G21" s="4720"/>
      <c r="H21" s="4720"/>
      <c r="I21" s="5105">
        <f t="shared" si="0"/>
        <v>0</v>
      </c>
      <c r="J21" s="4720">
        <v>0</v>
      </c>
      <c r="K21" s="4720">
        <v>4358</v>
      </c>
      <c r="L21" s="4727">
        <v>0</v>
      </c>
      <c r="M21" s="5106">
        <f t="shared" si="1"/>
        <v>4358</v>
      </c>
      <c r="N21" s="5107">
        <f t="shared" si="2"/>
        <v>4358</v>
      </c>
      <c r="O21" s="4720">
        <v>0</v>
      </c>
      <c r="P21" s="4720">
        <v>0</v>
      </c>
      <c r="Q21" s="4727"/>
      <c r="R21" s="5106">
        <f t="shared" si="3"/>
        <v>0</v>
      </c>
      <c r="S21" s="4727"/>
      <c r="T21" s="4727"/>
      <c r="U21" s="4720"/>
      <c r="V21" s="5106">
        <f t="shared" si="4"/>
        <v>0</v>
      </c>
      <c r="W21" s="5107">
        <f t="shared" si="5"/>
        <v>0</v>
      </c>
      <c r="X21" s="5109">
        <f t="shared" si="6"/>
        <v>4358</v>
      </c>
      <c r="Y21" s="4720"/>
      <c r="Z21" s="4720"/>
      <c r="AA21" s="4720"/>
      <c r="AB21" s="5105">
        <f t="shared" si="7"/>
        <v>0</v>
      </c>
      <c r="AC21" s="4720">
        <v>585.75</v>
      </c>
      <c r="AD21" s="5155">
        <v>15197.6</v>
      </c>
      <c r="AE21" s="4727"/>
      <c r="AF21" s="7229">
        <f t="shared" si="8"/>
        <v>15783.35</v>
      </c>
      <c r="AG21" s="5107">
        <f t="shared" si="9"/>
        <v>15783.35</v>
      </c>
      <c r="AH21" s="4720">
        <v>0</v>
      </c>
      <c r="AI21" s="4720">
        <v>0</v>
      </c>
      <c r="AJ21" s="4720"/>
      <c r="AK21" s="5106">
        <f t="shared" si="10"/>
        <v>0</v>
      </c>
      <c r="AL21" s="4727"/>
      <c r="AM21" s="4727"/>
      <c r="AN21" s="5101"/>
      <c r="AO21" s="5106">
        <f t="shared" si="11"/>
        <v>0</v>
      </c>
      <c r="AP21" s="5107">
        <f t="shared" si="12"/>
        <v>0</v>
      </c>
      <c r="AQ21" s="5109">
        <f t="shared" si="13"/>
        <v>15783.35</v>
      </c>
      <c r="AR21" s="5102">
        <f t="shared" si="14"/>
        <v>20141.349999999999</v>
      </c>
    </row>
    <row r="22" spans="5:44" ht="16" x14ac:dyDescent="0.2">
      <c r="E22" s="5076" t="s">
        <v>1706</v>
      </c>
      <c r="F22" s="4720">
        <v>0</v>
      </c>
      <c r="G22" s="4720">
        <v>0</v>
      </c>
      <c r="H22" s="4720">
        <v>0</v>
      </c>
      <c r="I22" s="5105">
        <f t="shared" si="0"/>
        <v>0</v>
      </c>
      <c r="J22" s="4720">
        <v>0</v>
      </c>
      <c r="K22" s="4720">
        <v>0</v>
      </c>
      <c r="L22" s="4727">
        <v>0</v>
      </c>
      <c r="M22" s="5106">
        <f t="shared" si="1"/>
        <v>0</v>
      </c>
      <c r="N22" s="5107">
        <f t="shared" si="2"/>
        <v>0</v>
      </c>
      <c r="O22" s="4720">
        <v>0</v>
      </c>
      <c r="P22" s="4720">
        <v>0</v>
      </c>
      <c r="Q22" s="4727"/>
      <c r="R22" s="5106">
        <f t="shared" si="3"/>
        <v>0</v>
      </c>
      <c r="S22" s="4727"/>
      <c r="T22" s="4727"/>
      <c r="U22" s="4720"/>
      <c r="V22" s="5106">
        <f t="shared" si="4"/>
        <v>0</v>
      </c>
      <c r="W22" s="5107">
        <f t="shared" si="5"/>
        <v>0</v>
      </c>
      <c r="X22" s="5109">
        <f t="shared" si="6"/>
        <v>0</v>
      </c>
      <c r="Y22" s="4720">
        <v>0</v>
      </c>
      <c r="Z22" s="4720">
        <v>0</v>
      </c>
      <c r="AA22" s="4720">
        <v>0</v>
      </c>
      <c r="AB22" s="5105">
        <f t="shared" si="7"/>
        <v>0</v>
      </c>
      <c r="AC22" s="4720"/>
      <c r="AD22" s="5155"/>
      <c r="AE22" s="4727"/>
      <c r="AF22" s="7229">
        <f t="shared" si="8"/>
        <v>0</v>
      </c>
      <c r="AG22" s="5107">
        <f t="shared" si="9"/>
        <v>0</v>
      </c>
      <c r="AH22" s="4720">
        <v>0</v>
      </c>
      <c r="AI22" s="4720">
        <v>0</v>
      </c>
      <c r="AJ22" s="4720"/>
      <c r="AK22" s="5106">
        <f t="shared" si="10"/>
        <v>0</v>
      </c>
      <c r="AL22" s="4727"/>
      <c r="AM22" s="4727"/>
      <c r="AN22" s="5101"/>
      <c r="AO22" s="5106">
        <f t="shared" si="11"/>
        <v>0</v>
      </c>
      <c r="AP22" s="5107">
        <f t="shared" si="12"/>
        <v>0</v>
      </c>
      <c r="AQ22" s="5109">
        <f t="shared" si="13"/>
        <v>0</v>
      </c>
      <c r="AR22" s="5102">
        <f t="shared" si="14"/>
        <v>0</v>
      </c>
    </row>
    <row r="23" spans="5:44" ht="16" x14ac:dyDescent="0.2">
      <c r="E23" s="5076" t="s">
        <v>1707</v>
      </c>
      <c r="F23" s="4720">
        <v>0</v>
      </c>
      <c r="G23" s="4720">
        <v>0</v>
      </c>
      <c r="H23" s="4720">
        <v>0</v>
      </c>
      <c r="I23" s="5105">
        <f t="shared" si="0"/>
        <v>0</v>
      </c>
      <c r="J23" s="4720">
        <v>0</v>
      </c>
      <c r="K23" s="4720">
        <v>0</v>
      </c>
      <c r="L23" s="4727">
        <v>0</v>
      </c>
      <c r="M23" s="5106">
        <f t="shared" si="1"/>
        <v>0</v>
      </c>
      <c r="N23" s="5107">
        <f t="shared" si="2"/>
        <v>0</v>
      </c>
      <c r="O23" s="4720">
        <v>0</v>
      </c>
      <c r="P23" s="4720">
        <v>0</v>
      </c>
      <c r="Q23" s="4727"/>
      <c r="R23" s="5106">
        <f t="shared" si="3"/>
        <v>0</v>
      </c>
      <c r="S23" s="4727"/>
      <c r="T23" s="4727"/>
      <c r="U23" s="4720"/>
      <c r="V23" s="5106">
        <f t="shared" si="4"/>
        <v>0</v>
      </c>
      <c r="W23" s="5107">
        <f t="shared" si="5"/>
        <v>0</v>
      </c>
      <c r="X23" s="5109">
        <f t="shared" si="6"/>
        <v>0</v>
      </c>
      <c r="Y23" s="4720">
        <v>0</v>
      </c>
      <c r="Z23" s="4720">
        <v>0</v>
      </c>
      <c r="AA23" s="4720">
        <v>0</v>
      </c>
      <c r="AB23" s="5105">
        <f t="shared" si="7"/>
        <v>0</v>
      </c>
      <c r="AC23" s="4720"/>
      <c r="AD23" s="5155"/>
      <c r="AE23" s="4727"/>
      <c r="AF23" s="7229">
        <f t="shared" si="8"/>
        <v>0</v>
      </c>
      <c r="AG23" s="5107">
        <f t="shared" si="9"/>
        <v>0</v>
      </c>
      <c r="AH23" s="4720">
        <v>0</v>
      </c>
      <c r="AI23" s="4720">
        <v>0</v>
      </c>
      <c r="AJ23" s="4720"/>
      <c r="AK23" s="5106">
        <f t="shared" si="10"/>
        <v>0</v>
      </c>
      <c r="AL23" s="4727"/>
      <c r="AM23" s="4727"/>
      <c r="AN23" s="5101"/>
      <c r="AO23" s="5106">
        <f t="shared" si="11"/>
        <v>0</v>
      </c>
      <c r="AP23" s="5107">
        <f t="shared" si="12"/>
        <v>0</v>
      </c>
      <c r="AQ23" s="5109">
        <f t="shared" si="13"/>
        <v>0</v>
      </c>
      <c r="AR23" s="5102">
        <f t="shared" si="14"/>
        <v>0</v>
      </c>
    </row>
    <row r="24" spans="5:44" ht="16" x14ac:dyDescent="0.2">
      <c r="E24" s="5076" t="s">
        <v>1730</v>
      </c>
      <c r="F24" s="4720">
        <v>0</v>
      </c>
      <c r="G24" s="4720">
        <v>0</v>
      </c>
      <c r="H24" s="4720">
        <v>0</v>
      </c>
      <c r="I24" s="5105">
        <f t="shared" si="0"/>
        <v>0</v>
      </c>
      <c r="J24" s="4720">
        <v>0</v>
      </c>
      <c r="K24" s="4720">
        <v>0</v>
      </c>
      <c r="L24" s="4727">
        <v>0</v>
      </c>
      <c r="M24" s="5106">
        <f t="shared" si="1"/>
        <v>0</v>
      </c>
      <c r="N24" s="5107">
        <f t="shared" si="2"/>
        <v>0</v>
      </c>
      <c r="O24" s="4720">
        <v>0</v>
      </c>
      <c r="P24" s="4720">
        <v>0</v>
      </c>
      <c r="Q24" s="4727"/>
      <c r="R24" s="5106">
        <f t="shared" si="3"/>
        <v>0</v>
      </c>
      <c r="S24" s="4727"/>
      <c r="T24" s="4727"/>
      <c r="U24" s="4720"/>
      <c r="V24" s="5106">
        <f t="shared" si="4"/>
        <v>0</v>
      </c>
      <c r="W24" s="5107">
        <f t="shared" si="5"/>
        <v>0</v>
      </c>
      <c r="X24" s="5109">
        <f t="shared" si="6"/>
        <v>0</v>
      </c>
      <c r="Y24" s="4720">
        <v>0</v>
      </c>
      <c r="Z24" s="4720">
        <v>0</v>
      </c>
      <c r="AA24" s="4720">
        <v>0</v>
      </c>
      <c r="AB24" s="5105">
        <f t="shared" si="7"/>
        <v>0</v>
      </c>
      <c r="AC24" s="4720"/>
      <c r="AD24" s="5155"/>
      <c r="AE24" s="4727"/>
      <c r="AF24" s="7229">
        <f t="shared" si="8"/>
        <v>0</v>
      </c>
      <c r="AG24" s="5107">
        <f t="shared" si="9"/>
        <v>0</v>
      </c>
      <c r="AH24" s="4720">
        <v>0</v>
      </c>
      <c r="AI24" s="4720">
        <v>0</v>
      </c>
      <c r="AJ24" s="4720"/>
      <c r="AK24" s="5106">
        <f t="shared" si="10"/>
        <v>0</v>
      </c>
      <c r="AL24" s="4727"/>
      <c r="AM24" s="4727"/>
      <c r="AN24" s="5101"/>
      <c r="AO24" s="5106">
        <f t="shared" si="11"/>
        <v>0</v>
      </c>
      <c r="AP24" s="5107">
        <f t="shared" si="12"/>
        <v>0</v>
      </c>
      <c r="AQ24" s="5109">
        <f t="shared" si="13"/>
        <v>0</v>
      </c>
      <c r="AR24" s="5102">
        <f t="shared" si="14"/>
        <v>0</v>
      </c>
    </row>
    <row r="25" spans="5:44" ht="16" x14ac:dyDescent="0.2">
      <c r="E25" s="5076" t="s">
        <v>1977</v>
      </c>
      <c r="F25" s="4720">
        <v>0</v>
      </c>
      <c r="G25" s="4720">
        <v>8434.7999999999993</v>
      </c>
      <c r="H25" s="4720">
        <v>0</v>
      </c>
      <c r="I25" s="5105">
        <f t="shared" si="0"/>
        <v>8434.7999999999993</v>
      </c>
      <c r="J25" s="4720">
        <v>0</v>
      </c>
      <c r="K25" s="4720">
        <v>0</v>
      </c>
      <c r="L25" s="4727">
        <v>0</v>
      </c>
      <c r="M25" s="5106">
        <f t="shared" si="1"/>
        <v>0</v>
      </c>
      <c r="N25" s="5107">
        <f t="shared" si="2"/>
        <v>8434.7999999999993</v>
      </c>
      <c r="O25" s="4720">
        <v>0</v>
      </c>
      <c r="P25" s="4720">
        <v>0</v>
      </c>
      <c r="Q25" s="4727"/>
      <c r="R25" s="5106">
        <f t="shared" si="3"/>
        <v>0</v>
      </c>
      <c r="S25" s="4727"/>
      <c r="T25" s="4727"/>
      <c r="U25" s="4720"/>
      <c r="V25" s="5106">
        <f t="shared" si="4"/>
        <v>0</v>
      </c>
      <c r="W25" s="5107">
        <f t="shared" si="5"/>
        <v>0</v>
      </c>
      <c r="X25" s="5109">
        <f t="shared" si="6"/>
        <v>8434.7999999999993</v>
      </c>
      <c r="Y25" s="4720">
        <v>0</v>
      </c>
      <c r="Z25" s="4720">
        <v>0</v>
      </c>
      <c r="AA25" s="4720">
        <v>0</v>
      </c>
      <c r="AB25" s="5105">
        <f t="shared" si="7"/>
        <v>0</v>
      </c>
      <c r="AC25" s="4720">
        <v>0</v>
      </c>
      <c r="AD25" s="5155">
        <v>0</v>
      </c>
      <c r="AE25" s="4727"/>
      <c r="AF25" s="7229">
        <f t="shared" si="8"/>
        <v>0</v>
      </c>
      <c r="AG25" s="5107">
        <f t="shared" si="9"/>
        <v>0</v>
      </c>
      <c r="AH25" s="4720">
        <v>0</v>
      </c>
      <c r="AI25" s="4720">
        <v>0</v>
      </c>
      <c r="AJ25" s="4720"/>
      <c r="AK25" s="5106">
        <f t="shared" si="10"/>
        <v>0</v>
      </c>
      <c r="AL25" s="4727"/>
      <c r="AM25" s="4727"/>
      <c r="AN25" s="5101"/>
      <c r="AO25" s="5106">
        <f t="shared" si="11"/>
        <v>0</v>
      </c>
      <c r="AP25" s="5107">
        <f t="shared" si="12"/>
        <v>0</v>
      </c>
      <c r="AQ25" s="5109">
        <f t="shared" si="13"/>
        <v>0</v>
      </c>
      <c r="AR25" s="5102">
        <f t="shared" si="14"/>
        <v>8434.7999999999993</v>
      </c>
    </row>
    <row r="26" spans="5:44" ht="16" x14ac:dyDescent="0.2">
      <c r="E26" s="5076" t="s">
        <v>2574</v>
      </c>
      <c r="F26" s="4720"/>
      <c r="G26" s="4720"/>
      <c r="H26" s="4720"/>
      <c r="I26" s="5105"/>
      <c r="J26" s="4720"/>
      <c r="K26" s="4720"/>
      <c r="L26" s="4727"/>
      <c r="M26" s="5106"/>
      <c r="N26" s="5107"/>
      <c r="O26" s="4720"/>
      <c r="P26" s="4720"/>
      <c r="Q26" s="4727"/>
      <c r="R26" s="5106"/>
      <c r="S26" s="4727">
        <v>17291</v>
      </c>
      <c r="T26" s="4727">
        <v>33594</v>
      </c>
      <c r="U26" s="4720">
        <v>45136.83</v>
      </c>
      <c r="V26" s="5106"/>
      <c r="W26" s="5107"/>
      <c r="X26" s="5109">
        <f t="shared" si="6"/>
        <v>96021.83</v>
      </c>
      <c r="Y26" s="4720"/>
      <c r="Z26" s="4720"/>
      <c r="AA26" s="4720"/>
      <c r="AB26" s="5105"/>
      <c r="AC26" s="4720"/>
      <c r="AD26" s="5155"/>
      <c r="AE26" s="4727"/>
      <c r="AF26" s="7229"/>
      <c r="AG26" s="5107"/>
      <c r="AH26" s="4720"/>
      <c r="AI26" s="4720"/>
      <c r="AJ26" s="4720"/>
      <c r="AK26" s="5106"/>
      <c r="AL26" s="4727">
        <v>9440</v>
      </c>
      <c r="AM26" s="4727">
        <v>21106</v>
      </c>
      <c r="AN26" s="5101">
        <v>31187.46</v>
      </c>
      <c r="AO26" s="5106"/>
      <c r="AP26" s="5107"/>
      <c r="AQ26" s="5109">
        <f t="shared" si="13"/>
        <v>61733.46</v>
      </c>
      <c r="AR26" s="5102">
        <f t="shared" ref="AR26" si="16">+AQ26+X26</f>
        <v>157755.29</v>
      </c>
    </row>
    <row r="27" spans="5:44" ht="16" x14ac:dyDescent="0.2">
      <c r="E27" s="4932" t="s">
        <v>1662</v>
      </c>
      <c r="F27" s="4720">
        <v>5902.2300000000005</v>
      </c>
      <c r="G27" s="4720">
        <v>5874.54</v>
      </c>
      <c r="H27" s="4720">
        <v>7280.34</v>
      </c>
      <c r="I27" s="5105">
        <f t="shared" si="0"/>
        <v>19057.11</v>
      </c>
      <c r="J27" s="4720">
        <v>5825.5499999999975</v>
      </c>
      <c r="K27" s="4720">
        <v>8396.5</v>
      </c>
      <c r="L27" s="4727">
        <v>2243</v>
      </c>
      <c r="M27" s="5106">
        <f t="shared" si="1"/>
        <v>16465.049999999996</v>
      </c>
      <c r="N27" s="5107">
        <f t="shared" si="2"/>
        <v>35522.159999999996</v>
      </c>
      <c r="O27" s="4720">
        <v>0</v>
      </c>
      <c r="P27" s="4720">
        <v>2130</v>
      </c>
      <c r="Q27" s="4727"/>
      <c r="R27" s="5106">
        <f t="shared" si="3"/>
        <v>2130</v>
      </c>
      <c r="S27" s="4727">
        <v>1391</v>
      </c>
      <c r="T27" s="4727">
        <v>1225</v>
      </c>
      <c r="U27" s="4720"/>
      <c r="V27" s="5106">
        <f t="shared" si="4"/>
        <v>2616</v>
      </c>
      <c r="W27" s="5107">
        <f t="shared" si="5"/>
        <v>4746</v>
      </c>
      <c r="X27" s="5109">
        <f t="shared" si="6"/>
        <v>40268.159999999996</v>
      </c>
      <c r="Y27" s="4720">
        <v>0</v>
      </c>
      <c r="Z27" s="4720">
        <v>0</v>
      </c>
      <c r="AA27" s="4720">
        <v>0</v>
      </c>
      <c r="AB27" s="5105">
        <f t="shared" si="7"/>
        <v>0</v>
      </c>
      <c r="AC27" s="4720">
        <v>0</v>
      </c>
      <c r="AD27" s="5155">
        <v>0</v>
      </c>
      <c r="AE27" s="4727"/>
      <c r="AF27" s="7229">
        <f t="shared" si="8"/>
        <v>0</v>
      </c>
      <c r="AG27" s="5107">
        <f t="shared" si="9"/>
        <v>0</v>
      </c>
      <c r="AH27" s="4720">
        <v>0</v>
      </c>
      <c r="AI27" s="4720">
        <v>0</v>
      </c>
      <c r="AJ27" s="4720"/>
      <c r="AK27" s="5106">
        <f t="shared" si="10"/>
        <v>0</v>
      </c>
      <c r="AL27" s="4727"/>
      <c r="AM27" s="4727"/>
      <c r="AN27" s="5101"/>
      <c r="AO27" s="5106">
        <f t="shared" si="11"/>
        <v>0</v>
      </c>
      <c r="AP27" s="5107">
        <f t="shared" si="12"/>
        <v>0</v>
      </c>
      <c r="AQ27" s="5109">
        <f t="shared" si="13"/>
        <v>0</v>
      </c>
      <c r="AR27" s="5102">
        <f t="shared" si="14"/>
        <v>40268.159999999996</v>
      </c>
    </row>
    <row r="28" spans="5:44" ht="16" x14ac:dyDescent="0.2">
      <c r="E28" s="4932" t="s">
        <v>2430</v>
      </c>
      <c r="F28" s="4720">
        <v>0</v>
      </c>
      <c r="G28" s="4720">
        <v>0</v>
      </c>
      <c r="H28" s="4720">
        <v>0</v>
      </c>
      <c r="I28" s="5105">
        <f t="shared" si="0"/>
        <v>0</v>
      </c>
      <c r="J28" s="4720">
        <v>0</v>
      </c>
      <c r="K28" s="4720">
        <v>0</v>
      </c>
      <c r="L28" s="4720">
        <v>0</v>
      </c>
      <c r="M28" s="5106">
        <f t="shared" si="1"/>
        <v>0</v>
      </c>
      <c r="N28" s="5107">
        <f t="shared" si="2"/>
        <v>0</v>
      </c>
      <c r="O28" s="4720">
        <v>0</v>
      </c>
      <c r="P28" s="4720">
        <v>0</v>
      </c>
      <c r="Q28" s="4727"/>
      <c r="R28" s="5106">
        <f t="shared" si="3"/>
        <v>0</v>
      </c>
      <c r="S28" s="4727"/>
      <c r="T28" s="4727"/>
      <c r="U28" s="4720"/>
      <c r="V28" s="5106">
        <f t="shared" si="4"/>
        <v>0</v>
      </c>
      <c r="W28" s="5107">
        <f t="shared" si="5"/>
        <v>0</v>
      </c>
      <c r="X28" s="5109">
        <f t="shared" si="6"/>
        <v>0</v>
      </c>
      <c r="Y28" s="4720">
        <v>0</v>
      </c>
      <c r="Z28" s="4720">
        <v>0</v>
      </c>
      <c r="AA28" s="4720">
        <v>0</v>
      </c>
      <c r="AB28" s="5105">
        <f t="shared" si="7"/>
        <v>0</v>
      </c>
      <c r="AC28" s="4720">
        <v>0</v>
      </c>
      <c r="AD28" s="5155"/>
      <c r="AE28" s="4727"/>
      <c r="AF28" s="7229">
        <f t="shared" si="8"/>
        <v>0</v>
      </c>
      <c r="AG28" s="5107">
        <f t="shared" si="9"/>
        <v>0</v>
      </c>
      <c r="AH28" s="4720">
        <v>0</v>
      </c>
      <c r="AI28" s="4720">
        <v>0</v>
      </c>
      <c r="AJ28" s="4720"/>
      <c r="AK28" s="5106">
        <f t="shared" si="10"/>
        <v>0</v>
      </c>
      <c r="AL28" s="4727"/>
      <c r="AM28" s="4727"/>
      <c r="AN28" s="5101"/>
      <c r="AO28" s="5106">
        <f t="shared" si="11"/>
        <v>0</v>
      </c>
      <c r="AP28" s="5107">
        <f t="shared" si="12"/>
        <v>0</v>
      </c>
      <c r="AQ28" s="5109">
        <f t="shared" si="13"/>
        <v>0</v>
      </c>
      <c r="AR28" s="5102">
        <f t="shared" si="14"/>
        <v>0</v>
      </c>
    </row>
    <row r="29" spans="5:44" ht="16" x14ac:dyDescent="0.2">
      <c r="E29" s="4932" t="s">
        <v>2147</v>
      </c>
      <c r="F29" s="4720">
        <v>0</v>
      </c>
      <c r="G29" s="4720">
        <v>0</v>
      </c>
      <c r="H29" s="4720">
        <v>0</v>
      </c>
      <c r="I29" s="5105">
        <f t="shared" si="0"/>
        <v>0</v>
      </c>
      <c r="J29" s="4720">
        <v>4430.3999999999987</v>
      </c>
      <c r="K29" s="4720">
        <v>3906.4</v>
      </c>
      <c r="L29" s="4727">
        <v>1184</v>
      </c>
      <c r="M29" s="5106">
        <f t="shared" si="1"/>
        <v>9520.7999999999993</v>
      </c>
      <c r="N29" s="5107">
        <f t="shared" si="2"/>
        <v>9520.7999999999993</v>
      </c>
      <c r="O29" s="4720">
        <v>5314</v>
      </c>
      <c r="P29" s="4720">
        <v>13191.1</v>
      </c>
      <c r="Q29" s="4727">
        <v>8712</v>
      </c>
      <c r="R29" s="5106">
        <f t="shared" si="3"/>
        <v>27217.1</v>
      </c>
      <c r="S29" s="4727">
        <v>2609</v>
      </c>
      <c r="T29" s="4727">
        <v>6997</v>
      </c>
      <c r="U29" s="4720">
        <v>16507.5</v>
      </c>
      <c r="V29" s="5106">
        <f t="shared" si="4"/>
        <v>26113.5</v>
      </c>
      <c r="W29" s="5107">
        <f t="shared" si="5"/>
        <v>53330.6</v>
      </c>
      <c r="X29" s="5109">
        <f t="shared" si="6"/>
        <v>62851.399999999994</v>
      </c>
      <c r="Y29" s="4720">
        <v>0</v>
      </c>
      <c r="Z29" s="4720">
        <v>0</v>
      </c>
      <c r="AA29" s="4720">
        <v>0</v>
      </c>
      <c r="AB29" s="5105">
        <f t="shared" si="7"/>
        <v>0</v>
      </c>
      <c r="AC29" s="4720">
        <v>0</v>
      </c>
      <c r="AD29" s="5155">
        <v>0</v>
      </c>
      <c r="AE29" s="4727"/>
      <c r="AF29" s="7229">
        <f t="shared" si="8"/>
        <v>0</v>
      </c>
      <c r="AG29" s="5107">
        <f t="shared" si="9"/>
        <v>0</v>
      </c>
      <c r="AH29" s="4720">
        <v>0</v>
      </c>
      <c r="AI29" s="4720">
        <v>0</v>
      </c>
      <c r="AJ29" s="4720"/>
      <c r="AK29" s="5106">
        <f t="shared" si="10"/>
        <v>0</v>
      </c>
      <c r="AL29" s="4727"/>
      <c r="AM29" s="4727"/>
      <c r="AN29" s="5101"/>
      <c r="AO29" s="5106">
        <f t="shared" si="11"/>
        <v>0</v>
      </c>
      <c r="AP29" s="5107">
        <f t="shared" si="12"/>
        <v>0</v>
      </c>
      <c r="AQ29" s="5109">
        <f t="shared" si="13"/>
        <v>0</v>
      </c>
      <c r="AR29" s="5102">
        <f t="shared" si="14"/>
        <v>62851.399999999994</v>
      </c>
    </row>
    <row r="30" spans="5:44" ht="16" x14ac:dyDescent="0.2">
      <c r="E30" s="4932" t="s">
        <v>1690</v>
      </c>
      <c r="F30" s="4720">
        <v>1910.6100000000001</v>
      </c>
      <c r="G30" s="4720">
        <v>3471.9</v>
      </c>
      <c r="H30" s="4720">
        <v>3825.48</v>
      </c>
      <c r="I30" s="5105">
        <f t="shared" si="0"/>
        <v>9207.99</v>
      </c>
      <c r="J30" s="4720">
        <v>2890.41</v>
      </c>
      <c r="K30" s="4720">
        <v>3716.9</v>
      </c>
      <c r="L30" s="4727">
        <v>1112</v>
      </c>
      <c r="M30" s="5106">
        <f t="shared" si="1"/>
        <v>7719.3099999999995</v>
      </c>
      <c r="N30" s="5107">
        <f t="shared" si="2"/>
        <v>16927.3</v>
      </c>
      <c r="O30" s="4720">
        <v>0</v>
      </c>
      <c r="P30" s="4720">
        <v>684</v>
      </c>
      <c r="Q30" s="4727"/>
      <c r="R30" s="5106">
        <f t="shared" si="3"/>
        <v>684</v>
      </c>
      <c r="S30" s="4727">
        <v>292</v>
      </c>
      <c r="T30" s="4727">
        <v>371</v>
      </c>
      <c r="U30" s="4720"/>
      <c r="V30" s="5106">
        <f t="shared" si="4"/>
        <v>663</v>
      </c>
      <c r="W30" s="5107">
        <f t="shared" si="5"/>
        <v>1347</v>
      </c>
      <c r="X30" s="5109">
        <f t="shared" si="6"/>
        <v>18274.3</v>
      </c>
      <c r="Y30" s="4720">
        <v>0</v>
      </c>
      <c r="Z30" s="4720">
        <v>0</v>
      </c>
      <c r="AA30" s="4720">
        <v>0</v>
      </c>
      <c r="AB30" s="5105">
        <f t="shared" si="7"/>
        <v>0</v>
      </c>
      <c r="AC30" s="4720">
        <v>0</v>
      </c>
      <c r="AD30" s="5155">
        <v>0</v>
      </c>
      <c r="AE30" s="4727"/>
      <c r="AF30" s="7229">
        <f t="shared" si="8"/>
        <v>0</v>
      </c>
      <c r="AG30" s="5107">
        <f t="shared" si="9"/>
        <v>0</v>
      </c>
      <c r="AH30" s="4720">
        <v>0</v>
      </c>
      <c r="AI30" s="4720">
        <v>0</v>
      </c>
      <c r="AJ30" s="4720"/>
      <c r="AK30" s="5106">
        <f t="shared" si="10"/>
        <v>0</v>
      </c>
      <c r="AL30" s="4727"/>
      <c r="AM30" s="4727"/>
      <c r="AN30" s="5101"/>
      <c r="AO30" s="5106">
        <f t="shared" si="11"/>
        <v>0</v>
      </c>
      <c r="AP30" s="5107">
        <f t="shared" si="12"/>
        <v>0</v>
      </c>
      <c r="AQ30" s="5109">
        <f t="shared" si="13"/>
        <v>0</v>
      </c>
      <c r="AR30" s="5102">
        <f t="shared" si="14"/>
        <v>18274.3</v>
      </c>
    </row>
    <row r="31" spans="5:44" ht="16" x14ac:dyDescent="0.2">
      <c r="E31" s="4932" t="s">
        <v>1755</v>
      </c>
      <c r="F31" s="4720">
        <v>0</v>
      </c>
      <c r="G31" s="4720">
        <v>0</v>
      </c>
      <c r="H31" s="4720">
        <v>0</v>
      </c>
      <c r="I31" s="5105">
        <f t="shared" si="0"/>
        <v>0</v>
      </c>
      <c r="J31" s="4720">
        <v>0</v>
      </c>
      <c r="K31" s="4720">
        <v>0</v>
      </c>
      <c r="L31" s="4720">
        <v>0</v>
      </c>
      <c r="M31" s="5106">
        <f t="shared" si="1"/>
        <v>0</v>
      </c>
      <c r="N31" s="5107">
        <f t="shared" si="2"/>
        <v>0</v>
      </c>
      <c r="O31" s="4720">
        <v>0</v>
      </c>
      <c r="P31" s="4720">
        <v>0</v>
      </c>
      <c r="Q31" s="4727"/>
      <c r="R31" s="5106">
        <f t="shared" si="3"/>
        <v>0</v>
      </c>
      <c r="S31" s="4727"/>
      <c r="T31" s="4727"/>
      <c r="U31" s="4720"/>
      <c r="V31" s="5106">
        <f t="shared" si="4"/>
        <v>0</v>
      </c>
      <c r="W31" s="5107">
        <f t="shared" si="5"/>
        <v>0</v>
      </c>
      <c r="X31" s="5109">
        <f t="shared" si="6"/>
        <v>0</v>
      </c>
      <c r="Y31" s="4720">
        <v>0</v>
      </c>
      <c r="Z31" s="4720">
        <v>0</v>
      </c>
      <c r="AA31" s="4720">
        <v>0</v>
      </c>
      <c r="AB31" s="5105">
        <f t="shared" si="7"/>
        <v>0</v>
      </c>
      <c r="AC31" s="4720">
        <v>0</v>
      </c>
      <c r="AD31" s="5155"/>
      <c r="AE31" s="4727"/>
      <c r="AF31" s="7229">
        <f t="shared" si="8"/>
        <v>0</v>
      </c>
      <c r="AG31" s="5107">
        <f t="shared" si="9"/>
        <v>0</v>
      </c>
      <c r="AH31" s="4720">
        <v>0</v>
      </c>
      <c r="AI31" s="4720">
        <v>0</v>
      </c>
      <c r="AJ31" s="4720"/>
      <c r="AK31" s="5106">
        <f t="shared" si="10"/>
        <v>0</v>
      </c>
      <c r="AL31" s="4727"/>
      <c r="AM31" s="4727"/>
      <c r="AN31" s="5101"/>
      <c r="AO31" s="5106">
        <f t="shared" si="11"/>
        <v>0</v>
      </c>
      <c r="AP31" s="5107">
        <f t="shared" si="12"/>
        <v>0</v>
      </c>
      <c r="AQ31" s="5109">
        <f t="shared" si="13"/>
        <v>0</v>
      </c>
      <c r="AR31" s="5102">
        <f t="shared" si="14"/>
        <v>0</v>
      </c>
    </row>
    <row r="32" spans="5:44" ht="16" x14ac:dyDescent="0.2">
      <c r="E32" s="4932" t="s">
        <v>1784</v>
      </c>
      <c r="F32" s="4720">
        <v>0</v>
      </c>
      <c r="G32" s="4720">
        <v>0</v>
      </c>
      <c r="H32" s="4720">
        <v>0</v>
      </c>
      <c r="I32" s="5105">
        <f t="shared" si="0"/>
        <v>0</v>
      </c>
      <c r="J32" s="4720">
        <v>0</v>
      </c>
      <c r="K32" s="4720">
        <v>0</v>
      </c>
      <c r="L32" s="4720">
        <v>0</v>
      </c>
      <c r="M32" s="5106">
        <f t="shared" si="1"/>
        <v>0</v>
      </c>
      <c r="N32" s="5107">
        <f t="shared" si="2"/>
        <v>0</v>
      </c>
      <c r="O32" s="4720">
        <v>0</v>
      </c>
      <c r="P32" s="4720">
        <v>3610.35</v>
      </c>
      <c r="Q32" s="4727">
        <v>1538</v>
      </c>
      <c r="R32" s="5106">
        <f t="shared" si="3"/>
        <v>5148.3500000000004</v>
      </c>
      <c r="S32" s="4727">
        <v>1042</v>
      </c>
      <c r="T32" s="4727"/>
      <c r="U32" s="4720"/>
      <c r="V32" s="5106">
        <f t="shared" si="4"/>
        <v>1042</v>
      </c>
      <c r="W32" s="5107">
        <f t="shared" si="5"/>
        <v>6190.35</v>
      </c>
      <c r="X32" s="5109">
        <f t="shared" si="6"/>
        <v>6190.35</v>
      </c>
      <c r="Y32" s="4720">
        <v>0</v>
      </c>
      <c r="Z32" s="4720">
        <v>0</v>
      </c>
      <c r="AA32" s="4720">
        <v>0</v>
      </c>
      <c r="AB32" s="5105">
        <f t="shared" si="7"/>
        <v>0</v>
      </c>
      <c r="AC32" s="4720">
        <v>0</v>
      </c>
      <c r="AD32" s="5155"/>
      <c r="AE32" s="4727"/>
      <c r="AF32" s="7229">
        <f t="shared" si="8"/>
        <v>0</v>
      </c>
      <c r="AG32" s="5107">
        <f t="shared" si="9"/>
        <v>0</v>
      </c>
      <c r="AH32" s="4720">
        <v>0</v>
      </c>
      <c r="AI32" s="4720">
        <v>0</v>
      </c>
      <c r="AJ32" s="4720"/>
      <c r="AK32" s="5106">
        <f t="shared" si="10"/>
        <v>0</v>
      </c>
      <c r="AL32" s="4727"/>
      <c r="AM32" s="4727"/>
      <c r="AN32" s="5101"/>
      <c r="AO32" s="5106">
        <f t="shared" si="11"/>
        <v>0</v>
      </c>
      <c r="AP32" s="5107">
        <f t="shared" si="12"/>
        <v>0</v>
      </c>
      <c r="AQ32" s="5109">
        <f t="shared" si="13"/>
        <v>0</v>
      </c>
      <c r="AR32" s="5102">
        <f t="shared" si="14"/>
        <v>6190.35</v>
      </c>
    </row>
    <row r="33" spans="1:44" ht="16" x14ac:dyDescent="0.2">
      <c r="E33" s="4932" t="s">
        <v>1793</v>
      </c>
      <c r="F33" s="4720">
        <v>0</v>
      </c>
      <c r="G33" s="4720">
        <v>0</v>
      </c>
      <c r="H33" s="4720">
        <v>0</v>
      </c>
      <c r="I33" s="5105">
        <f t="shared" si="0"/>
        <v>0</v>
      </c>
      <c r="J33" s="4720">
        <v>0</v>
      </c>
      <c r="K33" s="4720">
        <v>0</v>
      </c>
      <c r="L33" s="4720">
        <v>0</v>
      </c>
      <c r="M33" s="5106">
        <f t="shared" si="1"/>
        <v>0</v>
      </c>
      <c r="N33" s="5107">
        <f t="shared" si="2"/>
        <v>0</v>
      </c>
      <c r="O33" s="4720">
        <v>0</v>
      </c>
      <c r="P33" s="4720">
        <v>296</v>
      </c>
      <c r="Q33" s="4727"/>
      <c r="R33" s="5106">
        <f t="shared" si="3"/>
        <v>296</v>
      </c>
      <c r="S33" s="4727">
        <v>292</v>
      </c>
      <c r="T33" s="4727"/>
      <c r="U33" s="4720"/>
      <c r="V33" s="5106">
        <f t="shared" si="4"/>
        <v>292</v>
      </c>
      <c r="W33" s="5107">
        <f t="shared" si="5"/>
        <v>588</v>
      </c>
      <c r="X33" s="5109">
        <f t="shared" si="6"/>
        <v>588</v>
      </c>
      <c r="Y33" s="4720">
        <v>0</v>
      </c>
      <c r="Z33" s="4720">
        <v>0</v>
      </c>
      <c r="AA33" s="4720">
        <v>0</v>
      </c>
      <c r="AB33" s="5105">
        <f t="shared" si="7"/>
        <v>0</v>
      </c>
      <c r="AC33" s="4720">
        <v>0</v>
      </c>
      <c r="AD33" s="5155"/>
      <c r="AE33" s="4727"/>
      <c r="AF33" s="7229">
        <f t="shared" si="8"/>
        <v>0</v>
      </c>
      <c r="AG33" s="5107">
        <f t="shared" si="9"/>
        <v>0</v>
      </c>
      <c r="AH33" s="4720">
        <v>0</v>
      </c>
      <c r="AI33" s="4720">
        <v>0</v>
      </c>
      <c r="AJ33" s="4720"/>
      <c r="AK33" s="5106">
        <f t="shared" si="10"/>
        <v>0</v>
      </c>
      <c r="AL33" s="4727"/>
      <c r="AM33" s="4727"/>
      <c r="AN33" s="5101"/>
      <c r="AO33" s="5106">
        <f t="shared" si="11"/>
        <v>0</v>
      </c>
      <c r="AP33" s="5107">
        <f t="shared" si="12"/>
        <v>0</v>
      </c>
      <c r="AQ33" s="5109">
        <f t="shared" si="13"/>
        <v>0</v>
      </c>
      <c r="AR33" s="5102">
        <f t="shared" si="14"/>
        <v>588</v>
      </c>
    </row>
    <row r="34" spans="1:44" ht="16" x14ac:dyDescent="0.2">
      <c r="E34" s="4932" t="s">
        <v>2573</v>
      </c>
      <c r="F34" s="4720"/>
      <c r="G34" s="4720"/>
      <c r="H34" s="4720"/>
      <c r="I34" s="5105"/>
      <c r="J34" s="4720"/>
      <c r="K34" s="4720"/>
      <c r="L34" s="4720"/>
      <c r="M34" s="5106"/>
      <c r="N34" s="5107"/>
      <c r="O34" s="4720"/>
      <c r="P34" s="4720"/>
      <c r="Q34" s="4727"/>
      <c r="R34" s="5106"/>
      <c r="S34" s="4727">
        <v>153</v>
      </c>
      <c r="T34" s="4727"/>
      <c r="U34" s="4720"/>
      <c r="V34" s="5106">
        <f t="shared" si="4"/>
        <v>153</v>
      </c>
      <c r="W34" s="5107"/>
      <c r="X34" s="5109">
        <f t="shared" si="6"/>
        <v>153</v>
      </c>
      <c r="Y34" s="4720"/>
      <c r="Z34" s="4720"/>
      <c r="AA34" s="4720"/>
      <c r="AB34" s="5105"/>
      <c r="AC34" s="4720"/>
      <c r="AD34" s="5155"/>
      <c r="AE34" s="4727"/>
      <c r="AF34" s="7229"/>
      <c r="AG34" s="5107"/>
      <c r="AH34" s="4720"/>
      <c r="AI34" s="4720"/>
      <c r="AJ34" s="4720"/>
      <c r="AK34" s="5106"/>
      <c r="AL34" s="4727"/>
      <c r="AM34" s="4727"/>
      <c r="AN34" s="5101"/>
      <c r="AO34" s="5106"/>
      <c r="AP34" s="5107"/>
      <c r="AQ34" s="5109">
        <f t="shared" si="13"/>
        <v>0</v>
      </c>
      <c r="AR34" s="5102">
        <f t="shared" si="14"/>
        <v>153</v>
      </c>
    </row>
    <row r="35" spans="1:44" ht="16" x14ac:dyDescent="0.2">
      <c r="E35" s="4932" t="s">
        <v>2431</v>
      </c>
      <c r="F35" s="4720"/>
      <c r="G35" s="4720"/>
      <c r="H35" s="4720"/>
      <c r="I35" s="5105"/>
      <c r="J35" s="4720"/>
      <c r="K35" s="4720"/>
      <c r="L35" s="4720"/>
      <c r="M35" s="5106"/>
      <c r="N35" s="5107"/>
      <c r="O35" s="4720"/>
      <c r="P35" s="4720">
        <v>707</v>
      </c>
      <c r="Q35" s="4727">
        <v>298</v>
      </c>
      <c r="R35" s="5106">
        <f t="shared" si="3"/>
        <v>1005</v>
      </c>
      <c r="S35" s="4727">
        <v>2320</v>
      </c>
      <c r="T35" s="4727"/>
      <c r="U35" s="4720"/>
      <c r="V35" s="5106"/>
      <c r="W35" s="5107"/>
      <c r="X35" s="5109">
        <f t="shared" si="6"/>
        <v>3325</v>
      </c>
      <c r="Y35" s="4720"/>
      <c r="Z35" s="4720"/>
      <c r="AA35" s="4720"/>
      <c r="AB35" s="5105"/>
      <c r="AC35" s="4720"/>
      <c r="AD35" s="5155"/>
      <c r="AE35" s="4727"/>
      <c r="AF35" s="7229"/>
      <c r="AG35" s="5107"/>
      <c r="AH35" s="4720"/>
      <c r="AI35" s="4720">
        <v>0</v>
      </c>
      <c r="AJ35" s="4720"/>
      <c r="AK35" s="5106">
        <f t="shared" si="10"/>
        <v>0</v>
      </c>
      <c r="AL35" s="4727"/>
      <c r="AM35" s="4727"/>
      <c r="AN35" s="5101"/>
      <c r="AO35" s="5106"/>
      <c r="AP35" s="5107"/>
      <c r="AQ35" s="5109">
        <f t="shared" si="13"/>
        <v>0</v>
      </c>
      <c r="AR35" s="5102">
        <f t="shared" si="14"/>
        <v>3325</v>
      </c>
    </row>
    <row r="36" spans="1:44" ht="16" x14ac:dyDescent="0.2">
      <c r="E36" s="4932" t="s">
        <v>1715</v>
      </c>
      <c r="F36" s="4720">
        <v>0</v>
      </c>
      <c r="G36" s="4720">
        <v>0</v>
      </c>
      <c r="H36" s="4720">
        <v>0</v>
      </c>
      <c r="I36" s="5105">
        <f t="shared" si="0"/>
        <v>0</v>
      </c>
      <c r="J36" s="4720">
        <v>0</v>
      </c>
      <c r="K36" s="4720">
        <v>0</v>
      </c>
      <c r="L36" s="4720">
        <v>0</v>
      </c>
      <c r="M36" s="5106">
        <f t="shared" si="1"/>
        <v>0</v>
      </c>
      <c r="N36" s="5107">
        <f t="shared" si="2"/>
        <v>0</v>
      </c>
      <c r="O36" s="4720">
        <v>0</v>
      </c>
      <c r="P36" s="4720">
        <v>0</v>
      </c>
      <c r="Q36" s="4727"/>
      <c r="R36" s="5106">
        <f t="shared" si="3"/>
        <v>0</v>
      </c>
      <c r="S36" s="4727"/>
      <c r="T36" s="4727"/>
      <c r="U36" s="4720"/>
      <c r="V36" s="5106">
        <f t="shared" si="4"/>
        <v>0</v>
      </c>
      <c r="W36" s="5107">
        <f t="shared" si="5"/>
        <v>0</v>
      </c>
      <c r="X36" s="5109">
        <f t="shared" si="6"/>
        <v>0</v>
      </c>
      <c r="Y36" s="4720">
        <v>0</v>
      </c>
      <c r="Z36" s="4720">
        <v>0</v>
      </c>
      <c r="AA36" s="4720">
        <v>0</v>
      </c>
      <c r="AB36" s="5105">
        <f t="shared" si="7"/>
        <v>0</v>
      </c>
      <c r="AC36" s="4720">
        <v>0</v>
      </c>
      <c r="AD36" s="5155"/>
      <c r="AE36" s="4727"/>
      <c r="AF36" s="7229">
        <f t="shared" si="8"/>
        <v>0</v>
      </c>
      <c r="AG36" s="5107">
        <f t="shared" si="9"/>
        <v>0</v>
      </c>
      <c r="AH36" s="4720">
        <v>0</v>
      </c>
      <c r="AI36" s="4720">
        <v>0</v>
      </c>
      <c r="AJ36" s="4720"/>
      <c r="AK36" s="5106">
        <f t="shared" si="10"/>
        <v>0</v>
      </c>
      <c r="AL36" s="4727"/>
      <c r="AM36" s="4727"/>
      <c r="AN36" s="5101"/>
      <c r="AO36" s="5106">
        <f t="shared" si="11"/>
        <v>0</v>
      </c>
      <c r="AP36" s="5107">
        <f t="shared" si="12"/>
        <v>0</v>
      </c>
      <c r="AQ36" s="5109">
        <f t="shared" si="13"/>
        <v>0</v>
      </c>
      <c r="AR36" s="5102">
        <f t="shared" si="14"/>
        <v>0</v>
      </c>
    </row>
    <row r="37" spans="1:44" ht="16" x14ac:dyDescent="0.2">
      <c r="E37" s="4932" t="s">
        <v>1599</v>
      </c>
      <c r="F37" s="4720">
        <v>0</v>
      </c>
      <c r="G37" s="4720">
        <v>0</v>
      </c>
      <c r="H37" s="4720">
        <v>1218.3600000000001</v>
      </c>
      <c r="I37" s="5105">
        <f t="shared" si="0"/>
        <v>1218.3600000000001</v>
      </c>
      <c r="J37" s="4720">
        <v>0</v>
      </c>
      <c r="K37" s="4720">
        <v>0</v>
      </c>
      <c r="L37" s="4720">
        <v>0</v>
      </c>
      <c r="M37" s="5106">
        <f t="shared" si="1"/>
        <v>0</v>
      </c>
      <c r="N37" s="5107">
        <f t="shared" si="2"/>
        <v>1218.3600000000001</v>
      </c>
      <c r="O37" s="4720">
        <v>3059</v>
      </c>
      <c r="P37" s="4720">
        <v>584</v>
      </c>
      <c r="Q37" s="4727">
        <v>1035</v>
      </c>
      <c r="R37" s="5106">
        <f t="shared" si="3"/>
        <v>4678</v>
      </c>
      <c r="S37" s="4727">
        <v>5698</v>
      </c>
      <c r="T37" s="4727"/>
      <c r="U37" s="4720"/>
      <c r="V37" s="5106">
        <f t="shared" si="4"/>
        <v>5698</v>
      </c>
      <c r="W37" s="5107">
        <f t="shared" si="5"/>
        <v>10376</v>
      </c>
      <c r="X37" s="5109">
        <f t="shared" si="6"/>
        <v>11594.36</v>
      </c>
      <c r="Y37" s="4720">
        <v>0</v>
      </c>
      <c r="Z37" s="4720">
        <v>0</v>
      </c>
      <c r="AA37" s="4720">
        <v>0</v>
      </c>
      <c r="AB37" s="5105">
        <f t="shared" si="7"/>
        <v>0</v>
      </c>
      <c r="AC37" s="4720">
        <v>0</v>
      </c>
      <c r="AD37" s="5155">
        <v>0</v>
      </c>
      <c r="AE37" s="4727"/>
      <c r="AF37" s="7229">
        <f t="shared" si="8"/>
        <v>0</v>
      </c>
      <c r="AG37" s="5107">
        <f t="shared" si="9"/>
        <v>0</v>
      </c>
      <c r="AH37" s="4720">
        <v>0</v>
      </c>
      <c r="AI37" s="4720">
        <v>0</v>
      </c>
      <c r="AJ37" s="4720"/>
      <c r="AK37" s="5106">
        <f t="shared" si="10"/>
        <v>0</v>
      </c>
      <c r="AL37" s="4727"/>
      <c r="AM37" s="4727"/>
      <c r="AN37" s="5101"/>
      <c r="AO37" s="5106">
        <f t="shared" si="11"/>
        <v>0</v>
      </c>
      <c r="AP37" s="5107">
        <f t="shared" si="12"/>
        <v>0</v>
      </c>
      <c r="AQ37" s="5109">
        <f t="shared" si="13"/>
        <v>0</v>
      </c>
      <c r="AR37" s="5102">
        <f t="shared" si="14"/>
        <v>11594.36</v>
      </c>
    </row>
    <row r="38" spans="1:44" ht="16" x14ac:dyDescent="0.2">
      <c r="E38" s="4932" t="s">
        <v>1689</v>
      </c>
      <c r="F38" s="4720">
        <v>2700.84</v>
      </c>
      <c r="G38" s="4720">
        <v>153.36000000000001</v>
      </c>
      <c r="H38" s="4720">
        <v>138.45000000000002</v>
      </c>
      <c r="I38" s="5105">
        <f t="shared" si="0"/>
        <v>2992.65</v>
      </c>
      <c r="J38" s="4720">
        <v>0</v>
      </c>
      <c r="K38" s="4720">
        <v>0</v>
      </c>
      <c r="L38" s="4727">
        <v>322</v>
      </c>
      <c r="M38" s="5106">
        <f t="shared" si="1"/>
        <v>322</v>
      </c>
      <c r="N38" s="5107">
        <f t="shared" si="2"/>
        <v>3314.65</v>
      </c>
      <c r="O38" s="4720">
        <v>1189</v>
      </c>
      <c r="P38" s="4720">
        <v>973</v>
      </c>
      <c r="Q38" s="4727">
        <v>596</v>
      </c>
      <c r="R38" s="5106">
        <f t="shared" si="3"/>
        <v>2758</v>
      </c>
      <c r="S38" s="4727">
        <v>929</v>
      </c>
      <c r="T38" s="4727"/>
      <c r="U38" s="4720">
        <v>730.59</v>
      </c>
      <c r="V38" s="5106">
        <f t="shared" si="4"/>
        <v>1659.5900000000001</v>
      </c>
      <c r="W38" s="5107">
        <f t="shared" si="5"/>
        <v>4417.59</v>
      </c>
      <c r="X38" s="5109">
        <f t="shared" si="6"/>
        <v>7732.24</v>
      </c>
      <c r="Y38" s="4720">
        <v>0</v>
      </c>
      <c r="Z38" s="4720">
        <v>0</v>
      </c>
      <c r="AA38" s="4720">
        <v>0</v>
      </c>
      <c r="AB38" s="5105">
        <f t="shared" si="7"/>
        <v>0</v>
      </c>
      <c r="AC38" s="4720">
        <v>0</v>
      </c>
      <c r="AD38" s="5155">
        <v>0</v>
      </c>
      <c r="AE38" s="4727"/>
      <c r="AF38" s="7229">
        <f t="shared" si="8"/>
        <v>0</v>
      </c>
      <c r="AG38" s="5107">
        <f t="shared" si="9"/>
        <v>0</v>
      </c>
      <c r="AH38" s="4720">
        <v>0</v>
      </c>
      <c r="AI38" s="4720">
        <v>0</v>
      </c>
      <c r="AJ38" s="4720"/>
      <c r="AK38" s="5106">
        <f t="shared" si="10"/>
        <v>0</v>
      </c>
      <c r="AL38" s="4727"/>
      <c r="AM38" s="4727"/>
      <c r="AN38" s="5101"/>
      <c r="AO38" s="5106">
        <f t="shared" si="11"/>
        <v>0</v>
      </c>
      <c r="AP38" s="5107">
        <f t="shared" si="12"/>
        <v>0</v>
      </c>
      <c r="AQ38" s="5109">
        <f t="shared" si="13"/>
        <v>0</v>
      </c>
      <c r="AR38" s="5102">
        <f t="shared" si="14"/>
        <v>7732.24</v>
      </c>
    </row>
    <row r="39" spans="1:44" ht="16" x14ac:dyDescent="0.2">
      <c r="E39" s="4932" t="s">
        <v>1600</v>
      </c>
      <c r="F39" s="4720">
        <v>0</v>
      </c>
      <c r="G39" s="4720">
        <v>0</v>
      </c>
      <c r="H39" s="4720">
        <v>0</v>
      </c>
      <c r="I39" s="5105">
        <f t="shared" si="0"/>
        <v>0</v>
      </c>
      <c r="J39" s="4720">
        <v>0</v>
      </c>
      <c r="K39" s="4720">
        <v>0</v>
      </c>
      <c r="L39" s="4720">
        <v>0</v>
      </c>
      <c r="M39" s="5106">
        <f t="shared" si="1"/>
        <v>0</v>
      </c>
      <c r="N39" s="5107">
        <f t="shared" si="2"/>
        <v>0</v>
      </c>
      <c r="O39" s="4720">
        <v>0</v>
      </c>
      <c r="P39" s="4720">
        <v>0</v>
      </c>
      <c r="Q39" s="4727"/>
      <c r="R39" s="5106">
        <f t="shared" si="3"/>
        <v>0</v>
      </c>
      <c r="S39" s="4727"/>
      <c r="T39" s="4727"/>
      <c r="U39" s="4720"/>
      <c r="V39" s="5106">
        <f t="shared" si="4"/>
        <v>0</v>
      </c>
      <c r="W39" s="5107">
        <f t="shared" si="5"/>
        <v>0</v>
      </c>
      <c r="X39" s="5109">
        <f t="shared" si="6"/>
        <v>0</v>
      </c>
      <c r="Y39" s="4720">
        <v>0</v>
      </c>
      <c r="Z39" s="4720">
        <v>0</v>
      </c>
      <c r="AA39" s="4720">
        <v>0</v>
      </c>
      <c r="AB39" s="5105">
        <f t="shared" si="7"/>
        <v>0</v>
      </c>
      <c r="AC39" s="4720">
        <v>0</v>
      </c>
      <c r="AD39" s="5155"/>
      <c r="AE39" s="4727"/>
      <c r="AF39" s="7229">
        <f t="shared" si="8"/>
        <v>0</v>
      </c>
      <c r="AG39" s="5107">
        <f t="shared" si="9"/>
        <v>0</v>
      </c>
      <c r="AH39" s="4720">
        <v>0</v>
      </c>
      <c r="AI39" s="4720">
        <v>0</v>
      </c>
      <c r="AJ39" s="4720"/>
      <c r="AK39" s="5106">
        <f t="shared" si="10"/>
        <v>0</v>
      </c>
      <c r="AL39" s="4727"/>
      <c r="AM39" s="4727"/>
      <c r="AN39" s="5101"/>
      <c r="AO39" s="5106">
        <f t="shared" si="11"/>
        <v>0</v>
      </c>
      <c r="AP39" s="5107">
        <f t="shared" si="12"/>
        <v>0</v>
      </c>
      <c r="AQ39" s="5109">
        <f t="shared" si="13"/>
        <v>0</v>
      </c>
      <c r="AR39" s="5102">
        <f t="shared" si="14"/>
        <v>0</v>
      </c>
    </row>
    <row r="40" spans="1:44" ht="16" x14ac:dyDescent="0.2">
      <c r="E40" s="4932" t="s">
        <v>1601</v>
      </c>
      <c r="F40" s="4720">
        <v>381.27</v>
      </c>
      <c r="G40" s="4720">
        <v>151.22999999999999</v>
      </c>
      <c r="H40" s="4720">
        <v>57.51</v>
      </c>
      <c r="I40" s="5105">
        <f t="shared" si="0"/>
        <v>590.01</v>
      </c>
      <c r="J40" s="4720">
        <v>159.75</v>
      </c>
      <c r="K40" s="4720">
        <v>0</v>
      </c>
      <c r="L40" s="4720">
        <v>0</v>
      </c>
      <c r="M40" s="5106">
        <f t="shared" si="1"/>
        <v>159.75</v>
      </c>
      <c r="N40" s="5107">
        <f t="shared" si="2"/>
        <v>749.76</v>
      </c>
      <c r="O40" s="4720">
        <v>0</v>
      </c>
      <c r="P40" s="4720">
        <v>0</v>
      </c>
      <c r="Q40" s="4727"/>
      <c r="R40" s="5106">
        <f t="shared" si="3"/>
        <v>0</v>
      </c>
      <c r="S40" s="4727"/>
      <c r="T40" s="4727"/>
      <c r="U40" s="4720"/>
      <c r="V40" s="5106">
        <f t="shared" si="4"/>
        <v>0</v>
      </c>
      <c r="W40" s="5107">
        <f t="shared" si="5"/>
        <v>0</v>
      </c>
      <c r="X40" s="5109">
        <f t="shared" si="6"/>
        <v>749.76</v>
      </c>
      <c r="Y40" s="4720">
        <v>0</v>
      </c>
      <c r="Z40" s="4720">
        <v>0</v>
      </c>
      <c r="AA40" s="4720">
        <v>0</v>
      </c>
      <c r="AB40" s="5105">
        <f t="shared" si="7"/>
        <v>0</v>
      </c>
      <c r="AC40" s="4720">
        <v>0</v>
      </c>
      <c r="AD40" s="5155">
        <v>0</v>
      </c>
      <c r="AE40" s="4727"/>
      <c r="AF40" s="7229">
        <f t="shared" si="8"/>
        <v>0</v>
      </c>
      <c r="AG40" s="5107">
        <f t="shared" si="9"/>
        <v>0</v>
      </c>
      <c r="AH40" s="4720">
        <v>0</v>
      </c>
      <c r="AI40" s="4720">
        <v>0</v>
      </c>
      <c r="AJ40" s="4720"/>
      <c r="AK40" s="5106">
        <f t="shared" si="10"/>
        <v>0</v>
      </c>
      <c r="AL40" s="4727"/>
      <c r="AM40" s="4727"/>
      <c r="AN40" s="5101"/>
      <c r="AO40" s="5106">
        <f t="shared" si="11"/>
        <v>0</v>
      </c>
      <c r="AP40" s="5107">
        <f t="shared" si="12"/>
        <v>0</v>
      </c>
      <c r="AQ40" s="5109">
        <f t="shared" si="13"/>
        <v>0</v>
      </c>
      <c r="AR40" s="5102">
        <f t="shared" si="14"/>
        <v>749.76</v>
      </c>
    </row>
    <row r="41" spans="1:44" ht="16" x14ac:dyDescent="0.2">
      <c r="E41" s="4932" t="s">
        <v>1602</v>
      </c>
      <c r="F41" s="4720">
        <v>466.47</v>
      </c>
      <c r="G41" s="4720">
        <v>146.97</v>
      </c>
      <c r="H41" s="4720">
        <v>0</v>
      </c>
      <c r="I41" s="5105">
        <f t="shared" si="0"/>
        <v>613.44000000000005</v>
      </c>
      <c r="J41" s="4720">
        <v>658.17000000000007</v>
      </c>
      <c r="K41" s="4720">
        <v>483.5</v>
      </c>
      <c r="L41" s="4727">
        <v>130</v>
      </c>
      <c r="M41" s="5106">
        <f t="shared" si="1"/>
        <v>1271.67</v>
      </c>
      <c r="N41" s="5107">
        <f t="shared" si="2"/>
        <v>1885.1100000000001</v>
      </c>
      <c r="O41" s="4720">
        <v>0</v>
      </c>
      <c r="P41" s="4720">
        <v>145</v>
      </c>
      <c r="Q41" s="4727">
        <v>1039</v>
      </c>
      <c r="R41" s="5106">
        <f t="shared" si="3"/>
        <v>1184</v>
      </c>
      <c r="S41" s="4727">
        <v>386</v>
      </c>
      <c r="T41" s="4727">
        <v>1610</v>
      </c>
      <c r="U41" s="4720">
        <v>3331.32</v>
      </c>
      <c r="V41" s="5106">
        <f t="shared" si="4"/>
        <v>5327.32</v>
      </c>
      <c r="W41" s="5107">
        <f t="shared" si="5"/>
        <v>6511.32</v>
      </c>
      <c r="X41" s="5109">
        <f t="shared" si="6"/>
        <v>8396.43</v>
      </c>
      <c r="Y41" s="4720">
        <v>0</v>
      </c>
      <c r="Z41" s="4720">
        <v>0</v>
      </c>
      <c r="AA41" s="4720">
        <v>0</v>
      </c>
      <c r="AB41" s="5105">
        <f t="shared" si="7"/>
        <v>0</v>
      </c>
      <c r="AC41" s="4720">
        <v>0</v>
      </c>
      <c r="AD41" s="5155">
        <v>0</v>
      </c>
      <c r="AE41" s="4727"/>
      <c r="AF41" s="7229">
        <f t="shared" si="8"/>
        <v>0</v>
      </c>
      <c r="AG41" s="5107">
        <f t="shared" si="9"/>
        <v>0</v>
      </c>
      <c r="AH41" s="4720">
        <v>0</v>
      </c>
      <c r="AI41" s="4720">
        <v>0</v>
      </c>
      <c r="AJ41" s="4720"/>
      <c r="AK41" s="5106">
        <f t="shared" si="10"/>
        <v>0</v>
      </c>
      <c r="AL41" s="4727"/>
      <c r="AM41" s="4727"/>
      <c r="AN41" s="5101">
        <v>91.59</v>
      </c>
      <c r="AO41" s="5106">
        <f t="shared" si="11"/>
        <v>91.59</v>
      </c>
      <c r="AP41" s="5107">
        <f t="shared" si="12"/>
        <v>91.59</v>
      </c>
      <c r="AQ41" s="5109">
        <f t="shared" si="13"/>
        <v>91.59</v>
      </c>
      <c r="AR41" s="5102">
        <f t="shared" si="14"/>
        <v>8488.02</v>
      </c>
    </row>
    <row r="42" spans="1:44" ht="16" x14ac:dyDescent="0.2">
      <c r="E42" s="4932" t="s">
        <v>1796</v>
      </c>
      <c r="F42" s="4720">
        <v>0</v>
      </c>
      <c r="G42" s="4720">
        <v>0</v>
      </c>
      <c r="H42" s="4720">
        <v>451.56</v>
      </c>
      <c r="I42" s="5105">
        <f t="shared" si="0"/>
        <v>451.56</v>
      </c>
      <c r="J42" s="4720">
        <v>0</v>
      </c>
      <c r="K42" s="4720">
        <v>0</v>
      </c>
      <c r="L42" s="4720">
        <v>0</v>
      </c>
      <c r="M42" s="5106">
        <f t="shared" si="1"/>
        <v>0</v>
      </c>
      <c r="N42" s="5107">
        <f t="shared" si="2"/>
        <v>451.56</v>
      </c>
      <c r="O42" s="4720">
        <v>0</v>
      </c>
      <c r="P42" s="4720">
        <v>0</v>
      </c>
      <c r="Q42" s="4727"/>
      <c r="R42" s="5106">
        <f t="shared" si="3"/>
        <v>0</v>
      </c>
      <c r="S42" s="4727"/>
      <c r="T42" s="4727"/>
      <c r="U42" s="4720"/>
      <c r="V42" s="5106">
        <f t="shared" si="4"/>
        <v>0</v>
      </c>
      <c r="W42" s="5107">
        <f t="shared" si="5"/>
        <v>0</v>
      </c>
      <c r="X42" s="5109">
        <f t="shared" si="6"/>
        <v>451.56</v>
      </c>
      <c r="Y42" s="4720">
        <v>0</v>
      </c>
      <c r="Z42" s="4720">
        <v>0</v>
      </c>
      <c r="AA42" s="4720">
        <v>0</v>
      </c>
      <c r="AB42" s="5105">
        <f t="shared" si="7"/>
        <v>0</v>
      </c>
      <c r="AC42" s="4720">
        <v>0</v>
      </c>
      <c r="AD42" s="5155">
        <v>0</v>
      </c>
      <c r="AE42" s="4727"/>
      <c r="AF42" s="7229">
        <f t="shared" si="8"/>
        <v>0</v>
      </c>
      <c r="AG42" s="5107">
        <f t="shared" si="9"/>
        <v>0</v>
      </c>
      <c r="AH42" s="4720">
        <v>0</v>
      </c>
      <c r="AI42" s="4720">
        <v>0</v>
      </c>
      <c r="AJ42" s="4720"/>
      <c r="AK42" s="5106">
        <f t="shared" si="10"/>
        <v>0</v>
      </c>
      <c r="AL42" s="4727"/>
      <c r="AM42" s="4727"/>
      <c r="AN42" s="5101"/>
      <c r="AO42" s="5106">
        <f t="shared" si="11"/>
        <v>0</v>
      </c>
      <c r="AP42" s="5107">
        <f t="shared" si="12"/>
        <v>0</v>
      </c>
      <c r="AQ42" s="5109">
        <f t="shared" si="13"/>
        <v>0</v>
      </c>
      <c r="AR42" s="5102">
        <f t="shared" si="14"/>
        <v>451.56</v>
      </c>
    </row>
    <row r="43" spans="1:44" ht="16" x14ac:dyDescent="0.2">
      <c r="E43" s="4932" t="s">
        <v>1797</v>
      </c>
      <c r="F43" s="4720">
        <v>0</v>
      </c>
      <c r="G43" s="4720">
        <v>0</v>
      </c>
      <c r="H43" s="4720">
        <v>317.37</v>
      </c>
      <c r="I43" s="5105">
        <f t="shared" si="0"/>
        <v>317.37</v>
      </c>
      <c r="J43" s="4720">
        <v>0</v>
      </c>
      <c r="K43" s="4720">
        <v>0</v>
      </c>
      <c r="L43" s="4720">
        <v>0</v>
      </c>
      <c r="M43" s="5106">
        <f t="shared" si="1"/>
        <v>0</v>
      </c>
      <c r="N43" s="5107">
        <f t="shared" si="2"/>
        <v>317.37</v>
      </c>
      <c r="O43" s="4720">
        <v>0</v>
      </c>
      <c r="P43" s="4720">
        <v>0</v>
      </c>
      <c r="Q43" s="4727"/>
      <c r="R43" s="5106">
        <f t="shared" si="3"/>
        <v>0</v>
      </c>
      <c r="S43" s="4727"/>
      <c r="T43" s="4727"/>
      <c r="U43" s="4720"/>
      <c r="V43" s="5106">
        <f t="shared" si="4"/>
        <v>0</v>
      </c>
      <c r="W43" s="5107">
        <f t="shared" si="5"/>
        <v>0</v>
      </c>
      <c r="X43" s="5109">
        <f t="shared" si="6"/>
        <v>317.37</v>
      </c>
      <c r="Y43" s="4720">
        <v>0</v>
      </c>
      <c r="Z43" s="4720">
        <v>0</v>
      </c>
      <c r="AA43" s="4720">
        <v>0</v>
      </c>
      <c r="AB43" s="5105">
        <f t="shared" si="7"/>
        <v>0</v>
      </c>
      <c r="AC43" s="4720">
        <v>0</v>
      </c>
      <c r="AD43" s="5155">
        <v>0</v>
      </c>
      <c r="AE43" s="4727"/>
      <c r="AF43" s="7229">
        <f t="shared" si="8"/>
        <v>0</v>
      </c>
      <c r="AG43" s="5107">
        <f t="shared" si="9"/>
        <v>0</v>
      </c>
      <c r="AH43" s="4720">
        <v>0</v>
      </c>
      <c r="AI43" s="4720">
        <v>0</v>
      </c>
      <c r="AJ43" s="4720"/>
      <c r="AK43" s="5106">
        <f t="shared" si="10"/>
        <v>0</v>
      </c>
      <c r="AL43" s="4727"/>
      <c r="AM43" s="4727"/>
      <c r="AN43" s="5101"/>
      <c r="AO43" s="5106">
        <f t="shared" si="11"/>
        <v>0</v>
      </c>
      <c r="AP43" s="5107">
        <f t="shared" si="12"/>
        <v>0</v>
      </c>
      <c r="AQ43" s="5109">
        <f t="shared" si="13"/>
        <v>0</v>
      </c>
      <c r="AR43" s="5102">
        <f t="shared" si="14"/>
        <v>317.37</v>
      </c>
    </row>
    <row r="44" spans="1:44" ht="16" x14ac:dyDescent="0.2">
      <c r="E44" s="4932" t="s">
        <v>1794</v>
      </c>
      <c r="F44" s="4720">
        <v>0</v>
      </c>
      <c r="G44" s="4720">
        <v>0</v>
      </c>
      <c r="H44" s="4720">
        <v>0</v>
      </c>
      <c r="I44" s="5105">
        <f t="shared" si="0"/>
        <v>0</v>
      </c>
      <c r="J44" s="4720">
        <v>0</v>
      </c>
      <c r="K44" s="4720">
        <v>0</v>
      </c>
      <c r="L44" s="4720">
        <v>0</v>
      </c>
      <c r="M44" s="5106">
        <f t="shared" si="1"/>
        <v>0</v>
      </c>
      <c r="N44" s="5107">
        <f t="shared" si="2"/>
        <v>0</v>
      </c>
      <c r="O44" s="4720">
        <v>0</v>
      </c>
      <c r="P44" s="4720">
        <v>0</v>
      </c>
      <c r="Q44" s="4727"/>
      <c r="R44" s="5106">
        <f t="shared" si="3"/>
        <v>0</v>
      </c>
      <c r="S44" s="4727"/>
      <c r="T44" s="4727"/>
      <c r="U44" s="4720"/>
      <c r="V44" s="5106">
        <f t="shared" si="4"/>
        <v>0</v>
      </c>
      <c r="W44" s="5107">
        <f t="shared" si="5"/>
        <v>0</v>
      </c>
      <c r="X44" s="5109">
        <f t="shared" si="6"/>
        <v>0</v>
      </c>
      <c r="Y44" s="4720">
        <v>0</v>
      </c>
      <c r="Z44" s="4720">
        <v>0</v>
      </c>
      <c r="AA44" s="4720">
        <v>0</v>
      </c>
      <c r="AB44" s="5105">
        <f t="shared" si="7"/>
        <v>0</v>
      </c>
      <c r="AC44" s="4720">
        <v>0</v>
      </c>
      <c r="AD44" s="5155"/>
      <c r="AE44" s="4727"/>
      <c r="AF44" s="7229">
        <f t="shared" si="8"/>
        <v>0</v>
      </c>
      <c r="AG44" s="5107">
        <f t="shared" si="9"/>
        <v>0</v>
      </c>
      <c r="AH44" s="4720">
        <v>0</v>
      </c>
      <c r="AI44" s="4720">
        <v>0</v>
      </c>
      <c r="AJ44" s="4720"/>
      <c r="AK44" s="5106">
        <f t="shared" si="10"/>
        <v>0</v>
      </c>
      <c r="AL44" s="4727"/>
      <c r="AM44" s="4727"/>
      <c r="AN44" s="5101"/>
      <c r="AO44" s="5106">
        <f t="shared" si="11"/>
        <v>0</v>
      </c>
      <c r="AP44" s="5107">
        <f t="shared" si="12"/>
        <v>0</v>
      </c>
      <c r="AQ44" s="5109">
        <f t="shared" si="13"/>
        <v>0</v>
      </c>
      <c r="AR44" s="5102">
        <f t="shared" si="14"/>
        <v>0</v>
      </c>
    </row>
    <row r="45" spans="1:44" ht="16" x14ac:dyDescent="0.2">
      <c r="E45" s="4932" t="s">
        <v>1976</v>
      </c>
      <c r="F45" s="4720">
        <v>0</v>
      </c>
      <c r="G45" s="4720">
        <v>304.58999999999997</v>
      </c>
      <c r="H45" s="4720">
        <v>0</v>
      </c>
      <c r="I45" s="5105">
        <f t="shared" si="0"/>
        <v>304.58999999999997</v>
      </c>
      <c r="J45" s="4720">
        <v>1171.5</v>
      </c>
      <c r="K45" s="4720">
        <v>2517.6999999999998</v>
      </c>
      <c r="L45" s="4727"/>
      <c r="M45" s="5106">
        <f t="shared" si="1"/>
        <v>3689.2</v>
      </c>
      <c r="N45" s="5107">
        <f t="shared" si="2"/>
        <v>3993.79</v>
      </c>
      <c r="O45" s="4720">
        <v>0</v>
      </c>
      <c r="P45" s="4720">
        <v>0</v>
      </c>
      <c r="Q45" s="4727"/>
      <c r="R45" s="5106">
        <f t="shared" si="3"/>
        <v>0</v>
      </c>
      <c r="S45" s="4727"/>
      <c r="T45" s="4727"/>
      <c r="U45" s="4720"/>
      <c r="V45" s="5106">
        <f t="shared" si="4"/>
        <v>0</v>
      </c>
      <c r="W45" s="5107">
        <f t="shared" si="5"/>
        <v>0</v>
      </c>
      <c r="X45" s="5109">
        <f t="shared" si="6"/>
        <v>3993.79</v>
      </c>
      <c r="Y45" s="4720">
        <v>0</v>
      </c>
      <c r="Z45" s="4720">
        <v>0</v>
      </c>
      <c r="AA45" s="4720">
        <v>0</v>
      </c>
      <c r="AB45" s="5105">
        <f t="shared" si="7"/>
        <v>0</v>
      </c>
      <c r="AC45" s="4720">
        <v>0</v>
      </c>
      <c r="AD45" s="5155">
        <v>274.8</v>
      </c>
      <c r="AE45" s="4727"/>
      <c r="AF45" s="7229">
        <f t="shared" si="8"/>
        <v>274.8</v>
      </c>
      <c r="AG45" s="5107">
        <f t="shared" si="9"/>
        <v>274.8</v>
      </c>
      <c r="AH45" s="4720">
        <v>0</v>
      </c>
      <c r="AI45" s="4720">
        <v>0</v>
      </c>
      <c r="AJ45" s="4720"/>
      <c r="AK45" s="5106">
        <f t="shared" si="10"/>
        <v>0</v>
      </c>
      <c r="AL45" s="4727"/>
      <c r="AM45" s="4727"/>
      <c r="AN45" s="5101"/>
      <c r="AO45" s="5106">
        <f t="shared" si="11"/>
        <v>0</v>
      </c>
      <c r="AP45" s="5107">
        <f t="shared" si="12"/>
        <v>0</v>
      </c>
      <c r="AQ45" s="5109">
        <f t="shared" si="13"/>
        <v>274.8</v>
      </c>
      <c r="AR45" s="5102">
        <f t="shared" si="14"/>
        <v>4268.59</v>
      </c>
    </row>
    <row r="46" spans="1:44" ht="16" x14ac:dyDescent="0.2">
      <c r="A46" s="4714" t="s">
        <v>2261</v>
      </c>
      <c r="E46" s="4932" t="s">
        <v>2261</v>
      </c>
      <c r="F46" s="4720"/>
      <c r="G46" s="4720"/>
      <c r="H46" s="4720"/>
      <c r="I46" s="5105">
        <f t="shared" si="0"/>
        <v>0</v>
      </c>
      <c r="J46" s="4720"/>
      <c r="K46" s="4720"/>
      <c r="L46" s="4727">
        <v>3621</v>
      </c>
      <c r="M46" s="5106">
        <f t="shared" si="1"/>
        <v>3621</v>
      </c>
      <c r="N46" s="5107">
        <f t="shared" si="2"/>
        <v>3621</v>
      </c>
      <c r="O46" s="4720">
        <v>5868</v>
      </c>
      <c r="P46" s="4720">
        <v>1557.03</v>
      </c>
      <c r="Q46" s="4727">
        <v>5197</v>
      </c>
      <c r="R46" s="5106">
        <f t="shared" si="3"/>
        <v>12622.029999999999</v>
      </c>
      <c r="S46" s="4727">
        <v>5627</v>
      </c>
      <c r="T46" s="4727">
        <v>4085</v>
      </c>
      <c r="U46" s="4720">
        <v>4104.51</v>
      </c>
      <c r="V46" s="5106">
        <f t="shared" si="4"/>
        <v>13816.51</v>
      </c>
      <c r="W46" s="5107">
        <f t="shared" si="5"/>
        <v>26438.54</v>
      </c>
      <c r="X46" s="5109">
        <f t="shared" si="6"/>
        <v>30059.54</v>
      </c>
      <c r="Y46" s="4720"/>
      <c r="Z46" s="4720"/>
      <c r="AA46" s="4720"/>
      <c r="AB46" s="5105">
        <f t="shared" si="7"/>
        <v>0</v>
      </c>
      <c r="AC46" s="4720"/>
      <c r="AD46" s="5155"/>
      <c r="AE46" s="4727"/>
      <c r="AF46" s="7229">
        <f t="shared" si="8"/>
        <v>0</v>
      </c>
      <c r="AG46" s="5107">
        <f t="shared" si="9"/>
        <v>0</v>
      </c>
      <c r="AH46" s="4720">
        <v>0</v>
      </c>
      <c r="AI46" s="4720">
        <v>0</v>
      </c>
      <c r="AJ46" s="4720"/>
      <c r="AK46" s="5106">
        <f t="shared" si="10"/>
        <v>0</v>
      </c>
      <c r="AL46" s="4727"/>
      <c r="AM46" s="4727"/>
      <c r="AN46" s="5101"/>
      <c r="AO46" s="5106">
        <f t="shared" si="11"/>
        <v>0</v>
      </c>
      <c r="AP46" s="5107">
        <f t="shared" si="12"/>
        <v>0</v>
      </c>
      <c r="AQ46" s="5109">
        <f t="shared" si="13"/>
        <v>0</v>
      </c>
      <c r="AR46" s="5102">
        <f t="shared" si="14"/>
        <v>30059.54</v>
      </c>
    </row>
    <row r="47" spans="1:44" ht="16" x14ac:dyDescent="0.2">
      <c r="E47" s="4932" t="s">
        <v>2105</v>
      </c>
      <c r="F47" s="4720">
        <v>0</v>
      </c>
      <c r="G47" s="4720">
        <v>0</v>
      </c>
      <c r="H47" s="4720">
        <v>161.88</v>
      </c>
      <c r="I47" s="5105">
        <f t="shared" si="0"/>
        <v>161.88</v>
      </c>
      <c r="J47" s="4720">
        <v>0</v>
      </c>
      <c r="K47" s="4720">
        <v>0</v>
      </c>
      <c r="L47" s="4727"/>
      <c r="M47" s="5106">
        <f t="shared" si="1"/>
        <v>0</v>
      </c>
      <c r="N47" s="5107">
        <f t="shared" si="2"/>
        <v>161.88</v>
      </c>
      <c r="O47" s="4720">
        <v>0</v>
      </c>
      <c r="P47" s="4720">
        <v>0</v>
      </c>
      <c r="Q47" s="4727"/>
      <c r="R47" s="5106">
        <f t="shared" si="3"/>
        <v>0</v>
      </c>
      <c r="S47" s="4727"/>
      <c r="T47" s="4727"/>
      <c r="U47" s="4720"/>
      <c r="V47" s="5106">
        <f t="shared" si="4"/>
        <v>0</v>
      </c>
      <c r="W47" s="5107">
        <f t="shared" si="5"/>
        <v>0</v>
      </c>
      <c r="X47" s="5109">
        <f t="shared" si="6"/>
        <v>161.88</v>
      </c>
      <c r="Y47" s="4720">
        <v>0</v>
      </c>
      <c r="Z47" s="4720">
        <v>0</v>
      </c>
      <c r="AA47" s="4720">
        <v>0</v>
      </c>
      <c r="AB47" s="5105">
        <f t="shared" si="7"/>
        <v>0</v>
      </c>
      <c r="AC47" s="4720">
        <v>0</v>
      </c>
      <c r="AD47" s="5155">
        <v>0</v>
      </c>
      <c r="AE47" s="4727"/>
      <c r="AF47" s="7229">
        <f t="shared" si="8"/>
        <v>0</v>
      </c>
      <c r="AG47" s="5107">
        <f t="shared" si="9"/>
        <v>0</v>
      </c>
      <c r="AH47" s="4720">
        <v>0</v>
      </c>
      <c r="AI47" s="4720">
        <v>0</v>
      </c>
      <c r="AJ47" s="4720"/>
      <c r="AK47" s="5106">
        <f t="shared" si="10"/>
        <v>0</v>
      </c>
      <c r="AL47" s="4727"/>
      <c r="AM47" s="4727"/>
      <c r="AN47" s="5101"/>
      <c r="AO47" s="5106">
        <f t="shared" si="11"/>
        <v>0</v>
      </c>
      <c r="AP47" s="5107">
        <f t="shared" si="12"/>
        <v>0</v>
      </c>
      <c r="AQ47" s="5109">
        <f t="shared" si="13"/>
        <v>0</v>
      </c>
      <c r="AR47" s="5102">
        <f t="shared" si="14"/>
        <v>161.88</v>
      </c>
    </row>
    <row r="48" spans="1:44" ht="16" x14ac:dyDescent="0.2">
      <c r="E48" s="4932" t="s">
        <v>1848</v>
      </c>
      <c r="F48" s="4720"/>
      <c r="G48" s="4720"/>
      <c r="H48" s="4720"/>
      <c r="I48" s="5105">
        <f t="shared" si="0"/>
        <v>0</v>
      </c>
      <c r="J48" s="4720"/>
      <c r="K48" s="4720"/>
      <c r="L48" s="4727"/>
      <c r="M48" s="5106">
        <f t="shared" si="1"/>
        <v>0</v>
      </c>
      <c r="N48" s="5107">
        <f t="shared" si="2"/>
        <v>0</v>
      </c>
      <c r="O48" s="4720">
        <v>690</v>
      </c>
      <c r="P48" s="4720">
        <v>581</v>
      </c>
      <c r="Q48" s="4727">
        <v>588</v>
      </c>
      <c r="R48" s="5106">
        <f t="shared" si="3"/>
        <v>1859</v>
      </c>
      <c r="S48" s="4727"/>
      <c r="T48" s="4727"/>
      <c r="U48" s="4720"/>
      <c r="V48" s="5106">
        <f t="shared" si="4"/>
        <v>0</v>
      </c>
      <c r="W48" s="5107">
        <f t="shared" si="5"/>
        <v>1859</v>
      </c>
      <c r="X48" s="5109">
        <f t="shared" si="6"/>
        <v>1859</v>
      </c>
      <c r="Y48" s="4720"/>
      <c r="Z48" s="4720"/>
      <c r="AA48" s="4720"/>
      <c r="AB48" s="5105">
        <f t="shared" si="7"/>
        <v>0</v>
      </c>
      <c r="AC48" s="4720"/>
      <c r="AD48" s="5155"/>
      <c r="AE48" s="4727"/>
      <c r="AF48" s="7229">
        <f t="shared" si="8"/>
        <v>0</v>
      </c>
      <c r="AG48" s="5107">
        <f t="shared" si="9"/>
        <v>0</v>
      </c>
      <c r="AH48" s="4720">
        <v>0</v>
      </c>
      <c r="AI48" s="4720">
        <v>0</v>
      </c>
      <c r="AJ48" s="4720"/>
      <c r="AK48" s="5106">
        <f t="shared" si="10"/>
        <v>0</v>
      </c>
      <c r="AL48" s="4727"/>
      <c r="AM48" s="4727"/>
      <c r="AN48" s="5101"/>
      <c r="AO48" s="5106">
        <f t="shared" si="11"/>
        <v>0</v>
      </c>
      <c r="AP48" s="5107">
        <f t="shared" si="12"/>
        <v>0</v>
      </c>
      <c r="AQ48" s="5109">
        <f t="shared" si="13"/>
        <v>0</v>
      </c>
      <c r="AR48" s="5102">
        <f t="shared" si="14"/>
        <v>1859</v>
      </c>
    </row>
    <row r="49" spans="5:44" ht="16" x14ac:dyDescent="0.2">
      <c r="E49" s="4932" t="s">
        <v>2146</v>
      </c>
      <c r="F49" s="4720">
        <v>0</v>
      </c>
      <c r="G49" s="4720">
        <v>0</v>
      </c>
      <c r="H49" s="4720">
        <v>0</v>
      </c>
      <c r="I49" s="5105">
        <f t="shared" si="0"/>
        <v>0</v>
      </c>
      <c r="J49" s="4720">
        <v>146.97</v>
      </c>
      <c r="K49" s="4720">
        <v>147</v>
      </c>
      <c r="L49" s="4727"/>
      <c r="M49" s="5106">
        <f t="shared" si="1"/>
        <v>293.97000000000003</v>
      </c>
      <c r="N49" s="5107">
        <f t="shared" si="2"/>
        <v>293.97000000000003</v>
      </c>
      <c r="O49" s="4720">
        <v>181</v>
      </c>
      <c r="P49" s="4720">
        <v>187</v>
      </c>
      <c r="Q49" s="4727">
        <v>147</v>
      </c>
      <c r="R49" s="5106">
        <f t="shared" si="3"/>
        <v>515</v>
      </c>
      <c r="S49" s="4727">
        <v>162</v>
      </c>
      <c r="T49" s="4727">
        <v>290</v>
      </c>
      <c r="U49" s="4720"/>
      <c r="V49" s="5106">
        <f t="shared" si="4"/>
        <v>452</v>
      </c>
      <c r="W49" s="5107">
        <f t="shared" si="5"/>
        <v>967</v>
      </c>
      <c r="X49" s="5109">
        <f t="shared" si="6"/>
        <v>1260.97</v>
      </c>
      <c r="Y49" s="4720">
        <v>0</v>
      </c>
      <c r="Z49" s="4720">
        <v>0</v>
      </c>
      <c r="AA49" s="4720">
        <v>0</v>
      </c>
      <c r="AB49" s="5105">
        <f t="shared" si="7"/>
        <v>0</v>
      </c>
      <c r="AC49" s="4720">
        <v>0</v>
      </c>
      <c r="AD49" s="5155">
        <v>0</v>
      </c>
      <c r="AE49" s="4727"/>
      <c r="AF49" s="7229">
        <f t="shared" si="8"/>
        <v>0</v>
      </c>
      <c r="AG49" s="5107">
        <f t="shared" si="9"/>
        <v>0</v>
      </c>
      <c r="AH49" s="4720">
        <v>0</v>
      </c>
      <c r="AI49" s="4720">
        <v>0</v>
      </c>
      <c r="AJ49" s="4720"/>
      <c r="AK49" s="5106">
        <f t="shared" si="10"/>
        <v>0</v>
      </c>
      <c r="AL49" s="4727"/>
      <c r="AM49" s="4727"/>
      <c r="AN49" s="5101"/>
      <c r="AO49" s="5106">
        <f t="shared" si="11"/>
        <v>0</v>
      </c>
      <c r="AP49" s="5107">
        <f t="shared" si="12"/>
        <v>0</v>
      </c>
      <c r="AQ49" s="5109">
        <f t="shared" si="13"/>
        <v>0</v>
      </c>
      <c r="AR49" s="5102">
        <f t="shared" si="14"/>
        <v>1260.97</v>
      </c>
    </row>
    <row r="50" spans="5:44" ht="16" x14ac:dyDescent="0.2">
      <c r="E50" s="4932" t="s">
        <v>2545</v>
      </c>
      <c r="F50" s="4720"/>
      <c r="G50" s="4720"/>
      <c r="H50" s="4720"/>
      <c r="I50" s="5105"/>
      <c r="J50" s="4720"/>
      <c r="K50" s="4720"/>
      <c r="L50" s="4727"/>
      <c r="M50" s="5106"/>
      <c r="N50" s="5107"/>
      <c r="O50" s="4720"/>
      <c r="P50" s="4720"/>
      <c r="Q50" s="4727"/>
      <c r="R50" s="5106"/>
      <c r="S50" s="4727">
        <v>396</v>
      </c>
      <c r="T50" s="4727"/>
      <c r="U50" s="4720"/>
      <c r="V50" s="5106"/>
      <c r="W50" s="5107"/>
      <c r="X50" s="5109">
        <f t="shared" si="6"/>
        <v>396</v>
      </c>
      <c r="Y50" s="4720"/>
      <c r="Z50" s="4720"/>
      <c r="AA50" s="4720"/>
      <c r="AB50" s="5105"/>
      <c r="AC50" s="4720"/>
      <c r="AD50" s="5155"/>
      <c r="AE50" s="4727"/>
      <c r="AF50" s="7229"/>
      <c r="AG50" s="5107"/>
      <c r="AH50" s="4720"/>
      <c r="AI50" s="4720"/>
      <c r="AJ50" s="4720"/>
      <c r="AK50" s="5106"/>
      <c r="AL50" s="4727">
        <v>109</v>
      </c>
      <c r="AM50" s="4727"/>
      <c r="AN50" s="5101"/>
      <c r="AO50" s="5106"/>
      <c r="AP50" s="5107"/>
      <c r="AQ50" s="5109">
        <f t="shared" si="13"/>
        <v>109</v>
      </c>
      <c r="AR50" s="5102">
        <f t="shared" ref="AR50" si="17">+AQ50+X50</f>
        <v>505</v>
      </c>
    </row>
    <row r="51" spans="5:44" ht="16" x14ac:dyDescent="0.2">
      <c r="E51" s="4932" t="s">
        <v>1752</v>
      </c>
      <c r="F51" s="4720">
        <v>0</v>
      </c>
      <c r="G51" s="4720">
        <v>0</v>
      </c>
      <c r="H51" s="4720">
        <v>0</v>
      </c>
      <c r="I51" s="5105">
        <f t="shared" si="0"/>
        <v>0</v>
      </c>
      <c r="J51" s="4720">
        <v>0</v>
      </c>
      <c r="K51" s="4720"/>
      <c r="L51" s="4727"/>
      <c r="M51" s="5106">
        <f t="shared" si="1"/>
        <v>0</v>
      </c>
      <c r="N51" s="5107">
        <f t="shared" si="2"/>
        <v>0</v>
      </c>
      <c r="O51" s="4720">
        <v>1016</v>
      </c>
      <c r="P51" s="4720">
        <v>0</v>
      </c>
      <c r="Q51" s="4727">
        <v>1025</v>
      </c>
      <c r="R51" s="5106">
        <f t="shared" si="3"/>
        <v>2041</v>
      </c>
      <c r="S51" s="4727">
        <v>1427</v>
      </c>
      <c r="T51" s="4727">
        <v>1536</v>
      </c>
      <c r="U51" s="4720">
        <v>153.36000000000001</v>
      </c>
      <c r="V51" s="5106">
        <f t="shared" si="4"/>
        <v>3116.36</v>
      </c>
      <c r="W51" s="5107">
        <f t="shared" si="5"/>
        <v>5157.3600000000006</v>
      </c>
      <c r="X51" s="5109">
        <f t="shared" si="6"/>
        <v>5157.3599999999997</v>
      </c>
      <c r="Y51" s="4720">
        <v>0</v>
      </c>
      <c r="Z51" s="4720">
        <v>0</v>
      </c>
      <c r="AA51" s="4720">
        <v>0</v>
      </c>
      <c r="AB51" s="5105">
        <f t="shared" si="7"/>
        <v>0</v>
      </c>
      <c r="AC51" s="4720">
        <v>0</v>
      </c>
      <c r="AD51" s="5155"/>
      <c r="AE51" s="4727"/>
      <c r="AF51" s="7229">
        <f t="shared" si="8"/>
        <v>0</v>
      </c>
      <c r="AG51" s="5107">
        <f t="shared" si="9"/>
        <v>0</v>
      </c>
      <c r="AH51" s="4720">
        <v>0</v>
      </c>
      <c r="AI51" s="4720">
        <v>0</v>
      </c>
      <c r="AJ51" s="4720"/>
      <c r="AK51" s="5106">
        <f t="shared" si="10"/>
        <v>0</v>
      </c>
      <c r="AL51" s="4727"/>
      <c r="AM51" s="4727"/>
      <c r="AN51" s="5101"/>
      <c r="AO51" s="5106">
        <f t="shared" si="11"/>
        <v>0</v>
      </c>
      <c r="AP51" s="5107">
        <f t="shared" si="12"/>
        <v>0</v>
      </c>
      <c r="AQ51" s="5109">
        <f t="shared" si="13"/>
        <v>0</v>
      </c>
      <c r="AR51" s="5102">
        <f t="shared" si="14"/>
        <v>5157.3599999999997</v>
      </c>
    </row>
    <row r="52" spans="5:44" ht="16" x14ac:dyDescent="0.2">
      <c r="E52" s="4932" t="s">
        <v>1753</v>
      </c>
      <c r="F52" s="4720">
        <v>0</v>
      </c>
      <c r="G52" s="4720">
        <v>310.98</v>
      </c>
      <c r="H52" s="4720">
        <v>0</v>
      </c>
      <c r="I52" s="5105">
        <f t="shared" si="0"/>
        <v>310.98</v>
      </c>
      <c r="J52" s="4720">
        <v>155.49</v>
      </c>
      <c r="K52" s="4720">
        <v>0</v>
      </c>
      <c r="L52" s="4727">
        <v>550</v>
      </c>
      <c r="M52" s="5106">
        <f t="shared" si="1"/>
        <v>705.49</v>
      </c>
      <c r="N52" s="5107">
        <f t="shared" si="2"/>
        <v>1016.47</v>
      </c>
      <c r="O52" s="4720">
        <v>0</v>
      </c>
      <c r="P52" s="4720">
        <v>1500</v>
      </c>
      <c r="Q52" s="4727">
        <v>1152</v>
      </c>
      <c r="R52" s="5106">
        <f t="shared" si="3"/>
        <v>2652</v>
      </c>
      <c r="S52" s="4727">
        <v>317</v>
      </c>
      <c r="T52" s="4727">
        <v>645</v>
      </c>
      <c r="U52" s="4720">
        <v>25.56</v>
      </c>
      <c r="V52" s="5106">
        <f t="shared" si="4"/>
        <v>987.56</v>
      </c>
      <c r="W52" s="5107">
        <f t="shared" si="5"/>
        <v>3639.56</v>
      </c>
      <c r="X52" s="5109">
        <f t="shared" si="6"/>
        <v>4656.0300000000007</v>
      </c>
      <c r="Y52" s="4720">
        <v>0</v>
      </c>
      <c r="Z52" s="4720">
        <v>0</v>
      </c>
      <c r="AA52" s="4720">
        <v>0</v>
      </c>
      <c r="AB52" s="5105">
        <f t="shared" si="7"/>
        <v>0</v>
      </c>
      <c r="AC52" s="4720">
        <v>0</v>
      </c>
      <c r="AD52" s="5155">
        <v>0</v>
      </c>
      <c r="AE52" s="4727"/>
      <c r="AF52" s="7229">
        <f t="shared" si="8"/>
        <v>0</v>
      </c>
      <c r="AG52" s="5107">
        <f t="shared" si="9"/>
        <v>0</v>
      </c>
      <c r="AH52" s="4720">
        <v>0</v>
      </c>
      <c r="AI52" s="4720">
        <v>0</v>
      </c>
      <c r="AJ52" s="4720"/>
      <c r="AK52" s="5106">
        <f t="shared" si="10"/>
        <v>0</v>
      </c>
      <c r="AL52" s="4727"/>
      <c r="AM52" s="4727"/>
      <c r="AN52" s="5101"/>
      <c r="AO52" s="5106">
        <f t="shared" si="11"/>
        <v>0</v>
      </c>
      <c r="AP52" s="5107">
        <f t="shared" si="12"/>
        <v>0</v>
      </c>
      <c r="AQ52" s="5109">
        <f t="shared" si="13"/>
        <v>0</v>
      </c>
      <c r="AR52" s="5102">
        <f t="shared" si="14"/>
        <v>4656.0300000000007</v>
      </c>
    </row>
    <row r="53" spans="5:44" ht="16" x14ac:dyDescent="0.2">
      <c r="E53" s="4932" t="s">
        <v>1795</v>
      </c>
      <c r="F53" s="4720">
        <v>0</v>
      </c>
      <c r="G53" s="4720">
        <v>151.22999999999999</v>
      </c>
      <c r="H53" s="4720">
        <v>0</v>
      </c>
      <c r="I53" s="5105">
        <f t="shared" si="0"/>
        <v>151.22999999999999</v>
      </c>
      <c r="J53" s="4720">
        <v>0</v>
      </c>
      <c r="K53" s="4720">
        <v>0</v>
      </c>
      <c r="L53" s="4727"/>
      <c r="M53" s="5106">
        <f t="shared" si="1"/>
        <v>0</v>
      </c>
      <c r="N53" s="5107">
        <f t="shared" si="2"/>
        <v>151.22999999999999</v>
      </c>
      <c r="O53" s="4720">
        <v>0</v>
      </c>
      <c r="P53" s="4720">
        <v>0</v>
      </c>
      <c r="Q53" s="4727">
        <v>153</v>
      </c>
      <c r="R53" s="5106">
        <f t="shared" si="3"/>
        <v>153</v>
      </c>
      <c r="S53" s="4727"/>
      <c r="T53" s="4727"/>
      <c r="U53" s="4720">
        <v>189.57</v>
      </c>
      <c r="V53" s="5106">
        <f t="shared" si="4"/>
        <v>189.57</v>
      </c>
      <c r="W53" s="5107">
        <f t="shared" si="5"/>
        <v>342.57</v>
      </c>
      <c r="X53" s="5109">
        <f t="shared" si="6"/>
        <v>493.8</v>
      </c>
      <c r="Y53" s="4720">
        <v>0</v>
      </c>
      <c r="Z53" s="4720">
        <v>0</v>
      </c>
      <c r="AA53" s="4720">
        <v>0</v>
      </c>
      <c r="AB53" s="5105">
        <f t="shared" si="7"/>
        <v>0</v>
      </c>
      <c r="AC53" s="4720">
        <v>0</v>
      </c>
      <c r="AD53" s="5155">
        <v>0</v>
      </c>
      <c r="AE53" s="4727"/>
      <c r="AF53" s="7229">
        <f t="shared" si="8"/>
        <v>0</v>
      </c>
      <c r="AG53" s="5107">
        <f t="shared" si="9"/>
        <v>0</v>
      </c>
      <c r="AH53" s="4720">
        <v>0</v>
      </c>
      <c r="AI53" s="4720">
        <v>0</v>
      </c>
      <c r="AJ53" s="4720"/>
      <c r="AK53" s="5106">
        <f t="shared" si="10"/>
        <v>0</v>
      </c>
      <c r="AL53" s="4727"/>
      <c r="AM53" s="4727"/>
      <c r="AN53" s="5101"/>
      <c r="AO53" s="5106">
        <f t="shared" si="11"/>
        <v>0</v>
      </c>
      <c r="AP53" s="5107">
        <f t="shared" si="12"/>
        <v>0</v>
      </c>
      <c r="AQ53" s="5109">
        <f t="shared" si="13"/>
        <v>0</v>
      </c>
      <c r="AR53" s="5102">
        <f t="shared" si="14"/>
        <v>493.8</v>
      </c>
    </row>
    <row r="54" spans="5:44" ht="16" x14ac:dyDescent="0.2">
      <c r="E54" s="4932" t="s">
        <v>1663</v>
      </c>
      <c r="F54" s="4720">
        <v>0</v>
      </c>
      <c r="G54" s="4720">
        <v>0</v>
      </c>
      <c r="H54" s="4720">
        <v>1853.1000000000001</v>
      </c>
      <c r="I54" s="5105">
        <f t="shared" si="0"/>
        <v>1853.1000000000001</v>
      </c>
      <c r="J54" s="4720">
        <v>0</v>
      </c>
      <c r="K54" s="4720">
        <v>0</v>
      </c>
      <c r="L54" s="4727">
        <v>4993</v>
      </c>
      <c r="M54" s="5106">
        <f t="shared" si="1"/>
        <v>4993</v>
      </c>
      <c r="N54" s="5107">
        <f t="shared" si="2"/>
        <v>6846.1</v>
      </c>
      <c r="O54" s="4720">
        <v>4988</v>
      </c>
      <c r="P54" s="4720">
        <v>1012</v>
      </c>
      <c r="Q54" s="4727"/>
      <c r="R54" s="5106">
        <f t="shared" si="3"/>
        <v>6000</v>
      </c>
      <c r="S54" s="4727">
        <v>7095</v>
      </c>
      <c r="T54" s="4727"/>
      <c r="U54" s="4720"/>
      <c r="V54" s="5106">
        <f t="shared" si="4"/>
        <v>7095</v>
      </c>
      <c r="W54" s="5107">
        <f t="shared" si="5"/>
        <v>13095</v>
      </c>
      <c r="X54" s="5109">
        <f t="shared" si="6"/>
        <v>19941.099999999999</v>
      </c>
      <c r="Y54" s="4720">
        <v>0</v>
      </c>
      <c r="Z54" s="4720">
        <v>0</v>
      </c>
      <c r="AA54" s="4720">
        <v>0</v>
      </c>
      <c r="AB54" s="5105">
        <f t="shared" si="7"/>
        <v>0</v>
      </c>
      <c r="AC54" s="4720">
        <v>0</v>
      </c>
      <c r="AD54" s="5155">
        <v>0</v>
      </c>
      <c r="AE54" s="4727"/>
      <c r="AF54" s="7229">
        <f t="shared" si="8"/>
        <v>0</v>
      </c>
      <c r="AG54" s="5107">
        <f t="shared" si="9"/>
        <v>0</v>
      </c>
      <c r="AH54" s="4720">
        <v>0</v>
      </c>
      <c r="AI54" s="4720">
        <v>0</v>
      </c>
      <c r="AJ54" s="4720"/>
      <c r="AK54" s="5106">
        <f t="shared" si="10"/>
        <v>0</v>
      </c>
      <c r="AL54" s="4727"/>
      <c r="AM54" s="4727"/>
      <c r="AN54" s="5101"/>
      <c r="AO54" s="5106">
        <f t="shared" si="11"/>
        <v>0</v>
      </c>
      <c r="AP54" s="5107">
        <f t="shared" si="12"/>
        <v>0</v>
      </c>
      <c r="AQ54" s="5109">
        <f t="shared" si="13"/>
        <v>0</v>
      </c>
      <c r="AR54" s="5102">
        <f t="shared" si="14"/>
        <v>19941.099999999999</v>
      </c>
    </row>
    <row r="55" spans="5:44" ht="16" x14ac:dyDescent="0.2">
      <c r="E55" s="4932" t="s">
        <v>1603</v>
      </c>
      <c r="F55" s="4720">
        <v>340.8</v>
      </c>
      <c r="G55" s="4720">
        <v>0</v>
      </c>
      <c r="H55" s="4720">
        <v>9120.66</v>
      </c>
      <c r="I55" s="5105">
        <f t="shared" si="0"/>
        <v>9461.4599999999991</v>
      </c>
      <c r="J55" s="4720">
        <v>9176.0399999999991</v>
      </c>
      <c r="K55" s="4720">
        <v>6477.3</v>
      </c>
      <c r="L55" s="4727">
        <v>2383</v>
      </c>
      <c r="M55" s="5106">
        <f t="shared" si="1"/>
        <v>18036.34</v>
      </c>
      <c r="N55" s="5107">
        <f t="shared" si="2"/>
        <v>27497.8</v>
      </c>
      <c r="O55" s="4720">
        <v>5144</v>
      </c>
      <c r="P55" s="4720">
        <v>503</v>
      </c>
      <c r="Q55" s="4727">
        <v>162</v>
      </c>
      <c r="R55" s="5106">
        <f t="shared" si="3"/>
        <v>5809</v>
      </c>
      <c r="S55" s="4727">
        <v>368</v>
      </c>
      <c r="T55" s="4727">
        <v>590</v>
      </c>
      <c r="U55" s="4720">
        <v>4332.42</v>
      </c>
      <c r="V55" s="5106">
        <f t="shared" si="4"/>
        <v>5290.42</v>
      </c>
      <c r="W55" s="5107">
        <f t="shared" si="5"/>
        <v>11099.42</v>
      </c>
      <c r="X55" s="5109">
        <f t="shared" si="6"/>
        <v>38597.22</v>
      </c>
      <c r="Y55" s="4720">
        <v>796.62</v>
      </c>
      <c r="Z55" s="4720">
        <v>153.36000000000001</v>
      </c>
      <c r="AA55" s="4720">
        <v>330.15000000000003</v>
      </c>
      <c r="AB55" s="5105">
        <f t="shared" si="7"/>
        <v>1280.1300000000001</v>
      </c>
      <c r="AC55" s="4720">
        <v>2869.11</v>
      </c>
      <c r="AD55" s="5155">
        <v>1772.2</v>
      </c>
      <c r="AE55" s="4727">
        <v>151</v>
      </c>
      <c r="AF55" s="7229">
        <f t="shared" si="8"/>
        <v>4792.3100000000004</v>
      </c>
      <c r="AG55" s="5107">
        <f t="shared" si="9"/>
        <v>6072.4400000000005</v>
      </c>
      <c r="AH55" s="4720">
        <v>2279</v>
      </c>
      <c r="AI55" s="4720">
        <v>147</v>
      </c>
      <c r="AJ55" s="4720">
        <v>151</v>
      </c>
      <c r="AK55" s="5106">
        <f t="shared" si="10"/>
        <v>2577</v>
      </c>
      <c r="AL55" s="4727">
        <v>160</v>
      </c>
      <c r="AM55" s="4727">
        <v>149</v>
      </c>
      <c r="AN55" s="5101">
        <v>602.79</v>
      </c>
      <c r="AO55" s="5106">
        <f t="shared" si="11"/>
        <v>911.79</v>
      </c>
      <c r="AP55" s="5107">
        <f t="shared" si="12"/>
        <v>3488.79</v>
      </c>
      <c r="AQ55" s="5109">
        <f t="shared" si="13"/>
        <v>9561.23</v>
      </c>
      <c r="AR55" s="5102">
        <f t="shared" si="14"/>
        <v>48158.45</v>
      </c>
    </row>
    <row r="56" spans="5:44" ht="16" x14ac:dyDescent="0.2">
      <c r="E56" s="5076" t="s">
        <v>1604</v>
      </c>
      <c r="F56" s="4720">
        <v>0</v>
      </c>
      <c r="G56" s="4720">
        <v>0</v>
      </c>
      <c r="H56" s="4720">
        <v>0</v>
      </c>
      <c r="I56" s="5105">
        <f t="shared" si="0"/>
        <v>0</v>
      </c>
      <c r="J56" s="4720">
        <v>0</v>
      </c>
      <c r="K56" s="4720"/>
      <c r="L56" s="4727"/>
      <c r="M56" s="5106">
        <f t="shared" si="1"/>
        <v>0</v>
      </c>
      <c r="N56" s="5107">
        <f t="shared" si="2"/>
        <v>0</v>
      </c>
      <c r="O56" s="4720">
        <v>0</v>
      </c>
      <c r="P56" s="4720">
        <v>0</v>
      </c>
      <c r="Q56" s="4727"/>
      <c r="R56" s="5106">
        <f t="shared" si="3"/>
        <v>0</v>
      </c>
      <c r="S56" s="4727"/>
      <c r="T56" s="4727"/>
      <c r="U56" s="4720"/>
      <c r="V56" s="5106">
        <f t="shared" si="4"/>
        <v>0</v>
      </c>
      <c r="W56" s="5107">
        <f t="shared" si="5"/>
        <v>0</v>
      </c>
      <c r="X56" s="5109">
        <f t="shared" si="6"/>
        <v>0</v>
      </c>
      <c r="Y56" s="4720">
        <v>0</v>
      </c>
      <c r="Z56" s="4720">
        <v>0</v>
      </c>
      <c r="AA56" s="4720">
        <v>0</v>
      </c>
      <c r="AB56" s="5105">
        <f t="shared" si="7"/>
        <v>0</v>
      </c>
      <c r="AC56" s="4720"/>
      <c r="AD56" s="5155"/>
      <c r="AE56" s="4727"/>
      <c r="AF56" s="7229">
        <f t="shared" si="8"/>
        <v>0</v>
      </c>
      <c r="AG56" s="5107">
        <f t="shared" si="9"/>
        <v>0</v>
      </c>
      <c r="AH56" s="4720">
        <v>0</v>
      </c>
      <c r="AI56" s="4720">
        <v>0</v>
      </c>
      <c r="AJ56" s="4720"/>
      <c r="AK56" s="5106">
        <f t="shared" si="10"/>
        <v>0</v>
      </c>
      <c r="AL56" s="4727"/>
      <c r="AM56" s="4727"/>
      <c r="AN56" s="5101"/>
      <c r="AO56" s="5106">
        <f t="shared" si="11"/>
        <v>0</v>
      </c>
      <c r="AP56" s="5107">
        <f t="shared" si="12"/>
        <v>0</v>
      </c>
      <c r="AQ56" s="5109">
        <f t="shared" si="13"/>
        <v>0</v>
      </c>
      <c r="AR56" s="5102">
        <f t="shared" si="14"/>
        <v>0</v>
      </c>
    </row>
    <row r="57" spans="5:44" ht="16" x14ac:dyDescent="0.2">
      <c r="E57" s="5076" t="s">
        <v>1856</v>
      </c>
      <c r="F57" s="4720">
        <v>0</v>
      </c>
      <c r="G57" s="4720">
        <v>0</v>
      </c>
      <c r="H57" s="4720">
        <v>2994.78</v>
      </c>
      <c r="I57" s="5105">
        <f t="shared" si="0"/>
        <v>2994.78</v>
      </c>
      <c r="J57" s="4720">
        <v>2774.3000000000006</v>
      </c>
      <c r="K57" s="4720">
        <v>111.9</v>
      </c>
      <c r="L57" s="4727"/>
      <c r="M57" s="5106">
        <f t="shared" si="1"/>
        <v>2886.2000000000007</v>
      </c>
      <c r="N57" s="5107">
        <f t="shared" si="2"/>
        <v>5880.9800000000014</v>
      </c>
      <c r="O57" s="4720">
        <v>0</v>
      </c>
      <c r="P57" s="4720">
        <v>0</v>
      </c>
      <c r="Q57" s="4727">
        <v>7864</v>
      </c>
      <c r="R57" s="5106">
        <f t="shared" si="3"/>
        <v>7864</v>
      </c>
      <c r="S57" s="4727">
        <v>3593</v>
      </c>
      <c r="T57" s="4727"/>
      <c r="U57" s="4720"/>
      <c r="V57" s="5106">
        <f t="shared" si="4"/>
        <v>3593</v>
      </c>
      <c r="W57" s="5107">
        <f t="shared" si="5"/>
        <v>11457</v>
      </c>
      <c r="X57" s="5109">
        <f t="shared" si="6"/>
        <v>17337.980000000003</v>
      </c>
      <c r="Y57" s="4720">
        <v>0</v>
      </c>
      <c r="Z57" s="4720">
        <v>0</v>
      </c>
      <c r="AA57" s="4720">
        <v>0</v>
      </c>
      <c r="AB57" s="5105">
        <f t="shared" si="7"/>
        <v>0</v>
      </c>
      <c r="AC57" s="4720">
        <v>0</v>
      </c>
      <c r="AD57" s="5155">
        <v>381.9</v>
      </c>
      <c r="AE57" s="4727"/>
      <c r="AF57" s="7229">
        <f t="shared" si="8"/>
        <v>381.9</v>
      </c>
      <c r="AG57" s="5107">
        <f t="shared" si="9"/>
        <v>381.9</v>
      </c>
      <c r="AH57" s="4720">
        <v>0</v>
      </c>
      <c r="AI57" s="4720">
        <v>3480</v>
      </c>
      <c r="AJ57" s="4720">
        <v>4173</v>
      </c>
      <c r="AK57" s="5106">
        <f t="shared" si="10"/>
        <v>7653</v>
      </c>
      <c r="AL57" s="4727"/>
      <c r="AM57" s="4727"/>
      <c r="AN57" s="5101"/>
      <c r="AO57" s="5106">
        <f t="shared" si="11"/>
        <v>0</v>
      </c>
      <c r="AP57" s="5107">
        <f t="shared" si="12"/>
        <v>7653</v>
      </c>
      <c r="AQ57" s="5109">
        <f t="shared" si="13"/>
        <v>8034.9</v>
      </c>
      <c r="AR57" s="5102">
        <f t="shared" si="14"/>
        <v>25372.880000000005</v>
      </c>
    </row>
    <row r="58" spans="5:44" ht="16" x14ac:dyDescent="0.2">
      <c r="E58" s="5076" t="s">
        <v>1855</v>
      </c>
      <c r="F58" s="4720">
        <v>0</v>
      </c>
      <c r="G58" s="4720">
        <v>0</v>
      </c>
      <c r="H58" s="4720">
        <v>0</v>
      </c>
      <c r="I58" s="5105">
        <f t="shared" si="0"/>
        <v>0</v>
      </c>
      <c r="J58" s="4720">
        <v>1850.9700000000003</v>
      </c>
      <c r="K58" s="4720">
        <v>0</v>
      </c>
      <c r="L58" s="4727"/>
      <c r="M58" s="5106">
        <f t="shared" si="1"/>
        <v>1850.9700000000003</v>
      </c>
      <c r="N58" s="5107">
        <f t="shared" si="2"/>
        <v>1850.9700000000003</v>
      </c>
      <c r="O58" s="4720">
        <v>0</v>
      </c>
      <c r="P58" s="4720">
        <v>0</v>
      </c>
      <c r="Q58" s="4727">
        <v>2607</v>
      </c>
      <c r="R58" s="5106">
        <f t="shared" si="3"/>
        <v>2607</v>
      </c>
      <c r="S58" s="4727">
        <v>1353</v>
      </c>
      <c r="T58" s="4727">
        <v>1685</v>
      </c>
      <c r="U58" s="4720">
        <v>1375.98</v>
      </c>
      <c r="V58" s="5106">
        <f t="shared" si="4"/>
        <v>4413.9799999999996</v>
      </c>
      <c r="W58" s="5107">
        <f t="shared" si="5"/>
        <v>7020.98</v>
      </c>
      <c r="X58" s="5109">
        <f t="shared" si="6"/>
        <v>8871.9500000000007</v>
      </c>
      <c r="Y58" s="4720">
        <v>0</v>
      </c>
      <c r="Z58" s="4720">
        <v>0</v>
      </c>
      <c r="AA58" s="4720">
        <v>0</v>
      </c>
      <c r="AB58" s="5105">
        <f t="shared" si="7"/>
        <v>0</v>
      </c>
      <c r="AC58" s="4720">
        <v>0</v>
      </c>
      <c r="AD58" s="5155">
        <v>0</v>
      </c>
      <c r="AE58" s="4727"/>
      <c r="AF58" s="7229">
        <f t="shared" si="8"/>
        <v>0</v>
      </c>
      <c r="AG58" s="5107">
        <f t="shared" si="9"/>
        <v>0</v>
      </c>
      <c r="AH58" s="4720">
        <v>0</v>
      </c>
      <c r="AI58" s="4720">
        <v>0</v>
      </c>
      <c r="AJ58" s="4720"/>
      <c r="AK58" s="5106">
        <f t="shared" si="10"/>
        <v>0</v>
      </c>
      <c r="AL58" s="4727"/>
      <c r="AM58" s="4727"/>
      <c r="AN58" s="5101"/>
      <c r="AO58" s="5106">
        <f t="shared" si="11"/>
        <v>0</v>
      </c>
      <c r="AP58" s="5107">
        <f t="shared" si="12"/>
        <v>0</v>
      </c>
      <c r="AQ58" s="5109">
        <f t="shared" si="13"/>
        <v>0</v>
      </c>
      <c r="AR58" s="5102">
        <f t="shared" si="14"/>
        <v>8871.9500000000007</v>
      </c>
    </row>
    <row r="59" spans="5:44" ht="16" x14ac:dyDescent="0.2">
      <c r="E59" s="5076" t="s">
        <v>2347</v>
      </c>
      <c r="F59" s="4720"/>
      <c r="G59" s="4720"/>
      <c r="H59" s="4720"/>
      <c r="I59" s="5105">
        <f t="shared" si="0"/>
        <v>0</v>
      </c>
      <c r="J59" s="4720"/>
      <c r="K59" s="4724"/>
      <c r="L59" s="4798"/>
      <c r="M59" s="5106">
        <f t="shared" si="1"/>
        <v>0</v>
      </c>
      <c r="N59" s="5107">
        <f t="shared" si="2"/>
        <v>0</v>
      </c>
      <c r="O59" s="4720">
        <v>0</v>
      </c>
      <c r="P59" s="4724">
        <v>592</v>
      </c>
      <c r="Q59" s="4798">
        <v>104</v>
      </c>
      <c r="R59" s="5106">
        <f t="shared" si="3"/>
        <v>696</v>
      </c>
      <c r="S59" s="4727"/>
      <c r="T59" s="4727"/>
      <c r="U59" s="4720"/>
      <c r="V59" s="5106">
        <f t="shared" si="4"/>
        <v>0</v>
      </c>
      <c r="W59" s="5107">
        <f t="shared" si="5"/>
        <v>696</v>
      </c>
      <c r="X59" s="5109">
        <f t="shared" si="6"/>
        <v>696</v>
      </c>
      <c r="Y59" s="4720"/>
      <c r="Z59" s="4720"/>
      <c r="AA59" s="4720"/>
      <c r="AB59" s="5105">
        <f t="shared" si="7"/>
        <v>0</v>
      </c>
      <c r="AC59" s="4720"/>
      <c r="AD59" s="5155"/>
      <c r="AE59" s="4727"/>
      <c r="AF59" s="7229">
        <f t="shared" si="8"/>
        <v>0</v>
      </c>
      <c r="AG59" s="5107">
        <f t="shared" si="9"/>
        <v>0</v>
      </c>
      <c r="AH59" s="4724">
        <v>392</v>
      </c>
      <c r="AI59" s="4720">
        <v>0</v>
      </c>
      <c r="AJ59" s="4720">
        <v>134</v>
      </c>
      <c r="AK59" s="5106">
        <f t="shared" si="10"/>
        <v>526</v>
      </c>
      <c r="AL59" s="4727">
        <v>124</v>
      </c>
      <c r="AM59" s="4727"/>
      <c r="AN59" s="5101"/>
      <c r="AO59" s="5106">
        <f t="shared" si="11"/>
        <v>124</v>
      </c>
      <c r="AP59" s="5107">
        <f t="shared" si="12"/>
        <v>650</v>
      </c>
      <c r="AQ59" s="5109">
        <f t="shared" si="13"/>
        <v>650</v>
      </c>
      <c r="AR59" s="5102">
        <f t="shared" si="14"/>
        <v>1346</v>
      </c>
    </row>
    <row r="60" spans="5:44" ht="17" thickBot="1" x14ac:dyDescent="0.25">
      <c r="E60" s="4967" t="s">
        <v>1613</v>
      </c>
      <c r="F60" s="4720">
        <v>0</v>
      </c>
      <c r="G60" s="4720">
        <v>0</v>
      </c>
      <c r="H60" s="4720">
        <v>0</v>
      </c>
      <c r="I60" s="5105">
        <f t="shared" si="0"/>
        <v>0</v>
      </c>
      <c r="J60" s="4720">
        <v>0</v>
      </c>
      <c r="K60" s="4724">
        <v>0</v>
      </c>
      <c r="L60" s="4798"/>
      <c r="M60" s="5106">
        <f t="shared" si="1"/>
        <v>0</v>
      </c>
      <c r="N60" s="5107">
        <f t="shared" si="2"/>
        <v>0</v>
      </c>
      <c r="O60" s="4720">
        <v>0</v>
      </c>
      <c r="P60" s="7653">
        <v>0</v>
      </c>
      <c r="Q60" s="7654"/>
      <c r="R60" s="5106">
        <f t="shared" si="3"/>
        <v>0</v>
      </c>
      <c r="S60" s="7654"/>
      <c r="T60" s="7654"/>
      <c r="U60" s="7653"/>
      <c r="V60" s="7655">
        <f t="shared" si="4"/>
        <v>0</v>
      </c>
      <c r="W60" s="7656">
        <f t="shared" si="5"/>
        <v>0</v>
      </c>
      <c r="X60" s="5109">
        <f t="shared" si="6"/>
        <v>0</v>
      </c>
      <c r="Y60" s="7653">
        <v>153.36000000000001</v>
      </c>
      <c r="Z60" s="7653">
        <v>0</v>
      </c>
      <c r="AA60" s="7653">
        <v>0</v>
      </c>
      <c r="AB60" s="7657">
        <f t="shared" si="7"/>
        <v>153.36000000000001</v>
      </c>
      <c r="AC60" s="7653">
        <v>164.01</v>
      </c>
      <c r="AD60" s="7658">
        <v>0</v>
      </c>
      <c r="AE60" s="7654"/>
      <c r="AF60" s="7659">
        <f t="shared" si="8"/>
        <v>164.01</v>
      </c>
      <c r="AG60" s="7656">
        <f t="shared" si="9"/>
        <v>317.37</v>
      </c>
      <c r="AH60" s="7653">
        <v>0</v>
      </c>
      <c r="AI60" s="7653">
        <v>0</v>
      </c>
      <c r="AJ60" s="7653"/>
      <c r="AK60" s="5106">
        <f t="shared" si="10"/>
        <v>0</v>
      </c>
      <c r="AL60" s="7654"/>
      <c r="AM60" s="7654"/>
      <c r="AN60" s="7660"/>
      <c r="AO60" s="7655">
        <f t="shared" si="11"/>
        <v>0</v>
      </c>
      <c r="AP60" s="7656">
        <f t="shared" si="12"/>
        <v>0</v>
      </c>
      <c r="AQ60" s="5109">
        <f t="shared" si="13"/>
        <v>317.37</v>
      </c>
      <c r="AR60" s="5102">
        <f t="shared" si="14"/>
        <v>317.37</v>
      </c>
    </row>
    <row r="61" spans="5:44" s="5120" customFormat="1" ht="17" thickBot="1" x14ac:dyDescent="0.25">
      <c r="E61" s="5115" t="s">
        <v>15</v>
      </c>
      <c r="F61" s="5927">
        <f>SUM(F6:F60)</f>
        <v>50600.280000000006</v>
      </c>
      <c r="G61" s="5927">
        <f t="shared" ref="G61:H61" si="18">SUM(G6:G60)</f>
        <v>51563.040000000008</v>
      </c>
      <c r="H61" s="5927">
        <f t="shared" si="18"/>
        <v>49888.86</v>
      </c>
      <c r="I61" s="5928">
        <f>SUM(I6:I60)</f>
        <v>152052.18000000002</v>
      </c>
      <c r="J61" s="5928">
        <f>SUM(J6:J60)</f>
        <v>63356.289999999994</v>
      </c>
      <c r="K61" s="5117">
        <f>SUM(K6:K60)</f>
        <v>58059.500000000007</v>
      </c>
      <c r="L61" s="5117">
        <f>SUM(L6:L60)</f>
        <v>34790</v>
      </c>
      <c r="M61" s="5117">
        <f t="shared" ref="M61:N61" si="19">SUM(M6:M60)</f>
        <v>156205.79</v>
      </c>
      <c r="N61" s="5117">
        <f t="shared" si="19"/>
        <v>308257.9699999998</v>
      </c>
      <c r="O61" s="5117">
        <f t="shared" ref="O61:P61" si="20">SUM(O6:O60)</f>
        <v>44747</v>
      </c>
      <c r="P61" s="5928">
        <f t="shared" si="20"/>
        <v>56161.479999999996</v>
      </c>
      <c r="Q61" s="5928">
        <f t="shared" ref="Q61:S61" si="21">SUM(Q6:Q60)</f>
        <v>72274</v>
      </c>
      <c r="R61" s="5928">
        <f t="shared" si="21"/>
        <v>173182.48</v>
      </c>
      <c r="S61" s="5928">
        <f t="shared" si="21"/>
        <v>79736</v>
      </c>
      <c r="T61" s="5928">
        <f t="shared" ref="T61:U61" si="22">SUM(T6:T60)</f>
        <v>73449</v>
      </c>
      <c r="U61" s="5928">
        <f t="shared" si="22"/>
        <v>87617.549999999988</v>
      </c>
      <c r="V61" s="5928">
        <f t="shared" ref="V61:W61" si="23">SUM(V6:V60)</f>
        <v>142064.72000000003</v>
      </c>
      <c r="W61" s="5928">
        <f t="shared" si="23"/>
        <v>314089.2</v>
      </c>
      <c r="X61" s="5928">
        <f>SUM(X6:X60)</f>
        <v>722243</v>
      </c>
      <c r="Y61" s="5927">
        <f>SUM(Y6:Y60)</f>
        <v>56185.140000000007</v>
      </c>
      <c r="Z61" s="5928">
        <f>SUM(Z6:Z60)</f>
        <v>45850.38</v>
      </c>
      <c r="AA61" s="5928">
        <f>SUM(AA6:AA60)</f>
        <v>52415.040000000001</v>
      </c>
      <c r="AB61" s="5928">
        <f t="shared" ref="AB61" si="24">SUM(AB6:AB60)</f>
        <v>154450.56</v>
      </c>
      <c r="AC61" s="5928">
        <f t="shared" ref="AC61:AK61" si="25">SUM(AC6:AC60)</f>
        <v>40759.680000000015</v>
      </c>
      <c r="AD61" s="5928">
        <f t="shared" si="25"/>
        <v>71735.399999999994</v>
      </c>
      <c r="AE61" s="5928">
        <f t="shared" si="25"/>
        <v>36048</v>
      </c>
      <c r="AF61" s="5928">
        <f t="shared" si="25"/>
        <v>148543.08000000002</v>
      </c>
      <c r="AG61" s="5928">
        <f t="shared" si="25"/>
        <v>302993.64</v>
      </c>
      <c r="AH61" s="5928">
        <f t="shared" si="25"/>
        <v>32094</v>
      </c>
      <c r="AI61" s="5928">
        <f t="shared" si="25"/>
        <v>51427</v>
      </c>
      <c r="AJ61" s="5928">
        <f t="shared" si="25"/>
        <v>64557</v>
      </c>
      <c r="AK61" s="5928">
        <f t="shared" si="25"/>
        <v>148078</v>
      </c>
      <c r="AL61" s="5928">
        <f t="shared" ref="AL61:AM61" si="26">SUM(AL6:AL60)</f>
        <v>83393</v>
      </c>
      <c r="AM61" s="5928">
        <f t="shared" si="26"/>
        <v>70866</v>
      </c>
      <c r="AN61" s="5928">
        <f t="shared" ref="AN61:AP61" si="27">SUM(AN6:AN60)</f>
        <v>85621.739999999991</v>
      </c>
      <c r="AO61" s="5928">
        <f t="shared" si="27"/>
        <v>177505.28000000003</v>
      </c>
      <c r="AP61" s="5928">
        <f t="shared" si="27"/>
        <v>325583.28000000003</v>
      </c>
      <c r="AQ61" s="5118">
        <f>SUM(AQ6:AQ60)</f>
        <v>690952.37999999989</v>
      </c>
      <c r="AR61" s="7652">
        <f>SUM(AR6:AR60)</f>
        <v>1413195.3800000006</v>
      </c>
    </row>
    <row r="63" spans="5:44" x14ac:dyDescent="0.2">
      <c r="F63" s="4726"/>
      <c r="J63" s="4726"/>
      <c r="K63" s="4726"/>
      <c r="L63" s="4726"/>
      <c r="M63" s="4726"/>
      <c r="N63" s="4726"/>
      <c r="O63" s="4726"/>
      <c r="P63" s="4726"/>
      <c r="Q63" s="5153"/>
      <c r="R63" s="4726"/>
      <c r="S63" s="5153"/>
      <c r="T63" s="5153"/>
      <c r="U63" s="4726"/>
      <c r="V63" s="4726"/>
      <c r="W63" s="4726"/>
      <c r="X63" s="4726"/>
    </row>
    <row r="65" spans="6:36" x14ac:dyDescent="0.2">
      <c r="F65" s="4726"/>
    </row>
    <row r="66" spans="6:36" x14ac:dyDescent="0.2">
      <c r="F66" s="4726"/>
      <c r="AJ66" s="4726"/>
    </row>
  </sheetData>
  <mergeCells count="3">
    <mergeCell ref="Y4:AQ4"/>
    <mergeCell ref="F4:X4"/>
    <mergeCell ref="E2:AR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97575"/>
  </sheetPr>
  <dimension ref="E2:Q46"/>
  <sheetViews>
    <sheetView topLeftCell="E1" workbookViewId="0">
      <pane xSplit="1" topLeftCell="F1" activePane="topRight" state="frozen"/>
      <selection activeCell="E1" sqref="E1"/>
      <selection pane="topRight" activeCell="L18" sqref="L18"/>
    </sheetView>
  </sheetViews>
  <sheetFormatPr baseColWidth="10" defaultColWidth="9.1640625" defaultRowHeight="13" x14ac:dyDescent="0.2"/>
  <cols>
    <col min="1" max="4" width="9.1640625" style="4714"/>
    <col min="5" max="5" width="45.6640625" style="4713" customWidth="1"/>
    <col min="6" max="6" width="17.33203125" style="4714" customWidth="1"/>
    <col min="7" max="7" width="9.1640625" style="4714" customWidth="1"/>
    <col min="8" max="8" width="8.33203125" style="4714" customWidth="1"/>
    <col min="9" max="9" width="8.5" style="4714" customWidth="1"/>
    <col min="10" max="10" width="7.83203125" style="4714" bestFit="1" customWidth="1"/>
    <col min="11" max="16384" width="9.1640625" style="4714"/>
  </cols>
  <sheetData>
    <row r="2" spans="5:17" ht="23" x14ac:dyDescent="0.2">
      <c r="E2" s="8898" t="s">
        <v>1860</v>
      </c>
      <c r="F2" s="8898"/>
      <c r="G2" s="8898"/>
      <c r="H2" s="8898"/>
      <c r="I2" s="8898"/>
      <c r="J2" s="8898"/>
    </row>
    <row r="3" spans="5:17" ht="14" thickBot="1" x14ac:dyDescent="0.25"/>
    <row r="4" spans="5:17" ht="17" thickBot="1" x14ac:dyDescent="0.25">
      <c r="E4" s="4715"/>
      <c r="F4" s="8899" t="s">
        <v>1587</v>
      </c>
      <c r="G4" s="8900"/>
      <c r="H4" s="8900"/>
      <c r="I4" s="8900"/>
      <c r="J4" s="8901"/>
    </row>
    <row r="5" spans="5:17" ht="17" thickBot="1" x14ac:dyDescent="0.25">
      <c r="E5" s="4716"/>
      <c r="F5" s="5924" t="s">
        <v>1861</v>
      </c>
      <c r="G5" s="5925" t="s">
        <v>1975</v>
      </c>
      <c r="H5" s="5925" t="s">
        <v>2118</v>
      </c>
      <c r="I5" s="5926" t="s">
        <v>2119</v>
      </c>
      <c r="J5" s="6076" t="s">
        <v>62</v>
      </c>
    </row>
    <row r="6" spans="5:17" ht="16" x14ac:dyDescent="0.2">
      <c r="E6" s="5076" t="s">
        <v>1594</v>
      </c>
      <c r="F6" s="4720">
        <v>300.33</v>
      </c>
      <c r="G6" s="4720">
        <v>146.97</v>
      </c>
      <c r="H6" s="4720">
        <v>0</v>
      </c>
      <c r="I6" s="4720">
        <v>155.49</v>
      </c>
      <c r="J6" s="5109">
        <f t="shared" ref="J6:J14" si="0">+F6+G6+H6+I6</f>
        <v>602.79</v>
      </c>
    </row>
    <row r="7" spans="5:17" ht="16" x14ac:dyDescent="0.2">
      <c r="E7" s="5076" t="s">
        <v>1595</v>
      </c>
      <c r="F7" s="4720">
        <v>26022.21</v>
      </c>
      <c r="G7" s="4720">
        <v>1804.11</v>
      </c>
      <c r="H7" s="4720">
        <v>4843.62</v>
      </c>
      <c r="I7" s="4720">
        <v>144.84</v>
      </c>
      <c r="J7" s="5109">
        <f t="shared" si="0"/>
        <v>32814.78</v>
      </c>
    </row>
    <row r="8" spans="5:17" ht="16" x14ac:dyDescent="0.2">
      <c r="E8" s="5076" t="s">
        <v>1716</v>
      </c>
      <c r="F8" s="4720">
        <v>1446.27</v>
      </c>
      <c r="G8" s="4720">
        <v>0</v>
      </c>
      <c r="H8" s="4720">
        <v>0</v>
      </c>
      <c r="I8" s="4720">
        <v>0</v>
      </c>
      <c r="J8" s="5109">
        <f t="shared" si="0"/>
        <v>1446.27</v>
      </c>
    </row>
    <row r="9" spans="5:17" ht="16" x14ac:dyDescent="0.2">
      <c r="E9" s="5076" t="s">
        <v>1598</v>
      </c>
      <c r="F9" s="4720">
        <v>283.29000000000002</v>
      </c>
      <c r="G9" s="4720">
        <v>0</v>
      </c>
      <c r="H9" s="4720">
        <v>85.2</v>
      </c>
      <c r="I9" s="4720">
        <v>375.94</v>
      </c>
      <c r="J9" s="5109">
        <f t="shared" si="0"/>
        <v>744.43000000000006</v>
      </c>
      <c r="P9" s="5040"/>
    </row>
    <row r="10" spans="5:17" ht="16" x14ac:dyDescent="0.2">
      <c r="E10" s="5076" t="s">
        <v>1734</v>
      </c>
      <c r="F10" s="4720">
        <v>9985.44</v>
      </c>
      <c r="G10" s="4720">
        <v>27868.92</v>
      </c>
      <c r="H10" s="4720">
        <v>13644.78</v>
      </c>
      <c r="I10" s="4720">
        <v>25178.199999999997</v>
      </c>
      <c r="J10" s="5109">
        <f t="shared" si="0"/>
        <v>76677.34</v>
      </c>
      <c r="P10" s="5040"/>
      <c r="Q10" s="5040"/>
    </row>
    <row r="11" spans="5:17" ht="16" x14ac:dyDescent="0.2">
      <c r="E11" s="5076" t="s">
        <v>2148</v>
      </c>
      <c r="F11" s="4720"/>
      <c r="G11" s="4720"/>
      <c r="H11" s="4720"/>
      <c r="I11" s="4720"/>
      <c r="J11" s="5109">
        <f t="shared" si="0"/>
        <v>0</v>
      </c>
      <c r="P11" s="5040"/>
      <c r="Q11" s="5040"/>
    </row>
    <row r="12" spans="5:17" ht="16" x14ac:dyDescent="0.2">
      <c r="E12" s="5076" t="s">
        <v>1977</v>
      </c>
      <c r="F12" s="4720">
        <v>0</v>
      </c>
      <c r="G12" s="4720">
        <v>8434.7999999999993</v>
      </c>
      <c r="H12" s="4720">
        <v>0</v>
      </c>
      <c r="I12" s="4720">
        <v>0</v>
      </c>
      <c r="J12" s="5109">
        <f t="shared" si="0"/>
        <v>8434.7999999999993</v>
      </c>
    </row>
    <row r="13" spans="5:17" ht="16" x14ac:dyDescent="0.2">
      <c r="E13" s="5076" t="s">
        <v>1856</v>
      </c>
      <c r="F13" s="4720">
        <v>0</v>
      </c>
      <c r="G13" s="4720">
        <v>0</v>
      </c>
      <c r="H13" s="4720">
        <v>2994.78</v>
      </c>
      <c r="I13" s="4720">
        <v>2774.3000000000006</v>
      </c>
      <c r="J13" s="5109">
        <f t="shared" si="0"/>
        <v>5769.0800000000008</v>
      </c>
    </row>
    <row r="14" spans="5:17" ht="17" thickBot="1" x14ac:dyDescent="0.25">
      <c r="E14" s="5076" t="s">
        <v>1855</v>
      </c>
      <c r="F14" s="4720">
        <v>0</v>
      </c>
      <c r="G14" s="4720">
        <v>0</v>
      </c>
      <c r="H14" s="4720">
        <v>0</v>
      </c>
      <c r="I14" s="4720">
        <v>1850.9700000000003</v>
      </c>
      <c r="J14" s="5109">
        <f t="shared" si="0"/>
        <v>1850.9700000000003</v>
      </c>
    </row>
    <row r="15" spans="5:17" s="5120" customFormat="1" ht="17" thickBot="1" x14ac:dyDescent="0.25">
      <c r="E15" s="5115" t="s">
        <v>15</v>
      </c>
      <c r="F15" s="5116">
        <f>SUM(F6:F14)</f>
        <v>38037.54</v>
      </c>
      <c r="G15" s="5116">
        <f>SUM(G6:G14)</f>
        <v>38254.800000000003</v>
      </c>
      <c r="H15" s="5116">
        <f>SUM(H6:H14)</f>
        <v>21568.379999999997</v>
      </c>
      <c r="I15" s="5117">
        <f>SUM(I6:I14)</f>
        <v>30479.739999999998</v>
      </c>
      <c r="J15" s="6281">
        <f>SUM(J6:J14)</f>
        <v>128340.45999999999</v>
      </c>
    </row>
    <row r="16" spans="5:17" ht="19" thickBot="1" x14ac:dyDescent="0.25">
      <c r="E16" s="8912" t="s">
        <v>1588</v>
      </c>
      <c r="F16" s="8913"/>
      <c r="G16" s="8913"/>
      <c r="H16" s="8913"/>
      <c r="I16" s="8913"/>
      <c r="J16" s="8914"/>
    </row>
    <row r="17" spans="5:10" ht="16" x14ac:dyDescent="0.2">
      <c r="E17" s="5076" t="s">
        <v>1594</v>
      </c>
      <c r="F17" s="4720">
        <v>1043.7</v>
      </c>
      <c r="G17" s="4720">
        <v>276.89999999999998</v>
      </c>
      <c r="H17" s="4720">
        <v>1514.43</v>
      </c>
      <c r="I17" s="4720">
        <v>760.41000000000008</v>
      </c>
      <c r="J17" s="6282">
        <f t="shared" ref="J17:J25" si="1">SUM(F17:I17)</f>
        <v>3595.4399999999996</v>
      </c>
    </row>
    <row r="18" spans="5:10" ht="16" x14ac:dyDescent="0.2">
      <c r="E18" s="5076" t="s">
        <v>1595</v>
      </c>
      <c r="F18" s="4720">
        <v>25257.54</v>
      </c>
      <c r="G18" s="4720">
        <v>24135.03</v>
      </c>
      <c r="H18" s="4720">
        <v>23532.240000000002</v>
      </c>
      <c r="I18" s="4720">
        <v>11154.810000000001</v>
      </c>
      <c r="J18" s="6282">
        <f t="shared" si="1"/>
        <v>84079.62</v>
      </c>
    </row>
    <row r="19" spans="5:10" ht="16" x14ac:dyDescent="0.2">
      <c r="E19" s="5076" t="s">
        <v>1716</v>
      </c>
      <c r="F19" s="4720">
        <v>443.04</v>
      </c>
      <c r="G19" s="4720">
        <v>2954.31</v>
      </c>
      <c r="H19" s="4720">
        <v>619.83000000000004</v>
      </c>
      <c r="I19" s="4720">
        <v>0</v>
      </c>
      <c r="J19" s="6282">
        <f t="shared" si="1"/>
        <v>4017.18</v>
      </c>
    </row>
    <row r="20" spans="5:10" ht="16" x14ac:dyDescent="0.2">
      <c r="E20" s="5076" t="s">
        <v>1598</v>
      </c>
      <c r="F20" s="4720">
        <v>426</v>
      </c>
      <c r="G20" s="4720">
        <v>189.57</v>
      </c>
      <c r="H20" s="4720">
        <v>470.73</v>
      </c>
      <c r="I20" s="4720">
        <v>240.69</v>
      </c>
      <c r="J20" s="6282">
        <f t="shared" si="1"/>
        <v>1326.99</v>
      </c>
    </row>
    <row r="21" spans="5:10" ht="16" x14ac:dyDescent="0.2">
      <c r="E21" s="5076" t="s">
        <v>1734</v>
      </c>
      <c r="F21" s="4720">
        <v>27042.48</v>
      </c>
      <c r="G21" s="4720">
        <v>14754.51</v>
      </c>
      <c r="H21" s="4720">
        <v>25349.13</v>
      </c>
      <c r="I21" s="4720">
        <v>24401.280000000006</v>
      </c>
      <c r="J21" s="6282">
        <f t="shared" si="1"/>
        <v>91547.4</v>
      </c>
    </row>
    <row r="22" spans="5:10" ht="16" x14ac:dyDescent="0.2">
      <c r="E22" s="5076" t="s">
        <v>2148</v>
      </c>
      <c r="F22" s="4720"/>
      <c r="G22" s="4720"/>
      <c r="H22" s="4720"/>
      <c r="I22" s="4720">
        <v>585.75</v>
      </c>
      <c r="J22" s="6282">
        <f t="shared" si="1"/>
        <v>585.75</v>
      </c>
    </row>
    <row r="23" spans="5:10" ht="16" x14ac:dyDescent="0.2">
      <c r="E23" s="5076" t="s">
        <v>1977</v>
      </c>
      <c r="F23" s="4720">
        <v>0</v>
      </c>
      <c r="G23" s="4720">
        <v>0</v>
      </c>
      <c r="H23" s="4720">
        <v>0</v>
      </c>
      <c r="I23" s="4720">
        <v>0</v>
      </c>
      <c r="J23" s="6282">
        <f t="shared" si="1"/>
        <v>0</v>
      </c>
    </row>
    <row r="24" spans="5:10" ht="16" x14ac:dyDescent="0.2">
      <c r="E24" s="5076" t="s">
        <v>1856</v>
      </c>
      <c r="F24" s="4720">
        <v>0</v>
      </c>
      <c r="G24" s="4720">
        <v>0</v>
      </c>
      <c r="H24" s="4720">
        <v>0</v>
      </c>
      <c r="I24" s="4720">
        <v>0</v>
      </c>
      <c r="J24" s="6282">
        <f t="shared" si="1"/>
        <v>0</v>
      </c>
    </row>
    <row r="25" spans="5:10" ht="17" thickBot="1" x14ac:dyDescent="0.25">
      <c r="E25" s="5076" t="s">
        <v>1855</v>
      </c>
      <c r="F25" s="4720">
        <v>0</v>
      </c>
      <c r="G25" s="4720">
        <v>0</v>
      </c>
      <c r="H25" s="4720">
        <v>0</v>
      </c>
      <c r="I25" s="4720">
        <v>0</v>
      </c>
      <c r="J25" s="6282">
        <f t="shared" si="1"/>
        <v>0</v>
      </c>
    </row>
    <row r="26" spans="5:10" ht="17" thickBot="1" x14ac:dyDescent="0.25">
      <c r="E26" s="6283" t="s">
        <v>15</v>
      </c>
      <c r="F26" s="4724">
        <f>SUM(F17:F25)</f>
        <v>54212.76</v>
      </c>
      <c r="G26" s="4724">
        <f>SUM(G17:G25)</f>
        <v>42310.32</v>
      </c>
      <c r="H26" s="4724">
        <f>SUM(H17:H25)</f>
        <v>51486.36</v>
      </c>
      <c r="I26" s="4724">
        <f>SUM(I17:I25)</f>
        <v>37142.94000000001</v>
      </c>
      <c r="J26" s="6284">
        <f>SUM(J17:J25)</f>
        <v>185152.38</v>
      </c>
    </row>
    <row r="27" spans="5:10" ht="15.75" customHeight="1" x14ac:dyDescent="0.2">
      <c r="E27" s="8915" t="s">
        <v>2162</v>
      </c>
      <c r="F27" s="8916"/>
      <c r="G27" s="8916"/>
      <c r="H27" s="8916"/>
      <c r="I27" s="8916"/>
      <c r="J27" s="8917"/>
    </row>
    <row r="28" spans="5:10" ht="14" thickBot="1" x14ac:dyDescent="0.25">
      <c r="E28" s="8918"/>
      <c r="F28" s="8919"/>
      <c r="G28" s="8919"/>
      <c r="H28" s="8919"/>
      <c r="I28" s="8919"/>
      <c r="J28" s="8920"/>
    </row>
    <row r="29" spans="5:10" ht="16" x14ac:dyDescent="0.2">
      <c r="E29" s="5076" t="s">
        <v>1594</v>
      </c>
      <c r="F29" s="5100">
        <f t="shared" ref="F29:I37" si="2">+F6+F17</f>
        <v>1344.03</v>
      </c>
      <c r="G29" s="5100">
        <f t="shared" si="2"/>
        <v>423.87</v>
      </c>
      <c r="H29" s="5100">
        <f t="shared" si="2"/>
        <v>1514.43</v>
      </c>
      <c r="I29" s="5100">
        <f t="shared" si="2"/>
        <v>915.90000000000009</v>
      </c>
      <c r="J29" s="6282">
        <f t="shared" ref="J29:J37" si="3">SUM(F29:I29)</f>
        <v>4198.2299999999996</v>
      </c>
    </row>
    <row r="30" spans="5:10" ht="16" x14ac:dyDescent="0.2">
      <c r="E30" s="5076" t="s">
        <v>1595</v>
      </c>
      <c r="F30" s="5100">
        <f t="shared" si="2"/>
        <v>51279.75</v>
      </c>
      <c r="G30" s="5100">
        <f t="shared" si="2"/>
        <v>25939.14</v>
      </c>
      <c r="H30" s="5100">
        <f t="shared" si="2"/>
        <v>28375.86</v>
      </c>
      <c r="I30" s="5100">
        <f t="shared" si="2"/>
        <v>11299.650000000001</v>
      </c>
      <c r="J30" s="6282">
        <f t="shared" si="3"/>
        <v>116894.39999999999</v>
      </c>
    </row>
    <row r="31" spans="5:10" ht="16" x14ac:dyDescent="0.2">
      <c r="E31" s="5076" t="s">
        <v>1716</v>
      </c>
      <c r="F31" s="5100">
        <f t="shared" si="2"/>
        <v>1889.31</v>
      </c>
      <c r="G31" s="5100">
        <f t="shared" si="2"/>
        <v>2954.31</v>
      </c>
      <c r="H31" s="5100">
        <f t="shared" si="2"/>
        <v>619.83000000000004</v>
      </c>
      <c r="I31" s="5100">
        <f t="shared" si="2"/>
        <v>0</v>
      </c>
      <c r="J31" s="6282">
        <f t="shared" si="3"/>
        <v>5463.45</v>
      </c>
    </row>
    <row r="32" spans="5:10" ht="16" x14ac:dyDescent="0.2">
      <c r="E32" s="5076" t="s">
        <v>1598</v>
      </c>
      <c r="F32" s="5100">
        <f t="shared" si="2"/>
        <v>709.29</v>
      </c>
      <c r="G32" s="5100">
        <f t="shared" si="2"/>
        <v>189.57</v>
      </c>
      <c r="H32" s="5100">
        <f t="shared" si="2"/>
        <v>555.93000000000006</v>
      </c>
      <c r="I32" s="5100">
        <f t="shared" si="2"/>
        <v>616.63</v>
      </c>
      <c r="J32" s="6282">
        <f t="shared" si="3"/>
        <v>2071.42</v>
      </c>
    </row>
    <row r="33" spans="5:10" ht="16" x14ac:dyDescent="0.2">
      <c r="E33" s="5076" t="s">
        <v>1734</v>
      </c>
      <c r="F33" s="5100">
        <f t="shared" si="2"/>
        <v>37027.919999999998</v>
      </c>
      <c r="G33" s="5100">
        <f t="shared" si="2"/>
        <v>42623.43</v>
      </c>
      <c r="H33" s="5100">
        <f t="shared" si="2"/>
        <v>38993.910000000003</v>
      </c>
      <c r="I33" s="5100">
        <f t="shared" si="2"/>
        <v>49579.48</v>
      </c>
      <c r="J33" s="6282">
        <f t="shared" si="3"/>
        <v>168224.74000000002</v>
      </c>
    </row>
    <row r="34" spans="5:10" ht="16" x14ac:dyDescent="0.2">
      <c r="E34" s="5076" t="s">
        <v>2148</v>
      </c>
      <c r="F34" s="5100">
        <f t="shared" si="2"/>
        <v>0</v>
      </c>
      <c r="G34" s="5100">
        <f t="shared" si="2"/>
        <v>0</v>
      </c>
      <c r="H34" s="5100">
        <f t="shared" si="2"/>
        <v>0</v>
      </c>
      <c r="I34" s="5100">
        <f t="shared" si="2"/>
        <v>585.75</v>
      </c>
      <c r="J34" s="6282">
        <f t="shared" si="3"/>
        <v>585.75</v>
      </c>
    </row>
    <row r="35" spans="5:10" ht="16" x14ac:dyDescent="0.2">
      <c r="E35" s="5076" t="s">
        <v>1977</v>
      </c>
      <c r="F35" s="5100">
        <f t="shared" si="2"/>
        <v>0</v>
      </c>
      <c r="G35" s="5100">
        <f t="shared" si="2"/>
        <v>8434.7999999999993</v>
      </c>
      <c r="H35" s="5100">
        <f t="shared" si="2"/>
        <v>0</v>
      </c>
      <c r="I35" s="5100">
        <f t="shared" si="2"/>
        <v>0</v>
      </c>
      <c r="J35" s="6282">
        <f t="shared" si="3"/>
        <v>8434.7999999999993</v>
      </c>
    </row>
    <row r="36" spans="5:10" ht="16" x14ac:dyDescent="0.2">
      <c r="E36" s="5076" t="s">
        <v>1856</v>
      </c>
      <c r="F36" s="5100">
        <f t="shared" si="2"/>
        <v>0</v>
      </c>
      <c r="G36" s="5100">
        <f t="shared" si="2"/>
        <v>0</v>
      </c>
      <c r="H36" s="5100">
        <f t="shared" si="2"/>
        <v>2994.78</v>
      </c>
      <c r="I36" s="5100">
        <f t="shared" si="2"/>
        <v>2774.3000000000006</v>
      </c>
      <c r="J36" s="6282">
        <f t="shared" si="3"/>
        <v>5769.0800000000008</v>
      </c>
    </row>
    <row r="37" spans="5:10" ht="17" thickBot="1" x14ac:dyDescent="0.25">
      <c r="E37" s="5076" t="s">
        <v>1855</v>
      </c>
      <c r="F37" s="5100">
        <f t="shared" si="2"/>
        <v>0</v>
      </c>
      <c r="G37" s="5100">
        <f t="shared" si="2"/>
        <v>0</v>
      </c>
      <c r="H37" s="5100">
        <f t="shared" si="2"/>
        <v>0</v>
      </c>
      <c r="I37" s="5100">
        <f t="shared" si="2"/>
        <v>1850.9700000000003</v>
      </c>
      <c r="J37" s="6282">
        <f t="shared" si="3"/>
        <v>1850.9700000000003</v>
      </c>
    </row>
    <row r="38" spans="5:10" ht="17" thickBot="1" x14ac:dyDescent="0.25">
      <c r="E38" s="6285" t="s">
        <v>15</v>
      </c>
      <c r="F38" s="5105">
        <f>SUM(F29:F37)</f>
        <v>92250.299999999988</v>
      </c>
      <c r="G38" s="5105">
        <f>SUM(G29:G37)</f>
        <v>80565.12000000001</v>
      </c>
      <c r="H38" s="5105">
        <f>SUM(H29:H37)</f>
        <v>73054.740000000005</v>
      </c>
      <c r="I38" s="5105">
        <f>SUM(I29:I37)</f>
        <v>67622.680000000008</v>
      </c>
      <c r="J38" s="5105">
        <f>SUM(J29:J37)</f>
        <v>313492.83999999997</v>
      </c>
    </row>
    <row r="40" spans="5:10" ht="16" x14ac:dyDescent="0.2">
      <c r="F40" s="6286">
        <v>73040</v>
      </c>
      <c r="G40" s="6286">
        <v>29860</v>
      </c>
      <c r="H40" s="6286">
        <v>28297</v>
      </c>
      <c r="I40" s="6287">
        <v>63899.25</v>
      </c>
      <c r="J40" s="4720">
        <f>SUM(F40:I40)</f>
        <v>195096.25</v>
      </c>
    </row>
    <row r="42" spans="5:10" x14ac:dyDescent="0.2">
      <c r="F42" s="6288">
        <f>+F38-F30</f>
        <v>40970.549999999988</v>
      </c>
      <c r="G42" s="6288">
        <f t="shared" ref="G42:I42" si="4">+G38-G30</f>
        <v>54625.98000000001</v>
      </c>
      <c r="H42" s="6288">
        <f t="shared" si="4"/>
        <v>44678.880000000005</v>
      </c>
      <c r="I42" s="6288">
        <f t="shared" si="4"/>
        <v>56323.030000000006</v>
      </c>
      <c r="J42" s="4726">
        <f>SUM(F42:I42)</f>
        <v>196598.44</v>
      </c>
    </row>
    <row r="43" spans="5:10" x14ac:dyDescent="0.2">
      <c r="F43" s="6288">
        <f>+F40-F42</f>
        <v>32069.450000000012</v>
      </c>
      <c r="G43" s="6288">
        <f t="shared" ref="G43:I43" si="5">+G40-G42</f>
        <v>-24765.98000000001</v>
      </c>
      <c r="H43" s="6288">
        <f t="shared" si="5"/>
        <v>-16381.880000000005</v>
      </c>
      <c r="I43" s="6288">
        <f t="shared" si="5"/>
        <v>7576.2199999999939</v>
      </c>
      <c r="J43" s="4726">
        <f>SUM(F43:I43)</f>
        <v>-1502.1900000000096</v>
      </c>
    </row>
    <row r="46" spans="5:10" ht="16" x14ac:dyDescent="0.2">
      <c r="E46" s="5076" t="s">
        <v>2163</v>
      </c>
      <c r="F46" s="5100">
        <f>+F30-F43</f>
        <v>19210.299999999988</v>
      </c>
      <c r="G46" s="5100">
        <f t="shared" ref="G46:I46" si="6">+G30-G43</f>
        <v>50705.12000000001</v>
      </c>
      <c r="H46" s="5100">
        <f t="shared" si="6"/>
        <v>44757.740000000005</v>
      </c>
      <c r="I46" s="5100">
        <f t="shared" si="6"/>
        <v>3723.4300000000076</v>
      </c>
      <c r="J46" s="6282">
        <f>SUM(F46:I46)</f>
        <v>118396.59000000001</v>
      </c>
    </row>
  </sheetData>
  <mergeCells count="4">
    <mergeCell ref="E2:J2"/>
    <mergeCell ref="F4:J4"/>
    <mergeCell ref="E16:J16"/>
    <mergeCell ref="E27:J2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</sheetPr>
  <dimension ref="A2:AD41"/>
  <sheetViews>
    <sheetView topLeftCell="A13" workbookViewId="0">
      <pane xSplit="1" topLeftCell="M1" activePane="topRight" state="frozen"/>
      <selection pane="topRight" activeCell="AD40" sqref="AD40"/>
    </sheetView>
  </sheetViews>
  <sheetFormatPr baseColWidth="10" defaultColWidth="9.1640625" defaultRowHeight="13" x14ac:dyDescent="0.2"/>
  <cols>
    <col min="1" max="1" width="55.83203125" style="4713" customWidth="1"/>
    <col min="2" max="2" width="12.33203125" style="4714" customWidth="1"/>
    <col min="3" max="4" width="15.1640625" style="4714" customWidth="1"/>
    <col min="5" max="5" width="13.33203125" style="4714" customWidth="1"/>
    <col min="6" max="6" width="19" style="4714" customWidth="1"/>
    <col min="7" max="7" width="11.5" style="4714" customWidth="1"/>
    <col min="8" max="8" width="16.83203125" style="4714" customWidth="1"/>
    <col min="9" max="9" width="18.1640625" style="4714" customWidth="1"/>
    <col min="10" max="10" width="17" style="4714" customWidth="1"/>
    <col min="11" max="11" width="19.5" style="4714" customWidth="1"/>
    <col min="12" max="12" width="19.1640625" style="4714" customWidth="1"/>
    <col min="13" max="13" width="16.6640625" style="4714" customWidth="1"/>
    <col min="14" max="14" width="12.5" style="4714" customWidth="1"/>
    <col min="15" max="15" width="12.6640625" style="4714" customWidth="1"/>
    <col min="16" max="16" width="9.1640625" style="4714" customWidth="1"/>
    <col min="17" max="17" width="10.6640625" style="4714" customWidth="1"/>
    <col min="18" max="19" width="9.1640625" style="4714" customWidth="1"/>
    <col min="20" max="20" width="10.6640625" style="4714" customWidth="1"/>
    <col min="21" max="21" width="9.1640625" style="4714" customWidth="1"/>
    <col min="22" max="22" width="10.6640625" style="4714" customWidth="1"/>
    <col min="23" max="23" width="9.1640625" style="4714" customWidth="1"/>
    <col min="24" max="26" width="10.6640625" style="4714" customWidth="1"/>
    <col min="27" max="27" width="13.5" style="4714" customWidth="1"/>
    <col min="28" max="28" width="10.6640625" style="4714" customWidth="1"/>
    <col min="29" max="16384" width="9.1640625" style="4714"/>
  </cols>
  <sheetData>
    <row r="2" spans="1:28" ht="20" x14ac:dyDescent="0.2">
      <c r="A2" s="8923" t="s">
        <v>1860</v>
      </c>
      <c r="B2" s="8923"/>
      <c r="C2" s="8923"/>
      <c r="D2" s="8923"/>
      <c r="E2" s="8923"/>
      <c r="F2" s="8923"/>
      <c r="G2" s="8923"/>
      <c r="H2" s="8923"/>
      <c r="I2" s="8923"/>
      <c r="J2" s="8923"/>
      <c r="K2" s="8923"/>
      <c r="L2" s="8923"/>
      <c r="M2" s="8923"/>
      <c r="N2" s="8923"/>
      <c r="O2" s="8923"/>
      <c r="P2" s="8923"/>
      <c r="Q2" s="8923"/>
      <c r="R2" s="8923"/>
      <c r="S2" s="8923"/>
      <c r="T2" s="8923"/>
    </row>
    <row r="3" spans="1:28" ht="14" thickBot="1" x14ac:dyDescent="0.25"/>
    <row r="4" spans="1:28" ht="16" x14ac:dyDescent="0.2">
      <c r="A4" s="8921"/>
      <c r="B4" s="8924" t="s">
        <v>1589</v>
      </c>
      <c r="C4" s="8925"/>
      <c r="D4" s="8925"/>
      <c r="E4" s="8925"/>
      <c r="F4" s="8925"/>
      <c r="G4" s="8925"/>
      <c r="H4" s="8925"/>
      <c r="I4" s="8925"/>
      <c r="J4" s="8925"/>
      <c r="K4" s="8925"/>
      <c r="L4" s="8925"/>
      <c r="M4" s="8925"/>
      <c r="N4" s="8925"/>
      <c r="O4" s="8925"/>
      <c r="P4" s="8925"/>
      <c r="Q4" s="8925"/>
      <c r="R4" s="8925"/>
      <c r="S4" s="8925"/>
      <c r="T4" s="8925"/>
      <c r="U4" s="8925"/>
      <c r="V4" s="8925"/>
      <c r="W4" s="8925"/>
      <c r="X4" s="8925"/>
      <c r="Y4" s="8925"/>
      <c r="Z4" s="8925"/>
      <c r="AA4" s="8925"/>
      <c r="AB4" s="8925"/>
    </row>
    <row r="5" spans="1:28" ht="17" thickBot="1" x14ac:dyDescent="0.25">
      <c r="A5" s="8922"/>
      <c r="B5" s="5104" t="s">
        <v>1861</v>
      </c>
      <c r="C5" s="5104" t="s">
        <v>1975</v>
      </c>
      <c r="D5" s="5104" t="s">
        <v>1698</v>
      </c>
      <c r="E5" s="5104" t="s">
        <v>2118</v>
      </c>
      <c r="F5" s="5104" t="s">
        <v>1591</v>
      </c>
      <c r="G5" s="5104" t="s">
        <v>2119</v>
      </c>
      <c r="H5" s="5104" t="s">
        <v>1631</v>
      </c>
      <c r="I5" s="5104" t="s">
        <v>2205</v>
      </c>
      <c r="J5" s="5104" t="s">
        <v>64</v>
      </c>
      <c r="K5" s="5104" t="s">
        <v>2259</v>
      </c>
      <c r="L5" s="5104" t="s">
        <v>1696</v>
      </c>
      <c r="M5" s="5104" t="s">
        <v>1697</v>
      </c>
      <c r="N5" s="5104" t="s">
        <v>2266</v>
      </c>
      <c r="O5" s="5104" t="s">
        <v>101</v>
      </c>
      <c r="P5" s="5104" t="s">
        <v>2428</v>
      </c>
      <c r="Q5" s="5104" t="s">
        <v>105</v>
      </c>
      <c r="R5" s="5104" t="s">
        <v>2429</v>
      </c>
      <c r="S5" s="5104" t="s">
        <v>1751</v>
      </c>
      <c r="T5" s="5104" t="s">
        <v>108</v>
      </c>
      <c r="U5" s="5104" t="s">
        <v>2530</v>
      </c>
      <c r="V5" s="5104" t="s">
        <v>110</v>
      </c>
      <c r="W5" s="5104" t="s">
        <v>2531</v>
      </c>
      <c r="X5" s="5104" t="s">
        <v>1791</v>
      </c>
      <c r="Y5" s="5104" t="s">
        <v>2532</v>
      </c>
      <c r="Z5" s="5104" t="s">
        <v>1841</v>
      </c>
      <c r="AA5" s="5104" t="s">
        <v>1842</v>
      </c>
      <c r="AB5" s="5104" t="s">
        <v>1843</v>
      </c>
    </row>
    <row r="6" spans="1:28" ht="20" x14ac:dyDescent="0.2">
      <c r="A6" s="4797" t="s">
        <v>1614</v>
      </c>
      <c r="B6" s="5034"/>
      <c r="C6" s="5035"/>
      <c r="D6" s="5035"/>
      <c r="E6" s="5035"/>
      <c r="F6" s="5036"/>
      <c r="G6" s="5035"/>
      <c r="H6" s="5035"/>
      <c r="K6" s="5035"/>
      <c r="N6" s="5035"/>
      <c r="P6" s="5035"/>
      <c r="R6" s="5035"/>
      <c r="U6" s="5035"/>
      <c r="W6" s="5035"/>
      <c r="Y6" s="5035"/>
    </row>
    <row r="7" spans="1:28" ht="16" x14ac:dyDescent="0.2">
      <c r="A7" s="4718" t="s">
        <v>1595</v>
      </c>
      <c r="B7" s="4722">
        <v>159</v>
      </c>
      <c r="C7" s="4722">
        <v>5361.02</v>
      </c>
      <c r="D7" s="4795">
        <f>+B7+C7</f>
        <v>5520.02</v>
      </c>
      <c r="E7" s="4722">
        <v>9365.0959999999995</v>
      </c>
      <c r="F7" s="4721">
        <f>+B7+C7+E7</f>
        <v>14885.116</v>
      </c>
      <c r="G7" s="4722">
        <v>1333.9559999999999</v>
      </c>
      <c r="H7" s="4795">
        <f>+F7+G7</f>
        <v>16219.072</v>
      </c>
      <c r="I7" s="4720">
        <v>7538.3</v>
      </c>
      <c r="J7" s="4795">
        <f>+H7+I7</f>
        <v>23757.371999999999</v>
      </c>
      <c r="K7" s="4720">
        <v>923</v>
      </c>
      <c r="L7" s="4721">
        <f>+G7+I7+K7</f>
        <v>9795.2559999999994</v>
      </c>
      <c r="M7" s="4795">
        <f>+F7+L7</f>
        <v>24680.371999999999</v>
      </c>
      <c r="N7" s="4722">
        <v>858</v>
      </c>
      <c r="O7" s="4795">
        <f>SUM(M7:N7)</f>
        <v>25538.371999999999</v>
      </c>
      <c r="P7" s="4722">
        <v>373</v>
      </c>
      <c r="Q7" s="4795">
        <f>SUM(O7:P7)</f>
        <v>25911.371999999999</v>
      </c>
      <c r="R7" s="4722">
        <v>1346</v>
      </c>
      <c r="S7" s="4721">
        <f>+N7+P7+R7</f>
        <v>2577</v>
      </c>
      <c r="T7" s="4795">
        <f>+Q7+R7</f>
        <v>27257.371999999999</v>
      </c>
      <c r="U7" s="4720">
        <v>4229</v>
      </c>
      <c r="V7" s="4795">
        <f>+T7+U7</f>
        <v>31486.371999999999</v>
      </c>
      <c r="W7" s="4720">
        <v>3704</v>
      </c>
      <c r="X7" s="4795">
        <f>+V7+W7</f>
        <v>35190.372000000003</v>
      </c>
      <c r="Y7" s="4720">
        <v>5561.2439999999997</v>
      </c>
      <c r="Z7" s="4721">
        <f>+U7+W7+Y7</f>
        <v>13494.243999999999</v>
      </c>
      <c r="AA7" s="4795">
        <f>+Z7+S7</f>
        <v>16071.243999999999</v>
      </c>
      <c r="AB7" s="4795">
        <f>+X7+Y7</f>
        <v>40751.616000000002</v>
      </c>
    </row>
    <row r="8" spans="1:28" ht="16" x14ac:dyDescent="0.2">
      <c r="A8" s="4718" t="s">
        <v>1691</v>
      </c>
      <c r="B8" s="4722">
        <v>0</v>
      </c>
      <c r="C8" s="4722">
        <v>0</v>
      </c>
      <c r="D8" s="4795">
        <f t="shared" ref="D8:D20" si="0">+B8+C8</f>
        <v>0</v>
      </c>
      <c r="E8" s="4722">
        <v>286.416</v>
      </c>
      <c r="F8" s="4721">
        <f t="shared" ref="F8:F20" si="1">+B8+C8+E8</f>
        <v>286.416</v>
      </c>
      <c r="G8" s="4722">
        <v>0</v>
      </c>
      <c r="H8" s="4795">
        <f t="shared" ref="H8:H20" si="2">+F8+G8</f>
        <v>286.416</v>
      </c>
      <c r="I8" s="4720">
        <v>129.4</v>
      </c>
      <c r="J8" s="4795">
        <f t="shared" ref="J8:J20" si="3">+H8+I8</f>
        <v>415.81600000000003</v>
      </c>
      <c r="K8" s="4720">
        <v>0</v>
      </c>
      <c r="L8" s="4721">
        <f t="shared" ref="L8:L20" si="4">+G8+I8+K8</f>
        <v>129.4</v>
      </c>
      <c r="M8" s="4795">
        <f t="shared" ref="M8:M20" si="5">+F8+L8</f>
        <v>415.81600000000003</v>
      </c>
      <c r="N8" s="4722">
        <v>224</v>
      </c>
      <c r="O8" s="4795">
        <f t="shared" ref="O8:O20" si="6">SUM(M8:N8)</f>
        <v>639.81600000000003</v>
      </c>
      <c r="P8" s="4722"/>
      <c r="Q8" s="4795">
        <f t="shared" ref="Q8:Q20" si="7">SUM(O8:P8)</f>
        <v>639.81600000000003</v>
      </c>
      <c r="R8" s="4720">
        <v>141</v>
      </c>
      <c r="S8" s="4721">
        <f t="shared" ref="S8:S20" si="8">+N8+P8+R8</f>
        <v>365</v>
      </c>
      <c r="T8" s="4795">
        <f t="shared" ref="T8:T20" si="9">+Q8+R8</f>
        <v>780.81600000000003</v>
      </c>
      <c r="U8" s="4720">
        <v>442</v>
      </c>
      <c r="V8" s="4795">
        <f t="shared" ref="V8:V20" si="10">+T8+U8</f>
        <v>1222.816</v>
      </c>
      <c r="W8" s="4720">
        <f>259+67</f>
        <v>326</v>
      </c>
      <c r="X8" s="4795">
        <f t="shared" ref="X8:X20" si="11">+V8+W8</f>
        <v>1548.816</v>
      </c>
      <c r="Y8" s="4720">
        <v>402.30399999999997</v>
      </c>
      <c r="Z8" s="4721">
        <f t="shared" ref="Z8:Z20" si="12">+U8+W8+Y8</f>
        <v>1170.3040000000001</v>
      </c>
      <c r="AA8" s="4795">
        <f t="shared" ref="AA8:AA20" si="13">+Z8+S8</f>
        <v>1535.3040000000001</v>
      </c>
      <c r="AB8" s="4795">
        <f t="shared" ref="AB8:AB20" si="14">+X8+Y8</f>
        <v>1951.12</v>
      </c>
    </row>
    <row r="9" spans="1:28" ht="16" x14ac:dyDescent="0.2">
      <c r="A9" s="4718" t="s">
        <v>2586</v>
      </c>
      <c r="B9" s="4722"/>
      <c r="C9" s="4722"/>
      <c r="D9" s="4795"/>
      <c r="E9" s="4722"/>
      <c r="F9" s="4721"/>
      <c r="G9" s="4722"/>
      <c r="H9" s="4795"/>
      <c r="I9" s="4720"/>
      <c r="J9" s="4795"/>
      <c r="K9" s="4720"/>
      <c r="L9" s="4721"/>
      <c r="M9" s="4795"/>
      <c r="N9" s="4722"/>
      <c r="O9" s="4795"/>
      <c r="P9" s="4722"/>
      <c r="Q9" s="4795"/>
      <c r="R9" s="4720"/>
      <c r="S9" s="4721"/>
      <c r="T9" s="4795"/>
      <c r="U9" s="4720"/>
      <c r="V9" s="4795"/>
      <c r="W9" s="4720">
        <v>7833</v>
      </c>
      <c r="X9" s="4795">
        <f t="shared" si="11"/>
        <v>7833</v>
      </c>
      <c r="Y9" s="4720">
        <v>25971.02</v>
      </c>
      <c r="Z9" s="4721">
        <f t="shared" si="12"/>
        <v>33804.020000000004</v>
      </c>
      <c r="AA9" s="4795">
        <f t="shared" si="13"/>
        <v>33804.020000000004</v>
      </c>
      <c r="AB9" s="4795">
        <f t="shared" si="14"/>
        <v>33804.020000000004</v>
      </c>
    </row>
    <row r="10" spans="1:28" ht="16" x14ac:dyDescent="0.2">
      <c r="A10" s="4718" t="s">
        <v>1594</v>
      </c>
      <c r="B10" s="4722"/>
      <c r="C10" s="4722"/>
      <c r="D10" s="4795"/>
      <c r="E10" s="4722"/>
      <c r="F10" s="4721"/>
      <c r="G10" s="4722"/>
      <c r="H10" s="4795"/>
      <c r="I10" s="4720"/>
      <c r="J10" s="4795"/>
      <c r="K10" s="4720"/>
      <c r="L10" s="4721"/>
      <c r="M10" s="4795"/>
      <c r="N10" s="4722"/>
      <c r="O10" s="4795"/>
      <c r="P10" s="4722"/>
      <c r="Q10" s="4795"/>
      <c r="R10" s="4720"/>
      <c r="S10" s="4721"/>
      <c r="T10" s="4795"/>
      <c r="U10" s="4720">
        <v>388</v>
      </c>
      <c r="V10" s="4795">
        <f t="shared" si="10"/>
        <v>388</v>
      </c>
      <c r="W10" s="4720"/>
      <c r="X10" s="4795"/>
      <c r="Y10" s="4720"/>
      <c r="Z10" s="4721">
        <f t="shared" si="12"/>
        <v>388</v>
      </c>
      <c r="AA10" s="4795">
        <f t="shared" si="13"/>
        <v>388</v>
      </c>
      <c r="AB10" s="4795">
        <f t="shared" si="14"/>
        <v>0</v>
      </c>
    </row>
    <row r="11" spans="1:28" ht="16" x14ac:dyDescent="0.2">
      <c r="A11" s="4718" t="s">
        <v>2277</v>
      </c>
      <c r="B11" s="4722"/>
      <c r="C11" s="4722"/>
      <c r="D11" s="4795"/>
      <c r="E11" s="4722"/>
      <c r="F11" s="4721"/>
      <c r="G11" s="4722"/>
      <c r="H11" s="4795"/>
      <c r="I11" s="4720"/>
      <c r="J11" s="4795"/>
      <c r="K11" s="4720"/>
      <c r="L11" s="4721"/>
      <c r="M11" s="4795"/>
      <c r="N11" s="4722"/>
      <c r="O11" s="4795"/>
      <c r="P11" s="4722"/>
      <c r="Q11" s="4795"/>
      <c r="R11" s="4720"/>
      <c r="S11" s="4721"/>
      <c r="T11" s="4795"/>
      <c r="U11" s="4720">
        <v>2093</v>
      </c>
      <c r="V11" s="4795">
        <f t="shared" si="10"/>
        <v>2093</v>
      </c>
      <c r="W11" s="4720"/>
      <c r="X11" s="4795"/>
      <c r="Y11" s="4720"/>
      <c r="Z11" s="4721">
        <f t="shared" si="12"/>
        <v>2093</v>
      </c>
      <c r="AA11" s="4795">
        <f t="shared" si="13"/>
        <v>2093</v>
      </c>
      <c r="AB11" s="4795">
        <f t="shared" si="14"/>
        <v>0</v>
      </c>
    </row>
    <row r="12" spans="1:28" ht="16" x14ac:dyDescent="0.2">
      <c r="A12" s="4718" t="s">
        <v>1856</v>
      </c>
      <c r="B12" s="4722">
        <v>0</v>
      </c>
      <c r="C12" s="4720">
        <v>5107.75</v>
      </c>
      <c r="D12" s="4795">
        <f t="shared" si="0"/>
        <v>5107.75</v>
      </c>
      <c r="E12" s="4720">
        <v>5489.64</v>
      </c>
      <c r="F12" s="4721">
        <f t="shared" si="1"/>
        <v>10597.39</v>
      </c>
      <c r="G12" s="4720">
        <v>4256.46</v>
      </c>
      <c r="H12" s="4795">
        <f t="shared" si="2"/>
        <v>14853.849999999999</v>
      </c>
      <c r="I12" s="4720">
        <v>3417.1</v>
      </c>
      <c r="J12" s="4795">
        <f t="shared" si="3"/>
        <v>18270.949999999997</v>
      </c>
      <c r="K12" s="4720">
        <v>143</v>
      </c>
      <c r="L12" s="4721">
        <f t="shared" si="4"/>
        <v>7816.5599999999995</v>
      </c>
      <c r="M12" s="4795">
        <f t="shared" si="5"/>
        <v>18413.949999999997</v>
      </c>
      <c r="N12" s="4722">
        <v>0</v>
      </c>
      <c r="O12" s="4795">
        <f t="shared" si="6"/>
        <v>18413.949999999997</v>
      </c>
      <c r="P12" s="4720"/>
      <c r="Q12" s="4795">
        <f t="shared" si="7"/>
        <v>18413.949999999997</v>
      </c>
      <c r="R12" s="4720">
        <v>4149</v>
      </c>
      <c r="S12" s="4721">
        <f t="shared" si="8"/>
        <v>4149</v>
      </c>
      <c r="T12" s="4795">
        <f t="shared" si="9"/>
        <v>22562.949999999997</v>
      </c>
      <c r="U12" s="4720">
        <v>585</v>
      </c>
      <c r="V12" s="4795">
        <f t="shared" si="10"/>
        <v>23147.949999999997</v>
      </c>
      <c r="W12" s="4720">
        <v>3198</v>
      </c>
      <c r="X12" s="4795">
        <f t="shared" si="11"/>
        <v>26345.949999999997</v>
      </c>
      <c r="Y12" s="4720"/>
      <c r="Z12" s="4721">
        <f t="shared" si="12"/>
        <v>3783</v>
      </c>
      <c r="AA12" s="4795">
        <f t="shared" si="13"/>
        <v>7932</v>
      </c>
      <c r="AB12" s="4795">
        <f t="shared" si="14"/>
        <v>26345.949999999997</v>
      </c>
    </row>
    <row r="13" spans="1:28" ht="16" x14ac:dyDescent="0.2">
      <c r="A13" s="4718" t="s">
        <v>2464</v>
      </c>
      <c r="B13" s="4722"/>
      <c r="C13" s="4720"/>
      <c r="D13" s="4795"/>
      <c r="E13" s="4720"/>
      <c r="F13" s="4721"/>
      <c r="G13" s="4720"/>
      <c r="H13" s="4795"/>
      <c r="I13" s="4720"/>
      <c r="J13" s="4795"/>
      <c r="K13" s="4720"/>
      <c r="L13" s="4721"/>
      <c r="M13" s="4795"/>
      <c r="N13" s="4722"/>
      <c r="O13" s="4795"/>
      <c r="P13" s="4720"/>
      <c r="Q13" s="4795"/>
      <c r="R13" s="4722">
        <v>302</v>
      </c>
      <c r="S13" s="4721">
        <f t="shared" ref="S13" si="15">+N13+P13+R13</f>
        <v>302</v>
      </c>
      <c r="T13" s="4795">
        <f t="shared" ref="T13" si="16">+Q13+R13</f>
        <v>302</v>
      </c>
      <c r="U13" s="4720"/>
      <c r="V13" s="4795">
        <f t="shared" si="10"/>
        <v>302</v>
      </c>
      <c r="W13" s="4720"/>
      <c r="X13" s="4795"/>
      <c r="Y13" s="4720"/>
      <c r="Z13" s="4721">
        <f t="shared" si="12"/>
        <v>0</v>
      </c>
      <c r="AA13" s="4795">
        <f t="shared" si="13"/>
        <v>302</v>
      </c>
      <c r="AB13" s="4795">
        <f t="shared" si="14"/>
        <v>0</v>
      </c>
    </row>
    <row r="14" spans="1:28" ht="16" x14ac:dyDescent="0.2">
      <c r="A14" s="4718" t="s">
        <v>1855</v>
      </c>
      <c r="B14" s="4722">
        <v>0</v>
      </c>
      <c r="C14" s="4720">
        <v>1527.55</v>
      </c>
      <c r="D14" s="4795">
        <f t="shared" si="0"/>
        <v>1527.55</v>
      </c>
      <c r="E14" s="4720">
        <v>970.63199999999995</v>
      </c>
      <c r="F14" s="4721">
        <f t="shared" si="1"/>
        <v>2498.1819999999998</v>
      </c>
      <c r="G14" s="4720">
        <v>755.82</v>
      </c>
      <c r="H14" s="4795">
        <f t="shared" si="2"/>
        <v>3254.002</v>
      </c>
      <c r="I14" s="4720">
        <v>1790.1</v>
      </c>
      <c r="J14" s="4795">
        <f t="shared" si="3"/>
        <v>5044.1019999999999</v>
      </c>
      <c r="K14" s="4720">
        <v>605</v>
      </c>
      <c r="L14" s="4721">
        <f t="shared" si="4"/>
        <v>3150.92</v>
      </c>
      <c r="M14" s="4795">
        <f t="shared" si="5"/>
        <v>5649.1019999999999</v>
      </c>
      <c r="N14" s="4722">
        <v>0</v>
      </c>
      <c r="O14" s="4795">
        <f t="shared" si="6"/>
        <v>5649.1019999999999</v>
      </c>
      <c r="P14" s="4720"/>
      <c r="Q14" s="4795">
        <f t="shared" si="7"/>
        <v>5649.1019999999999</v>
      </c>
      <c r="R14" s="4722">
        <v>2486</v>
      </c>
      <c r="S14" s="4721">
        <f t="shared" si="8"/>
        <v>2486</v>
      </c>
      <c r="T14" s="4795">
        <f t="shared" si="9"/>
        <v>8135.1019999999999</v>
      </c>
      <c r="U14" s="4720"/>
      <c r="V14" s="4795">
        <f t="shared" si="10"/>
        <v>8135.1019999999999</v>
      </c>
      <c r="W14" s="4720">
        <v>919</v>
      </c>
      <c r="X14" s="4795">
        <f t="shared" si="11"/>
        <v>9054.101999999999</v>
      </c>
      <c r="Y14" s="4720">
        <v>1062.126</v>
      </c>
      <c r="Z14" s="4721">
        <f t="shared" si="12"/>
        <v>1981.126</v>
      </c>
      <c r="AA14" s="4795">
        <f t="shared" si="13"/>
        <v>4467.1260000000002</v>
      </c>
      <c r="AB14" s="4795">
        <f t="shared" si="14"/>
        <v>10116.227999999999</v>
      </c>
    </row>
    <row r="15" spans="1:28" ht="16" x14ac:dyDescent="0.2">
      <c r="A15" s="4718" t="s">
        <v>2350</v>
      </c>
      <c r="B15" s="4722">
        <v>0</v>
      </c>
      <c r="C15" s="4720">
        <v>0</v>
      </c>
      <c r="D15" s="4795">
        <f t="shared" si="0"/>
        <v>0</v>
      </c>
      <c r="E15" s="4720">
        <v>0</v>
      </c>
      <c r="F15" s="4721">
        <f t="shared" si="1"/>
        <v>0</v>
      </c>
      <c r="G15" s="4720">
        <v>0</v>
      </c>
      <c r="H15" s="4795">
        <f t="shared" si="2"/>
        <v>0</v>
      </c>
      <c r="I15" s="4720">
        <v>0</v>
      </c>
      <c r="J15" s="4795">
        <f t="shared" si="3"/>
        <v>0</v>
      </c>
      <c r="K15" s="4720">
        <v>0</v>
      </c>
      <c r="L15" s="4721">
        <f t="shared" ref="L15" si="17">+G15+I15+K15</f>
        <v>0</v>
      </c>
      <c r="M15" s="4795">
        <f t="shared" ref="M15" si="18">+F15+L15</f>
        <v>0</v>
      </c>
      <c r="N15" s="4722">
        <v>1488</v>
      </c>
      <c r="O15" s="4795">
        <f t="shared" si="6"/>
        <v>1488</v>
      </c>
      <c r="P15" s="4720"/>
      <c r="Q15" s="4795">
        <f t="shared" si="7"/>
        <v>1488</v>
      </c>
      <c r="R15" s="4722">
        <v>0</v>
      </c>
      <c r="S15" s="4721">
        <f t="shared" si="8"/>
        <v>1488</v>
      </c>
      <c r="T15" s="4795">
        <f t="shared" si="9"/>
        <v>1488</v>
      </c>
      <c r="U15" s="4720"/>
      <c r="V15" s="4795">
        <f t="shared" si="10"/>
        <v>1488</v>
      </c>
      <c r="W15" s="4720"/>
      <c r="X15" s="4795"/>
      <c r="Y15" s="4720"/>
      <c r="Z15" s="4721">
        <f t="shared" si="12"/>
        <v>0</v>
      </c>
      <c r="AA15" s="4795">
        <f t="shared" si="13"/>
        <v>1488</v>
      </c>
      <c r="AB15" s="4795">
        <f t="shared" si="14"/>
        <v>0</v>
      </c>
    </row>
    <row r="16" spans="1:28" ht="16" x14ac:dyDescent="0.2">
      <c r="A16" s="4718" t="s">
        <v>1978</v>
      </c>
      <c r="B16" s="4722">
        <v>0</v>
      </c>
      <c r="C16" s="4720">
        <v>672.28</v>
      </c>
      <c r="D16" s="4795">
        <f t="shared" si="0"/>
        <v>672.28</v>
      </c>
      <c r="E16" s="4720">
        <v>0</v>
      </c>
      <c r="F16" s="4721">
        <f t="shared" si="1"/>
        <v>672.28</v>
      </c>
      <c r="G16" s="4720">
        <v>0</v>
      </c>
      <c r="H16" s="4795">
        <f t="shared" si="2"/>
        <v>672.28</v>
      </c>
      <c r="I16" s="4720">
        <v>0</v>
      </c>
      <c r="J16" s="4795">
        <f t="shared" si="3"/>
        <v>672.28</v>
      </c>
      <c r="K16" s="4720">
        <v>0</v>
      </c>
      <c r="L16" s="4721">
        <f t="shared" si="4"/>
        <v>0</v>
      </c>
      <c r="M16" s="4795">
        <f t="shared" si="5"/>
        <v>672.28</v>
      </c>
      <c r="N16" s="4909">
        <v>0</v>
      </c>
      <c r="O16" s="4795">
        <f t="shared" si="6"/>
        <v>672.28</v>
      </c>
      <c r="P16" s="4720"/>
      <c r="Q16" s="4795">
        <f t="shared" si="7"/>
        <v>672.28</v>
      </c>
      <c r="R16" s="4722">
        <v>0</v>
      </c>
      <c r="S16" s="4721">
        <f t="shared" si="8"/>
        <v>0</v>
      </c>
      <c r="T16" s="4795">
        <f t="shared" si="9"/>
        <v>672.28</v>
      </c>
      <c r="U16" s="4720"/>
      <c r="V16" s="4795">
        <f t="shared" si="10"/>
        <v>672.28</v>
      </c>
      <c r="W16" s="4720">
        <v>314</v>
      </c>
      <c r="X16" s="4795">
        <f t="shared" si="11"/>
        <v>986.28</v>
      </c>
      <c r="Y16" s="4720"/>
      <c r="Z16" s="4721">
        <f t="shared" si="12"/>
        <v>314</v>
      </c>
      <c r="AA16" s="4795">
        <f t="shared" si="13"/>
        <v>314</v>
      </c>
      <c r="AB16" s="4795">
        <f t="shared" si="14"/>
        <v>986.28</v>
      </c>
    </row>
    <row r="17" spans="1:28" ht="16" x14ac:dyDescent="0.2">
      <c r="A17" s="4718" t="s">
        <v>1607</v>
      </c>
      <c r="B17" s="4722">
        <v>0</v>
      </c>
      <c r="C17" s="4720">
        <v>2296.37</v>
      </c>
      <c r="D17" s="4795">
        <f t="shared" si="0"/>
        <v>2296.37</v>
      </c>
      <c r="E17" s="4720">
        <v>4346.3630000000003</v>
      </c>
      <c r="F17" s="4721">
        <f t="shared" si="1"/>
        <v>6642.7330000000002</v>
      </c>
      <c r="G17" s="4720">
        <v>4214.2929999999997</v>
      </c>
      <c r="H17" s="4795">
        <f t="shared" si="2"/>
        <v>10857.026</v>
      </c>
      <c r="I17" s="4720">
        <v>5143.6000000000004</v>
      </c>
      <c r="J17" s="4795">
        <f t="shared" si="3"/>
        <v>16000.626</v>
      </c>
      <c r="K17" s="4720">
        <v>1059</v>
      </c>
      <c r="L17" s="4721">
        <f t="shared" si="4"/>
        <v>10416.893</v>
      </c>
      <c r="M17" s="4795">
        <f t="shared" si="5"/>
        <v>17059.626</v>
      </c>
      <c r="N17" s="4722">
        <v>2633</v>
      </c>
      <c r="O17" s="4795">
        <f t="shared" si="6"/>
        <v>19692.626</v>
      </c>
      <c r="P17" s="4720">
        <v>3679</v>
      </c>
      <c r="Q17" s="4795">
        <f t="shared" si="7"/>
        <v>23371.626</v>
      </c>
      <c r="R17" s="4720">
        <v>5960</v>
      </c>
      <c r="S17" s="4721">
        <f t="shared" si="8"/>
        <v>12272</v>
      </c>
      <c r="T17" s="4795">
        <f t="shared" si="9"/>
        <v>29331.626</v>
      </c>
      <c r="U17" s="4720">
        <v>4382</v>
      </c>
      <c r="V17" s="4795">
        <f t="shared" si="10"/>
        <v>33713.626000000004</v>
      </c>
      <c r="W17" s="4720">
        <v>2993</v>
      </c>
      <c r="X17" s="4795">
        <f t="shared" si="11"/>
        <v>36706.626000000004</v>
      </c>
      <c r="Y17" s="4720">
        <v>4395.3</v>
      </c>
      <c r="Z17" s="4721">
        <f t="shared" si="12"/>
        <v>11770.3</v>
      </c>
      <c r="AA17" s="4795">
        <f t="shared" si="13"/>
        <v>24042.3</v>
      </c>
      <c r="AB17" s="4795">
        <f t="shared" si="14"/>
        <v>41101.926000000007</v>
      </c>
    </row>
    <row r="18" spans="1:28" ht="16" x14ac:dyDescent="0.2">
      <c r="A18" s="4718" t="s">
        <v>1664</v>
      </c>
      <c r="B18" s="4722">
        <v>21570</v>
      </c>
      <c r="C18" s="4720">
        <v>20768.7</v>
      </c>
      <c r="D18" s="4795">
        <f t="shared" si="0"/>
        <v>42338.7</v>
      </c>
      <c r="E18" s="4720">
        <v>23580.7</v>
      </c>
      <c r="F18" s="4721">
        <f t="shared" si="1"/>
        <v>65919.399999999994</v>
      </c>
      <c r="G18" s="4720">
        <v>10205.34</v>
      </c>
      <c r="H18" s="4795">
        <f t="shared" si="2"/>
        <v>76124.739999999991</v>
      </c>
      <c r="I18" s="4720">
        <v>21069.3</v>
      </c>
      <c r="J18" s="4795">
        <f t="shared" si="3"/>
        <v>97194.04</v>
      </c>
      <c r="K18" s="4720">
        <v>8027</v>
      </c>
      <c r="L18" s="4721">
        <f t="shared" si="4"/>
        <v>39301.64</v>
      </c>
      <c r="M18" s="4795">
        <f t="shared" si="5"/>
        <v>105221.04</v>
      </c>
      <c r="N18" s="4722">
        <v>1930</v>
      </c>
      <c r="O18" s="4795">
        <f t="shared" si="6"/>
        <v>107151.03999999999</v>
      </c>
      <c r="P18" s="4720">
        <v>3487</v>
      </c>
      <c r="Q18" s="4795">
        <f t="shared" si="7"/>
        <v>110638.04</v>
      </c>
      <c r="R18" s="4722">
        <v>5129</v>
      </c>
      <c r="S18" s="4721">
        <f t="shared" si="8"/>
        <v>10546</v>
      </c>
      <c r="T18" s="4795">
        <f t="shared" si="9"/>
        <v>115767.03999999999</v>
      </c>
      <c r="U18" s="4720">
        <v>10177</v>
      </c>
      <c r="V18" s="4795">
        <f t="shared" si="10"/>
        <v>125944.04</v>
      </c>
      <c r="W18" s="4720"/>
      <c r="X18" s="4795">
        <f t="shared" si="11"/>
        <v>125944.04</v>
      </c>
      <c r="Y18" s="4720"/>
      <c r="Z18" s="4721">
        <f t="shared" si="12"/>
        <v>10177</v>
      </c>
      <c r="AA18" s="4795">
        <f t="shared" si="13"/>
        <v>20723</v>
      </c>
      <c r="AB18" s="4795">
        <f t="shared" si="14"/>
        <v>125944.04</v>
      </c>
    </row>
    <row r="19" spans="1:28" ht="16" x14ac:dyDescent="0.2">
      <c r="A19" s="4718" t="s">
        <v>2149</v>
      </c>
      <c r="B19" s="4722">
        <v>0</v>
      </c>
      <c r="C19" s="4722">
        <v>0</v>
      </c>
      <c r="D19" s="4795">
        <f t="shared" si="0"/>
        <v>0</v>
      </c>
      <c r="E19" s="4722">
        <v>0</v>
      </c>
      <c r="F19" s="4721">
        <f t="shared" si="1"/>
        <v>0</v>
      </c>
      <c r="G19" s="4722">
        <v>33497.410000000003</v>
      </c>
      <c r="H19" s="4795">
        <f t="shared" si="2"/>
        <v>33497.410000000003</v>
      </c>
      <c r="I19" s="4722">
        <v>0</v>
      </c>
      <c r="J19" s="4795">
        <f t="shared" si="3"/>
        <v>33497.410000000003</v>
      </c>
      <c r="K19" s="4722">
        <v>0</v>
      </c>
      <c r="L19" s="4721">
        <f t="shared" si="4"/>
        <v>33497.410000000003</v>
      </c>
      <c r="M19" s="4795">
        <f t="shared" si="5"/>
        <v>33497.410000000003</v>
      </c>
      <c r="N19" s="4722">
        <v>0</v>
      </c>
      <c r="O19" s="4795">
        <f t="shared" si="6"/>
        <v>33497.410000000003</v>
      </c>
      <c r="P19" s="4722"/>
      <c r="Q19" s="4795">
        <f t="shared" si="7"/>
        <v>33497.410000000003</v>
      </c>
      <c r="R19" s="4722">
        <v>0</v>
      </c>
      <c r="S19" s="4721">
        <f t="shared" si="8"/>
        <v>0</v>
      </c>
      <c r="T19" s="4795">
        <f t="shared" si="9"/>
        <v>33497.410000000003</v>
      </c>
      <c r="U19" s="4722"/>
      <c r="V19" s="4795">
        <f t="shared" si="10"/>
        <v>33497.410000000003</v>
      </c>
      <c r="W19" s="4722"/>
      <c r="X19" s="4795">
        <f t="shared" si="11"/>
        <v>33497.410000000003</v>
      </c>
      <c r="Y19" s="4722"/>
      <c r="Z19" s="4721">
        <f t="shared" si="12"/>
        <v>0</v>
      </c>
      <c r="AA19" s="4795">
        <f t="shared" si="13"/>
        <v>0</v>
      </c>
      <c r="AB19" s="4795">
        <f t="shared" si="14"/>
        <v>33497.410000000003</v>
      </c>
    </row>
    <row r="20" spans="1:28" ht="17" thickBot="1" x14ac:dyDescent="0.25">
      <c r="A20" s="4718" t="s">
        <v>1784</v>
      </c>
      <c r="B20" s="4722">
        <v>0</v>
      </c>
      <c r="C20" s="4722">
        <v>0</v>
      </c>
      <c r="D20" s="4795">
        <f t="shared" si="0"/>
        <v>0</v>
      </c>
      <c r="E20" s="4722">
        <v>0</v>
      </c>
      <c r="F20" s="4721">
        <f t="shared" si="1"/>
        <v>0</v>
      </c>
      <c r="G20" s="4722">
        <v>1078.038</v>
      </c>
      <c r="H20" s="4795">
        <f t="shared" si="2"/>
        <v>1078.038</v>
      </c>
      <c r="I20" s="4722">
        <v>0</v>
      </c>
      <c r="J20" s="4795">
        <f t="shared" si="3"/>
        <v>1078.038</v>
      </c>
      <c r="K20" s="4722">
        <v>0</v>
      </c>
      <c r="L20" s="4721">
        <f t="shared" si="4"/>
        <v>1078.038</v>
      </c>
      <c r="M20" s="4795">
        <f t="shared" si="5"/>
        <v>1078.038</v>
      </c>
      <c r="N20" s="4722">
        <v>0</v>
      </c>
      <c r="O20" s="4795">
        <f t="shared" si="6"/>
        <v>1078.038</v>
      </c>
      <c r="P20" s="4722"/>
      <c r="Q20" s="4795">
        <f t="shared" si="7"/>
        <v>1078.038</v>
      </c>
      <c r="R20" s="4722">
        <v>0</v>
      </c>
      <c r="S20" s="4721">
        <f t="shared" si="8"/>
        <v>0</v>
      </c>
      <c r="T20" s="4795">
        <f t="shared" si="9"/>
        <v>1078.038</v>
      </c>
      <c r="U20" s="4722"/>
      <c r="V20" s="4795">
        <f t="shared" si="10"/>
        <v>1078.038</v>
      </c>
      <c r="W20" s="4722"/>
      <c r="X20" s="4795">
        <f t="shared" si="11"/>
        <v>1078.038</v>
      </c>
      <c r="Y20" s="4722"/>
      <c r="Z20" s="4721">
        <f t="shared" si="12"/>
        <v>0</v>
      </c>
      <c r="AA20" s="4795">
        <f t="shared" si="13"/>
        <v>0</v>
      </c>
      <c r="AB20" s="4795">
        <f t="shared" si="14"/>
        <v>1078.038</v>
      </c>
    </row>
    <row r="21" spans="1:28" ht="21" thickBot="1" x14ac:dyDescent="0.25">
      <c r="A21" s="4799" t="s">
        <v>1666</v>
      </c>
      <c r="B21" s="4800">
        <f t="shared" ref="B21:AB21" si="19">SUM(B7:B20)</f>
        <v>21729</v>
      </c>
      <c r="C21" s="4800">
        <f t="shared" si="19"/>
        <v>35733.67</v>
      </c>
      <c r="D21" s="4800">
        <f t="shared" si="19"/>
        <v>57462.67</v>
      </c>
      <c r="E21" s="4800">
        <f t="shared" si="19"/>
        <v>44038.846999999994</v>
      </c>
      <c r="F21" s="4800">
        <f t="shared" si="19"/>
        <v>101501.51699999999</v>
      </c>
      <c r="G21" s="4800">
        <f t="shared" si="19"/>
        <v>55341.317000000003</v>
      </c>
      <c r="H21" s="4800">
        <f t="shared" si="19"/>
        <v>156842.83399999997</v>
      </c>
      <c r="I21" s="4800">
        <f t="shared" si="19"/>
        <v>39087.800000000003</v>
      </c>
      <c r="J21" s="4800">
        <f t="shared" si="19"/>
        <v>195930.63399999999</v>
      </c>
      <c r="K21" s="4800">
        <f t="shared" si="19"/>
        <v>10757</v>
      </c>
      <c r="L21" s="4800">
        <f t="shared" si="19"/>
        <v>105186.117</v>
      </c>
      <c r="M21" s="4800">
        <f t="shared" si="19"/>
        <v>206687.63399999999</v>
      </c>
      <c r="N21" s="4800">
        <f t="shared" si="19"/>
        <v>7133</v>
      </c>
      <c r="O21" s="4800">
        <f t="shared" si="19"/>
        <v>213820.63399999999</v>
      </c>
      <c r="P21" s="4800">
        <f t="shared" si="19"/>
        <v>7539</v>
      </c>
      <c r="Q21" s="4800">
        <f t="shared" si="19"/>
        <v>221359.63399999999</v>
      </c>
      <c r="R21" s="4800">
        <f t="shared" si="19"/>
        <v>19513</v>
      </c>
      <c r="S21" s="4800">
        <f t="shared" si="19"/>
        <v>34185</v>
      </c>
      <c r="T21" s="4800">
        <f t="shared" si="19"/>
        <v>240872.63399999999</v>
      </c>
      <c r="U21" s="4800">
        <f t="shared" si="19"/>
        <v>22296</v>
      </c>
      <c r="V21" s="4800">
        <f t="shared" si="19"/>
        <v>263168.63399999996</v>
      </c>
      <c r="W21" s="4800">
        <f t="shared" si="19"/>
        <v>19287</v>
      </c>
      <c r="X21" s="4800">
        <f t="shared" si="19"/>
        <v>278184.63400000002</v>
      </c>
      <c r="Y21" s="4800">
        <f t="shared" si="19"/>
        <v>37391.993999999999</v>
      </c>
      <c r="Z21" s="4800">
        <f t="shared" si="19"/>
        <v>78974.993999999992</v>
      </c>
      <c r="AA21" s="4800">
        <f t="shared" si="19"/>
        <v>113159.99400000001</v>
      </c>
      <c r="AB21" s="4800">
        <f t="shared" si="19"/>
        <v>315576.62799999997</v>
      </c>
    </row>
    <row r="22" spans="1:28" ht="10.5" customHeight="1" thickBot="1" x14ac:dyDescent="0.25">
      <c r="A22" s="4796"/>
      <c r="B22" s="4905"/>
      <c r="C22" s="4905"/>
      <c r="D22" s="4907"/>
      <c r="E22" s="4802"/>
      <c r="F22" s="4906"/>
      <c r="G22" s="4905"/>
      <c r="H22" s="4907"/>
      <c r="I22" s="4905"/>
      <c r="J22" s="4907"/>
      <c r="K22" s="4905"/>
      <c r="L22" s="4906"/>
      <c r="M22" s="4907"/>
      <c r="N22" s="4905"/>
      <c r="O22" s="4907"/>
      <c r="P22" s="4905"/>
      <c r="Q22" s="4907"/>
      <c r="R22" s="4905"/>
      <c r="S22" s="4906"/>
      <c r="T22" s="4907"/>
      <c r="U22" s="4905"/>
      <c r="V22" s="4907"/>
      <c r="W22" s="4905"/>
      <c r="X22" s="4907"/>
      <c r="Y22" s="4905"/>
      <c r="Z22" s="4906"/>
      <c r="AA22" s="4907"/>
      <c r="AB22" s="4907"/>
    </row>
    <row r="23" spans="1:28" ht="21" thickBot="1" x14ac:dyDescent="0.25">
      <c r="A23" s="4801" t="s">
        <v>1615</v>
      </c>
      <c r="B23" s="4908"/>
      <c r="C23" s="4903"/>
      <c r="D23" s="4904"/>
      <c r="E23" s="4903"/>
      <c r="F23" s="4904"/>
      <c r="G23" s="4903"/>
      <c r="H23" s="4904"/>
      <c r="I23" s="4903"/>
      <c r="J23" s="4904"/>
      <c r="K23" s="4903"/>
      <c r="L23" s="4904"/>
      <c r="M23" s="4904"/>
      <c r="N23" s="4903"/>
      <c r="O23" s="4904"/>
      <c r="P23" s="4903"/>
      <c r="Q23" s="4904"/>
      <c r="R23" s="4903"/>
      <c r="S23" s="4904"/>
      <c r="T23" s="4904"/>
      <c r="U23" s="4903"/>
      <c r="V23" s="4904"/>
      <c r="W23" s="4903"/>
      <c r="X23" s="4904"/>
      <c r="Y23" s="4903"/>
      <c r="Z23" s="4904"/>
      <c r="AA23" s="4904"/>
      <c r="AB23" s="4904"/>
    </row>
    <row r="24" spans="1:28" ht="16" x14ac:dyDescent="0.2">
      <c r="A24" s="4717" t="s">
        <v>1610</v>
      </c>
      <c r="B24" s="4722">
        <v>0</v>
      </c>
      <c r="C24" s="4722">
        <v>0</v>
      </c>
      <c r="D24" s="4803">
        <f t="shared" ref="D24:D38" si="20">+B24+C24</f>
        <v>0</v>
      </c>
      <c r="E24" s="4722">
        <v>0</v>
      </c>
      <c r="F24" s="4721">
        <f t="shared" ref="F24:F28" si="21">+B24+C24+E24</f>
        <v>0</v>
      </c>
      <c r="G24" s="4722">
        <v>0</v>
      </c>
      <c r="H24" s="4803">
        <f t="shared" ref="H24:H38" si="22">+F24+G24</f>
        <v>0</v>
      </c>
      <c r="I24" s="4722">
        <v>0</v>
      </c>
      <c r="J24" s="4795">
        <f t="shared" ref="J24:J28" si="23">+H24+I24</f>
        <v>0</v>
      </c>
      <c r="K24" s="4722">
        <v>0</v>
      </c>
      <c r="L24" s="4721">
        <f t="shared" ref="L24:L28" si="24">+G24+I24+K24</f>
        <v>0</v>
      </c>
      <c r="M24" s="4795">
        <f t="shared" ref="M24:M28" si="25">+F24+L24</f>
        <v>0</v>
      </c>
      <c r="N24" s="4722">
        <v>120</v>
      </c>
      <c r="O24" s="4795">
        <f t="shared" ref="O24:O28" si="26">SUM(M24:N24)</f>
        <v>120</v>
      </c>
      <c r="P24" s="4722"/>
      <c r="Q24" s="4795">
        <f t="shared" ref="Q24:Q28" si="27">SUM(O24:P24)</f>
        <v>120</v>
      </c>
      <c r="R24" s="4722">
        <v>0</v>
      </c>
      <c r="S24" s="4721">
        <f t="shared" ref="S24:S28" si="28">+N24+P24+R24</f>
        <v>120</v>
      </c>
      <c r="T24" s="4795">
        <f t="shared" ref="T24:T28" si="29">+Q24+R24</f>
        <v>120</v>
      </c>
      <c r="U24" s="4722"/>
      <c r="V24" s="4795">
        <f t="shared" ref="V24:V28" si="30">+T24+U24</f>
        <v>120</v>
      </c>
      <c r="W24" s="4722">
        <v>154</v>
      </c>
      <c r="X24" s="4795">
        <f t="shared" ref="X24:X27" si="31">+V24+W24</f>
        <v>274</v>
      </c>
      <c r="Y24" s="4722">
        <v>155.875</v>
      </c>
      <c r="Z24" s="4721">
        <f>+U24+W24+Y24</f>
        <v>309.875</v>
      </c>
      <c r="AA24" s="4795">
        <f t="shared" ref="AA24:AA27" si="32">+Z24+S24</f>
        <v>429.875</v>
      </c>
      <c r="AB24" s="4795">
        <f t="shared" ref="AB24:AB27" si="33">+X24+Y24</f>
        <v>429.875</v>
      </c>
    </row>
    <row r="25" spans="1:28" ht="16" x14ac:dyDescent="0.2">
      <c r="A25" s="4718" t="s">
        <v>1612</v>
      </c>
      <c r="B25" s="4722">
        <v>0</v>
      </c>
      <c r="C25" s="4722">
        <v>0</v>
      </c>
      <c r="D25" s="4803">
        <f t="shared" si="20"/>
        <v>0</v>
      </c>
      <c r="E25" s="4722">
        <v>0</v>
      </c>
      <c r="F25" s="4721">
        <f t="shared" si="21"/>
        <v>0</v>
      </c>
      <c r="G25" s="4722">
        <v>0</v>
      </c>
      <c r="H25" s="4803">
        <f t="shared" si="22"/>
        <v>0</v>
      </c>
      <c r="I25" s="4722">
        <v>0</v>
      </c>
      <c r="J25" s="4795">
        <f t="shared" si="23"/>
        <v>0</v>
      </c>
      <c r="K25" s="4722">
        <v>0</v>
      </c>
      <c r="L25" s="4721">
        <f t="shared" si="24"/>
        <v>0</v>
      </c>
      <c r="M25" s="4795">
        <f t="shared" si="25"/>
        <v>0</v>
      </c>
      <c r="N25" s="4722">
        <v>23</v>
      </c>
      <c r="O25" s="4795">
        <f t="shared" si="26"/>
        <v>23</v>
      </c>
      <c r="P25" s="4722">
        <v>552</v>
      </c>
      <c r="Q25" s="4795">
        <f t="shared" si="27"/>
        <v>575</v>
      </c>
      <c r="R25" s="4722">
        <v>0</v>
      </c>
      <c r="S25" s="4721">
        <f t="shared" si="28"/>
        <v>575</v>
      </c>
      <c r="T25" s="4795">
        <f t="shared" si="29"/>
        <v>575</v>
      </c>
      <c r="U25" s="4722"/>
      <c r="V25" s="4795">
        <f t="shared" si="30"/>
        <v>575</v>
      </c>
      <c r="W25" s="4722">
        <v>2888</v>
      </c>
      <c r="X25" s="4795">
        <f t="shared" si="31"/>
        <v>3463</v>
      </c>
      <c r="Y25" s="4722">
        <v>4021.248</v>
      </c>
      <c r="Z25" s="4721">
        <f t="shared" ref="Z25:Z27" si="34">+U25+W25+Y25</f>
        <v>6909.2479999999996</v>
      </c>
      <c r="AA25" s="4795">
        <f t="shared" si="32"/>
        <v>7484.2479999999996</v>
      </c>
      <c r="AB25" s="4795">
        <f t="shared" si="33"/>
        <v>7484.2479999999996</v>
      </c>
    </row>
    <row r="26" spans="1:28" ht="16" x14ac:dyDescent="0.2">
      <c r="A26" s="4718" t="s">
        <v>1608</v>
      </c>
      <c r="B26" s="4722">
        <v>0</v>
      </c>
      <c r="C26" s="4722">
        <v>0</v>
      </c>
      <c r="D26" s="4803">
        <f t="shared" si="20"/>
        <v>0</v>
      </c>
      <c r="E26" s="4722">
        <v>0</v>
      </c>
      <c r="F26" s="4721">
        <f t="shared" si="21"/>
        <v>0</v>
      </c>
      <c r="G26" s="4722">
        <v>0</v>
      </c>
      <c r="H26" s="4803">
        <f t="shared" si="22"/>
        <v>0</v>
      </c>
      <c r="I26" s="4722">
        <v>0</v>
      </c>
      <c r="J26" s="4795">
        <f t="shared" si="23"/>
        <v>0</v>
      </c>
      <c r="K26" s="4722">
        <v>0</v>
      </c>
      <c r="L26" s="4721">
        <f t="shared" si="24"/>
        <v>0</v>
      </c>
      <c r="M26" s="4795">
        <f t="shared" si="25"/>
        <v>0</v>
      </c>
      <c r="N26" s="4722">
        <v>3458</v>
      </c>
      <c r="O26" s="4795">
        <f t="shared" si="26"/>
        <v>3458</v>
      </c>
      <c r="P26" s="4722">
        <v>4654</v>
      </c>
      <c r="Q26" s="4795">
        <f t="shared" si="27"/>
        <v>8112</v>
      </c>
      <c r="R26" s="4722">
        <v>3022</v>
      </c>
      <c r="S26" s="4721">
        <f t="shared" si="28"/>
        <v>11134</v>
      </c>
      <c r="T26" s="4795">
        <f t="shared" si="29"/>
        <v>11134</v>
      </c>
      <c r="U26" s="4722">
        <v>2376</v>
      </c>
      <c r="V26" s="4795">
        <f t="shared" si="30"/>
        <v>13510</v>
      </c>
      <c r="W26" s="4722">
        <v>6702</v>
      </c>
      <c r="X26" s="4795">
        <f t="shared" si="31"/>
        <v>20212</v>
      </c>
      <c r="Y26" s="4722">
        <v>2421.5100000000002</v>
      </c>
      <c r="Z26" s="4721">
        <f t="shared" si="34"/>
        <v>11499.51</v>
      </c>
      <c r="AA26" s="4795">
        <f t="shared" si="32"/>
        <v>22633.510000000002</v>
      </c>
      <c r="AB26" s="4795">
        <f t="shared" si="33"/>
        <v>22633.510000000002</v>
      </c>
    </row>
    <row r="27" spans="1:28" ht="16" x14ac:dyDescent="0.2">
      <c r="A27" s="4718" t="s">
        <v>1611</v>
      </c>
      <c r="B27" s="4722">
        <v>0</v>
      </c>
      <c r="C27" s="4722">
        <v>0</v>
      </c>
      <c r="D27" s="4803">
        <f t="shared" si="20"/>
        <v>0</v>
      </c>
      <c r="E27" s="4722">
        <v>0</v>
      </c>
      <c r="F27" s="4721">
        <f t="shared" si="21"/>
        <v>0</v>
      </c>
      <c r="G27" s="4722">
        <v>0</v>
      </c>
      <c r="H27" s="4803">
        <f t="shared" si="22"/>
        <v>0</v>
      </c>
      <c r="I27" s="4722">
        <v>0</v>
      </c>
      <c r="J27" s="4795">
        <f t="shared" si="23"/>
        <v>0</v>
      </c>
      <c r="K27" s="4722">
        <v>0</v>
      </c>
      <c r="L27" s="4721">
        <f t="shared" si="24"/>
        <v>0</v>
      </c>
      <c r="M27" s="4795">
        <f t="shared" si="25"/>
        <v>0</v>
      </c>
      <c r="N27" s="4722">
        <v>9463</v>
      </c>
      <c r="O27" s="4795">
        <f t="shared" si="26"/>
        <v>9463</v>
      </c>
      <c r="P27" s="4722">
        <f>12509+141</f>
        <v>12650</v>
      </c>
      <c r="Q27" s="4795">
        <f t="shared" si="27"/>
        <v>22113</v>
      </c>
      <c r="R27" s="4722">
        <v>5731</v>
      </c>
      <c r="S27" s="4721">
        <f t="shared" si="28"/>
        <v>27844</v>
      </c>
      <c r="T27" s="4795">
        <f t="shared" si="29"/>
        <v>27844</v>
      </c>
      <c r="U27" s="4722">
        <v>4389</v>
      </c>
      <c r="V27" s="4795">
        <f t="shared" si="30"/>
        <v>32233</v>
      </c>
      <c r="W27" s="4722">
        <v>13347</v>
      </c>
      <c r="X27" s="4795">
        <f t="shared" si="31"/>
        <v>45580</v>
      </c>
      <c r="Y27" s="4722">
        <v>3193.02</v>
      </c>
      <c r="Z27" s="4721">
        <f t="shared" si="34"/>
        <v>20929.02</v>
      </c>
      <c r="AA27" s="4795">
        <f t="shared" si="32"/>
        <v>48773.020000000004</v>
      </c>
      <c r="AB27" s="4795">
        <f t="shared" si="33"/>
        <v>48773.02</v>
      </c>
    </row>
    <row r="28" spans="1:28" ht="17" thickBot="1" x14ac:dyDescent="0.25">
      <c r="A28" s="4718" t="s">
        <v>2346</v>
      </c>
      <c r="B28" s="4722">
        <v>0</v>
      </c>
      <c r="C28" s="4722">
        <v>0</v>
      </c>
      <c r="D28" s="4803">
        <f t="shared" si="20"/>
        <v>0</v>
      </c>
      <c r="E28" s="4722">
        <v>0</v>
      </c>
      <c r="F28" s="4721">
        <f t="shared" si="21"/>
        <v>0</v>
      </c>
      <c r="G28" s="4722">
        <v>0</v>
      </c>
      <c r="H28" s="4803">
        <f t="shared" si="22"/>
        <v>0</v>
      </c>
      <c r="I28" s="4722">
        <v>0</v>
      </c>
      <c r="J28" s="4795">
        <f t="shared" si="23"/>
        <v>0</v>
      </c>
      <c r="K28" s="4722">
        <v>0</v>
      </c>
      <c r="L28" s="4721">
        <f t="shared" si="24"/>
        <v>0</v>
      </c>
      <c r="M28" s="4795">
        <f t="shared" si="25"/>
        <v>0</v>
      </c>
      <c r="N28" s="4722">
        <v>143</v>
      </c>
      <c r="O28" s="4795">
        <f t="shared" si="26"/>
        <v>143</v>
      </c>
      <c r="P28" s="4722"/>
      <c r="Q28" s="4795">
        <f t="shared" si="27"/>
        <v>143</v>
      </c>
      <c r="R28" s="4722">
        <v>0</v>
      </c>
      <c r="S28" s="4721">
        <f t="shared" si="28"/>
        <v>143</v>
      </c>
      <c r="T28" s="4795">
        <f t="shared" si="29"/>
        <v>143</v>
      </c>
      <c r="U28" s="4722"/>
      <c r="V28" s="4795">
        <f t="shared" si="30"/>
        <v>143</v>
      </c>
      <c r="W28" s="4722">
        <v>709</v>
      </c>
      <c r="X28" s="4795"/>
      <c r="Y28" s="4722"/>
      <c r="Z28" s="4721"/>
      <c r="AA28" s="4795"/>
      <c r="AB28" s="4795"/>
    </row>
    <row r="29" spans="1:28" ht="21" thickBot="1" x14ac:dyDescent="0.25">
      <c r="A29" s="4799" t="s">
        <v>1667</v>
      </c>
      <c r="B29" s="4800">
        <f t="shared" ref="B29:AB29" si="35">SUM(B24:B28)</f>
        <v>0</v>
      </c>
      <c r="C29" s="4800">
        <f t="shared" si="35"/>
        <v>0</v>
      </c>
      <c r="D29" s="4800">
        <f t="shared" si="35"/>
        <v>0</v>
      </c>
      <c r="E29" s="4800">
        <f t="shared" si="35"/>
        <v>0</v>
      </c>
      <c r="F29" s="4800">
        <f t="shared" si="35"/>
        <v>0</v>
      </c>
      <c r="G29" s="4800">
        <f t="shared" si="35"/>
        <v>0</v>
      </c>
      <c r="H29" s="4800">
        <f t="shared" si="35"/>
        <v>0</v>
      </c>
      <c r="I29" s="4800">
        <f t="shared" si="35"/>
        <v>0</v>
      </c>
      <c r="J29" s="4800">
        <f t="shared" si="35"/>
        <v>0</v>
      </c>
      <c r="K29" s="4800">
        <f t="shared" si="35"/>
        <v>0</v>
      </c>
      <c r="L29" s="4800">
        <f t="shared" si="35"/>
        <v>0</v>
      </c>
      <c r="M29" s="4800">
        <f t="shared" si="35"/>
        <v>0</v>
      </c>
      <c r="N29" s="4800">
        <f t="shared" si="35"/>
        <v>13207</v>
      </c>
      <c r="O29" s="4800">
        <f t="shared" si="35"/>
        <v>13207</v>
      </c>
      <c r="P29" s="4800">
        <f t="shared" si="35"/>
        <v>17856</v>
      </c>
      <c r="Q29" s="4800">
        <f t="shared" si="35"/>
        <v>31063</v>
      </c>
      <c r="R29" s="4800">
        <f t="shared" si="35"/>
        <v>8753</v>
      </c>
      <c r="S29" s="4800">
        <f t="shared" si="35"/>
        <v>39816</v>
      </c>
      <c r="T29" s="4800">
        <f t="shared" si="35"/>
        <v>39816</v>
      </c>
      <c r="U29" s="4800">
        <f t="shared" si="35"/>
        <v>6765</v>
      </c>
      <c r="V29" s="4800">
        <f t="shared" si="35"/>
        <v>46581</v>
      </c>
      <c r="W29" s="4800">
        <f t="shared" si="35"/>
        <v>23800</v>
      </c>
      <c r="X29" s="4800">
        <f t="shared" si="35"/>
        <v>69529</v>
      </c>
      <c r="Y29" s="4800">
        <f t="shared" si="35"/>
        <v>9791.6530000000002</v>
      </c>
      <c r="Z29" s="4800">
        <f t="shared" si="35"/>
        <v>39647.653000000006</v>
      </c>
      <c r="AA29" s="4800">
        <f t="shared" si="35"/>
        <v>79320.653000000006</v>
      </c>
      <c r="AB29" s="4800">
        <f t="shared" si="35"/>
        <v>79320.652999999991</v>
      </c>
    </row>
    <row r="30" spans="1:28" ht="9.75" customHeight="1" thickBot="1" x14ac:dyDescent="0.25">
      <c r="A30" s="4796"/>
      <c r="B30" s="4909"/>
      <c r="C30" s="4727"/>
      <c r="D30" s="4911"/>
      <c r="E30" s="4727"/>
      <c r="F30" s="4910"/>
      <c r="G30" s="4909"/>
      <c r="H30" s="4911"/>
      <c r="I30" s="4909"/>
      <c r="J30" s="4911"/>
      <c r="K30" s="4909"/>
      <c r="L30" s="4910"/>
      <c r="M30" s="4911"/>
      <c r="N30" s="4909"/>
      <c r="O30" s="4911"/>
      <c r="P30" s="4909"/>
      <c r="Q30" s="4911"/>
      <c r="R30" s="4909"/>
      <c r="S30" s="4910"/>
      <c r="T30" s="4911"/>
      <c r="U30" s="4909"/>
      <c r="V30" s="4911"/>
      <c r="W30" s="4909"/>
      <c r="X30" s="4911"/>
      <c r="Y30" s="4909"/>
      <c r="Z30" s="4910"/>
      <c r="AA30" s="4911"/>
      <c r="AB30" s="4911"/>
    </row>
    <row r="31" spans="1:28" ht="21" thickBot="1" x14ac:dyDescent="0.25">
      <c r="A31" s="4801" t="s">
        <v>1616</v>
      </c>
      <c r="B31" s="4909"/>
      <c r="C31" s="4727"/>
      <c r="D31" s="4911"/>
      <c r="E31" s="4727"/>
      <c r="F31" s="4910"/>
      <c r="G31" s="4727"/>
      <c r="H31" s="4911"/>
      <c r="I31" s="4727"/>
      <c r="J31" s="4911"/>
      <c r="K31" s="4727"/>
      <c r="L31" s="4910"/>
      <c r="M31" s="4911"/>
      <c r="N31" s="4727"/>
      <c r="O31" s="4911"/>
      <c r="P31" s="4727"/>
      <c r="Q31" s="4911"/>
      <c r="R31" s="4727"/>
      <c r="S31" s="4910"/>
      <c r="T31" s="4911"/>
      <c r="U31" s="4727"/>
      <c r="V31" s="4911"/>
      <c r="W31" s="4727"/>
      <c r="X31" s="4911"/>
      <c r="Y31" s="4727"/>
      <c r="Z31" s="4910"/>
      <c r="AA31" s="4911"/>
      <c r="AB31" s="4911"/>
    </row>
    <row r="32" spans="1:28" ht="16" x14ac:dyDescent="0.2">
      <c r="A32" s="4717" t="s">
        <v>1612</v>
      </c>
      <c r="B32" s="4722"/>
      <c r="C32" s="4720"/>
      <c r="D32" s="4795">
        <f t="shared" si="20"/>
        <v>0</v>
      </c>
      <c r="E32" s="4720"/>
      <c r="F32" s="4721">
        <f t="shared" ref="F32:F38" si="36">+B32+C32+E32</f>
        <v>0</v>
      </c>
      <c r="G32" s="4722"/>
      <c r="H32" s="4795">
        <f t="shared" si="22"/>
        <v>0</v>
      </c>
      <c r="I32" s="4722"/>
      <c r="J32" s="4795">
        <f t="shared" ref="J32:J38" si="37">+H32+I32</f>
        <v>0</v>
      </c>
      <c r="K32" s="4722"/>
      <c r="L32" s="4721">
        <f t="shared" ref="L32:L38" si="38">+G32+I32+K32</f>
        <v>0</v>
      </c>
      <c r="M32" s="4795">
        <f t="shared" ref="M32:M38" si="39">+F32+L32</f>
        <v>0</v>
      </c>
      <c r="N32" s="4722"/>
      <c r="O32" s="4795">
        <f t="shared" ref="O32:O38" si="40">SUM(M32:N32)</f>
        <v>0</v>
      </c>
      <c r="P32" s="4722"/>
      <c r="Q32" s="4795">
        <f t="shared" ref="Q32:Q38" si="41">SUM(O32:P32)</f>
        <v>0</v>
      </c>
      <c r="R32" s="4722">
        <v>0</v>
      </c>
      <c r="S32" s="4721">
        <f t="shared" ref="S32:S38" si="42">+N32+P32+R32</f>
        <v>0</v>
      </c>
      <c r="T32" s="4795">
        <f t="shared" ref="T32:T38" si="43">+Q32+R32</f>
        <v>0</v>
      </c>
      <c r="U32" s="4722"/>
      <c r="V32" s="4795">
        <f t="shared" ref="V32:V38" si="44">+T32+U32</f>
        <v>0</v>
      </c>
      <c r="W32" s="4722"/>
      <c r="X32" s="4795">
        <f t="shared" ref="X32:X38" si="45">+V32+W32</f>
        <v>0</v>
      </c>
      <c r="Y32" s="4722"/>
      <c r="Z32" s="4721">
        <f t="shared" ref="Z32:Z38" si="46">+U32+W32+Y32</f>
        <v>0</v>
      </c>
      <c r="AA32" s="4795">
        <f t="shared" ref="AA32:AA38" si="47">+Z32+S32</f>
        <v>0</v>
      </c>
      <c r="AB32" s="4795">
        <f t="shared" ref="AB32:AB38" si="48">+X32+Y32</f>
        <v>0</v>
      </c>
    </row>
    <row r="33" spans="1:30" ht="16" x14ac:dyDescent="0.2">
      <c r="A33" s="4717" t="s">
        <v>1608</v>
      </c>
      <c r="B33" s="4722"/>
      <c r="C33" s="4720"/>
      <c r="D33" s="4795">
        <f t="shared" si="20"/>
        <v>0</v>
      </c>
      <c r="E33" s="4720"/>
      <c r="F33" s="4721"/>
      <c r="G33" s="4722"/>
      <c r="H33" s="4795"/>
      <c r="I33" s="4722"/>
      <c r="J33" s="4795"/>
      <c r="K33" s="4722"/>
      <c r="L33" s="4721"/>
      <c r="M33" s="4795"/>
      <c r="N33" s="4722"/>
      <c r="O33" s="4795">
        <f t="shared" si="40"/>
        <v>0</v>
      </c>
      <c r="P33" s="4722"/>
      <c r="Q33" s="4795">
        <f t="shared" si="41"/>
        <v>0</v>
      </c>
      <c r="R33" s="4722">
        <v>0</v>
      </c>
      <c r="S33" s="4721">
        <f t="shared" si="42"/>
        <v>0</v>
      </c>
      <c r="T33" s="4795">
        <f t="shared" si="43"/>
        <v>0</v>
      </c>
      <c r="U33" s="4722"/>
      <c r="V33" s="4795">
        <f t="shared" si="44"/>
        <v>0</v>
      </c>
      <c r="W33" s="4722"/>
      <c r="X33" s="4795"/>
      <c r="Y33" s="4722"/>
      <c r="Z33" s="4721">
        <f t="shared" ref="Z33" si="49">+U33+W33+Y33</f>
        <v>0</v>
      </c>
      <c r="AA33" s="4795">
        <f t="shared" ref="AA33" si="50">+Z33+S33</f>
        <v>0</v>
      </c>
      <c r="AB33" s="4795">
        <f t="shared" ref="AB33" si="51">+X33+Y33</f>
        <v>0</v>
      </c>
    </row>
    <row r="34" spans="1:30" ht="16" x14ac:dyDescent="0.2">
      <c r="A34" s="4718" t="s">
        <v>1611</v>
      </c>
      <c r="B34" s="4722"/>
      <c r="C34" s="4720"/>
      <c r="D34" s="4795">
        <f t="shared" si="20"/>
        <v>0</v>
      </c>
      <c r="E34" s="4720"/>
      <c r="F34" s="4721">
        <f t="shared" si="36"/>
        <v>0</v>
      </c>
      <c r="G34" s="4720"/>
      <c r="H34" s="4795">
        <f t="shared" si="22"/>
        <v>0</v>
      </c>
      <c r="I34" s="4722"/>
      <c r="J34" s="4795">
        <f t="shared" si="37"/>
        <v>0</v>
      </c>
      <c r="K34" s="4722"/>
      <c r="L34" s="4721">
        <f t="shared" si="38"/>
        <v>0</v>
      </c>
      <c r="M34" s="4795">
        <f t="shared" si="39"/>
        <v>0</v>
      </c>
      <c r="N34" s="4722"/>
      <c r="O34" s="4795">
        <f t="shared" si="40"/>
        <v>0</v>
      </c>
      <c r="P34" s="4722">
        <v>4278</v>
      </c>
      <c r="Q34" s="4795">
        <f t="shared" si="41"/>
        <v>4278</v>
      </c>
      <c r="R34" s="4722">
        <v>0</v>
      </c>
      <c r="S34" s="4721">
        <f t="shared" si="42"/>
        <v>4278</v>
      </c>
      <c r="T34" s="4795">
        <f t="shared" si="43"/>
        <v>4278</v>
      </c>
      <c r="U34" s="4722">
        <v>5259</v>
      </c>
      <c r="V34" s="4795">
        <f t="shared" si="44"/>
        <v>9537</v>
      </c>
      <c r="W34" s="4722"/>
      <c r="X34" s="4795">
        <f t="shared" si="45"/>
        <v>9537</v>
      </c>
      <c r="Y34" s="4722"/>
      <c r="Z34" s="4721">
        <f t="shared" si="46"/>
        <v>5259</v>
      </c>
      <c r="AA34" s="4795">
        <f t="shared" si="47"/>
        <v>9537</v>
      </c>
      <c r="AB34" s="4795">
        <f t="shared" si="48"/>
        <v>9537</v>
      </c>
    </row>
    <row r="35" spans="1:30" ht="16" x14ac:dyDescent="0.2">
      <c r="A35" s="4718" t="s">
        <v>2576</v>
      </c>
      <c r="B35" s="4722"/>
      <c r="C35" s="4720"/>
      <c r="D35" s="4795"/>
      <c r="E35" s="4720"/>
      <c r="F35" s="4721"/>
      <c r="G35" s="4720"/>
      <c r="H35" s="4795"/>
      <c r="I35" s="4722"/>
      <c r="J35" s="4795"/>
      <c r="K35" s="4722"/>
      <c r="L35" s="4721"/>
      <c r="M35" s="4795"/>
      <c r="N35" s="4722"/>
      <c r="O35" s="4795"/>
      <c r="P35" s="4722"/>
      <c r="Q35" s="4795"/>
      <c r="R35" s="4722"/>
      <c r="S35" s="4721"/>
      <c r="T35" s="4795"/>
      <c r="U35" s="4722">
        <v>176</v>
      </c>
      <c r="V35" s="4795">
        <f t="shared" si="44"/>
        <v>176</v>
      </c>
      <c r="W35" s="4722"/>
      <c r="X35" s="4795"/>
      <c r="Y35" s="4722"/>
      <c r="Z35" s="4721"/>
      <c r="AA35" s="4795"/>
      <c r="AB35" s="4795"/>
    </row>
    <row r="36" spans="1:30" ht="16" x14ac:dyDescent="0.2">
      <c r="A36" s="4718" t="s">
        <v>1609</v>
      </c>
      <c r="B36" s="4722"/>
      <c r="C36" s="4720"/>
      <c r="D36" s="4795">
        <f t="shared" si="20"/>
        <v>0</v>
      </c>
      <c r="E36" s="4720"/>
      <c r="F36" s="4721">
        <f t="shared" si="36"/>
        <v>0</v>
      </c>
      <c r="G36" s="4720"/>
      <c r="H36" s="4795">
        <f t="shared" si="22"/>
        <v>0</v>
      </c>
      <c r="I36" s="4722"/>
      <c r="J36" s="4795">
        <f t="shared" si="37"/>
        <v>0</v>
      </c>
      <c r="K36" s="4722"/>
      <c r="L36" s="4721">
        <f t="shared" si="38"/>
        <v>0</v>
      </c>
      <c r="M36" s="4795">
        <f t="shared" si="39"/>
        <v>0</v>
      </c>
      <c r="N36" s="4722"/>
      <c r="O36" s="4795">
        <f t="shared" si="40"/>
        <v>0</v>
      </c>
      <c r="P36" s="4722"/>
      <c r="Q36" s="4795">
        <f t="shared" si="41"/>
        <v>0</v>
      </c>
      <c r="R36" s="4722">
        <v>0</v>
      </c>
      <c r="S36" s="4721">
        <f t="shared" si="42"/>
        <v>0</v>
      </c>
      <c r="T36" s="4795">
        <f t="shared" si="43"/>
        <v>0</v>
      </c>
      <c r="U36" s="4722"/>
      <c r="V36" s="4795">
        <f t="shared" si="44"/>
        <v>0</v>
      </c>
      <c r="W36" s="4722"/>
      <c r="X36" s="4795">
        <f t="shared" si="45"/>
        <v>0</v>
      </c>
      <c r="Y36" s="4722"/>
      <c r="Z36" s="4721">
        <f t="shared" si="46"/>
        <v>0</v>
      </c>
      <c r="AA36" s="4795">
        <f t="shared" si="47"/>
        <v>0</v>
      </c>
      <c r="AB36" s="4795">
        <f t="shared" si="48"/>
        <v>0</v>
      </c>
    </row>
    <row r="37" spans="1:30" ht="16" x14ac:dyDescent="0.2">
      <c r="A37" s="4723" t="s">
        <v>1665</v>
      </c>
      <c r="B37" s="4722"/>
      <c r="C37" s="4722"/>
      <c r="D37" s="4795">
        <f t="shared" si="20"/>
        <v>0</v>
      </c>
      <c r="E37" s="4722"/>
      <c r="F37" s="4721">
        <f t="shared" si="36"/>
        <v>0</v>
      </c>
      <c r="G37" s="4724"/>
      <c r="H37" s="4795">
        <f t="shared" si="22"/>
        <v>0</v>
      </c>
      <c r="I37" s="4722"/>
      <c r="J37" s="4795">
        <f t="shared" si="37"/>
        <v>0</v>
      </c>
      <c r="K37" s="4722"/>
      <c r="L37" s="4721">
        <f t="shared" si="38"/>
        <v>0</v>
      </c>
      <c r="M37" s="4795">
        <f t="shared" si="39"/>
        <v>0</v>
      </c>
      <c r="N37" s="4722"/>
      <c r="O37" s="4795">
        <f t="shared" si="40"/>
        <v>0</v>
      </c>
      <c r="P37" s="4722"/>
      <c r="Q37" s="4795">
        <f t="shared" si="41"/>
        <v>0</v>
      </c>
      <c r="R37" s="4722">
        <v>0</v>
      </c>
      <c r="S37" s="4721">
        <f t="shared" si="42"/>
        <v>0</v>
      </c>
      <c r="T37" s="4795">
        <f t="shared" si="43"/>
        <v>0</v>
      </c>
      <c r="U37" s="4722"/>
      <c r="V37" s="4795">
        <f t="shared" si="44"/>
        <v>0</v>
      </c>
      <c r="W37" s="4722"/>
      <c r="X37" s="4795">
        <f t="shared" si="45"/>
        <v>0</v>
      </c>
      <c r="Y37" s="4722"/>
      <c r="Z37" s="4721">
        <f t="shared" si="46"/>
        <v>0</v>
      </c>
      <c r="AA37" s="4795">
        <f t="shared" si="47"/>
        <v>0</v>
      </c>
      <c r="AB37" s="4795">
        <f t="shared" si="48"/>
        <v>0</v>
      </c>
    </row>
    <row r="38" spans="1:30" ht="17" thickBot="1" x14ac:dyDescent="0.25">
      <c r="A38" s="4723" t="s">
        <v>1613</v>
      </c>
      <c r="B38" s="4725"/>
      <c r="C38" s="4724"/>
      <c r="D38" s="4795">
        <f t="shared" si="20"/>
        <v>0</v>
      </c>
      <c r="E38" s="4724"/>
      <c r="F38" s="4721">
        <f t="shared" si="36"/>
        <v>0</v>
      </c>
      <c r="G38" s="4722"/>
      <c r="H38" s="4795">
        <f t="shared" si="22"/>
        <v>0</v>
      </c>
      <c r="I38" s="4722"/>
      <c r="J38" s="4795">
        <f t="shared" si="37"/>
        <v>0</v>
      </c>
      <c r="K38" s="4722"/>
      <c r="L38" s="4721">
        <f t="shared" si="38"/>
        <v>0</v>
      </c>
      <c r="M38" s="4795">
        <f t="shared" si="39"/>
        <v>0</v>
      </c>
      <c r="N38" s="4722"/>
      <c r="O38" s="4795">
        <f t="shared" si="40"/>
        <v>0</v>
      </c>
      <c r="P38" s="4722"/>
      <c r="Q38" s="4795">
        <f t="shared" si="41"/>
        <v>0</v>
      </c>
      <c r="R38" s="4722">
        <v>0</v>
      </c>
      <c r="S38" s="4721">
        <f t="shared" si="42"/>
        <v>0</v>
      </c>
      <c r="T38" s="4795">
        <f t="shared" si="43"/>
        <v>0</v>
      </c>
      <c r="U38" s="4722"/>
      <c r="V38" s="4795">
        <f t="shared" si="44"/>
        <v>0</v>
      </c>
      <c r="W38" s="4722"/>
      <c r="X38" s="4795">
        <f t="shared" si="45"/>
        <v>0</v>
      </c>
      <c r="Y38" s="4722"/>
      <c r="Z38" s="4721">
        <f t="shared" si="46"/>
        <v>0</v>
      </c>
      <c r="AA38" s="4795">
        <f t="shared" si="47"/>
        <v>0</v>
      </c>
      <c r="AB38" s="4795">
        <f t="shared" si="48"/>
        <v>0</v>
      </c>
    </row>
    <row r="39" spans="1:30" ht="21" thickBot="1" x14ac:dyDescent="0.25">
      <c r="A39" s="4799" t="s">
        <v>1668</v>
      </c>
      <c r="B39" s="4800">
        <f>SUM(B32:B38)</f>
        <v>0</v>
      </c>
      <c r="C39" s="4800">
        <f t="shared" ref="C39:J39" si="52">SUM(C32:C38)</f>
        <v>0</v>
      </c>
      <c r="D39" s="4800">
        <f t="shared" ref="D39" si="53">SUM(D32:D38)</f>
        <v>0</v>
      </c>
      <c r="E39" s="4800">
        <f t="shared" si="52"/>
        <v>0</v>
      </c>
      <c r="F39" s="4800">
        <f t="shared" si="52"/>
        <v>0</v>
      </c>
      <c r="G39" s="4800">
        <f t="shared" si="52"/>
        <v>0</v>
      </c>
      <c r="H39" s="4800">
        <f t="shared" si="52"/>
        <v>0</v>
      </c>
      <c r="I39" s="4800">
        <f t="shared" si="52"/>
        <v>0</v>
      </c>
      <c r="J39" s="4800">
        <f t="shared" si="52"/>
        <v>0</v>
      </c>
      <c r="K39" s="4800">
        <f t="shared" ref="K39:M39" si="54">SUM(K32:K38)</f>
        <v>0</v>
      </c>
      <c r="L39" s="4800">
        <f t="shared" si="54"/>
        <v>0</v>
      </c>
      <c r="M39" s="4800">
        <f t="shared" si="54"/>
        <v>0</v>
      </c>
      <c r="N39" s="4800">
        <f t="shared" ref="N39:O39" si="55">SUM(N32:N38)</f>
        <v>0</v>
      </c>
      <c r="O39" s="4800">
        <f t="shared" si="55"/>
        <v>0</v>
      </c>
      <c r="P39" s="4800">
        <f t="shared" ref="P39:Q39" si="56">SUM(P32:P38)</f>
        <v>4278</v>
      </c>
      <c r="Q39" s="4800">
        <f t="shared" si="56"/>
        <v>4278</v>
      </c>
      <c r="R39" s="4800">
        <f t="shared" ref="R39:T39" si="57">SUM(R32:R38)</f>
        <v>0</v>
      </c>
      <c r="S39" s="4800">
        <f t="shared" si="57"/>
        <v>4278</v>
      </c>
      <c r="T39" s="4800">
        <f t="shared" si="57"/>
        <v>4278</v>
      </c>
      <c r="U39" s="4800">
        <f t="shared" ref="U39:V39" si="58">SUM(U32:U38)</f>
        <v>5435</v>
      </c>
      <c r="V39" s="4800">
        <f t="shared" si="58"/>
        <v>9713</v>
      </c>
      <c r="W39" s="4800">
        <f t="shared" ref="W39:X39" si="59">SUM(W32:W38)</f>
        <v>0</v>
      </c>
      <c r="X39" s="4800">
        <f t="shared" si="59"/>
        <v>9537</v>
      </c>
      <c r="Y39" s="4800">
        <f t="shared" ref="Y39:AB39" si="60">SUM(Y32:Y38)</f>
        <v>0</v>
      </c>
      <c r="Z39" s="4800">
        <f t="shared" si="60"/>
        <v>5259</v>
      </c>
      <c r="AA39" s="4800">
        <f t="shared" si="60"/>
        <v>9537</v>
      </c>
      <c r="AB39" s="4800">
        <f t="shared" si="60"/>
        <v>9537</v>
      </c>
      <c r="AD39" s="4726">
        <f>+AB21+AB29+AB39</f>
        <v>404434.28099999996</v>
      </c>
    </row>
    <row r="40" spans="1:30" ht="17" thickBot="1" x14ac:dyDescent="0.2">
      <c r="A40" s="4796"/>
      <c r="B40" s="4804"/>
      <c r="C40" s="4805"/>
      <c r="D40" s="4805"/>
      <c r="E40" s="4805"/>
      <c r="F40" s="4806"/>
      <c r="G40" s="4804"/>
      <c r="H40" s="4805"/>
      <c r="I40" s="4804"/>
      <c r="J40" s="4805"/>
      <c r="K40" s="4804"/>
      <c r="L40" s="4806"/>
      <c r="M40" s="4805"/>
      <c r="N40" s="4804"/>
      <c r="O40" s="4805"/>
      <c r="P40" s="4804"/>
      <c r="Q40" s="4805"/>
      <c r="R40" s="4804"/>
      <c r="S40" s="4806"/>
      <c r="T40" s="4805"/>
      <c r="U40" s="4804"/>
      <c r="V40" s="4805"/>
      <c r="W40" s="4804"/>
      <c r="X40" s="4805"/>
      <c r="Y40" s="4804"/>
      <c r="Z40" s="4806"/>
      <c r="AA40" s="4805"/>
      <c r="AB40" s="4805"/>
    </row>
    <row r="41" spans="1:30" ht="21" thickBot="1" x14ac:dyDescent="0.25">
      <c r="A41" s="4807" t="s">
        <v>15</v>
      </c>
      <c r="B41" s="4808">
        <f t="shared" ref="B41:AB41" si="61">+B21+B29+B39</f>
        <v>21729</v>
      </c>
      <c r="C41" s="4808">
        <f t="shared" si="61"/>
        <v>35733.67</v>
      </c>
      <c r="D41" s="4808">
        <f t="shared" si="61"/>
        <v>57462.67</v>
      </c>
      <c r="E41" s="4808">
        <f t="shared" si="61"/>
        <v>44038.846999999994</v>
      </c>
      <c r="F41" s="4808">
        <f t="shared" si="61"/>
        <v>101501.51699999999</v>
      </c>
      <c r="G41" s="4808">
        <f t="shared" si="61"/>
        <v>55341.317000000003</v>
      </c>
      <c r="H41" s="4808">
        <f t="shared" si="61"/>
        <v>156842.83399999997</v>
      </c>
      <c r="I41" s="4808">
        <f t="shared" si="61"/>
        <v>39087.800000000003</v>
      </c>
      <c r="J41" s="4808">
        <f t="shared" si="61"/>
        <v>195930.63399999999</v>
      </c>
      <c r="K41" s="4808">
        <f t="shared" si="61"/>
        <v>10757</v>
      </c>
      <c r="L41" s="4808">
        <f t="shared" si="61"/>
        <v>105186.117</v>
      </c>
      <c r="M41" s="4808">
        <f t="shared" si="61"/>
        <v>206687.63399999999</v>
      </c>
      <c r="N41" s="4808">
        <f t="shared" si="61"/>
        <v>20340</v>
      </c>
      <c r="O41" s="4808">
        <f t="shared" si="61"/>
        <v>227027.63399999999</v>
      </c>
      <c r="P41" s="4808">
        <f t="shared" si="61"/>
        <v>29673</v>
      </c>
      <c r="Q41" s="4808">
        <f t="shared" si="61"/>
        <v>256700.63399999999</v>
      </c>
      <c r="R41" s="4808">
        <f t="shared" si="61"/>
        <v>28266</v>
      </c>
      <c r="S41" s="4808">
        <f t="shared" si="61"/>
        <v>78279</v>
      </c>
      <c r="T41" s="4808">
        <f t="shared" si="61"/>
        <v>284966.63399999996</v>
      </c>
      <c r="U41" s="4808">
        <f t="shared" si="61"/>
        <v>34496</v>
      </c>
      <c r="V41" s="4808">
        <f t="shared" si="61"/>
        <v>319462.63399999996</v>
      </c>
      <c r="W41" s="4808">
        <f t="shared" si="61"/>
        <v>43087</v>
      </c>
      <c r="X41" s="4808">
        <f t="shared" si="61"/>
        <v>357250.63400000002</v>
      </c>
      <c r="Y41" s="4808">
        <f t="shared" si="61"/>
        <v>47183.646999999997</v>
      </c>
      <c r="Z41" s="4808">
        <f t="shared" si="61"/>
        <v>123881.647</v>
      </c>
      <c r="AA41" s="4808">
        <f t="shared" si="61"/>
        <v>202017.647</v>
      </c>
      <c r="AB41" s="4808">
        <f t="shared" si="61"/>
        <v>404434.28099999996</v>
      </c>
    </row>
  </sheetData>
  <mergeCells count="3">
    <mergeCell ref="A4:A5"/>
    <mergeCell ref="A2:T2"/>
    <mergeCell ref="B4:AB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517AC"/>
    <pageSetUpPr fitToPage="1"/>
  </sheetPr>
  <dimension ref="B1:BG153"/>
  <sheetViews>
    <sheetView zoomScale="115" zoomScaleNormal="115" workbookViewId="0">
      <pane xSplit="4" topLeftCell="BB1" activePane="topRight" state="frozen"/>
      <selection pane="topRight" activeCell="AY126" sqref="AY126"/>
    </sheetView>
  </sheetViews>
  <sheetFormatPr baseColWidth="10" defaultColWidth="8.83203125" defaultRowHeight="15" x14ac:dyDescent="0.2"/>
  <cols>
    <col min="2" max="2" width="39.33203125" bestFit="1" customWidth="1"/>
    <col min="3" max="3" width="25.6640625" style="7398" bestFit="1" customWidth="1"/>
    <col min="4" max="4" width="15.1640625" bestFit="1" customWidth="1"/>
    <col min="5" max="5" width="9" style="2100" customWidth="1"/>
    <col min="6" max="6" width="9" style="2265" customWidth="1"/>
    <col min="7" max="7" width="9" style="2100" customWidth="1"/>
    <col min="8" max="8" width="9" style="2265" customWidth="1"/>
    <col min="9" max="9" width="9" style="2100" customWidth="1"/>
    <col min="10" max="10" width="9" style="2265" customWidth="1"/>
    <col min="11" max="11" width="9" style="2100" customWidth="1"/>
    <col min="12" max="12" width="9" style="2265" customWidth="1"/>
    <col min="13" max="13" width="10.1640625" style="2100" customWidth="1"/>
    <col min="14" max="14" width="10.1640625" style="2265" customWidth="1"/>
    <col min="15" max="15" width="9" style="2100" customWidth="1"/>
    <col min="16" max="16" width="9" style="2265" customWidth="1"/>
    <col min="17" max="17" width="10.1640625" style="2100" customWidth="1"/>
    <col min="18" max="18" width="10.1640625" style="2265" customWidth="1"/>
    <col min="19" max="20" width="9" customWidth="1"/>
    <col min="21" max="22" width="10.1640625" customWidth="1"/>
    <col min="23" max="23" width="9" customWidth="1"/>
    <col min="24" max="24" width="9" style="2265" customWidth="1"/>
    <col min="25" max="26" width="10.1640625" style="6486" customWidth="1"/>
    <col min="27" max="28" width="10.1640625" customWidth="1"/>
    <col min="30" max="30" width="8.6640625" bestFit="1" customWidth="1"/>
    <col min="31" max="32" width="10.1640625" bestFit="1" customWidth="1"/>
    <col min="34" max="34" width="9" bestFit="1" customWidth="1"/>
    <col min="35" max="36" width="10.1640625" bestFit="1" customWidth="1"/>
    <col min="37" max="38" width="9" bestFit="1" customWidth="1"/>
    <col min="39" max="42" width="10.1640625" bestFit="1" customWidth="1"/>
    <col min="45" max="45" width="10.1640625" bestFit="1" customWidth="1"/>
    <col min="46" max="46" width="10.5" bestFit="1" customWidth="1"/>
    <col min="48" max="48" width="10.5" bestFit="1" customWidth="1"/>
    <col min="49" max="50" width="10.1640625" bestFit="1" customWidth="1"/>
    <col min="51" max="51" width="9.1640625" style="8260"/>
    <col min="52" max="52" width="10.5" style="8260" bestFit="1" customWidth="1"/>
    <col min="53" max="54" width="10.1640625" style="8260" customWidth="1"/>
    <col min="55" max="55" width="11.33203125" style="8260" customWidth="1"/>
    <col min="56" max="56" width="12.1640625" style="8260" customWidth="1"/>
    <col min="57" max="58" width="10.1640625" style="8260" customWidth="1"/>
  </cols>
  <sheetData>
    <row r="1" spans="2:59" ht="23" x14ac:dyDescent="0.25">
      <c r="B1" s="1641" t="s">
        <v>181</v>
      </c>
      <c r="C1" s="1641"/>
      <c r="D1" s="1537"/>
      <c r="E1" s="2883"/>
      <c r="F1" s="1833"/>
      <c r="G1" s="2883"/>
      <c r="H1" s="1833"/>
      <c r="I1" s="2883"/>
      <c r="J1" s="1833"/>
      <c r="BG1" s="1673">
        <f>+BF5+BM!BF5</f>
        <v>838322.99600000004</v>
      </c>
    </row>
    <row r="2" spans="2:59" ht="16" thickBot="1" x14ac:dyDescent="0.25">
      <c r="B2" s="1537"/>
      <c r="C2" s="1537"/>
      <c r="D2" s="1537"/>
      <c r="E2" s="2842">
        <v>30</v>
      </c>
      <c r="F2" s="2318">
        <v>30</v>
      </c>
      <c r="G2" s="2842">
        <v>31</v>
      </c>
      <c r="H2" s="2318">
        <v>31</v>
      </c>
      <c r="I2" s="2842">
        <f>+E2+G2</f>
        <v>61</v>
      </c>
      <c r="J2" s="2318">
        <f>+F2+H2</f>
        <v>61</v>
      </c>
      <c r="K2" s="2842">
        <v>30</v>
      </c>
      <c r="L2" s="2318">
        <v>30</v>
      </c>
      <c r="M2" s="2842">
        <f>+I2+K2</f>
        <v>91</v>
      </c>
      <c r="N2" s="2318">
        <f>+J2+L2</f>
        <v>91</v>
      </c>
      <c r="O2" s="2842">
        <v>31</v>
      </c>
      <c r="P2" s="2318">
        <v>31</v>
      </c>
      <c r="Q2" s="2842">
        <f>+M2+O2</f>
        <v>122</v>
      </c>
      <c r="R2" s="2318">
        <f>+N2+P2</f>
        <v>122</v>
      </c>
      <c r="S2" s="2842">
        <v>31</v>
      </c>
      <c r="T2" s="2318">
        <v>31</v>
      </c>
      <c r="U2" s="2842">
        <f>+Q2+S2</f>
        <v>153</v>
      </c>
      <c r="V2" s="2318">
        <f>+R2+T2</f>
        <v>153</v>
      </c>
      <c r="W2" s="2842">
        <v>30</v>
      </c>
      <c r="X2" s="2318">
        <v>30</v>
      </c>
      <c r="Y2" s="2842">
        <f>+O2+S2+W2</f>
        <v>92</v>
      </c>
      <c r="Z2" s="2842">
        <f>+P2+T2+X2</f>
        <v>92</v>
      </c>
      <c r="AA2" s="2842">
        <f>+U2+W2</f>
        <v>183</v>
      </c>
      <c r="AB2" s="2842">
        <f>+V2+X2</f>
        <v>183</v>
      </c>
      <c r="AC2" s="2842">
        <v>31</v>
      </c>
      <c r="AD2" s="2318">
        <v>31</v>
      </c>
      <c r="AE2" s="2842">
        <f>+AA2+AC2</f>
        <v>214</v>
      </c>
      <c r="AF2" s="2318">
        <f>+AB2+AD2</f>
        <v>214</v>
      </c>
      <c r="AG2" s="2842">
        <v>30</v>
      </c>
      <c r="AH2" s="2318">
        <v>30</v>
      </c>
      <c r="AI2" s="2842">
        <f>+AE2+AG2</f>
        <v>244</v>
      </c>
      <c r="AJ2" s="2318">
        <f>+AF2+AH2</f>
        <v>244</v>
      </c>
      <c r="AK2" s="2842">
        <v>31</v>
      </c>
      <c r="AL2" s="2318">
        <v>31</v>
      </c>
      <c r="AM2" s="2842">
        <f>+AC2+AG2+AK2</f>
        <v>92</v>
      </c>
      <c r="AN2" s="2842">
        <f>+AD2+AH2+AL2</f>
        <v>92</v>
      </c>
      <c r="AO2" s="2842">
        <f>+AI2+AK2</f>
        <v>275</v>
      </c>
      <c r="AP2" s="2842">
        <f>+AJ2+AL2</f>
        <v>275</v>
      </c>
      <c r="AQ2" s="2842">
        <v>31</v>
      </c>
      <c r="AR2" s="2318">
        <v>31</v>
      </c>
      <c r="AS2" s="2842">
        <f>+AO2+AQ2</f>
        <v>306</v>
      </c>
      <c r="AT2" s="2318">
        <f>+AP2+AR2</f>
        <v>306</v>
      </c>
      <c r="AU2" s="2842">
        <v>28</v>
      </c>
      <c r="AV2" s="2318">
        <v>28</v>
      </c>
      <c r="AW2" s="2842">
        <f>+AS2+AU2</f>
        <v>334</v>
      </c>
      <c r="AX2" s="2318">
        <f>+AT2+AV2</f>
        <v>334</v>
      </c>
      <c r="AY2" s="2842">
        <v>31</v>
      </c>
      <c r="AZ2" s="2318">
        <v>31</v>
      </c>
      <c r="BA2" s="2842">
        <f>+AQ2+AU2+AY2</f>
        <v>90</v>
      </c>
      <c r="BB2" s="2842">
        <f>+AR2+AV2+AZ2</f>
        <v>90</v>
      </c>
      <c r="BC2" s="2842">
        <f>+BA2+AM2</f>
        <v>182</v>
      </c>
      <c r="BD2" s="2842">
        <f>+BB2+AN2</f>
        <v>182</v>
      </c>
      <c r="BE2" s="2842">
        <f>+AW2+AY2</f>
        <v>365</v>
      </c>
      <c r="BF2" s="2842">
        <f>+AX2+AZ2</f>
        <v>365</v>
      </c>
    </row>
    <row r="3" spans="2:59" ht="16.5" customHeight="1" thickBot="1" x14ac:dyDescent="0.25">
      <c r="B3" s="8640" t="s">
        <v>657</v>
      </c>
      <c r="C3" s="8929" t="s">
        <v>2269</v>
      </c>
      <c r="D3" s="8926" t="s">
        <v>658</v>
      </c>
      <c r="E3" s="8644" t="s">
        <v>1859</v>
      </c>
      <c r="F3" s="8645"/>
      <c r="G3" s="8644" t="s">
        <v>1862</v>
      </c>
      <c r="H3" s="8644"/>
      <c r="I3" s="8646" t="s">
        <v>52</v>
      </c>
      <c r="J3" s="8647"/>
      <c r="K3" s="8703" t="s">
        <v>1863</v>
      </c>
      <c r="L3" s="8644"/>
      <c r="M3" s="8698" t="s">
        <v>605</v>
      </c>
      <c r="N3" s="8699"/>
      <c r="O3" s="8644" t="s">
        <v>1864</v>
      </c>
      <c r="P3" s="8644"/>
      <c r="Q3" s="8646" t="s">
        <v>62</v>
      </c>
      <c r="R3" s="8647"/>
      <c r="S3" s="8644" t="s">
        <v>2160</v>
      </c>
      <c r="T3" s="8644"/>
      <c r="U3" s="8646" t="s">
        <v>64</v>
      </c>
      <c r="V3" s="8647"/>
      <c r="W3" s="8644" t="s">
        <v>2227</v>
      </c>
      <c r="X3" s="8644"/>
      <c r="Y3" s="8698" t="s">
        <v>1717</v>
      </c>
      <c r="Z3" s="8699"/>
      <c r="AA3" s="8701" t="s">
        <v>1697</v>
      </c>
      <c r="AB3" s="8702"/>
      <c r="AC3" s="8644" t="s">
        <v>2265</v>
      </c>
      <c r="AD3" s="8644"/>
      <c r="AE3" s="8646" t="s">
        <v>101</v>
      </c>
      <c r="AF3" s="8647"/>
      <c r="AG3" s="8644" t="s">
        <v>2423</v>
      </c>
      <c r="AH3" s="8644"/>
      <c r="AI3" s="8646" t="s">
        <v>105</v>
      </c>
      <c r="AJ3" s="8647"/>
      <c r="AK3" s="8644" t="s">
        <v>2449</v>
      </c>
      <c r="AL3" s="8644"/>
      <c r="AM3" s="8698" t="s">
        <v>1756</v>
      </c>
      <c r="AN3" s="8699"/>
      <c r="AO3" s="8646" t="s">
        <v>108</v>
      </c>
      <c r="AP3" s="8647"/>
      <c r="AQ3" s="8644" t="s">
        <v>2533</v>
      </c>
      <c r="AR3" s="8644"/>
      <c r="AS3" s="8646" t="s">
        <v>110</v>
      </c>
      <c r="AT3" s="8647"/>
      <c r="AU3" s="8644" t="s">
        <v>2577</v>
      </c>
      <c r="AV3" s="8644"/>
      <c r="AW3" s="8646" t="s">
        <v>113</v>
      </c>
      <c r="AX3" s="8647"/>
      <c r="AY3" s="8644" t="s">
        <v>2600</v>
      </c>
      <c r="AZ3" s="8644"/>
      <c r="BA3" s="8698" t="s">
        <v>1757</v>
      </c>
      <c r="BB3" s="8699"/>
      <c r="BC3" s="8698" t="s">
        <v>1842</v>
      </c>
      <c r="BD3" s="8699"/>
      <c r="BE3" s="8701" t="s">
        <v>1865</v>
      </c>
      <c r="BF3" s="8702"/>
    </row>
    <row r="4" spans="2:59" ht="15.75" customHeight="1" thickBot="1" x14ac:dyDescent="0.25">
      <c r="B4" s="8641"/>
      <c r="C4" s="8930"/>
      <c r="D4" s="8927"/>
      <c r="E4" s="8387" t="s">
        <v>659</v>
      </c>
      <c r="F4" s="3833" t="s">
        <v>660</v>
      </c>
      <c r="G4" s="8387" t="s">
        <v>659</v>
      </c>
      <c r="H4" s="3909" t="s">
        <v>660</v>
      </c>
      <c r="I4" s="3373" t="s">
        <v>659</v>
      </c>
      <c r="J4" s="3866" t="s">
        <v>660</v>
      </c>
      <c r="K4" s="3910" t="s">
        <v>659</v>
      </c>
      <c r="L4" s="3856" t="s">
        <v>660</v>
      </c>
      <c r="M4" s="8388" t="s">
        <v>659</v>
      </c>
      <c r="N4" s="3888" t="s">
        <v>660</v>
      </c>
      <c r="O4" s="8387" t="s">
        <v>659</v>
      </c>
      <c r="P4" s="3909" t="s">
        <v>660</v>
      </c>
      <c r="Q4" s="3373" t="s">
        <v>659</v>
      </c>
      <c r="R4" s="3866" t="s">
        <v>660</v>
      </c>
      <c r="S4" s="8387" t="s">
        <v>659</v>
      </c>
      <c r="T4" s="3909" t="s">
        <v>660</v>
      </c>
      <c r="U4" s="3373" t="s">
        <v>659</v>
      </c>
      <c r="V4" s="3866" t="s">
        <v>660</v>
      </c>
      <c r="W4" s="8387" t="s">
        <v>659</v>
      </c>
      <c r="X4" s="3909" t="s">
        <v>660</v>
      </c>
      <c r="Y4" s="8388" t="s">
        <v>659</v>
      </c>
      <c r="Z4" s="3888" t="s">
        <v>660</v>
      </c>
      <c r="AA4" s="8390" t="s">
        <v>659</v>
      </c>
      <c r="AB4" s="6624" t="s">
        <v>660</v>
      </c>
      <c r="AC4" s="8387" t="s">
        <v>659</v>
      </c>
      <c r="AD4" s="3909" t="s">
        <v>660</v>
      </c>
      <c r="AE4" s="3373" t="s">
        <v>659</v>
      </c>
      <c r="AF4" s="3866" t="s">
        <v>660</v>
      </c>
      <c r="AG4" s="8387" t="s">
        <v>659</v>
      </c>
      <c r="AH4" s="3909" t="s">
        <v>660</v>
      </c>
      <c r="AI4" s="3373" t="s">
        <v>659</v>
      </c>
      <c r="AJ4" s="3866" t="s">
        <v>660</v>
      </c>
      <c r="AK4" s="8387" t="s">
        <v>659</v>
      </c>
      <c r="AL4" s="3909" t="s">
        <v>660</v>
      </c>
      <c r="AM4" s="8388" t="s">
        <v>659</v>
      </c>
      <c r="AN4" s="3888" t="s">
        <v>660</v>
      </c>
      <c r="AO4" s="3373" t="s">
        <v>659</v>
      </c>
      <c r="AP4" s="3866" t="s">
        <v>660</v>
      </c>
      <c r="AQ4" s="8387" t="s">
        <v>659</v>
      </c>
      <c r="AR4" s="3909" t="s">
        <v>660</v>
      </c>
      <c r="AS4" s="3373" t="s">
        <v>659</v>
      </c>
      <c r="AT4" s="3866" t="s">
        <v>660</v>
      </c>
      <c r="AU4" s="8387" t="s">
        <v>659</v>
      </c>
      <c r="AV4" s="3909" t="s">
        <v>660</v>
      </c>
      <c r="AW4" s="3373" t="s">
        <v>659</v>
      </c>
      <c r="AX4" s="3866" t="s">
        <v>660</v>
      </c>
      <c r="AY4" s="8387" t="s">
        <v>659</v>
      </c>
      <c r="AZ4" s="3909" t="s">
        <v>660</v>
      </c>
      <c r="BA4" s="8388" t="s">
        <v>659</v>
      </c>
      <c r="BB4" s="3888" t="s">
        <v>660</v>
      </c>
      <c r="BC4" s="8388" t="s">
        <v>659</v>
      </c>
      <c r="BD4" s="3888" t="s">
        <v>660</v>
      </c>
      <c r="BE4" s="8390" t="s">
        <v>659</v>
      </c>
      <c r="BF4" s="6624" t="s">
        <v>660</v>
      </c>
    </row>
    <row r="5" spans="2:59" ht="17" thickBot="1" x14ac:dyDescent="0.25">
      <c r="B5" s="1747" t="s">
        <v>2263</v>
      </c>
      <c r="C5" s="8931"/>
      <c r="D5" s="8927"/>
      <c r="E5" s="1751">
        <v>15116.609992882679</v>
      </c>
      <c r="F5" s="3914">
        <v>15116.61</v>
      </c>
      <c r="G5" s="1751">
        <v>18463.139665678187</v>
      </c>
      <c r="H5" s="3204">
        <v>18462.847000000002</v>
      </c>
      <c r="I5" s="1882">
        <f>+E5+G5</f>
        <v>33579.749658560868</v>
      </c>
      <c r="J5" s="2412">
        <f>+F5+H5</f>
        <v>33579.457000000002</v>
      </c>
      <c r="K5" s="1752">
        <v>37800</v>
      </c>
      <c r="L5" s="5798">
        <v>32660.146999999997</v>
      </c>
      <c r="M5" s="8389">
        <f>+I5+K5</f>
        <v>71379.749658560875</v>
      </c>
      <c r="N5" s="5030">
        <f>+J5+L5</f>
        <v>66239.603999999992</v>
      </c>
      <c r="O5" s="1751">
        <v>36382.536382536382</v>
      </c>
      <c r="P5" s="3204">
        <v>34031.136000000006</v>
      </c>
      <c r="Q5" s="1882">
        <f>+M5+O5</f>
        <v>107762.28604109725</v>
      </c>
      <c r="R5" s="2412">
        <f>+N5+P5</f>
        <v>100270.73999999999</v>
      </c>
      <c r="S5" s="1751">
        <v>36382.536382536382</v>
      </c>
      <c r="T5" s="3204">
        <v>35465.703000000001</v>
      </c>
      <c r="U5" s="1882">
        <f>+Q5+S5</f>
        <v>144144.82242363362</v>
      </c>
      <c r="V5" s="2412">
        <f>+R5+T5</f>
        <v>135736.443</v>
      </c>
      <c r="W5" s="1751">
        <v>33264.033264033264</v>
      </c>
      <c r="X5" s="3204">
        <v>28322.554000000004</v>
      </c>
      <c r="Y5" s="8389">
        <f>+O5+S5+W5</f>
        <v>106029.10602910603</v>
      </c>
      <c r="Z5" s="6646">
        <f>+P5+T5+X5</f>
        <v>97819.393000000011</v>
      </c>
      <c r="AA5" s="6626">
        <f>+U5+W5</f>
        <v>177408.85568766689</v>
      </c>
      <c r="AB5" s="6627">
        <f>+V5+X5</f>
        <v>164058.997</v>
      </c>
      <c r="AC5" s="1751">
        <v>41450.777202072539</v>
      </c>
      <c r="AD5" s="3204">
        <v>28498.431000000004</v>
      </c>
      <c r="AE5" s="1882">
        <f>+AA5+AC5</f>
        <v>218859.63288973941</v>
      </c>
      <c r="AF5" s="2412">
        <f>+AB5+AD5</f>
        <v>192557.42800000001</v>
      </c>
      <c r="AG5" s="1751">
        <v>46890.996187564779</v>
      </c>
      <c r="AH5" s="3204">
        <v>34991.047000000006</v>
      </c>
      <c r="AI5" s="1882">
        <f>+AE5+AG5</f>
        <v>265750.62907730421</v>
      </c>
      <c r="AJ5" s="2412">
        <f>+AF5+AH5</f>
        <v>227548.47500000003</v>
      </c>
      <c r="AK5" s="1751">
        <v>47973.096099585498</v>
      </c>
      <c r="AL5" s="3204">
        <v>36876.957000000002</v>
      </c>
      <c r="AM5" s="8389">
        <f>+AC5+AG5+AK5</f>
        <v>136314.86948922282</v>
      </c>
      <c r="AN5" s="6646">
        <f>+AD5+AH5+AL5</f>
        <v>100366.43500000001</v>
      </c>
      <c r="AO5" s="1882">
        <f>+AI5+AK5</f>
        <v>313723.72517688968</v>
      </c>
      <c r="AP5" s="2412">
        <f>+AJ5+AL5</f>
        <v>264425.43200000003</v>
      </c>
      <c r="AQ5" s="1751">
        <v>47973.096099585498</v>
      </c>
      <c r="AR5" s="3204">
        <v>38194.975000000013</v>
      </c>
      <c r="AS5" s="1882">
        <f>+AO5+AQ5</f>
        <v>361696.82127647521</v>
      </c>
      <c r="AT5" s="2412">
        <f>+AP5+AR5</f>
        <v>302620.40700000006</v>
      </c>
      <c r="AU5" s="1751">
        <v>43284</v>
      </c>
      <c r="AV5" s="3204">
        <v>32827.548000000003</v>
      </c>
      <c r="AW5" s="1882">
        <f>+AS5+AU5</f>
        <v>404980.82127647521</v>
      </c>
      <c r="AX5" s="2412">
        <f>+AT5+AV5</f>
        <v>335447.95500000007</v>
      </c>
      <c r="AY5" s="1751">
        <v>48098</v>
      </c>
      <c r="AZ5" s="3204">
        <v>39998.243999999999</v>
      </c>
      <c r="BA5" s="8389">
        <f>+AQ5+AU5+AY5</f>
        <v>139355.0960995855</v>
      </c>
      <c r="BB5" s="6646">
        <f>+AR5+AV5+AZ5</f>
        <v>111020.76700000002</v>
      </c>
      <c r="BC5" s="8389">
        <f>+BA5+AM5</f>
        <v>275669.96558880829</v>
      </c>
      <c r="BD5" s="6646">
        <f>+BB5+AN5</f>
        <v>211387.20200000005</v>
      </c>
      <c r="BE5" s="6626">
        <f>+AW5+AY5</f>
        <v>453078.82127647521</v>
      </c>
      <c r="BF5" s="6627">
        <f>+AX5+AZ5</f>
        <v>375446.19900000008</v>
      </c>
    </row>
    <row r="6" spans="2:59" s="3380" customFormat="1" ht="16" x14ac:dyDescent="0.2">
      <c r="B6" s="4375" t="s">
        <v>809</v>
      </c>
      <c r="C6" s="6673"/>
      <c r="D6" s="4918"/>
      <c r="E6" s="7446"/>
      <c r="F6" s="4920"/>
      <c r="G6" s="7446"/>
      <c r="H6" s="4921"/>
      <c r="I6" s="4919"/>
      <c r="J6" s="4920"/>
      <c r="K6" s="4922"/>
      <c r="L6" s="4920"/>
      <c r="M6" s="5326"/>
      <c r="N6" s="5306"/>
      <c r="O6" s="4922"/>
      <c r="P6" s="4920"/>
      <c r="Q6" s="4922"/>
      <c r="R6" s="4920"/>
      <c r="S6" s="4922"/>
      <c r="T6" s="4920"/>
      <c r="U6" s="4922"/>
      <c r="V6" s="4920"/>
      <c r="W6" s="4922"/>
      <c r="X6" s="4920"/>
      <c r="Y6" s="5326"/>
      <c r="Z6" s="5306"/>
      <c r="AA6" s="4922"/>
      <c r="AB6" s="4920"/>
      <c r="AC6" s="4922"/>
      <c r="AD6" s="4920"/>
      <c r="AE6" s="4922"/>
      <c r="AF6" s="4920"/>
      <c r="AG6" s="4922"/>
      <c r="AH6" s="4920"/>
      <c r="AI6" s="4922"/>
      <c r="AJ6" s="4920"/>
      <c r="AK6" s="4922"/>
      <c r="AL6" s="4920"/>
      <c r="AM6" s="5326"/>
      <c r="AN6" s="5306"/>
      <c r="AO6" s="4922"/>
      <c r="AP6" s="4920"/>
      <c r="AQ6" s="4922"/>
      <c r="AR6" s="4920"/>
      <c r="AS6" s="4922"/>
      <c r="AT6" s="4920"/>
      <c r="AU6" s="4922"/>
      <c r="AV6" s="4920"/>
      <c r="AW6" s="4922"/>
      <c r="AX6" s="4920"/>
      <c r="AY6" s="4922"/>
      <c r="AZ6" s="4920"/>
      <c r="BA6" s="5326"/>
      <c r="BB6" s="5306"/>
      <c r="BC6" s="5326"/>
      <c r="BD6" s="5306"/>
      <c r="BE6" s="4922"/>
      <c r="BF6" s="8392"/>
    </row>
    <row r="7" spans="2:59" ht="16" x14ac:dyDescent="0.2">
      <c r="B7" s="3928" t="s">
        <v>2294</v>
      </c>
      <c r="C7" s="7455" t="s">
        <v>2306</v>
      </c>
      <c r="D7" s="1848" t="s">
        <v>170</v>
      </c>
      <c r="E7" s="7449"/>
      <c r="F7" s="7447"/>
      <c r="G7" s="7418"/>
      <c r="H7" s="7450"/>
      <c r="I7" s="7419"/>
      <c r="J7" s="7451">
        <f>+F7+H7</f>
        <v>0</v>
      </c>
      <c r="K7" s="7418"/>
      <c r="L7" s="1675">
        <f>160.056-8.208</f>
        <v>151.84800000000001</v>
      </c>
      <c r="M7" s="7422"/>
      <c r="N7" s="7452">
        <f t="shared" ref="N7:N93" si="0">+J7+L7</f>
        <v>151.84800000000001</v>
      </c>
      <c r="O7" s="7418"/>
      <c r="P7" s="1675">
        <v>0</v>
      </c>
      <c r="Q7" s="7419"/>
      <c r="R7" s="7451">
        <f>+N7+P7</f>
        <v>151.84800000000001</v>
      </c>
      <c r="S7" s="7418"/>
      <c r="T7" s="1675">
        <v>0</v>
      </c>
      <c r="U7" s="7419"/>
      <c r="V7" s="7451">
        <f>+R7+T7</f>
        <v>151.84800000000001</v>
      </c>
      <c r="W7" s="7418"/>
      <c r="X7" s="1675">
        <v>0</v>
      </c>
      <c r="Y7" s="7422"/>
      <c r="Z7" s="7452">
        <f>+P7+T7+X7</f>
        <v>0</v>
      </c>
      <c r="AA7" s="7423"/>
      <c r="AB7" s="7454">
        <f>+V7+X7</f>
        <v>151.84800000000001</v>
      </c>
      <c r="AC7" s="7418"/>
      <c r="AD7" s="1675">
        <f>564.3-2.052</f>
        <v>562.24799999999993</v>
      </c>
      <c r="AE7" s="7419"/>
      <c r="AF7" s="1823">
        <f t="shared" ref="AF7:AF92" si="1">+AB7+AD7</f>
        <v>714.096</v>
      </c>
      <c r="AG7" s="7418"/>
      <c r="AH7" s="1675">
        <v>0</v>
      </c>
      <c r="AI7" s="7419"/>
      <c r="AJ7" s="7451">
        <f>+AF7+AH7</f>
        <v>714.096</v>
      </c>
      <c r="AK7" s="7418"/>
      <c r="AL7" s="1675">
        <v>0</v>
      </c>
      <c r="AM7" s="7422"/>
      <c r="AN7" s="7452">
        <f>+AD7+AH7+AL7</f>
        <v>562.24799999999993</v>
      </c>
      <c r="AO7" s="7419"/>
      <c r="AP7" s="7451">
        <f>+AJ7+AL7</f>
        <v>714.096</v>
      </c>
      <c r="AQ7" s="7418"/>
      <c r="AR7" s="1675">
        <f>1129.392-28.336</f>
        <v>1101.056</v>
      </c>
      <c r="AS7" s="7419"/>
      <c r="AT7" s="7451">
        <f>+AP7+AR7</f>
        <v>1815.152</v>
      </c>
      <c r="AU7" s="7418"/>
      <c r="AV7" s="2339"/>
      <c r="AW7" s="7419"/>
      <c r="AX7" s="7451">
        <f>+AT7+AV7</f>
        <v>1815.152</v>
      </c>
      <c r="AY7" s="7418"/>
      <c r="AZ7" s="2339"/>
      <c r="BA7" s="7422"/>
      <c r="BB7" s="7452">
        <f>+AR7+AV7+AZ7</f>
        <v>1101.056</v>
      </c>
      <c r="BC7" s="7422"/>
      <c r="BD7" s="7452">
        <f>+BB7+AN7</f>
        <v>1663.3040000000001</v>
      </c>
      <c r="BE7" s="7423"/>
      <c r="BF7" s="6531">
        <f>+AX7+AZ7</f>
        <v>1815.152</v>
      </c>
    </row>
    <row r="8" spans="2:59" s="5123" customFormat="1" ht="16" x14ac:dyDescent="0.2">
      <c r="B8" s="3928" t="s">
        <v>2294</v>
      </c>
      <c r="C8" s="7455" t="s">
        <v>2307</v>
      </c>
      <c r="D8" s="1848" t="s">
        <v>170</v>
      </c>
      <c r="E8" s="7449"/>
      <c r="F8" s="7447"/>
      <c r="G8" s="7418"/>
      <c r="H8" s="7450"/>
      <c r="I8" s="7419"/>
      <c r="J8" s="7451">
        <f t="shared" ref="J8:J88" si="2">+F8+H8</f>
        <v>0</v>
      </c>
      <c r="K8" s="7418"/>
      <c r="L8" s="1675">
        <f>365.256-6.156</f>
        <v>359.09999999999997</v>
      </c>
      <c r="M8" s="7422"/>
      <c r="N8" s="7452">
        <f t="shared" si="0"/>
        <v>359.09999999999997</v>
      </c>
      <c r="O8" s="7418"/>
      <c r="P8" s="1675">
        <v>0</v>
      </c>
      <c r="Q8" s="7419"/>
      <c r="R8" s="7451">
        <f t="shared" ref="R8:R88" si="3">+N8+P8</f>
        <v>359.09999999999997</v>
      </c>
      <c r="S8" s="7418"/>
      <c r="T8" s="1675">
        <v>0</v>
      </c>
      <c r="U8" s="7419"/>
      <c r="V8" s="7451">
        <f t="shared" ref="V8:V88" si="4">+R8+T8</f>
        <v>359.09999999999997</v>
      </c>
      <c r="W8" s="7418"/>
      <c r="X8" s="1675">
        <v>0</v>
      </c>
      <c r="Y8" s="7422"/>
      <c r="Z8" s="7452">
        <f t="shared" ref="Z8:Z88" si="5">+P8+T8+X8</f>
        <v>0</v>
      </c>
      <c r="AA8" s="7423"/>
      <c r="AB8" s="7454">
        <f t="shared" ref="AB8:AB88" si="6">+V8+X8</f>
        <v>359.09999999999997</v>
      </c>
      <c r="AC8" s="7418"/>
      <c r="AD8" s="1675">
        <v>0</v>
      </c>
      <c r="AE8" s="7419"/>
      <c r="AF8" s="1823">
        <f t="shared" si="1"/>
        <v>359.09999999999997</v>
      </c>
      <c r="AG8" s="7418"/>
      <c r="AH8" s="1675">
        <v>0</v>
      </c>
      <c r="AI8" s="7419"/>
      <c r="AJ8" s="7451">
        <f t="shared" ref="AJ8:AJ88" si="7">+AF8+AH8</f>
        <v>359.09999999999997</v>
      </c>
      <c r="AK8" s="7418"/>
      <c r="AL8" s="1675">
        <v>0</v>
      </c>
      <c r="AM8" s="7422"/>
      <c r="AN8" s="7452">
        <f t="shared" ref="AN8:AN88" si="8">+AD8+AH8+AL8</f>
        <v>0</v>
      </c>
      <c r="AO8" s="7419"/>
      <c r="AP8" s="7451">
        <f t="shared" ref="AP8:AP88" si="9">+AJ8+AL8</f>
        <v>359.09999999999997</v>
      </c>
      <c r="AQ8" s="7418"/>
      <c r="AR8" s="1675">
        <v>0</v>
      </c>
      <c r="AS8" s="7419"/>
      <c r="AT8" s="7451">
        <f t="shared" ref="AT8:AT76" si="10">+AP8+AR8</f>
        <v>359.09999999999997</v>
      </c>
      <c r="AU8" s="7418"/>
      <c r="AV8" s="2339"/>
      <c r="AW8" s="7419"/>
      <c r="AX8" s="7451">
        <f t="shared" ref="AX8:AX76" si="11">+AT8+AV8</f>
        <v>359.09999999999997</v>
      </c>
      <c r="AY8" s="7418"/>
      <c r="AZ8" s="2339"/>
      <c r="BA8" s="7422"/>
      <c r="BB8" s="7452">
        <f t="shared" ref="BB8:BB74" si="12">+AR8+AV8+AZ8</f>
        <v>0</v>
      </c>
      <c r="BC8" s="7422"/>
      <c r="BD8" s="7452">
        <f t="shared" ref="BD8:BD74" si="13">+BB8+AN8</f>
        <v>0</v>
      </c>
      <c r="BE8" s="7423"/>
      <c r="BF8" s="6531">
        <f t="shared" ref="BF8:BF71" si="14">+AX8+AZ8</f>
        <v>359.09999999999997</v>
      </c>
    </row>
    <row r="9" spans="2:59" s="8094" customFormat="1" ht="16" x14ac:dyDescent="0.2">
      <c r="B9" s="3928" t="s">
        <v>2294</v>
      </c>
      <c r="C9" s="7455" t="s">
        <v>2546</v>
      </c>
      <c r="D9" s="1848" t="s">
        <v>170</v>
      </c>
      <c r="E9" s="7449"/>
      <c r="F9" s="7447"/>
      <c r="G9" s="7418"/>
      <c r="H9" s="7450"/>
      <c r="I9" s="7419"/>
      <c r="J9" s="7451"/>
      <c r="K9" s="7418"/>
      <c r="L9" s="1675"/>
      <c r="M9" s="7422"/>
      <c r="N9" s="7452"/>
      <c r="O9" s="7418"/>
      <c r="P9" s="1675"/>
      <c r="Q9" s="7419"/>
      <c r="R9" s="7451"/>
      <c r="S9" s="7418"/>
      <c r="T9" s="1675"/>
      <c r="U9" s="7419"/>
      <c r="V9" s="7451"/>
      <c r="W9" s="7418"/>
      <c r="X9" s="1675"/>
      <c r="Y9" s="7422"/>
      <c r="Z9" s="7452"/>
      <c r="AA9" s="7423"/>
      <c r="AB9" s="7454"/>
      <c r="AC9" s="7418"/>
      <c r="AD9" s="1675"/>
      <c r="AE9" s="7419"/>
      <c r="AF9" s="1823"/>
      <c r="AG9" s="7418"/>
      <c r="AH9" s="1675"/>
      <c r="AI9" s="7419"/>
      <c r="AJ9" s="7451"/>
      <c r="AK9" s="7418"/>
      <c r="AL9" s="1675"/>
      <c r="AM9" s="7422"/>
      <c r="AN9" s="7452"/>
      <c r="AO9" s="7419"/>
      <c r="AP9" s="7451"/>
      <c r="AQ9" s="7418"/>
      <c r="AR9" s="1675">
        <f>141.68-4.048</f>
        <v>137.63200000000001</v>
      </c>
      <c r="AS9" s="7419"/>
      <c r="AT9" s="7451">
        <f t="shared" si="10"/>
        <v>137.63200000000001</v>
      </c>
      <c r="AU9" s="7418"/>
      <c r="AV9" s="2339"/>
      <c r="AW9" s="7419"/>
      <c r="AX9" s="7451">
        <f t="shared" si="11"/>
        <v>137.63200000000001</v>
      </c>
      <c r="AY9" s="7418"/>
      <c r="AZ9" s="2339"/>
      <c r="BA9" s="7422"/>
      <c r="BB9" s="7452">
        <f t="shared" si="12"/>
        <v>137.63200000000001</v>
      </c>
      <c r="BC9" s="7422"/>
      <c r="BD9" s="7452">
        <f t="shared" si="13"/>
        <v>137.63200000000001</v>
      </c>
      <c r="BE9" s="7423"/>
      <c r="BF9" s="6531">
        <f t="shared" si="14"/>
        <v>137.63200000000001</v>
      </c>
    </row>
    <row r="10" spans="2:59" s="8094" customFormat="1" ht="16" x14ac:dyDescent="0.2">
      <c r="B10" s="3928" t="s">
        <v>2294</v>
      </c>
      <c r="C10" s="7455" t="s">
        <v>2454</v>
      </c>
      <c r="D10" s="1848" t="s">
        <v>170</v>
      </c>
      <c r="E10" s="7449"/>
      <c r="F10" s="7447"/>
      <c r="G10" s="7418"/>
      <c r="H10" s="7450"/>
      <c r="I10" s="7419"/>
      <c r="J10" s="7451"/>
      <c r="K10" s="7418"/>
      <c r="L10" s="1675"/>
      <c r="M10" s="7422"/>
      <c r="N10" s="7452"/>
      <c r="O10" s="7418"/>
      <c r="P10" s="1675"/>
      <c r="Q10" s="7419"/>
      <c r="R10" s="7451"/>
      <c r="S10" s="7418"/>
      <c r="T10" s="1675"/>
      <c r="U10" s="7419"/>
      <c r="V10" s="7451"/>
      <c r="W10" s="7418"/>
      <c r="X10" s="1675"/>
      <c r="Y10" s="7422"/>
      <c r="Z10" s="7452"/>
      <c r="AA10" s="7423"/>
      <c r="AB10" s="7454"/>
      <c r="AC10" s="7418"/>
      <c r="AD10" s="1675"/>
      <c r="AE10" s="7419"/>
      <c r="AF10" s="1823"/>
      <c r="AG10" s="7418"/>
      <c r="AH10" s="1675"/>
      <c r="AI10" s="7419"/>
      <c r="AJ10" s="7451"/>
      <c r="AK10" s="7418"/>
      <c r="AL10" s="1675"/>
      <c r="AM10" s="7422"/>
      <c r="AN10" s="7452"/>
      <c r="AO10" s="7419"/>
      <c r="AP10" s="7451"/>
      <c r="AQ10" s="7418"/>
      <c r="AR10" s="1675">
        <f>754.952-18.216</f>
        <v>736.73599999999999</v>
      </c>
      <c r="AS10" s="7419"/>
      <c r="AT10" s="7451">
        <f t="shared" si="10"/>
        <v>736.73599999999999</v>
      </c>
      <c r="AU10" s="7418"/>
      <c r="AV10" s="2339"/>
      <c r="AW10" s="7419"/>
      <c r="AX10" s="7451">
        <f t="shared" si="11"/>
        <v>736.73599999999999</v>
      </c>
      <c r="AY10" s="7418"/>
      <c r="AZ10" s="2339"/>
      <c r="BA10" s="7422"/>
      <c r="BB10" s="7452">
        <f t="shared" si="12"/>
        <v>736.73599999999999</v>
      </c>
      <c r="BC10" s="7422"/>
      <c r="BD10" s="7452">
        <f t="shared" si="13"/>
        <v>736.73599999999999</v>
      </c>
      <c r="BE10" s="7423"/>
      <c r="BF10" s="6531">
        <f t="shared" si="14"/>
        <v>736.73599999999999</v>
      </c>
    </row>
    <row r="11" spans="2:59" s="4756" customFormat="1" ht="16" x14ac:dyDescent="0.2">
      <c r="B11" s="3928" t="s">
        <v>2294</v>
      </c>
      <c r="C11" s="7455" t="s">
        <v>2308</v>
      </c>
      <c r="D11" s="1848" t="s">
        <v>170</v>
      </c>
      <c r="E11" s="7449"/>
      <c r="F11" s="7447"/>
      <c r="G11" s="7418"/>
      <c r="H11" s="7450"/>
      <c r="I11" s="7419"/>
      <c r="J11" s="7451">
        <f t="shared" si="2"/>
        <v>0</v>
      </c>
      <c r="K11" s="7418"/>
      <c r="L11" s="1675">
        <f>588.924-65.664</f>
        <v>523.26</v>
      </c>
      <c r="M11" s="7422"/>
      <c r="N11" s="7452">
        <f t="shared" si="0"/>
        <v>523.26</v>
      </c>
      <c r="O11" s="7418"/>
      <c r="P11" s="1675">
        <v>0</v>
      </c>
      <c r="Q11" s="7419"/>
      <c r="R11" s="7451">
        <f t="shared" si="3"/>
        <v>523.26</v>
      </c>
      <c r="S11" s="7418"/>
      <c r="T11" s="1675">
        <v>0</v>
      </c>
      <c r="U11" s="7419"/>
      <c r="V11" s="7451">
        <f t="shared" si="4"/>
        <v>523.26</v>
      </c>
      <c r="W11" s="7418"/>
      <c r="X11" s="1675">
        <v>0</v>
      </c>
      <c r="Y11" s="7422"/>
      <c r="Z11" s="7452">
        <f t="shared" si="5"/>
        <v>0</v>
      </c>
      <c r="AA11" s="7423"/>
      <c r="AB11" s="7454">
        <f t="shared" si="6"/>
        <v>523.26</v>
      </c>
      <c r="AC11" s="7418"/>
      <c r="AD11" s="1675">
        <f>1344.06-14.364</f>
        <v>1329.6959999999999</v>
      </c>
      <c r="AE11" s="7419"/>
      <c r="AF11" s="1823">
        <f t="shared" si="1"/>
        <v>1852.9559999999999</v>
      </c>
      <c r="AG11" s="7418"/>
      <c r="AH11" s="1675">
        <v>0</v>
      </c>
      <c r="AI11" s="7419"/>
      <c r="AJ11" s="7451">
        <f t="shared" si="7"/>
        <v>1852.9559999999999</v>
      </c>
      <c r="AK11" s="7418"/>
      <c r="AL11" s="1675">
        <v>0</v>
      </c>
      <c r="AM11" s="7422"/>
      <c r="AN11" s="7452">
        <f t="shared" si="8"/>
        <v>1329.6959999999999</v>
      </c>
      <c r="AO11" s="7419"/>
      <c r="AP11" s="7451">
        <f t="shared" si="9"/>
        <v>1852.9559999999999</v>
      </c>
      <c r="AQ11" s="7418"/>
      <c r="AR11" s="1675">
        <f>1993.64-28.336</f>
        <v>1965.3040000000001</v>
      </c>
      <c r="AS11" s="7419"/>
      <c r="AT11" s="7451">
        <f t="shared" si="10"/>
        <v>3818.26</v>
      </c>
      <c r="AU11" s="7418"/>
      <c r="AV11" s="2339"/>
      <c r="AW11" s="7419"/>
      <c r="AX11" s="7451">
        <f t="shared" si="11"/>
        <v>3818.26</v>
      </c>
      <c r="AY11" s="7418"/>
      <c r="AZ11" s="2339"/>
      <c r="BA11" s="7422"/>
      <c r="BB11" s="7452">
        <f t="shared" si="12"/>
        <v>1965.3040000000001</v>
      </c>
      <c r="BC11" s="7422"/>
      <c r="BD11" s="7452">
        <f t="shared" si="13"/>
        <v>3295</v>
      </c>
      <c r="BE11" s="7423"/>
      <c r="BF11" s="6531">
        <f t="shared" si="14"/>
        <v>3818.26</v>
      </c>
    </row>
    <row r="12" spans="2:59" s="8094" customFormat="1" ht="16" x14ac:dyDescent="0.2">
      <c r="B12" s="3928" t="s">
        <v>2351</v>
      </c>
      <c r="C12" s="7455" t="s">
        <v>2547</v>
      </c>
      <c r="D12" s="1848" t="s">
        <v>170</v>
      </c>
      <c r="E12" s="7449"/>
      <c r="F12" s="7447"/>
      <c r="G12" s="7418"/>
      <c r="H12" s="7450"/>
      <c r="I12" s="7419"/>
      <c r="J12" s="7451"/>
      <c r="K12" s="7418"/>
      <c r="L12" s="1675"/>
      <c r="M12" s="7422"/>
      <c r="N12" s="7452"/>
      <c r="O12" s="7418"/>
      <c r="P12" s="1675"/>
      <c r="Q12" s="7419"/>
      <c r="R12" s="7451"/>
      <c r="S12" s="7418"/>
      <c r="T12" s="1675"/>
      <c r="U12" s="7419"/>
      <c r="V12" s="7451"/>
      <c r="W12" s="7418"/>
      <c r="X12" s="1675"/>
      <c r="Y12" s="7422"/>
      <c r="Z12" s="7452"/>
      <c r="AA12" s="7423"/>
      <c r="AB12" s="7454"/>
      <c r="AC12" s="7418"/>
      <c r="AD12" s="1675"/>
      <c r="AE12" s="7419"/>
      <c r="AF12" s="1823"/>
      <c r="AG12" s="7418"/>
      <c r="AH12" s="1675"/>
      <c r="AI12" s="7419"/>
      <c r="AJ12" s="7451"/>
      <c r="AK12" s="7418"/>
      <c r="AL12" s="1675"/>
      <c r="AM12" s="7422"/>
      <c r="AN12" s="7452"/>
      <c r="AO12" s="7419"/>
      <c r="AP12" s="7451"/>
      <c r="AQ12" s="7418"/>
      <c r="AR12" s="1675">
        <f>1627.296-64.768</f>
        <v>1562.528</v>
      </c>
      <c r="AS12" s="7419"/>
      <c r="AT12" s="7451">
        <f t="shared" si="10"/>
        <v>1562.528</v>
      </c>
      <c r="AU12" s="7418"/>
      <c r="AV12" s="2339"/>
      <c r="AW12" s="7419"/>
      <c r="AX12" s="7451">
        <f t="shared" si="11"/>
        <v>1562.528</v>
      </c>
      <c r="AY12" s="7418"/>
      <c r="AZ12" s="2339"/>
      <c r="BA12" s="7422"/>
      <c r="BB12" s="7452">
        <f t="shared" si="12"/>
        <v>1562.528</v>
      </c>
      <c r="BC12" s="7422"/>
      <c r="BD12" s="7452">
        <f t="shared" si="13"/>
        <v>1562.528</v>
      </c>
      <c r="BE12" s="7423"/>
      <c r="BF12" s="6531">
        <f t="shared" si="14"/>
        <v>1562.528</v>
      </c>
    </row>
    <row r="13" spans="2:59" s="8094" customFormat="1" ht="16" x14ac:dyDescent="0.2">
      <c r="B13" s="3928" t="s">
        <v>2351</v>
      </c>
      <c r="C13" s="7455" t="s">
        <v>2548</v>
      </c>
      <c r="D13" s="1848" t="s">
        <v>170</v>
      </c>
      <c r="E13" s="7449"/>
      <c r="F13" s="7447"/>
      <c r="G13" s="7418"/>
      <c r="H13" s="7450"/>
      <c r="I13" s="7419"/>
      <c r="J13" s="7451"/>
      <c r="K13" s="7418"/>
      <c r="L13" s="1675"/>
      <c r="M13" s="7422"/>
      <c r="N13" s="7452"/>
      <c r="O13" s="7418"/>
      <c r="P13" s="1675"/>
      <c r="Q13" s="7419"/>
      <c r="R13" s="7451"/>
      <c r="S13" s="7418"/>
      <c r="T13" s="1675"/>
      <c r="U13" s="7419"/>
      <c r="V13" s="7451"/>
      <c r="W13" s="7418"/>
      <c r="X13" s="1675"/>
      <c r="Y13" s="7422"/>
      <c r="Z13" s="7452"/>
      <c r="AA13" s="7423"/>
      <c r="AB13" s="7454"/>
      <c r="AC13" s="7418"/>
      <c r="AD13" s="1675"/>
      <c r="AE13" s="7419"/>
      <c r="AF13" s="1823"/>
      <c r="AG13" s="7418"/>
      <c r="AH13" s="1675"/>
      <c r="AI13" s="7419"/>
      <c r="AJ13" s="7451"/>
      <c r="AK13" s="7418"/>
      <c r="AL13" s="1675"/>
      <c r="AM13" s="7422"/>
      <c r="AN13" s="7452"/>
      <c r="AO13" s="7419"/>
      <c r="AP13" s="7451"/>
      <c r="AQ13" s="7418"/>
      <c r="AR13" s="1675">
        <f>1090.936-14.164</f>
        <v>1076.7719999999999</v>
      </c>
      <c r="AS13" s="7419"/>
      <c r="AT13" s="7451">
        <f t="shared" si="10"/>
        <v>1076.7719999999999</v>
      </c>
      <c r="AU13" s="7418"/>
      <c r="AV13" s="2339"/>
      <c r="AW13" s="7419"/>
      <c r="AX13" s="7451">
        <f t="shared" si="11"/>
        <v>1076.7719999999999</v>
      </c>
      <c r="AY13" s="7418"/>
      <c r="AZ13" s="2339"/>
      <c r="BA13" s="7422"/>
      <c r="BB13" s="7452">
        <f t="shared" si="12"/>
        <v>1076.7719999999999</v>
      </c>
      <c r="BC13" s="7422"/>
      <c r="BD13" s="7452">
        <f t="shared" si="13"/>
        <v>1076.7719999999999</v>
      </c>
      <c r="BE13" s="7423"/>
      <c r="BF13" s="6531">
        <f t="shared" si="14"/>
        <v>1076.7719999999999</v>
      </c>
    </row>
    <row r="14" spans="2:59" s="8094" customFormat="1" ht="16" x14ac:dyDescent="0.2">
      <c r="B14" s="3928" t="s">
        <v>2351</v>
      </c>
      <c r="C14" s="7455" t="s">
        <v>2454</v>
      </c>
      <c r="D14" s="1848" t="s">
        <v>170</v>
      </c>
      <c r="E14" s="7449"/>
      <c r="F14" s="7447"/>
      <c r="G14" s="7418"/>
      <c r="H14" s="7450"/>
      <c r="I14" s="7419"/>
      <c r="J14" s="7451"/>
      <c r="K14" s="7418"/>
      <c r="L14" s="1675"/>
      <c r="M14" s="7422"/>
      <c r="N14" s="7452"/>
      <c r="O14" s="7418"/>
      <c r="P14" s="1675"/>
      <c r="Q14" s="7419"/>
      <c r="R14" s="7451"/>
      <c r="S14" s="7418"/>
      <c r="T14" s="1675"/>
      <c r="U14" s="7419"/>
      <c r="V14" s="7451"/>
      <c r="W14" s="7418"/>
      <c r="X14" s="1675"/>
      <c r="Y14" s="7422"/>
      <c r="Z14" s="7452"/>
      <c r="AA14" s="7423"/>
      <c r="AB14" s="7454"/>
      <c r="AC14" s="7418"/>
      <c r="AD14" s="1675"/>
      <c r="AE14" s="7419"/>
      <c r="AF14" s="1823"/>
      <c r="AG14" s="7418"/>
      <c r="AH14" s="1675"/>
      <c r="AI14" s="7419"/>
      <c r="AJ14" s="7451"/>
      <c r="AK14" s="7418"/>
      <c r="AL14" s="1675"/>
      <c r="AM14" s="7422"/>
      <c r="AN14" s="7452"/>
      <c r="AO14" s="7419"/>
      <c r="AP14" s="7451"/>
      <c r="AQ14" s="7418"/>
      <c r="AR14" s="1675">
        <f>629.464-4.048</f>
        <v>625.41600000000005</v>
      </c>
      <c r="AS14" s="7419"/>
      <c r="AT14" s="7451">
        <f t="shared" si="10"/>
        <v>625.41600000000005</v>
      </c>
      <c r="AU14" s="7418"/>
      <c r="AV14" s="2339"/>
      <c r="AW14" s="7419"/>
      <c r="AX14" s="7451">
        <f t="shared" si="11"/>
        <v>625.41600000000005</v>
      </c>
      <c r="AY14" s="7418"/>
      <c r="AZ14" s="2339"/>
      <c r="BA14" s="7422"/>
      <c r="BB14" s="7452">
        <f t="shared" si="12"/>
        <v>625.41600000000005</v>
      </c>
      <c r="BC14" s="7422"/>
      <c r="BD14" s="7452">
        <f t="shared" si="13"/>
        <v>625.41600000000005</v>
      </c>
      <c r="BE14" s="7423"/>
      <c r="BF14" s="6531">
        <f t="shared" si="14"/>
        <v>625.41600000000005</v>
      </c>
    </row>
    <row r="15" spans="2:59" ht="15" customHeight="1" x14ac:dyDescent="0.2">
      <c r="B15" s="3928" t="s">
        <v>2295</v>
      </c>
      <c r="C15" s="7455" t="s">
        <v>2308</v>
      </c>
      <c r="D15" s="1848" t="s">
        <v>170</v>
      </c>
      <c r="E15" s="7449"/>
      <c r="F15" s="7447"/>
      <c r="G15" s="7418"/>
      <c r="H15" s="7450"/>
      <c r="I15" s="7419"/>
      <c r="J15" s="7451">
        <f t="shared" si="2"/>
        <v>0</v>
      </c>
      <c r="K15" s="7418"/>
      <c r="L15" s="1675">
        <v>114.91200000000001</v>
      </c>
      <c r="M15" s="7422"/>
      <c r="N15" s="7452">
        <f t="shared" si="0"/>
        <v>114.91200000000001</v>
      </c>
      <c r="O15" s="7418"/>
      <c r="P15" s="1675">
        <v>0</v>
      </c>
      <c r="Q15" s="7419"/>
      <c r="R15" s="7451">
        <f t="shared" si="3"/>
        <v>114.91200000000001</v>
      </c>
      <c r="S15" s="7418"/>
      <c r="T15" s="1675">
        <v>0</v>
      </c>
      <c r="U15" s="7419"/>
      <c r="V15" s="7451">
        <f t="shared" si="4"/>
        <v>114.91200000000001</v>
      </c>
      <c r="W15" s="7418"/>
      <c r="X15" s="1675">
        <v>0</v>
      </c>
      <c r="Y15" s="7422"/>
      <c r="Z15" s="7452">
        <f t="shared" si="5"/>
        <v>0</v>
      </c>
      <c r="AA15" s="7423"/>
      <c r="AB15" s="7454">
        <f t="shared" si="6"/>
        <v>114.91200000000001</v>
      </c>
      <c r="AC15" s="7418"/>
      <c r="AD15" s="1675">
        <v>1461.0239999999999</v>
      </c>
      <c r="AE15" s="7419"/>
      <c r="AF15" s="1823">
        <f t="shared" si="1"/>
        <v>1575.9359999999999</v>
      </c>
      <c r="AG15" s="7418"/>
      <c r="AH15" s="1675">
        <v>0</v>
      </c>
      <c r="AI15" s="7419"/>
      <c r="AJ15" s="7451">
        <f t="shared" si="7"/>
        <v>1575.9359999999999</v>
      </c>
      <c r="AK15" s="7418"/>
      <c r="AL15" s="1675">
        <v>0</v>
      </c>
      <c r="AM15" s="7422"/>
      <c r="AN15" s="7452">
        <f t="shared" si="8"/>
        <v>1461.0239999999999</v>
      </c>
      <c r="AO15" s="7419"/>
      <c r="AP15" s="7451">
        <f t="shared" si="9"/>
        <v>1575.9359999999999</v>
      </c>
      <c r="AQ15" s="7418"/>
      <c r="AR15" s="1675">
        <f>1311.552-32.384</f>
        <v>1279.1679999999999</v>
      </c>
      <c r="AS15" s="7419"/>
      <c r="AT15" s="7451">
        <f t="shared" si="10"/>
        <v>2855.1039999999998</v>
      </c>
      <c r="AU15" s="7418"/>
      <c r="AV15" s="2339"/>
      <c r="AW15" s="7419"/>
      <c r="AX15" s="7451">
        <f t="shared" si="11"/>
        <v>2855.1039999999998</v>
      </c>
      <c r="AY15" s="7418"/>
      <c r="AZ15" s="2339"/>
      <c r="BA15" s="7422"/>
      <c r="BB15" s="7452">
        <f t="shared" si="12"/>
        <v>1279.1679999999999</v>
      </c>
      <c r="BC15" s="7422"/>
      <c r="BD15" s="7452">
        <f t="shared" si="13"/>
        <v>2740.192</v>
      </c>
      <c r="BE15" s="7423"/>
      <c r="BF15" s="6531">
        <f t="shared" si="14"/>
        <v>2855.1039999999998</v>
      </c>
    </row>
    <row r="16" spans="2:59" s="8094" customFormat="1" ht="15" customHeight="1" x14ac:dyDescent="0.2">
      <c r="B16" s="3928" t="s">
        <v>2295</v>
      </c>
      <c r="C16" s="7455" t="s">
        <v>2414</v>
      </c>
      <c r="D16" s="1848" t="s">
        <v>170</v>
      </c>
      <c r="E16" s="7449"/>
      <c r="F16" s="7447"/>
      <c r="G16" s="7418"/>
      <c r="H16" s="7450"/>
      <c r="I16" s="7419"/>
      <c r="J16" s="7451"/>
      <c r="K16" s="7418"/>
      <c r="L16" s="1675"/>
      <c r="M16" s="7422"/>
      <c r="N16" s="7452"/>
      <c r="O16" s="7418"/>
      <c r="P16" s="1675"/>
      <c r="Q16" s="7419"/>
      <c r="R16" s="7451"/>
      <c r="S16" s="7418"/>
      <c r="T16" s="1675"/>
      <c r="U16" s="7419"/>
      <c r="V16" s="7451"/>
      <c r="W16" s="7418"/>
      <c r="X16" s="1675"/>
      <c r="Y16" s="7422"/>
      <c r="Z16" s="7452"/>
      <c r="AA16" s="7423"/>
      <c r="AB16" s="7454"/>
      <c r="AC16" s="7418"/>
      <c r="AD16" s="1675"/>
      <c r="AE16" s="7419"/>
      <c r="AF16" s="1823"/>
      <c r="AG16" s="7418"/>
      <c r="AH16" s="1675"/>
      <c r="AI16" s="7419"/>
      <c r="AJ16" s="7451"/>
      <c r="AK16" s="7418"/>
      <c r="AL16" s="1675"/>
      <c r="AM16" s="7422"/>
      <c r="AN16" s="7452"/>
      <c r="AO16" s="7419"/>
      <c r="AP16" s="7451"/>
      <c r="AQ16" s="7418"/>
      <c r="AR16" s="1675">
        <v>854.12800000000004</v>
      </c>
      <c r="AS16" s="7419"/>
      <c r="AT16" s="7451">
        <f t="shared" si="10"/>
        <v>854.12800000000004</v>
      </c>
      <c r="AU16" s="7418"/>
      <c r="AV16" s="2339"/>
      <c r="AW16" s="7419"/>
      <c r="AX16" s="7451">
        <f t="shared" si="11"/>
        <v>854.12800000000004</v>
      </c>
      <c r="AY16" s="7418"/>
      <c r="AZ16" s="2339"/>
      <c r="BA16" s="7422"/>
      <c r="BB16" s="7452">
        <f t="shared" si="12"/>
        <v>854.12800000000004</v>
      </c>
      <c r="BC16" s="7422"/>
      <c r="BD16" s="7452">
        <f t="shared" si="13"/>
        <v>854.12800000000004</v>
      </c>
      <c r="BE16" s="7423"/>
      <c r="BF16" s="6531">
        <f t="shared" si="14"/>
        <v>854.12800000000004</v>
      </c>
    </row>
    <row r="17" spans="2:58" s="8094" customFormat="1" ht="15" customHeight="1" x14ac:dyDescent="0.2">
      <c r="B17" s="3928" t="s">
        <v>2295</v>
      </c>
      <c r="C17" s="7455" t="s">
        <v>2454</v>
      </c>
      <c r="D17" s="1848" t="s">
        <v>170</v>
      </c>
      <c r="E17" s="7449"/>
      <c r="F17" s="7447"/>
      <c r="G17" s="7418"/>
      <c r="H17" s="7450"/>
      <c r="I17" s="7419"/>
      <c r="J17" s="7451"/>
      <c r="K17" s="7418"/>
      <c r="L17" s="1675"/>
      <c r="M17" s="7422"/>
      <c r="N17" s="7452"/>
      <c r="O17" s="7418"/>
      <c r="P17" s="1675"/>
      <c r="Q17" s="7419"/>
      <c r="R17" s="7451"/>
      <c r="S17" s="7418"/>
      <c r="T17" s="1675"/>
      <c r="U17" s="7419"/>
      <c r="V17" s="7451"/>
      <c r="W17" s="7418"/>
      <c r="X17" s="1675"/>
      <c r="Y17" s="7422"/>
      <c r="Z17" s="7452"/>
      <c r="AA17" s="7423"/>
      <c r="AB17" s="7454"/>
      <c r="AC17" s="7418"/>
      <c r="AD17" s="1675"/>
      <c r="AE17" s="7419"/>
      <c r="AF17" s="1823"/>
      <c r="AG17" s="7418"/>
      <c r="AH17" s="1675"/>
      <c r="AI17" s="7419"/>
      <c r="AJ17" s="7451"/>
      <c r="AK17" s="7418"/>
      <c r="AL17" s="1675"/>
      <c r="AM17" s="7422"/>
      <c r="AN17" s="7452"/>
      <c r="AO17" s="7419"/>
      <c r="AP17" s="7451"/>
      <c r="AQ17" s="7418"/>
      <c r="AR17" s="1675">
        <v>629.46399999999994</v>
      </c>
      <c r="AS17" s="7419"/>
      <c r="AT17" s="7451">
        <f t="shared" si="10"/>
        <v>629.46399999999994</v>
      </c>
      <c r="AU17" s="7418"/>
      <c r="AV17" s="2339"/>
      <c r="AW17" s="7419"/>
      <c r="AX17" s="7451">
        <f t="shared" si="11"/>
        <v>629.46399999999994</v>
      </c>
      <c r="AY17" s="7418"/>
      <c r="AZ17" s="2339"/>
      <c r="BA17" s="7422"/>
      <c r="BB17" s="7452">
        <f t="shared" si="12"/>
        <v>629.46399999999994</v>
      </c>
      <c r="BC17" s="7422"/>
      <c r="BD17" s="7452">
        <f t="shared" si="13"/>
        <v>629.46399999999994</v>
      </c>
      <c r="BE17" s="7423"/>
      <c r="BF17" s="6531">
        <f t="shared" si="14"/>
        <v>629.46399999999994</v>
      </c>
    </row>
    <row r="18" spans="2:58" ht="15" customHeight="1" x14ac:dyDescent="0.2">
      <c r="B18" s="3928" t="s">
        <v>2295</v>
      </c>
      <c r="C18" s="7455" t="s">
        <v>2306</v>
      </c>
      <c r="D18" s="1848" t="s">
        <v>170</v>
      </c>
      <c r="E18" s="7449"/>
      <c r="F18" s="7447"/>
      <c r="G18" s="7418"/>
      <c r="H18" s="7450"/>
      <c r="I18" s="7419"/>
      <c r="J18" s="7451">
        <f t="shared" si="2"/>
        <v>0</v>
      </c>
      <c r="K18" s="7418"/>
      <c r="L18" s="1675">
        <f>1085.508-73.872</f>
        <v>1011.6360000000001</v>
      </c>
      <c r="M18" s="7422"/>
      <c r="N18" s="7452">
        <f t="shared" si="0"/>
        <v>1011.6360000000001</v>
      </c>
      <c r="O18" s="7418"/>
      <c r="P18" s="1675">
        <v>0</v>
      </c>
      <c r="Q18" s="7419"/>
      <c r="R18" s="7451">
        <f t="shared" si="3"/>
        <v>1011.6360000000001</v>
      </c>
      <c r="S18" s="7418"/>
      <c r="T18" s="1675">
        <v>0</v>
      </c>
      <c r="U18" s="7419"/>
      <c r="V18" s="7451">
        <f t="shared" si="4"/>
        <v>1011.6360000000001</v>
      </c>
      <c r="W18" s="7418"/>
      <c r="X18" s="1675">
        <f>5091.012-55.404</f>
        <v>5035.6079999999993</v>
      </c>
      <c r="Y18" s="7422"/>
      <c r="Z18" s="7452">
        <f t="shared" si="5"/>
        <v>5035.6079999999993</v>
      </c>
      <c r="AA18" s="7423"/>
      <c r="AB18" s="7454">
        <f t="shared" si="6"/>
        <v>6047.2439999999997</v>
      </c>
      <c r="AC18" s="7418"/>
      <c r="AD18" s="1675">
        <v>4038.3360000000002</v>
      </c>
      <c r="AE18" s="7419"/>
      <c r="AF18" s="1823">
        <f t="shared" si="1"/>
        <v>10085.58</v>
      </c>
      <c r="AG18" s="7418"/>
      <c r="AH18" s="1675">
        <v>0</v>
      </c>
      <c r="AI18" s="7419"/>
      <c r="AJ18" s="7451">
        <f t="shared" si="7"/>
        <v>10085.58</v>
      </c>
      <c r="AK18" s="7418"/>
      <c r="AL18" s="1675">
        <v>0</v>
      </c>
      <c r="AM18" s="7422"/>
      <c r="AN18" s="7452">
        <f t="shared" si="8"/>
        <v>4038.3360000000002</v>
      </c>
      <c r="AO18" s="7419"/>
      <c r="AP18" s="7451">
        <f t="shared" si="9"/>
        <v>10085.58</v>
      </c>
      <c r="AQ18" s="7418"/>
      <c r="AR18" s="1675">
        <f>3930.608-22.264-4.048</f>
        <v>3904.2960000000003</v>
      </c>
      <c r="AS18" s="7419"/>
      <c r="AT18" s="7451">
        <f t="shared" si="10"/>
        <v>13989.876</v>
      </c>
      <c r="AU18" s="7418"/>
      <c r="AV18" s="2339"/>
      <c r="AW18" s="7419"/>
      <c r="AX18" s="7451">
        <f t="shared" si="11"/>
        <v>13989.876</v>
      </c>
      <c r="AY18" s="7418"/>
      <c r="AZ18" s="2339"/>
      <c r="BA18" s="7422"/>
      <c r="BB18" s="7452">
        <f t="shared" si="12"/>
        <v>3904.2960000000003</v>
      </c>
      <c r="BC18" s="7422"/>
      <c r="BD18" s="7452">
        <f t="shared" si="13"/>
        <v>7942.6320000000005</v>
      </c>
      <c r="BE18" s="7423"/>
      <c r="BF18" s="6531">
        <f t="shared" si="14"/>
        <v>13989.876</v>
      </c>
    </row>
    <row r="19" spans="2:58" ht="15" customHeight="1" x14ac:dyDescent="0.2">
      <c r="B19" s="3928" t="s">
        <v>2295</v>
      </c>
      <c r="C19" s="7455" t="s">
        <v>2309</v>
      </c>
      <c r="D19" s="1848" t="s">
        <v>170</v>
      </c>
      <c r="E19" s="7449"/>
      <c r="F19" s="7447"/>
      <c r="G19" s="7418"/>
      <c r="H19" s="7450"/>
      <c r="I19" s="7419"/>
      <c r="J19" s="7451">
        <f t="shared" si="2"/>
        <v>0</v>
      </c>
      <c r="K19" s="7418"/>
      <c r="L19" s="1675">
        <v>404.24400000000003</v>
      </c>
      <c r="M19" s="7422"/>
      <c r="N19" s="7452">
        <f t="shared" si="0"/>
        <v>404.24400000000003</v>
      </c>
      <c r="O19" s="7418"/>
      <c r="P19" s="1675">
        <v>0</v>
      </c>
      <c r="Q19" s="7419"/>
      <c r="R19" s="7451">
        <f t="shared" si="3"/>
        <v>404.24400000000003</v>
      </c>
      <c r="S19" s="7418"/>
      <c r="T19" s="1675">
        <v>0</v>
      </c>
      <c r="U19" s="7419"/>
      <c r="V19" s="7451">
        <f t="shared" si="4"/>
        <v>404.24400000000003</v>
      </c>
      <c r="W19" s="7418"/>
      <c r="X19" s="1675">
        <v>0</v>
      </c>
      <c r="Y19" s="7422"/>
      <c r="Z19" s="7452">
        <f t="shared" si="5"/>
        <v>0</v>
      </c>
      <c r="AA19" s="7423"/>
      <c r="AB19" s="7454">
        <f t="shared" si="6"/>
        <v>404.24400000000003</v>
      </c>
      <c r="AC19" s="7418"/>
      <c r="AD19" s="1675">
        <v>0</v>
      </c>
      <c r="AE19" s="7419"/>
      <c r="AF19" s="1823">
        <f t="shared" si="1"/>
        <v>404.24400000000003</v>
      </c>
      <c r="AG19" s="7418"/>
      <c r="AH19" s="1675">
        <v>0</v>
      </c>
      <c r="AI19" s="7419"/>
      <c r="AJ19" s="7451">
        <f t="shared" si="7"/>
        <v>404.24400000000003</v>
      </c>
      <c r="AK19" s="7418"/>
      <c r="AL19" s="1675">
        <v>0</v>
      </c>
      <c r="AM19" s="7422"/>
      <c r="AN19" s="7452">
        <f t="shared" si="8"/>
        <v>0</v>
      </c>
      <c r="AO19" s="7419"/>
      <c r="AP19" s="7451">
        <f t="shared" si="9"/>
        <v>404.24400000000003</v>
      </c>
      <c r="AQ19" s="7418"/>
      <c r="AR19" s="1675"/>
      <c r="AS19" s="7419"/>
      <c r="AT19" s="7451">
        <f t="shared" si="10"/>
        <v>404.24400000000003</v>
      </c>
      <c r="AU19" s="7418"/>
      <c r="AV19" s="2339"/>
      <c r="AW19" s="7419"/>
      <c r="AX19" s="7451">
        <f t="shared" si="11"/>
        <v>404.24400000000003</v>
      </c>
      <c r="AY19" s="7418"/>
      <c r="AZ19" s="2339"/>
      <c r="BA19" s="7422"/>
      <c r="BB19" s="7452">
        <f t="shared" si="12"/>
        <v>0</v>
      </c>
      <c r="BC19" s="7422"/>
      <c r="BD19" s="7452">
        <f t="shared" si="13"/>
        <v>0</v>
      </c>
      <c r="BE19" s="7423"/>
      <c r="BF19" s="6531">
        <f t="shared" si="14"/>
        <v>404.24400000000003</v>
      </c>
    </row>
    <row r="20" spans="2:58" ht="15" customHeight="1" x14ac:dyDescent="0.2">
      <c r="B20" s="3928" t="s">
        <v>2295</v>
      </c>
      <c r="C20" s="7455" t="s">
        <v>2296</v>
      </c>
      <c r="D20" s="1848" t="s">
        <v>170</v>
      </c>
      <c r="E20" s="7449"/>
      <c r="F20" s="7447"/>
      <c r="G20" s="7418"/>
      <c r="H20" s="7450"/>
      <c r="I20" s="7419"/>
      <c r="J20" s="7451">
        <f t="shared" si="2"/>
        <v>0</v>
      </c>
      <c r="K20" s="7418"/>
      <c r="L20" s="1675">
        <v>110.80800000000001</v>
      </c>
      <c r="M20" s="7422"/>
      <c r="N20" s="7452">
        <f t="shared" si="0"/>
        <v>110.80800000000001</v>
      </c>
      <c r="O20" s="7418"/>
      <c r="P20" s="1675">
        <v>0</v>
      </c>
      <c r="Q20" s="7419"/>
      <c r="R20" s="7451">
        <f t="shared" si="3"/>
        <v>110.80800000000001</v>
      </c>
      <c r="S20" s="7418"/>
      <c r="T20" s="1675">
        <v>0</v>
      </c>
      <c r="U20" s="7419"/>
      <c r="V20" s="7451">
        <f t="shared" si="4"/>
        <v>110.80800000000001</v>
      </c>
      <c r="W20" s="7418"/>
      <c r="X20" s="1675">
        <v>0</v>
      </c>
      <c r="Y20" s="7422"/>
      <c r="Z20" s="7452">
        <f t="shared" si="5"/>
        <v>0</v>
      </c>
      <c r="AA20" s="7423"/>
      <c r="AB20" s="7454">
        <f t="shared" si="6"/>
        <v>110.80800000000001</v>
      </c>
      <c r="AC20" s="7418"/>
      <c r="AD20" s="1675">
        <v>0</v>
      </c>
      <c r="AE20" s="7419"/>
      <c r="AF20" s="1823">
        <f t="shared" si="1"/>
        <v>110.80800000000001</v>
      </c>
      <c r="AG20" s="7418"/>
      <c r="AH20" s="1675">
        <v>0</v>
      </c>
      <c r="AI20" s="7419"/>
      <c r="AJ20" s="7451">
        <f t="shared" si="7"/>
        <v>110.80800000000001</v>
      </c>
      <c r="AK20" s="7418"/>
      <c r="AL20" s="1675">
        <v>0</v>
      </c>
      <c r="AM20" s="7422"/>
      <c r="AN20" s="7452">
        <f t="shared" si="8"/>
        <v>0</v>
      </c>
      <c r="AO20" s="7419"/>
      <c r="AP20" s="7451">
        <f t="shared" si="9"/>
        <v>110.80800000000001</v>
      </c>
      <c r="AQ20" s="7418"/>
      <c r="AR20" s="1675"/>
      <c r="AS20" s="7419"/>
      <c r="AT20" s="7451">
        <f t="shared" si="10"/>
        <v>110.80800000000001</v>
      </c>
      <c r="AU20" s="7418"/>
      <c r="AV20" s="2339"/>
      <c r="AW20" s="7419"/>
      <c r="AX20" s="7451">
        <f t="shared" si="11"/>
        <v>110.80800000000001</v>
      </c>
      <c r="AY20" s="7418"/>
      <c r="AZ20" s="2339"/>
      <c r="BA20" s="7422"/>
      <c r="BB20" s="7452">
        <f t="shared" si="12"/>
        <v>0</v>
      </c>
      <c r="BC20" s="7422"/>
      <c r="BD20" s="7452">
        <f t="shared" si="13"/>
        <v>0</v>
      </c>
      <c r="BE20" s="7423"/>
      <c r="BF20" s="6531">
        <f t="shared" si="14"/>
        <v>110.80800000000001</v>
      </c>
    </row>
    <row r="21" spans="2:58" s="7398" customFormat="1" ht="15" customHeight="1" x14ac:dyDescent="0.2">
      <c r="B21" s="3928" t="s">
        <v>2325</v>
      </c>
      <c r="C21" s="7455" t="s">
        <v>2326</v>
      </c>
      <c r="D21" s="1848" t="s">
        <v>170</v>
      </c>
      <c r="E21" s="7449"/>
      <c r="F21" s="7447"/>
      <c r="G21" s="7418"/>
      <c r="H21" s="7450"/>
      <c r="I21" s="7419"/>
      <c r="J21" s="7451">
        <f t="shared" si="2"/>
        <v>0</v>
      </c>
      <c r="K21" s="7418"/>
      <c r="L21" s="1675"/>
      <c r="M21" s="7422"/>
      <c r="N21" s="7452">
        <f t="shared" si="0"/>
        <v>0</v>
      </c>
      <c r="O21" s="7418"/>
      <c r="P21" s="1675"/>
      <c r="Q21" s="7419"/>
      <c r="R21" s="7451">
        <f t="shared" si="3"/>
        <v>0</v>
      </c>
      <c r="S21" s="7418"/>
      <c r="T21" s="1675"/>
      <c r="U21" s="7419"/>
      <c r="V21" s="7451">
        <f t="shared" si="4"/>
        <v>0</v>
      </c>
      <c r="W21" s="7418"/>
      <c r="X21" s="1675"/>
      <c r="Y21" s="7422"/>
      <c r="Z21" s="7452">
        <f t="shared" si="5"/>
        <v>0</v>
      </c>
      <c r="AA21" s="7423"/>
      <c r="AB21" s="7454">
        <f t="shared" si="6"/>
        <v>0</v>
      </c>
      <c r="AC21" s="7418"/>
      <c r="AD21" s="3184">
        <v>1036.26</v>
      </c>
      <c r="AE21" s="7419"/>
      <c r="AF21" s="1823">
        <f t="shared" si="1"/>
        <v>1036.26</v>
      </c>
      <c r="AG21" s="7418"/>
      <c r="AH21" s="1675">
        <v>0</v>
      </c>
      <c r="AI21" s="7419"/>
      <c r="AJ21" s="7451">
        <f t="shared" si="7"/>
        <v>1036.26</v>
      </c>
      <c r="AK21" s="7418"/>
      <c r="AL21" s="1675">
        <v>0</v>
      </c>
      <c r="AM21" s="7422"/>
      <c r="AN21" s="7452">
        <f t="shared" si="8"/>
        <v>1036.26</v>
      </c>
      <c r="AO21" s="7419"/>
      <c r="AP21" s="7451">
        <f t="shared" si="9"/>
        <v>1036.26</v>
      </c>
      <c r="AQ21" s="7418"/>
      <c r="AR21" s="1675"/>
      <c r="AS21" s="7419"/>
      <c r="AT21" s="7451">
        <f t="shared" si="10"/>
        <v>1036.26</v>
      </c>
      <c r="AU21" s="7418"/>
      <c r="AV21" s="2339"/>
      <c r="AW21" s="7419"/>
      <c r="AX21" s="7451">
        <f t="shared" si="11"/>
        <v>1036.26</v>
      </c>
      <c r="AY21" s="7418"/>
      <c r="AZ21" s="2339"/>
      <c r="BA21" s="7422"/>
      <c r="BB21" s="7452">
        <f t="shared" si="12"/>
        <v>0</v>
      </c>
      <c r="BC21" s="7422"/>
      <c r="BD21" s="7452">
        <f t="shared" si="13"/>
        <v>1036.26</v>
      </c>
      <c r="BE21" s="7423"/>
      <c r="BF21" s="6531">
        <f t="shared" si="14"/>
        <v>1036.26</v>
      </c>
    </row>
    <row r="22" spans="2:58" s="7828" customFormat="1" ht="15" customHeight="1" x14ac:dyDescent="0.2">
      <c r="B22" s="3928" t="s">
        <v>2325</v>
      </c>
      <c r="C22" s="7455" t="s">
        <v>2414</v>
      </c>
      <c r="D22" s="1848" t="s">
        <v>170</v>
      </c>
      <c r="E22" s="7449"/>
      <c r="F22" s="7447"/>
      <c r="G22" s="7418"/>
      <c r="H22" s="7450"/>
      <c r="I22" s="7419"/>
      <c r="J22" s="7451">
        <f t="shared" si="2"/>
        <v>0</v>
      </c>
      <c r="K22" s="7418"/>
      <c r="L22" s="1675"/>
      <c r="M22" s="7422"/>
      <c r="N22" s="7452">
        <f t="shared" si="0"/>
        <v>0</v>
      </c>
      <c r="O22" s="7418"/>
      <c r="P22" s="1675"/>
      <c r="Q22" s="7419"/>
      <c r="R22" s="7451">
        <f t="shared" si="3"/>
        <v>0</v>
      </c>
      <c r="S22" s="7418"/>
      <c r="T22" s="1675"/>
      <c r="U22" s="7419"/>
      <c r="V22" s="7451">
        <f t="shared" si="4"/>
        <v>0</v>
      </c>
      <c r="W22" s="7418"/>
      <c r="X22" s="1675"/>
      <c r="Y22" s="7422"/>
      <c r="Z22" s="7452">
        <f t="shared" si="5"/>
        <v>0</v>
      </c>
      <c r="AA22" s="7423"/>
      <c r="AB22" s="7454">
        <f t="shared" si="6"/>
        <v>0</v>
      </c>
      <c r="AC22" s="7418"/>
      <c r="AD22" s="3184"/>
      <c r="AE22" s="7419"/>
      <c r="AF22" s="1823">
        <f t="shared" si="1"/>
        <v>0</v>
      </c>
      <c r="AG22" s="7418"/>
      <c r="AH22" s="1675"/>
      <c r="AI22" s="7419"/>
      <c r="AJ22" s="7451">
        <f t="shared" si="7"/>
        <v>0</v>
      </c>
      <c r="AK22" s="7418"/>
      <c r="AL22" s="1675">
        <f>3075.3-30.78</f>
        <v>3044.52</v>
      </c>
      <c r="AM22" s="7422"/>
      <c r="AN22" s="7452">
        <f t="shared" si="8"/>
        <v>3044.52</v>
      </c>
      <c r="AO22" s="7419"/>
      <c r="AP22" s="7451">
        <f t="shared" si="9"/>
        <v>3044.52</v>
      </c>
      <c r="AQ22" s="7418"/>
      <c r="AR22" s="1675"/>
      <c r="AS22" s="7419"/>
      <c r="AT22" s="7451">
        <f t="shared" si="10"/>
        <v>3044.52</v>
      </c>
      <c r="AU22" s="7418"/>
      <c r="AV22" s="2339"/>
      <c r="AW22" s="7419"/>
      <c r="AX22" s="7451">
        <f t="shared" si="11"/>
        <v>3044.52</v>
      </c>
      <c r="AY22" s="7418"/>
      <c r="AZ22" s="2339"/>
      <c r="BA22" s="7422"/>
      <c r="BB22" s="7452">
        <f t="shared" si="12"/>
        <v>0</v>
      </c>
      <c r="BC22" s="7422"/>
      <c r="BD22" s="7452">
        <f t="shared" si="13"/>
        <v>3044.52</v>
      </c>
      <c r="BE22" s="7423"/>
      <c r="BF22" s="6531">
        <f t="shared" si="14"/>
        <v>3044.52</v>
      </c>
    </row>
    <row r="23" spans="2:58" s="7828" customFormat="1" ht="15" customHeight="1" x14ac:dyDescent="0.2">
      <c r="B23" s="3928" t="s">
        <v>2325</v>
      </c>
      <c r="C23" s="7455" t="s">
        <v>2454</v>
      </c>
      <c r="D23" s="1848" t="s">
        <v>170</v>
      </c>
      <c r="E23" s="7449"/>
      <c r="F23" s="7447"/>
      <c r="G23" s="7418"/>
      <c r="H23" s="7450"/>
      <c r="I23" s="7419"/>
      <c r="J23" s="7451">
        <f t="shared" si="2"/>
        <v>0</v>
      </c>
      <c r="K23" s="7418"/>
      <c r="L23" s="1675"/>
      <c r="M23" s="7422"/>
      <c r="N23" s="7452">
        <f t="shared" si="0"/>
        <v>0</v>
      </c>
      <c r="O23" s="7418"/>
      <c r="P23" s="1675"/>
      <c r="Q23" s="7419"/>
      <c r="R23" s="7451">
        <f t="shared" si="3"/>
        <v>0</v>
      </c>
      <c r="S23" s="7418"/>
      <c r="T23" s="1675"/>
      <c r="U23" s="7419"/>
      <c r="V23" s="7451">
        <f t="shared" si="4"/>
        <v>0</v>
      </c>
      <c r="W23" s="7418"/>
      <c r="X23" s="1675"/>
      <c r="Y23" s="7422"/>
      <c r="Z23" s="7452">
        <f t="shared" si="5"/>
        <v>0</v>
      </c>
      <c r="AA23" s="7423"/>
      <c r="AB23" s="7454">
        <f t="shared" si="6"/>
        <v>0</v>
      </c>
      <c r="AC23" s="7418"/>
      <c r="AD23" s="3184"/>
      <c r="AE23" s="7419"/>
      <c r="AF23" s="1823">
        <f t="shared" si="1"/>
        <v>0</v>
      </c>
      <c r="AG23" s="7418"/>
      <c r="AH23" s="1675"/>
      <c r="AI23" s="7419"/>
      <c r="AJ23" s="7451">
        <f t="shared" si="7"/>
        <v>0</v>
      </c>
      <c r="AK23" s="7418"/>
      <c r="AL23" s="1675">
        <v>518.57999999999993</v>
      </c>
      <c r="AM23" s="7422"/>
      <c r="AN23" s="7452">
        <f t="shared" si="8"/>
        <v>518.57999999999993</v>
      </c>
      <c r="AO23" s="7419"/>
      <c r="AP23" s="7451">
        <f t="shared" si="9"/>
        <v>518.57999999999993</v>
      </c>
      <c r="AQ23" s="7418"/>
      <c r="AR23" s="1675"/>
      <c r="AS23" s="7419"/>
      <c r="AT23" s="7451">
        <f t="shared" si="10"/>
        <v>518.57999999999993</v>
      </c>
      <c r="AU23" s="7418"/>
      <c r="AV23" s="2339"/>
      <c r="AW23" s="7419"/>
      <c r="AX23" s="7451">
        <f t="shared" si="11"/>
        <v>518.57999999999993</v>
      </c>
      <c r="AY23" s="7418"/>
      <c r="AZ23" s="2339"/>
      <c r="BA23" s="7422"/>
      <c r="BB23" s="7452">
        <f t="shared" si="12"/>
        <v>0</v>
      </c>
      <c r="BC23" s="7422"/>
      <c r="BD23" s="7452">
        <f t="shared" si="13"/>
        <v>518.57999999999993</v>
      </c>
      <c r="BE23" s="7423"/>
      <c r="BF23" s="6531">
        <f t="shared" si="14"/>
        <v>518.57999999999993</v>
      </c>
    </row>
    <row r="24" spans="2:58" s="7828" customFormat="1" ht="15" customHeight="1" x14ac:dyDescent="0.2">
      <c r="B24" s="3928" t="s">
        <v>2325</v>
      </c>
      <c r="C24" s="7455" t="s">
        <v>2306</v>
      </c>
      <c r="D24" s="1848" t="s">
        <v>170</v>
      </c>
      <c r="E24" s="7449"/>
      <c r="F24" s="7447"/>
      <c r="G24" s="7418"/>
      <c r="H24" s="7450"/>
      <c r="I24" s="7419"/>
      <c r="J24" s="7451">
        <f t="shared" si="2"/>
        <v>0</v>
      </c>
      <c r="K24" s="7418"/>
      <c r="L24" s="1675"/>
      <c r="M24" s="7422"/>
      <c r="N24" s="7452">
        <f t="shared" si="0"/>
        <v>0</v>
      </c>
      <c r="O24" s="7418"/>
      <c r="P24" s="1675"/>
      <c r="Q24" s="7419"/>
      <c r="R24" s="7451">
        <f t="shared" si="3"/>
        <v>0</v>
      </c>
      <c r="S24" s="7418"/>
      <c r="T24" s="1675"/>
      <c r="U24" s="7419"/>
      <c r="V24" s="7451">
        <f t="shared" si="4"/>
        <v>0</v>
      </c>
      <c r="W24" s="7418"/>
      <c r="X24" s="1675"/>
      <c r="Y24" s="7422"/>
      <c r="Z24" s="7452">
        <f t="shared" si="5"/>
        <v>0</v>
      </c>
      <c r="AA24" s="7423"/>
      <c r="AB24" s="7454">
        <f t="shared" si="6"/>
        <v>0</v>
      </c>
      <c r="AC24" s="7418"/>
      <c r="AD24" s="3184"/>
      <c r="AE24" s="7419"/>
      <c r="AF24" s="1823">
        <f t="shared" si="1"/>
        <v>0</v>
      </c>
      <c r="AG24" s="7418"/>
      <c r="AH24" s="1675"/>
      <c r="AI24" s="7419"/>
      <c r="AJ24" s="7451">
        <f t="shared" si="7"/>
        <v>0</v>
      </c>
      <c r="AK24" s="7418"/>
      <c r="AL24" s="1675">
        <v>906.50999999999988</v>
      </c>
      <c r="AM24" s="7422"/>
      <c r="AN24" s="7452">
        <f t="shared" si="8"/>
        <v>906.50999999999988</v>
      </c>
      <c r="AO24" s="7419"/>
      <c r="AP24" s="7451">
        <f t="shared" si="9"/>
        <v>906.50999999999988</v>
      </c>
      <c r="AQ24" s="7418"/>
      <c r="AR24" s="1675"/>
      <c r="AS24" s="7419"/>
      <c r="AT24" s="7451">
        <f t="shared" si="10"/>
        <v>906.50999999999988</v>
      </c>
      <c r="AU24" s="7418"/>
      <c r="AV24" s="2339"/>
      <c r="AW24" s="7419"/>
      <c r="AX24" s="7451">
        <f t="shared" si="11"/>
        <v>906.50999999999988</v>
      </c>
      <c r="AY24" s="7418"/>
      <c r="AZ24" s="2339"/>
      <c r="BA24" s="7422"/>
      <c r="BB24" s="7452">
        <f t="shared" si="12"/>
        <v>0</v>
      </c>
      <c r="BC24" s="7422"/>
      <c r="BD24" s="7452">
        <f t="shared" si="13"/>
        <v>906.50999999999988</v>
      </c>
      <c r="BE24" s="7423"/>
      <c r="BF24" s="6531">
        <f t="shared" si="14"/>
        <v>906.50999999999988</v>
      </c>
    </row>
    <row r="25" spans="2:58" s="7828" customFormat="1" ht="15" customHeight="1" x14ac:dyDescent="0.2">
      <c r="B25" s="3928" t="s">
        <v>2325</v>
      </c>
      <c r="C25" s="7455" t="s">
        <v>2308</v>
      </c>
      <c r="D25" s="1848" t="s">
        <v>170</v>
      </c>
      <c r="E25" s="7449"/>
      <c r="F25" s="7447"/>
      <c r="G25" s="7418"/>
      <c r="H25" s="7450"/>
      <c r="I25" s="7419"/>
      <c r="J25" s="7451">
        <f t="shared" si="2"/>
        <v>0</v>
      </c>
      <c r="K25" s="7418"/>
      <c r="L25" s="1675"/>
      <c r="M25" s="7422"/>
      <c r="N25" s="7452">
        <f t="shared" si="0"/>
        <v>0</v>
      </c>
      <c r="O25" s="7418"/>
      <c r="P25" s="1675"/>
      <c r="Q25" s="7419"/>
      <c r="R25" s="7451">
        <f t="shared" si="3"/>
        <v>0</v>
      </c>
      <c r="S25" s="7418"/>
      <c r="T25" s="1675"/>
      <c r="U25" s="7419"/>
      <c r="V25" s="7451">
        <f t="shared" si="4"/>
        <v>0</v>
      </c>
      <c r="W25" s="7418"/>
      <c r="X25" s="1675"/>
      <c r="Y25" s="7422"/>
      <c r="Z25" s="7452">
        <f t="shared" si="5"/>
        <v>0</v>
      </c>
      <c r="AA25" s="7423"/>
      <c r="AB25" s="7454">
        <f t="shared" si="6"/>
        <v>0</v>
      </c>
      <c r="AC25" s="7418"/>
      <c r="AD25" s="3184"/>
      <c r="AE25" s="7419"/>
      <c r="AF25" s="1823">
        <f t="shared" si="1"/>
        <v>0</v>
      </c>
      <c r="AG25" s="7418"/>
      <c r="AH25" s="1675"/>
      <c r="AI25" s="7419"/>
      <c r="AJ25" s="7451">
        <f t="shared" si="7"/>
        <v>0</v>
      </c>
      <c r="AK25" s="7418"/>
      <c r="AL25" s="1675">
        <v>492.45</v>
      </c>
      <c r="AM25" s="7422"/>
      <c r="AN25" s="7452">
        <f t="shared" si="8"/>
        <v>492.45</v>
      </c>
      <c r="AO25" s="7419"/>
      <c r="AP25" s="7451">
        <f t="shared" si="9"/>
        <v>492.45</v>
      </c>
      <c r="AQ25" s="7418"/>
      <c r="AR25" s="1675"/>
      <c r="AS25" s="7419"/>
      <c r="AT25" s="7451">
        <f t="shared" si="10"/>
        <v>492.45</v>
      </c>
      <c r="AU25" s="7418"/>
      <c r="AV25" s="2339"/>
      <c r="AW25" s="7419"/>
      <c r="AX25" s="7451">
        <f t="shared" si="11"/>
        <v>492.45</v>
      </c>
      <c r="AY25" s="7418"/>
      <c r="AZ25" s="2339"/>
      <c r="BA25" s="7422"/>
      <c r="BB25" s="7452">
        <f t="shared" si="12"/>
        <v>0</v>
      </c>
      <c r="BC25" s="7422"/>
      <c r="BD25" s="7452">
        <f t="shared" si="13"/>
        <v>492.45</v>
      </c>
      <c r="BE25" s="7423"/>
      <c r="BF25" s="6531">
        <f t="shared" si="14"/>
        <v>492.45</v>
      </c>
    </row>
    <row r="26" spans="2:58" s="7398" customFormat="1" ht="15" customHeight="1" x14ac:dyDescent="0.2">
      <c r="B26" s="3928" t="s">
        <v>2297</v>
      </c>
      <c r="C26" s="7455" t="s">
        <v>2327</v>
      </c>
      <c r="D26" s="1848" t="s">
        <v>170</v>
      </c>
      <c r="E26" s="7449"/>
      <c r="F26" s="7447"/>
      <c r="G26" s="7418"/>
      <c r="H26" s="7450"/>
      <c r="I26" s="7419"/>
      <c r="J26" s="7451">
        <f t="shared" si="2"/>
        <v>0</v>
      </c>
      <c r="K26" s="7418"/>
      <c r="L26" s="1675"/>
      <c r="M26" s="7422"/>
      <c r="N26" s="7452">
        <f t="shared" si="0"/>
        <v>0</v>
      </c>
      <c r="O26" s="7418"/>
      <c r="P26" s="1675"/>
      <c r="Q26" s="7419"/>
      <c r="R26" s="7451">
        <f t="shared" si="3"/>
        <v>0</v>
      </c>
      <c r="S26" s="7418"/>
      <c r="T26" s="1675"/>
      <c r="U26" s="7419"/>
      <c r="V26" s="7451">
        <f t="shared" si="4"/>
        <v>0</v>
      </c>
      <c r="W26" s="7418"/>
      <c r="X26" s="1675"/>
      <c r="Y26" s="7422"/>
      <c r="Z26" s="7452">
        <f t="shared" si="5"/>
        <v>0</v>
      </c>
      <c r="AA26" s="7423"/>
      <c r="AB26" s="7454">
        <f t="shared" si="6"/>
        <v>0</v>
      </c>
      <c r="AC26" s="7418"/>
      <c r="AD26" s="3184">
        <v>1366.6320000000001</v>
      </c>
      <c r="AE26" s="7419"/>
      <c r="AF26" s="1823">
        <f t="shared" si="1"/>
        <v>1366.6320000000001</v>
      </c>
      <c r="AG26" s="7418"/>
      <c r="AH26" s="1675">
        <v>0</v>
      </c>
      <c r="AI26" s="7419"/>
      <c r="AJ26" s="7451">
        <f t="shared" si="7"/>
        <v>1366.6320000000001</v>
      </c>
      <c r="AK26" s="7418"/>
      <c r="AL26" s="1675">
        <v>0</v>
      </c>
      <c r="AM26" s="7422"/>
      <c r="AN26" s="7452">
        <f t="shared" si="8"/>
        <v>1366.6320000000001</v>
      </c>
      <c r="AO26" s="7419"/>
      <c r="AP26" s="7451">
        <f t="shared" si="9"/>
        <v>1366.6320000000001</v>
      </c>
      <c r="AQ26" s="7418"/>
      <c r="AR26" s="1675"/>
      <c r="AS26" s="7419"/>
      <c r="AT26" s="7451">
        <f t="shared" si="10"/>
        <v>1366.6320000000001</v>
      </c>
      <c r="AU26" s="7418"/>
      <c r="AV26" s="2339"/>
      <c r="AW26" s="7419"/>
      <c r="AX26" s="7451">
        <f t="shared" si="11"/>
        <v>1366.6320000000001</v>
      </c>
      <c r="AY26" s="7418"/>
      <c r="AZ26" s="2339"/>
      <c r="BA26" s="7422"/>
      <c r="BB26" s="7452">
        <f t="shared" si="12"/>
        <v>0</v>
      </c>
      <c r="BC26" s="7422"/>
      <c r="BD26" s="7452">
        <f t="shared" si="13"/>
        <v>1366.6320000000001</v>
      </c>
      <c r="BE26" s="7423"/>
      <c r="BF26" s="6531">
        <f t="shared" si="14"/>
        <v>1366.6320000000001</v>
      </c>
    </row>
    <row r="27" spans="2:58" ht="16" x14ac:dyDescent="0.2">
      <c r="B27" s="3928" t="s">
        <v>2297</v>
      </c>
      <c r="C27" s="7455" t="s">
        <v>2310</v>
      </c>
      <c r="D27" s="1848" t="s">
        <v>170</v>
      </c>
      <c r="E27" s="7418"/>
      <c r="F27" s="7447">
        <v>0</v>
      </c>
      <c r="G27" s="7418"/>
      <c r="H27" s="2840">
        <f>2378.268-102.5</f>
        <v>2275.768</v>
      </c>
      <c r="I27" s="7419"/>
      <c r="J27" s="7451">
        <f t="shared" si="2"/>
        <v>2275.768</v>
      </c>
      <c r="K27" s="7418"/>
      <c r="L27" s="1675">
        <f>3346.812-153.9</f>
        <v>3192.9119999999998</v>
      </c>
      <c r="M27" s="7422"/>
      <c r="N27" s="7452">
        <f t="shared" si="0"/>
        <v>5468.68</v>
      </c>
      <c r="O27" s="7418"/>
      <c r="P27" s="1675">
        <f>2109.46-24.624</f>
        <v>2084.8360000000002</v>
      </c>
      <c r="Q27" s="7419"/>
      <c r="R27" s="7451">
        <f t="shared" si="3"/>
        <v>7553.5160000000005</v>
      </c>
      <c r="S27" s="7418"/>
      <c r="T27" s="1675">
        <f>3724.38-100.548</f>
        <v>3623.8320000000003</v>
      </c>
      <c r="U27" s="7419"/>
      <c r="V27" s="7451">
        <f t="shared" si="4"/>
        <v>11177.348000000002</v>
      </c>
      <c r="W27" s="7418"/>
      <c r="X27" s="1675">
        <v>0</v>
      </c>
      <c r="Y27" s="7422"/>
      <c r="Z27" s="7452">
        <f t="shared" si="5"/>
        <v>5708.6680000000006</v>
      </c>
      <c r="AA27" s="7423"/>
      <c r="AB27" s="7454">
        <f t="shared" si="6"/>
        <v>11177.348000000002</v>
      </c>
      <c r="AC27" s="7418"/>
      <c r="AD27" s="3184">
        <f>2532.168-26.676</f>
        <v>2505.4920000000002</v>
      </c>
      <c r="AE27" s="7419"/>
      <c r="AF27" s="1823">
        <f t="shared" si="1"/>
        <v>13682.840000000002</v>
      </c>
      <c r="AG27" s="7418"/>
      <c r="AH27" s="1675">
        <v>0</v>
      </c>
      <c r="AI27" s="7419"/>
      <c r="AJ27" s="7451">
        <f t="shared" si="7"/>
        <v>13682.840000000002</v>
      </c>
      <c r="AK27" s="7418"/>
      <c r="AL27" s="1675">
        <v>0</v>
      </c>
      <c r="AM27" s="7422"/>
      <c r="AN27" s="7452">
        <f t="shared" si="8"/>
        <v>2505.4920000000002</v>
      </c>
      <c r="AO27" s="7419"/>
      <c r="AP27" s="7451">
        <f t="shared" si="9"/>
        <v>13682.840000000002</v>
      </c>
      <c r="AQ27" s="7418"/>
      <c r="AR27" s="1675"/>
      <c r="AS27" s="7419"/>
      <c r="AT27" s="7451">
        <f t="shared" si="10"/>
        <v>13682.840000000002</v>
      </c>
      <c r="AU27" s="7418"/>
      <c r="AV27" s="2339"/>
      <c r="AW27" s="7419"/>
      <c r="AX27" s="7451">
        <f t="shared" si="11"/>
        <v>13682.840000000002</v>
      </c>
      <c r="AY27" s="7418"/>
      <c r="AZ27" s="1675">
        <f>4663.84-127.512</f>
        <v>4536.3280000000004</v>
      </c>
      <c r="BA27" s="7422"/>
      <c r="BB27" s="7452">
        <f t="shared" si="12"/>
        <v>4536.3280000000004</v>
      </c>
      <c r="BC27" s="7422"/>
      <c r="BD27" s="7452">
        <f t="shared" si="13"/>
        <v>7041.8200000000006</v>
      </c>
      <c r="BE27" s="7423"/>
      <c r="BF27" s="6531">
        <f t="shared" si="14"/>
        <v>18219.168000000001</v>
      </c>
    </row>
    <row r="28" spans="2:58" s="7398" customFormat="1" ht="16" x14ac:dyDescent="0.2">
      <c r="B28" s="3928" t="s">
        <v>2297</v>
      </c>
      <c r="C28" s="7455" t="s">
        <v>2308</v>
      </c>
      <c r="D28" s="1848" t="s">
        <v>170</v>
      </c>
      <c r="E28" s="7418"/>
      <c r="F28" s="7447"/>
      <c r="G28" s="7418"/>
      <c r="H28" s="2840"/>
      <c r="I28" s="7419"/>
      <c r="J28" s="7451">
        <f t="shared" si="2"/>
        <v>0</v>
      </c>
      <c r="K28" s="7418"/>
      <c r="L28" s="1675"/>
      <c r="M28" s="7422"/>
      <c r="N28" s="7452">
        <f t="shared" si="0"/>
        <v>0</v>
      </c>
      <c r="O28" s="7418"/>
      <c r="P28" s="1675"/>
      <c r="Q28" s="7419"/>
      <c r="R28" s="7451">
        <f t="shared" si="3"/>
        <v>0</v>
      </c>
      <c r="S28" s="7418"/>
      <c r="T28" s="1675"/>
      <c r="U28" s="7419"/>
      <c r="V28" s="7451">
        <f t="shared" si="4"/>
        <v>0</v>
      </c>
      <c r="W28" s="7418"/>
      <c r="X28" s="1675"/>
      <c r="Y28" s="7422"/>
      <c r="Z28" s="7452">
        <f t="shared" si="5"/>
        <v>0</v>
      </c>
      <c r="AA28" s="7423"/>
      <c r="AB28" s="7454">
        <f t="shared" si="6"/>
        <v>0</v>
      </c>
      <c r="AC28" s="7418"/>
      <c r="AD28" s="3184">
        <v>139.536</v>
      </c>
      <c r="AE28" s="7419"/>
      <c r="AF28" s="1823">
        <f t="shared" si="1"/>
        <v>139.536</v>
      </c>
      <c r="AG28" s="7418"/>
      <c r="AH28" s="1675">
        <v>0</v>
      </c>
      <c r="AI28" s="7419"/>
      <c r="AJ28" s="7451">
        <f t="shared" si="7"/>
        <v>139.536</v>
      </c>
      <c r="AK28" s="7418"/>
      <c r="AL28" s="1675">
        <v>0</v>
      </c>
      <c r="AM28" s="7422"/>
      <c r="AN28" s="7452">
        <f t="shared" si="8"/>
        <v>139.536</v>
      </c>
      <c r="AO28" s="7419"/>
      <c r="AP28" s="7451">
        <f t="shared" si="9"/>
        <v>139.536</v>
      </c>
      <c r="AQ28" s="7418"/>
      <c r="AR28" s="1675"/>
      <c r="AS28" s="7419"/>
      <c r="AT28" s="7451">
        <f t="shared" si="10"/>
        <v>139.536</v>
      </c>
      <c r="AU28" s="7418"/>
      <c r="AV28" s="2339"/>
      <c r="AW28" s="7419"/>
      <c r="AX28" s="7451">
        <f t="shared" si="11"/>
        <v>139.536</v>
      </c>
      <c r="AY28" s="7418"/>
      <c r="AZ28" s="1675"/>
      <c r="BA28" s="7422"/>
      <c r="BB28" s="7452">
        <f t="shared" si="12"/>
        <v>0</v>
      </c>
      <c r="BC28" s="7422"/>
      <c r="BD28" s="7452">
        <f t="shared" si="13"/>
        <v>139.536</v>
      </c>
      <c r="BE28" s="7423"/>
      <c r="BF28" s="6531">
        <f t="shared" si="14"/>
        <v>139.536</v>
      </c>
    </row>
    <row r="29" spans="2:58" s="8386" customFormat="1" ht="16" x14ac:dyDescent="0.2">
      <c r="B29" s="3928" t="s">
        <v>2297</v>
      </c>
      <c r="C29" s="7455" t="s">
        <v>2607</v>
      </c>
      <c r="D29" s="1848" t="s">
        <v>170</v>
      </c>
      <c r="E29" s="7418"/>
      <c r="F29" s="7447"/>
      <c r="G29" s="7418"/>
      <c r="H29" s="2840"/>
      <c r="I29" s="7419"/>
      <c r="J29" s="7451"/>
      <c r="K29" s="7418"/>
      <c r="L29" s="1675"/>
      <c r="M29" s="7422"/>
      <c r="N29" s="7452"/>
      <c r="O29" s="7418"/>
      <c r="P29" s="1675"/>
      <c r="Q29" s="7419"/>
      <c r="R29" s="7451"/>
      <c r="S29" s="7418"/>
      <c r="T29" s="1675"/>
      <c r="U29" s="7419"/>
      <c r="V29" s="7451"/>
      <c r="W29" s="7418"/>
      <c r="X29" s="1675"/>
      <c r="Y29" s="7422"/>
      <c r="Z29" s="7452"/>
      <c r="AA29" s="7423"/>
      <c r="AB29" s="7454"/>
      <c r="AC29" s="7418"/>
      <c r="AD29" s="3184"/>
      <c r="AE29" s="7419"/>
      <c r="AF29" s="1823"/>
      <c r="AG29" s="7418"/>
      <c r="AH29" s="1675"/>
      <c r="AI29" s="7419"/>
      <c r="AJ29" s="7451"/>
      <c r="AK29" s="7418"/>
      <c r="AL29" s="1675"/>
      <c r="AM29" s="7422"/>
      <c r="AN29" s="7452"/>
      <c r="AO29" s="7419"/>
      <c r="AP29" s="7451"/>
      <c r="AQ29" s="7418"/>
      <c r="AR29" s="1675"/>
      <c r="AS29" s="7419"/>
      <c r="AT29" s="7451"/>
      <c r="AU29" s="7418"/>
      <c r="AV29" s="2339"/>
      <c r="AW29" s="7419"/>
      <c r="AX29" s="7451"/>
      <c r="AY29" s="7418"/>
      <c r="AZ29" s="1675">
        <f>830.18-14.168</f>
        <v>816.01199999999994</v>
      </c>
      <c r="BA29" s="7422"/>
      <c r="BB29" s="7452">
        <f t="shared" si="12"/>
        <v>816.01199999999994</v>
      </c>
      <c r="BC29" s="7422"/>
      <c r="BD29" s="7452">
        <f t="shared" si="13"/>
        <v>816.01199999999994</v>
      </c>
      <c r="BE29" s="7423"/>
      <c r="BF29" s="6531">
        <f t="shared" si="14"/>
        <v>816.01199999999994</v>
      </c>
    </row>
    <row r="30" spans="2:58" ht="15" customHeight="1" x14ac:dyDescent="0.2">
      <c r="B30" s="3928" t="s">
        <v>2297</v>
      </c>
      <c r="C30" s="7455" t="s">
        <v>2311</v>
      </c>
      <c r="D30" s="1848" t="s">
        <v>170</v>
      </c>
      <c r="E30" s="7418"/>
      <c r="F30" s="7447"/>
      <c r="G30" s="7418"/>
      <c r="H30" s="2840"/>
      <c r="I30" s="7419"/>
      <c r="J30" s="7451">
        <f t="shared" si="2"/>
        <v>0</v>
      </c>
      <c r="K30" s="7418"/>
      <c r="L30" s="1675">
        <f>104.652-10.26</f>
        <v>94.391999999999996</v>
      </c>
      <c r="M30" s="7422"/>
      <c r="N30" s="7452">
        <f t="shared" si="0"/>
        <v>94.391999999999996</v>
      </c>
      <c r="O30" s="7418"/>
      <c r="P30" s="1675">
        <v>0</v>
      </c>
      <c r="Q30" s="7419"/>
      <c r="R30" s="7451">
        <f t="shared" si="3"/>
        <v>94.391999999999996</v>
      </c>
      <c r="S30" s="7418"/>
      <c r="T30" s="1675">
        <v>0</v>
      </c>
      <c r="U30" s="7419"/>
      <c r="V30" s="7451">
        <f t="shared" si="4"/>
        <v>94.391999999999996</v>
      </c>
      <c r="W30" s="7418"/>
      <c r="X30" s="1675">
        <v>0</v>
      </c>
      <c r="Y30" s="7422"/>
      <c r="Z30" s="7452">
        <f t="shared" si="5"/>
        <v>0</v>
      </c>
      <c r="AA30" s="7423"/>
      <c r="AB30" s="7454">
        <f t="shared" si="6"/>
        <v>94.391999999999996</v>
      </c>
      <c r="AC30" s="7418"/>
      <c r="AD30" s="3184">
        <v>0</v>
      </c>
      <c r="AE30" s="7419"/>
      <c r="AF30" s="1823">
        <f t="shared" si="1"/>
        <v>94.391999999999996</v>
      </c>
      <c r="AG30" s="7418"/>
      <c r="AH30" s="1675">
        <v>0</v>
      </c>
      <c r="AI30" s="7419"/>
      <c r="AJ30" s="7451">
        <f t="shared" si="7"/>
        <v>94.391999999999996</v>
      </c>
      <c r="AK30" s="7418"/>
      <c r="AL30" s="1675">
        <v>0</v>
      </c>
      <c r="AM30" s="7422"/>
      <c r="AN30" s="7452">
        <f t="shared" si="8"/>
        <v>0</v>
      </c>
      <c r="AO30" s="7419"/>
      <c r="AP30" s="7451">
        <f t="shared" si="9"/>
        <v>94.391999999999996</v>
      </c>
      <c r="AQ30" s="7418"/>
      <c r="AR30" s="1675"/>
      <c r="AS30" s="7419"/>
      <c r="AT30" s="7451">
        <f t="shared" si="10"/>
        <v>94.391999999999996</v>
      </c>
      <c r="AU30" s="7418"/>
      <c r="AV30" s="2339"/>
      <c r="AW30" s="7419"/>
      <c r="AX30" s="7451">
        <f t="shared" si="11"/>
        <v>94.391999999999996</v>
      </c>
      <c r="AY30" s="7418"/>
      <c r="AZ30" s="2339"/>
      <c r="BA30" s="7422"/>
      <c r="BB30" s="7452">
        <f t="shared" si="12"/>
        <v>0</v>
      </c>
      <c r="BC30" s="7422"/>
      <c r="BD30" s="7452">
        <f t="shared" si="13"/>
        <v>0</v>
      </c>
      <c r="BE30" s="7423"/>
      <c r="BF30" s="6531">
        <f t="shared" si="14"/>
        <v>94.391999999999996</v>
      </c>
    </row>
    <row r="31" spans="2:58" s="7398" customFormat="1" ht="15" customHeight="1" x14ac:dyDescent="0.2">
      <c r="B31" s="3928" t="s">
        <v>2297</v>
      </c>
      <c r="C31" s="7455" t="s">
        <v>2326</v>
      </c>
      <c r="D31" s="1848" t="s">
        <v>170</v>
      </c>
      <c r="E31" s="7418"/>
      <c r="F31" s="7447"/>
      <c r="G31" s="7418"/>
      <c r="H31" s="2840"/>
      <c r="I31" s="7419"/>
      <c r="J31" s="7451">
        <f t="shared" si="2"/>
        <v>0</v>
      </c>
      <c r="K31" s="7418"/>
      <c r="L31" s="1675"/>
      <c r="M31" s="7422"/>
      <c r="N31" s="7452">
        <f t="shared" si="0"/>
        <v>0</v>
      </c>
      <c r="O31" s="7418"/>
      <c r="P31" s="1675"/>
      <c r="Q31" s="7419"/>
      <c r="R31" s="7451">
        <f t="shared" si="3"/>
        <v>0</v>
      </c>
      <c r="S31" s="7418"/>
      <c r="T31" s="1675"/>
      <c r="U31" s="7419"/>
      <c r="V31" s="7451">
        <f t="shared" si="4"/>
        <v>0</v>
      </c>
      <c r="W31" s="7418"/>
      <c r="X31" s="1675"/>
      <c r="Y31" s="7422"/>
      <c r="Z31" s="7452">
        <f t="shared" si="5"/>
        <v>0</v>
      </c>
      <c r="AA31" s="7423"/>
      <c r="AB31" s="7454">
        <f t="shared" si="6"/>
        <v>0</v>
      </c>
      <c r="AC31" s="7418"/>
      <c r="AD31" s="3184">
        <f>277.02-6.156</f>
        <v>270.86399999999998</v>
      </c>
      <c r="AE31" s="7419"/>
      <c r="AF31" s="1823">
        <f t="shared" si="1"/>
        <v>270.86399999999998</v>
      </c>
      <c r="AG31" s="7418"/>
      <c r="AH31" s="1675">
        <v>0</v>
      </c>
      <c r="AI31" s="7419"/>
      <c r="AJ31" s="7451">
        <f t="shared" si="7"/>
        <v>270.86399999999998</v>
      </c>
      <c r="AK31" s="7418"/>
      <c r="AL31" s="1675">
        <v>0</v>
      </c>
      <c r="AM31" s="7422"/>
      <c r="AN31" s="7452">
        <f t="shared" si="8"/>
        <v>270.86399999999998</v>
      </c>
      <c r="AO31" s="7419"/>
      <c r="AP31" s="7451">
        <f t="shared" si="9"/>
        <v>270.86399999999998</v>
      </c>
      <c r="AQ31" s="7418"/>
      <c r="AR31" s="1675"/>
      <c r="AS31" s="7419"/>
      <c r="AT31" s="7451">
        <f t="shared" si="10"/>
        <v>270.86399999999998</v>
      </c>
      <c r="AU31" s="7418"/>
      <c r="AV31" s="2339"/>
      <c r="AW31" s="7419"/>
      <c r="AX31" s="7451">
        <f t="shared" si="11"/>
        <v>270.86399999999998</v>
      </c>
      <c r="AY31" s="7418"/>
      <c r="AZ31" s="2339"/>
      <c r="BA31" s="7422"/>
      <c r="BB31" s="7452">
        <f t="shared" si="12"/>
        <v>0</v>
      </c>
      <c r="BC31" s="7422"/>
      <c r="BD31" s="7452">
        <f t="shared" si="13"/>
        <v>270.86399999999998</v>
      </c>
      <c r="BE31" s="7423"/>
      <c r="BF31" s="6531">
        <f t="shared" si="14"/>
        <v>270.86399999999998</v>
      </c>
    </row>
    <row r="32" spans="2:58" ht="16" x14ac:dyDescent="0.2">
      <c r="B32" s="3928" t="s">
        <v>2298</v>
      </c>
      <c r="C32" s="7455" t="s">
        <v>2310</v>
      </c>
      <c r="D32" s="1848" t="s">
        <v>170</v>
      </c>
      <c r="E32" s="7418"/>
      <c r="F32" s="7447">
        <v>0</v>
      </c>
      <c r="G32" s="7418"/>
      <c r="H32" s="2840">
        <v>1561.5720000000001</v>
      </c>
      <c r="I32" s="7419"/>
      <c r="J32" s="7451">
        <f t="shared" si="2"/>
        <v>1561.5720000000001</v>
      </c>
      <c r="K32" s="7418"/>
      <c r="L32" s="1675">
        <f>3831.084-26.676</f>
        <v>3804.4079999999999</v>
      </c>
      <c r="M32" s="7422"/>
      <c r="N32" s="7452">
        <f t="shared" si="0"/>
        <v>5365.98</v>
      </c>
      <c r="O32" s="7418"/>
      <c r="P32" s="1675">
        <f>5062.28-8.208</f>
        <v>5054.0720000000001</v>
      </c>
      <c r="Q32" s="7419"/>
      <c r="R32" s="7451">
        <f t="shared" si="3"/>
        <v>10420.052</v>
      </c>
      <c r="S32" s="7418"/>
      <c r="T32" s="1675">
        <v>0</v>
      </c>
      <c r="U32" s="7419"/>
      <c r="V32" s="7451">
        <f t="shared" si="4"/>
        <v>10420.052</v>
      </c>
      <c r="W32" s="7418"/>
      <c r="X32" s="1675">
        <f>1590.3-24.624</f>
        <v>1565.6759999999999</v>
      </c>
      <c r="Y32" s="7422"/>
      <c r="Z32" s="7452">
        <f t="shared" si="5"/>
        <v>6619.7479999999996</v>
      </c>
      <c r="AA32" s="7423"/>
      <c r="AB32" s="7454">
        <f t="shared" si="6"/>
        <v>11985.727999999999</v>
      </c>
      <c r="AC32" s="7418"/>
      <c r="AD32" s="1675">
        <v>0</v>
      </c>
      <c r="AE32" s="7419"/>
      <c r="AF32" s="1823">
        <f t="shared" si="1"/>
        <v>11985.727999999999</v>
      </c>
      <c r="AG32" s="7418"/>
      <c r="AH32" s="1675">
        <v>0</v>
      </c>
      <c r="AI32" s="7419"/>
      <c r="AJ32" s="7451">
        <f t="shared" si="7"/>
        <v>11985.727999999999</v>
      </c>
      <c r="AK32" s="7418"/>
      <c r="AL32" s="1675">
        <v>2361.7499999999995</v>
      </c>
      <c r="AM32" s="7422"/>
      <c r="AN32" s="7452">
        <f t="shared" si="8"/>
        <v>2361.7499999999995</v>
      </c>
      <c r="AO32" s="7419"/>
      <c r="AP32" s="7451">
        <f t="shared" si="9"/>
        <v>14347.477999999999</v>
      </c>
      <c r="AQ32" s="7418"/>
      <c r="AR32" s="1675"/>
      <c r="AS32" s="7419"/>
      <c r="AT32" s="7451">
        <f t="shared" si="10"/>
        <v>14347.477999999999</v>
      </c>
      <c r="AU32" s="7418"/>
      <c r="AV32" s="2339"/>
      <c r="AW32" s="7419"/>
      <c r="AX32" s="7451">
        <f t="shared" si="11"/>
        <v>14347.477999999999</v>
      </c>
      <c r="AY32" s="7418"/>
      <c r="AZ32" s="2339"/>
      <c r="BA32" s="7422"/>
      <c r="BB32" s="7452">
        <f t="shared" si="12"/>
        <v>0</v>
      </c>
      <c r="BC32" s="7422"/>
      <c r="BD32" s="7452">
        <f t="shared" si="13"/>
        <v>2361.7499999999995</v>
      </c>
      <c r="BE32" s="7423"/>
      <c r="BF32" s="6531">
        <f t="shared" si="14"/>
        <v>14347.477999999999</v>
      </c>
    </row>
    <row r="33" spans="2:58" s="7828" customFormat="1" ht="16" x14ac:dyDescent="0.2">
      <c r="B33" s="3928" t="s">
        <v>2298</v>
      </c>
      <c r="C33" s="7455" t="s">
        <v>2414</v>
      </c>
      <c r="D33" s="1848" t="s">
        <v>170</v>
      </c>
      <c r="E33" s="7418"/>
      <c r="F33" s="7447"/>
      <c r="G33" s="7418"/>
      <c r="H33" s="2840"/>
      <c r="I33" s="7419"/>
      <c r="J33" s="7451">
        <f t="shared" si="2"/>
        <v>0</v>
      </c>
      <c r="K33" s="7418"/>
      <c r="L33" s="1675"/>
      <c r="M33" s="7422"/>
      <c r="N33" s="7452">
        <f t="shared" si="0"/>
        <v>0</v>
      </c>
      <c r="O33" s="7418"/>
      <c r="P33" s="1675"/>
      <c r="Q33" s="7419"/>
      <c r="R33" s="7451">
        <f t="shared" si="3"/>
        <v>0</v>
      </c>
      <c r="S33" s="7418"/>
      <c r="T33" s="1675"/>
      <c r="U33" s="7419"/>
      <c r="V33" s="7451">
        <f t="shared" si="4"/>
        <v>0</v>
      </c>
      <c r="W33" s="7418"/>
      <c r="X33" s="1675"/>
      <c r="Y33" s="7422"/>
      <c r="Z33" s="7452">
        <f t="shared" si="5"/>
        <v>0</v>
      </c>
      <c r="AA33" s="7423"/>
      <c r="AB33" s="7454">
        <f t="shared" si="6"/>
        <v>0</v>
      </c>
      <c r="AC33" s="7418"/>
      <c r="AD33" s="1675"/>
      <c r="AE33" s="7419"/>
      <c r="AF33" s="1823">
        <f t="shared" si="1"/>
        <v>0</v>
      </c>
      <c r="AG33" s="7418"/>
      <c r="AH33" s="1675"/>
      <c r="AI33" s="7419"/>
      <c r="AJ33" s="7451">
        <f t="shared" si="7"/>
        <v>0</v>
      </c>
      <c r="AK33" s="7418"/>
      <c r="AL33" s="1675">
        <f>1551.72-4.104</f>
        <v>1547.616</v>
      </c>
      <c r="AM33" s="7422"/>
      <c r="AN33" s="7452">
        <f t="shared" si="8"/>
        <v>1547.616</v>
      </c>
      <c r="AO33" s="7419"/>
      <c r="AP33" s="7451">
        <f t="shared" si="9"/>
        <v>1547.616</v>
      </c>
      <c r="AQ33" s="7418"/>
      <c r="AR33" s="1675"/>
      <c r="AS33" s="7419"/>
      <c r="AT33" s="7451">
        <f t="shared" si="10"/>
        <v>1547.616</v>
      </c>
      <c r="AU33" s="7418"/>
      <c r="AV33" s="2339"/>
      <c r="AW33" s="7419"/>
      <c r="AX33" s="7451">
        <f t="shared" si="11"/>
        <v>1547.616</v>
      </c>
      <c r="AY33" s="7418"/>
      <c r="AZ33" s="2339"/>
      <c r="BA33" s="7422"/>
      <c r="BB33" s="7452">
        <f t="shared" si="12"/>
        <v>0</v>
      </c>
      <c r="BC33" s="7422"/>
      <c r="BD33" s="7452">
        <f t="shared" si="13"/>
        <v>1547.616</v>
      </c>
      <c r="BE33" s="7423"/>
      <c r="BF33" s="6531">
        <f t="shared" si="14"/>
        <v>1547.616</v>
      </c>
    </row>
    <row r="34" spans="2:58" s="7828" customFormat="1" ht="16" x14ac:dyDescent="0.2">
      <c r="B34" s="3928" t="s">
        <v>2298</v>
      </c>
      <c r="C34" s="7455" t="s">
        <v>1753</v>
      </c>
      <c r="D34" s="1848" t="s">
        <v>170</v>
      </c>
      <c r="E34" s="7418"/>
      <c r="F34" s="7447"/>
      <c r="G34" s="7418"/>
      <c r="H34" s="2840"/>
      <c r="I34" s="7419"/>
      <c r="J34" s="7451">
        <f t="shared" si="2"/>
        <v>0</v>
      </c>
      <c r="K34" s="7418"/>
      <c r="L34" s="1675"/>
      <c r="M34" s="7422"/>
      <c r="N34" s="7452">
        <f t="shared" si="0"/>
        <v>0</v>
      </c>
      <c r="O34" s="7418"/>
      <c r="P34" s="1675"/>
      <c r="Q34" s="7419"/>
      <c r="R34" s="7451">
        <f t="shared" si="3"/>
        <v>0</v>
      </c>
      <c r="S34" s="7418"/>
      <c r="T34" s="1675"/>
      <c r="U34" s="7419"/>
      <c r="V34" s="7451">
        <f t="shared" si="4"/>
        <v>0</v>
      </c>
      <c r="W34" s="7418"/>
      <c r="X34" s="1675"/>
      <c r="Y34" s="7422"/>
      <c r="Z34" s="7452">
        <f t="shared" si="5"/>
        <v>0</v>
      </c>
      <c r="AA34" s="7423"/>
      <c r="AB34" s="7454">
        <f t="shared" si="6"/>
        <v>0</v>
      </c>
      <c r="AC34" s="7418"/>
      <c r="AD34" s="1675"/>
      <c r="AE34" s="7419"/>
      <c r="AF34" s="1823">
        <f t="shared" si="1"/>
        <v>0</v>
      </c>
      <c r="AG34" s="7418"/>
      <c r="AH34" s="1675"/>
      <c r="AI34" s="7419"/>
      <c r="AJ34" s="7451">
        <f t="shared" si="7"/>
        <v>0</v>
      </c>
      <c r="AK34" s="7418"/>
      <c r="AL34" s="1675">
        <v>219.08999999999997</v>
      </c>
      <c r="AM34" s="7422"/>
      <c r="AN34" s="7452">
        <f t="shared" si="8"/>
        <v>219.08999999999997</v>
      </c>
      <c r="AO34" s="7419"/>
      <c r="AP34" s="7451">
        <f t="shared" si="9"/>
        <v>219.08999999999997</v>
      </c>
      <c r="AQ34" s="7418"/>
      <c r="AR34" s="1675"/>
      <c r="AS34" s="7419"/>
      <c r="AT34" s="7451">
        <f t="shared" si="10"/>
        <v>219.08999999999997</v>
      </c>
      <c r="AU34" s="7418"/>
      <c r="AV34" s="2339"/>
      <c r="AW34" s="7419"/>
      <c r="AX34" s="7451">
        <f t="shared" si="11"/>
        <v>219.08999999999997</v>
      </c>
      <c r="AY34" s="7418"/>
      <c r="AZ34" s="2339"/>
      <c r="BA34" s="7422"/>
      <c r="BB34" s="7452">
        <f t="shared" si="12"/>
        <v>0</v>
      </c>
      <c r="BC34" s="7422"/>
      <c r="BD34" s="7452">
        <f t="shared" si="13"/>
        <v>219.08999999999997</v>
      </c>
      <c r="BE34" s="7423"/>
      <c r="BF34" s="6531">
        <f t="shared" si="14"/>
        <v>219.08999999999997</v>
      </c>
    </row>
    <row r="35" spans="2:58" s="7828" customFormat="1" ht="16" x14ac:dyDescent="0.2">
      <c r="B35" s="3928" t="s">
        <v>2298</v>
      </c>
      <c r="C35" s="7455" t="s">
        <v>2469</v>
      </c>
      <c r="D35" s="1848" t="s">
        <v>170</v>
      </c>
      <c r="E35" s="7418"/>
      <c r="F35" s="7447"/>
      <c r="G35" s="7418"/>
      <c r="H35" s="2840"/>
      <c r="I35" s="7419"/>
      <c r="J35" s="7451">
        <f t="shared" si="2"/>
        <v>0</v>
      </c>
      <c r="K35" s="7418"/>
      <c r="L35" s="1675"/>
      <c r="M35" s="7422"/>
      <c r="N35" s="7452">
        <f t="shared" si="0"/>
        <v>0</v>
      </c>
      <c r="O35" s="7418"/>
      <c r="P35" s="1675"/>
      <c r="Q35" s="7419"/>
      <c r="R35" s="7451">
        <f t="shared" si="3"/>
        <v>0</v>
      </c>
      <c r="S35" s="7418"/>
      <c r="T35" s="1675"/>
      <c r="U35" s="7419"/>
      <c r="V35" s="7451">
        <f t="shared" si="4"/>
        <v>0</v>
      </c>
      <c r="W35" s="7418"/>
      <c r="X35" s="1675"/>
      <c r="Y35" s="7422"/>
      <c r="Z35" s="7452">
        <f t="shared" si="5"/>
        <v>0</v>
      </c>
      <c r="AA35" s="7423"/>
      <c r="AB35" s="7454">
        <f t="shared" si="6"/>
        <v>0</v>
      </c>
      <c r="AC35" s="7418"/>
      <c r="AD35" s="1675"/>
      <c r="AE35" s="7419"/>
      <c r="AF35" s="1823">
        <f t="shared" si="1"/>
        <v>0</v>
      </c>
      <c r="AG35" s="7418"/>
      <c r="AH35" s="1675"/>
      <c r="AI35" s="7419"/>
      <c r="AJ35" s="7451">
        <f t="shared" si="7"/>
        <v>0</v>
      </c>
      <c r="AK35" s="7418"/>
      <c r="AL35" s="1675">
        <f>655.26-2.052</f>
        <v>653.20799999999997</v>
      </c>
      <c r="AM35" s="7422"/>
      <c r="AN35" s="7452">
        <f t="shared" si="8"/>
        <v>653.20799999999997</v>
      </c>
      <c r="AO35" s="7419"/>
      <c r="AP35" s="7451">
        <f t="shared" si="9"/>
        <v>653.20799999999997</v>
      </c>
      <c r="AQ35" s="7418"/>
      <c r="AR35" s="1675"/>
      <c r="AS35" s="7419"/>
      <c r="AT35" s="7451">
        <f t="shared" si="10"/>
        <v>653.20799999999997</v>
      </c>
      <c r="AU35" s="7418"/>
      <c r="AV35" s="2339"/>
      <c r="AW35" s="7419"/>
      <c r="AX35" s="7451">
        <f t="shared" si="11"/>
        <v>653.20799999999997</v>
      </c>
      <c r="AY35" s="7418"/>
      <c r="AZ35" s="2339"/>
      <c r="BA35" s="7422"/>
      <c r="BB35" s="7452">
        <f t="shared" si="12"/>
        <v>0</v>
      </c>
      <c r="BC35" s="7422"/>
      <c r="BD35" s="7452">
        <f t="shared" si="13"/>
        <v>653.20799999999997</v>
      </c>
      <c r="BE35" s="7423"/>
      <c r="BF35" s="6531">
        <f t="shared" si="14"/>
        <v>653.20799999999997</v>
      </c>
    </row>
    <row r="36" spans="2:58" s="7828" customFormat="1" ht="16" x14ac:dyDescent="0.2">
      <c r="B36" s="3928" t="s">
        <v>2298</v>
      </c>
      <c r="C36" s="7455" t="s">
        <v>2308</v>
      </c>
      <c r="D36" s="1848" t="s">
        <v>170</v>
      </c>
      <c r="E36" s="7418"/>
      <c r="F36" s="7447"/>
      <c r="G36" s="7418"/>
      <c r="H36" s="2840"/>
      <c r="I36" s="7419"/>
      <c r="J36" s="7451">
        <f t="shared" si="2"/>
        <v>0</v>
      </c>
      <c r="K36" s="7418"/>
      <c r="L36" s="1675"/>
      <c r="M36" s="7422"/>
      <c r="N36" s="7452">
        <f t="shared" si="0"/>
        <v>0</v>
      </c>
      <c r="O36" s="7418"/>
      <c r="P36" s="1675"/>
      <c r="Q36" s="7419"/>
      <c r="R36" s="7451">
        <f t="shared" si="3"/>
        <v>0</v>
      </c>
      <c r="S36" s="7418"/>
      <c r="T36" s="1675"/>
      <c r="U36" s="7419"/>
      <c r="V36" s="7451">
        <f t="shared" si="4"/>
        <v>0</v>
      </c>
      <c r="W36" s="7418"/>
      <c r="X36" s="1675"/>
      <c r="Y36" s="7422"/>
      <c r="Z36" s="7452">
        <f t="shared" si="5"/>
        <v>0</v>
      </c>
      <c r="AA36" s="7423"/>
      <c r="AB36" s="7454">
        <f t="shared" si="6"/>
        <v>0</v>
      </c>
      <c r="AC36" s="7418"/>
      <c r="AD36" s="1675"/>
      <c r="AE36" s="7419"/>
      <c r="AF36" s="1823">
        <f t="shared" si="1"/>
        <v>0</v>
      </c>
      <c r="AG36" s="7418"/>
      <c r="AH36" s="1675"/>
      <c r="AI36" s="7419"/>
      <c r="AJ36" s="7451">
        <f t="shared" si="7"/>
        <v>0</v>
      </c>
      <c r="AK36" s="7418"/>
      <c r="AL36" s="1675">
        <f>530.64-2.052</f>
        <v>528.58799999999997</v>
      </c>
      <c r="AM36" s="7422"/>
      <c r="AN36" s="7452">
        <f t="shared" si="8"/>
        <v>528.58799999999997</v>
      </c>
      <c r="AO36" s="7419"/>
      <c r="AP36" s="7451">
        <f t="shared" si="9"/>
        <v>528.58799999999997</v>
      </c>
      <c r="AQ36" s="7418"/>
      <c r="AR36" s="1675"/>
      <c r="AS36" s="7419"/>
      <c r="AT36" s="7451">
        <f t="shared" si="10"/>
        <v>528.58799999999997</v>
      </c>
      <c r="AU36" s="7418"/>
      <c r="AV36" s="2339"/>
      <c r="AW36" s="7419"/>
      <c r="AX36" s="7451">
        <f t="shared" si="11"/>
        <v>528.58799999999997</v>
      </c>
      <c r="AY36" s="7418"/>
      <c r="AZ36" s="2339"/>
      <c r="BA36" s="7422"/>
      <c r="BB36" s="7452">
        <f t="shared" si="12"/>
        <v>0</v>
      </c>
      <c r="BC36" s="7422"/>
      <c r="BD36" s="7452">
        <f t="shared" si="13"/>
        <v>528.58799999999997</v>
      </c>
      <c r="BE36" s="7423"/>
      <c r="BF36" s="6531">
        <f t="shared" si="14"/>
        <v>528.58799999999997</v>
      </c>
    </row>
    <row r="37" spans="2:58" s="7828" customFormat="1" ht="16" x14ac:dyDescent="0.2">
      <c r="B37" s="3928" t="s">
        <v>2298</v>
      </c>
      <c r="C37" s="7455" t="s">
        <v>2454</v>
      </c>
      <c r="D37" s="1848" t="s">
        <v>170</v>
      </c>
      <c r="E37" s="7418"/>
      <c r="F37" s="7447"/>
      <c r="G37" s="7418"/>
      <c r="H37" s="2840"/>
      <c r="I37" s="7419"/>
      <c r="J37" s="7451">
        <f t="shared" si="2"/>
        <v>0</v>
      </c>
      <c r="K37" s="7418"/>
      <c r="L37" s="1675"/>
      <c r="M37" s="7422"/>
      <c r="N37" s="7452">
        <f t="shared" si="0"/>
        <v>0</v>
      </c>
      <c r="O37" s="7418"/>
      <c r="P37" s="1675"/>
      <c r="Q37" s="7419"/>
      <c r="R37" s="7451">
        <f t="shared" si="3"/>
        <v>0</v>
      </c>
      <c r="S37" s="7418"/>
      <c r="T37" s="1675"/>
      <c r="U37" s="7419"/>
      <c r="V37" s="7451">
        <f t="shared" si="4"/>
        <v>0</v>
      </c>
      <c r="W37" s="7418"/>
      <c r="X37" s="1675"/>
      <c r="Y37" s="7422"/>
      <c r="Z37" s="7452">
        <f t="shared" si="5"/>
        <v>0</v>
      </c>
      <c r="AA37" s="7423"/>
      <c r="AB37" s="7454">
        <f t="shared" si="6"/>
        <v>0</v>
      </c>
      <c r="AC37" s="7418"/>
      <c r="AD37" s="1675"/>
      <c r="AE37" s="7419"/>
      <c r="AF37" s="1823">
        <f t="shared" si="1"/>
        <v>0</v>
      </c>
      <c r="AG37" s="7418"/>
      <c r="AH37" s="1675"/>
      <c r="AI37" s="7419"/>
      <c r="AJ37" s="7451">
        <f t="shared" si="7"/>
        <v>0</v>
      </c>
      <c r="AK37" s="7418"/>
      <c r="AL37" s="1675">
        <v>219.08999999999997</v>
      </c>
      <c r="AM37" s="7422"/>
      <c r="AN37" s="7452">
        <f t="shared" si="8"/>
        <v>219.08999999999997</v>
      </c>
      <c r="AO37" s="7419"/>
      <c r="AP37" s="7451">
        <f t="shared" si="9"/>
        <v>219.08999999999997</v>
      </c>
      <c r="AQ37" s="7418"/>
      <c r="AR37" s="1675"/>
      <c r="AS37" s="7419"/>
      <c r="AT37" s="7451">
        <f t="shared" si="10"/>
        <v>219.08999999999997</v>
      </c>
      <c r="AU37" s="7418"/>
      <c r="AV37" s="1675"/>
      <c r="AW37" s="7419"/>
      <c r="AX37" s="7451">
        <f t="shared" si="11"/>
        <v>219.08999999999997</v>
      </c>
      <c r="AY37" s="7418"/>
      <c r="AZ37" s="1675"/>
      <c r="BA37" s="7422"/>
      <c r="BB37" s="7452">
        <f t="shared" si="12"/>
        <v>0</v>
      </c>
      <c r="BC37" s="7422"/>
      <c r="BD37" s="7452">
        <f t="shared" si="13"/>
        <v>219.08999999999997</v>
      </c>
      <c r="BE37" s="7423"/>
      <c r="BF37" s="6531">
        <f t="shared" si="14"/>
        <v>219.08999999999997</v>
      </c>
    </row>
    <row r="38" spans="2:58" ht="15" customHeight="1" x14ac:dyDescent="0.2">
      <c r="B38" s="3928" t="s">
        <v>2298</v>
      </c>
      <c r="C38" s="7455" t="s">
        <v>1848</v>
      </c>
      <c r="D38" s="1848" t="s">
        <v>170</v>
      </c>
      <c r="E38" s="7418"/>
      <c r="F38" s="7447"/>
      <c r="G38" s="7418"/>
      <c r="H38" s="2840"/>
      <c r="I38" s="7419"/>
      <c r="J38" s="7451">
        <f t="shared" si="2"/>
        <v>0</v>
      </c>
      <c r="K38" s="7418"/>
      <c r="L38" s="1675"/>
      <c r="M38" s="7422"/>
      <c r="N38" s="7452">
        <f t="shared" si="0"/>
        <v>0</v>
      </c>
      <c r="O38" s="7418"/>
      <c r="P38" s="1675"/>
      <c r="Q38" s="7419"/>
      <c r="R38" s="7451">
        <f t="shared" si="3"/>
        <v>0</v>
      </c>
      <c r="S38" s="7418"/>
      <c r="T38" s="1675">
        <v>0</v>
      </c>
      <c r="U38" s="7419"/>
      <c r="V38" s="7451">
        <f t="shared" si="4"/>
        <v>0</v>
      </c>
      <c r="W38" s="7418"/>
      <c r="X38" s="3184">
        <v>34</v>
      </c>
      <c r="Y38" s="7422"/>
      <c r="Z38" s="7452">
        <f t="shared" si="5"/>
        <v>34</v>
      </c>
      <c r="AA38" s="7423"/>
      <c r="AB38" s="7454">
        <f t="shared" si="6"/>
        <v>34</v>
      </c>
      <c r="AC38" s="7418"/>
      <c r="AD38" s="1675">
        <v>0</v>
      </c>
      <c r="AE38" s="7419"/>
      <c r="AF38" s="1823">
        <f t="shared" si="1"/>
        <v>34</v>
      </c>
      <c r="AG38" s="7418"/>
      <c r="AH38" s="1675">
        <v>0</v>
      </c>
      <c r="AI38" s="7419"/>
      <c r="AJ38" s="7451">
        <f t="shared" si="7"/>
        <v>34</v>
      </c>
      <c r="AK38" s="7418"/>
      <c r="AL38" s="1675">
        <v>0</v>
      </c>
      <c r="AM38" s="7422"/>
      <c r="AN38" s="7452">
        <f t="shared" si="8"/>
        <v>0</v>
      </c>
      <c r="AO38" s="7419"/>
      <c r="AP38" s="7451">
        <f t="shared" si="9"/>
        <v>34</v>
      </c>
      <c r="AQ38" s="7418"/>
      <c r="AR38" s="1675"/>
      <c r="AS38" s="7419"/>
      <c r="AT38" s="7451">
        <f t="shared" si="10"/>
        <v>34</v>
      </c>
      <c r="AU38" s="7418"/>
      <c r="AV38" s="1675"/>
      <c r="AW38" s="7419"/>
      <c r="AX38" s="7451">
        <f t="shared" si="11"/>
        <v>34</v>
      </c>
      <c r="AY38" s="7418"/>
      <c r="AZ38" s="1675"/>
      <c r="BA38" s="7422"/>
      <c r="BB38" s="7452">
        <f t="shared" si="12"/>
        <v>0</v>
      </c>
      <c r="BC38" s="7422"/>
      <c r="BD38" s="7452">
        <f t="shared" si="13"/>
        <v>0</v>
      </c>
      <c r="BE38" s="7423"/>
      <c r="BF38" s="6531">
        <f t="shared" si="14"/>
        <v>34</v>
      </c>
    </row>
    <row r="39" spans="2:58" ht="15" customHeight="1" x14ac:dyDescent="0.2">
      <c r="B39" s="3928" t="s">
        <v>2299</v>
      </c>
      <c r="C39" s="7455" t="s">
        <v>2312</v>
      </c>
      <c r="D39" s="1848" t="s">
        <v>170</v>
      </c>
      <c r="E39" s="7418"/>
      <c r="F39" s="7447"/>
      <c r="G39" s="7418"/>
      <c r="H39" s="2840"/>
      <c r="I39" s="7419"/>
      <c r="J39" s="7451">
        <f t="shared" si="2"/>
        <v>0</v>
      </c>
      <c r="K39" s="7418"/>
      <c r="L39" s="1675">
        <v>418.608</v>
      </c>
      <c r="M39" s="7422"/>
      <c r="N39" s="7452">
        <f t="shared" si="0"/>
        <v>418.608</v>
      </c>
      <c r="O39" s="7418"/>
      <c r="P39" s="1675">
        <v>0</v>
      </c>
      <c r="Q39" s="7419"/>
      <c r="R39" s="7451">
        <f t="shared" si="3"/>
        <v>418.608</v>
      </c>
      <c r="S39" s="7418"/>
      <c r="T39" s="1675">
        <v>326.26800000000003</v>
      </c>
      <c r="U39" s="7419"/>
      <c r="V39" s="7451">
        <f t="shared" si="4"/>
        <v>744.87599999999998</v>
      </c>
      <c r="W39" s="7418"/>
      <c r="X39" s="1675">
        <f>943.92-8.208</f>
        <v>935.71199999999999</v>
      </c>
      <c r="Y39" s="7422"/>
      <c r="Z39" s="7452">
        <f t="shared" si="5"/>
        <v>1261.98</v>
      </c>
      <c r="AA39" s="7423"/>
      <c r="AB39" s="7454">
        <f t="shared" si="6"/>
        <v>1680.588</v>
      </c>
      <c r="AC39" s="7418"/>
      <c r="AD39" s="1675">
        <v>0</v>
      </c>
      <c r="AE39" s="7419"/>
      <c r="AF39" s="1823">
        <f t="shared" si="1"/>
        <v>1680.588</v>
      </c>
      <c r="AG39" s="7418"/>
      <c r="AH39" s="1675">
        <v>0</v>
      </c>
      <c r="AI39" s="7419"/>
      <c r="AJ39" s="7451">
        <f t="shared" si="7"/>
        <v>1680.588</v>
      </c>
      <c r="AK39" s="7418"/>
      <c r="AL39" s="1675">
        <f>518.58-2.052</f>
        <v>516.52800000000002</v>
      </c>
      <c r="AM39" s="7422"/>
      <c r="AN39" s="7452">
        <f t="shared" si="8"/>
        <v>516.52800000000002</v>
      </c>
      <c r="AO39" s="7419"/>
      <c r="AP39" s="7451">
        <f t="shared" si="9"/>
        <v>2197.116</v>
      </c>
      <c r="AQ39" s="7418"/>
      <c r="AR39" s="1675"/>
      <c r="AS39" s="7419"/>
      <c r="AT39" s="7451">
        <f t="shared" si="10"/>
        <v>2197.116</v>
      </c>
      <c r="AU39" s="7418"/>
      <c r="AV39" s="1675"/>
      <c r="AW39" s="7419"/>
      <c r="AX39" s="7451">
        <f t="shared" si="11"/>
        <v>2197.116</v>
      </c>
      <c r="AY39" s="7418"/>
      <c r="AZ39" s="1675"/>
      <c r="BA39" s="7422"/>
      <c r="BB39" s="7452">
        <f t="shared" si="12"/>
        <v>0</v>
      </c>
      <c r="BC39" s="7422"/>
      <c r="BD39" s="7452">
        <f t="shared" si="13"/>
        <v>516.52800000000002</v>
      </c>
      <c r="BE39" s="7423"/>
      <c r="BF39" s="6531">
        <f t="shared" si="14"/>
        <v>2197.116</v>
      </c>
    </row>
    <row r="40" spans="2:58" ht="16" x14ac:dyDescent="0.2">
      <c r="B40" s="3928" t="s">
        <v>2299</v>
      </c>
      <c r="C40" s="7455" t="s">
        <v>2310</v>
      </c>
      <c r="D40" s="1848" t="s">
        <v>170</v>
      </c>
      <c r="E40" s="7418"/>
      <c r="F40" s="7447"/>
      <c r="G40" s="7418"/>
      <c r="H40" s="2840"/>
      <c r="I40" s="7419"/>
      <c r="J40" s="7451">
        <f t="shared" si="2"/>
        <v>0</v>
      </c>
      <c r="K40" s="7418"/>
      <c r="L40" s="1675">
        <v>4559.5439999999999</v>
      </c>
      <c r="M40" s="7422"/>
      <c r="N40" s="7452">
        <f t="shared" si="0"/>
        <v>4559.5439999999999</v>
      </c>
      <c r="O40" s="7418"/>
      <c r="P40" s="1675">
        <f>4071.17-26.676</f>
        <v>4044.4940000000001</v>
      </c>
      <c r="Q40" s="7419"/>
      <c r="R40" s="7451">
        <f t="shared" si="3"/>
        <v>8604.0380000000005</v>
      </c>
      <c r="S40" s="7418"/>
      <c r="T40" s="1675">
        <f>3447.36-43.092</f>
        <v>3404.268</v>
      </c>
      <c r="U40" s="7419"/>
      <c r="V40" s="7451">
        <f t="shared" si="4"/>
        <v>12008.306</v>
      </c>
      <c r="W40" s="7418"/>
      <c r="X40" s="3184">
        <f>2759.94-2.052</f>
        <v>2757.8879999999999</v>
      </c>
      <c r="Y40" s="7422"/>
      <c r="Z40" s="7452">
        <f t="shared" si="5"/>
        <v>10206.650000000001</v>
      </c>
      <c r="AA40" s="7423"/>
      <c r="AB40" s="7454">
        <f t="shared" si="6"/>
        <v>14766.194</v>
      </c>
      <c r="AC40" s="7418"/>
      <c r="AD40" s="1675">
        <v>0</v>
      </c>
      <c r="AE40" s="7419"/>
      <c r="AF40" s="1823">
        <f t="shared" si="1"/>
        <v>14766.194</v>
      </c>
      <c r="AG40" s="7418"/>
      <c r="AH40" s="1675">
        <v>0</v>
      </c>
      <c r="AI40" s="7419"/>
      <c r="AJ40" s="7451">
        <f t="shared" si="7"/>
        <v>14766.194</v>
      </c>
      <c r="AK40" s="7418"/>
      <c r="AL40" s="3184">
        <f>635.16-6.156</f>
        <v>629.00400000000002</v>
      </c>
      <c r="AM40" s="7422"/>
      <c r="AN40" s="7452">
        <f t="shared" si="8"/>
        <v>629.00400000000002</v>
      </c>
      <c r="AO40" s="7419"/>
      <c r="AP40" s="7451">
        <f t="shared" si="9"/>
        <v>15395.198</v>
      </c>
      <c r="AQ40" s="7418"/>
      <c r="AR40" s="3184"/>
      <c r="AS40" s="7419"/>
      <c r="AT40" s="7451">
        <f t="shared" si="10"/>
        <v>15395.198</v>
      </c>
      <c r="AU40" s="7418"/>
      <c r="AV40" s="3184"/>
      <c r="AW40" s="7419"/>
      <c r="AX40" s="7451">
        <f t="shared" si="11"/>
        <v>15395.198</v>
      </c>
      <c r="AY40" s="7418"/>
      <c r="AZ40" s="3184"/>
      <c r="BA40" s="7422"/>
      <c r="BB40" s="7452">
        <f t="shared" si="12"/>
        <v>0</v>
      </c>
      <c r="BC40" s="7422"/>
      <c r="BD40" s="7452">
        <f t="shared" si="13"/>
        <v>629.00400000000002</v>
      </c>
      <c r="BE40" s="7423"/>
      <c r="BF40" s="6531">
        <f t="shared" si="14"/>
        <v>15395.198</v>
      </c>
    </row>
    <row r="41" spans="2:58" s="4756" customFormat="1" ht="16" x14ac:dyDescent="0.2">
      <c r="B41" s="3928" t="s">
        <v>2299</v>
      </c>
      <c r="C41" s="7455" t="s">
        <v>2469</v>
      </c>
      <c r="D41" s="1848" t="s">
        <v>170</v>
      </c>
      <c r="E41" s="7418"/>
      <c r="F41" s="7447"/>
      <c r="G41" s="7418"/>
      <c r="H41" s="2840"/>
      <c r="I41" s="7419"/>
      <c r="J41" s="7451">
        <f t="shared" si="2"/>
        <v>0</v>
      </c>
      <c r="K41" s="7418"/>
      <c r="L41" s="1675">
        <v>0</v>
      </c>
      <c r="M41" s="7422"/>
      <c r="N41" s="7452">
        <f t="shared" si="0"/>
        <v>0</v>
      </c>
      <c r="O41" s="7418"/>
      <c r="P41" s="1675">
        <v>311.89999999999998</v>
      </c>
      <c r="Q41" s="7419"/>
      <c r="R41" s="7451">
        <f t="shared" si="3"/>
        <v>311.89999999999998</v>
      </c>
      <c r="S41" s="7418"/>
      <c r="T41" s="3184">
        <v>0</v>
      </c>
      <c r="U41" s="7419"/>
      <c r="V41" s="7451">
        <f t="shared" si="4"/>
        <v>311.89999999999998</v>
      </c>
      <c r="W41" s="7418"/>
      <c r="X41" s="1675">
        <v>0</v>
      </c>
      <c r="Y41" s="7422"/>
      <c r="Z41" s="7452">
        <f t="shared" si="5"/>
        <v>311.89999999999998</v>
      </c>
      <c r="AA41" s="7423"/>
      <c r="AB41" s="7454">
        <f t="shared" si="6"/>
        <v>311.89999999999998</v>
      </c>
      <c r="AC41" s="7418"/>
      <c r="AD41" s="3184">
        <v>0</v>
      </c>
      <c r="AE41" s="7419"/>
      <c r="AF41" s="1823">
        <f t="shared" si="1"/>
        <v>311.89999999999998</v>
      </c>
      <c r="AG41" s="7418"/>
      <c r="AH41" s="1675">
        <v>0</v>
      </c>
      <c r="AI41" s="7419"/>
      <c r="AJ41" s="7451">
        <f t="shared" si="7"/>
        <v>311.89999999999998</v>
      </c>
      <c r="AK41" s="7418"/>
      <c r="AL41" s="1675">
        <f>520.59-2.052</f>
        <v>518.53800000000001</v>
      </c>
      <c r="AM41" s="7422"/>
      <c r="AN41" s="7452">
        <f t="shared" si="8"/>
        <v>518.53800000000001</v>
      </c>
      <c r="AO41" s="7419"/>
      <c r="AP41" s="7451">
        <f t="shared" si="9"/>
        <v>830.43799999999999</v>
      </c>
      <c r="AQ41" s="7418"/>
      <c r="AR41" s="1675"/>
      <c r="AS41" s="7419"/>
      <c r="AT41" s="7451">
        <f t="shared" si="10"/>
        <v>830.43799999999999</v>
      </c>
      <c r="AU41" s="7418"/>
      <c r="AV41" s="1675"/>
      <c r="AW41" s="7419"/>
      <c r="AX41" s="7451">
        <f t="shared" si="11"/>
        <v>830.43799999999999</v>
      </c>
      <c r="AY41" s="7418"/>
      <c r="AZ41" s="1675"/>
      <c r="BA41" s="7422"/>
      <c r="BB41" s="7452">
        <f t="shared" si="12"/>
        <v>0</v>
      </c>
      <c r="BC41" s="7422"/>
      <c r="BD41" s="7452">
        <f t="shared" si="13"/>
        <v>518.53800000000001</v>
      </c>
      <c r="BE41" s="7423"/>
      <c r="BF41" s="6531">
        <f t="shared" si="14"/>
        <v>830.43799999999999</v>
      </c>
    </row>
    <row r="42" spans="2:58" s="4756" customFormat="1" ht="16" x14ac:dyDescent="0.2">
      <c r="B42" s="3928" t="s">
        <v>2299</v>
      </c>
      <c r="C42" s="7455" t="s">
        <v>1753</v>
      </c>
      <c r="D42" s="1848" t="s">
        <v>170</v>
      </c>
      <c r="E42" s="7418"/>
      <c r="F42" s="7447"/>
      <c r="G42" s="7418"/>
      <c r="H42" s="2840"/>
      <c r="I42" s="7419"/>
      <c r="J42" s="7451">
        <f t="shared" si="2"/>
        <v>0</v>
      </c>
      <c r="K42" s="7418"/>
      <c r="L42" s="1675">
        <v>0</v>
      </c>
      <c r="M42" s="7422"/>
      <c r="N42" s="7452">
        <f t="shared" si="0"/>
        <v>0</v>
      </c>
      <c r="O42" s="7418"/>
      <c r="P42" s="1675">
        <f>67.716-2.052</f>
        <v>65.663999999999987</v>
      </c>
      <c r="Q42" s="7419"/>
      <c r="R42" s="7451">
        <f t="shared" si="3"/>
        <v>65.663999999999987</v>
      </c>
      <c r="S42" s="7418"/>
      <c r="T42" s="3184">
        <v>0</v>
      </c>
      <c r="U42" s="7419"/>
      <c r="V42" s="7451">
        <f t="shared" si="4"/>
        <v>65.663999999999987</v>
      </c>
      <c r="W42" s="7418"/>
      <c r="X42" s="1675">
        <v>0</v>
      </c>
      <c r="Y42" s="7422"/>
      <c r="Z42" s="7452">
        <f t="shared" si="5"/>
        <v>65.663999999999987</v>
      </c>
      <c r="AA42" s="7423"/>
      <c r="AB42" s="7454">
        <f t="shared" si="6"/>
        <v>65.663999999999987</v>
      </c>
      <c r="AC42" s="7418"/>
      <c r="AD42" s="3184">
        <v>0</v>
      </c>
      <c r="AE42" s="7419"/>
      <c r="AF42" s="1823">
        <f t="shared" si="1"/>
        <v>65.663999999999987</v>
      </c>
      <c r="AG42" s="7418"/>
      <c r="AH42" s="1675">
        <v>0</v>
      </c>
      <c r="AI42" s="7419"/>
      <c r="AJ42" s="7451">
        <f t="shared" si="7"/>
        <v>65.663999999999987</v>
      </c>
      <c r="AK42" s="7418"/>
      <c r="AL42" s="1675">
        <v>0</v>
      </c>
      <c r="AM42" s="7422"/>
      <c r="AN42" s="7452">
        <f t="shared" si="8"/>
        <v>0</v>
      </c>
      <c r="AO42" s="7419"/>
      <c r="AP42" s="7451">
        <f t="shared" si="9"/>
        <v>65.663999999999987</v>
      </c>
      <c r="AQ42" s="7418"/>
      <c r="AR42" s="1675"/>
      <c r="AS42" s="7419"/>
      <c r="AT42" s="7451">
        <f t="shared" si="10"/>
        <v>65.663999999999987</v>
      </c>
      <c r="AU42" s="7418"/>
      <c r="AV42" s="1675"/>
      <c r="AW42" s="7419"/>
      <c r="AX42" s="7451">
        <f t="shared" si="11"/>
        <v>65.663999999999987</v>
      </c>
      <c r="AY42" s="7418"/>
      <c r="AZ42" s="1675"/>
      <c r="BA42" s="7422"/>
      <c r="BB42" s="7452">
        <f t="shared" si="12"/>
        <v>0</v>
      </c>
      <c r="BC42" s="7422"/>
      <c r="BD42" s="7452">
        <f t="shared" si="13"/>
        <v>0</v>
      </c>
      <c r="BE42" s="7423"/>
      <c r="BF42" s="6531">
        <f t="shared" si="14"/>
        <v>65.663999999999987</v>
      </c>
    </row>
    <row r="43" spans="2:58" ht="15" customHeight="1" x14ac:dyDescent="0.2">
      <c r="B43" s="3928" t="s">
        <v>2299</v>
      </c>
      <c r="C43" s="7455" t="s">
        <v>2321</v>
      </c>
      <c r="D43" s="1848" t="s">
        <v>170</v>
      </c>
      <c r="E43" s="7418"/>
      <c r="F43" s="7447"/>
      <c r="G43" s="7418"/>
      <c r="H43" s="2840"/>
      <c r="I43" s="7419"/>
      <c r="J43" s="7451">
        <f t="shared" si="2"/>
        <v>0</v>
      </c>
      <c r="K43" s="7418"/>
      <c r="L43" s="1675">
        <v>2497.2840000000001</v>
      </c>
      <c r="M43" s="7422"/>
      <c r="N43" s="7452">
        <f t="shared" si="0"/>
        <v>2497.2840000000001</v>
      </c>
      <c r="O43" s="7418"/>
      <c r="P43" s="1675">
        <v>0</v>
      </c>
      <c r="Q43" s="7419"/>
      <c r="R43" s="7451">
        <f t="shared" si="3"/>
        <v>2497.2840000000001</v>
      </c>
      <c r="S43" s="7418"/>
      <c r="T43" s="3184">
        <v>0</v>
      </c>
      <c r="U43" s="7419"/>
      <c r="V43" s="7451">
        <f t="shared" si="4"/>
        <v>2497.2840000000001</v>
      </c>
      <c r="W43" s="7418"/>
      <c r="X43" s="3184">
        <v>822.85200000000009</v>
      </c>
      <c r="Y43" s="7422"/>
      <c r="Z43" s="7452">
        <f t="shared" si="5"/>
        <v>822.85200000000009</v>
      </c>
      <c r="AA43" s="7423"/>
      <c r="AB43" s="7454">
        <f t="shared" si="6"/>
        <v>3320.1360000000004</v>
      </c>
      <c r="AC43" s="7418"/>
      <c r="AD43" s="3184">
        <v>0</v>
      </c>
      <c r="AE43" s="7419"/>
      <c r="AF43" s="1823">
        <f t="shared" si="1"/>
        <v>3320.1360000000004</v>
      </c>
      <c r="AG43" s="7418"/>
      <c r="AH43" s="1675">
        <v>0</v>
      </c>
      <c r="AI43" s="7419"/>
      <c r="AJ43" s="7451">
        <f t="shared" si="7"/>
        <v>3320.1360000000004</v>
      </c>
      <c r="AK43" s="7418"/>
      <c r="AL43" s="1675">
        <v>0</v>
      </c>
      <c r="AM43" s="7422"/>
      <c r="AN43" s="7452">
        <f t="shared" si="8"/>
        <v>0</v>
      </c>
      <c r="AO43" s="7419"/>
      <c r="AP43" s="7451">
        <f t="shared" si="9"/>
        <v>3320.1360000000004</v>
      </c>
      <c r="AQ43" s="7418"/>
      <c r="AR43" s="1675"/>
      <c r="AS43" s="7419"/>
      <c r="AT43" s="7451">
        <f t="shared" si="10"/>
        <v>3320.1360000000004</v>
      </c>
      <c r="AU43" s="7418"/>
      <c r="AV43" s="1675"/>
      <c r="AW43" s="7419"/>
      <c r="AX43" s="7451">
        <f t="shared" si="11"/>
        <v>3320.1360000000004</v>
      </c>
      <c r="AY43" s="7418"/>
      <c r="AZ43" s="2339"/>
      <c r="BA43" s="7422"/>
      <c r="BB43" s="7452">
        <f t="shared" si="12"/>
        <v>0</v>
      </c>
      <c r="BC43" s="7422"/>
      <c r="BD43" s="7452">
        <f t="shared" si="13"/>
        <v>0</v>
      </c>
      <c r="BE43" s="7423"/>
      <c r="BF43" s="6531">
        <f t="shared" si="14"/>
        <v>3320.1360000000004</v>
      </c>
    </row>
    <row r="44" spans="2:58" ht="15" customHeight="1" x14ac:dyDescent="0.2">
      <c r="B44" s="3928" t="s">
        <v>2300</v>
      </c>
      <c r="C44" s="7455" t="s">
        <v>2321</v>
      </c>
      <c r="D44" s="1848" t="s">
        <v>170</v>
      </c>
      <c r="E44" s="7418"/>
      <c r="F44" s="7447">
        <v>0</v>
      </c>
      <c r="G44" s="7418"/>
      <c r="H44" s="2840">
        <f>3075.948-20.5</f>
        <v>3055.4479999999999</v>
      </c>
      <c r="I44" s="7419"/>
      <c r="J44" s="7451">
        <f t="shared" si="2"/>
        <v>3055.4479999999999</v>
      </c>
      <c r="K44" s="7418"/>
      <c r="L44" s="1675">
        <v>1463.076</v>
      </c>
      <c r="M44" s="7422"/>
      <c r="N44" s="7452">
        <f t="shared" si="0"/>
        <v>4518.5239999999994</v>
      </c>
      <c r="O44" s="7418"/>
      <c r="P44" s="1675">
        <f>1300.97-4.104</f>
        <v>1296.866</v>
      </c>
      <c r="Q44" s="7419"/>
      <c r="R44" s="7451">
        <f t="shared" si="3"/>
        <v>5815.3899999999994</v>
      </c>
      <c r="S44" s="7418"/>
      <c r="T44" s="3184">
        <v>1545.1559999999999</v>
      </c>
      <c r="U44" s="7419"/>
      <c r="V44" s="7451">
        <f t="shared" si="4"/>
        <v>7360.5459999999994</v>
      </c>
      <c r="W44" s="7418"/>
      <c r="X44" s="3184">
        <f>1186.056-2.082+162.108</f>
        <v>1346.0819999999999</v>
      </c>
      <c r="Y44" s="7422"/>
      <c r="Z44" s="7452">
        <f t="shared" si="5"/>
        <v>4188.1039999999994</v>
      </c>
      <c r="AA44" s="7423"/>
      <c r="AB44" s="7454">
        <f t="shared" si="6"/>
        <v>8706.6279999999988</v>
      </c>
      <c r="AC44" s="7418"/>
      <c r="AD44" s="3184">
        <v>0</v>
      </c>
      <c r="AE44" s="7419"/>
      <c r="AF44" s="1823">
        <f t="shared" si="1"/>
        <v>8706.6279999999988</v>
      </c>
      <c r="AG44" s="7418"/>
      <c r="AH44" s="1675">
        <v>0</v>
      </c>
      <c r="AI44" s="7419"/>
      <c r="AJ44" s="7451">
        <f t="shared" si="7"/>
        <v>8706.6279999999988</v>
      </c>
      <c r="AK44" s="7418"/>
      <c r="AL44" s="1675">
        <v>0</v>
      </c>
      <c r="AM44" s="7422"/>
      <c r="AN44" s="7452">
        <f t="shared" si="8"/>
        <v>0</v>
      </c>
      <c r="AO44" s="7419"/>
      <c r="AP44" s="7451">
        <f t="shared" si="9"/>
        <v>8706.6279999999988</v>
      </c>
      <c r="AQ44" s="7418"/>
      <c r="AR44" s="1675"/>
      <c r="AS44" s="7419"/>
      <c r="AT44" s="7451">
        <f t="shared" si="10"/>
        <v>8706.6279999999988</v>
      </c>
      <c r="AU44" s="7418"/>
      <c r="AV44" s="1675"/>
      <c r="AW44" s="7419"/>
      <c r="AX44" s="7451">
        <f t="shared" si="11"/>
        <v>8706.6279999999988</v>
      </c>
      <c r="AY44" s="7418"/>
      <c r="AZ44" s="1675">
        <v>574.81600000000003</v>
      </c>
      <c r="BA44" s="7422"/>
      <c r="BB44" s="7452">
        <f t="shared" si="12"/>
        <v>574.81600000000003</v>
      </c>
      <c r="BC44" s="7422"/>
      <c r="BD44" s="7452">
        <f t="shared" si="13"/>
        <v>574.81600000000003</v>
      </c>
      <c r="BE44" s="7423"/>
      <c r="BF44" s="6531">
        <f t="shared" si="14"/>
        <v>9281.4439999999995</v>
      </c>
    </row>
    <row r="45" spans="2:58" ht="15" customHeight="1" x14ac:dyDescent="0.2">
      <c r="B45" s="3928" t="s">
        <v>2300</v>
      </c>
      <c r="C45" s="7455" t="s">
        <v>2469</v>
      </c>
      <c r="D45" s="1848" t="s">
        <v>170</v>
      </c>
      <c r="E45" s="7418"/>
      <c r="F45" s="7447">
        <v>0</v>
      </c>
      <c r="G45" s="7418"/>
      <c r="H45" s="2840">
        <v>20.52</v>
      </c>
      <c r="I45" s="7419"/>
      <c r="J45" s="7451">
        <f t="shared" si="2"/>
        <v>20.52</v>
      </c>
      <c r="K45" s="7418"/>
      <c r="L45" s="1675">
        <v>213.40800000000002</v>
      </c>
      <c r="M45" s="7422"/>
      <c r="N45" s="7452">
        <f t="shared" si="0"/>
        <v>233.92800000000003</v>
      </c>
      <c r="O45" s="7418"/>
      <c r="P45" s="1675">
        <f>611.5-23.976</f>
        <v>587.524</v>
      </c>
      <c r="Q45" s="7419"/>
      <c r="R45" s="7451">
        <f t="shared" si="3"/>
        <v>821.452</v>
      </c>
      <c r="S45" s="7418"/>
      <c r="T45" s="3184">
        <f>2076.624-80.028</f>
        <v>1996.5959999999998</v>
      </c>
      <c r="U45" s="7419"/>
      <c r="V45" s="7451">
        <f t="shared" si="4"/>
        <v>2818.0479999999998</v>
      </c>
      <c r="W45" s="7418"/>
      <c r="X45" s="3184">
        <f>3800.304-88.254</f>
        <v>3712.05</v>
      </c>
      <c r="Y45" s="7422"/>
      <c r="Z45" s="7452">
        <f t="shared" si="5"/>
        <v>6296.17</v>
      </c>
      <c r="AA45" s="7423"/>
      <c r="AB45" s="7454">
        <f t="shared" si="6"/>
        <v>6530.098</v>
      </c>
      <c r="AC45" s="7418"/>
      <c r="AD45" s="3184">
        <f>4108.44-72.36</f>
        <v>4036.0799999999995</v>
      </c>
      <c r="AE45" s="7419"/>
      <c r="AF45" s="1823">
        <f t="shared" si="1"/>
        <v>10566.178</v>
      </c>
      <c r="AG45" s="7418"/>
      <c r="AH45" s="3184">
        <v>2221.0499999999997</v>
      </c>
      <c r="AI45" s="7419"/>
      <c r="AJ45" s="7451">
        <f t="shared" si="7"/>
        <v>12787.227999999999</v>
      </c>
      <c r="AK45" s="7418"/>
      <c r="AL45" s="3184">
        <f>3750.472-57.056</f>
        <v>3693.4160000000002</v>
      </c>
      <c r="AM45" s="7422"/>
      <c r="AN45" s="7452">
        <f t="shared" si="8"/>
        <v>9950.5459999999985</v>
      </c>
      <c r="AO45" s="7419"/>
      <c r="AP45" s="7451">
        <f t="shared" si="9"/>
        <v>16480.644</v>
      </c>
      <c r="AQ45" s="7418"/>
      <c r="AR45" s="3184">
        <f>4572.216-74.888</f>
        <v>4497.3280000000004</v>
      </c>
      <c r="AS45" s="7419"/>
      <c r="AT45" s="7451">
        <f t="shared" si="10"/>
        <v>20977.972000000002</v>
      </c>
      <c r="AU45" s="7418"/>
      <c r="AV45" s="3184">
        <f>3689.752-AV88</f>
        <v>3655.3440000000001</v>
      </c>
      <c r="AW45" s="7419"/>
      <c r="AX45" s="7451">
        <f t="shared" si="11"/>
        <v>24633.316000000003</v>
      </c>
      <c r="AY45" s="7418"/>
      <c r="AZ45" s="3184">
        <f>4058.12-10.12</f>
        <v>4048</v>
      </c>
      <c r="BA45" s="7422"/>
      <c r="BB45" s="7452">
        <f t="shared" si="12"/>
        <v>12200.672</v>
      </c>
      <c r="BC45" s="7422"/>
      <c r="BD45" s="7452">
        <f t="shared" si="13"/>
        <v>22151.218000000001</v>
      </c>
      <c r="BE45" s="7423"/>
      <c r="BF45" s="6531">
        <f t="shared" si="14"/>
        <v>28681.316000000003</v>
      </c>
    </row>
    <row r="46" spans="2:58" ht="15" customHeight="1" x14ac:dyDescent="0.2">
      <c r="B46" s="6040" t="s">
        <v>2300</v>
      </c>
      <c r="C46" s="7455" t="s">
        <v>2312</v>
      </c>
      <c r="D46" s="1848" t="s">
        <v>170</v>
      </c>
      <c r="E46" s="7418"/>
      <c r="F46" s="7447">
        <f>2492.8-12.42</f>
        <v>2480.38</v>
      </c>
      <c r="G46" s="7418"/>
      <c r="H46" s="2840">
        <v>0</v>
      </c>
      <c r="I46" s="7419"/>
      <c r="J46" s="7451">
        <f t="shared" si="2"/>
        <v>2480.38</v>
      </c>
      <c r="K46" s="7418"/>
      <c r="L46" s="1675">
        <v>0</v>
      </c>
      <c r="M46" s="7422"/>
      <c r="N46" s="7452">
        <f t="shared" si="0"/>
        <v>2480.38</v>
      </c>
      <c r="O46" s="7418"/>
      <c r="P46" s="1675">
        <v>0</v>
      </c>
      <c r="Q46" s="7419"/>
      <c r="R46" s="7451">
        <f t="shared" si="3"/>
        <v>2480.38</v>
      </c>
      <c r="S46" s="7418"/>
      <c r="T46" s="3184">
        <v>0</v>
      </c>
      <c r="U46" s="7419"/>
      <c r="V46" s="7451">
        <f t="shared" si="4"/>
        <v>2480.38</v>
      </c>
      <c r="W46" s="7418"/>
      <c r="X46" s="1675">
        <v>0</v>
      </c>
      <c r="Y46" s="7422"/>
      <c r="Z46" s="7452">
        <f t="shared" si="5"/>
        <v>0</v>
      </c>
      <c r="AA46" s="7423"/>
      <c r="AB46" s="7454">
        <f t="shared" si="6"/>
        <v>2480.38</v>
      </c>
      <c r="AC46" s="7418"/>
      <c r="AD46" s="3184">
        <v>0</v>
      </c>
      <c r="AE46" s="7419"/>
      <c r="AF46" s="1823">
        <f t="shared" si="1"/>
        <v>2480.38</v>
      </c>
      <c r="AG46" s="7418"/>
      <c r="AH46" s="1675">
        <v>0</v>
      </c>
      <c r="AI46" s="7419"/>
      <c r="AJ46" s="7451">
        <f t="shared" si="7"/>
        <v>2480.38</v>
      </c>
      <c r="AK46" s="7418"/>
      <c r="AL46" s="1675">
        <v>0</v>
      </c>
      <c r="AM46" s="7422"/>
      <c r="AN46" s="7452">
        <f t="shared" si="8"/>
        <v>0</v>
      </c>
      <c r="AO46" s="7419"/>
      <c r="AP46" s="7451">
        <f t="shared" si="9"/>
        <v>2480.38</v>
      </c>
      <c r="AQ46" s="7418"/>
      <c r="AR46" s="1675">
        <f>763.048-58.696</f>
        <v>704.35199999999998</v>
      </c>
      <c r="AS46" s="7419"/>
      <c r="AT46" s="7451">
        <f t="shared" si="10"/>
        <v>3184.732</v>
      </c>
      <c r="AU46" s="7418"/>
      <c r="AV46" s="1675"/>
      <c r="AW46" s="7419"/>
      <c r="AX46" s="7451">
        <f t="shared" si="11"/>
        <v>3184.732</v>
      </c>
      <c r="AY46" s="7418"/>
      <c r="AZ46" s="1675">
        <v>1074.7439999999999</v>
      </c>
      <c r="BA46" s="7422"/>
      <c r="BB46" s="7452">
        <f t="shared" si="12"/>
        <v>1779.096</v>
      </c>
      <c r="BC46" s="7422"/>
      <c r="BD46" s="7452">
        <f t="shared" si="13"/>
        <v>1779.096</v>
      </c>
      <c r="BE46" s="7423"/>
      <c r="BF46" s="6531">
        <f t="shared" si="14"/>
        <v>4259.4759999999997</v>
      </c>
    </row>
    <row r="47" spans="2:58" s="7598" customFormat="1" ht="15" customHeight="1" x14ac:dyDescent="0.2">
      <c r="B47" s="3928" t="s">
        <v>2300</v>
      </c>
      <c r="C47" s="7455" t="s">
        <v>2424</v>
      </c>
      <c r="D47" s="1848" t="s">
        <v>170</v>
      </c>
      <c r="E47" s="7418"/>
      <c r="F47" s="7447"/>
      <c r="G47" s="7418"/>
      <c r="H47" s="2840"/>
      <c r="I47" s="7419"/>
      <c r="J47" s="7451">
        <f t="shared" si="2"/>
        <v>0</v>
      </c>
      <c r="K47" s="7418"/>
      <c r="L47" s="1675"/>
      <c r="M47" s="7422"/>
      <c r="N47" s="7452">
        <f t="shared" si="0"/>
        <v>0</v>
      </c>
      <c r="O47" s="7418"/>
      <c r="P47" s="1675"/>
      <c r="Q47" s="7419"/>
      <c r="R47" s="7451">
        <f t="shared" si="3"/>
        <v>0</v>
      </c>
      <c r="S47" s="7418"/>
      <c r="T47" s="3184"/>
      <c r="U47" s="7419"/>
      <c r="V47" s="7451">
        <f t="shared" si="4"/>
        <v>0</v>
      </c>
      <c r="W47" s="7418"/>
      <c r="X47" s="1675"/>
      <c r="Y47" s="7422"/>
      <c r="Z47" s="7452">
        <f t="shared" si="5"/>
        <v>0</v>
      </c>
      <c r="AA47" s="7423"/>
      <c r="AB47" s="7454">
        <f t="shared" si="6"/>
        <v>0</v>
      </c>
      <c r="AC47" s="7418"/>
      <c r="AD47" s="3184"/>
      <c r="AE47" s="7419"/>
      <c r="AF47" s="1823">
        <f t="shared" si="1"/>
        <v>0</v>
      </c>
      <c r="AG47" s="7418"/>
      <c r="AH47" s="3184">
        <v>301.49999999999994</v>
      </c>
      <c r="AI47" s="7419"/>
      <c r="AJ47" s="7451">
        <f t="shared" si="7"/>
        <v>301.49999999999994</v>
      </c>
      <c r="AK47" s="7418"/>
      <c r="AL47" s="1675">
        <v>0</v>
      </c>
      <c r="AM47" s="7422"/>
      <c r="AN47" s="7452">
        <f t="shared" si="8"/>
        <v>301.49999999999994</v>
      </c>
      <c r="AO47" s="7419"/>
      <c r="AP47" s="7451">
        <f t="shared" si="9"/>
        <v>301.49999999999994</v>
      </c>
      <c r="AQ47" s="7418"/>
      <c r="AR47" s="1675"/>
      <c r="AS47" s="7419"/>
      <c r="AT47" s="7451">
        <f t="shared" si="10"/>
        <v>301.49999999999994</v>
      </c>
      <c r="AU47" s="7418"/>
      <c r="AV47" s="1675"/>
      <c r="AW47" s="7419"/>
      <c r="AX47" s="7451">
        <f t="shared" si="11"/>
        <v>301.49999999999994</v>
      </c>
      <c r="AY47" s="7418"/>
      <c r="AZ47" s="1675"/>
      <c r="BA47" s="7422"/>
      <c r="BB47" s="7452">
        <f t="shared" si="12"/>
        <v>0</v>
      </c>
      <c r="BC47" s="7422"/>
      <c r="BD47" s="7452">
        <f t="shared" si="13"/>
        <v>301.49999999999994</v>
      </c>
      <c r="BE47" s="7423"/>
      <c r="BF47" s="6531">
        <f t="shared" si="14"/>
        <v>301.49999999999994</v>
      </c>
    </row>
    <row r="48" spans="2:58" s="7398" customFormat="1" ht="15" customHeight="1" x14ac:dyDescent="0.2">
      <c r="B48" s="3928" t="s">
        <v>2300</v>
      </c>
      <c r="C48" s="7455" t="s">
        <v>1848</v>
      </c>
      <c r="D48" s="1848" t="s">
        <v>170</v>
      </c>
      <c r="E48" s="7418"/>
      <c r="F48" s="7447"/>
      <c r="G48" s="7418"/>
      <c r="H48" s="2840"/>
      <c r="I48" s="7419"/>
      <c r="J48" s="7451">
        <f t="shared" si="2"/>
        <v>0</v>
      </c>
      <c r="K48" s="7418"/>
      <c r="L48" s="1675"/>
      <c r="M48" s="7422"/>
      <c r="N48" s="7452">
        <f t="shared" si="0"/>
        <v>0</v>
      </c>
      <c r="O48" s="7418"/>
      <c r="P48" s="1675"/>
      <c r="Q48" s="7419"/>
      <c r="R48" s="7451">
        <f t="shared" si="3"/>
        <v>0</v>
      </c>
      <c r="S48" s="7418"/>
      <c r="T48" s="3184"/>
      <c r="U48" s="7419"/>
      <c r="V48" s="7451">
        <f t="shared" si="4"/>
        <v>0</v>
      </c>
      <c r="W48" s="7418"/>
      <c r="X48" s="1675"/>
      <c r="Y48" s="7422"/>
      <c r="Z48" s="7452">
        <f t="shared" si="5"/>
        <v>0</v>
      </c>
      <c r="AA48" s="7423"/>
      <c r="AB48" s="7454">
        <f t="shared" si="6"/>
        <v>0</v>
      </c>
      <c r="AC48" s="7418"/>
      <c r="AD48" s="3184">
        <v>611.04</v>
      </c>
      <c r="AE48" s="7419"/>
      <c r="AF48" s="1823">
        <f t="shared" si="1"/>
        <v>611.04</v>
      </c>
      <c r="AG48" s="7418"/>
      <c r="AH48" s="3184">
        <v>486.41999999999996</v>
      </c>
      <c r="AI48" s="7419"/>
      <c r="AJ48" s="7451">
        <f t="shared" si="7"/>
        <v>1097.46</v>
      </c>
      <c r="AK48" s="7418"/>
      <c r="AL48" s="1675">
        <v>532.31200000000001</v>
      </c>
      <c r="AM48" s="7422"/>
      <c r="AN48" s="7452">
        <f t="shared" si="8"/>
        <v>1629.7719999999999</v>
      </c>
      <c r="AO48" s="7419"/>
      <c r="AP48" s="7451">
        <f t="shared" si="9"/>
        <v>1629.7719999999999</v>
      </c>
      <c r="AQ48" s="7418"/>
      <c r="AR48" s="1675"/>
      <c r="AS48" s="7419"/>
      <c r="AT48" s="7451">
        <f t="shared" si="10"/>
        <v>1629.7719999999999</v>
      </c>
      <c r="AU48" s="7418"/>
      <c r="AV48" s="1675"/>
      <c r="AW48" s="7419"/>
      <c r="AX48" s="7451">
        <f t="shared" si="11"/>
        <v>1629.7719999999999</v>
      </c>
      <c r="AY48" s="7418"/>
      <c r="AZ48" s="2339"/>
      <c r="BA48" s="7422"/>
      <c r="BB48" s="7452">
        <f t="shared" si="12"/>
        <v>0</v>
      </c>
      <c r="BC48" s="7422"/>
      <c r="BD48" s="7452">
        <f t="shared" si="13"/>
        <v>1629.7719999999999</v>
      </c>
      <c r="BE48" s="7423"/>
      <c r="BF48" s="6531">
        <f t="shared" si="14"/>
        <v>1629.7719999999999</v>
      </c>
    </row>
    <row r="49" spans="2:58" s="7598" customFormat="1" ht="15" customHeight="1" x14ac:dyDescent="0.2">
      <c r="B49" s="6040" t="s">
        <v>2300</v>
      </c>
      <c r="C49" s="7455" t="s">
        <v>2315</v>
      </c>
      <c r="D49" s="1848" t="s">
        <v>170</v>
      </c>
      <c r="E49" s="7418"/>
      <c r="F49" s="7447"/>
      <c r="G49" s="7418"/>
      <c r="H49" s="2840"/>
      <c r="I49" s="7419"/>
      <c r="J49" s="7451">
        <f t="shared" si="2"/>
        <v>0</v>
      </c>
      <c r="K49" s="7418"/>
      <c r="L49" s="1675"/>
      <c r="M49" s="7422"/>
      <c r="N49" s="7452">
        <f t="shared" si="0"/>
        <v>0</v>
      </c>
      <c r="O49" s="7418"/>
      <c r="P49" s="1675"/>
      <c r="Q49" s="7419"/>
      <c r="R49" s="7451">
        <f t="shared" si="3"/>
        <v>0</v>
      </c>
      <c r="S49" s="7418"/>
      <c r="T49" s="3184"/>
      <c r="U49" s="7419"/>
      <c r="V49" s="7451">
        <f t="shared" si="4"/>
        <v>0</v>
      </c>
      <c r="W49" s="7418"/>
      <c r="X49" s="1675"/>
      <c r="Y49" s="7422"/>
      <c r="Z49" s="7452">
        <f t="shared" si="5"/>
        <v>0</v>
      </c>
      <c r="AA49" s="7423"/>
      <c r="AB49" s="7454">
        <f t="shared" si="6"/>
        <v>0</v>
      </c>
      <c r="AC49" s="7418"/>
      <c r="AD49" s="3184"/>
      <c r="AE49" s="7419"/>
      <c r="AF49" s="1823">
        <f t="shared" si="1"/>
        <v>0</v>
      </c>
      <c r="AG49" s="7418"/>
      <c r="AH49" s="3184">
        <f>4170.75-30.78</f>
        <v>4139.97</v>
      </c>
      <c r="AI49" s="7419"/>
      <c r="AJ49" s="7451">
        <f t="shared" si="7"/>
        <v>4139.97</v>
      </c>
      <c r="AK49" s="7418"/>
      <c r="AL49" s="1675">
        <v>2091.8580000000002</v>
      </c>
      <c r="AM49" s="7422"/>
      <c r="AN49" s="7452">
        <f t="shared" si="8"/>
        <v>6231.8280000000004</v>
      </c>
      <c r="AO49" s="7419"/>
      <c r="AP49" s="7451">
        <f t="shared" si="9"/>
        <v>6231.8280000000004</v>
      </c>
      <c r="AQ49" s="7418"/>
      <c r="AR49" s="1675"/>
      <c r="AS49" s="7419"/>
      <c r="AT49" s="7451">
        <f t="shared" si="10"/>
        <v>6231.8280000000004</v>
      </c>
      <c r="AU49" s="7418"/>
      <c r="AV49" s="1675"/>
      <c r="AW49" s="7419"/>
      <c r="AX49" s="7451">
        <f t="shared" si="11"/>
        <v>6231.8280000000004</v>
      </c>
      <c r="AY49" s="7418"/>
      <c r="AZ49" s="2339"/>
      <c r="BA49" s="7422"/>
      <c r="BB49" s="7452">
        <f t="shared" si="12"/>
        <v>0</v>
      </c>
      <c r="BC49" s="7422"/>
      <c r="BD49" s="7452">
        <f t="shared" si="13"/>
        <v>6231.8280000000004</v>
      </c>
      <c r="BE49" s="7423"/>
      <c r="BF49" s="6531">
        <f t="shared" si="14"/>
        <v>6231.8280000000004</v>
      </c>
    </row>
    <row r="50" spans="2:58" ht="15" customHeight="1" x14ac:dyDescent="0.2">
      <c r="B50" s="6040" t="s">
        <v>2300</v>
      </c>
      <c r="C50" s="7455" t="s">
        <v>2313</v>
      </c>
      <c r="D50" s="1848" t="s">
        <v>170</v>
      </c>
      <c r="E50" s="7418"/>
      <c r="F50" s="7447">
        <v>0</v>
      </c>
      <c r="G50" s="7418"/>
      <c r="H50" s="2840">
        <v>586.87199999999996</v>
      </c>
      <c r="I50" s="7419"/>
      <c r="J50" s="7451">
        <f t="shared" si="2"/>
        <v>586.87199999999996</v>
      </c>
      <c r="K50" s="7418"/>
      <c r="L50" s="1675">
        <v>158.00399999999999</v>
      </c>
      <c r="M50" s="7422"/>
      <c r="N50" s="7452">
        <f t="shared" si="0"/>
        <v>744.87599999999998</v>
      </c>
      <c r="O50" s="7418"/>
      <c r="P50" s="1675">
        <f>1483.6-28.728</f>
        <v>1454.8719999999998</v>
      </c>
      <c r="Q50" s="7419"/>
      <c r="R50" s="7451">
        <f t="shared" si="3"/>
        <v>2199.7479999999996</v>
      </c>
      <c r="S50" s="7418"/>
      <c r="T50" s="3184">
        <f>1592.352-16.416</f>
        <v>1575.9360000000001</v>
      </c>
      <c r="U50" s="7419"/>
      <c r="V50" s="7451">
        <f t="shared" si="4"/>
        <v>3775.6839999999997</v>
      </c>
      <c r="W50" s="7418"/>
      <c r="X50" s="3184">
        <f>1551.312-8.208-129.276</f>
        <v>1413.8279999999997</v>
      </c>
      <c r="Y50" s="7422"/>
      <c r="Z50" s="7452">
        <f t="shared" si="5"/>
        <v>4444.6359999999995</v>
      </c>
      <c r="AA50" s="7423"/>
      <c r="AB50" s="7454">
        <f t="shared" si="6"/>
        <v>5189.5119999999997</v>
      </c>
      <c r="AC50" s="7418"/>
      <c r="AD50" s="3184">
        <v>0</v>
      </c>
      <c r="AE50" s="7419"/>
      <c r="AF50" s="1823">
        <f t="shared" si="1"/>
        <v>5189.5119999999997</v>
      </c>
      <c r="AG50" s="7418"/>
      <c r="AH50" s="3184">
        <v>1089.4199999999998</v>
      </c>
      <c r="AI50" s="7419"/>
      <c r="AJ50" s="7451">
        <f t="shared" si="7"/>
        <v>6278.9319999999998</v>
      </c>
      <c r="AK50" s="7418"/>
      <c r="AL50" s="3184">
        <f>2514.996-8.208</f>
        <v>2506.788</v>
      </c>
      <c r="AM50" s="7422"/>
      <c r="AN50" s="7452">
        <f t="shared" si="8"/>
        <v>3596.2079999999996</v>
      </c>
      <c r="AO50" s="7419"/>
      <c r="AP50" s="7451">
        <f t="shared" si="9"/>
        <v>8785.7199999999993</v>
      </c>
      <c r="AQ50" s="7418"/>
      <c r="AR50" s="3184">
        <f>2068.528-10.12</f>
        <v>2058.4079999999999</v>
      </c>
      <c r="AS50" s="7419"/>
      <c r="AT50" s="7451">
        <f t="shared" si="10"/>
        <v>10844.127999999999</v>
      </c>
      <c r="AU50" s="7418"/>
      <c r="AV50" s="3184">
        <v>1637.4160000000002</v>
      </c>
      <c r="AW50" s="7419"/>
      <c r="AX50" s="7451">
        <f t="shared" si="11"/>
        <v>12481.543999999998</v>
      </c>
      <c r="AY50" s="7418"/>
      <c r="AZ50" s="3184">
        <f>1473.472-14.17</f>
        <v>1459.3019999999999</v>
      </c>
      <c r="BA50" s="7422"/>
      <c r="BB50" s="7452">
        <f t="shared" si="12"/>
        <v>5155.1260000000002</v>
      </c>
      <c r="BC50" s="7422"/>
      <c r="BD50" s="7452">
        <f t="shared" si="13"/>
        <v>8751.3339999999989</v>
      </c>
      <c r="BE50" s="7423"/>
      <c r="BF50" s="6531">
        <f t="shared" si="14"/>
        <v>13940.845999999998</v>
      </c>
    </row>
    <row r="51" spans="2:58" ht="15" customHeight="1" x14ac:dyDescent="0.2">
      <c r="B51" s="3928" t="s">
        <v>2300</v>
      </c>
      <c r="C51" s="7455" t="s">
        <v>2322</v>
      </c>
      <c r="D51" s="1848" t="s">
        <v>170</v>
      </c>
      <c r="E51" s="7418"/>
      <c r="F51" s="7447">
        <v>233.7</v>
      </c>
      <c r="G51" s="7418"/>
      <c r="H51" s="2840">
        <v>0</v>
      </c>
      <c r="I51" s="7419"/>
      <c r="J51" s="7451">
        <f t="shared" si="2"/>
        <v>233.7</v>
      </c>
      <c r="K51" s="7418"/>
      <c r="L51" s="1675">
        <v>0</v>
      </c>
      <c r="M51" s="7422"/>
      <c r="N51" s="7452">
        <f t="shared" si="0"/>
        <v>233.7</v>
      </c>
      <c r="O51" s="7418"/>
      <c r="P51" s="1675">
        <v>0</v>
      </c>
      <c r="Q51" s="7419"/>
      <c r="R51" s="7451">
        <f t="shared" si="3"/>
        <v>233.7</v>
      </c>
      <c r="S51" s="7418"/>
      <c r="T51" s="3184">
        <v>0</v>
      </c>
      <c r="U51" s="7419"/>
      <c r="V51" s="7451">
        <f t="shared" si="4"/>
        <v>233.7</v>
      </c>
      <c r="W51" s="7418"/>
      <c r="X51" s="1675">
        <v>0</v>
      </c>
      <c r="Y51" s="7422"/>
      <c r="Z51" s="7452">
        <f t="shared" si="5"/>
        <v>0</v>
      </c>
      <c r="AA51" s="7423"/>
      <c r="AB51" s="7454">
        <f t="shared" si="6"/>
        <v>233.7</v>
      </c>
      <c r="AC51" s="7418"/>
      <c r="AD51" s="3184">
        <v>0</v>
      </c>
      <c r="AE51" s="7419"/>
      <c r="AF51" s="1823">
        <f t="shared" si="1"/>
        <v>233.7</v>
      </c>
      <c r="AG51" s="7418"/>
      <c r="AH51" s="1675">
        <v>0</v>
      </c>
      <c r="AI51" s="7419"/>
      <c r="AJ51" s="7451">
        <f t="shared" si="7"/>
        <v>233.7</v>
      </c>
      <c r="AK51" s="7418"/>
      <c r="AL51" s="1675">
        <v>0</v>
      </c>
      <c r="AM51" s="7422"/>
      <c r="AN51" s="7452">
        <f t="shared" si="8"/>
        <v>0</v>
      </c>
      <c r="AO51" s="7419"/>
      <c r="AP51" s="7451">
        <f t="shared" si="9"/>
        <v>233.7</v>
      </c>
      <c r="AQ51" s="7418"/>
      <c r="AR51" s="1675"/>
      <c r="AS51" s="7419"/>
      <c r="AT51" s="7451">
        <f t="shared" si="10"/>
        <v>233.7</v>
      </c>
      <c r="AU51" s="7418"/>
      <c r="AV51" s="1675"/>
      <c r="AW51" s="7419"/>
      <c r="AX51" s="7451">
        <f t="shared" si="11"/>
        <v>233.7</v>
      </c>
      <c r="AY51" s="7418"/>
      <c r="AZ51" s="1675"/>
      <c r="BA51" s="7422"/>
      <c r="BB51" s="7452">
        <f t="shared" si="12"/>
        <v>0</v>
      </c>
      <c r="BC51" s="7422"/>
      <c r="BD51" s="7452">
        <f t="shared" si="13"/>
        <v>0</v>
      </c>
      <c r="BE51" s="7423"/>
      <c r="BF51" s="6531">
        <f t="shared" si="14"/>
        <v>233.7</v>
      </c>
    </row>
    <row r="52" spans="2:58" ht="15" customHeight="1" x14ac:dyDescent="0.2">
      <c r="B52" s="3928" t="s">
        <v>2300</v>
      </c>
      <c r="C52" s="7455" t="s">
        <v>1752</v>
      </c>
      <c r="D52" s="1848" t="s">
        <v>170</v>
      </c>
      <c r="E52" s="7418"/>
      <c r="F52" s="7447"/>
      <c r="G52" s="7418"/>
      <c r="H52" s="2840"/>
      <c r="I52" s="7419"/>
      <c r="J52" s="7451">
        <f t="shared" si="2"/>
        <v>0</v>
      </c>
      <c r="K52" s="7418"/>
      <c r="L52" s="1675">
        <v>49.248000000000005</v>
      </c>
      <c r="M52" s="7422"/>
      <c r="N52" s="7452">
        <f t="shared" si="0"/>
        <v>49.248000000000005</v>
      </c>
      <c r="O52" s="7418"/>
      <c r="P52" s="1675">
        <v>0</v>
      </c>
      <c r="Q52" s="7419"/>
      <c r="R52" s="7451">
        <f t="shared" si="3"/>
        <v>49.248000000000005</v>
      </c>
      <c r="S52" s="7418"/>
      <c r="T52" s="3184">
        <v>0</v>
      </c>
      <c r="U52" s="7419"/>
      <c r="V52" s="7451">
        <f t="shared" si="4"/>
        <v>49.248000000000005</v>
      </c>
      <c r="W52" s="7418"/>
      <c r="X52" s="1675">
        <v>0</v>
      </c>
      <c r="Y52" s="7422"/>
      <c r="Z52" s="7452">
        <f t="shared" si="5"/>
        <v>0</v>
      </c>
      <c r="AA52" s="7423"/>
      <c r="AB52" s="7454">
        <f t="shared" si="6"/>
        <v>49.248000000000005</v>
      </c>
      <c r="AC52" s="7418"/>
      <c r="AD52" s="3184">
        <v>518.57999999999993</v>
      </c>
      <c r="AE52" s="7419"/>
      <c r="AF52" s="1823">
        <f t="shared" si="1"/>
        <v>567.82799999999997</v>
      </c>
      <c r="AG52" s="7418"/>
      <c r="AH52" s="3184">
        <v>408.03</v>
      </c>
      <c r="AI52" s="7419"/>
      <c r="AJ52" s="7451">
        <f t="shared" si="7"/>
        <v>975.85799999999995</v>
      </c>
      <c r="AK52" s="7418"/>
      <c r="AL52" s="1675">
        <f>949.256-26.312</f>
        <v>922.94399999999996</v>
      </c>
      <c r="AM52" s="7422"/>
      <c r="AN52" s="7452">
        <f t="shared" si="8"/>
        <v>1849.5539999999999</v>
      </c>
      <c r="AO52" s="7419"/>
      <c r="AP52" s="7451">
        <f t="shared" si="9"/>
        <v>1898.8019999999999</v>
      </c>
      <c r="AQ52" s="7418"/>
      <c r="AR52" s="1675">
        <v>1042.3600000000001</v>
      </c>
      <c r="AS52" s="7419"/>
      <c r="AT52" s="7451">
        <f t="shared" si="10"/>
        <v>2941.1620000000003</v>
      </c>
      <c r="AU52" s="7418"/>
      <c r="AV52" s="1675"/>
      <c r="AW52" s="7419"/>
      <c r="AX52" s="7451">
        <f t="shared" si="11"/>
        <v>2941.1620000000003</v>
      </c>
      <c r="AY52" s="7418"/>
      <c r="AZ52" s="1675"/>
      <c r="BA52" s="7422"/>
      <c r="BB52" s="7452">
        <f t="shared" si="12"/>
        <v>1042.3600000000001</v>
      </c>
      <c r="BC52" s="7422"/>
      <c r="BD52" s="7452">
        <f t="shared" si="13"/>
        <v>2891.9139999999998</v>
      </c>
      <c r="BE52" s="7423"/>
      <c r="BF52" s="6531">
        <f t="shared" si="14"/>
        <v>2941.1620000000003</v>
      </c>
    </row>
    <row r="53" spans="2:58" ht="15" customHeight="1" x14ac:dyDescent="0.2">
      <c r="B53" s="3928" t="s">
        <v>2300</v>
      </c>
      <c r="C53" s="7455" t="s">
        <v>2314</v>
      </c>
      <c r="D53" s="1848" t="s">
        <v>170</v>
      </c>
      <c r="E53" s="7418"/>
      <c r="F53" s="7447"/>
      <c r="G53" s="7418"/>
      <c r="H53" s="2840"/>
      <c r="I53" s="7419"/>
      <c r="J53" s="7451">
        <f t="shared" si="2"/>
        <v>0</v>
      </c>
      <c r="K53" s="7418"/>
      <c r="L53" s="1675"/>
      <c r="M53" s="7422"/>
      <c r="N53" s="7452">
        <f t="shared" si="0"/>
        <v>0</v>
      </c>
      <c r="O53" s="7418"/>
      <c r="P53" s="1675"/>
      <c r="Q53" s="7419"/>
      <c r="R53" s="7451">
        <f t="shared" si="3"/>
        <v>0</v>
      </c>
      <c r="S53" s="7418"/>
      <c r="T53" s="3184">
        <v>1044.4680000000001</v>
      </c>
      <c r="U53" s="7419"/>
      <c r="V53" s="7451">
        <f t="shared" si="4"/>
        <v>1044.4680000000001</v>
      </c>
      <c r="W53" s="7418"/>
      <c r="X53" s="3184">
        <f>675.108-6.156-32.832</f>
        <v>636.12</v>
      </c>
      <c r="Y53" s="7422"/>
      <c r="Z53" s="7452">
        <f t="shared" si="5"/>
        <v>1680.5880000000002</v>
      </c>
      <c r="AA53" s="7423"/>
      <c r="AB53" s="7454">
        <f t="shared" si="6"/>
        <v>1680.5880000000002</v>
      </c>
      <c r="AC53" s="7418"/>
      <c r="AD53" s="3184">
        <v>0</v>
      </c>
      <c r="AE53" s="7419"/>
      <c r="AF53" s="1823">
        <f t="shared" si="1"/>
        <v>1680.5880000000002</v>
      </c>
      <c r="AG53" s="7418"/>
      <c r="AH53" s="1675">
        <v>0</v>
      </c>
      <c r="AI53" s="7419"/>
      <c r="AJ53" s="7451">
        <f t="shared" si="7"/>
        <v>1680.5880000000002</v>
      </c>
      <c r="AK53" s="7418"/>
      <c r="AL53" s="1675">
        <v>0</v>
      </c>
      <c r="AM53" s="7422"/>
      <c r="AN53" s="7452">
        <f t="shared" si="8"/>
        <v>0</v>
      </c>
      <c r="AO53" s="7419"/>
      <c r="AP53" s="7451">
        <f t="shared" si="9"/>
        <v>1680.5880000000002</v>
      </c>
      <c r="AQ53" s="7418"/>
      <c r="AR53" s="1675"/>
      <c r="AS53" s="7419"/>
      <c r="AT53" s="7451">
        <f t="shared" si="10"/>
        <v>1680.5880000000002</v>
      </c>
      <c r="AU53" s="7418"/>
      <c r="AV53" s="1675"/>
      <c r="AW53" s="7419"/>
      <c r="AX53" s="7451">
        <f t="shared" si="11"/>
        <v>1680.5880000000002</v>
      </c>
      <c r="AY53" s="7418"/>
      <c r="AZ53" s="1675"/>
      <c r="BA53" s="7422"/>
      <c r="BB53" s="7452">
        <f t="shared" si="12"/>
        <v>0</v>
      </c>
      <c r="BC53" s="7422"/>
      <c r="BD53" s="7452">
        <f t="shared" si="13"/>
        <v>0</v>
      </c>
      <c r="BE53" s="7423"/>
      <c r="BF53" s="6531">
        <f t="shared" si="14"/>
        <v>1680.5880000000002</v>
      </c>
    </row>
    <row r="54" spans="2:58" ht="15" customHeight="1" x14ac:dyDescent="0.2">
      <c r="B54" s="6040" t="s">
        <v>2301</v>
      </c>
      <c r="C54" s="7455" t="s">
        <v>2324</v>
      </c>
      <c r="D54" s="1848" t="s">
        <v>170</v>
      </c>
      <c r="E54" s="7418"/>
      <c r="F54" s="7447"/>
      <c r="G54" s="7418"/>
      <c r="H54" s="2840"/>
      <c r="I54" s="7419"/>
      <c r="J54" s="7451">
        <f t="shared" si="2"/>
        <v>0</v>
      </c>
      <c r="K54" s="7418"/>
      <c r="L54" s="1675"/>
      <c r="M54" s="7422"/>
      <c r="N54" s="7452">
        <f t="shared" si="0"/>
        <v>0</v>
      </c>
      <c r="O54" s="7418"/>
      <c r="P54" s="1675"/>
      <c r="Q54" s="7419"/>
      <c r="R54" s="7451">
        <f t="shared" si="3"/>
        <v>0</v>
      </c>
      <c r="S54" s="7418"/>
      <c r="T54" s="3184">
        <f>2244.888-28.728</f>
        <v>2216.16</v>
      </c>
      <c r="U54" s="7419"/>
      <c r="V54" s="7451">
        <f t="shared" si="4"/>
        <v>2216.16</v>
      </c>
      <c r="W54" s="7418"/>
      <c r="X54" s="1675">
        <v>0</v>
      </c>
      <c r="Y54" s="7422"/>
      <c r="Z54" s="7452">
        <f t="shared" si="5"/>
        <v>2216.16</v>
      </c>
      <c r="AA54" s="7423"/>
      <c r="AB54" s="7454">
        <f t="shared" si="6"/>
        <v>2216.16</v>
      </c>
      <c r="AC54" s="7418"/>
      <c r="AD54" s="3184">
        <v>0</v>
      </c>
      <c r="AE54" s="7419"/>
      <c r="AF54" s="1823">
        <f t="shared" si="1"/>
        <v>2216.16</v>
      </c>
      <c r="AG54" s="7418"/>
      <c r="AH54" s="1675">
        <v>0</v>
      </c>
      <c r="AI54" s="7419"/>
      <c r="AJ54" s="7451">
        <f t="shared" si="7"/>
        <v>2216.16</v>
      </c>
      <c r="AK54" s="7418"/>
      <c r="AL54" s="1675">
        <v>0</v>
      </c>
      <c r="AM54" s="7422"/>
      <c r="AN54" s="7452">
        <f t="shared" si="8"/>
        <v>0</v>
      </c>
      <c r="AO54" s="7419"/>
      <c r="AP54" s="7451">
        <f t="shared" si="9"/>
        <v>2216.16</v>
      </c>
      <c r="AQ54" s="7418"/>
      <c r="AR54" s="1675"/>
      <c r="AS54" s="7419"/>
      <c r="AT54" s="7451">
        <f t="shared" si="10"/>
        <v>2216.16</v>
      </c>
      <c r="AU54" s="7418"/>
      <c r="AV54" s="1675"/>
      <c r="AW54" s="7419"/>
      <c r="AX54" s="7451">
        <f t="shared" si="11"/>
        <v>2216.16</v>
      </c>
      <c r="AY54" s="7418"/>
      <c r="AZ54" s="1675">
        <f>2115.08-70.832</f>
        <v>2044.248</v>
      </c>
      <c r="BA54" s="7422"/>
      <c r="BB54" s="7452">
        <f t="shared" si="12"/>
        <v>2044.248</v>
      </c>
      <c r="BC54" s="7422"/>
      <c r="BD54" s="7452">
        <f t="shared" si="13"/>
        <v>2044.248</v>
      </c>
      <c r="BE54" s="7423"/>
      <c r="BF54" s="6531">
        <f t="shared" si="14"/>
        <v>4260.4079999999994</v>
      </c>
    </row>
    <row r="55" spans="2:58" ht="15" customHeight="1" x14ac:dyDescent="0.2">
      <c r="B55" s="6040" t="s">
        <v>2302</v>
      </c>
      <c r="C55" s="7455" t="s">
        <v>2313</v>
      </c>
      <c r="D55" s="1848" t="s">
        <v>170</v>
      </c>
      <c r="E55" s="7418"/>
      <c r="F55" s="7447">
        <v>0</v>
      </c>
      <c r="G55" s="7418"/>
      <c r="H55" s="2840">
        <v>1266.0840000000001</v>
      </c>
      <c r="I55" s="7419"/>
      <c r="J55" s="7451">
        <f t="shared" si="2"/>
        <v>1266.0840000000001</v>
      </c>
      <c r="K55" s="7418"/>
      <c r="L55" s="1675">
        <f>3426.84-49.248</f>
        <v>3377.5920000000001</v>
      </c>
      <c r="M55" s="7422"/>
      <c r="N55" s="7452">
        <f t="shared" si="0"/>
        <v>4643.6760000000004</v>
      </c>
      <c r="O55" s="7418"/>
      <c r="P55" s="1675">
        <f>3236-137.484</f>
        <v>3098.5160000000001</v>
      </c>
      <c r="Q55" s="7419"/>
      <c r="R55" s="7451">
        <f t="shared" si="3"/>
        <v>7742.1920000000009</v>
      </c>
      <c r="S55" s="7418"/>
      <c r="T55" s="3184">
        <f>4795.524-131.328</f>
        <v>4664.1959999999999</v>
      </c>
      <c r="U55" s="7419"/>
      <c r="V55" s="7451">
        <f t="shared" si="4"/>
        <v>12406.388000000001</v>
      </c>
      <c r="W55" s="7418"/>
      <c r="X55" s="3184">
        <f>2189.484-22.572</f>
        <v>2166.9119999999998</v>
      </c>
      <c r="Y55" s="7422"/>
      <c r="Z55" s="7452">
        <f t="shared" si="5"/>
        <v>9929.6239999999998</v>
      </c>
      <c r="AA55" s="7423"/>
      <c r="AB55" s="7454">
        <f t="shared" si="6"/>
        <v>14573.300000000001</v>
      </c>
      <c r="AC55" s="7418"/>
      <c r="AD55" s="3184">
        <f>5543.58-164.134</f>
        <v>5379.4459999999999</v>
      </c>
      <c r="AE55" s="7419"/>
      <c r="AF55" s="1823">
        <f t="shared" si="1"/>
        <v>19952.745999999999</v>
      </c>
      <c r="AG55" s="7418"/>
      <c r="AH55" s="3184">
        <f>11957.49-205.172</f>
        <v>11752.317999999999</v>
      </c>
      <c r="AI55" s="7419"/>
      <c r="AJ55" s="7451">
        <f t="shared" si="7"/>
        <v>31705.063999999998</v>
      </c>
      <c r="AK55" s="7418"/>
      <c r="AL55" s="3184">
        <f>6201.536-56.672</f>
        <v>6144.8640000000005</v>
      </c>
      <c r="AM55" s="7422"/>
      <c r="AN55" s="7452">
        <f t="shared" si="8"/>
        <v>23276.628000000001</v>
      </c>
      <c r="AO55" s="7419"/>
      <c r="AP55" s="7451">
        <f t="shared" si="9"/>
        <v>37849.928</v>
      </c>
      <c r="AQ55" s="7418"/>
      <c r="AR55" s="3184">
        <f>8895.48-28.39</f>
        <v>8867.09</v>
      </c>
      <c r="AS55" s="7419"/>
      <c r="AT55" s="7451">
        <f t="shared" si="10"/>
        <v>46717.017999999996</v>
      </c>
      <c r="AU55" s="7418"/>
      <c r="AV55" s="3184">
        <f>6621.152-AV92</f>
        <v>6552.3360000000002</v>
      </c>
      <c r="AW55" s="7419"/>
      <c r="AX55" s="7451">
        <f t="shared" si="11"/>
        <v>53269.353999999999</v>
      </c>
      <c r="AY55" s="7418"/>
      <c r="AZ55" s="3184">
        <f>4895.538-22.31</f>
        <v>4873.2279999999992</v>
      </c>
      <c r="BA55" s="7422"/>
      <c r="BB55" s="7452">
        <f t="shared" si="12"/>
        <v>20292.653999999999</v>
      </c>
      <c r="BC55" s="7422"/>
      <c r="BD55" s="7452">
        <f t="shared" si="13"/>
        <v>43569.281999999999</v>
      </c>
      <c r="BE55" s="7423"/>
      <c r="BF55" s="6531">
        <f t="shared" si="14"/>
        <v>58142.581999999995</v>
      </c>
    </row>
    <row r="56" spans="2:58" ht="15" customHeight="1" x14ac:dyDescent="0.2">
      <c r="B56" s="6040" t="s">
        <v>2302</v>
      </c>
      <c r="C56" s="7455" t="s">
        <v>2314</v>
      </c>
      <c r="D56" s="1848" t="s">
        <v>170</v>
      </c>
      <c r="E56" s="7418"/>
      <c r="F56" s="7447"/>
      <c r="G56" s="7418"/>
      <c r="H56" s="2840"/>
      <c r="I56" s="7419"/>
      <c r="J56" s="7451">
        <f t="shared" si="2"/>
        <v>0</v>
      </c>
      <c r="K56" s="7418"/>
      <c r="L56" s="1675">
        <v>0</v>
      </c>
      <c r="M56" s="7422"/>
      <c r="N56" s="7452">
        <f t="shared" si="0"/>
        <v>0</v>
      </c>
      <c r="O56" s="7418"/>
      <c r="P56" s="1675"/>
      <c r="Q56" s="7419"/>
      <c r="R56" s="7451">
        <f t="shared" si="3"/>
        <v>0</v>
      </c>
      <c r="S56" s="7418"/>
      <c r="T56" s="3184">
        <f>541.728-82.08</f>
        <v>459.64799999999997</v>
      </c>
      <c r="U56" s="7419"/>
      <c r="V56" s="7451">
        <f t="shared" si="4"/>
        <v>459.64799999999997</v>
      </c>
      <c r="W56" s="7418"/>
      <c r="X56" s="1675">
        <v>0</v>
      </c>
      <c r="Y56" s="7422"/>
      <c r="Z56" s="7452">
        <f t="shared" si="5"/>
        <v>459.64799999999997</v>
      </c>
      <c r="AA56" s="7423"/>
      <c r="AB56" s="7454">
        <f t="shared" si="6"/>
        <v>459.64799999999997</v>
      </c>
      <c r="AC56" s="7418"/>
      <c r="AD56" s="3184">
        <v>0</v>
      </c>
      <c r="AE56" s="7419"/>
      <c r="AF56" s="1823">
        <f t="shared" si="1"/>
        <v>459.64799999999997</v>
      </c>
      <c r="AG56" s="7418"/>
      <c r="AH56" s="1675">
        <v>0</v>
      </c>
      <c r="AI56" s="7419"/>
      <c r="AJ56" s="7451">
        <f t="shared" si="7"/>
        <v>459.64799999999997</v>
      </c>
      <c r="AK56" s="7418"/>
      <c r="AL56" s="1675">
        <v>0</v>
      </c>
      <c r="AM56" s="7422"/>
      <c r="AN56" s="7452">
        <f t="shared" si="8"/>
        <v>0</v>
      </c>
      <c r="AO56" s="7419"/>
      <c r="AP56" s="7451">
        <f t="shared" si="9"/>
        <v>459.64799999999997</v>
      </c>
      <c r="AQ56" s="7418"/>
      <c r="AR56" s="1675">
        <f>886.512-2.024</f>
        <v>884.48799999999994</v>
      </c>
      <c r="AS56" s="7419"/>
      <c r="AT56" s="7451">
        <f t="shared" si="10"/>
        <v>1344.136</v>
      </c>
      <c r="AU56" s="7418"/>
      <c r="AV56" s="1675"/>
      <c r="AW56" s="7419"/>
      <c r="AX56" s="7451">
        <f t="shared" si="11"/>
        <v>1344.136</v>
      </c>
      <c r="AY56" s="7418"/>
      <c r="AZ56" s="1675">
        <f>8335.598+1755.868-85.174</f>
        <v>10006.291999999999</v>
      </c>
      <c r="BA56" s="7422"/>
      <c r="BB56" s="7452">
        <f t="shared" si="12"/>
        <v>10890.779999999999</v>
      </c>
      <c r="BC56" s="7422"/>
      <c r="BD56" s="7452">
        <f t="shared" si="13"/>
        <v>10890.779999999999</v>
      </c>
      <c r="BE56" s="7423"/>
      <c r="BF56" s="6531">
        <f t="shared" si="14"/>
        <v>11350.428</v>
      </c>
    </row>
    <row r="57" spans="2:58" s="4756" customFormat="1" ht="16" x14ac:dyDescent="0.2">
      <c r="B57" s="6040" t="s">
        <v>2302</v>
      </c>
      <c r="C57" s="7455" t="s">
        <v>2324</v>
      </c>
      <c r="D57" s="1848" t="s">
        <v>170</v>
      </c>
      <c r="E57" s="7418"/>
      <c r="F57" s="7447">
        <v>0</v>
      </c>
      <c r="G57" s="7418"/>
      <c r="H57" s="2840">
        <f>1243.512-2.05</f>
        <v>1241.462</v>
      </c>
      <c r="I57" s="7419"/>
      <c r="J57" s="7451">
        <f t="shared" si="2"/>
        <v>1241.462</v>
      </c>
      <c r="K57" s="7418"/>
      <c r="L57" s="1675">
        <f>3036.96-6.156-106.704</f>
        <v>2924.1</v>
      </c>
      <c r="M57" s="7422"/>
      <c r="N57" s="7452">
        <f t="shared" si="0"/>
        <v>4165.5619999999999</v>
      </c>
      <c r="O57" s="7418"/>
      <c r="P57" s="1675">
        <f>2027.38-51.3</f>
        <v>1976.0800000000002</v>
      </c>
      <c r="Q57" s="7419"/>
      <c r="R57" s="7451">
        <f t="shared" si="3"/>
        <v>6141.6419999999998</v>
      </c>
      <c r="S57" s="7418"/>
      <c r="T57" s="3184">
        <v>404.24400000000003</v>
      </c>
      <c r="U57" s="7419"/>
      <c r="V57" s="7451">
        <f t="shared" si="4"/>
        <v>6545.8859999999995</v>
      </c>
      <c r="W57" s="7418"/>
      <c r="X57" s="1675">
        <v>0</v>
      </c>
      <c r="Y57" s="7422"/>
      <c r="Z57" s="7452">
        <f t="shared" si="5"/>
        <v>2380.3240000000001</v>
      </c>
      <c r="AA57" s="7423"/>
      <c r="AB57" s="7454">
        <f t="shared" si="6"/>
        <v>6545.8859999999995</v>
      </c>
      <c r="AC57" s="7418"/>
      <c r="AD57" s="3184">
        <v>0</v>
      </c>
      <c r="AE57" s="7419"/>
      <c r="AF57" s="1823">
        <f t="shared" si="1"/>
        <v>6545.8859999999995</v>
      </c>
      <c r="AG57" s="7418"/>
      <c r="AH57" s="1675">
        <v>0</v>
      </c>
      <c r="AI57" s="7419"/>
      <c r="AJ57" s="7451">
        <f t="shared" si="7"/>
        <v>6545.8859999999995</v>
      </c>
      <c r="AK57" s="7418"/>
      <c r="AL57" s="1675">
        <v>0</v>
      </c>
      <c r="AM57" s="7422"/>
      <c r="AN57" s="7452">
        <f t="shared" si="8"/>
        <v>0</v>
      </c>
      <c r="AO57" s="7419"/>
      <c r="AP57" s="7451">
        <f t="shared" si="9"/>
        <v>6545.8859999999995</v>
      </c>
      <c r="AQ57" s="7418"/>
      <c r="AR57" s="1675"/>
      <c r="AS57" s="7419"/>
      <c r="AT57" s="7451">
        <f t="shared" si="10"/>
        <v>6545.8859999999995</v>
      </c>
      <c r="AU57" s="7418"/>
      <c r="AV57" s="1675"/>
      <c r="AW57" s="7419"/>
      <c r="AX57" s="7451">
        <f t="shared" si="11"/>
        <v>6545.8859999999995</v>
      </c>
      <c r="AY57" s="7418"/>
      <c r="AZ57" s="1675"/>
      <c r="BA57" s="7422"/>
      <c r="BB57" s="7452">
        <f t="shared" si="12"/>
        <v>0</v>
      </c>
      <c r="BC57" s="7422"/>
      <c r="BD57" s="7452">
        <f t="shared" si="13"/>
        <v>0</v>
      </c>
      <c r="BE57" s="7423"/>
      <c r="BF57" s="6531">
        <f t="shared" si="14"/>
        <v>6545.8859999999995</v>
      </c>
    </row>
    <row r="58" spans="2:58" s="8094" customFormat="1" ht="16" x14ac:dyDescent="0.2">
      <c r="B58" s="3928" t="s">
        <v>2302</v>
      </c>
      <c r="C58" s="7455" t="s">
        <v>2545</v>
      </c>
      <c r="D58" s="1848" t="s">
        <v>170</v>
      </c>
      <c r="E58" s="7418"/>
      <c r="F58" s="7447"/>
      <c r="G58" s="7418"/>
      <c r="H58" s="2840"/>
      <c r="I58" s="7419"/>
      <c r="J58" s="7451"/>
      <c r="K58" s="7418"/>
      <c r="L58" s="1675"/>
      <c r="M58" s="7422"/>
      <c r="N58" s="7452"/>
      <c r="O58" s="7418"/>
      <c r="P58" s="1675"/>
      <c r="Q58" s="7419"/>
      <c r="R58" s="7451"/>
      <c r="S58" s="7418"/>
      <c r="T58" s="3184"/>
      <c r="U58" s="7419"/>
      <c r="V58" s="7451"/>
      <c r="W58" s="7418"/>
      <c r="X58" s="1675"/>
      <c r="Y58" s="7422"/>
      <c r="Z58" s="7452"/>
      <c r="AA58" s="7423"/>
      <c r="AB58" s="7454"/>
      <c r="AC58" s="7418"/>
      <c r="AD58" s="3184"/>
      <c r="AE58" s="7419"/>
      <c r="AF58" s="1823"/>
      <c r="AG58" s="7418"/>
      <c r="AH58" s="1675"/>
      <c r="AI58" s="7419"/>
      <c r="AJ58" s="7451"/>
      <c r="AK58" s="7418"/>
      <c r="AL58" s="1675"/>
      <c r="AM58" s="7422"/>
      <c r="AN58" s="7452"/>
      <c r="AO58" s="7419"/>
      <c r="AP58" s="7451"/>
      <c r="AQ58" s="7418"/>
      <c r="AR58" s="1675">
        <f>103.224-2.024</f>
        <v>101.2</v>
      </c>
      <c r="AS58" s="7419"/>
      <c r="AT58" s="7451">
        <f t="shared" si="10"/>
        <v>101.2</v>
      </c>
      <c r="AU58" s="7418"/>
      <c r="AV58" s="1675"/>
      <c r="AW58" s="7419"/>
      <c r="AX58" s="7451">
        <f t="shared" si="11"/>
        <v>101.2</v>
      </c>
      <c r="AY58" s="7418"/>
      <c r="AZ58" s="1675"/>
      <c r="BA58" s="7422"/>
      <c r="BB58" s="7452">
        <f t="shared" si="12"/>
        <v>101.2</v>
      </c>
      <c r="BC58" s="7422"/>
      <c r="BD58" s="7452">
        <f t="shared" si="13"/>
        <v>101.2</v>
      </c>
      <c r="BE58" s="7423"/>
      <c r="BF58" s="6531">
        <f t="shared" si="14"/>
        <v>101.2</v>
      </c>
    </row>
    <row r="59" spans="2:58" ht="16" x14ac:dyDescent="0.2">
      <c r="B59" s="6040" t="s">
        <v>2302</v>
      </c>
      <c r="C59" s="7455" t="s">
        <v>2322</v>
      </c>
      <c r="D59" s="1848" t="s">
        <v>170</v>
      </c>
      <c r="E59" s="7418"/>
      <c r="F59" s="7447">
        <f>1773.25-24.84</f>
        <v>1748.41</v>
      </c>
      <c r="G59" s="7418"/>
      <c r="H59" s="2840">
        <v>0</v>
      </c>
      <c r="I59" s="7419"/>
      <c r="J59" s="7451">
        <f t="shared" si="2"/>
        <v>1748.41</v>
      </c>
      <c r="K59" s="7418"/>
      <c r="L59" s="1675">
        <v>0</v>
      </c>
      <c r="M59" s="7422"/>
      <c r="N59" s="7452">
        <f t="shared" si="0"/>
        <v>1748.41</v>
      </c>
      <c r="O59" s="7418"/>
      <c r="P59" s="1675">
        <v>0</v>
      </c>
      <c r="Q59" s="7419"/>
      <c r="R59" s="7451">
        <f t="shared" si="3"/>
        <v>1748.41</v>
      </c>
      <c r="S59" s="7418"/>
      <c r="T59" s="3184">
        <v>0</v>
      </c>
      <c r="U59" s="7419"/>
      <c r="V59" s="7451">
        <f t="shared" si="4"/>
        <v>1748.41</v>
      </c>
      <c r="W59" s="7418"/>
      <c r="X59" s="1675">
        <v>0</v>
      </c>
      <c r="Y59" s="7422"/>
      <c r="Z59" s="7452">
        <f t="shared" si="5"/>
        <v>0</v>
      </c>
      <c r="AA59" s="7423"/>
      <c r="AB59" s="7454">
        <f t="shared" si="6"/>
        <v>1748.41</v>
      </c>
      <c r="AC59" s="7418"/>
      <c r="AD59" s="3184">
        <v>0</v>
      </c>
      <c r="AE59" s="7419"/>
      <c r="AF59" s="1823">
        <f t="shared" si="1"/>
        <v>1748.41</v>
      </c>
      <c r="AG59" s="7418"/>
      <c r="AH59" s="1675">
        <v>0</v>
      </c>
      <c r="AI59" s="7419"/>
      <c r="AJ59" s="7451">
        <f t="shared" si="7"/>
        <v>1748.41</v>
      </c>
      <c r="AK59" s="7418"/>
      <c r="AL59" s="1675">
        <v>0</v>
      </c>
      <c r="AM59" s="7422"/>
      <c r="AN59" s="7452">
        <f t="shared" si="8"/>
        <v>0</v>
      </c>
      <c r="AO59" s="7419"/>
      <c r="AP59" s="7451">
        <f t="shared" si="9"/>
        <v>1748.41</v>
      </c>
      <c r="AQ59" s="7418"/>
      <c r="AR59" s="1675"/>
      <c r="AS59" s="7419"/>
      <c r="AT59" s="7451">
        <f t="shared" si="10"/>
        <v>1748.41</v>
      </c>
      <c r="AU59" s="7418"/>
      <c r="AV59" s="1675">
        <v>2131.2719999999999</v>
      </c>
      <c r="AW59" s="7419"/>
      <c r="AX59" s="7451">
        <f t="shared" si="11"/>
        <v>3879.6819999999998</v>
      </c>
      <c r="AY59" s="7418"/>
      <c r="AZ59" s="1675"/>
      <c r="BA59" s="7422"/>
      <c r="BB59" s="7452">
        <f t="shared" si="12"/>
        <v>2131.2719999999999</v>
      </c>
      <c r="BC59" s="7422"/>
      <c r="BD59" s="7452">
        <f t="shared" si="13"/>
        <v>2131.2719999999999</v>
      </c>
      <c r="BE59" s="7423"/>
      <c r="BF59" s="6531">
        <f t="shared" si="14"/>
        <v>3879.6819999999998</v>
      </c>
    </row>
    <row r="60" spans="2:58" s="7828" customFormat="1" ht="16" x14ac:dyDescent="0.2">
      <c r="B60" s="6040" t="s">
        <v>2302</v>
      </c>
      <c r="C60" s="7455" t="s">
        <v>2453</v>
      </c>
      <c r="D60" s="1848" t="s">
        <v>170</v>
      </c>
      <c r="E60" s="7418"/>
      <c r="F60" s="7447"/>
      <c r="G60" s="7418"/>
      <c r="H60" s="2840"/>
      <c r="I60" s="7419"/>
      <c r="J60" s="7451">
        <f t="shared" si="2"/>
        <v>0</v>
      </c>
      <c r="K60" s="7418"/>
      <c r="L60" s="1675"/>
      <c r="M60" s="7422"/>
      <c r="N60" s="7452">
        <f t="shared" si="0"/>
        <v>0</v>
      </c>
      <c r="O60" s="7418"/>
      <c r="P60" s="1675"/>
      <c r="Q60" s="7419"/>
      <c r="R60" s="7451">
        <f t="shared" si="3"/>
        <v>0</v>
      </c>
      <c r="S60" s="7418"/>
      <c r="T60" s="3184"/>
      <c r="U60" s="7419"/>
      <c r="V60" s="7451">
        <f t="shared" si="4"/>
        <v>0</v>
      </c>
      <c r="W60" s="7418"/>
      <c r="X60" s="1675"/>
      <c r="Y60" s="7422"/>
      <c r="Z60" s="7452">
        <f t="shared" si="5"/>
        <v>0</v>
      </c>
      <c r="AA60" s="7423"/>
      <c r="AB60" s="7454">
        <f t="shared" si="6"/>
        <v>0</v>
      </c>
      <c r="AC60" s="7418"/>
      <c r="AD60" s="3184"/>
      <c r="AE60" s="7419"/>
      <c r="AF60" s="1823">
        <f t="shared" si="1"/>
        <v>0</v>
      </c>
      <c r="AG60" s="7418"/>
      <c r="AH60" s="1675"/>
      <c r="AI60" s="7419"/>
      <c r="AJ60" s="7451">
        <f t="shared" si="7"/>
        <v>0</v>
      </c>
      <c r="AK60" s="7418"/>
      <c r="AL60" s="1675">
        <f>510.048-10.138</f>
        <v>499.91</v>
      </c>
      <c r="AM60" s="7422"/>
      <c r="AN60" s="7452">
        <f t="shared" si="8"/>
        <v>499.91</v>
      </c>
      <c r="AO60" s="7419"/>
      <c r="AP60" s="7451">
        <f t="shared" si="9"/>
        <v>499.91</v>
      </c>
      <c r="AQ60" s="7418"/>
      <c r="AR60" s="1675"/>
      <c r="AS60" s="7419"/>
      <c r="AT60" s="7451">
        <f t="shared" si="10"/>
        <v>499.91</v>
      </c>
      <c r="AU60" s="7418"/>
      <c r="AV60" s="1675"/>
      <c r="AW60" s="7419"/>
      <c r="AX60" s="7451">
        <f t="shared" si="11"/>
        <v>499.91</v>
      </c>
      <c r="AY60" s="7418"/>
      <c r="AZ60" s="1675"/>
      <c r="BA60" s="7422"/>
      <c r="BB60" s="7452">
        <f t="shared" si="12"/>
        <v>0</v>
      </c>
      <c r="BC60" s="7422"/>
      <c r="BD60" s="7452">
        <f t="shared" si="13"/>
        <v>499.91</v>
      </c>
      <c r="BE60" s="7423"/>
      <c r="BF60" s="6531">
        <f t="shared" si="14"/>
        <v>499.91</v>
      </c>
    </row>
    <row r="61" spans="2:58" s="4756" customFormat="1" ht="16" x14ac:dyDescent="0.2">
      <c r="B61" s="6040" t="s">
        <v>2302</v>
      </c>
      <c r="C61" s="7455" t="s">
        <v>2315</v>
      </c>
      <c r="D61" s="1848" t="s">
        <v>170</v>
      </c>
      <c r="E61" s="7418"/>
      <c r="F61" s="7447"/>
      <c r="G61" s="7418"/>
      <c r="H61" s="2840"/>
      <c r="I61" s="7419"/>
      <c r="J61" s="7451">
        <f t="shared" si="2"/>
        <v>0</v>
      </c>
      <c r="K61" s="7418"/>
      <c r="L61" s="1675">
        <v>0</v>
      </c>
      <c r="M61" s="7422"/>
      <c r="N61" s="7452">
        <f t="shared" si="0"/>
        <v>0</v>
      </c>
      <c r="O61" s="7418"/>
      <c r="P61" s="1675">
        <f>2720.95-77.976</f>
        <v>2642.9739999999997</v>
      </c>
      <c r="Q61" s="7419"/>
      <c r="R61" s="7451">
        <f t="shared" si="3"/>
        <v>2642.9739999999997</v>
      </c>
      <c r="S61" s="7418"/>
      <c r="T61" s="3184">
        <v>2854.3319999999999</v>
      </c>
      <c r="U61" s="7419"/>
      <c r="V61" s="7451">
        <f t="shared" si="4"/>
        <v>5497.3059999999996</v>
      </c>
      <c r="W61" s="7418"/>
      <c r="X61" s="1675">
        <v>0</v>
      </c>
      <c r="Y61" s="7422"/>
      <c r="Z61" s="7452">
        <f t="shared" si="5"/>
        <v>5497.3059999999996</v>
      </c>
      <c r="AA61" s="7423"/>
      <c r="AB61" s="7454">
        <f t="shared" si="6"/>
        <v>5497.3059999999996</v>
      </c>
      <c r="AC61" s="7418"/>
      <c r="AD61" s="3184">
        <f>3384.84-36.432</f>
        <v>3348.4080000000004</v>
      </c>
      <c r="AE61" s="7419"/>
      <c r="AF61" s="1823">
        <f t="shared" si="1"/>
        <v>8845.7139999999999</v>
      </c>
      <c r="AG61" s="7418"/>
      <c r="AH61" s="3184">
        <f>8640.99-63.612</f>
        <v>8577.3780000000006</v>
      </c>
      <c r="AI61" s="7419"/>
      <c r="AJ61" s="7451">
        <f t="shared" si="7"/>
        <v>17423.092000000001</v>
      </c>
      <c r="AK61" s="7418"/>
      <c r="AL61" s="1675">
        <f>4983.088-32.384</f>
        <v>4950.7039999999997</v>
      </c>
      <c r="AM61" s="7422"/>
      <c r="AN61" s="7452">
        <f t="shared" si="8"/>
        <v>16876.489999999998</v>
      </c>
      <c r="AO61" s="7419"/>
      <c r="AP61" s="7451">
        <f t="shared" si="9"/>
        <v>22373.796000000002</v>
      </c>
      <c r="AQ61" s="7418"/>
      <c r="AR61" s="1675">
        <v>2289.1440000000002</v>
      </c>
      <c r="AS61" s="7419"/>
      <c r="AT61" s="7451">
        <f t="shared" si="10"/>
        <v>24662.940000000002</v>
      </c>
      <c r="AU61" s="7418"/>
      <c r="AV61" s="1675">
        <v>7017.3760000000002</v>
      </c>
      <c r="AW61" s="7419"/>
      <c r="AX61" s="7451">
        <f t="shared" si="11"/>
        <v>31680.316000000003</v>
      </c>
      <c r="AY61" s="7418"/>
      <c r="AZ61" s="1675"/>
      <c r="BA61" s="7422"/>
      <c r="BB61" s="7452">
        <f t="shared" si="12"/>
        <v>9306.52</v>
      </c>
      <c r="BC61" s="7422"/>
      <c r="BD61" s="7452">
        <f t="shared" si="13"/>
        <v>26183.01</v>
      </c>
      <c r="BE61" s="7423"/>
      <c r="BF61" s="6531">
        <f t="shared" si="14"/>
        <v>31680.316000000003</v>
      </c>
    </row>
    <row r="62" spans="2:58" ht="15" customHeight="1" x14ac:dyDescent="0.2">
      <c r="B62" s="3928" t="s">
        <v>2302</v>
      </c>
      <c r="C62" s="7455" t="s">
        <v>2312</v>
      </c>
      <c r="D62" s="1848" t="s">
        <v>170</v>
      </c>
      <c r="E62" s="7418"/>
      <c r="F62" s="7447"/>
      <c r="G62" s="7418"/>
      <c r="H62" s="2840"/>
      <c r="I62" s="7419"/>
      <c r="J62" s="7451">
        <f t="shared" si="2"/>
        <v>0</v>
      </c>
      <c r="K62" s="7418"/>
      <c r="L62" s="1675">
        <v>0</v>
      </c>
      <c r="M62" s="7422"/>
      <c r="N62" s="7452">
        <f t="shared" si="0"/>
        <v>0</v>
      </c>
      <c r="O62" s="7418"/>
      <c r="P62" s="1675"/>
      <c r="Q62" s="7419"/>
      <c r="R62" s="7451">
        <f t="shared" si="3"/>
        <v>0</v>
      </c>
      <c r="S62" s="7418"/>
      <c r="T62" s="3184">
        <f>402.192-36.936</f>
        <v>365.25600000000003</v>
      </c>
      <c r="U62" s="7419"/>
      <c r="V62" s="7451">
        <f t="shared" si="4"/>
        <v>365.25600000000003</v>
      </c>
      <c r="W62" s="7418"/>
      <c r="X62" s="1675">
        <v>0</v>
      </c>
      <c r="Y62" s="7422"/>
      <c r="Z62" s="7452">
        <f t="shared" si="5"/>
        <v>365.25600000000003</v>
      </c>
      <c r="AA62" s="7423"/>
      <c r="AB62" s="7454">
        <f t="shared" si="6"/>
        <v>365.25600000000003</v>
      </c>
      <c r="AC62" s="7418"/>
      <c r="AD62" s="3184">
        <v>0</v>
      </c>
      <c r="AE62" s="7419"/>
      <c r="AF62" s="1823">
        <f t="shared" si="1"/>
        <v>365.25600000000003</v>
      </c>
      <c r="AG62" s="7418"/>
      <c r="AH62" s="1675">
        <v>0</v>
      </c>
      <c r="AI62" s="7419"/>
      <c r="AJ62" s="7451">
        <f t="shared" si="7"/>
        <v>365.25600000000003</v>
      </c>
      <c r="AK62" s="7418"/>
      <c r="AL62" s="1675">
        <v>0</v>
      </c>
      <c r="AM62" s="7422"/>
      <c r="AN62" s="7452">
        <f t="shared" si="8"/>
        <v>0</v>
      </c>
      <c r="AO62" s="7419"/>
      <c r="AP62" s="7451">
        <f t="shared" si="9"/>
        <v>365.25600000000003</v>
      </c>
      <c r="AQ62" s="7418"/>
      <c r="AR62" s="1675"/>
      <c r="AS62" s="7419"/>
      <c r="AT62" s="7451">
        <f t="shared" si="10"/>
        <v>365.25600000000003</v>
      </c>
      <c r="AU62" s="7418"/>
      <c r="AV62" s="1675"/>
      <c r="AW62" s="7419"/>
      <c r="AX62" s="7451">
        <f t="shared" si="11"/>
        <v>365.25600000000003</v>
      </c>
      <c r="AY62" s="7418"/>
      <c r="AZ62" s="1675"/>
      <c r="BA62" s="7422"/>
      <c r="BB62" s="7452">
        <f t="shared" si="12"/>
        <v>0</v>
      </c>
      <c r="BC62" s="7422"/>
      <c r="BD62" s="7452">
        <f t="shared" si="13"/>
        <v>0</v>
      </c>
      <c r="BE62" s="7423"/>
      <c r="BF62" s="6531">
        <f t="shared" si="14"/>
        <v>365.25600000000003</v>
      </c>
    </row>
    <row r="63" spans="2:58" s="8189" customFormat="1" ht="15" customHeight="1" x14ac:dyDescent="0.2">
      <c r="B63" s="3928" t="s">
        <v>2302</v>
      </c>
      <c r="C63" s="7455" t="s">
        <v>2579</v>
      </c>
      <c r="D63" s="1848" t="s">
        <v>170</v>
      </c>
      <c r="E63" s="7418"/>
      <c r="F63" s="7447"/>
      <c r="G63" s="7418"/>
      <c r="H63" s="2840"/>
      <c r="I63" s="7419"/>
      <c r="J63" s="7451"/>
      <c r="K63" s="7418"/>
      <c r="L63" s="1675"/>
      <c r="M63" s="7422"/>
      <c r="N63" s="7452"/>
      <c r="O63" s="7418"/>
      <c r="P63" s="1675"/>
      <c r="Q63" s="7419"/>
      <c r="R63" s="7451"/>
      <c r="S63" s="7418"/>
      <c r="T63" s="3184"/>
      <c r="U63" s="7419"/>
      <c r="V63" s="7451"/>
      <c r="W63" s="7418"/>
      <c r="X63" s="1675"/>
      <c r="Y63" s="7422"/>
      <c r="Z63" s="7452"/>
      <c r="AA63" s="7423"/>
      <c r="AB63" s="7454"/>
      <c r="AC63" s="7418"/>
      <c r="AD63" s="3184"/>
      <c r="AE63" s="7419"/>
      <c r="AF63" s="1823"/>
      <c r="AG63" s="7418"/>
      <c r="AH63" s="1675"/>
      <c r="AI63" s="7419"/>
      <c r="AJ63" s="7451"/>
      <c r="AK63" s="7418"/>
      <c r="AL63" s="1675"/>
      <c r="AM63" s="7422"/>
      <c r="AN63" s="7452"/>
      <c r="AO63" s="7419"/>
      <c r="AP63" s="7451"/>
      <c r="AQ63" s="7418"/>
      <c r="AR63" s="1675"/>
      <c r="AS63" s="7419"/>
      <c r="AT63" s="7451">
        <f t="shared" si="10"/>
        <v>0</v>
      </c>
      <c r="AU63" s="7418"/>
      <c r="AV63" s="1675">
        <v>257.048</v>
      </c>
      <c r="AW63" s="7419"/>
      <c r="AX63" s="7451">
        <f t="shared" si="11"/>
        <v>257.048</v>
      </c>
      <c r="AY63" s="7418"/>
      <c r="AZ63" s="1675"/>
      <c r="BA63" s="7422"/>
      <c r="BB63" s="7452">
        <f t="shared" si="12"/>
        <v>257.048</v>
      </c>
      <c r="BC63" s="7422"/>
      <c r="BD63" s="7452">
        <f t="shared" si="13"/>
        <v>257.048</v>
      </c>
      <c r="BE63" s="7423"/>
      <c r="BF63" s="6531">
        <f t="shared" si="14"/>
        <v>257.048</v>
      </c>
    </row>
    <row r="64" spans="2:58" s="8386" customFormat="1" ht="15" customHeight="1" x14ac:dyDescent="0.2">
      <c r="B64" s="3928" t="s">
        <v>2302</v>
      </c>
      <c r="C64" s="7455" t="s">
        <v>2606</v>
      </c>
      <c r="D64" s="1848" t="s">
        <v>170</v>
      </c>
      <c r="E64" s="7418"/>
      <c r="F64" s="7447"/>
      <c r="G64" s="7418"/>
      <c r="H64" s="2840"/>
      <c r="I64" s="7419"/>
      <c r="J64" s="7451"/>
      <c r="K64" s="7418"/>
      <c r="L64" s="1675"/>
      <c r="M64" s="7422"/>
      <c r="N64" s="7452"/>
      <c r="O64" s="7418"/>
      <c r="P64" s="1675"/>
      <c r="Q64" s="7419"/>
      <c r="R64" s="7451"/>
      <c r="S64" s="7418"/>
      <c r="T64" s="3184"/>
      <c r="U64" s="7419"/>
      <c r="V64" s="7451"/>
      <c r="W64" s="7418"/>
      <c r="X64" s="1675"/>
      <c r="Y64" s="7422"/>
      <c r="Z64" s="7452"/>
      <c r="AA64" s="7423"/>
      <c r="AB64" s="7454"/>
      <c r="AC64" s="7418"/>
      <c r="AD64" s="3184"/>
      <c r="AE64" s="7419"/>
      <c r="AF64" s="1823"/>
      <c r="AG64" s="7418"/>
      <c r="AH64" s="1675"/>
      <c r="AI64" s="7419"/>
      <c r="AJ64" s="7451"/>
      <c r="AK64" s="7418"/>
      <c r="AL64" s="1675"/>
      <c r="AM64" s="7422"/>
      <c r="AN64" s="7452"/>
      <c r="AO64" s="7419"/>
      <c r="AP64" s="7451"/>
      <c r="AQ64" s="7418"/>
      <c r="AR64" s="1675"/>
      <c r="AS64" s="7419"/>
      <c r="AT64" s="7451"/>
      <c r="AU64" s="7418"/>
      <c r="AV64" s="1675"/>
      <c r="AW64" s="7419"/>
      <c r="AX64" s="7451"/>
      <c r="AY64" s="7418"/>
      <c r="AZ64" s="1675">
        <v>123.06</v>
      </c>
      <c r="BA64" s="7422"/>
      <c r="BB64" s="7452">
        <f t="shared" si="12"/>
        <v>123.06</v>
      </c>
      <c r="BC64" s="7422"/>
      <c r="BD64" s="7452">
        <f t="shared" si="13"/>
        <v>123.06</v>
      </c>
      <c r="BE64" s="7423"/>
      <c r="BF64" s="6531">
        <f t="shared" si="14"/>
        <v>123.06</v>
      </c>
    </row>
    <row r="65" spans="2:58" s="8386" customFormat="1" ht="15" customHeight="1" x14ac:dyDescent="0.2">
      <c r="B65" s="3928" t="s">
        <v>2302</v>
      </c>
      <c r="C65" s="7455" t="s">
        <v>2146</v>
      </c>
      <c r="D65" s="1848" t="s">
        <v>170</v>
      </c>
      <c r="E65" s="7418"/>
      <c r="F65" s="7447"/>
      <c r="G65" s="7418"/>
      <c r="H65" s="2840"/>
      <c r="I65" s="7419"/>
      <c r="J65" s="7451"/>
      <c r="K65" s="7418"/>
      <c r="L65" s="1675"/>
      <c r="M65" s="7422"/>
      <c r="N65" s="7452"/>
      <c r="O65" s="7418"/>
      <c r="P65" s="1675"/>
      <c r="Q65" s="7419"/>
      <c r="R65" s="7451"/>
      <c r="S65" s="7418"/>
      <c r="T65" s="3184"/>
      <c r="U65" s="7419"/>
      <c r="V65" s="7451"/>
      <c r="W65" s="7418"/>
      <c r="X65" s="1675"/>
      <c r="Y65" s="7422"/>
      <c r="Z65" s="7452"/>
      <c r="AA65" s="7423"/>
      <c r="AB65" s="7454"/>
      <c r="AC65" s="7418"/>
      <c r="AD65" s="3184"/>
      <c r="AE65" s="7419"/>
      <c r="AF65" s="1823"/>
      <c r="AG65" s="7418"/>
      <c r="AH65" s="1675"/>
      <c r="AI65" s="7419"/>
      <c r="AJ65" s="7451"/>
      <c r="AK65" s="7418"/>
      <c r="AL65" s="1675"/>
      <c r="AM65" s="7422"/>
      <c r="AN65" s="7452"/>
      <c r="AO65" s="7419"/>
      <c r="AP65" s="7451"/>
      <c r="AQ65" s="7418"/>
      <c r="AR65" s="1675"/>
      <c r="AS65" s="7419"/>
      <c r="AT65" s="7451"/>
      <c r="AU65" s="7418"/>
      <c r="AV65" s="1675"/>
      <c r="AW65" s="7419"/>
      <c r="AX65" s="7451"/>
      <c r="AY65" s="7418"/>
      <c r="AZ65" s="1675">
        <v>12.144</v>
      </c>
      <c r="BA65" s="7422"/>
      <c r="BB65" s="7452">
        <f t="shared" si="12"/>
        <v>12.144</v>
      </c>
      <c r="BC65" s="7422"/>
      <c r="BD65" s="7452">
        <f t="shared" si="13"/>
        <v>12.144</v>
      </c>
      <c r="BE65" s="7423"/>
      <c r="BF65" s="6531">
        <f t="shared" si="14"/>
        <v>12.144</v>
      </c>
    </row>
    <row r="66" spans="2:58" s="8189" customFormat="1" ht="15" customHeight="1" x14ac:dyDescent="0.2">
      <c r="B66" s="3928" t="s">
        <v>2302</v>
      </c>
      <c r="C66" s="7455" t="s">
        <v>2578</v>
      </c>
      <c r="D66" s="1848" t="s">
        <v>170</v>
      </c>
      <c r="E66" s="7418"/>
      <c r="F66" s="7447"/>
      <c r="G66" s="7418"/>
      <c r="H66" s="2840"/>
      <c r="I66" s="7419"/>
      <c r="J66" s="7451"/>
      <c r="K66" s="7418"/>
      <c r="L66" s="1675"/>
      <c r="M66" s="7422"/>
      <c r="N66" s="7452"/>
      <c r="O66" s="7418"/>
      <c r="P66" s="1675"/>
      <c r="Q66" s="7419"/>
      <c r="R66" s="7451"/>
      <c r="S66" s="7418"/>
      <c r="T66" s="3184"/>
      <c r="U66" s="7419"/>
      <c r="V66" s="7451"/>
      <c r="W66" s="7418"/>
      <c r="X66" s="1675"/>
      <c r="Y66" s="7422"/>
      <c r="Z66" s="7452"/>
      <c r="AA66" s="7423"/>
      <c r="AB66" s="7454"/>
      <c r="AC66" s="7418"/>
      <c r="AD66" s="3184"/>
      <c r="AE66" s="7419"/>
      <c r="AF66" s="1823"/>
      <c r="AG66" s="7418"/>
      <c r="AH66" s="1675"/>
      <c r="AI66" s="7419"/>
      <c r="AJ66" s="7451"/>
      <c r="AK66" s="7418"/>
      <c r="AL66" s="1675"/>
      <c r="AM66" s="7422"/>
      <c r="AN66" s="7452"/>
      <c r="AO66" s="7419"/>
      <c r="AP66" s="7451"/>
      <c r="AQ66" s="7418"/>
      <c r="AR66" s="1675">
        <v>0</v>
      </c>
      <c r="AS66" s="7419"/>
      <c r="AT66" s="7451">
        <f t="shared" si="10"/>
        <v>0</v>
      </c>
      <c r="AU66" s="7418"/>
      <c r="AV66" s="1675">
        <v>74.888000000000005</v>
      </c>
      <c r="AW66" s="7419"/>
      <c r="AX66" s="7451">
        <f t="shared" si="11"/>
        <v>74.888000000000005</v>
      </c>
      <c r="AY66" s="7418"/>
      <c r="AZ66" s="1675"/>
      <c r="BA66" s="7422"/>
      <c r="BB66" s="7452">
        <f t="shared" si="12"/>
        <v>74.888000000000005</v>
      </c>
      <c r="BC66" s="7422"/>
      <c r="BD66" s="7452">
        <f t="shared" si="13"/>
        <v>74.888000000000005</v>
      </c>
      <c r="BE66" s="7423"/>
      <c r="BF66" s="6531">
        <f t="shared" si="14"/>
        <v>74.888000000000005</v>
      </c>
    </row>
    <row r="67" spans="2:58" ht="15" customHeight="1" x14ac:dyDescent="0.2">
      <c r="B67" s="3928" t="s">
        <v>2303</v>
      </c>
      <c r="C67" s="7455" t="s">
        <v>2316</v>
      </c>
      <c r="D67" s="1848" t="s">
        <v>170</v>
      </c>
      <c r="E67" s="7418"/>
      <c r="F67" s="7447"/>
      <c r="G67" s="7418"/>
      <c r="H67" s="2840"/>
      <c r="I67" s="7419"/>
      <c r="J67" s="7451">
        <f t="shared" si="2"/>
        <v>0</v>
      </c>
      <c r="K67" s="7418"/>
      <c r="L67" s="1675"/>
      <c r="M67" s="7422"/>
      <c r="N67" s="7452">
        <f t="shared" si="0"/>
        <v>0</v>
      </c>
      <c r="O67" s="7418"/>
      <c r="P67" s="1675"/>
      <c r="Q67" s="7419"/>
      <c r="R67" s="7451">
        <f t="shared" si="3"/>
        <v>0</v>
      </c>
      <c r="S67" s="7418"/>
      <c r="T67" s="3184">
        <v>0</v>
      </c>
      <c r="U67" s="7419"/>
      <c r="V67" s="7451">
        <f t="shared" si="4"/>
        <v>0</v>
      </c>
      <c r="W67" s="7418"/>
      <c r="X67" s="3184">
        <f>857.736-6.156</f>
        <v>851.58</v>
      </c>
      <c r="Y67" s="7422"/>
      <c r="Z67" s="7452">
        <f t="shared" si="5"/>
        <v>851.58</v>
      </c>
      <c r="AA67" s="7423"/>
      <c r="AB67" s="7454">
        <f t="shared" si="6"/>
        <v>851.58</v>
      </c>
      <c r="AC67" s="7418"/>
      <c r="AD67" s="3184">
        <v>0</v>
      </c>
      <c r="AE67" s="7419"/>
      <c r="AF67" s="1823">
        <f t="shared" si="1"/>
        <v>851.58</v>
      </c>
      <c r="AG67" s="7418"/>
      <c r="AH67" s="3184">
        <f>2466.27-2.05</f>
        <v>2464.2199999999998</v>
      </c>
      <c r="AI67" s="7419"/>
      <c r="AJ67" s="7451">
        <f t="shared" si="7"/>
        <v>3315.7999999999997</v>
      </c>
      <c r="AK67" s="7418"/>
      <c r="AL67" s="3184">
        <v>156.77999999999997</v>
      </c>
      <c r="AM67" s="7422"/>
      <c r="AN67" s="7452">
        <f t="shared" si="8"/>
        <v>2621</v>
      </c>
      <c r="AO67" s="7419"/>
      <c r="AP67" s="7451">
        <f t="shared" si="9"/>
        <v>3472.58</v>
      </c>
      <c r="AQ67" s="7418"/>
      <c r="AR67" s="3184"/>
      <c r="AS67" s="7419"/>
      <c r="AT67" s="7451">
        <f t="shared" si="10"/>
        <v>3472.58</v>
      </c>
      <c r="AU67" s="7418"/>
      <c r="AV67" s="3184"/>
      <c r="AW67" s="7419"/>
      <c r="AX67" s="7451">
        <f t="shared" si="11"/>
        <v>3472.58</v>
      </c>
      <c r="AY67" s="7418"/>
      <c r="AZ67" s="3184"/>
      <c r="BA67" s="7422"/>
      <c r="BB67" s="7452">
        <f t="shared" si="12"/>
        <v>0</v>
      </c>
      <c r="BC67" s="7422"/>
      <c r="BD67" s="7452">
        <f t="shared" si="13"/>
        <v>2621</v>
      </c>
      <c r="BE67" s="7423"/>
      <c r="BF67" s="6531">
        <f t="shared" si="14"/>
        <v>3472.58</v>
      </c>
    </row>
    <row r="68" spans="2:58" ht="16" x14ac:dyDescent="0.2">
      <c r="B68" s="3928" t="s">
        <v>2303</v>
      </c>
      <c r="C68" s="7455" t="s">
        <v>2324</v>
      </c>
      <c r="D68" s="1848" t="s">
        <v>170</v>
      </c>
      <c r="E68" s="7418"/>
      <c r="F68" s="7447">
        <f>4286.55-55.89</f>
        <v>4230.66</v>
      </c>
      <c r="G68" s="7418"/>
      <c r="H68" s="2840">
        <f>5979.528-111.43-10.25-8.2</f>
        <v>5849.6480000000001</v>
      </c>
      <c r="I68" s="7419"/>
      <c r="J68" s="7451">
        <f t="shared" si="2"/>
        <v>10080.308000000001</v>
      </c>
      <c r="K68" s="7418"/>
      <c r="L68" s="1675">
        <v>0</v>
      </c>
      <c r="M68" s="7422"/>
      <c r="N68" s="7452">
        <f t="shared" si="0"/>
        <v>10080.308000000001</v>
      </c>
      <c r="O68" s="7418"/>
      <c r="P68" s="1675">
        <f>2575.26-8.208</f>
        <v>2567.0520000000001</v>
      </c>
      <c r="Q68" s="7419"/>
      <c r="R68" s="7451">
        <f t="shared" si="3"/>
        <v>12647.36</v>
      </c>
      <c r="S68" s="7418"/>
      <c r="T68" s="3184">
        <f>3726.432+3870.072-170.316+47.196</f>
        <v>7473.384</v>
      </c>
      <c r="U68" s="7419"/>
      <c r="V68" s="7451">
        <f t="shared" si="4"/>
        <v>20120.743999999999</v>
      </c>
      <c r="W68" s="7418"/>
      <c r="X68" s="1675">
        <v>0</v>
      </c>
      <c r="Y68" s="7422"/>
      <c r="Z68" s="7452">
        <f t="shared" si="5"/>
        <v>10040.436</v>
      </c>
      <c r="AA68" s="7423"/>
      <c r="AB68" s="7454">
        <f t="shared" si="6"/>
        <v>20120.743999999999</v>
      </c>
      <c r="AC68" s="7418"/>
      <c r="AD68" s="3184">
        <v>0</v>
      </c>
      <c r="AE68" s="7419"/>
      <c r="AF68" s="1823">
        <f t="shared" si="1"/>
        <v>20120.743999999999</v>
      </c>
      <c r="AG68" s="7418"/>
      <c r="AH68" s="1675">
        <v>0</v>
      </c>
      <c r="AI68" s="7419"/>
      <c r="AJ68" s="7451">
        <f t="shared" si="7"/>
        <v>20120.743999999999</v>
      </c>
      <c r="AK68" s="7418"/>
      <c r="AL68" s="1675">
        <v>0</v>
      </c>
      <c r="AM68" s="7422"/>
      <c r="AN68" s="7452">
        <f t="shared" si="8"/>
        <v>0</v>
      </c>
      <c r="AO68" s="7419"/>
      <c r="AP68" s="7451">
        <f t="shared" si="9"/>
        <v>20120.743999999999</v>
      </c>
      <c r="AQ68" s="7418"/>
      <c r="AR68" s="1675">
        <v>109.29600000000001</v>
      </c>
      <c r="AS68" s="7419"/>
      <c r="AT68" s="7451">
        <f t="shared" si="10"/>
        <v>20230.039999999997</v>
      </c>
      <c r="AU68" s="7418"/>
      <c r="AV68" s="1675"/>
      <c r="AW68" s="7419"/>
      <c r="AX68" s="7451">
        <f t="shared" si="11"/>
        <v>20230.039999999997</v>
      </c>
      <c r="AY68" s="7418"/>
      <c r="AZ68" s="1675"/>
      <c r="BA68" s="7422"/>
      <c r="BB68" s="7452">
        <f t="shared" si="12"/>
        <v>109.29600000000001</v>
      </c>
      <c r="BC68" s="7422"/>
      <c r="BD68" s="7452">
        <f t="shared" si="13"/>
        <v>109.29600000000001</v>
      </c>
      <c r="BE68" s="7423"/>
      <c r="BF68" s="6531">
        <f t="shared" si="14"/>
        <v>20230.039999999997</v>
      </c>
    </row>
    <row r="69" spans="2:58" s="4756" customFormat="1" ht="16" x14ac:dyDescent="0.2">
      <c r="B69" s="3928" t="s">
        <v>2303</v>
      </c>
      <c r="C69" s="7455" t="s">
        <v>2313</v>
      </c>
      <c r="D69" s="1848" t="s">
        <v>170</v>
      </c>
      <c r="E69" s="7418"/>
      <c r="F69" s="7447">
        <v>0</v>
      </c>
      <c r="G69" s="7418"/>
      <c r="H69" s="2840">
        <f>336.528-2.05</f>
        <v>334.47800000000001</v>
      </c>
      <c r="I69" s="7419"/>
      <c r="J69" s="7451">
        <f t="shared" si="2"/>
        <v>334.47800000000001</v>
      </c>
      <c r="K69" s="7418"/>
      <c r="L69" s="1675">
        <v>0</v>
      </c>
      <c r="M69" s="7422"/>
      <c r="N69" s="7452">
        <f t="shared" si="0"/>
        <v>334.47800000000001</v>
      </c>
      <c r="O69" s="7418"/>
      <c r="P69" s="1675">
        <f>2047.9-6.156</f>
        <v>2041.7440000000001</v>
      </c>
      <c r="Q69" s="7419"/>
      <c r="R69" s="7451">
        <f t="shared" si="3"/>
        <v>2376.2220000000002</v>
      </c>
      <c r="S69" s="7418"/>
      <c r="T69" s="3184">
        <f>367.308-18.468</f>
        <v>348.84</v>
      </c>
      <c r="U69" s="7419"/>
      <c r="V69" s="7451">
        <f t="shared" si="4"/>
        <v>2725.0620000000004</v>
      </c>
      <c r="W69" s="7418"/>
      <c r="X69" s="3184">
        <f>1479.492-6.156</f>
        <v>1473.336</v>
      </c>
      <c r="Y69" s="7422"/>
      <c r="Z69" s="7452">
        <f t="shared" si="5"/>
        <v>3863.92</v>
      </c>
      <c r="AA69" s="7423"/>
      <c r="AB69" s="7454">
        <f t="shared" si="6"/>
        <v>4198.3980000000001</v>
      </c>
      <c r="AC69" s="7418"/>
      <c r="AD69" s="3184">
        <v>0</v>
      </c>
      <c r="AE69" s="7419"/>
      <c r="AF69" s="1823">
        <f t="shared" si="1"/>
        <v>4198.3980000000001</v>
      </c>
      <c r="AG69" s="7418"/>
      <c r="AH69" s="1675">
        <v>0</v>
      </c>
      <c r="AI69" s="7419"/>
      <c r="AJ69" s="7451">
        <f t="shared" si="7"/>
        <v>4198.3980000000001</v>
      </c>
      <c r="AK69" s="7418"/>
      <c r="AL69" s="3184">
        <v>92.46</v>
      </c>
      <c r="AM69" s="7422"/>
      <c r="AN69" s="7452">
        <f t="shared" si="8"/>
        <v>92.46</v>
      </c>
      <c r="AO69" s="7419"/>
      <c r="AP69" s="7451">
        <f t="shared" si="9"/>
        <v>4290.8580000000002</v>
      </c>
      <c r="AQ69" s="7418"/>
      <c r="AR69" s="3184"/>
      <c r="AS69" s="7419"/>
      <c r="AT69" s="7451">
        <f t="shared" si="10"/>
        <v>4290.8580000000002</v>
      </c>
      <c r="AU69" s="7418"/>
      <c r="AV69" s="3184">
        <v>139.65600000000001</v>
      </c>
      <c r="AW69" s="7419"/>
      <c r="AX69" s="7451">
        <f t="shared" si="11"/>
        <v>4430.5140000000001</v>
      </c>
      <c r="AY69" s="7418"/>
      <c r="AZ69" s="3184"/>
      <c r="BA69" s="7422"/>
      <c r="BB69" s="7452">
        <f t="shared" si="12"/>
        <v>139.65600000000001</v>
      </c>
      <c r="BC69" s="7422"/>
      <c r="BD69" s="7452">
        <f t="shared" si="13"/>
        <v>232.11599999999999</v>
      </c>
      <c r="BE69" s="7423"/>
      <c r="BF69" s="6531">
        <f t="shared" si="14"/>
        <v>4430.5140000000001</v>
      </c>
    </row>
    <row r="70" spans="2:58" ht="16" x14ac:dyDescent="0.2">
      <c r="B70" s="3928" t="s">
        <v>2303</v>
      </c>
      <c r="C70" s="7455" t="s">
        <v>2315</v>
      </c>
      <c r="D70" s="1848" t="s">
        <v>170</v>
      </c>
      <c r="E70" s="7418"/>
      <c r="F70" s="7447"/>
      <c r="G70" s="7418"/>
      <c r="H70" s="2840"/>
      <c r="I70" s="7419"/>
      <c r="J70" s="7451">
        <f t="shared" si="2"/>
        <v>0</v>
      </c>
      <c r="K70" s="7418"/>
      <c r="L70" s="1675">
        <v>0</v>
      </c>
      <c r="M70" s="7422"/>
      <c r="N70" s="7452">
        <f t="shared" si="0"/>
        <v>0</v>
      </c>
      <c r="O70" s="7418"/>
      <c r="P70" s="1675">
        <v>170.32</v>
      </c>
      <c r="Q70" s="7419"/>
      <c r="R70" s="7451">
        <f t="shared" si="3"/>
        <v>170.32</v>
      </c>
      <c r="S70" s="7418"/>
      <c r="T70" s="3184">
        <f>1069.092-20.52-47.196</f>
        <v>1001.3760000000001</v>
      </c>
      <c r="U70" s="7419"/>
      <c r="V70" s="7451">
        <f t="shared" si="4"/>
        <v>1171.6960000000001</v>
      </c>
      <c r="W70" s="7418"/>
      <c r="X70" s="3184">
        <f>865.944-14.364</f>
        <v>851.57999999999993</v>
      </c>
      <c r="Y70" s="7422"/>
      <c r="Z70" s="7452">
        <f t="shared" si="5"/>
        <v>2023.2760000000001</v>
      </c>
      <c r="AA70" s="7423"/>
      <c r="AB70" s="7454">
        <f t="shared" si="6"/>
        <v>2023.2760000000001</v>
      </c>
      <c r="AC70" s="7418"/>
      <c r="AD70" s="3184">
        <v>0</v>
      </c>
      <c r="AE70" s="7419"/>
      <c r="AF70" s="1823">
        <f t="shared" si="1"/>
        <v>2023.2760000000001</v>
      </c>
      <c r="AG70" s="7418"/>
      <c r="AH70" s="1675">
        <v>0</v>
      </c>
      <c r="AI70" s="7419"/>
      <c r="AJ70" s="7451">
        <f t="shared" si="7"/>
        <v>2023.2760000000001</v>
      </c>
      <c r="AK70" s="7418"/>
      <c r="AL70" s="3184">
        <v>683.4</v>
      </c>
      <c r="AM70" s="7422"/>
      <c r="AN70" s="7452">
        <f t="shared" si="8"/>
        <v>683.4</v>
      </c>
      <c r="AO70" s="7419"/>
      <c r="AP70" s="7451">
        <f t="shared" si="9"/>
        <v>2706.6759999999999</v>
      </c>
      <c r="AQ70" s="7418"/>
      <c r="AR70" s="3184"/>
      <c r="AS70" s="7419"/>
      <c r="AT70" s="7451">
        <f t="shared" si="10"/>
        <v>2706.6759999999999</v>
      </c>
      <c r="AU70" s="7418"/>
      <c r="AV70" s="3184"/>
      <c r="AW70" s="7419"/>
      <c r="AX70" s="7451">
        <f t="shared" si="11"/>
        <v>2706.6759999999999</v>
      </c>
      <c r="AY70" s="7418"/>
      <c r="AZ70" s="3184"/>
      <c r="BA70" s="7422"/>
      <c r="BB70" s="7452">
        <f t="shared" si="12"/>
        <v>0</v>
      </c>
      <c r="BC70" s="7422"/>
      <c r="BD70" s="7452">
        <f t="shared" si="13"/>
        <v>683.4</v>
      </c>
      <c r="BE70" s="7423"/>
      <c r="BF70" s="6531">
        <f t="shared" si="14"/>
        <v>2706.6759999999999</v>
      </c>
    </row>
    <row r="71" spans="2:58" s="4179" customFormat="1" ht="15" customHeight="1" x14ac:dyDescent="0.2">
      <c r="B71" s="3928" t="s">
        <v>2303</v>
      </c>
      <c r="C71" s="7455" t="s">
        <v>1752</v>
      </c>
      <c r="D71" s="1848" t="s">
        <v>170</v>
      </c>
      <c r="E71" s="7418"/>
      <c r="F71" s="7447"/>
      <c r="G71" s="7418"/>
      <c r="H71" s="2840"/>
      <c r="I71" s="7419"/>
      <c r="J71" s="7451">
        <f t="shared" si="2"/>
        <v>0</v>
      </c>
      <c r="K71" s="7418"/>
      <c r="L71" s="1675">
        <v>0</v>
      </c>
      <c r="M71" s="7422"/>
      <c r="N71" s="7452">
        <f t="shared" si="0"/>
        <v>0</v>
      </c>
      <c r="O71" s="7418"/>
      <c r="P71" s="1675"/>
      <c r="Q71" s="7419"/>
      <c r="R71" s="7451">
        <f t="shared" si="3"/>
        <v>0</v>
      </c>
      <c r="S71" s="7418"/>
      <c r="T71" s="3184">
        <v>0</v>
      </c>
      <c r="U71" s="7419"/>
      <c r="V71" s="7451">
        <f t="shared" si="4"/>
        <v>0</v>
      </c>
      <c r="W71" s="7418"/>
      <c r="X71" s="3184">
        <f>508-8.208</f>
        <v>499.79199999999997</v>
      </c>
      <c r="Y71" s="7422"/>
      <c r="Z71" s="7452">
        <f t="shared" si="5"/>
        <v>499.79199999999997</v>
      </c>
      <c r="AA71" s="7423"/>
      <c r="AB71" s="7454">
        <f t="shared" si="6"/>
        <v>499.79199999999997</v>
      </c>
      <c r="AC71" s="7418"/>
      <c r="AD71" s="3184">
        <v>0</v>
      </c>
      <c r="AE71" s="7419"/>
      <c r="AF71" s="1823">
        <f t="shared" si="1"/>
        <v>499.79199999999997</v>
      </c>
      <c r="AG71" s="7418"/>
      <c r="AH71" s="1675">
        <v>0</v>
      </c>
      <c r="AI71" s="7419"/>
      <c r="AJ71" s="7451">
        <f t="shared" si="7"/>
        <v>499.79199999999997</v>
      </c>
      <c r="AK71" s="7418"/>
      <c r="AL71" s="1675">
        <v>0</v>
      </c>
      <c r="AM71" s="7422"/>
      <c r="AN71" s="7452">
        <f t="shared" si="8"/>
        <v>0</v>
      </c>
      <c r="AO71" s="7419"/>
      <c r="AP71" s="7451">
        <f t="shared" si="9"/>
        <v>499.79199999999997</v>
      </c>
      <c r="AQ71" s="7418"/>
      <c r="AR71" s="1675">
        <v>307.64800000000002</v>
      </c>
      <c r="AS71" s="7419"/>
      <c r="AT71" s="7451">
        <f t="shared" si="10"/>
        <v>807.44</v>
      </c>
      <c r="AU71" s="7418"/>
      <c r="AV71" s="1675">
        <f>1080.816</f>
        <v>1080.816</v>
      </c>
      <c r="AW71" s="7419"/>
      <c r="AX71" s="7451">
        <f t="shared" si="11"/>
        <v>1888.2560000000001</v>
      </c>
      <c r="AY71" s="7418"/>
      <c r="AZ71" s="1675"/>
      <c r="BA71" s="7422"/>
      <c r="BB71" s="7452">
        <f t="shared" si="12"/>
        <v>1388.4639999999999</v>
      </c>
      <c r="BC71" s="7422"/>
      <c r="BD71" s="7452">
        <f t="shared" si="13"/>
        <v>1388.4639999999999</v>
      </c>
      <c r="BE71" s="7423"/>
      <c r="BF71" s="6531">
        <f t="shared" si="14"/>
        <v>1888.2560000000001</v>
      </c>
    </row>
    <row r="72" spans="2:58" s="5123" customFormat="1" ht="16" x14ac:dyDescent="0.2">
      <c r="B72" s="3928" t="s">
        <v>2303</v>
      </c>
      <c r="C72" s="7455" t="s">
        <v>2317</v>
      </c>
      <c r="D72" s="1848" t="s">
        <v>170</v>
      </c>
      <c r="E72" s="7418"/>
      <c r="F72" s="7447">
        <v>0</v>
      </c>
      <c r="G72" s="7418"/>
      <c r="H72" s="2840">
        <v>30.78</v>
      </c>
      <c r="I72" s="7419"/>
      <c r="J72" s="7451">
        <f t="shared" si="2"/>
        <v>30.78</v>
      </c>
      <c r="K72" s="7418"/>
      <c r="L72" s="1675">
        <v>0</v>
      </c>
      <c r="M72" s="7422"/>
      <c r="N72" s="7452">
        <f t="shared" si="0"/>
        <v>30.78</v>
      </c>
      <c r="O72" s="7418"/>
      <c r="P72" s="1675">
        <v>0</v>
      </c>
      <c r="Q72" s="7419"/>
      <c r="R72" s="7451">
        <f t="shared" si="3"/>
        <v>30.78</v>
      </c>
      <c r="S72" s="7418"/>
      <c r="T72" s="3184">
        <v>0</v>
      </c>
      <c r="U72" s="7419"/>
      <c r="V72" s="7451">
        <f t="shared" si="4"/>
        <v>30.78</v>
      </c>
      <c r="W72" s="7418"/>
      <c r="X72" s="1675">
        <v>0</v>
      </c>
      <c r="Y72" s="7422"/>
      <c r="Z72" s="7452">
        <f t="shared" si="5"/>
        <v>0</v>
      </c>
      <c r="AA72" s="7423"/>
      <c r="AB72" s="7454">
        <f t="shared" si="6"/>
        <v>30.78</v>
      </c>
      <c r="AC72" s="7418"/>
      <c r="AD72" s="3184">
        <v>0</v>
      </c>
      <c r="AE72" s="7419"/>
      <c r="AF72" s="1823">
        <f t="shared" si="1"/>
        <v>30.78</v>
      </c>
      <c r="AG72" s="7418"/>
      <c r="AH72" s="1675">
        <v>0</v>
      </c>
      <c r="AI72" s="7419"/>
      <c r="AJ72" s="7451">
        <f t="shared" si="7"/>
        <v>30.78</v>
      </c>
      <c r="AK72" s="7418"/>
      <c r="AL72" s="1675">
        <v>0</v>
      </c>
      <c r="AM72" s="7422"/>
      <c r="AN72" s="7452">
        <f t="shared" si="8"/>
        <v>0</v>
      </c>
      <c r="AO72" s="7419"/>
      <c r="AP72" s="7451">
        <f t="shared" si="9"/>
        <v>30.78</v>
      </c>
      <c r="AQ72" s="7418"/>
      <c r="AR72" s="1675"/>
      <c r="AS72" s="7419"/>
      <c r="AT72" s="7451">
        <f t="shared" si="10"/>
        <v>30.78</v>
      </c>
      <c r="AU72" s="7418"/>
      <c r="AV72" s="1675"/>
      <c r="AW72" s="7419"/>
      <c r="AX72" s="7451">
        <f t="shared" si="11"/>
        <v>30.78</v>
      </c>
      <c r="AY72" s="7418"/>
      <c r="AZ72" s="1675"/>
      <c r="BA72" s="7422"/>
      <c r="BB72" s="7452">
        <f t="shared" si="12"/>
        <v>0</v>
      </c>
      <c r="BC72" s="7422"/>
      <c r="BD72" s="7452">
        <f t="shared" si="13"/>
        <v>0</v>
      </c>
      <c r="BE72" s="7423"/>
      <c r="BF72" s="6531">
        <f t="shared" ref="BF72:BF85" si="15">+AX72+AZ72</f>
        <v>30.78</v>
      </c>
    </row>
    <row r="73" spans="2:58" s="4179" customFormat="1" ht="15" customHeight="1" x14ac:dyDescent="0.2">
      <c r="B73" s="3928" t="s">
        <v>2303</v>
      </c>
      <c r="C73" s="7455" t="s">
        <v>1753</v>
      </c>
      <c r="D73" s="1848" t="s">
        <v>170</v>
      </c>
      <c r="E73" s="7418"/>
      <c r="F73" s="7447"/>
      <c r="G73" s="7418"/>
      <c r="H73" s="2840"/>
      <c r="I73" s="7419"/>
      <c r="J73" s="7451">
        <f t="shared" si="2"/>
        <v>0</v>
      </c>
      <c r="K73" s="7418"/>
      <c r="L73" s="1675">
        <v>0</v>
      </c>
      <c r="M73" s="7422"/>
      <c r="N73" s="7452">
        <f t="shared" si="0"/>
        <v>0</v>
      </c>
      <c r="O73" s="7418"/>
      <c r="P73" s="1675"/>
      <c r="Q73" s="7419"/>
      <c r="R73" s="7451">
        <f t="shared" si="3"/>
        <v>0</v>
      </c>
      <c r="S73" s="7418"/>
      <c r="T73" s="3184">
        <v>0</v>
      </c>
      <c r="U73" s="7419"/>
      <c r="V73" s="7451">
        <f t="shared" si="4"/>
        <v>0</v>
      </c>
      <c r="W73" s="7418"/>
      <c r="X73" s="3184">
        <f>930-28.728</f>
        <v>901.27200000000005</v>
      </c>
      <c r="Y73" s="7422"/>
      <c r="Z73" s="7452">
        <f t="shared" si="5"/>
        <v>901.27200000000005</v>
      </c>
      <c r="AA73" s="7423"/>
      <c r="AB73" s="7454">
        <f t="shared" si="6"/>
        <v>901.27200000000005</v>
      </c>
      <c r="AC73" s="7418"/>
      <c r="AD73" s="3184">
        <v>0</v>
      </c>
      <c r="AE73" s="7419"/>
      <c r="AF73" s="1823">
        <f t="shared" si="1"/>
        <v>901.27200000000005</v>
      </c>
      <c r="AG73" s="7418"/>
      <c r="AH73" s="3184">
        <f>1015.05-49.238</f>
        <v>965.8119999999999</v>
      </c>
      <c r="AI73" s="7419"/>
      <c r="AJ73" s="7451">
        <f t="shared" si="7"/>
        <v>1867.0839999999998</v>
      </c>
      <c r="AK73" s="7418"/>
      <c r="AL73" s="3184">
        <v>50.249999999999993</v>
      </c>
      <c r="AM73" s="7422"/>
      <c r="AN73" s="7452">
        <f t="shared" si="8"/>
        <v>1016.0619999999999</v>
      </c>
      <c r="AO73" s="7419"/>
      <c r="AP73" s="7451">
        <f t="shared" si="9"/>
        <v>1917.3339999999998</v>
      </c>
      <c r="AQ73" s="7418"/>
      <c r="AR73" s="3184">
        <f>445.28-32.384</f>
        <v>412.89599999999996</v>
      </c>
      <c r="AS73" s="7419"/>
      <c r="AT73" s="7451">
        <f t="shared" si="10"/>
        <v>2330.2299999999996</v>
      </c>
      <c r="AU73" s="7418"/>
      <c r="AV73" s="3184">
        <f>1040.336-AV93</f>
        <v>1032.24</v>
      </c>
      <c r="AW73" s="7419"/>
      <c r="AX73" s="7451">
        <f t="shared" si="11"/>
        <v>3362.4699999999993</v>
      </c>
      <c r="AY73" s="7418"/>
      <c r="AZ73" s="3184"/>
      <c r="BA73" s="7422"/>
      <c r="BB73" s="7452">
        <f t="shared" si="12"/>
        <v>1445.136</v>
      </c>
      <c r="BC73" s="7422"/>
      <c r="BD73" s="7452">
        <f t="shared" si="13"/>
        <v>2461.1979999999999</v>
      </c>
      <c r="BE73" s="7423"/>
      <c r="BF73" s="6531">
        <f t="shared" si="15"/>
        <v>3362.4699999999993</v>
      </c>
    </row>
    <row r="74" spans="2:58" s="8094" customFormat="1" ht="15" customHeight="1" x14ac:dyDescent="0.2">
      <c r="B74" s="3928" t="s">
        <v>2303</v>
      </c>
      <c r="C74" s="7455" t="s">
        <v>2545</v>
      </c>
      <c r="D74" s="1848" t="s">
        <v>170</v>
      </c>
      <c r="E74" s="7418"/>
      <c r="F74" s="7447"/>
      <c r="G74" s="7418"/>
      <c r="H74" s="2840"/>
      <c r="I74" s="7419"/>
      <c r="J74" s="7451"/>
      <c r="K74" s="7418"/>
      <c r="L74" s="1675"/>
      <c r="M74" s="7422"/>
      <c r="N74" s="7452"/>
      <c r="O74" s="7418"/>
      <c r="P74" s="1675"/>
      <c r="Q74" s="7419"/>
      <c r="R74" s="7451"/>
      <c r="S74" s="7418"/>
      <c r="T74" s="3184"/>
      <c r="U74" s="7419"/>
      <c r="V74" s="7451"/>
      <c r="W74" s="7418"/>
      <c r="X74" s="3184"/>
      <c r="Y74" s="7422"/>
      <c r="Z74" s="7452"/>
      <c r="AA74" s="7423"/>
      <c r="AB74" s="7454"/>
      <c r="AC74" s="7418"/>
      <c r="AD74" s="3184"/>
      <c r="AE74" s="7419"/>
      <c r="AF74" s="1823"/>
      <c r="AG74" s="7418"/>
      <c r="AH74" s="3184"/>
      <c r="AI74" s="7419"/>
      <c r="AJ74" s="7451"/>
      <c r="AK74" s="7418"/>
      <c r="AL74" s="3184"/>
      <c r="AM74" s="7422"/>
      <c r="AN74" s="7452"/>
      <c r="AO74" s="7419"/>
      <c r="AP74" s="7451"/>
      <c r="AQ74" s="7418"/>
      <c r="AR74" s="3184">
        <v>445.28</v>
      </c>
      <c r="AS74" s="7419"/>
      <c r="AT74" s="7451">
        <f t="shared" si="10"/>
        <v>445.28</v>
      </c>
      <c r="AU74" s="7418"/>
      <c r="AV74" s="3184"/>
      <c r="AW74" s="7419"/>
      <c r="AX74" s="7451">
        <f t="shared" si="11"/>
        <v>445.28</v>
      </c>
      <c r="AY74" s="7418"/>
      <c r="AZ74" s="3184"/>
      <c r="BA74" s="7422"/>
      <c r="BB74" s="7452">
        <f t="shared" si="12"/>
        <v>445.28</v>
      </c>
      <c r="BC74" s="7422"/>
      <c r="BD74" s="7452">
        <f t="shared" si="13"/>
        <v>445.28</v>
      </c>
      <c r="BE74" s="7423"/>
      <c r="BF74" s="6531">
        <f t="shared" si="15"/>
        <v>445.28</v>
      </c>
    </row>
    <row r="75" spans="2:58" s="4756" customFormat="1" ht="16" x14ac:dyDescent="0.2">
      <c r="B75" s="3928" t="s">
        <v>2303</v>
      </c>
      <c r="C75" s="7455" t="s">
        <v>2323</v>
      </c>
      <c r="D75" s="1848" t="s">
        <v>170</v>
      </c>
      <c r="E75" s="7418"/>
      <c r="F75" s="7447"/>
      <c r="G75" s="7418"/>
      <c r="H75" s="2840"/>
      <c r="I75" s="7419"/>
      <c r="J75" s="7451">
        <f t="shared" si="2"/>
        <v>0</v>
      </c>
      <c r="K75" s="7418"/>
      <c r="L75" s="1675">
        <v>0</v>
      </c>
      <c r="M75" s="7422"/>
      <c r="N75" s="7452">
        <f t="shared" si="0"/>
        <v>0</v>
      </c>
      <c r="O75" s="7418"/>
      <c r="P75" s="1675">
        <f>4850.93-100.548</f>
        <v>4750.3820000000005</v>
      </c>
      <c r="Q75" s="7419"/>
      <c r="R75" s="7451">
        <f t="shared" si="3"/>
        <v>4750.3820000000005</v>
      </c>
      <c r="S75" s="7418"/>
      <c r="T75" s="3184">
        <v>0</v>
      </c>
      <c r="U75" s="7419"/>
      <c r="V75" s="7451">
        <f t="shared" si="4"/>
        <v>4750.3820000000005</v>
      </c>
      <c r="W75" s="7418"/>
      <c r="X75" s="3184">
        <f>1752.408-32.832</f>
        <v>1719.5759999999998</v>
      </c>
      <c r="Y75" s="7422"/>
      <c r="Z75" s="7452">
        <f t="shared" si="5"/>
        <v>6469.9580000000005</v>
      </c>
      <c r="AA75" s="7423"/>
      <c r="AB75" s="7454">
        <f t="shared" si="6"/>
        <v>6469.9580000000005</v>
      </c>
      <c r="AC75" s="7418"/>
      <c r="AD75" s="3184">
        <v>0</v>
      </c>
      <c r="AE75" s="7419"/>
      <c r="AF75" s="1823">
        <f t="shared" si="1"/>
        <v>6469.9580000000005</v>
      </c>
      <c r="AG75" s="7418"/>
      <c r="AH75" s="1675">
        <v>0</v>
      </c>
      <c r="AI75" s="7419"/>
      <c r="AJ75" s="7451">
        <f t="shared" si="7"/>
        <v>6469.9580000000005</v>
      </c>
      <c r="AK75" s="7418"/>
      <c r="AL75" s="1675">
        <v>0</v>
      </c>
      <c r="AM75" s="7422"/>
      <c r="AN75" s="7452">
        <f t="shared" si="8"/>
        <v>0</v>
      </c>
      <c r="AO75" s="7419"/>
      <c r="AP75" s="7451">
        <f t="shared" si="9"/>
        <v>6469.9580000000005</v>
      </c>
      <c r="AQ75" s="7418"/>
      <c r="AR75" s="1675"/>
      <c r="AS75" s="7419"/>
      <c r="AT75" s="7451">
        <f t="shared" si="10"/>
        <v>6469.9580000000005</v>
      </c>
      <c r="AU75" s="7418"/>
      <c r="AV75" s="1675"/>
      <c r="AW75" s="7419"/>
      <c r="AX75" s="7451">
        <f t="shared" si="11"/>
        <v>6469.9580000000005</v>
      </c>
      <c r="AY75" s="7418"/>
      <c r="AZ75" s="1675">
        <f>4588.408-75.456</f>
        <v>4512.9520000000002</v>
      </c>
      <c r="BA75" s="7422"/>
      <c r="BB75" s="7452">
        <f t="shared" ref="BB75:BB93" si="16">+AR75+AV75+AZ75</f>
        <v>4512.9520000000002</v>
      </c>
      <c r="BC75" s="7422"/>
      <c r="BD75" s="7452">
        <f t="shared" ref="BD75:BD96" si="17">+BB75+AN75</f>
        <v>4512.9520000000002</v>
      </c>
      <c r="BE75" s="7423"/>
      <c r="BF75" s="6531">
        <f t="shared" si="15"/>
        <v>10982.91</v>
      </c>
    </row>
    <row r="76" spans="2:58" s="5200" customFormat="1" ht="15" customHeight="1" x14ac:dyDescent="0.2">
      <c r="B76" s="3928" t="s">
        <v>2304</v>
      </c>
      <c r="C76" s="7455" t="s">
        <v>2318</v>
      </c>
      <c r="D76" s="1848" t="s">
        <v>170</v>
      </c>
      <c r="E76" s="5986"/>
      <c r="F76" s="7447">
        <f>116.85-39.33</f>
        <v>77.52</v>
      </c>
      <c r="G76" s="7418"/>
      <c r="H76" s="2840">
        <f>1188.108-79.95</f>
        <v>1108.1579999999999</v>
      </c>
      <c r="I76" s="7394"/>
      <c r="J76" s="7451">
        <f t="shared" si="2"/>
        <v>1185.6779999999999</v>
      </c>
      <c r="K76" s="5986"/>
      <c r="L76" s="1675">
        <v>0</v>
      </c>
      <c r="M76" s="5783"/>
      <c r="N76" s="7452">
        <f t="shared" si="0"/>
        <v>1185.6779999999999</v>
      </c>
      <c r="O76" s="5986"/>
      <c r="P76" s="1675">
        <v>0</v>
      </c>
      <c r="Q76" s="7419"/>
      <c r="R76" s="7451">
        <f t="shared" si="3"/>
        <v>1185.6779999999999</v>
      </c>
      <c r="S76" s="5986"/>
      <c r="T76" s="3184">
        <v>0</v>
      </c>
      <c r="U76" s="7394"/>
      <c r="V76" s="7451">
        <f t="shared" si="4"/>
        <v>1185.6779999999999</v>
      </c>
      <c r="W76" s="5986"/>
      <c r="X76" s="1675">
        <v>0</v>
      </c>
      <c r="Y76" s="5783"/>
      <c r="Z76" s="7452">
        <f t="shared" si="5"/>
        <v>0</v>
      </c>
      <c r="AA76" s="6614"/>
      <c r="AB76" s="7454">
        <f t="shared" si="6"/>
        <v>1185.6779999999999</v>
      </c>
      <c r="AC76" s="5986"/>
      <c r="AD76" s="3184">
        <v>0</v>
      </c>
      <c r="AE76" s="7394"/>
      <c r="AF76" s="1823">
        <f t="shared" si="1"/>
        <v>1185.6779999999999</v>
      </c>
      <c r="AG76" s="5986"/>
      <c r="AH76" s="1675">
        <v>0</v>
      </c>
      <c r="AI76" s="7394"/>
      <c r="AJ76" s="7451">
        <f t="shared" si="7"/>
        <v>1185.6779999999999</v>
      </c>
      <c r="AK76" s="5986"/>
      <c r="AL76" s="1675">
        <v>0</v>
      </c>
      <c r="AM76" s="5783"/>
      <c r="AN76" s="7452">
        <f t="shared" si="8"/>
        <v>0</v>
      </c>
      <c r="AO76" s="7394"/>
      <c r="AP76" s="7451">
        <f t="shared" si="9"/>
        <v>1185.6779999999999</v>
      </c>
      <c r="AQ76" s="5986"/>
      <c r="AR76" s="1675"/>
      <c r="AS76" s="7394"/>
      <c r="AT76" s="7451">
        <f t="shared" si="10"/>
        <v>1185.6779999999999</v>
      </c>
      <c r="AU76" s="5986"/>
      <c r="AV76" s="1675"/>
      <c r="AW76" s="7394"/>
      <c r="AX76" s="7451">
        <f t="shared" si="11"/>
        <v>1185.6779999999999</v>
      </c>
      <c r="AY76" s="5986"/>
      <c r="AZ76" s="1675"/>
      <c r="BA76" s="5783"/>
      <c r="BB76" s="7452">
        <f t="shared" si="16"/>
        <v>0</v>
      </c>
      <c r="BC76" s="5783"/>
      <c r="BD76" s="7452">
        <f t="shared" si="17"/>
        <v>0</v>
      </c>
      <c r="BE76" s="6614"/>
      <c r="BF76" s="6531">
        <f t="shared" si="15"/>
        <v>1185.6779999999999</v>
      </c>
    </row>
    <row r="77" spans="2:58" s="5727" customFormat="1" ht="15" customHeight="1" x14ac:dyDescent="0.2">
      <c r="B77" s="3928" t="s">
        <v>2304</v>
      </c>
      <c r="C77" s="7455" t="s">
        <v>2319</v>
      </c>
      <c r="D77" s="1848" t="s">
        <v>170</v>
      </c>
      <c r="E77" s="5986"/>
      <c r="F77" s="7447"/>
      <c r="G77" s="7418"/>
      <c r="H77" s="2840"/>
      <c r="I77" s="7394"/>
      <c r="J77" s="7451">
        <f t="shared" si="2"/>
        <v>0</v>
      </c>
      <c r="K77" s="5986"/>
      <c r="L77" s="1675">
        <f>2279.772-22.572</f>
        <v>2257.1999999999998</v>
      </c>
      <c r="M77" s="5783"/>
      <c r="N77" s="7452">
        <f t="shared" si="0"/>
        <v>2257.1999999999998</v>
      </c>
      <c r="O77" s="5986"/>
      <c r="P77" s="7453">
        <v>0</v>
      </c>
      <c r="Q77" s="7419"/>
      <c r="R77" s="7451">
        <f t="shared" si="3"/>
        <v>2257.1999999999998</v>
      </c>
      <c r="S77" s="5986"/>
      <c r="T77" s="3184">
        <v>0</v>
      </c>
      <c r="U77" s="7394"/>
      <c r="V77" s="7451">
        <f t="shared" si="4"/>
        <v>2257.1999999999998</v>
      </c>
      <c r="W77" s="5986"/>
      <c r="X77" s="1675">
        <v>0</v>
      </c>
      <c r="Y77" s="5783"/>
      <c r="Z77" s="7452">
        <f t="shared" si="5"/>
        <v>0</v>
      </c>
      <c r="AA77" s="6614"/>
      <c r="AB77" s="7454">
        <f t="shared" si="6"/>
        <v>2257.1999999999998</v>
      </c>
      <c r="AC77" s="5986"/>
      <c r="AD77" s="3184">
        <v>0</v>
      </c>
      <c r="AE77" s="7394"/>
      <c r="AF77" s="1823">
        <f t="shared" si="1"/>
        <v>2257.1999999999998</v>
      </c>
      <c r="AG77" s="5986"/>
      <c r="AH77" s="1675">
        <v>0</v>
      </c>
      <c r="AI77" s="7394"/>
      <c r="AJ77" s="7451">
        <f t="shared" si="7"/>
        <v>2257.1999999999998</v>
      </c>
      <c r="AK77" s="5986"/>
      <c r="AL77" s="1675">
        <v>0</v>
      </c>
      <c r="AM77" s="5783"/>
      <c r="AN77" s="7452">
        <f t="shared" si="8"/>
        <v>0</v>
      </c>
      <c r="AO77" s="7394"/>
      <c r="AP77" s="7451">
        <f t="shared" si="9"/>
        <v>2257.1999999999998</v>
      </c>
      <c r="AQ77" s="5986"/>
      <c r="AR77" s="1675"/>
      <c r="AS77" s="7394"/>
      <c r="AT77" s="7451">
        <f t="shared" ref="AT77:AT93" si="18">+AP77+AR77</f>
        <v>2257.1999999999998</v>
      </c>
      <c r="AU77" s="5986"/>
      <c r="AV77" s="1675"/>
      <c r="AW77" s="7394"/>
      <c r="AX77" s="7451">
        <f t="shared" ref="AX77:AX93" si="19">+AT77+AV77</f>
        <v>2257.1999999999998</v>
      </c>
      <c r="AY77" s="5986"/>
      <c r="AZ77" s="1675"/>
      <c r="BA77" s="5783"/>
      <c r="BB77" s="7452">
        <f t="shared" si="16"/>
        <v>0</v>
      </c>
      <c r="BC77" s="5783"/>
      <c r="BD77" s="7452">
        <f t="shared" si="17"/>
        <v>0</v>
      </c>
      <c r="BE77" s="6614"/>
      <c r="BF77" s="6531">
        <f t="shared" si="15"/>
        <v>2257.1999999999998</v>
      </c>
    </row>
    <row r="78" spans="2:58" ht="16" x14ac:dyDescent="0.2">
      <c r="B78" s="3928" t="s">
        <v>2305</v>
      </c>
      <c r="C78" s="7455" t="s">
        <v>2318</v>
      </c>
      <c r="D78" s="1848" t="s">
        <v>170</v>
      </c>
      <c r="E78" s="7418"/>
      <c r="F78" s="7448">
        <f>5463.25-16.56</f>
        <v>5446.69</v>
      </c>
      <c r="G78" s="7418"/>
      <c r="H78" s="6371">
        <v>0</v>
      </c>
      <c r="I78" s="7419"/>
      <c r="J78" s="7451">
        <f t="shared" si="2"/>
        <v>5446.69</v>
      </c>
      <c r="K78" s="7418"/>
      <c r="L78" s="1675">
        <v>0</v>
      </c>
      <c r="M78" s="7422"/>
      <c r="N78" s="7452">
        <f t="shared" si="0"/>
        <v>5446.69</v>
      </c>
      <c r="O78" s="7418"/>
      <c r="P78" s="1675">
        <v>0</v>
      </c>
      <c r="Q78" s="7419"/>
      <c r="R78" s="7451">
        <f t="shared" si="3"/>
        <v>5446.69</v>
      </c>
      <c r="S78" s="7418"/>
      <c r="T78" s="3184">
        <v>0</v>
      </c>
      <c r="U78" s="7419"/>
      <c r="V78" s="7451">
        <f t="shared" si="4"/>
        <v>5446.69</v>
      </c>
      <c r="W78" s="7418"/>
      <c r="X78" s="1675">
        <v>0</v>
      </c>
      <c r="Y78" s="7422"/>
      <c r="Z78" s="7452">
        <f t="shared" si="5"/>
        <v>0</v>
      </c>
      <c r="AA78" s="7423"/>
      <c r="AB78" s="7454">
        <f t="shared" si="6"/>
        <v>5446.69</v>
      </c>
      <c r="AC78" s="7418"/>
      <c r="AD78" s="3184">
        <v>0</v>
      </c>
      <c r="AE78" s="7419"/>
      <c r="AF78" s="1823">
        <f t="shared" si="1"/>
        <v>5446.69</v>
      </c>
      <c r="AG78" s="7418"/>
      <c r="AH78" s="1675">
        <v>0</v>
      </c>
      <c r="AI78" s="7419"/>
      <c r="AJ78" s="7451">
        <f t="shared" si="7"/>
        <v>5446.69</v>
      </c>
      <c r="AK78" s="7418"/>
      <c r="AL78" s="1675">
        <v>0</v>
      </c>
      <c r="AM78" s="7422"/>
      <c r="AN78" s="7452">
        <f t="shared" si="8"/>
        <v>0</v>
      </c>
      <c r="AO78" s="7419"/>
      <c r="AP78" s="7451">
        <f t="shared" si="9"/>
        <v>5446.69</v>
      </c>
      <c r="AQ78" s="7418"/>
      <c r="AR78" s="1675"/>
      <c r="AS78" s="7419"/>
      <c r="AT78" s="7451">
        <f t="shared" si="18"/>
        <v>5446.69</v>
      </c>
      <c r="AU78" s="7418"/>
      <c r="AV78" s="1675">
        <v>2287.12</v>
      </c>
      <c r="AW78" s="7419"/>
      <c r="AX78" s="7451">
        <f t="shared" si="19"/>
        <v>7733.8099999999995</v>
      </c>
      <c r="AY78" s="7418"/>
      <c r="AZ78" s="1675"/>
      <c r="BA78" s="7422"/>
      <c r="BB78" s="7452">
        <f t="shared" si="16"/>
        <v>2287.12</v>
      </c>
      <c r="BC78" s="7422"/>
      <c r="BD78" s="7452">
        <f t="shared" si="17"/>
        <v>2287.12</v>
      </c>
      <c r="BE78" s="7423"/>
      <c r="BF78" s="6531">
        <f t="shared" si="15"/>
        <v>7733.8099999999995</v>
      </c>
    </row>
    <row r="79" spans="2:58" ht="16" x14ac:dyDescent="0.2">
      <c r="B79" s="3928" t="s">
        <v>2305</v>
      </c>
      <c r="C79" s="7455" t="s">
        <v>2320</v>
      </c>
      <c r="D79" s="1848" t="s">
        <v>170</v>
      </c>
      <c r="E79" s="7418"/>
      <c r="F79" s="7448"/>
      <c r="G79" s="7418"/>
      <c r="H79" s="6371"/>
      <c r="I79" s="7419"/>
      <c r="J79" s="7451">
        <f t="shared" si="2"/>
        <v>0</v>
      </c>
      <c r="K79" s="7418"/>
      <c r="L79" s="3184">
        <v>3123.1440000000002</v>
      </c>
      <c r="M79" s="7422"/>
      <c r="N79" s="7452">
        <f t="shared" si="0"/>
        <v>3123.1440000000002</v>
      </c>
      <c r="O79" s="7418"/>
      <c r="P79" s="7453">
        <v>0</v>
      </c>
      <c r="Q79" s="7419"/>
      <c r="R79" s="7451">
        <f t="shared" si="3"/>
        <v>3123.1440000000002</v>
      </c>
      <c r="S79" s="7418"/>
      <c r="T79" s="3184">
        <v>0</v>
      </c>
      <c r="U79" s="7419"/>
      <c r="V79" s="7451">
        <f t="shared" si="4"/>
        <v>3123.1440000000002</v>
      </c>
      <c r="W79" s="7418"/>
      <c r="X79" s="1675">
        <v>0</v>
      </c>
      <c r="Y79" s="7422"/>
      <c r="Z79" s="7452">
        <f t="shared" si="5"/>
        <v>0</v>
      </c>
      <c r="AA79" s="7423"/>
      <c r="AB79" s="7454">
        <f t="shared" si="6"/>
        <v>3123.1440000000002</v>
      </c>
      <c r="AC79" s="7418"/>
      <c r="AD79" s="3184">
        <v>0</v>
      </c>
      <c r="AE79" s="7419"/>
      <c r="AF79" s="1823">
        <f t="shared" si="1"/>
        <v>3123.1440000000002</v>
      </c>
      <c r="AG79" s="7418"/>
      <c r="AH79" s="1675">
        <v>0</v>
      </c>
      <c r="AI79" s="7419"/>
      <c r="AJ79" s="7451">
        <f t="shared" si="7"/>
        <v>3123.1440000000002</v>
      </c>
      <c r="AK79" s="7418"/>
      <c r="AL79" s="1675">
        <v>0</v>
      </c>
      <c r="AM79" s="7422"/>
      <c r="AN79" s="7452">
        <f t="shared" si="8"/>
        <v>0</v>
      </c>
      <c r="AO79" s="7419"/>
      <c r="AP79" s="7451">
        <f t="shared" si="9"/>
        <v>3123.1440000000002</v>
      </c>
      <c r="AQ79" s="7418"/>
      <c r="AR79" s="1675"/>
      <c r="AS79" s="7419"/>
      <c r="AT79" s="7451">
        <f t="shared" si="18"/>
        <v>3123.1440000000002</v>
      </c>
      <c r="AU79" s="7418"/>
      <c r="AV79" s="1675">
        <f>5023.57-AV81</f>
        <v>5015.4740000000002</v>
      </c>
      <c r="AW79" s="7419"/>
      <c r="AX79" s="7451">
        <f t="shared" si="19"/>
        <v>8138.6180000000004</v>
      </c>
      <c r="AY79" s="7418"/>
      <c r="AZ79" s="1675">
        <v>3501.9520000000002</v>
      </c>
      <c r="BA79" s="7422"/>
      <c r="BB79" s="7452">
        <f t="shared" si="16"/>
        <v>8517.4259999999995</v>
      </c>
      <c r="BC79" s="7422"/>
      <c r="BD79" s="7452">
        <f t="shared" si="17"/>
        <v>8517.4259999999995</v>
      </c>
      <c r="BE79" s="7423"/>
      <c r="BF79" s="6531">
        <f t="shared" si="15"/>
        <v>11640.57</v>
      </c>
    </row>
    <row r="80" spans="2:58" s="8094" customFormat="1" ht="16" x14ac:dyDescent="0.2">
      <c r="B80" s="8132" t="s">
        <v>2555</v>
      </c>
      <c r="C80" s="8133"/>
      <c r="D80" s="1848" t="s">
        <v>170</v>
      </c>
      <c r="E80" s="7418"/>
      <c r="F80" s="7448"/>
      <c r="G80" s="7418"/>
      <c r="H80" s="6371"/>
      <c r="I80" s="7419"/>
      <c r="J80" s="7451"/>
      <c r="K80" s="7418"/>
      <c r="L80" s="3184"/>
      <c r="M80" s="7422"/>
      <c r="N80" s="7452"/>
      <c r="O80" s="7418"/>
      <c r="P80" s="7453"/>
      <c r="Q80" s="7419"/>
      <c r="R80" s="7451"/>
      <c r="S80" s="7418"/>
      <c r="T80" s="3184"/>
      <c r="U80" s="7419"/>
      <c r="V80" s="7451"/>
      <c r="W80" s="7418"/>
      <c r="X80" s="1675"/>
      <c r="Y80" s="7422"/>
      <c r="Z80" s="7452"/>
      <c r="AA80" s="7423"/>
      <c r="AB80" s="7454"/>
      <c r="AC80" s="7418"/>
      <c r="AD80" s="3184"/>
      <c r="AE80" s="7419"/>
      <c r="AF80" s="1823"/>
      <c r="AG80" s="7418"/>
      <c r="AH80" s="1675"/>
      <c r="AI80" s="7419"/>
      <c r="AJ80" s="7451"/>
      <c r="AK80" s="7418"/>
      <c r="AL80" s="1675"/>
      <c r="AM80" s="7422"/>
      <c r="AN80" s="7452"/>
      <c r="AO80" s="7419"/>
      <c r="AP80" s="7451"/>
      <c r="AQ80" s="7418"/>
      <c r="AR80" s="1675">
        <v>58.695999999999998</v>
      </c>
      <c r="AS80" s="7419"/>
      <c r="AT80" s="7451">
        <f t="shared" si="18"/>
        <v>58.695999999999998</v>
      </c>
      <c r="AU80" s="7418"/>
      <c r="AV80" s="1675"/>
      <c r="AW80" s="7419"/>
      <c r="AX80" s="7451">
        <f t="shared" si="19"/>
        <v>58.695999999999998</v>
      </c>
      <c r="AY80" s="7418"/>
      <c r="AZ80" s="1675"/>
      <c r="BA80" s="7422"/>
      <c r="BB80" s="7452">
        <f t="shared" si="16"/>
        <v>58.695999999999998</v>
      </c>
      <c r="BC80" s="7422"/>
      <c r="BD80" s="7452">
        <f t="shared" si="17"/>
        <v>58.695999999999998</v>
      </c>
      <c r="BE80" s="7423"/>
      <c r="BF80" s="6531">
        <f t="shared" si="15"/>
        <v>58.695999999999998</v>
      </c>
    </row>
    <row r="81" spans="2:58" ht="16" x14ac:dyDescent="0.2">
      <c r="B81" s="6041" t="s">
        <v>1201</v>
      </c>
      <c r="C81" s="7456"/>
      <c r="D81" s="7417" t="s">
        <v>170</v>
      </c>
      <c r="E81" s="7420"/>
      <c r="F81" s="7448">
        <v>16.559999999999999</v>
      </c>
      <c r="G81" s="7418"/>
      <c r="H81" s="6371">
        <v>0</v>
      </c>
      <c r="I81" s="7421"/>
      <c r="J81" s="7451">
        <f t="shared" si="2"/>
        <v>16.559999999999999</v>
      </c>
      <c r="K81" s="7420"/>
      <c r="L81" s="1675">
        <v>0</v>
      </c>
      <c r="M81" s="7424"/>
      <c r="N81" s="7452">
        <f t="shared" si="0"/>
        <v>16.559999999999999</v>
      </c>
      <c r="O81" s="7420"/>
      <c r="P81" s="1675">
        <v>0</v>
      </c>
      <c r="Q81" s="7419"/>
      <c r="R81" s="7451">
        <f t="shared" si="3"/>
        <v>16.559999999999999</v>
      </c>
      <c r="S81" s="7420"/>
      <c r="T81" s="3184">
        <v>0</v>
      </c>
      <c r="U81" s="7421"/>
      <c r="V81" s="7451">
        <f t="shared" si="4"/>
        <v>16.559999999999999</v>
      </c>
      <c r="W81" s="7420"/>
      <c r="X81" s="1675">
        <v>0</v>
      </c>
      <c r="Y81" s="7424"/>
      <c r="Z81" s="7452">
        <f t="shared" si="5"/>
        <v>0</v>
      </c>
      <c r="AA81" s="7425"/>
      <c r="AB81" s="7454">
        <f t="shared" si="6"/>
        <v>16.559999999999999</v>
      </c>
      <c r="AC81" s="7420"/>
      <c r="AD81" s="3184">
        <v>0</v>
      </c>
      <c r="AE81" s="7421"/>
      <c r="AF81" s="1823">
        <f t="shared" si="1"/>
        <v>16.559999999999999</v>
      </c>
      <c r="AG81" s="7420"/>
      <c r="AH81" s="1675">
        <v>0</v>
      </c>
      <c r="AI81" s="7421"/>
      <c r="AJ81" s="7451">
        <f t="shared" si="7"/>
        <v>16.559999999999999</v>
      </c>
      <c r="AK81" s="7420"/>
      <c r="AL81" s="1675">
        <v>0</v>
      </c>
      <c r="AM81" s="7424"/>
      <c r="AN81" s="7452">
        <f t="shared" si="8"/>
        <v>0</v>
      </c>
      <c r="AO81" s="7421"/>
      <c r="AP81" s="7451">
        <f t="shared" si="9"/>
        <v>16.559999999999999</v>
      </c>
      <c r="AQ81" s="7420"/>
      <c r="AR81" s="1675"/>
      <c r="AS81" s="7421"/>
      <c r="AT81" s="7451">
        <f t="shared" si="18"/>
        <v>16.559999999999999</v>
      </c>
      <c r="AU81" s="7420"/>
      <c r="AV81" s="1675">
        <v>8.0960000000000001</v>
      </c>
      <c r="AW81" s="7421"/>
      <c r="AX81" s="7451">
        <f t="shared" si="19"/>
        <v>24.655999999999999</v>
      </c>
      <c r="AY81" s="7420"/>
      <c r="AZ81" s="1675"/>
      <c r="BA81" s="7424"/>
      <c r="BB81" s="7452">
        <f t="shared" si="16"/>
        <v>8.0960000000000001</v>
      </c>
      <c r="BC81" s="7424"/>
      <c r="BD81" s="7452">
        <f t="shared" si="17"/>
        <v>8.0960000000000001</v>
      </c>
      <c r="BE81" s="7425"/>
      <c r="BF81" s="6531">
        <f t="shared" si="15"/>
        <v>24.655999999999999</v>
      </c>
    </row>
    <row r="82" spans="2:58" s="5200" customFormat="1" ht="16" x14ac:dyDescent="0.2">
      <c r="B82" s="6041" t="s">
        <v>1905</v>
      </c>
      <c r="C82" s="7456"/>
      <c r="D82" s="7417" t="s">
        <v>170</v>
      </c>
      <c r="E82" s="7420"/>
      <c r="F82" s="7448">
        <v>39.33</v>
      </c>
      <c r="G82" s="7418"/>
      <c r="H82" s="6371">
        <v>79.95</v>
      </c>
      <c r="I82" s="7421"/>
      <c r="J82" s="7451">
        <f t="shared" si="2"/>
        <v>119.28</v>
      </c>
      <c r="K82" s="7420"/>
      <c r="L82" s="1675">
        <v>22.571999999999999</v>
      </c>
      <c r="M82" s="7424"/>
      <c r="N82" s="7452">
        <f t="shared" si="0"/>
        <v>141.852</v>
      </c>
      <c r="O82" s="7420"/>
      <c r="P82" s="1675">
        <v>0</v>
      </c>
      <c r="Q82" s="7419"/>
      <c r="R82" s="7451">
        <f t="shared" si="3"/>
        <v>141.852</v>
      </c>
      <c r="S82" s="7420"/>
      <c r="T82" s="3184">
        <v>0</v>
      </c>
      <c r="U82" s="7421"/>
      <c r="V82" s="7451">
        <f t="shared" si="4"/>
        <v>141.852</v>
      </c>
      <c r="W82" s="7420"/>
      <c r="X82" s="1675">
        <v>0</v>
      </c>
      <c r="Y82" s="7424"/>
      <c r="Z82" s="7452">
        <f t="shared" si="5"/>
        <v>0</v>
      </c>
      <c r="AA82" s="7425"/>
      <c r="AB82" s="7454">
        <f t="shared" si="6"/>
        <v>141.852</v>
      </c>
      <c r="AC82" s="7420"/>
      <c r="AD82" s="3184">
        <v>0</v>
      </c>
      <c r="AE82" s="7421"/>
      <c r="AF82" s="1823">
        <f t="shared" si="1"/>
        <v>141.852</v>
      </c>
      <c r="AG82" s="7420"/>
      <c r="AH82" s="1675">
        <v>0</v>
      </c>
      <c r="AI82" s="7421"/>
      <c r="AJ82" s="7451">
        <f t="shared" si="7"/>
        <v>141.852</v>
      </c>
      <c r="AK82" s="7420"/>
      <c r="AL82" s="1675">
        <v>0</v>
      </c>
      <c r="AM82" s="7424"/>
      <c r="AN82" s="7452">
        <f t="shared" si="8"/>
        <v>0</v>
      </c>
      <c r="AO82" s="7421"/>
      <c r="AP82" s="7451">
        <f t="shared" si="9"/>
        <v>141.852</v>
      </c>
      <c r="AQ82" s="7420"/>
      <c r="AR82" s="1675"/>
      <c r="AS82" s="7421"/>
      <c r="AT82" s="7451">
        <f t="shared" si="18"/>
        <v>141.852</v>
      </c>
      <c r="AU82" s="7420"/>
      <c r="AV82" s="1675"/>
      <c r="AW82" s="7421"/>
      <c r="AX82" s="7451">
        <f t="shared" si="19"/>
        <v>141.852</v>
      </c>
      <c r="AY82" s="7420"/>
      <c r="AZ82" s="1675"/>
      <c r="BA82" s="7424"/>
      <c r="BB82" s="7452">
        <f t="shared" si="16"/>
        <v>0</v>
      </c>
      <c r="BC82" s="7424"/>
      <c r="BD82" s="7452">
        <f t="shared" si="17"/>
        <v>0</v>
      </c>
      <c r="BE82" s="7425"/>
      <c r="BF82" s="6531">
        <f t="shared" si="15"/>
        <v>141.852</v>
      </c>
    </row>
    <row r="83" spans="2:58" ht="15.75" customHeight="1" x14ac:dyDescent="0.2">
      <c r="B83" s="6041" t="s">
        <v>1392</v>
      </c>
      <c r="C83" s="7456"/>
      <c r="D83" s="7417" t="s">
        <v>170</v>
      </c>
      <c r="E83" s="7420"/>
      <c r="F83" s="7448">
        <v>0</v>
      </c>
      <c r="G83" s="7418"/>
      <c r="H83" s="6371">
        <v>0</v>
      </c>
      <c r="I83" s="7421"/>
      <c r="J83" s="7451">
        <f t="shared" si="2"/>
        <v>0</v>
      </c>
      <c r="K83" s="7420"/>
      <c r="L83" s="1675">
        <v>73.872</v>
      </c>
      <c r="M83" s="7424"/>
      <c r="N83" s="7452">
        <f t="shared" si="0"/>
        <v>73.872</v>
      </c>
      <c r="O83" s="7420"/>
      <c r="P83" s="1675">
        <v>0</v>
      </c>
      <c r="Q83" s="7419"/>
      <c r="R83" s="7451">
        <f t="shared" si="3"/>
        <v>73.872</v>
      </c>
      <c r="S83" s="7420"/>
      <c r="T83" s="1675">
        <v>0</v>
      </c>
      <c r="U83" s="7421"/>
      <c r="V83" s="7451">
        <f t="shared" si="4"/>
        <v>73.872</v>
      </c>
      <c r="W83" s="7420"/>
      <c r="X83" s="3184">
        <v>55.404000000000003</v>
      </c>
      <c r="Y83" s="7424"/>
      <c r="Z83" s="7452">
        <f t="shared" si="5"/>
        <v>55.404000000000003</v>
      </c>
      <c r="AA83" s="7425"/>
      <c r="AB83" s="7454">
        <f t="shared" si="6"/>
        <v>129.27600000000001</v>
      </c>
      <c r="AC83" s="7420"/>
      <c r="AD83" s="3184">
        <v>0</v>
      </c>
      <c r="AE83" s="7421"/>
      <c r="AF83" s="1823">
        <f t="shared" si="1"/>
        <v>129.27600000000001</v>
      </c>
      <c r="AG83" s="7420"/>
      <c r="AH83" s="1675">
        <v>0</v>
      </c>
      <c r="AI83" s="7421"/>
      <c r="AJ83" s="7451">
        <f t="shared" si="7"/>
        <v>129.27600000000001</v>
      </c>
      <c r="AK83" s="7420"/>
      <c r="AL83" s="1675">
        <v>0</v>
      </c>
      <c r="AM83" s="7424"/>
      <c r="AN83" s="7452">
        <f t="shared" si="8"/>
        <v>0</v>
      </c>
      <c r="AO83" s="7421"/>
      <c r="AP83" s="7451">
        <f t="shared" si="9"/>
        <v>129.27600000000001</v>
      </c>
      <c r="AQ83" s="7420"/>
      <c r="AR83" s="1675">
        <v>58.695999999999998</v>
      </c>
      <c r="AS83" s="7421"/>
      <c r="AT83" s="7451">
        <f t="shared" si="18"/>
        <v>187.97200000000001</v>
      </c>
      <c r="AU83" s="7420"/>
      <c r="AV83" s="1675"/>
      <c r="AW83" s="7421"/>
      <c r="AX83" s="7451">
        <f t="shared" si="19"/>
        <v>187.97200000000001</v>
      </c>
      <c r="AY83" s="7420"/>
      <c r="AZ83" s="1675"/>
      <c r="BA83" s="7424"/>
      <c r="BB83" s="7452">
        <f t="shared" si="16"/>
        <v>58.695999999999998</v>
      </c>
      <c r="BC83" s="7424"/>
      <c r="BD83" s="7452">
        <f t="shared" si="17"/>
        <v>58.695999999999998</v>
      </c>
      <c r="BE83" s="7425"/>
      <c r="BF83" s="6531">
        <f t="shared" si="15"/>
        <v>187.97200000000001</v>
      </c>
    </row>
    <row r="84" spans="2:58" s="7828" customFormat="1" ht="15.75" customHeight="1" x14ac:dyDescent="0.2">
      <c r="B84" s="6041" t="s">
        <v>2456</v>
      </c>
      <c r="C84" s="7456"/>
      <c r="D84" s="7417" t="s">
        <v>170</v>
      </c>
      <c r="E84" s="7420"/>
      <c r="F84" s="7448"/>
      <c r="G84" s="7418"/>
      <c r="H84" s="6371"/>
      <c r="I84" s="7421"/>
      <c r="J84" s="7451"/>
      <c r="K84" s="7420"/>
      <c r="L84" s="1675"/>
      <c r="M84" s="7424"/>
      <c r="N84" s="7452"/>
      <c r="O84" s="7420"/>
      <c r="P84" s="1675"/>
      <c r="Q84" s="7419"/>
      <c r="R84" s="7451"/>
      <c r="S84" s="7420"/>
      <c r="T84" s="1675"/>
      <c r="U84" s="7421"/>
      <c r="V84" s="7451"/>
      <c r="W84" s="7420"/>
      <c r="X84" s="3184"/>
      <c r="Y84" s="7424"/>
      <c r="Z84" s="7452"/>
      <c r="AA84" s="7425"/>
      <c r="AB84" s="7454"/>
      <c r="AC84" s="7420"/>
      <c r="AD84" s="3184"/>
      <c r="AE84" s="7421"/>
      <c r="AF84" s="1823"/>
      <c r="AG84" s="7420"/>
      <c r="AH84" s="1675"/>
      <c r="AI84" s="7421"/>
      <c r="AJ84" s="7451"/>
      <c r="AK84" s="7420"/>
      <c r="AL84" s="3184">
        <v>30.78</v>
      </c>
      <c r="AM84" s="7424"/>
      <c r="AN84" s="7452">
        <f t="shared" si="8"/>
        <v>30.78</v>
      </c>
      <c r="AO84" s="7421"/>
      <c r="AP84" s="7451">
        <f t="shared" si="9"/>
        <v>30.78</v>
      </c>
      <c r="AQ84" s="7420"/>
      <c r="AR84" s="3184"/>
      <c r="AS84" s="7421"/>
      <c r="AT84" s="7451">
        <f t="shared" si="18"/>
        <v>30.78</v>
      </c>
      <c r="AU84" s="7420"/>
      <c r="AV84" s="3184"/>
      <c r="AW84" s="7421"/>
      <c r="AX84" s="7451">
        <f t="shared" si="19"/>
        <v>30.78</v>
      </c>
      <c r="AY84" s="7420"/>
      <c r="AZ84" s="3184"/>
      <c r="BA84" s="7424"/>
      <c r="BB84" s="7452">
        <f t="shared" si="16"/>
        <v>0</v>
      </c>
      <c r="BC84" s="7424"/>
      <c r="BD84" s="7452">
        <f t="shared" si="17"/>
        <v>30.78</v>
      </c>
      <c r="BE84" s="7425"/>
      <c r="BF84" s="6531">
        <f t="shared" si="15"/>
        <v>30.78</v>
      </c>
    </row>
    <row r="85" spans="2:58" ht="17.25" customHeight="1" x14ac:dyDescent="0.2">
      <c r="B85" s="6041" t="s">
        <v>1128</v>
      </c>
      <c r="C85" s="7456"/>
      <c r="D85" s="7417" t="s">
        <v>170</v>
      </c>
      <c r="E85" s="7420"/>
      <c r="F85" s="7448">
        <v>0</v>
      </c>
      <c r="G85" s="7418"/>
      <c r="H85" s="6371">
        <v>102.5</v>
      </c>
      <c r="I85" s="7421"/>
      <c r="J85" s="7451">
        <f t="shared" si="2"/>
        <v>102.5</v>
      </c>
      <c r="K85" s="7420"/>
      <c r="L85" s="1675">
        <v>164.16</v>
      </c>
      <c r="M85" s="7424"/>
      <c r="N85" s="7452">
        <f t="shared" si="0"/>
        <v>266.65999999999997</v>
      </c>
      <c r="O85" s="7420"/>
      <c r="P85" s="1675">
        <v>24.623999999999999</v>
      </c>
      <c r="Q85" s="7419"/>
      <c r="R85" s="7451">
        <f t="shared" si="3"/>
        <v>291.28399999999999</v>
      </c>
      <c r="S85" s="7420"/>
      <c r="T85" s="1675">
        <v>100.548</v>
      </c>
      <c r="U85" s="7421"/>
      <c r="V85" s="7451">
        <f t="shared" si="4"/>
        <v>391.83199999999999</v>
      </c>
      <c r="W85" s="7420"/>
      <c r="X85" s="1675">
        <v>0</v>
      </c>
      <c r="Y85" s="7424"/>
      <c r="Z85" s="7452">
        <f t="shared" si="5"/>
        <v>125.172</v>
      </c>
      <c r="AA85" s="7425"/>
      <c r="AB85" s="7454">
        <f t="shared" si="6"/>
        <v>391.83199999999999</v>
      </c>
      <c r="AC85" s="7420"/>
      <c r="AD85" s="1675">
        <v>32.832000000000001</v>
      </c>
      <c r="AE85" s="7421"/>
      <c r="AF85" s="1823">
        <f t="shared" si="1"/>
        <v>424.66399999999999</v>
      </c>
      <c r="AG85" s="7420"/>
      <c r="AH85" s="1675">
        <v>0</v>
      </c>
      <c r="AI85" s="7421"/>
      <c r="AJ85" s="7451">
        <f t="shared" si="7"/>
        <v>424.66399999999999</v>
      </c>
      <c r="AK85" s="7420"/>
      <c r="AL85" s="1675">
        <v>0</v>
      </c>
      <c r="AM85" s="7424"/>
      <c r="AN85" s="7452">
        <f t="shared" si="8"/>
        <v>32.832000000000001</v>
      </c>
      <c r="AO85" s="7421"/>
      <c r="AP85" s="7451">
        <f t="shared" si="9"/>
        <v>424.66399999999999</v>
      </c>
      <c r="AQ85" s="7420"/>
      <c r="AR85" s="1675"/>
      <c r="AS85" s="7421"/>
      <c r="AT85" s="7451">
        <f t="shared" si="18"/>
        <v>424.66399999999999</v>
      </c>
      <c r="AU85" s="7420"/>
      <c r="AV85" s="1675"/>
      <c r="AW85" s="7421"/>
      <c r="AX85" s="7451">
        <f t="shared" si="19"/>
        <v>424.66399999999999</v>
      </c>
      <c r="AY85" s="7420"/>
      <c r="AZ85" s="1675">
        <v>141.68</v>
      </c>
      <c r="BA85" s="7424"/>
      <c r="BB85" s="7452">
        <f t="shared" si="16"/>
        <v>141.68</v>
      </c>
      <c r="BC85" s="7424"/>
      <c r="BD85" s="7452">
        <f t="shared" si="17"/>
        <v>174.512</v>
      </c>
      <c r="BE85" s="7425"/>
      <c r="BF85" s="6531">
        <f t="shared" si="15"/>
        <v>566.34400000000005</v>
      </c>
    </row>
    <row r="86" spans="2:58" s="8094" customFormat="1" ht="17.25" customHeight="1" x14ac:dyDescent="0.2">
      <c r="B86" s="6041" t="s">
        <v>2553</v>
      </c>
      <c r="C86" s="7456"/>
      <c r="D86" s="7417" t="s">
        <v>170</v>
      </c>
      <c r="E86" s="7420"/>
      <c r="F86" s="7448"/>
      <c r="G86" s="7418"/>
      <c r="H86" s="6371"/>
      <c r="I86" s="7421"/>
      <c r="J86" s="7451"/>
      <c r="K86" s="7420"/>
      <c r="L86" s="1675"/>
      <c r="M86" s="7424"/>
      <c r="N86" s="7452"/>
      <c r="O86" s="7420"/>
      <c r="P86" s="1675"/>
      <c r="Q86" s="7419"/>
      <c r="R86" s="7451"/>
      <c r="S86" s="7420"/>
      <c r="T86" s="1675"/>
      <c r="U86" s="7421"/>
      <c r="V86" s="7451"/>
      <c r="W86" s="7420"/>
      <c r="X86" s="1675"/>
      <c r="Y86" s="7424"/>
      <c r="Z86" s="7452"/>
      <c r="AA86" s="7425"/>
      <c r="AB86" s="7454"/>
      <c r="AC86" s="7420"/>
      <c r="AD86" s="1675"/>
      <c r="AE86" s="7421"/>
      <c r="AF86" s="1823"/>
      <c r="AG86" s="7420"/>
      <c r="AH86" s="1675"/>
      <c r="AI86" s="7421"/>
      <c r="AJ86" s="7451"/>
      <c r="AK86" s="7420"/>
      <c r="AL86" s="1675"/>
      <c r="AM86" s="7424"/>
      <c r="AN86" s="7452"/>
      <c r="AO86" s="7421"/>
      <c r="AP86" s="7451"/>
      <c r="AQ86" s="7420"/>
      <c r="AR86" s="1675">
        <v>82.98</v>
      </c>
      <c r="AS86" s="7421"/>
      <c r="AT86" s="7451">
        <f t="shared" si="18"/>
        <v>82.98</v>
      </c>
      <c r="AU86" s="7420"/>
      <c r="AV86" s="1675"/>
      <c r="AW86" s="7421"/>
      <c r="AX86" s="7451">
        <f t="shared" si="19"/>
        <v>82.98</v>
      </c>
      <c r="AY86" s="7420"/>
      <c r="AZ86" s="1675"/>
      <c r="BA86" s="7424"/>
      <c r="BB86" s="7452">
        <f t="shared" si="16"/>
        <v>82.98</v>
      </c>
      <c r="BC86" s="7424"/>
      <c r="BD86" s="7452">
        <f t="shared" si="17"/>
        <v>82.98</v>
      </c>
      <c r="BE86" s="7425"/>
      <c r="BF86" s="6531">
        <f t="shared" ref="BF86:BF93" si="20">+AX86+AZ86</f>
        <v>82.98</v>
      </c>
    </row>
    <row r="87" spans="2:58" ht="16" x14ac:dyDescent="0.2">
      <c r="B87" s="6041" t="s">
        <v>1136</v>
      </c>
      <c r="C87" s="7456"/>
      <c r="D87" s="7417" t="s">
        <v>170</v>
      </c>
      <c r="E87" s="7420"/>
      <c r="F87" s="7448">
        <v>0</v>
      </c>
      <c r="G87" s="7418"/>
      <c r="H87" s="6371">
        <v>0</v>
      </c>
      <c r="I87" s="7421"/>
      <c r="J87" s="7451">
        <f t="shared" si="2"/>
        <v>0</v>
      </c>
      <c r="K87" s="7420"/>
      <c r="L87" s="1675">
        <v>26.675999999999998</v>
      </c>
      <c r="M87" s="7424"/>
      <c r="N87" s="7452">
        <f t="shared" si="0"/>
        <v>26.675999999999998</v>
      </c>
      <c r="O87" s="7420"/>
      <c r="P87" s="1675">
        <v>8.2080000000000002</v>
      </c>
      <c r="Q87" s="7419"/>
      <c r="R87" s="7451">
        <f t="shared" si="3"/>
        <v>34.884</v>
      </c>
      <c r="S87" s="7420"/>
      <c r="T87" s="1675">
        <v>0</v>
      </c>
      <c r="U87" s="7421"/>
      <c r="V87" s="7451">
        <f t="shared" si="4"/>
        <v>34.884</v>
      </c>
      <c r="W87" s="7420"/>
      <c r="X87" s="3184">
        <v>24.623999999999999</v>
      </c>
      <c r="Y87" s="7424"/>
      <c r="Z87" s="7452">
        <f t="shared" si="5"/>
        <v>32.832000000000001</v>
      </c>
      <c r="AA87" s="7425"/>
      <c r="AB87" s="7454">
        <f t="shared" si="6"/>
        <v>59.507999999999996</v>
      </c>
      <c r="AC87" s="7420"/>
      <c r="AD87" s="1675">
        <v>0</v>
      </c>
      <c r="AE87" s="7421"/>
      <c r="AF87" s="1823">
        <f t="shared" si="1"/>
        <v>59.507999999999996</v>
      </c>
      <c r="AG87" s="7420"/>
      <c r="AH87" s="1675">
        <v>0</v>
      </c>
      <c r="AI87" s="7421"/>
      <c r="AJ87" s="7451">
        <f t="shared" si="7"/>
        <v>59.507999999999996</v>
      </c>
      <c r="AK87" s="7420"/>
      <c r="AL87" s="3184">
        <v>8.2080000000000002</v>
      </c>
      <c r="AM87" s="7424"/>
      <c r="AN87" s="7452">
        <f t="shared" si="8"/>
        <v>8.2080000000000002</v>
      </c>
      <c r="AO87" s="7421"/>
      <c r="AP87" s="7451">
        <f t="shared" si="9"/>
        <v>67.715999999999994</v>
      </c>
      <c r="AQ87" s="7420"/>
      <c r="AR87" s="3184"/>
      <c r="AS87" s="7421"/>
      <c r="AT87" s="7451">
        <f t="shared" si="18"/>
        <v>67.715999999999994</v>
      </c>
      <c r="AU87" s="7420"/>
      <c r="AV87" s="3184"/>
      <c r="AW87" s="7421"/>
      <c r="AX87" s="7451">
        <f t="shared" si="19"/>
        <v>67.715999999999994</v>
      </c>
      <c r="AY87" s="7420"/>
      <c r="AZ87" s="3184"/>
      <c r="BA87" s="7424"/>
      <c r="BB87" s="7452">
        <f t="shared" si="16"/>
        <v>0</v>
      </c>
      <c r="BC87" s="7424"/>
      <c r="BD87" s="7452">
        <f t="shared" si="17"/>
        <v>8.2080000000000002</v>
      </c>
      <c r="BE87" s="7425"/>
      <c r="BF87" s="6531">
        <f t="shared" si="20"/>
        <v>67.715999999999994</v>
      </c>
    </row>
    <row r="88" spans="2:58" s="4756" customFormat="1" ht="16" x14ac:dyDescent="0.2">
      <c r="B88" s="6041" t="s">
        <v>1685</v>
      </c>
      <c r="C88" s="7456"/>
      <c r="D88" s="7417" t="s">
        <v>170</v>
      </c>
      <c r="E88" s="7420"/>
      <c r="F88" s="7448">
        <v>12.42</v>
      </c>
      <c r="G88" s="7418"/>
      <c r="H88" s="6371">
        <v>20.5</v>
      </c>
      <c r="I88" s="7421"/>
      <c r="J88" s="7451">
        <f t="shared" si="2"/>
        <v>32.92</v>
      </c>
      <c r="K88" s="7420"/>
      <c r="L88" s="1675">
        <v>0</v>
      </c>
      <c r="M88" s="7424"/>
      <c r="N88" s="7452">
        <f t="shared" si="0"/>
        <v>32.92</v>
      </c>
      <c r="O88" s="7420"/>
      <c r="P88" s="1675">
        <v>56.808</v>
      </c>
      <c r="Q88" s="7419"/>
      <c r="R88" s="7451">
        <f t="shared" si="3"/>
        <v>89.728000000000009</v>
      </c>
      <c r="S88" s="7420"/>
      <c r="T88" s="1675">
        <v>96.444000000000003</v>
      </c>
      <c r="U88" s="7421"/>
      <c r="V88" s="7451">
        <f t="shared" si="4"/>
        <v>186.17200000000003</v>
      </c>
      <c r="W88" s="7420"/>
      <c r="X88" s="3184">
        <v>104.67</v>
      </c>
      <c r="Y88" s="7424"/>
      <c r="Z88" s="7452">
        <f t="shared" si="5"/>
        <v>257.92200000000003</v>
      </c>
      <c r="AA88" s="7425"/>
      <c r="AB88" s="7454">
        <f t="shared" si="6"/>
        <v>290.84200000000004</v>
      </c>
      <c r="AC88" s="7420"/>
      <c r="AD88" s="1675">
        <v>72.36</v>
      </c>
      <c r="AE88" s="7421"/>
      <c r="AF88" s="1823">
        <f t="shared" si="1"/>
        <v>363.20200000000006</v>
      </c>
      <c r="AG88" s="7420"/>
      <c r="AH88" s="1675">
        <v>30.78</v>
      </c>
      <c r="AI88" s="7421"/>
      <c r="AJ88" s="7451">
        <f t="shared" si="7"/>
        <v>393.98200000000008</v>
      </c>
      <c r="AK88" s="7420"/>
      <c r="AL88" s="3184">
        <v>91.575999999999993</v>
      </c>
      <c r="AM88" s="7424"/>
      <c r="AN88" s="7452">
        <f t="shared" si="8"/>
        <v>194.71600000000001</v>
      </c>
      <c r="AO88" s="7421"/>
      <c r="AP88" s="7451">
        <f t="shared" si="9"/>
        <v>485.55800000000011</v>
      </c>
      <c r="AQ88" s="7420"/>
      <c r="AR88" s="3184">
        <v>85.007999999999996</v>
      </c>
      <c r="AS88" s="7421"/>
      <c r="AT88" s="7451">
        <f t="shared" si="18"/>
        <v>570.56600000000014</v>
      </c>
      <c r="AU88" s="7420"/>
      <c r="AV88" s="3184">
        <v>34.408000000000001</v>
      </c>
      <c r="AW88" s="7421"/>
      <c r="AX88" s="7451">
        <f t="shared" si="19"/>
        <v>604.97400000000016</v>
      </c>
      <c r="AY88" s="7420"/>
      <c r="AZ88" s="3184">
        <v>24.29</v>
      </c>
      <c r="BA88" s="7424"/>
      <c r="BB88" s="7452">
        <f t="shared" si="16"/>
        <v>143.70599999999999</v>
      </c>
      <c r="BC88" s="7424"/>
      <c r="BD88" s="7452">
        <f t="shared" si="17"/>
        <v>338.42200000000003</v>
      </c>
      <c r="BE88" s="7425"/>
      <c r="BF88" s="6531">
        <f t="shared" si="20"/>
        <v>629.26400000000012</v>
      </c>
    </row>
    <row r="89" spans="2:58" ht="16" x14ac:dyDescent="0.2">
      <c r="B89" s="6041" t="s">
        <v>1108</v>
      </c>
      <c r="C89" s="7456"/>
      <c r="D89" s="7417" t="s">
        <v>170</v>
      </c>
      <c r="E89" s="7420"/>
      <c r="F89" s="7448">
        <v>0</v>
      </c>
      <c r="G89" s="7418"/>
      <c r="H89" s="6371">
        <v>0</v>
      </c>
      <c r="I89" s="7421"/>
      <c r="J89" s="7451">
        <f t="shared" ref="J89:J93" si="21">+F89+H89</f>
        <v>0</v>
      </c>
      <c r="K89" s="7420"/>
      <c r="L89" s="1675">
        <v>0</v>
      </c>
      <c r="M89" s="7424"/>
      <c r="N89" s="7452">
        <f t="shared" si="0"/>
        <v>0</v>
      </c>
      <c r="O89" s="7420"/>
      <c r="P89" s="1675">
        <v>28.728000000000002</v>
      </c>
      <c r="Q89" s="7419"/>
      <c r="R89" s="7451">
        <f t="shared" ref="R89:R93" si="22">+N89+P89</f>
        <v>28.728000000000002</v>
      </c>
      <c r="S89" s="7420"/>
      <c r="T89" s="1675">
        <v>43.091999999999999</v>
      </c>
      <c r="U89" s="7421"/>
      <c r="V89" s="7451">
        <f t="shared" ref="V89:V93" si="23">+R89+T89</f>
        <v>71.819999999999993</v>
      </c>
      <c r="W89" s="7420"/>
      <c r="X89" s="3184">
        <v>10.26</v>
      </c>
      <c r="Y89" s="7424"/>
      <c r="Z89" s="7452">
        <f t="shared" ref="Z89:Z93" si="24">+P89+T89+X89</f>
        <v>82.08</v>
      </c>
      <c r="AA89" s="7425"/>
      <c r="AB89" s="7454">
        <f t="shared" ref="AB89:AB93" si="25">+V89+X89</f>
        <v>82.08</v>
      </c>
      <c r="AC89" s="7420"/>
      <c r="AD89" s="1675">
        <v>0</v>
      </c>
      <c r="AE89" s="7421"/>
      <c r="AF89" s="1823">
        <f t="shared" si="1"/>
        <v>82.08</v>
      </c>
      <c r="AG89" s="7420"/>
      <c r="AH89" s="1675">
        <v>0</v>
      </c>
      <c r="AI89" s="7421"/>
      <c r="AJ89" s="7451">
        <f t="shared" ref="AJ89:AJ93" si="26">+AF89+AH89</f>
        <v>82.08</v>
      </c>
      <c r="AK89" s="7420"/>
      <c r="AL89" s="3184">
        <v>10.26</v>
      </c>
      <c r="AM89" s="7424"/>
      <c r="AN89" s="7452">
        <f t="shared" ref="AN89:AN93" si="27">+AD89+AH89+AL89</f>
        <v>10.26</v>
      </c>
      <c r="AO89" s="7421"/>
      <c r="AP89" s="7451">
        <f t="shared" ref="AP89:AP93" si="28">+AJ89+AL89</f>
        <v>92.34</v>
      </c>
      <c r="AQ89" s="7420"/>
      <c r="AR89" s="3184"/>
      <c r="AS89" s="7421"/>
      <c r="AT89" s="7451">
        <f t="shared" si="18"/>
        <v>92.34</v>
      </c>
      <c r="AU89" s="7420"/>
      <c r="AV89" s="3184"/>
      <c r="AW89" s="7421"/>
      <c r="AX89" s="7451">
        <f t="shared" si="19"/>
        <v>92.34</v>
      </c>
      <c r="AY89" s="7420"/>
      <c r="AZ89" s="3184"/>
      <c r="BA89" s="7424"/>
      <c r="BB89" s="7452">
        <f t="shared" si="16"/>
        <v>0</v>
      </c>
      <c r="BC89" s="7424"/>
      <c r="BD89" s="7452">
        <f t="shared" si="17"/>
        <v>10.26</v>
      </c>
      <c r="BE89" s="7425"/>
      <c r="BF89" s="6531">
        <f t="shared" si="20"/>
        <v>92.34</v>
      </c>
    </row>
    <row r="90" spans="2:58" ht="16" x14ac:dyDescent="0.2">
      <c r="B90" s="6041" t="s">
        <v>1338</v>
      </c>
      <c r="C90" s="7456"/>
      <c r="D90" s="7417" t="s">
        <v>170</v>
      </c>
      <c r="E90" s="7420"/>
      <c r="F90" s="7448">
        <v>0</v>
      </c>
      <c r="G90" s="7418"/>
      <c r="H90" s="6371">
        <v>0</v>
      </c>
      <c r="I90" s="7421"/>
      <c r="J90" s="7451">
        <f t="shared" si="21"/>
        <v>0</v>
      </c>
      <c r="K90" s="7420"/>
      <c r="L90" s="1675">
        <v>80.028000000000006</v>
      </c>
      <c r="M90" s="7424"/>
      <c r="N90" s="7452">
        <f t="shared" si="0"/>
        <v>80.028000000000006</v>
      </c>
      <c r="O90" s="7420"/>
      <c r="P90" s="1675">
        <v>0</v>
      </c>
      <c r="Q90" s="7419"/>
      <c r="R90" s="7451">
        <f t="shared" si="22"/>
        <v>80.028000000000006</v>
      </c>
      <c r="S90" s="7420"/>
      <c r="T90" s="1675">
        <v>0</v>
      </c>
      <c r="U90" s="7421"/>
      <c r="V90" s="7451">
        <f t="shared" si="23"/>
        <v>80.028000000000006</v>
      </c>
      <c r="W90" s="7420"/>
      <c r="X90" s="1675">
        <v>0</v>
      </c>
      <c r="Y90" s="7424"/>
      <c r="Z90" s="7452">
        <f t="shared" si="24"/>
        <v>0</v>
      </c>
      <c r="AA90" s="7425"/>
      <c r="AB90" s="7454">
        <f t="shared" si="25"/>
        <v>80.028000000000006</v>
      </c>
      <c r="AC90" s="7420"/>
      <c r="AD90" s="1675">
        <v>16.416</v>
      </c>
      <c r="AE90" s="7421"/>
      <c r="AF90" s="1823">
        <f t="shared" si="1"/>
        <v>96.444000000000003</v>
      </c>
      <c r="AG90" s="7420"/>
      <c r="AH90" s="1675">
        <v>0</v>
      </c>
      <c r="AI90" s="7421"/>
      <c r="AJ90" s="7451">
        <f t="shared" si="26"/>
        <v>96.444000000000003</v>
      </c>
      <c r="AK90" s="7420"/>
      <c r="AL90" s="1675">
        <v>0</v>
      </c>
      <c r="AM90" s="7424"/>
      <c r="AN90" s="7452">
        <f t="shared" si="27"/>
        <v>16.416</v>
      </c>
      <c r="AO90" s="7421"/>
      <c r="AP90" s="7451">
        <f t="shared" si="28"/>
        <v>96.444000000000003</v>
      </c>
      <c r="AQ90" s="7420"/>
      <c r="AR90" s="1675">
        <v>78.936000000000007</v>
      </c>
      <c r="AS90" s="7421"/>
      <c r="AT90" s="7451">
        <f t="shared" si="18"/>
        <v>175.38</v>
      </c>
      <c r="AU90" s="7420"/>
      <c r="AV90" s="1675"/>
      <c r="AW90" s="7421"/>
      <c r="AX90" s="7451">
        <f t="shared" si="19"/>
        <v>175.38</v>
      </c>
      <c r="AY90" s="7420"/>
      <c r="AZ90" s="1675"/>
      <c r="BA90" s="7424"/>
      <c r="BB90" s="7452">
        <f t="shared" si="16"/>
        <v>78.936000000000007</v>
      </c>
      <c r="BC90" s="7424"/>
      <c r="BD90" s="7452">
        <f t="shared" si="17"/>
        <v>95.352000000000004</v>
      </c>
      <c r="BE90" s="7425"/>
      <c r="BF90" s="6531">
        <f t="shared" si="20"/>
        <v>175.38</v>
      </c>
    </row>
    <row r="91" spans="2:58" ht="15.75" customHeight="1" x14ac:dyDescent="0.2">
      <c r="B91" s="2856" t="s">
        <v>2217</v>
      </c>
      <c r="C91" s="7457"/>
      <c r="D91" s="7417" t="s">
        <v>170</v>
      </c>
      <c r="E91" s="7420"/>
      <c r="F91" s="7448">
        <v>0</v>
      </c>
      <c r="G91" s="7418"/>
      <c r="H91" s="6371">
        <v>0</v>
      </c>
      <c r="I91" s="7421"/>
      <c r="J91" s="7451">
        <f t="shared" si="21"/>
        <v>0</v>
      </c>
      <c r="K91" s="7420"/>
      <c r="L91" s="1675">
        <v>0</v>
      </c>
      <c r="M91" s="7424"/>
      <c r="N91" s="7452">
        <f t="shared" si="0"/>
        <v>0</v>
      </c>
      <c r="O91" s="7420"/>
      <c r="P91" s="1675">
        <v>0</v>
      </c>
      <c r="Q91" s="7419"/>
      <c r="R91" s="7451">
        <f t="shared" si="22"/>
        <v>0</v>
      </c>
      <c r="S91" s="7420"/>
      <c r="T91" s="1675">
        <v>28.728000000000002</v>
      </c>
      <c r="U91" s="7421"/>
      <c r="V91" s="7451">
        <f t="shared" si="23"/>
        <v>28.728000000000002</v>
      </c>
      <c r="W91" s="7420"/>
      <c r="X91" s="1675">
        <v>0</v>
      </c>
      <c r="Y91" s="7424"/>
      <c r="Z91" s="7452">
        <f t="shared" si="24"/>
        <v>28.728000000000002</v>
      </c>
      <c r="AA91" s="7425"/>
      <c r="AB91" s="7454">
        <f t="shared" si="25"/>
        <v>28.728000000000002</v>
      </c>
      <c r="AC91" s="7420"/>
      <c r="AD91" s="1675">
        <v>0</v>
      </c>
      <c r="AE91" s="7421"/>
      <c r="AF91" s="1823">
        <f t="shared" si="1"/>
        <v>28.728000000000002</v>
      </c>
      <c r="AG91" s="7420"/>
      <c r="AH91" s="1675">
        <v>0</v>
      </c>
      <c r="AI91" s="7421"/>
      <c r="AJ91" s="7451">
        <f t="shared" si="26"/>
        <v>28.728000000000002</v>
      </c>
      <c r="AK91" s="7420"/>
      <c r="AL91" s="1675">
        <v>0</v>
      </c>
      <c r="AM91" s="7424"/>
      <c r="AN91" s="7452">
        <f t="shared" si="27"/>
        <v>0</v>
      </c>
      <c r="AO91" s="7421"/>
      <c r="AP91" s="7451">
        <f t="shared" si="28"/>
        <v>28.728000000000002</v>
      </c>
      <c r="AQ91" s="7420"/>
      <c r="AR91" s="1675"/>
      <c r="AS91" s="7421"/>
      <c r="AT91" s="7451">
        <f t="shared" si="18"/>
        <v>28.728000000000002</v>
      </c>
      <c r="AU91" s="7420"/>
      <c r="AV91" s="1675"/>
      <c r="AW91" s="7421"/>
      <c r="AX91" s="7451">
        <f t="shared" si="19"/>
        <v>28.728000000000002</v>
      </c>
      <c r="AY91" s="7420"/>
      <c r="AZ91" s="1675">
        <v>70.831999999999994</v>
      </c>
      <c r="BA91" s="7424"/>
      <c r="BB91" s="7452">
        <f t="shared" si="16"/>
        <v>70.831999999999994</v>
      </c>
      <c r="BC91" s="7424"/>
      <c r="BD91" s="7452">
        <f t="shared" si="17"/>
        <v>70.831999999999994</v>
      </c>
      <c r="BE91" s="7425"/>
      <c r="BF91" s="6531">
        <f t="shared" si="20"/>
        <v>99.56</v>
      </c>
    </row>
    <row r="92" spans="2:58" ht="16" x14ac:dyDescent="0.2">
      <c r="B92" s="2856" t="s">
        <v>1107</v>
      </c>
      <c r="C92" s="7457"/>
      <c r="D92" s="7417" t="s">
        <v>170</v>
      </c>
      <c r="E92" s="7420"/>
      <c r="F92" s="7448">
        <v>24.84</v>
      </c>
      <c r="G92" s="7418"/>
      <c r="H92" s="6371">
        <v>2.0499999999999998</v>
      </c>
      <c r="I92" s="7421"/>
      <c r="J92" s="7451">
        <f t="shared" si="21"/>
        <v>26.89</v>
      </c>
      <c r="K92" s="7420"/>
      <c r="L92" s="1675">
        <v>162.108</v>
      </c>
      <c r="M92" s="7424"/>
      <c r="N92" s="7452">
        <f t="shared" si="0"/>
        <v>188.99799999999999</v>
      </c>
      <c r="O92" s="7420"/>
      <c r="P92" s="1675">
        <v>266.76</v>
      </c>
      <c r="Q92" s="7419"/>
      <c r="R92" s="7451">
        <f t="shared" si="22"/>
        <v>455.75799999999998</v>
      </c>
      <c r="S92" s="7420"/>
      <c r="T92" s="1675">
        <v>250.34399999999999</v>
      </c>
      <c r="U92" s="7421"/>
      <c r="V92" s="7451">
        <f t="shared" si="23"/>
        <v>706.10199999999998</v>
      </c>
      <c r="W92" s="7420"/>
      <c r="X92" s="1675">
        <v>22.571999999999999</v>
      </c>
      <c r="Y92" s="7424"/>
      <c r="Z92" s="7452">
        <f t="shared" si="24"/>
        <v>539.67600000000004</v>
      </c>
      <c r="AA92" s="7425"/>
      <c r="AB92" s="7454">
        <f t="shared" si="25"/>
        <v>728.67399999999998</v>
      </c>
      <c r="AC92" s="7420"/>
      <c r="AD92" s="1675">
        <f>221.086-20.52</f>
        <v>200.566</v>
      </c>
      <c r="AE92" s="7421"/>
      <c r="AF92" s="1823">
        <f t="shared" si="1"/>
        <v>929.24</v>
      </c>
      <c r="AG92" s="7420"/>
      <c r="AH92" s="1675">
        <v>268.78399999999999</v>
      </c>
      <c r="AI92" s="7421"/>
      <c r="AJ92" s="7451">
        <f t="shared" si="26"/>
        <v>1198.0239999999999</v>
      </c>
      <c r="AK92" s="7420"/>
      <c r="AL92" s="1675">
        <v>99.194000000000003</v>
      </c>
      <c r="AM92" s="7424"/>
      <c r="AN92" s="7452">
        <f t="shared" si="27"/>
        <v>568.54399999999998</v>
      </c>
      <c r="AO92" s="7421"/>
      <c r="AP92" s="7451">
        <f t="shared" si="28"/>
        <v>1297.2179999999998</v>
      </c>
      <c r="AQ92" s="7420"/>
      <c r="AR92" s="1675">
        <v>32.438000000000002</v>
      </c>
      <c r="AS92" s="7421"/>
      <c r="AT92" s="7451">
        <f t="shared" si="18"/>
        <v>1329.6559999999999</v>
      </c>
      <c r="AU92" s="7420"/>
      <c r="AV92" s="1675">
        <v>68.816000000000003</v>
      </c>
      <c r="AW92" s="7421"/>
      <c r="AX92" s="7451">
        <f t="shared" si="19"/>
        <v>1398.472</v>
      </c>
      <c r="AY92" s="7420"/>
      <c r="AZ92" s="1675">
        <v>107.48399999999999</v>
      </c>
      <c r="BA92" s="7424"/>
      <c r="BB92" s="7452">
        <f t="shared" si="16"/>
        <v>208.738</v>
      </c>
      <c r="BC92" s="7424"/>
      <c r="BD92" s="7452">
        <f t="shared" si="17"/>
        <v>777.28199999999993</v>
      </c>
      <c r="BE92" s="7425"/>
      <c r="BF92" s="6531">
        <f t="shared" si="20"/>
        <v>1505.9559999999999</v>
      </c>
    </row>
    <row r="93" spans="2:58" ht="17" thickBot="1" x14ac:dyDescent="0.25">
      <c r="B93" s="2856" t="s">
        <v>1106</v>
      </c>
      <c r="C93" s="7457"/>
      <c r="D93" s="7445" t="s">
        <v>170</v>
      </c>
      <c r="E93" s="7867"/>
      <c r="F93" s="7868">
        <v>55.89</v>
      </c>
      <c r="G93" s="7869"/>
      <c r="H93" s="6372">
        <v>131.93</v>
      </c>
      <c r="I93" s="7870"/>
      <c r="J93" s="7451">
        <f t="shared" si="21"/>
        <v>187.82</v>
      </c>
      <c r="K93" s="7867"/>
      <c r="L93" s="1676">
        <v>0</v>
      </c>
      <c r="M93" s="7871"/>
      <c r="N93" s="7452">
        <f t="shared" si="0"/>
        <v>187.82</v>
      </c>
      <c r="O93" s="7867"/>
      <c r="P93" s="1676">
        <v>114.91200000000001</v>
      </c>
      <c r="Q93" s="7872"/>
      <c r="R93" s="7451">
        <f t="shared" si="22"/>
        <v>302.73199999999997</v>
      </c>
      <c r="S93" s="7867"/>
      <c r="T93" s="1676">
        <v>209.304</v>
      </c>
      <c r="U93" s="7870"/>
      <c r="V93" s="7451">
        <f t="shared" si="23"/>
        <v>512.03599999999994</v>
      </c>
      <c r="W93" s="7867"/>
      <c r="X93" s="1676">
        <v>96.444000000000003</v>
      </c>
      <c r="Y93" s="7871"/>
      <c r="Z93" s="7452">
        <f t="shared" si="24"/>
        <v>420.66</v>
      </c>
      <c r="AA93" s="7873"/>
      <c r="AB93" s="7454">
        <f t="shared" si="25"/>
        <v>608.4799999999999</v>
      </c>
      <c r="AC93" s="7867"/>
      <c r="AD93" s="1676">
        <v>0</v>
      </c>
      <c r="AE93" s="7870"/>
      <c r="AF93" s="1823">
        <f t="shared" ref="AF93" si="29">+AB93+AD93</f>
        <v>608.4799999999999</v>
      </c>
      <c r="AG93" s="7867"/>
      <c r="AH93" s="1676">
        <v>51.29</v>
      </c>
      <c r="AI93" s="7870"/>
      <c r="AJ93" s="7451">
        <f t="shared" si="26"/>
        <v>659.76999999999987</v>
      </c>
      <c r="AK93" s="7867"/>
      <c r="AL93" s="1675">
        <v>0</v>
      </c>
      <c r="AM93" s="7871"/>
      <c r="AN93" s="7452">
        <f t="shared" si="27"/>
        <v>51.29</v>
      </c>
      <c r="AO93" s="7870"/>
      <c r="AP93" s="7451">
        <f t="shared" si="28"/>
        <v>659.76999999999987</v>
      </c>
      <c r="AQ93" s="7867"/>
      <c r="AR93" s="1675">
        <f>46.748-14.364</f>
        <v>32.384</v>
      </c>
      <c r="AS93" s="7870"/>
      <c r="AT93" s="7451">
        <f t="shared" si="18"/>
        <v>692.15399999999988</v>
      </c>
      <c r="AU93" s="7867"/>
      <c r="AV93" s="1675">
        <f>8.096</f>
        <v>8.0960000000000001</v>
      </c>
      <c r="AW93" s="7870"/>
      <c r="AX93" s="7451">
        <f t="shared" si="19"/>
        <v>700.24999999999989</v>
      </c>
      <c r="AY93" s="7867"/>
      <c r="AZ93" s="1675">
        <v>75.456000000000003</v>
      </c>
      <c r="BA93" s="7871"/>
      <c r="BB93" s="7452">
        <f t="shared" si="16"/>
        <v>115.93600000000001</v>
      </c>
      <c r="BC93" s="7871"/>
      <c r="BD93" s="7452">
        <f t="shared" si="17"/>
        <v>167.226</v>
      </c>
      <c r="BE93" s="7873"/>
      <c r="BF93" s="6531">
        <f t="shared" si="20"/>
        <v>775.7059999999999</v>
      </c>
    </row>
    <row r="94" spans="2:58" ht="17" thickBot="1" x14ac:dyDescent="0.25">
      <c r="B94" s="6295" t="s">
        <v>795</v>
      </c>
      <c r="C94" s="7458"/>
      <c r="D94" s="1749" t="s">
        <v>170</v>
      </c>
      <c r="E94" s="2319">
        <f>+'Maj Prod Summ'!D28</f>
        <v>14366.399999999998</v>
      </c>
      <c r="F94" s="1677">
        <f>SUM(F7:F93)</f>
        <v>14366.4</v>
      </c>
      <c r="G94" s="2319">
        <f>+'Maj Prod Summ'!F28</f>
        <v>17668</v>
      </c>
      <c r="H94" s="1677">
        <f>SUM(H7:H93)</f>
        <v>17667.72</v>
      </c>
      <c r="I94" s="2784">
        <f>+E94+G94</f>
        <v>32034.399999999998</v>
      </c>
      <c r="J94" s="1914">
        <f>SUM(J7:J93)</f>
        <v>32034.12</v>
      </c>
      <c r="K94" s="2319">
        <f>+'Maj Prod Summ'!J28</f>
        <v>35910</v>
      </c>
      <c r="L94" s="1677">
        <f>SUM(L7:L93)</f>
        <v>31338.144</v>
      </c>
      <c r="M94" s="2951">
        <f>+I94+K94</f>
        <v>67944.399999999994</v>
      </c>
      <c r="N94" s="2071">
        <f>SUM(N7:N93)</f>
        <v>63372.26400000001</v>
      </c>
      <c r="O94" s="2319">
        <f>+'Maj Prod Summ'!N28</f>
        <v>35000</v>
      </c>
      <c r="P94" s="1677">
        <f>SUM(P7:P93)</f>
        <v>32647.335999999996</v>
      </c>
      <c r="Q94" s="2784">
        <f>+M94+O94</f>
        <v>102944.4</v>
      </c>
      <c r="R94" s="1914">
        <f>SUM(R7:R93)</f>
        <v>96019.60000000002</v>
      </c>
      <c r="S94" s="2319">
        <f>+'Maj Prod Summ'!R28</f>
        <v>35000</v>
      </c>
      <c r="T94" s="2319">
        <f>+'Maj Prod Summ'!S28</f>
        <v>34032.42</v>
      </c>
      <c r="U94" s="2784">
        <f>+Q94+S94</f>
        <v>137944.4</v>
      </c>
      <c r="V94" s="1914">
        <f>SUM(V7:V93)</f>
        <v>130052.02000000002</v>
      </c>
      <c r="W94" s="2319">
        <f>+'Maj Prod Summ'!V28</f>
        <v>32000</v>
      </c>
      <c r="X94" s="1677">
        <f>+'Maj Prod Summ'!W28</f>
        <v>27037.867999999995</v>
      </c>
      <c r="Y94" s="2951">
        <f>+O94+S94+W94</f>
        <v>102000</v>
      </c>
      <c r="Z94" s="2071">
        <f>SUM(Z7:Z93)</f>
        <v>93717.594000000012</v>
      </c>
      <c r="AA94" s="6511">
        <f>+U94+W94</f>
        <v>169944.4</v>
      </c>
      <c r="AB94" s="6630">
        <f>SUM(AB7:AB93)</f>
        <v>157089.85800000001</v>
      </c>
      <c r="AC94" s="2319">
        <f>+'Maj Prod Summ'!AB28</f>
        <v>40000</v>
      </c>
      <c r="AD94" s="2319">
        <f>+'Maj Prod Summ'!AC28</f>
        <v>26925.815999999995</v>
      </c>
      <c r="AE94" s="2784">
        <f>+AA94+AC94</f>
        <v>209944.4</v>
      </c>
      <c r="AF94" s="1914">
        <f>SUM(AF7:AF93)</f>
        <v>184015.67399999997</v>
      </c>
      <c r="AG94" s="2319">
        <f>+'Maj Prod Summ'!AF28</f>
        <v>45249.811321000008</v>
      </c>
      <c r="AH94" s="2319">
        <f>SUM(AH7:AH93)</f>
        <v>32756.972000000002</v>
      </c>
      <c r="AI94" s="2784">
        <f>+AE94+AG94</f>
        <v>255194.21132100001</v>
      </c>
      <c r="AJ94" s="1914">
        <f>SUM(AJ7:AJ93)</f>
        <v>216772.64599999998</v>
      </c>
      <c r="AK94" s="2319">
        <f>+'Maj Prod Summ'!AJ28</f>
        <v>46294.037736100006</v>
      </c>
      <c r="AL94" s="2319">
        <f>SUM(AL7:AL93)</f>
        <v>34721.176000000007</v>
      </c>
      <c r="AM94" s="2951">
        <f>+AC94+AG94+AK94</f>
        <v>131543.84905710001</v>
      </c>
      <c r="AN94" s="2071">
        <f>SUM(AN7:AN93)</f>
        <v>94403.963999999964</v>
      </c>
      <c r="AO94" s="2784">
        <f>+AI94+AK94</f>
        <v>301488.24905710004</v>
      </c>
      <c r="AP94" s="1914">
        <f>SUM(AP7:AP93)</f>
        <v>251493.82199999996</v>
      </c>
      <c r="AQ94" s="2319">
        <f>+'Maj Prod Summ'!AP28</f>
        <v>46294.037736100006</v>
      </c>
      <c r="AR94" s="2319">
        <f>SUM(AR7:AR93)</f>
        <v>36021.128000000019</v>
      </c>
      <c r="AS94" s="2784">
        <f>+AO94+AQ94</f>
        <v>347782.28679320007</v>
      </c>
      <c r="AT94" s="1914">
        <f>SUM(AT7:AT93)</f>
        <v>287514.95000000013</v>
      </c>
      <c r="AU94" s="2319">
        <f>+'Maj Prod Summ'!AT28</f>
        <v>41769</v>
      </c>
      <c r="AV94" s="2319">
        <f>SUM(AV7:AV93)</f>
        <v>31000.401999999998</v>
      </c>
      <c r="AW94" s="2784">
        <f>+AS94+AU94</f>
        <v>389551.28679320007</v>
      </c>
      <c r="AX94" s="1914">
        <f>SUM(AX7:AX93)</f>
        <v>318515.35200000013</v>
      </c>
      <c r="AY94" s="2319">
        <f>+'Maj Prod Summ'!AX28</f>
        <v>46414.675000000003</v>
      </c>
      <c r="AZ94" s="2319">
        <f>SUM(AZ7:AZ93)</f>
        <v>38002.82</v>
      </c>
      <c r="BA94" s="2951">
        <f>+AQ94+AU94+AY94</f>
        <v>134477.71273610002</v>
      </c>
      <c r="BB94" s="2071">
        <f>SUM(BB7:BB93)</f>
        <v>105024.34999999999</v>
      </c>
      <c r="BC94" s="2951"/>
      <c r="BD94" s="2071">
        <f t="shared" si="17"/>
        <v>199428.31399999995</v>
      </c>
      <c r="BE94" s="6511">
        <f>+AW94+AY94</f>
        <v>435965.96179320005</v>
      </c>
      <c r="BF94" s="6630">
        <f>SUM(BF7:BF93)</f>
        <v>356518.17200000008</v>
      </c>
    </row>
    <row r="95" spans="2:58" s="6289" customFormat="1" ht="17" thickBot="1" x14ac:dyDescent="0.25">
      <c r="B95" s="6296" t="s">
        <v>2166</v>
      </c>
      <c r="C95" s="6296"/>
      <c r="D95" s="6297" t="s">
        <v>170</v>
      </c>
      <c r="E95" s="2319"/>
      <c r="F95" s="5955">
        <f>+F94-F96</f>
        <v>14217.359999999999</v>
      </c>
      <c r="G95" s="2319"/>
      <c r="H95" s="5955">
        <f>+H94-H96</f>
        <v>17330.79</v>
      </c>
      <c r="I95" s="2784"/>
      <c r="J95" s="1914">
        <f>+J94-J96</f>
        <v>31548.149999999998</v>
      </c>
      <c r="K95" s="2319"/>
      <c r="L95" s="5955">
        <f>+L94-L96</f>
        <v>30808.727999999999</v>
      </c>
      <c r="M95" s="2951"/>
      <c r="N95" s="2071">
        <f>+N94-N96</f>
        <v>62356.878000000012</v>
      </c>
      <c r="O95" s="1750"/>
      <c r="P95" s="5955">
        <f>+P94-P96</f>
        <v>32147.295999999995</v>
      </c>
      <c r="Q95" s="2784"/>
      <c r="R95" s="1914">
        <f>+R94-R96</f>
        <v>94504.174000000014</v>
      </c>
      <c r="S95" s="1750"/>
      <c r="T95" s="5955">
        <f>+T94-T96</f>
        <v>33303.96</v>
      </c>
      <c r="U95" s="2784"/>
      <c r="V95" s="1914">
        <f>+V94-V96</f>
        <v>127808.13400000002</v>
      </c>
      <c r="W95" s="1750"/>
      <c r="X95" s="5955">
        <f>+X94-X96</f>
        <v>26723.893999999997</v>
      </c>
      <c r="Y95" s="2951"/>
      <c r="Z95" s="2071">
        <f>+Z94-Z96</f>
        <v>92175.12000000001</v>
      </c>
      <c r="AA95" s="6511"/>
      <c r="AB95" s="6630">
        <f>+AB94-AB96</f>
        <v>154531.99800000002</v>
      </c>
      <c r="AC95" s="1750"/>
      <c r="AD95" s="5955">
        <f>+AD94-AD96</f>
        <v>26603.641999999996</v>
      </c>
      <c r="AE95" s="2784"/>
      <c r="AF95" s="1914">
        <f>+AF94-AF96</f>
        <v>181135.63999999996</v>
      </c>
      <c r="AG95" s="1750"/>
      <c r="AH95" s="5955">
        <f>+AH94-AH96</f>
        <v>32406.118000000002</v>
      </c>
      <c r="AI95" s="2784"/>
      <c r="AJ95" s="1914">
        <f>+AJ94-AJ96</f>
        <v>213541.75799999997</v>
      </c>
      <c r="AK95" s="1750"/>
      <c r="AL95" s="5955">
        <f>+AL94-AL96</f>
        <v>34481.15800000001</v>
      </c>
      <c r="AM95" s="2951"/>
      <c r="AN95" s="2071">
        <f>+AN94-AN96</f>
        <v>93490.917999999961</v>
      </c>
      <c r="AO95" s="2784"/>
      <c r="AP95" s="1914">
        <f>+AP94-AP96</f>
        <v>248022.91599999997</v>
      </c>
      <c r="AQ95" s="1750"/>
      <c r="AR95" s="5955">
        <f>+AR94-AR96</f>
        <v>35650.686000000016</v>
      </c>
      <c r="AS95" s="2784"/>
      <c r="AT95" s="1914">
        <f>+AT94-AT96</f>
        <v>283673.60200000013</v>
      </c>
      <c r="AU95" s="1750"/>
      <c r="AV95" s="5955">
        <f>+AV94-AV96</f>
        <v>30880.985999999997</v>
      </c>
      <c r="AW95" s="2784"/>
      <c r="AX95" s="1914">
        <f>+AX94-AX96</f>
        <v>314554.58800000011</v>
      </c>
      <c r="AY95" s="1750"/>
      <c r="AZ95" s="5955">
        <f>+AZ94-AZ96</f>
        <v>37583.078000000001</v>
      </c>
      <c r="BA95" s="2951"/>
      <c r="BB95" s="2071">
        <f>+BB94-BB96</f>
        <v>104114.74999999999</v>
      </c>
      <c r="BC95" s="2951"/>
      <c r="BD95" s="2071">
        <f t="shared" si="17"/>
        <v>197605.66799999995</v>
      </c>
      <c r="BE95" s="6511"/>
      <c r="BF95" s="6630">
        <f>+BF94-BF96</f>
        <v>352137.66600000008</v>
      </c>
    </row>
    <row r="96" spans="2:58" s="6289" customFormat="1" ht="17" thickBot="1" x14ac:dyDescent="0.25">
      <c r="B96" s="6296" t="s">
        <v>2165</v>
      </c>
      <c r="C96" s="6296"/>
      <c r="D96" s="6297" t="s">
        <v>170</v>
      </c>
      <c r="E96" s="2319"/>
      <c r="F96" s="5955">
        <f>+SUM(F81:F93)</f>
        <v>149.04000000000002</v>
      </c>
      <c r="G96" s="2319"/>
      <c r="H96" s="5955">
        <f>+SUM(H81:H93)</f>
        <v>336.93</v>
      </c>
      <c r="I96" s="2784"/>
      <c r="J96" s="1914">
        <f>+SUM(J81:J93)</f>
        <v>485.96999999999997</v>
      </c>
      <c r="K96" s="2319"/>
      <c r="L96" s="5955">
        <f>+SUM(L81:L93)</f>
        <v>529.41599999999994</v>
      </c>
      <c r="M96" s="2951"/>
      <c r="N96" s="2071">
        <f>+SUM(N81:N93)</f>
        <v>1015.386</v>
      </c>
      <c r="O96" s="1750"/>
      <c r="P96" s="5955">
        <f>+SUM(P81:P93)</f>
        <v>500.03999999999996</v>
      </c>
      <c r="Q96" s="2784"/>
      <c r="R96" s="1914">
        <f>+SUM(R81:R93)</f>
        <v>1515.4259999999999</v>
      </c>
      <c r="S96" s="1750"/>
      <c r="T96" s="5955">
        <f>+SUM(T81:T93)</f>
        <v>728.45999999999992</v>
      </c>
      <c r="U96" s="2784"/>
      <c r="V96" s="1914">
        <f>+SUM(V81:V93)</f>
        <v>2243.886</v>
      </c>
      <c r="W96" s="1750"/>
      <c r="X96" s="5955">
        <f>+SUM(X81:X93)</f>
        <v>313.97399999999999</v>
      </c>
      <c r="Y96" s="2951"/>
      <c r="Z96" s="2071">
        <f>+SUM(Z81:Z93)</f>
        <v>1542.4740000000002</v>
      </c>
      <c r="AA96" s="6511"/>
      <c r="AB96" s="6630">
        <f>+SUM(AB81:AB93)</f>
        <v>2557.86</v>
      </c>
      <c r="AC96" s="1750"/>
      <c r="AD96" s="5955">
        <f>+SUM(AD81:AD93)</f>
        <v>322.17399999999998</v>
      </c>
      <c r="AE96" s="2784"/>
      <c r="AF96" s="1914">
        <f>+SUM(AF81:AF93)</f>
        <v>2880.0340000000001</v>
      </c>
      <c r="AG96" s="1750"/>
      <c r="AH96" s="5955">
        <f>+SUM(AH81:AH93)</f>
        <v>350.85399999999998</v>
      </c>
      <c r="AI96" s="2784"/>
      <c r="AJ96" s="1914">
        <f>+SUM(AJ81:AJ93)</f>
        <v>3230.8879999999999</v>
      </c>
      <c r="AK96" s="1750"/>
      <c r="AL96" s="5955">
        <f>+SUM(AL81:AL93)</f>
        <v>240.01799999999997</v>
      </c>
      <c r="AM96" s="2951"/>
      <c r="AN96" s="2071">
        <f>+SUM(AN81:AN93)</f>
        <v>913.04599999999994</v>
      </c>
      <c r="AO96" s="2784"/>
      <c r="AP96" s="1914">
        <f>+SUM(AP81:AP93)</f>
        <v>3470.9059999999995</v>
      </c>
      <c r="AQ96" s="1750"/>
      <c r="AR96" s="5955">
        <f>+SUM(AR81:AR93)</f>
        <v>370.44200000000001</v>
      </c>
      <c r="AS96" s="2784"/>
      <c r="AT96" s="1914">
        <f>+SUM(AT81:AT93)</f>
        <v>3841.348</v>
      </c>
      <c r="AU96" s="1750"/>
      <c r="AV96" s="5955">
        <f>+SUM(AV81:AV93)</f>
        <v>119.41600000000001</v>
      </c>
      <c r="AW96" s="2784"/>
      <c r="AX96" s="1914">
        <f>+SUM(AX81:AX93)</f>
        <v>3960.7640000000001</v>
      </c>
      <c r="AY96" s="1750"/>
      <c r="AZ96" s="5955">
        <f>+SUM(AZ81:AZ93)</f>
        <v>419.74200000000002</v>
      </c>
      <c r="BA96" s="2951"/>
      <c r="BB96" s="2071">
        <f>+SUM(BB81:BB93)</f>
        <v>909.6</v>
      </c>
      <c r="BC96" s="2951"/>
      <c r="BD96" s="2071">
        <f t="shared" si="17"/>
        <v>1822.646</v>
      </c>
      <c r="BE96" s="6511"/>
      <c r="BF96" s="6630">
        <f>+SUM(BF81:BF93)</f>
        <v>4380.5060000000003</v>
      </c>
    </row>
    <row r="97" spans="2:58" ht="17" thickBot="1" x14ac:dyDescent="0.25">
      <c r="B97" s="8393" t="s">
        <v>810</v>
      </c>
      <c r="C97" s="8394"/>
      <c r="D97" s="8395" t="s">
        <v>169</v>
      </c>
      <c r="E97" s="8396">
        <f t="shared" ref="E97:AF97" si="30">+E94/E5*100</f>
        <v>95.03718099999999</v>
      </c>
      <c r="F97" s="8397">
        <f t="shared" si="30"/>
        <v>95.037180955253859</v>
      </c>
      <c r="G97" s="2685">
        <f t="shared" si="30"/>
        <v>95.693366999999995</v>
      </c>
      <c r="H97" s="1681">
        <f t="shared" si="30"/>
        <v>95.693367333867855</v>
      </c>
      <c r="I97" s="2792">
        <f t="shared" si="30"/>
        <v>95.397971473063393</v>
      </c>
      <c r="J97" s="1826">
        <f t="shared" si="30"/>
        <v>95.397969061858262</v>
      </c>
      <c r="K97" s="1794">
        <f t="shared" si="30"/>
        <v>95</v>
      </c>
      <c r="L97" s="1681">
        <f t="shared" si="30"/>
        <v>95.952244183101826</v>
      </c>
      <c r="M97" s="2955">
        <f t="shared" si="30"/>
        <v>95.187220920508139</v>
      </c>
      <c r="N97" s="2014">
        <f t="shared" si="30"/>
        <v>95.671260353549243</v>
      </c>
      <c r="O97" s="2685">
        <f t="shared" si="30"/>
        <v>96.2</v>
      </c>
      <c r="P97" s="1681">
        <f t="shared" si="30"/>
        <v>95.933723752272002</v>
      </c>
      <c r="Q97" s="2792">
        <f t="shared" si="30"/>
        <v>95.529153827286237</v>
      </c>
      <c r="R97" s="1826">
        <f t="shared" si="30"/>
        <v>95.760338459654363</v>
      </c>
      <c r="S97" s="2685">
        <f t="shared" si="30"/>
        <v>96.2</v>
      </c>
      <c r="T97" s="1681">
        <f t="shared" si="30"/>
        <v>95.958678726881558</v>
      </c>
      <c r="U97" s="2792">
        <f t="shared" si="30"/>
        <v>95.698477184694895</v>
      </c>
      <c r="V97" s="1826">
        <f t="shared" si="30"/>
        <v>95.812161513617994</v>
      </c>
      <c r="W97" s="2685">
        <f t="shared" si="30"/>
        <v>96.2</v>
      </c>
      <c r="X97" s="1681">
        <f t="shared" si="30"/>
        <v>95.464088443436239</v>
      </c>
      <c r="Y97" s="2955">
        <f t="shared" si="30"/>
        <v>96.2</v>
      </c>
      <c r="Z97" s="2014">
        <f t="shared" si="30"/>
        <v>95.806762980015634</v>
      </c>
      <c r="AA97" s="6605">
        <f t="shared" si="30"/>
        <v>95.792512353042696</v>
      </c>
      <c r="AB97" s="6597">
        <f t="shared" si="30"/>
        <v>95.752053147076111</v>
      </c>
      <c r="AC97" s="2685">
        <f t="shared" si="30"/>
        <v>96.5</v>
      </c>
      <c r="AD97" s="1681">
        <f t="shared" si="30"/>
        <v>94.481748837330699</v>
      </c>
      <c r="AE97" s="2792">
        <f t="shared" si="30"/>
        <v>95.926506513775038</v>
      </c>
      <c r="AF97" s="1826">
        <f t="shared" si="30"/>
        <v>95.56404856010019</v>
      </c>
      <c r="AG97" s="2685">
        <f t="shared" ref="AG97:AP97" si="31">+AG94/AG5*100</f>
        <v>96.5</v>
      </c>
      <c r="AH97" s="1681">
        <f t="shared" si="31"/>
        <v>93.615295363982668</v>
      </c>
      <c r="AI97" s="2792">
        <f t="shared" si="31"/>
        <v>96.027697923818096</v>
      </c>
      <c r="AJ97" s="1826">
        <f t="shared" si="31"/>
        <v>95.26438091927443</v>
      </c>
      <c r="AK97" s="2685">
        <f t="shared" si="31"/>
        <v>96.5</v>
      </c>
      <c r="AL97" s="1681">
        <f t="shared" si="31"/>
        <v>94.154124484837524</v>
      </c>
      <c r="AM97" s="2955">
        <f t="shared" si="31"/>
        <v>96.5</v>
      </c>
      <c r="AN97" s="2014">
        <f t="shared" si="31"/>
        <v>94.059297812062326</v>
      </c>
      <c r="AO97" s="2792">
        <f t="shared" si="31"/>
        <v>96.099920044972436</v>
      </c>
      <c r="AP97" s="1826">
        <f t="shared" si="31"/>
        <v>95.109543774896792</v>
      </c>
      <c r="AQ97" s="2685">
        <f t="shared" ref="AQ97:AT97" si="32">+AQ94/AQ5*100</f>
        <v>96.5</v>
      </c>
      <c r="AR97" s="1681">
        <f t="shared" si="32"/>
        <v>94.308552368472576</v>
      </c>
      <c r="AS97" s="2792">
        <f t="shared" si="32"/>
        <v>96.152984028400098</v>
      </c>
      <c r="AT97" s="1826">
        <f t="shared" si="32"/>
        <v>95.008447331841722</v>
      </c>
      <c r="AU97" s="2685">
        <f t="shared" ref="AU97:AX97" si="33">+AU94/AU5*100</f>
        <v>96.499861380648738</v>
      </c>
      <c r="AV97" s="1681">
        <f t="shared" si="33"/>
        <v>94.434107597679841</v>
      </c>
      <c r="AW97" s="2792">
        <f t="shared" si="33"/>
        <v>96.190057979871199</v>
      </c>
      <c r="AX97" s="1826">
        <f t="shared" si="33"/>
        <v>94.952241399116616</v>
      </c>
      <c r="AY97" s="2685">
        <f t="shared" ref="AY97:BF97" si="34">+AY94/AY5*100</f>
        <v>96.500218304295402</v>
      </c>
      <c r="AZ97" s="1681">
        <f t="shared" si="34"/>
        <v>95.011220992601579</v>
      </c>
      <c r="BA97" s="2955">
        <f t="shared" si="34"/>
        <v>96.500032291607027</v>
      </c>
      <c r="BB97" s="2014">
        <f t="shared" si="34"/>
        <v>94.598833027338003</v>
      </c>
      <c r="BC97" s="2955"/>
      <c r="BD97" s="2014">
        <f t="shared" si="34"/>
        <v>94.342662239315658</v>
      </c>
      <c r="BE97" s="6605">
        <f t="shared" si="34"/>
        <v>96.222984019632065</v>
      </c>
      <c r="BF97" s="6597">
        <f t="shared" si="34"/>
        <v>94.958524803176928</v>
      </c>
    </row>
    <row r="98" spans="2:58" s="3380" customFormat="1" x14ac:dyDescent="0.2">
      <c r="B98" s="6030" t="s">
        <v>2151</v>
      </c>
      <c r="C98" s="6577"/>
      <c r="D98" s="7281" t="s">
        <v>170</v>
      </c>
      <c r="E98" s="3444"/>
      <c r="F98" s="6031">
        <f>+F8+F19+F20+F30+F41+F42+F43+F44+F45+F50+F51+F52+F53+F54+F55+F56+F57+F59+F61+F68+F69+F70+F72+F75+F76+F77+F78+F79+F7+F11+F15+F18+F38+F67+F71+F73+F21+F28+F31+F48+F22+F23+F24+F25+F33+F34+F35+F36+F37+F49+F60+F9+F10+F12+F13+F14+F16+F17+F58+F74</f>
        <v>11736.98</v>
      </c>
      <c r="G98" s="3444"/>
      <c r="H98" s="6031">
        <f>+H8+H19+H20+H30+H41+H42+H43+H44+H45+H50+H51+H52+H53+H54+H55+H56+H57+H59+H61+H68+H69+H70+H72+H75+H76+H77+H78+H79+H7+H11+H15+H18+H38+H67+H71+H73+H21+H28+H31+H48+H22+H23+H24+H25+H33+H34+H35+H36+H37+H49+H60+H9+H10+H12+H13+H14+H16+H17+H58+H74</f>
        <v>13493.449999999999</v>
      </c>
      <c r="I98" s="5075"/>
      <c r="J98" s="6031">
        <f>+J8+J19+J20+J30+J41+J42+J43+J44+J45+J50+J51+J52+J53+J54+J55+J56+J57+J59+J61+J68+J69+J70+J72+J75+J76+J77+J78+J79+J7+J11+J15+J18+J38+J67+J71+J73+J21+J28+J31+J48+J22+J23+J24+J25+J33+J34+J35+J36+J37+J49+J60+J9+J10+J12+J13+J14+J16+J17+J58+J74</f>
        <v>25230.429999999997</v>
      </c>
      <c r="K98" s="5075"/>
      <c r="L98" s="6031">
        <f>+L8+L19+L20+L30+L41+L42+L43+L44+L45+L50+L51+L52+L53+L54+L55+L56+L57+L59+L61+L68+L69+L70+L72+L75+L76+L77+L78+L79+L7+L11+L15+L18+L38+L67+L71+L73+L21+L28+L31+L48+L22+L23+L24+L25+L33+L34+L35+L36+L37+L49+L60+L9+L10+L12+L13+L14+L16+L17+L58+L74</f>
        <v>18833.256000000001</v>
      </c>
      <c r="M98" s="5075"/>
      <c r="N98" s="6031">
        <f>+N8+N19+N20+N30+N41+N42+N43+N44+N45+N50+N51+N52+N53+N54+N55+N56+N57+N59+N61+N68+N69+N70+N72+N75+N76+N77+N78+N79+N7+N11+N15+N18+N38+N67+N71+N73+N21+N28+N31+N48+N22+N23+N24+N25+N33+N34+N35+N36+N37+N49+N60+N9+N10+N12+N13+N14+N16+N17+N58+N74</f>
        <v>44063.686000000002</v>
      </c>
      <c r="O98" s="3444"/>
      <c r="P98" s="6031">
        <f>+P8+P19+P20+P30+P41+P42+P43+P44+P45+P50+P51+P52+P53+P54+P55+P56+P57+P59+P61+P68+P69+P70+P72+P75+P76+P77+P78+P79+P7+P11+P15+P18+P38+P67+P71+P73+P21+P28+P31+P48+P22+P23+P24+P25+P33+P34+P35+P36+P37+P49+P60+P9+P10+P12+P13+P14+P16+P17+P58+P74</f>
        <v>20963.894</v>
      </c>
      <c r="Q98" s="5075"/>
      <c r="R98" s="6031">
        <f>+R8+R19+R20+R30+R41+R42+R43+R44+R45+R50+R51+R52+R53+R54+R55+R56+R57+R59+R61+R68+R69+R70+R72+R75+R76+R77+R78+R79+R7+R11+R15+R18+R38+R67+R71+R73+R21+R28+R31+R48+R22+R23+R24+R25+R33+R34+R35+R36+R37+R49+R60+R9+R10+R12+R13+R14+R16+R17+R58+R74</f>
        <v>65027.579999999994</v>
      </c>
      <c r="S98" s="3444"/>
      <c r="T98" s="6031">
        <f>+T8+T19+T20+T30+T41+T42+T43+T44+T45+T50+T51+T52+T53+T54+T55+T56+T57+T59+T61+T68+T69+T70+T72+T75+T76+T77+T78+T79+T7+T11+T15+T18+T38+T67+T71+T73+T21+T28+T31+T48+T22+T23+T24+T25+T33+T34+T35+T36+T37+T49+T60+T9+T10+T12+T13+T14+T16+T17+T58+T74</f>
        <v>25584.335999999996</v>
      </c>
      <c r="U98" s="5075"/>
      <c r="V98" s="6031">
        <f>+V8+V19+V20+V30+V41+V42+V43+V44+V45+V50+V51+V52+V53+V54+V55+V56+V57+V59+V61+V68+V69+V70+V72+V75+V76+V77+V78+V79+V7+V11+V15+V18+V38+V67+V71+V73+V21+V28+V31+V48+V22+V23+V24+V25+V33+V34+V35+V36+V37+V49+V60+V9+V10+V12+V13+V14+V16+V17+V58+V74</f>
        <v>90611.915999999983</v>
      </c>
      <c r="W98" s="3444"/>
      <c r="X98" s="6031">
        <f>+X8+X19+X20+X30+X41+X42+X43+X44+X45+X50+X51+X52+X53+X54+X55+X56+X57+X59+X61+X68+X69+X70+X72+X75+X76+X77+X78+X79+X7+X11+X15+X18+X38+X67+X71+X73+X21+X28+X31+X48+X22+X23+X24+X25+X33+X34+X35+X36+X37+X49+X60+X9+X10+X12+X13+X14+X16+X17+X58+X74</f>
        <v>21464.588</v>
      </c>
      <c r="Y98" s="5075"/>
      <c r="Z98" s="6031">
        <f>+Z8+Z19+Z20+Z30+Z41+Z42+Z43+Z44+Z45+Z50+Z51+Z52+Z53+Z54+Z55+Z56+Z57+Z59+Z61+Z68+Z69+Z70+Z72+Z75+Z76+Z77+Z78+Z79+Z7+Z11+Z15+Z18+Z38+Z67+Z71+Z73+Z21+Z28+Z31+Z48+Z22+Z23+Z24+Z25+Z33+Z34+Z35+Z36+Z37+Z49+Z60+Z9+Z10+Z12+Z13+Z14+Z16+Z17+Z58+Z74</f>
        <v>68012.817999999985</v>
      </c>
      <c r="AA98" s="5075"/>
      <c r="AB98" s="6031">
        <f>+AB8+AB19+AB20+AB30+AB41+AB42+AB43+AB44+AB45+AB50+AB51+AB52+AB53+AB54+AB55+AB56+AB57+AB59+AB61+AB68+AB69+AB70+AB72+AB75+AB76+AB77+AB78+AB79+AB7+AB11+AB15+AB18+AB38+AB67+AB71+AB73+AB21+AB28+AB31+AB48+AB22+AB23+AB24+AB25+AB33+AB34+AB35+AB36+AB37+AB49+AB60+AB9+AB10+AB12+AB13+AB14+AB16+AB17+AB58+AB74</f>
        <v>112076.504</v>
      </c>
      <c r="AC98" s="3444"/>
      <c r="AD98" s="6031">
        <f>+AD8+AD19+AD20+AD30+AD41+AD42+AD43+AD44+AD45+AD50+AD51+AD52+AD53+AD54+AD55+AD56+AD57+AD59+AD61+AD68+AD69+AD70+AD72+AD75+AD76+AD77+AD78+AD79+AD7+AD11+AD15+AD18+AD38+AD67+AD71+AD73+AD21+AD28+AD31+AD48+AD22+AD23+AD24+AD25+AD33+AD34+AD35+AD36+AD37+AD49+AD60+AD9+AD10+AD12+AD13+AD14+AD16+AD17+AD58+AD74</f>
        <v>22731.518</v>
      </c>
      <c r="AE98" s="5075"/>
      <c r="AF98" s="6031">
        <f>+AF8+AF19+AF20+AF30+AF41+AF42+AF43+AF44+AF45+AF50+AF51+AF52+AF53+AF54+AF55+AF56+AF57+AF59+AF61+AF68+AF69+AF70+AF72+AF75+AF76+AF77+AF78+AF79+AF7+AF11+AF15+AF18+AF38+AF67+AF71+AF73+AF21+AF28+AF31+AF48+AF22+AF23+AF24+AF25+AF33+AF34+AF35+AF36+AF37+AF49+AF60+AF9+AF10+AF12+AF13+AF14+AF16+AF17+AF58+AF74</f>
        <v>134808.022</v>
      </c>
      <c r="AG98" s="3444"/>
      <c r="AH98" s="6031">
        <f>+AH8+AH19+AH20+AH30+AH41+AH42+AH43+AH44+AH45+AH50+AH51+AH52+AH53+AH54+AH55+AH56+AH57+AH59+AH61+AH68+AH69+AH70+AH72+AH75+AH76+AH77+AH78+AH79+AH7+AH11+AH15+AH18+AH38+AH67+AH71+AH73+AH21+AH28+AH31+AH48+AH22+AH23+AH24+AH25+AH33+AH34+AH35+AH36+AH37+AH49+AH60+AH9+AH10+AH12+AH13+AH14+AH16+AH17+AH58+AH74</f>
        <v>32104.618000000002</v>
      </c>
      <c r="AI98" s="5075"/>
      <c r="AJ98" s="6031">
        <f>+AJ8+AJ19+AJ20+AJ30+AJ41+AJ42+AJ43+AJ44+AJ45+AJ50+AJ51+AJ52+AJ53+AJ54+AJ55+AJ56+AJ57+AJ59+AJ61+AJ68+AJ69+AJ70+AJ72+AJ75+AJ76+AJ77+AJ78+AJ79+AJ7+AJ11+AJ15+AJ18+AJ38+AJ67+AJ71+AJ73+AJ21+AJ28+AJ31+AJ48+AJ22+AJ23+AJ24+AJ25+AJ33+AJ34+AJ35+AJ36+AJ37+AJ49+AJ60+AJ9+AJ10+AJ12+AJ13+AJ14+AJ16+AJ17+AJ58+AJ74</f>
        <v>166912.63999999996</v>
      </c>
      <c r="AK98" s="3444"/>
      <c r="AL98" s="6031">
        <f>+AL8+AL19+AL20+AL30+AL41+AL42+AL43+AL44+AL45+AL50+AL51+AL52+AL53+AL54+AL55+AL56+AL57+AL59+AL61+AL68+AL69+AL70+AL72+AL75+AL76+AL77+AL78+AL79+AL7+AL11+AL15+AL18+AL38+AL67+AL71+AL73+AL21+AL28+AL31+AL48+AL22+AL23+AL24+AL25+AL33+AL34+AL35+AL36+AL37+AL49+AL60+AL9+AL10+AL12+AL13+AL14+AL16+AL17+AL58+AL74</f>
        <v>30973.876000000004</v>
      </c>
      <c r="AM98" s="5075"/>
      <c r="AN98" s="6031">
        <f>+AN8+AN19+AN20+AN30+AN41+AN42+AN43+AN44+AN45+AN50+AN51+AN52+AN53+AN54+AN55+AN56+AN57+AN59+AN61+AN68+AN69+AN70+AN72+AN75+AN76+AN77+AN78+AN79+AN7+AN11+AN15+AN18+AN38+AN67+AN71+AN73+AN21+AN28+AN31+AN48+AN22+AN23+AN24+AN25+AN33+AN34+AN35+AN36+AN37+AN49+AN60+AN9+AN10+AN12+AN13+AN14+AN16+AN17+AN58+AN74</f>
        <v>85810.011999999973</v>
      </c>
      <c r="AO98" s="5075"/>
      <c r="AP98" s="6031">
        <f>+AP8+AP19+AP20+AP30+AP41+AP42+AP43+AP44+AP45+AP50+AP51+AP52+AP53+AP54+AP55+AP56+AP57+AP59+AP61+AP68+AP69+AP70+AP72+AP75+AP76+AP77+AP78+AP79+AP7+AP11+AP15+AP18+AP38+AP67+AP71+AP73+AP21+AP28+AP31+AP48+AP22+AP23+AP24+AP25+AP33+AP34+AP35+AP36+AP37+AP49+AP60+AP9+AP10+AP12+AP13+AP14+AP16+AP17+AP58+AP74</f>
        <v>197886.51600000003</v>
      </c>
      <c r="AQ98" s="3444"/>
      <c r="AR98" s="6031">
        <f>+AR8+AR19+AR20+AR30+AR41+AR42+AR43+AR44+AR45+AR50+AR51+AR52+AR53+AR54+AR55+AR56+AR57+AR59+AR61+AR68+AR69+AR70+AR72+AR75+AR76+AR77+AR78+AR79+AR7+AR11+AR15+AR18+AR38+AR67+AR71+AR73+AR21+AR28+AR31+AR48+AR22+AR23+AR24+AR25+AR33+AR34+AR35+AR36+AR37+AR49+AR60+AR9+AR10+AR12+AR13+AR14+AR16+AR17+AR58+AR74</f>
        <v>34887.637999999999</v>
      </c>
      <c r="AS98" s="5075"/>
      <c r="AT98" s="6031">
        <f>+AT8+AT19+AT20+AT30+AT41+AT42+AT43+AT44+AT45+AT50+AT51+AT52+AT53+AT54+AT55+AT56+AT57+AT59+AT61+AT68+AT69+AT70+AT72+AT75+AT76+AT77+AT78+AT79+AT7+AT11+AT15+AT18+AT38+AT67+AT71+AT73+AT21+AT28+AT31+AT48+AT22+AT23+AT24+AT25+AT33+AT34+AT35+AT36+AT37+AT49+AT60+AT9+AT10+AT12+AT13+AT14+AT16+AT17+AT58+AT74</f>
        <v>232774.1540000001</v>
      </c>
      <c r="AU98" s="3444"/>
      <c r="AV98" s="6031">
        <f>+AV8+AV19+AV20+AV30+AV41+AV42+AV43+AV44+AV45+AV50+AV51+AV52+AV53+AV54+AV55+AV56+AV57+AV59+AV61+AV68+AV69+AV70+AV72+AV75+AV76+AV77+AV78+AV79+AV7+AV11+AV15+AV18+AV38+AV67+AV71+AV73+AV21+AV28+AV31+AV48+AV22+AV23+AV24+AV25+AV33+AV34+AV35+AV36+AV37+AV49+AV60+AV9+AV10+AV12+AV13+AV14+AV16+AV17+AV58+AV74</f>
        <v>30549.05</v>
      </c>
      <c r="AW98" s="5075"/>
      <c r="AX98" s="6031">
        <f>+AX8+AX19+AX20+AX30+AX41+AX42+AX43+AX44+AX45+AX50+AX51+AX52+AX53+AX54+AX55+AX56+AX57+AX59+AX61+AX68+AX69+AX70+AX72+AX75+AX76+AX77+AX78+AX79+AX7+AX11+AX15+AX18+AX38+AX67+AX71+AX73+AX21+AX28+AX31+AX48+AX22+AX23+AX24+AX25+AX33+AX34+AX35+AX36+AX37+AX49+AX60+AX9+AX10+AX12+AX13+AX14+AX16+AX17+AX58+AX74</f>
        <v>263323.20400000003</v>
      </c>
      <c r="AY98" s="3444"/>
      <c r="AZ98" s="6031">
        <f>+AZ8+AZ19+AZ20+AZ30+AZ41+AZ42+AZ43+AZ44+AZ45+AZ50+AZ51+AZ52+AZ53+AZ54+AZ55+AZ56+AZ57+AZ59+AZ61+AZ68+AZ69+AZ70+AZ72+AZ75+AZ76+AZ77+AZ78+AZ79+AZ7+AZ11+AZ15+AZ18+AZ38+AZ67+AZ71+AZ73+AZ21+AZ28+AZ31+AZ48+AZ22+AZ23+AZ24+AZ25+AZ33+AZ34+AZ35+AZ36+AZ37+AZ49+AZ60+AZ9+AZ10+AZ12+AZ13+AZ14+AZ16+AZ17+AZ58+AZ74+AZ65</f>
        <v>31032.934000000001</v>
      </c>
      <c r="BA98" s="5075"/>
      <c r="BB98" s="6031">
        <f>+BB8+BB19+BB20+BB30+BB41+BB42+BB43+BB44+BB45+BB50+BB51+BB52+BB53+BB54+BB55+BB56+BB57+BB59+BB61+BB68+BB69+BB70+BB72+BB75+BB76+BB77+BB78+BB79+BB7+BB11+BB15+BB18+BB38+BB67+BB71+BB73+BB21+BB28+BB31+BB48+BB22+BB23+BB24+BB25+BB33+BB34+BB35+BB36+BB37+BB49+BB60+BB9+BB10+BB12+BB13+BB14+BB16+BB17+BB58+BB74</f>
        <v>96457.478000000017</v>
      </c>
      <c r="BC98" s="5075"/>
      <c r="BD98" s="6031">
        <f>+BD8+BD19+BD20+BD30+BD41+BD42+BD43+BD44+BD45+BD50+BD51+BD52+BD53+BD54+BD55+BD56+BD57+BD59+BD61+BD68+BD69+BD70+BD72+BD75+BD76+BD77+BD78+BD79+BD7+BD11+BD15+BD18+BD38+BD67+BD71+BD73+BD21+BD28+BD31+BD48+BD22+BD23+BD24+BD25+BD33+BD34+BD35+BD36+BD37+BD49+BD60+BD9+BD10+BD12+BD13+BD14+BD16+BD17+BD58+BD74</f>
        <v>182267.49000000005</v>
      </c>
      <c r="BE98" s="5075"/>
      <c r="BF98" s="6031">
        <f>+BF8+BF19+BF20+BF30+BF41+BF42+BF43+BF44+BF45+BF50+BF51+BF52+BF53+BF54+BF55+BF56+BF57+BF59+BF61+BF68+BF69+BF70+BF72+BF75+BF76+BF77+BF78+BF79+BF7+BF11+BF15+BF18+BF38+BF67+BF71+BF73+BF21+BF28+BF31+BF48+BF22+BF23+BF24+BF25+BF33+BF34+BF35+BF36+BF37+BF49+BF60+BF9+BF10+BF12+BF13+BF14+BF16+BF17+BF58+BF74</f>
        <v>294343.99400000006</v>
      </c>
    </row>
    <row r="99" spans="2:58" s="3380" customFormat="1" ht="16" thickBot="1" x14ac:dyDescent="0.25">
      <c r="B99" s="6033" t="s">
        <v>2152</v>
      </c>
      <c r="C99" s="7459"/>
      <c r="D99" s="5672" t="s">
        <v>169</v>
      </c>
      <c r="E99" s="6010"/>
      <c r="F99" s="6034">
        <f>+F98/F94</f>
        <v>0.81697432898986522</v>
      </c>
      <c r="G99" s="6010"/>
      <c r="H99" s="6034">
        <f>+H98/H94</f>
        <v>0.76373465280183284</v>
      </c>
      <c r="I99" s="6011"/>
      <c r="J99" s="6034">
        <f>+J98/J94</f>
        <v>0.78761114711438918</v>
      </c>
      <c r="K99" s="6011"/>
      <c r="L99" s="6034">
        <f>+L98/L94</f>
        <v>0.60096909376636987</v>
      </c>
      <c r="M99" s="6011"/>
      <c r="N99" s="6034">
        <f>+N98/N94</f>
        <v>0.69531500405287705</v>
      </c>
      <c r="O99" s="6010"/>
      <c r="P99" s="6034">
        <f>+P98/P94</f>
        <v>0.64213184193650608</v>
      </c>
      <c r="Q99" s="6011"/>
      <c r="R99" s="6034">
        <f>+R98/R94</f>
        <v>0.67723235672716797</v>
      </c>
      <c r="S99" s="6416"/>
      <c r="T99" s="6034">
        <f>+T98/T94</f>
        <v>0.75176364184504063</v>
      </c>
      <c r="U99" s="6417"/>
      <c r="V99" s="6034">
        <f>+V98/V94</f>
        <v>0.69673593689663549</v>
      </c>
      <c r="W99" s="6494"/>
      <c r="X99" s="6034">
        <f>+X98/X94</f>
        <v>0.79387132151100093</v>
      </c>
      <c r="Y99" s="6488"/>
      <c r="Z99" s="6034">
        <f>+Z98/Z94</f>
        <v>0.72572091426077345</v>
      </c>
      <c r="AA99" s="6541"/>
      <c r="AB99" s="6631">
        <f>+AB98/AB94</f>
        <v>0.71345474129844844</v>
      </c>
      <c r="AC99" s="7328"/>
      <c r="AD99" s="6034">
        <f>+AD98/AD94</f>
        <v>0.84422763640663678</v>
      </c>
      <c r="AE99" s="7323"/>
      <c r="AF99" s="6034">
        <f>+AF98/AF94</f>
        <v>0.73258988796791313</v>
      </c>
      <c r="AG99" s="7562"/>
      <c r="AH99" s="6034">
        <f>+AH98/AH94</f>
        <v>0.98008503350065446</v>
      </c>
      <c r="AI99" s="7552"/>
      <c r="AJ99" s="6034">
        <f>+AJ98/AJ94</f>
        <v>0.76998940170707686</v>
      </c>
      <c r="AK99" s="7750"/>
      <c r="AL99" s="6034">
        <f>+AL98/AL94</f>
        <v>0.89207450807541766</v>
      </c>
      <c r="AM99" s="7745"/>
      <c r="AN99" s="6034">
        <f>+AN98/AN94</f>
        <v>0.90896619552967084</v>
      </c>
      <c r="AO99" s="7745"/>
      <c r="AP99" s="6034">
        <f>+AP98/AP94</f>
        <v>0.78684444184875468</v>
      </c>
      <c r="AQ99" s="8082"/>
      <c r="AR99" s="6034">
        <f>+AR98/AR94</f>
        <v>0.96853263451383254</v>
      </c>
      <c r="AS99" s="8081"/>
      <c r="AT99" s="6034">
        <f>+AT98/AT94</f>
        <v>0.80960713173349763</v>
      </c>
      <c r="AU99" s="8154"/>
      <c r="AV99" s="6034">
        <f>+AV98/AV94</f>
        <v>0.98544044686904386</v>
      </c>
      <c r="AW99" s="8153"/>
      <c r="AX99" s="6034">
        <f>+AX98/AX94</f>
        <v>0.82672060340752407</v>
      </c>
      <c r="AY99" s="8272"/>
      <c r="AZ99" s="6034">
        <f>+AZ98/AZ94</f>
        <v>0.81659555790859739</v>
      </c>
      <c r="BA99" s="8270"/>
      <c r="BB99" s="6034">
        <f>+BB98/BB94</f>
        <v>0.91842965940755672</v>
      </c>
      <c r="BC99" s="8270"/>
      <c r="BD99" s="6034">
        <f>+BD98/BD94</f>
        <v>0.91394991184651986</v>
      </c>
      <c r="BE99" s="8275"/>
      <c r="BF99" s="6631">
        <f>+BF98/BF94</f>
        <v>0.82560726806374407</v>
      </c>
    </row>
    <row r="100" spans="2:58" s="3380" customFormat="1" ht="19" thickBot="1" x14ac:dyDescent="0.25">
      <c r="B100" s="4096" t="s">
        <v>185</v>
      </c>
      <c r="C100" s="7460"/>
      <c r="D100" s="4097"/>
      <c r="E100" s="4098"/>
      <c r="F100" s="4099"/>
      <c r="G100" s="4098"/>
      <c r="H100" s="4100"/>
      <c r="I100" s="4101"/>
      <c r="J100" s="4102"/>
      <c r="K100" s="4101"/>
      <c r="L100" s="4102"/>
      <c r="M100" s="4101"/>
      <c r="N100" s="4102"/>
      <c r="O100" s="4101"/>
      <c r="P100" s="4102"/>
      <c r="Q100" s="4101"/>
      <c r="R100" s="4102"/>
      <c r="S100" s="4101"/>
      <c r="T100" s="4102"/>
      <c r="U100" s="4101"/>
      <c r="V100" s="4102"/>
      <c r="W100" s="4101"/>
      <c r="X100" s="4102"/>
      <c r="Y100" s="4101"/>
      <c r="Z100" s="4102"/>
      <c r="AA100" s="4101"/>
      <c r="AB100" s="4102"/>
      <c r="AC100" s="4101"/>
      <c r="AD100" s="4102"/>
      <c r="AE100" s="4101"/>
      <c r="AF100" s="4102"/>
      <c r="AG100" s="4101"/>
      <c r="AH100" s="4102"/>
      <c r="AI100" s="4101"/>
      <c r="AJ100" s="4102"/>
      <c r="AK100" s="4101"/>
      <c r="AL100" s="4102"/>
      <c r="AM100" s="4101"/>
      <c r="AN100" s="4102"/>
      <c r="AO100" s="4101"/>
      <c r="AP100" s="4102"/>
      <c r="AQ100" s="4101"/>
      <c r="AR100" s="4102"/>
      <c r="AS100" s="4101"/>
      <c r="AT100" s="4102"/>
      <c r="AU100" s="4101"/>
      <c r="AV100" s="4102"/>
      <c r="AW100" s="4101"/>
      <c r="AX100" s="4102"/>
      <c r="AY100" s="4101"/>
      <c r="AZ100" s="4102"/>
      <c r="BA100" s="4101"/>
      <c r="BB100" s="4102"/>
      <c r="BC100" s="4101"/>
      <c r="BD100" s="4102"/>
      <c r="BE100" s="4101"/>
      <c r="BF100" s="4102"/>
    </row>
    <row r="101" spans="2:58" x14ac:dyDescent="0.2">
      <c r="B101" s="4103" t="s">
        <v>335</v>
      </c>
      <c r="C101" s="7461"/>
      <c r="D101" s="1554" t="s">
        <v>711</v>
      </c>
      <c r="E101" s="2678">
        <f>+E2*24</f>
        <v>720</v>
      </c>
      <c r="F101" s="3834">
        <v>720</v>
      </c>
      <c r="G101" s="2678">
        <f>+G2*24</f>
        <v>744</v>
      </c>
      <c r="H101" s="2414">
        <v>744</v>
      </c>
      <c r="I101" s="6024">
        <f>+E101+G101</f>
        <v>1464</v>
      </c>
      <c r="J101" s="3193">
        <f>+F101+H101</f>
        <v>1464</v>
      </c>
      <c r="K101" s="2678">
        <f>+K2*24</f>
        <v>720</v>
      </c>
      <c r="L101" s="2414">
        <v>720</v>
      </c>
      <c r="M101" s="6027">
        <f>+I101+K101</f>
        <v>2184</v>
      </c>
      <c r="N101" s="5029">
        <f>+J101+L101</f>
        <v>2184</v>
      </c>
      <c r="O101" s="2678">
        <f>+O2*24</f>
        <v>744</v>
      </c>
      <c r="P101" s="6648">
        <f>+P2*24</f>
        <v>744</v>
      </c>
      <c r="Q101" s="2980">
        <f>+M101+O101</f>
        <v>2928</v>
      </c>
      <c r="R101" s="6290">
        <f>+N101+P101</f>
        <v>2928</v>
      </c>
      <c r="S101" s="2678">
        <f>+S2*24</f>
        <v>744</v>
      </c>
      <c r="T101" s="6648">
        <f>+T2*24</f>
        <v>744</v>
      </c>
      <c r="U101" s="2980">
        <f>+Q101+S101</f>
        <v>3672</v>
      </c>
      <c r="V101" s="6290">
        <f>+R101+T101</f>
        <v>3672</v>
      </c>
      <c r="W101" s="2678">
        <f>+W2*24</f>
        <v>720</v>
      </c>
      <c r="X101" s="6648">
        <f>+X2*24</f>
        <v>720</v>
      </c>
      <c r="Y101" s="4141">
        <f t="shared" ref="Y101:Z105" si="35">+O101+S101+W101</f>
        <v>2208</v>
      </c>
      <c r="Z101" s="2011">
        <f t="shared" si="35"/>
        <v>2208</v>
      </c>
      <c r="AA101" s="6632">
        <f>+U101+W101</f>
        <v>4392</v>
      </c>
      <c r="AB101" s="6633">
        <f>+V101+X101</f>
        <v>4392</v>
      </c>
      <c r="AC101" s="2678">
        <f>+AC2*24</f>
        <v>744</v>
      </c>
      <c r="AD101" s="2678">
        <f>+AD2*24</f>
        <v>744</v>
      </c>
      <c r="AE101" s="2980">
        <f>+AA101+AC101</f>
        <v>5136</v>
      </c>
      <c r="AF101" s="6290">
        <f>+AB101+AD101</f>
        <v>5136</v>
      </c>
      <c r="AG101" s="2678">
        <f>+AG2*24</f>
        <v>720</v>
      </c>
      <c r="AH101" s="2678">
        <f>+AH2*24</f>
        <v>720</v>
      </c>
      <c r="AI101" s="2980">
        <f>+AE101+AG101</f>
        <v>5856</v>
      </c>
      <c r="AJ101" s="6290">
        <f>+AF101+AH101</f>
        <v>5856</v>
      </c>
      <c r="AK101" s="2678">
        <f>+AK2*24</f>
        <v>744</v>
      </c>
      <c r="AL101" s="6648">
        <f>+AL2*24</f>
        <v>744</v>
      </c>
      <c r="AM101" s="4141">
        <f t="shared" ref="AM101" si="36">+AC101+AG101+AK101</f>
        <v>2208</v>
      </c>
      <c r="AN101" s="2011">
        <f t="shared" ref="AN101" si="37">+AD101+AH101+AL101</f>
        <v>2208</v>
      </c>
      <c r="AO101" s="2980">
        <f>+AI101+AK101</f>
        <v>6600</v>
      </c>
      <c r="AP101" s="6290">
        <f>+AJ101+AL101</f>
        <v>6600</v>
      </c>
      <c r="AQ101" s="2678">
        <f>+AQ2*24</f>
        <v>744</v>
      </c>
      <c r="AR101" s="6648">
        <f>+AR2*24</f>
        <v>744</v>
      </c>
      <c r="AS101" s="2980">
        <f>+AO101+AQ101</f>
        <v>7344</v>
      </c>
      <c r="AT101" s="6290">
        <f>+AP101+AR101</f>
        <v>7344</v>
      </c>
      <c r="AU101" s="2678">
        <f>+AU2*24</f>
        <v>672</v>
      </c>
      <c r="AV101" s="6648">
        <f>+AV2*24</f>
        <v>672</v>
      </c>
      <c r="AW101" s="2980">
        <f>+AS101+AU101</f>
        <v>8016</v>
      </c>
      <c r="AX101" s="6290">
        <f>+AT101+AV101</f>
        <v>8016</v>
      </c>
      <c r="AY101" s="2678">
        <f>+AY2*24</f>
        <v>744</v>
      </c>
      <c r="AZ101" s="6648">
        <f>+AZ2*24</f>
        <v>744</v>
      </c>
      <c r="BA101" s="4141">
        <f t="shared" ref="BA101" si="38">+AQ101+AU101+AY101</f>
        <v>2160</v>
      </c>
      <c r="BB101" s="2011">
        <f t="shared" ref="BB101" si="39">+AR101+AV101+AZ101</f>
        <v>2160</v>
      </c>
      <c r="BC101" s="4141">
        <f>+BC2*24</f>
        <v>4368</v>
      </c>
      <c r="BD101" s="2011">
        <f>+BD2*24</f>
        <v>4368</v>
      </c>
      <c r="BE101" s="6632">
        <f>+AW101+AY101</f>
        <v>8760</v>
      </c>
      <c r="BF101" s="6633">
        <f>+AX101+AZ101</f>
        <v>8760</v>
      </c>
    </row>
    <row r="102" spans="2:58" x14ac:dyDescent="0.2">
      <c r="B102" s="1531" t="s">
        <v>799</v>
      </c>
      <c r="C102" s="7442"/>
      <c r="D102" s="1545" t="s">
        <v>169</v>
      </c>
      <c r="E102" s="2706">
        <f t="shared" ref="E102:R102" si="40">+E103/E101*100</f>
        <v>46.666666666666664</v>
      </c>
      <c r="F102" s="1859">
        <f t="shared" si="40"/>
        <v>41.006944444444443</v>
      </c>
      <c r="G102" s="2706">
        <f t="shared" si="40"/>
        <v>88.709677419354833</v>
      </c>
      <c r="H102" s="1859">
        <f t="shared" si="40"/>
        <v>41.397849462365592</v>
      </c>
      <c r="I102" s="3078">
        <f t="shared" si="40"/>
        <v>68.032786885245898</v>
      </c>
      <c r="J102" s="5307">
        <f t="shared" si="40"/>
        <v>41.205601092896174</v>
      </c>
      <c r="K102" s="2706">
        <f t="shared" si="40"/>
        <v>86.666666666666671</v>
      </c>
      <c r="L102" s="1859">
        <f t="shared" si="40"/>
        <v>73.138888888888886</v>
      </c>
      <c r="M102" s="3778">
        <f t="shared" si="40"/>
        <v>74.175824175824175</v>
      </c>
      <c r="N102" s="5709">
        <f t="shared" si="40"/>
        <v>51.733058608058599</v>
      </c>
      <c r="O102" s="4886">
        <f t="shared" si="40"/>
        <v>93.548387096774192</v>
      </c>
      <c r="P102" s="1645">
        <f t="shared" si="40"/>
        <v>78.54390681003585</v>
      </c>
      <c r="Q102" s="2794">
        <f t="shared" si="40"/>
        <v>79.098360655737707</v>
      </c>
      <c r="R102" s="6291">
        <f t="shared" si="40"/>
        <v>58.545651183970861</v>
      </c>
      <c r="S102" s="6418">
        <f t="shared" ref="S102:V102" si="41">+S103/S101*100</f>
        <v>90.322580645161281</v>
      </c>
      <c r="T102" s="1645">
        <f t="shared" si="41"/>
        <v>84.005376344086031</v>
      </c>
      <c r="U102" s="2794">
        <f t="shared" si="41"/>
        <v>81.372549019607845</v>
      </c>
      <c r="V102" s="6291">
        <f t="shared" si="41"/>
        <v>63.704157588961507</v>
      </c>
      <c r="W102" s="6503">
        <f t="shared" ref="W102:AJ102" si="42">+W103/W101*100</f>
        <v>88.333333333333329</v>
      </c>
      <c r="X102" s="1645">
        <f t="shared" si="42"/>
        <v>62.187499999999993</v>
      </c>
      <c r="Y102" s="5714">
        <f t="shared" ref="Y102" si="43">+Y103/Y101*100</f>
        <v>90.760869565217391</v>
      </c>
      <c r="Z102" s="5709">
        <f t="shared" si="42"/>
        <v>75.050573671497588</v>
      </c>
      <c r="AA102" s="6612">
        <f t="shared" si="42"/>
        <v>82.513661202185801</v>
      </c>
      <c r="AB102" s="6634">
        <f t="shared" si="42"/>
        <v>63.455525197328477</v>
      </c>
      <c r="AC102" s="7345">
        <f t="shared" si="42"/>
        <v>79.032258064516128</v>
      </c>
      <c r="AD102" s="7345">
        <f t="shared" si="42"/>
        <v>63.857526881720425</v>
      </c>
      <c r="AE102" s="2794">
        <f t="shared" si="42"/>
        <v>82.009345794392516</v>
      </c>
      <c r="AF102" s="6291">
        <f t="shared" si="42"/>
        <v>63.51375908618899</v>
      </c>
      <c r="AG102" s="7583">
        <f t="shared" si="42"/>
        <v>86.666666666666671</v>
      </c>
      <c r="AH102" s="7583">
        <f t="shared" si="42"/>
        <v>82.524537037037021</v>
      </c>
      <c r="AI102" s="2794">
        <f t="shared" si="42"/>
        <v>82.581967213114751</v>
      </c>
      <c r="AJ102" s="6291">
        <f t="shared" si="42"/>
        <v>65.85114981785064</v>
      </c>
      <c r="AK102" s="7759">
        <f t="shared" ref="AK102:AP102" si="44">+AK103/AK101*100</f>
        <v>85.806451612903231</v>
      </c>
      <c r="AL102" s="1645">
        <f t="shared" si="44"/>
        <v>80.259856630824387</v>
      </c>
      <c r="AM102" s="5714">
        <f t="shared" si="44"/>
        <v>83.804347826086953</v>
      </c>
      <c r="AN102" s="5709">
        <f t="shared" si="44"/>
        <v>75.471467391304344</v>
      </c>
      <c r="AO102" s="2794">
        <f t="shared" si="44"/>
        <v>82.945454545454538</v>
      </c>
      <c r="AP102" s="6291">
        <f t="shared" si="44"/>
        <v>67.475404040404044</v>
      </c>
      <c r="AQ102" s="8090">
        <f t="shared" ref="AQ102:AT102" si="45">+AQ103/AQ101*100</f>
        <v>85.806451612903231</v>
      </c>
      <c r="AR102" s="1645">
        <f t="shared" si="45"/>
        <v>79.630376344086031</v>
      </c>
      <c r="AS102" s="2794">
        <f t="shared" si="45"/>
        <v>83.235294117647058</v>
      </c>
      <c r="AT102" s="6291">
        <f t="shared" si="45"/>
        <v>68.706790123456798</v>
      </c>
      <c r="AU102" s="8170">
        <f t="shared" ref="AU102:AX102" si="46">+AU103/AU101*100</f>
        <v>95.000000000000014</v>
      </c>
      <c r="AV102" s="1645">
        <f t="shared" si="46"/>
        <v>77.927083333333329</v>
      </c>
      <c r="AW102" s="2794">
        <f t="shared" si="46"/>
        <v>84.221556886227532</v>
      </c>
      <c r="AX102" s="6291">
        <f t="shared" si="46"/>
        <v>69.479748835662008</v>
      </c>
      <c r="AY102" s="8321">
        <f t="shared" ref="AY102:BF102" si="47">+AY103/AY101*100</f>
        <v>85.806451612903231</v>
      </c>
      <c r="AZ102" s="1645">
        <f t="shared" si="47"/>
        <v>82.708333333333343</v>
      </c>
      <c r="BA102" s="5714">
        <f t="shared" si="47"/>
        <v>88.666666666666686</v>
      </c>
      <c r="BB102" s="5709">
        <f t="shared" si="47"/>
        <v>80.160648148148141</v>
      </c>
      <c r="BC102" s="5714">
        <f t="shared" ref="BC102:BD102" si="48">+BC103/BC101*100</f>
        <v>14.615384615384617</v>
      </c>
      <c r="BD102" s="5709">
        <f t="shared" si="48"/>
        <v>77.790293040293051</v>
      </c>
      <c r="BE102" s="6612">
        <f t="shared" si="47"/>
        <v>84.356164383561634</v>
      </c>
      <c r="BF102" s="6634">
        <f t="shared" si="47"/>
        <v>70.603272450532728</v>
      </c>
    </row>
    <row r="103" spans="2:58" x14ac:dyDescent="0.2">
      <c r="B103" s="1531" t="s">
        <v>798</v>
      </c>
      <c r="C103" s="7442"/>
      <c r="D103" s="1545" t="s">
        <v>711</v>
      </c>
      <c r="E103" s="4811">
        <v>336</v>
      </c>
      <c r="F103" s="4406">
        <v>295.25</v>
      </c>
      <c r="G103" s="4811">
        <v>660</v>
      </c>
      <c r="H103" s="3183">
        <v>308</v>
      </c>
      <c r="I103" s="3092">
        <f>+E103+G103</f>
        <v>996</v>
      </c>
      <c r="J103" s="3193">
        <f>+F103+H103</f>
        <v>603.25</v>
      </c>
      <c r="K103" s="4811">
        <v>624</v>
      </c>
      <c r="L103" s="3183">
        <v>526.6</v>
      </c>
      <c r="M103" s="4933">
        <f>+I103+K103</f>
        <v>1620</v>
      </c>
      <c r="N103" s="5029">
        <f>+J103+L103</f>
        <v>1129.8499999999999</v>
      </c>
      <c r="O103" s="4650">
        <v>696</v>
      </c>
      <c r="P103" s="5600">
        <v>584.36666666666667</v>
      </c>
      <c r="Q103" s="2786">
        <f>+M103+O103</f>
        <v>2316</v>
      </c>
      <c r="R103" s="1905">
        <f>+N103+P103</f>
        <v>1714.2166666666667</v>
      </c>
      <c r="S103" s="4811">
        <v>672</v>
      </c>
      <c r="T103" s="5600">
        <v>625</v>
      </c>
      <c r="U103" s="4809">
        <f>+Q103+S103</f>
        <v>2988</v>
      </c>
      <c r="V103" s="1905">
        <f>+R103+T103</f>
        <v>2339.2166666666667</v>
      </c>
      <c r="W103" s="4811">
        <v>636</v>
      </c>
      <c r="X103" s="5600">
        <v>447.75</v>
      </c>
      <c r="Y103" s="4141">
        <f t="shared" si="35"/>
        <v>2004</v>
      </c>
      <c r="Z103" s="2011">
        <f t="shared" si="35"/>
        <v>1657.1166666666668</v>
      </c>
      <c r="AA103" s="6519">
        <f>+U103+W103</f>
        <v>3624</v>
      </c>
      <c r="AB103" s="6625">
        <f>+V103+X103</f>
        <v>2786.9666666666667</v>
      </c>
      <c r="AC103" s="4811">
        <v>588</v>
      </c>
      <c r="AD103" s="4811">
        <v>475.1</v>
      </c>
      <c r="AE103" s="4809">
        <f>+AA103+AC103</f>
        <v>4212</v>
      </c>
      <c r="AF103" s="1905">
        <f>+AB103+AD103</f>
        <v>3262.0666666666666</v>
      </c>
      <c r="AG103" s="4811">
        <v>624</v>
      </c>
      <c r="AH103" s="4811">
        <v>594.17666666666662</v>
      </c>
      <c r="AI103" s="4809">
        <f>+AE103+AG103</f>
        <v>4836</v>
      </c>
      <c r="AJ103" s="1905">
        <f>+AF103+AH103</f>
        <v>3856.2433333333333</v>
      </c>
      <c r="AK103" s="4811">
        <v>638.40000000000009</v>
      </c>
      <c r="AL103" s="5600">
        <v>597.13333333333344</v>
      </c>
      <c r="AM103" s="4141">
        <f t="shared" ref="AM103" si="49">+AC103+AG103+AK103</f>
        <v>1850.4</v>
      </c>
      <c r="AN103" s="2011">
        <f t="shared" ref="AN103" si="50">+AD103+AH103+AL103</f>
        <v>1666.41</v>
      </c>
      <c r="AO103" s="4809">
        <f>+AI103+AK103</f>
        <v>5474.4</v>
      </c>
      <c r="AP103" s="1905">
        <f>+AJ103+AL103</f>
        <v>4453.376666666667</v>
      </c>
      <c r="AQ103" s="4811">
        <v>638.40000000000009</v>
      </c>
      <c r="AR103" s="5600">
        <v>592.45000000000005</v>
      </c>
      <c r="AS103" s="4809">
        <f>+AO103+AQ103</f>
        <v>6112.7999999999993</v>
      </c>
      <c r="AT103" s="1905">
        <f>+AP103+AR103</f>
        <v>5045.8266666666668</v>
      </c>
      <c r="AU103" s="4811">
        <v>638.40000000000009</v>
      </c>
      <c r="AV103" s="5600">
        <v>523.66999999999996</v>
      </c>
      <c r="AW103" s="4809">
        <f>+AS103+AU103</f>
        <v>6751.1999999999989</v>
      </c>
      <c r="AX103" s="1905">
        <f>+AT103+AV103</f>
        <v>5569.4966666666669</v>
      </c>
      <c r="AY103" s="4811">
        <v>638.40000000000009</v>
      </c>
      <c r="AZ103" s="5600">
        <v>615.35</v>
      </c>
      <c r="BA103" s="4141">
        <f t="shared" ref="BA103" si="51">+AQ103+AU103+AY103</f>
        <v>1915.2000000000003</v>
      </c>
      <c r="BB103" s="2011">
        <f t="shared" ref="BB103" si="52">+AR103+AV103+AZ103</f>
        <v>1731.4699999999998</v>
      </c>
      <c r="BC103" s="4141">
        <v>638.40000000000009</v>
      </c>
      <c r="BD103" s="2011">
        <f t="shared" ref="BD103:BD105" si="53">+BB103+AN103</f>
        <v>3397.88</v>
      </c>
      <c r="BE103" s="6519">
        <f>+AW103+AY103</f>
        <v>7389.5999999999985</v>
      </c>
      <c r="BF103" s="6625">
        <f>+AX103+AZ103</f>
        <v>6184.8466666666673</v>
      </c>
    </row>
    <row r="104" spans="2:58" x14ac:dyDescent="0.2">
      <c r="B104" s="1531" t="s">
        <v>800</v>
      </c>
      <c r="C104" s="7442"/>
      <c r="D104" s="1545" t="s">
        <v>169</v>
      </c>
      <c r="E104" s="3224">
        <f t="shared" ref="E104:R104" si="54">+E105/E103*100</f>
        <v>63.333333333333329</v>
      </c>
      <c r="F104" s="6452">
        <f t="shared" si="54"/>
        <v>77.804120801580581</v>
      </c>
      <c r="G104" s="3224">
        <f t="shared" si="54"/>
        <v>63.333333333333329</v>
      </c>
      <c r="H104" s="1859">
        <f t="shared" si="54"/>
        <v>82.765151515151516</v>
      </c>
      <c r="I104" s="3078">
        <f t="shared" si="54"/>
        <v>63.333333333333329</v>
      </c>
      <c r="J104" s="5307">
        <f t="shared" si="54"/>
        <v>80.3370631302666</v>
      </c>
      <c r="K104" s="3224">
        <f t="shared" si="54"/>
        <v>83.333333333333343</v>
      </c>
      <c r="L104" s="6452">
        <f t="shared" si="54"/>
        <v>76.224838587162921</v>
      </c>
      <c r="M104" s="3778">
        <f t="shared" si="54"/>
        <v>71.037037037037038</v>
      </c>
      <c r="N104" s="5709">
        <f t="shared" si="54"/>
        <v>78.420439291351357</v>
      </c>
      <c r="O104" s="2706">
        <f t="shared" si="54"/>
        <v>83.333333333333343</v>
      </c>
      <c r="P104" s="1859">
        <f t="shared" si="54"/>
        <v>75.369345730420406</v>
      </c>
      <c r="Q104" s="2794">
        <f t="shared" si="54"/>
        <v>74.732297063903275</v>
      </c>
      <c r="R104" s="1861">
        <f t="shared" si="54"/>
        <v>77.380338930318032</v>
      </c>
      <c r="S104" s="2706">
        <f t="shared" ref="S104:V104" si="55">+S105/S103*100</f>
        <v>83.333333333333343</v>
      </c>
      <c r="T104" s="6452">
        <f t="shared" si="55"/>
        <v>75.52</v>
      </c>
      <c r="U104" s="2794">
        <f t="shared" si="55"/>
        <v>76.666666666666671</v>
      </c>
      <c r="V104" s="1861">
        <f t="shared" si="55"/>
        <v>76.883287140282007</v>
      </c>
      <c r="W104" s="2706">
        <f t="shared" ref="W104:AJ104" si="56">+W105/W103*100</f>
        <v>83.333333333333343</v>
      </c>
      <c r="X104" s="6452">
        <f t="shared" si="56"/>
        <v>79.836962590731446</v>
      </c>
      <c r="Y104" s="5714">
        <f t="shared" ref="Y104" si="57">+Y105/Y103*100</f>
        <v>83.333333333333343</v>
      </c>
      <c r="Z104" s="5709">
        <f t="shared" si="56"/>
        <v>76.633308859766458</v>
      </c>
      <c r="AA104" s="6612">
        <f t="shared" si="56"/>
        <v>77.836644591611474</v>
      </c>
      <c r="AB104" s="6635">
        <f t="shared" si="56"/>
        <v>77.357820330347209</v>
      </c>
      <c r="AC104" s="2706">
        <f t="shared" si="56"/>
        <v>83.333333333333343</v>
      </c>
      <c r="AD104" s="3224">
        <f t="shared" si="56"/>
        <v>69.690591454430646</v>
      </c>
      <c r="AE104" s="2794">
        <f t="shared" si="56"/>
        <v>78.603988603988611</v>
      </c>
      <c r="AF104" s="1861">
        <f t="shared" si="56"/>
        <v>76.241135476487287</v>
      </c>
      <c r="AG104" s="2706">
        <f t="shared" si="56"/>
        <v>83.333333333333343</v>
      </c>
      <c r="AH104" s="3224">
        <f t="shared" si="56"/>
        <v>78.14005935383976</v>
      </c>
      <c r="AI104" s="2794">
        <f t="shared" si="56"/>
        <v>79.214226633581475</v>
      </c>
      <c r="AJ104" s="1861">
        <f t="shared" si="56"/>
        <v>76.533724963760065</v>
      </c>
      <c r="AK104" s="2706">
        <f t="shared" ref="AK104:AP104" si="58">+AK105/AK103*100</f>
        <v>83.333333333333329</v>
      </c>
      <c r="AL104" s="6452">
        <f t="shared" si="58"/>
        <v>71.879535558780844</v>
      </c>
      <c r="AM104" s="5714">
        <f t="shared" si="58"/>
        <v>83.333333333333329</v>
      </c>
      <c r="AN104" s="5709">
        <f t="shared" si="58"/>
        <v>73.487717108434694</v>
      </c>
      <c r="AO104" s="2794">
        <f t="shared" si="58"/>
        <v>79.694578401285995</v>
      </c>
      <c r="AP104" s="1861">
        <f t="shared" si="58"/>
        <v>75.909665549661554</v>
      </c>
      <c r="AQ104" s="2706">
        <f t="shared" ref="AQ104:AT104" si="59">+AQ105/AQ103*100</f>
        <v>83.333333333333329</v>
      </c>
      <c r="AR104" s="6452">
        <f t="shared" si="59"/>
        <v>74.813627029003825</v>
      </c>
      <c r="AS104" s="2794">
        <f t="shared" si="59"/>
        <v>80.074597565763668</v>
      </c>
      <c r="AT104" s="1861">
        <f t="shared" si="59"/>
        <v>75.780975433163235</v>
      </c>
      <c r="AU104" s="2706">
        <f t="shared" ref="AU104:AX104" si="60">+AU105/AU103*100</f>
        <v>83.333333333333329</v>
      </c>
      <c r="AV104" s="6452">
        <f t="shared" si="60"/>
        <v>83.779861363072172</v>
      </c>
      <c r="AW104" s="2794">
        <f t="shared" si="60"/>
        <v>80.382746770944436</v>
      </c>
      <c r="AX104" s="1861">
        <f t="shared" si="60"/>
        <v>76.533067919363134</v>
      </c>
      <c r="AY104" s="2706">
        <f t="shared" ref="AY104:BF104" si="61">+AY105/AY103*100</f>
        <v>83.333333333333329</v>
      </c>
      <c r="AZ104" s="6452">
        <f t="shared" si="61"/>
        <v>81.073101974486065</v>
      </c>
      <c r="BA104" s="5714">
        <f t="shared" si="61"/>
        <v>83.333333333333329</v>
      </c>
      <c r="BB104" s="5709">
        <f t="shared" si="61"/>
        <v>79.749961959106059</v>
      </c>
      <c r="BC104" s="5714">
        <f t="shared" ref="BC104:BD104" si="62">+BC105/BC103*100</f>
        <v>83.333333333333329</v>
      </c>
      <c r="BD104" s="5709">
        <f t="shared" si="62"/>
        <v>76.678791864338933</v>
      </c>
      <c r="BE104" s="6612">
        <f t="shared" si="61"/>
        <v>80.637652917613963</v>
      </c>
      <c r="BF104" s="6635">
        <f t="shared" si="61"/>
        <v>76.984770298805557</v>
      </c>
    </row>
    <row r="105" spans="2:58" x14ac:dyDescent="0.2">
      <c r="B105" s="1531" t="s">
        <v>801</v>
      </c>
      <c r="C105" s="7442"/>
      <c r="D105" s="1545" t="s">
        <v>711</v>
      </c>
      <c r="E105" s="4811">
        <v>212.79999999999998</v>
      </c>
      <c r="F105" s="4406">
        <v>229.71666666666667</v>
      </c>
      <c r="G105" s="4811">
        <v>418</v>
      </c>
      <c r="H105" s="3183">
        <v>254.91666666666666</v>
      </c>
      <c r="I105" s="3092">
        <f>+E105+G105</f>
        <v>630.79999999999995</v>
      </c>
      <c r="J105" s="3193">
        <f>+F105+H105</f>
        <v>484.63333333333333</v>
      </c>
      <c r="K105" s="4811">
        <v>520</v>
      </c>
      <c r="L105" s="3183">
        <v>401.4</v>
      </c>
      <c r="M105" s="4933">
        <f>+I105+K105</f>
        <v>1150.8</v>
      </c>
      <c r="N105" s="5029">
        <f>+J105+L105</f>
        <v>886.0333333333333</v>
      </c>
      <c r="O105" s="4811">
        <v>580</v>
      </c>
      <c r="P105" s="5600">
        <v>440.43333333333334</v>
      </c>
      <c r="Q105" s="2786">
        <f>+M105+O105</f>
        <v>1730.8</v>
      </c>
      <c r="R105" s="1905">
        <f>+N105+P105</f>
        <v>1326.4666666666667</v>
      </c>
      <c r="S105" s="4811">
        <v>560</v>
      </c>
      <c r="T105" s="5600">
        <v>472</v>
      </c>
      <c r="U105" s="4809">
        <f>+Q105+S105</f>
        <v>2290.8000000000002</v>
      </c>
      <c r="V105" s="1905">
        <f>+R105+T105</f>
        <v>1798.4666666666667</v>
      </c>
      <c r="W105" s="4811">
        <v>530</v>
      </c>
      <c r="X105" s="5600">
        <v>357.47</v>
      </c>
      <c r="Y105" s="4141">
        <f t="shared" si="35"/>
        <v>1670</v>
      </c>
      <c r="Z105" s="2011">
        <f t="shared" si="35"/>
        <v>1269.9033333333334</v>
      </c>
      <c r="AA105" s="6519">
        <f>+U105+W105</f>
        <v>2820.8</v>
      </c>
      <c r="AB105" s="6625">
        <f>+V105+X105</f>
        <v>2155.9366666666665</v>
      </c>
      <c r="AC105" s="4811">
        <v>490</v>
      </c>
      <c r="AD105" s="4811">
        <v>331.1</v>
      </c>
      <c r="AE105" s="4809">
        <f>+AA105+AC105</f>
        <v>3310.8</v>
      </c>
      <c r="AF105" s="1905">
        <f>+AB105+AD105</f>
        <v>2487.0366666666664</v>
      </c>
      <c r="AG105" s="4811">
        <v>520</v>
      </c>
      <c r="AH105" s="4811">
        <v>464.28999999999996</v>
      </c>
      <c r="AI105" s="4809">
        <f>+AE105+AG105</f>
        <v>3830.8</v>
      </c>
      <c r="AJ105" s="1905">
        <f>+AF105+AH105</f>
        <v>2951.3266666666664</v>
      </c>
      <c r="AK105" s="4811">
        <v>532</v>
      </c>
      <c r="AL105" s="5600">
        <v>429.2166666666667</v>
      </c>
      <c r="AM105" s="4141">
        <f t="shared" ref="AM105" si="63">+AC105+AG105+AK105</f>
        <v>1542</v>
      </c>
      <c r="AN105" s="2011">
        <f t="shared" ref="AN105" si="64">+AD105+AH105+AL105</f>
        <v>1224.6066666666666</v>
      </c>
      <c r="AO105" s="4809">
        <f>+AI105+AK105</f>
        <v>4362.8</v>
      </c>
      <c r="AP105" s="1905">
        <f>+AJ105+AL105</f>
        <v>3380.5433333333331</v>
      </c>
      <c r="AQ105" s="4811">
        <v>532</v>
      </c>
      <c r="AR105" s="5600">
        <v>443.23333333333323</v>
      </c>
      <c r="AS105" s="4809">
        <f>+AO105+AQ105</f>
        <v>4894.8</v>
      </c>
      <c r="AT105" s="1905">
        <f>+AP105+AR105</f>
        <v>3823.7766666666662</v>
      </c>
      <c r="AU105" s="4811">
        <v>532</v>
      </c>
      <c r="AV105" s="5600">
        <v>438.73</v>
      </c>
      <c r="AW105" s="4809">
        <f>+AS105+AU105</f>
        <v>5426.8</v>
      </c>
      <c r="AX105" s="1905">
        <f>+AT105+AV105</f>
        <v>4262.5066666666662</v>
      </c>
      <c r="AY105" s="4811">
        <v>532</v>
      </c>
      <c r="AZ105" s="5600">
        <v>498.88333299999999</v>
      </c>
      <c r="BA105" s="4141">
        <f t="shared" ref="BA105" si="65">+AQ105+AU105+AY105</f>
        <v>1596</v>
      </c>
      <c r="BB105" s="2011">
        <f t="shared" ref="BB105" si="66">+AR105+AV105+AZ105</f>
        <v>1380.8466663333334</v>
      </c>
      <c r="BC105" s="4141">
        <v>532</v>
      </c>
      <c r="BD105" s="2011">
        <f t="shared" si="53"/>
        <v>2605.4533329999999</v>
      </c>
      <c r="BE105" s="6519">
        <f>+AW105+AY105</f>
        <v>5958.8</v>
      </c>
      <c r="BF105" s="6625">
        <f>+AX105+AZ105</f>
        <v>4761.389999666666</v>
      </c>
    </row>
    <row r="106" spans="2:58" x14ac:dyDescent="0.2">
      <c r="B106" s="1531" t="s">
        <v>1126</v>
      </c>
      <c r="C106" s="7442"/>
      <c r="D106" s="1545" t="s">
        <v>1125</v>
      </c>
      <c r="E106" s="3220">
        <f>+E105/(E103/24)</f>
        <v>15.2</v>
      </c>
      <c r="F106" s="6452">
        <f t="shared" ref="F106:R106" si="67">+F105/(F103/24)</f>
        <v>18.672988992379338</v>
      </c>
      <c r="G106" s="3220">
        <f>+G105/(G103/24)</f>
        <v>15.2</v>
      </c>
      <c r="H106" s="1859">
        <f t="shared" si="67"/>
        <v>19.863636363636363</v>
      </c>
      <c r="I106" s="3078">
        <f t="shared" si="67"/>
        <v>15.2</v>
      </c>
      <c r="J106" s="5307">
        <f t="shared" si="67"/>
        <v>19.280895151263987</v>
      </c>
      <c r="K106" s="3224">
        <f>+K105/(K103/24)</f>
        <v>20</v>
      </c>
      <c r="L106" s="6452">
        <f t="shared" ref="L106:N106" si="68">+L105/(L103/24)</f>
        <v>18.293961260919104</v>
      </c>
      <c r="M106" s="3778">
        <f t="shared" si="68"/>
        <v>17.048888888888889</v>
      </c>
      <c r="N106" s="5709">
        <f t="shared" si="68"/>
        <v>18.820905429924327</v>
      </c>
      <c r="O106" s="3220">
        <f>+O105/(O103/24)</f>
        <v>20</v>
      </c>
      <c r="P106" s="5982">
        <f>+P105/(P103/24)</f>
        <v>18.088642975300896</v>
      </c>
      <c r="Q106" s="2794">
        <f t="shared" si="67"/>
        <v>17.935751295336786</v>
      </c>
      <c r="R106" s="1861">
        <f t="shared" si="67"/>
        <v>18.571281343276326</v>
      </c>
      <c r="S106" s="3220">
        <f>+S105/(S103/24)</f>
        <v>20</v>
      </c>
      <c r="T106" s="5982">
        <f>+T105/(T103/24)</f>
        <v>18.1248</v>
      </c>
      <c r="U106" s="2794">
        <f t="shared" ref="U106:V106" si="69">+U105/(U103/24)</f>
        <v>18.400000000000002</v>
      </c>
      <c r="V106" s="1861">
        <f t="shared" si="69"/>
        <v>18.45198891366768</v>
      </c>
      <c r="W106" s="3220">
        <f>+W105/(W103/24)</f>
        <v>20</v>
      </c>
      <c r="X106" s="5982">
        <f>+X105/(X103/24)</f>
        <v>19.160871021775545</v>
      </c>
      <c r="Y106" s="5714">
        <f t="shared" ref="Y106" si="70">+Y105/(Y103/24)</f>
        <v>20</v>
      </c>
      <c r="Z106" s="5709">
        <f t="shared" ref="Z106" si="71">+Z105/(Z103/24)</f>
        <v>18.391994126343949</v>
      </c>
      <c r="AA106" s="6612">
        <f t="shared" ref="AA106:AB106" si="72">+AA105/(AA103/24)</f>
        <v>18.680794701986756</v>
      </c>
      <c r="AB106" s="6635">
        <f t="shared" si="72"/>
        <v>18.56587687928333</v>
      </c>
      <c r="AC106" s="3220">
        <f>+AC105/(AC103/24)</f>
        <v>20</v>
      </c>
      <c r="AD106" s="3220">
        <f>+AD105/(AD103/24)</f>
        <v>16.725741949063355</v>
      </c>
      <c r="AE106" s="2794">
        <f t="shared" ref="AE106:AF106" si="73">+AE105/(AE103/24)</f>
        <v>18.864957264957265</v>
      </c>
      <c r="AF106" s="1861">
        <f t="shared" si="73"/>
        <v>18.29787251435695</v>
      </c>
      <c r="AG106" s="3220">
        <f>+AG105/(AG103/24)</f>
        <v>20</v>
      </c>
      <c r="AH106" s="3220">
        <f>+AH105/(AH103/24)</f>
        <v>18.753614244921543</v>
      </c>
      <c r="AI106" s="2794">
        <f t="shared" ref="AI106:AJ106" si="74">+AI105/(AI103/24)</f>
        <v>19.011414392059553</v>
      </c>
      <c r="AJ106" s="1861">
        <f t="shared" si="74"/>
        <v>18.368093991302416</v>
      </c>
      <c r="AK106" s="3220">
        <f>+AK105/(AK103/24)</f>
        <v>19.999999999999996</v>
      </c>
      <c r="AL106" s="5982">
        <f>+AL105/(AL103/24)</f>
        <v>17.251088534107399</v>
      </c>
      <c r="AM106" s="5714">
        <f t="shared" ref="AM106:AP106" si="75">+AM105/(AM103/24)</f>
        <v>19.999999999999996</v>
      </c>
      <c r="AN106" s="5709">
        <f t="shared" si="75"/>
        <v>17.637052106024324</v>
      </c>
      <c r="AO106" s="2794">
        <f t="shared" si="75"/>
        <v>19.12669881630864</v>
      </c>
      <c r="AP106" s="1861">
        <f t="shared" si="75"/>
        <v>18.218319731918772</v>
      </c>
      <c r="AQ106" s="3220">
        <f>+AQ105/(AQ103/24)</f>
        <v>19.999999999999996</v>
      </c>
      <c r="AR106" s="5982">
        <f>+AR105/(AR103/24)</f>
        <v>17.95527048696092</v>
      </c>
      <c r="AS106" s="2794">
        <f t="shared" ref="AS106:AT106" si="76">+AS105/(AS103/24)</f>
        <v>19.21790341578328</v>
      </c>
      <c r="AT106" s="1861">
        <f t="shared" si="76"/>
        <v>18.187434103959177</v>
      </c>
      <c r="AU106" s="3220">
        <f>+AU105/(AU103/24)</f>
        <v>19.999999999999996</v>
      </c>
      <c r="AV106" s="5982">
        <f>+AV105/(AV103/24)</f>
        <v>20.107166727137322</v>
      </c>
      <c r="AW106" s="2794">
        <f t="shared" ref="AW106:AX106" si="77">+AW105/(AW103/24)</f>
        <v>19.291859225026666</v>
      </c>
      <c r="AX106" s="1861">
        <f t="shared" si="77"/>
        <v>18.367936300647152</v>
      </c>
      <c r="AY106" s="3220">
        <f>+AY105/(AY103/24)</f>
        <v>19.999999999999996</v>
      </c>
      <c r="AZ106" s="5982">
        <f>+AZ105/(AZ103/24)</f>
        <v>19.457544473876656</v>
      </c>
      <c r="BA106" s="5714">
        <f t="shared" ref="BA106:BF106" si="78">+BA105/(BA103/24)</f>
        <v>19.999999999999996</v>
      </c>
      <c r="BB106" s="5709">
        <f t="shared" si="78"/>
        <v>19.13999087018545</v>
      </c>
      <c r="BC106" s="5714">
        <f>+BC105/(BC103/24)</f>
        <v>19.999999999999996</v>
      </c>
      <c r="BD106" s="5709">
        <f>+BD105/(BD103/24)</f>
        <v>18.402910047441342</v>
      </c>
      <c r="BE106" s="6612">
        <f t="shared" si="78"/>
        <v>19.353036700227353</v>
      </c>
      <c r="BF106" s="6635">
        <f t="shared" si="78"/>
        <v>18.476344871713334</v>
      </c>
    </row>
    <row r="107" spans="2:58" x14ac:dyDescent="0.2">
      <c r="B107" s="1531" t="s">
        <v>802</v>
      </c>
      <c r="C107" s="7442"/>
      <c r="D107" s="1545" t="s">
        <v>1093</v>
      </c>
      <c r="E107" s="3228"/>
      <c r="F107" s="5252">
        <v>0.69299999999999995</v>
      </c>
      <c r="G107" s="3228"/>
      <c r="H107" s="3189">
        <v>0.60499999999999998</v>
      </c>
      <c r="I107" s="6025">
        <f>+((E107*E5)+(G107*G5))/I5</f>
        <v>0</v>
      </c>
      <c r="J107" s="6026">
        <f>+((F107*F5)+(H107*H5))/J5</f>
        <v>0.6446153422016323</v>
      </c>
      <c r="K107" s="3228"/>
      <c r="L107" s="7210">
        <v>0.377</v>
      </c>
      <c r="M107" s="6028">
        <f>+((I107*I5)+(K107*K5))/M5</f>
        <v>0</v>
      </c>
      <c r="N107" s="6029">
        <f>+((J107*J5)+(L107*L5))/N5</f>
        <v>0.51266472824928122</v>
      </c>
      <c r="O107" s="3228"/>
      <c r="P107" s="5981">
        <v>0.432</v>
      </c>
      <c r="Q107" s="2992">
        <f>+((M107*M5)+(O107*O5))/Q5</f>
        <v>0</v>
      </c>
      <c r="R107" s="6008">
        <f>+((N107*N5)+(P107*P5))/R5</f>
        <v>0.48528772537232706</v>
      </c>
      <c r="S107" s="3228"/>
      <c r="T107" s="5981">
        <v>0.41481912686813432</v>
      </c>
      <c r="U107" s="2992">
        <f>+((Q107*Q5)+(S107*S5))/U5</f>
        <v>0</v>
      </c>
      <c r="V107" s="6008">
        <f>+((R107*R5)+(T107*T5))/V5</f>
        <v>0.46687543807394877</v>
      </c>
      <c r="W107" s="3228"/>
      <c r="X107" s="5981">
        <v>0.434</v>
      </c>
      <c r="Y107" s="6647">
        <f>+((O107*O5)+(S107*S5)+(W107*W5))/Y5</f>
        <v>0</v>
      </c>
      <c r="Z107" s="6029">
        <f>+((P107*P5)+(T107*T5)+(X107*X5))/Z5</f>
        <v>0.42634992777173097</v>
      </c>
      <c r="AA107" s="6636">
        <f>+((U107*U5)+(W107*W5))/AA5</f>
        <v>0</v>
      </c>
      <c r="AB107" s="6637">
        <f>+((V107*V5)+(X107*X5))/AB5</f>
        <v>0.46119994092262173</v>
      </c>
      <c r="AC107" s="3228"/>
      <c r="AD107" s="3228">
        <v>0.41299999999999998</v>
      </c>
      <c r="AE107" s="2992">
        <f>+((AA107*AA5)+(AC107*AC5))/AE5</f>
        <v>0</v>
      </c>
      <c r="AF107" s="6008">
        <f>+((AB107*AB5)+(AD107*AD5))/AF5</f>
        <v>0.45406636677357665</v>
      </c>
      <c r="AG107" s="3228"/>
      <c r="AH107" s="3228">
        <v>0.36499999999999999</v>
      </c>
      <c r="AI107" s="2992">
        <f>+((AE107*AE5)+(AG107*AG5))/AI5</f>
        <v>0</v>
      </c>
      <c r="AJ107" s="6008">
        <f>+((AF107*AF5)+(AH107*AH5))/AJ5</f>
        <v>0.44037027223418906</v>
      </c>
      <c r="AK107" s="3228"/>
      <c r="AL107" s="5981">
        <v>0.377</v>
      </c>
      <c r="AM107" s="6647">
        <f>+((AC107*AC5)+(AG107*AG5)+(AK107*AK5))/AM5</f>
        <v>0</v>
      </c>
      <c r="AN107" s="6029">
        <f>+((AD107*AD5)+(AH107*AH5)+(AL107*AL5))/AN5</f>
        <v>0.38303838277208907</v>
      </c>
      <c r="AO107" s="2992">
        <f>+((AI107*AI5)+(AK107*AK5))/AO5</f>
        <v>0</v>
      </c>
      <c r="AP107" s="6008">
        <f>+((AJ107*AJ5)+(AL107*AL5))/AP5</f>
        <v>0.4315326094323052</v>
      </c>
      <c r="AQ107" s="3228"/>
      <c r="AR107" s="5981">
        <v>0.36</v>
      </c>
      <c r="AS107" s="2992">
        <f>+((AO107*AO5)+(AQ107*AQ5))/AS5</f>
        <v>0</v>
      </c>
      <c r="AT107" s="6008">
        <f>+((AP107*AP5)+(AR107*AR5))/AT5</f>
        <v>0.42250418251279587</v>
      </c>
      <c r="AU107" s="3228"/>
      <c r="AV107" s="5981">
        <v>0.36199999999999999</v>
      </c>
      <c r="AW107" s="2992">
        <f>+((AS107*AS5)+(AU107*AU5))/AW5</f>
        <v>0</v>
      </c>
      <c r="AX107" s="6008">
        <f>+((AT107*AT5)+(AV107*AV5))/AX5</f>
        <v>0.41658313298474142</v>
      </c>
      <c r="AY107" s="3228"/>
      <c r="AZ107" s="5981">
        <v>0.37</v>
      </c>
      <c r="BA107" s="6647">
        <f>+((AQ107*AQ5)+(AU107*AU5)+(AY107*AY5))/BA5</f>
        <v>0</v>
      </c>
      <c r="BB107" s="6029">
        <f>+((AR107*AR5)+(AV107*AV5)+(AZ107*AZ5))/BB5</f>
        <v>0.36419414807321582</v>
      </c>
      <c r="BC107" s="6647"/>
      <c r="BD107" s="6029">
        <f>+((AN107*AN5)+(BB107*BB5))/BD5</f>
        <v>0.37314137212053161</v>
      </c>
      <c r="BE107" s="6636">
        <f>+((AW107*AW5)+(AY107*AY5))/BE5</f>
        <v>0</v>
      </c>
      <c r="BF107" s="6637">
        <f>+((AX107*AX5)+(AZ107*AZ5))/BF5</f>
        <v>0.41162038859054895</v>
      </c>
    </row>
    <row r="108" spans="2:58" x14ac:dyDescent="0.2">
      <c r="B108" s="1531" t="s">
        <v>803</v>
      </c>
      <c r="C108" s="7442"/>
      <c r="D108" s="1545" t="s">
        <v>703</v>
      </c>
      <c r="E108" s="4811">
        <f>+'POWER DISTRIBUTION'!I25</f>
        <v>3675250.0000000084</v>
      </c>
      <c r="F108" s="5600">
        <f>+'POWER DISTRIBUTION'!J25</f>
        <v>3675250.0000000093</v>
      </c>
      <c r="G108" s="4811">
        <f>+'POWER DISTRIBUTION'!K25</f>
        <v>4377139.9999999674</v>
      </c>
      <c r="H108" s="5600">
        <f>+'POWER DISTRIBUTION'!L25</f>
        <v>4377139.9999999879</v>
      </c>
      <c r="I108" s="3092">
        <f>+E108+G108</f>
        <v>8052389.9999999758</v>
      </c>
      <c r="J108" s="3193">
        <f>+F108+H108</f>
        <v>8052389.9999999972</v>
      </c>
      <c r="K108" s="4811">
        <f>+'POWER DISTRIBUTION'!O25</f>
        <v>5537635.0000000056</v>
      </c>
      <c r="L108" s="5600">
        <f>+'POWER DISTRIBUTION'!P25</f>
        <v>5537635.0000000075</v>
      </c>
      <c r="M108" s="4933">
        <f>+I108+K108</f>
        <v>13590024.999999981</v>
      </c>
      <c r="N108" s="5029">
        <f>+J108+L108</f>
        <v>13590025.000000004</v>
      </c>
      <c r="O108" s="4811">
        <f>+'POWER DISTRIBUTION'!S25</f>
        <v>5275467.7754677758</v>
      </c>
      <c r="P108" s="5600">
        <f>+'POWER DISTRIBUTION'!T25</f>
        <v>5958769.9999999981</v>
      </c>
      <c r="Q108" s="2786">
        <f>+M108+O108</f>
        <v>18865492.775467757</v>
      </c>
      <c r="R108" s="1905">
        <f>+N108+P108</f>
        <v>19548795</v>
      </c>
      <c r="S108" s="4811">
        <f>+'POWER DISTRIBUTION'!W25</f>
        <v>5275467.7754677758</v>
      </c>
      <c r="T108" s="5600">
        <f>+'POWER DISTRIBUTION'!X25</f>
        <v>6274279.9999999925</v>
      </c>
      <c r="U108" s="4809">
        <f>+Q108+S108</f>
        <v>24140960.550935533</v>
      </c>
      <c r="V108" s="1905">
        <f>+R108+T108</f>
        <v>25823074.999999993</v>
      </c>
      <c r="W108" s="4811">
        <f>+'POWER DISTRIBUTION'!AA25</f>
        <v>4823284.8232848234</v>
      </c>
      <c r="X108" s="5600">
        <f>+'POWER DISTRIBUTION'!AB25</f>
        <v>5256120.0000000065</v>
      </c>
      <c r="Y108" s="4141">
        <f t="shared" ref="Y108:Z108" si="79">+O108+S108+W108</f>
        <v>15374220.374220375</v>
      </c>
      <c r="Z108" s="2011">
        <f t="shared" si="79"/>
        <v>17489169.999999996</v>
      </c>
      <c r="AA108" s="6519">
        <f>+U108+W108</f>
        <v>28964245.374220356</v>
      </c>
      <c r="AB108" s="6625">
        <f>+V108+X108</f>
        <v>31079195</v>
      </c>
      <c r="AC108" s="4811">
        <f>+'POWER DISTRIBUTION'!AG25</f>
        <v>6010362.6943005184</v>
      </c>
      <c r="AD108" s="4811">
        <f>+'POWER DISTRIBUTION'!AH25</f>
        <v>4884515.0000000019</v>
      </c>
      <c r="AE108" s="4809">
        <f>+AA108+AC108</f>
        <v>34974608.068520874</v>
      </c>
      <c r="AF108" s="1905">
        <f>+AB108+AD108</f>
        <v>35963710</v>
      </c>
      <c r="AG108" s="4811">
        <f>+'POWER DISTRIBUTION'!AK25</f>
        <v>6799194.4471968925</v>
      </c>
      <c r="AH108" s="4811">
        <f>+'POWER DISTRIBUTION'!AL25</f>
        <v>6292068.3333333358</v>
      </c>
      <c r="AI108" s="4809">
        <f>+AE108+AG108</f>
        <v>41773802.515717767</v>
      </c>
      <c r="AJ108" s="1905">
        <f>+AF108+AH108</f>
        <v>42255778.333333336</v>
      </c>
      <c r="AK108" s="4811">
        <f>+'POWER DISTRIBUTION'!AO25</f>
        <v>6956098.9344398966</v>
      </c>
      <c r="AL108" s="5600">
        <f>+'POWER DISTRIBUTION'!AP25</f>
        <v>6220903.3333333284</v>
      </c>
      <c r="AM108" s="4141">
        <f t="shared" ref="AM108" si="80">+AC108+AG108+AK108</f>
        <v>19765656.075937308</v>
      </c>
      <c r="AN108" s="2011">
        <f t="shared" ref="AN108" si="81">+AD108+AH108+AL108</f>
        <v>17397486.666666664</v>
      </c>
      <c r="AO108" s="4809">
        <f>+AI108+AK108</f>
        <v>48729901.450157665</v>
      </c>
      <c r="AP108" s="1905">
        <f>+AJ108+AL108</f>
        <v>48476681.666666664</v>
      </c>
      <c r="AQ108" s="4811">
        <f>+'POWER DISTRIBUTION'!AU25</f>
        <v>6956098.9344398966</v>
      </c>
      <c r="AR108" s="5600">
        <f>+'POWER DISTRIBUTION'!AV25</f>
        <v>5818536.666666666</v>
      </c>
      <c r="AS108" s="4809">
        <f>+AO108+AQ108</f>
        <v>55686000.384597562</v>
      </c>
      <c r="AT108" s="1905">
        <f>+AP108+AR108</f>
        <v>54295218.333333328</v>
      </c>
      <c r="AU108" s="4811">
        <f>+'POWER DISTRIBUTION'!AY25</f>
        <v>6276179.489731201</v>
      </c>
      <c r="AV108" s="5600">
        <f>+'POWER DISTRIBUTION'!AZ25</f>
        <v>6039110</v>
      </c>
      <c r="AW108" s="4809">
        <f>+AS108+AU108</f>
        <v>61962179.874328762</v>
      </c>
      <c r="AX108" s="1905">
        <f>+AT108+AV108</f>
        <v>60334328.333333328</v>
      </c>
      <c r="AY108" s="4811">
        <f>+'POWER DISTRIBUTION'!BC25</f>
        <v>6974225.8479119996</v>
      </c>
      <c r="AZ108" s="5600">
        <f>+'POWER DISTRIBUTION'!BD25</f>
        <v>6786338.3333333302</v>
      </c>
      <c r="BA108" s="4141">
        <f t="shared" ref="BA108" si="82">+AQ108+AU108+AY108</f>
        <v>20206504.272083096</v>
      </c>
      <c r="BB108" s="2011">
        <f t="shared" ref="BB108" si="83">+AR108+AV108+AZ108</f>
        <v>18643984.999999996</v>
      </c>
      <c r="BC108" s="4141">
        <f>+'POWER DISTRIBUTION'!BI25</f>
        <v>68936405.722240761</v>
      </c>
      <c r="BD108" s="2011">
        <f t="shared" ref="BD108" si="84">+BB108+AN108</f>
        <v>36041471.666666657</v>
      </c>
      <c r="BE108" s="6519">
        <f>+AW108+AY108</f>
        <v>68936405.722240761</v>
      </c>
      <c r="BF108" s="6625">
        <f>+AX108+AZ108</f>
        <v>67120666.666666657</v>
      </c>
    </row>
    <row r="109" spans="2:58" x14ac:dyDescent="0.2">
      <c r="B109" s="1531" t="s">
        <v>804</v>
      </c>
      <c r="C109" s="7442"/>
      <c r="D109" s="1545" t="s">
        <v>796</v>
      </c>
      <c r="E109" s="3224">
        <f t="shared" ref="E109:AF109" si="85">+E108/E5</f>
        <v>243.12660058904862</v>
      </c>
      <c r="F109" s="6452">
        <f t="shared" si="85"/>
        <v>243.12660047457791</v>
      </c>
      <c r="G109" s="3224">
        <f t="shared" si="85"/>
        <v>237.07452141180488</v>
      </c>
      <c r="H109" s="1859">
        <f t="shared" si="85"/>
        <v>237.07827942245243</v>
      </c>
      <c r="I109" s="3078">
        <f t="shared" si="85"/>
        <v>239.79898843430146</v>
      </c>
      <c r="J109" s="5307">
        <f t="shared" si="85"/>
        <v>239.80107837955796</v>
      </c>
      <c r="K109" s="3224">
        <f t="shared" si="85"/>
        <v>146.49828042328056</v>
      </c>
      <c r="L109" s="6452">
        <f t="shared" si="85"/>
        <v>169.5532784956543</v>
      </c>
      <c r="M109" s="3778">
        <f t="shared" si="85"/>
        <v>190.39048280509166</v>
      </c>
      <c r="N109" s="5709">
        <f t="shared" si="85"/>
        <v>205.16464742150339</v>
      </c>
      <c r="O109" s="3224">
        <f t="shared" si="85"/>
        <v>145</v>
      </c>
      <c r="P109" s="6452">
        <f t="shared" si="85"/>
        <v>175.09759298073379</v>
      </c>
      <c r="Q109" s="2794">
        <f t="shared" si="85"/>
        <v>175.06581818682866</v>
      </c>
      <c r="R109" s="1861">
        <f t="shared" si="85"/>
        <v>194.96011498469048</v>
      </c>
      <c r="S109" s="3224">
        <f t="shared" si="85"/>
        <v>145</v>
      </c>
      <c r="T109" s="6452">
        <f t="shared" si="85"/>
        <v>176.91119784091103</v>
      </c>
      <c r="U109" s="2794">
        <f t="shared" si="85"/>
        <v>167.47712574778851</v>
      </c>
      <c r="V109" s="1861">
        <f t="shared" si="85"/>
        <v>190.24422939976401</v>
      </c>
      <c r="W109" s="3224">
        <f t="shared" si="85"/>
        <v>145</v>
      </c>
      <c r="X109" s="6452">
        <f t="shared" si="85"/>
        <v>185.58072128664688</v>
      </c>
      <c r="Y109" s="5714">
        <f t="shared" si="85"/>
        <v>145</v>
      </c>
      <c r="Z109" s="5709">
        <f t="shared" si="85"/>
        <v>178.79041633390625</v>
      </c>
      <c r="AA109" s="6612">
        <f t="shared" si="85"/>
        <v>163.26268078304219</v>
      </c>
      <c r="AB109" s="6635">
        <f t="shared" si="85"/>
        <v>189.43913816564415</v>
      </c>
      <c r="AC109" s="3224">
        <f t="shared" si="85"/>
        <v>145</v>
      </c>
      <c r="AD109" s="3224">
        <f t="shared" si="85"/>
        <v>171.39592702489486</v>
      </c>
      <c r="AE109" s="2794">
        <f t="shared" si="85"/>
        <v>159.80383228615273</v>
      </c>
      <c r="AF109" s="1861">
        <f t="shared" si="85"/>
        <v>186.76874932085195</v>
      </c>
      <c r="AG109" s="3224">
        <f t="shared" ref="AG109:AP109" si="86">+AG108/AG5</f>
        <v>145</v>
      </c>
      <c r="AH109" s="3224">
        <f t="shared" si="86"/>
        <v>179.8193787494651</v>
      </c>
      <c r="AI109" s="2794">
        <f t="shared" si="86"/>
        <v>157.19173520212507</v>
      </c>
      <c r="AJ109" s="1861">
        <f t="shared" si="86"/>
        <v>185.70011657223074</v>
      </c>
      <c r="AK109" s="3224">
        <f t="shared" si="86"/>
        <v>145</v>
      </c>
      <c r="AL109" s="6452">
        <f t="shared" si="86"/>
        <v>168.6935105120883</v>
      </c>
      <c r="AM109" s="5714">
        <f t="shared" si="86"/>
        <v>145</v>
      </c>
      <c r="AN109" s="5709">
        <f t="shared" si="86"/>
        <v>173.33968937590203</v>
      </c>
      <c r="AO109" s="2794">
        <f t="shared" si="86"/>
        <v>155.32743474431794</v>
      </c>
      <c r="AP109" s="1861">
        <f t="shared" si="86"/>
        <v>183.32836331214412</v>
      </c>
      <c r="AQ109" s="3224">
        <f t="shared" ref="AQ109:AT109" si="87">+AQ108/AQ5</f>
        <v>145</v>
      </c>
      <c r="AR109" s="6452">
        <f t="shared" si="87"/>
        <v>152.33775298103126</v>
      </c>
      <c r="AS109" s="2794">
        <f t="shared" si="87"/>
        <v>153.95767147766026</v>
      </c>
      <c r="AT109" s="1861">
        <f t="shared" si="87"/>
        <v>179.41691002131697</v>
      </c>
      <c r="AU109" s="3224">
        <f t="shared" ref="AU109:AX109" si="88">+AU108/AU5</f>
        <v>144.99998821114502</v>
      </c>
      <c r="AV109" s="6452">
        <f t="shared" si="88"/>
        <v>183.96469940429299</v>
      </c>
      <c r="AW109" s="2794">
        <f t="shared" si="88"/>
        <v>153.00028203564725</v>
      </c>
      <c r="AX109" s="1861">
        <f t="shared" si="88"/>
        <v>179.86196497556026</v>
      </c>
      <c r="AY109" s="3224">
        <f t="shared" ref="AY109:BF109" si="89">+AY108/AY5</f>
        <v>145.00032949212024</v>
      </c>
      <c r="AZ109" s="6452">
        <f t="shared" si="89"/>
        <v>169.66590666663592</v>
      </c>
      <c r="BA109" s="5714">
        <f t="shared" si="89"/>
        <v>145.0001100615882</v>
      </c>
      <c r="BB109" s="5709">
        <f t="shared" si="89"/>
        <v>167.9324103390494</v>
      </c>
      <c r="BC109" s="5714">
        <f t="shared" ref="BC109:BD109" si="90">+BC108/BC5</f>
        <v>250.06861220807383</v>
      </c>
      <c r="BD109" s="5709">
        <f t="shared" si="90"/>
        <v>170.49978109207694</v>
      </c>
      <c r="BE109" s="6612">
        <f t="shared" si="89"/>
        <v>152.1510220407649</v>
      </c>
      <c r="BF109" s="6635">
        <f t="shared" si="89"/>
        <v>178.77572564442619</v>
      </c>
    </row>
    <row r="110" spans="2:58" ht="15" customHeight="1" x14ac:dyDescent="0.2">
      <c r="B110" s="1531" t="s">
        <v>805</v>
      </c>
      <c r="C110" s="7442"/>
      <c r="D110" s="1545" t="s">
        <v>797</v>
      </c>
      <c r="E110" s="3224"/>
      <c r="F110" s="4406">
        <v>0</v>
      </c>
      <c r="G110" s="3224"/>
      <c r="H110" s="1862">
        <v>0.53485215053763435</v>
      </c>
      <c r="I110" s="3078">
        <f>+((E110*E$2)+(G110*G$2))/I$2</f>
        <v>0</v>
      </c>
      <c r="J110" s="3193">
        <f>+((F110*F$2)+(H110*H$2))/J$2</f>
        <v>0.27181010928961746</v>
      </c>
      <c r="K110" s="3224"/>
      <c r="L110" s="6050">
        <v>1.7938888888888886</v>
      </c>
      <c r="M110" s="4142">
        <f>+((I110*I$2)+(K110*K$2))/M$2</f>
        <v>0</v>
      </c>
      <c r="N110" s="6002">
        <f>+((J110*J$2)+(L110*L$2))/N$2</f>
        <v>0.77359432234432224</v>
      </c>
      <c r="O110" s="4811"/>
      <c r="P110" s="6452">
        <f>+(841.31/P$2)/24</f>
        <v>1.130793010752688</v>
      </c>
      <c r="Q110" s="2794">
        <f t="shared" ref="Q110:R112" si="91">+((M110*M$2)+(O110*O$2))/Q$2</f>
        <v>0</v>
      </c>
      <c r="R110" s="1861">
        <f t="shared" si="91"/>
        <v>0.8643579234972677</v>
      </c>
      <c r="S110" s="4811"/>
      <c r="T110" s="6452">
        <f>+(170.48/T$2)/24</f>
        <v>0.22913978494623655</v>
      </c>
      <c r="U110" s="2794">
        <f t="shared" ref="U110:U112" si="92">+((Q110*Q$2)+(S110*S$2))/U$2</f>
        <v>0</v>
      </c>
      <c r="V110" s="1861">
        <f t="shared" ref="V110:V112" si="93">+((R110*R$2)+(T110*T$2))/V$2</f>
        <v>0.73565359477124181</v>
      </c>
      <c r="W110" s="4811"/>
      <c r="X110" s="6452">
        <f>+(656.8/X$2)/24</f>
        <v>0.91222222222222216</v>
      </c>
      <c r="Y110" s="3192">
        <f t="shared" ref="Y110:Z112" si="94">+((O110*O$2)+(S110*S$2)+(W110*W$2))/Y$2</f>
        <v>0</v>
      </c>
      <c r="Z110" s="6002">
        <f t="shared" si="94"/>
        <v>0.75570199275362315</v>
      </c>
      <c r="AA110" s="6612">
        <f t="shared" ref="AA110:AA112" si="95">+((U110*U$2)+(W110*W$2))/AA$2</f>
        <v>0</v>
      </c>
      <c r="AB110" s="6635">
        <f t="shared" ref="AB110:AB112" si="96">+((V110*V$2)+(X110*X$2))/AB$2</f>
        <v>0.76459927140255002</v>
      </c>
      <c r="AC110" s="4811"/>
      <c r="AD110" s="3224">
        <f>+(731.69/AD$2)/24</f>
        <v>0.98345430107526888</v>
      </c>
      <c r="AE110" s="2794">
        <f t="shared" ref="AE110:AF112" si="97">+((AA110*AA$2)+(AC110*AC$2))/AE$2</f>
        <v>0</v>
      </c>
      <c r="AF110" s="1861">
        <f t="shared" si="97"/>
        <v>0.79630257009345795</v>
      </c>
      <c r="AG110" s="4811"/>
      <c r="AH110" s="3224">
        <f>+(1108.91/AH$2)/24</f>
        <v>1.5401527777777779</v>
      </c>
      <c r="AI110" s="2794">
        <f t="shared" ref="AI110:AI112" si="98">+((AE110*AE$2)+(AG110*AG$2))/AI$2</f>
        <v>0</v>
      </c>
      <c r="AJ110" s="1861">
        <f t="shared" ref="AJ110:AJ112" si="99">+((AF110*AF$2)+(AH110*AH$2))/AJ$2</f>
        <v>0.88775956284153013</v>
      </c>
      <c r="AK110" s="4811"/>
      <c r="AL110" s="6452">
        <f>+(1089.18/AL$2)/24</f>
        <v>1.463951612903226</v>
      </c>
      <c r="AM110" s="3192">
        <f t="shared" ref="AM110:AM112" si="100">+((AC110*AC$2)+(AG110*AG$2)+(AK110*AK$2))/AM$2</f>
        <v>0</v>
      </c>
      <c r="AN110" s="6002">
        <f t="shared" ref="AN110:AN112" si="101">+((AD110*AD$2)+(AH110*AH$2)+(AL110*AL$2))/AN$2</f>
        <v>1.3268931159420292</v>
      </c>
      <c r="AO110" s="2794">
        <f t="shared" ref="AO110:AO112" si="102">+((AI110*AI$2)+(AK110*AK$2))/AO$2</f>
        <v>0</v>
      </c>
      <c r="AP110" s="1861">
        <f t="shared" ref="AP110:AP112" si="103">+((AJ110*AJ$2)+(AL110*AL$2))/AP$2</f>
        <v>0.95271212121212123</v>
      </c>
      <c r="AQ110" s="4811"/>
      <c r="AR110" s="6452">
        <f>+(789.98/AR$2)/24</f>
        <v>1.0618010752688172</v>
      </c>
      <c r="AS110" s="2794">
        <f t="shared" ref="AS110:AS112" si="104">+((AO110*AO$2)+(AQ110*AQ$2))/AS$2</f>
        <v>0</v>
      </c>
      <c r="AT110" s="1861">
        <f t="shared" ref="AT110:AT112" si="105">+((AP110*AP$2)+(AR110*AR$2))/AT$2</f>
        <v>0.96376361655773424</v>
      </c>
      <c r="AU110" s="4811"/>
      <c r="AV110" s="6452">
        <f>+(740.2/AV$2)/24</f>
        <v>1.1014880952380952</v>
      </c>
      <c r="AW110" s="2794">
        <f t="shared" ref="AW110:AW112" si="106">+((AS110*AS$2)+(AU110*AU$2))/AW$2</f>
        <v>0</v>
      </c>
      <c r="AX110" s="1861">
        <f t="shared" ref="AX110:AX112" si="107">+((AT110*AT$2)+(AV110*AV$2))/AX$2</f>
        <v>0.97530938123752497</v>
      </c>
      <c r="AY110" s="4811"/>
      <c r="AZ110" s="6452">
        <f>+(849/AZ$2)/24</f>
        <v>1.1411290322580645</v>
      </c>
      <c r="BA110" s="3192">
        <f t="shared" ref="BA110:BA112" si="108">+((AQ110*AQ$2)+(AU110*AU$2)+(AY110*AY$2))/BA$2</f>
        <v>0</v>
      </c>
      <c r="BB110" s="6002">
        <f t="shared" ref="BB110:BB112" si="109">+((AR110*AR$2)+(AV110*AV$2)+(AZ110*AZ$2))/BB$2</f>
        <v>1.1014722222222222</v>
      </c>
      <c r="BC110" s="3192"/>
      <c r="BD110" s="6002">
        <f>+((AN110*AN$2)+(BB110*BB$2))/BD$2</f>
        <v>1.2154212454212454</v>
      </c>
      <c r="BE110" s="6612">
        <f t="shared" ref="BE110:BE112" si="110">+((AW110*AW$2)+(AY110*AY$2))/BE$2</f>
        <v>0</v>
      </c>
      <c r="BF110" s="6635">
        <f t="shared" ref="BF110:BF112" si="111">+((AX110*AX$2)+(AZ110*AZ$2))/BF$2</f>
        <v>0.98939269406392694</v>
      </c>
    </row>
    <row r="111" spans="2:58" x14ac:dyDescent="0.2">
      <c r="B111" s="1531" t="s">
        <v>806</v>
      </c>
      <c r="C111" s="7442"/>
      <c r="D111" s="1545" t="s">
        <v>797</v>
      </c>
      <c r="E111" s="3231"/>
      <c r="F111" s="3851">
        <v>4.9496527777777777</v>
      </c>
      <c r="G111" s="3231"/>
      <c r="H111" s="2435">
        <v>4.9497311827956993</v>
      </c>
      <c r="I111" s="3097">
        <f t="shared" ref="I111:J112" si="112">+((E111*E$2)+(G111*G$2))/I$2</f>
        <v>0</v>
      </c>
      <c r="J111" s="5996">
        <f t="shared" si="112"/>
        <v>4.9496926229508205</v>
      </c>
      <c r="K111" s="3231"/>
      <c r="L111" s="7211">
        <v>4.8125</v>
      </c>
      <c r="M111" s="4142">
        <f t="shared" ref="M111:M112" si="113">+((I111*I$2)+(K111*K$2))/M$2</f>
        <v>0</v>
      </c>
      <c r="N111" s="6002">
        <f t="shared" ref="N111:N112" si="114">+((J111*J$2)+(L111*L$2))/N$2</f>
        <v>4.9044642857142859</v>
      </c>
      <c r="O111" s="3231"/>
      <c r="P111" s="6452">
        <f>+(4583.8/P$2)/24</f>
        <v>6.1610215053763442</v>
      </c>
      <c r="Q111" s="2796">
        <f t="shared" si="91"/>
        <v>0</v>
      </c>
      <c r="R111" s="2068">
        <f t="shared" si="91"/>
        <v>5.2237534153005463</v>
      </c>
      <c r="S111" s="3231"/>
      <c r="T111" s="6452">
        <f>+(4778.7/T$2)/24</f>
        <v>6.4229838709677418</v>
      </c>
      <c r="U111" s="2796">
        <f t="shared" si="92"/>
        <v>0</v>
      </c>
      <c r="V111" s="2068">
        <f t="shared" si="93"/>
        <v>5.4667347494553375</v>
      </c>
      <c r="W111" s="3231"/>
      <c r="X111" s="6452">
        <f>+(3294.7/X$2)/24</f>
        <v>4.5759722222222221</v>
      </c>
      <c r="Y111" s="3192">
        <f t="shared" si="94"/>
        <v>0</v>
      </c>
      <c r="Z111" s="6002">
        <f t="shared" si="94"/>
        <v>5.7324275362318842</v>
      </c>
      <c r="AA111" s="6638">
        <f t="shared" si="95"/>
        <v>0</v>
      </c>
      <c r="AB111" s="6639">
        <f t="shared" si="96"/>
        <v>5.3207081056466299</v>
      </c>
      <c r="AC111" s="3231"/>
      <c r="AD111" s="3224">
        <f>+(3282.96/AD$2)/24</f>
        <v>4.4125806451612908</v>
      </c>
      <c r="AE111" s="2796">
        <f t="shared" si="97"/>
        <v>0</v>
      </c>
      <c r="AF111" s="2068">
        <f t="shared" si="97"/>
        <v>5.1891569314641739</v>
      </c>
      <c r="AG111" s="3231"/>
      <c r="AH111" s="3224">
        <f>+(3158.15/AH$2)/24</f>
        <v>4.3863194444444451</v>
      </c>
      <c r="AI111" s="2796">
        <f t="shared" si="98"/>
        <v>0</v>
      </c>
      <c r="AJ111" s="2068">
        <f t="shared" si="99"/>
        <v>5.0904474043715844</v>
      </c>
      <c r="AK111" s="3231"/>
      <c r="AL111" s="6452">
        <f>+(3678.18/AL$2)/24</f>
        <v>4.9437903225806448</v>
      </c>
      <c r="AM111" s="3192">
        <f t="shared" si="100"/>
        <v>0</v>
      </c>
      <c r="AN111" s="6002">
        <f t="shared" si="101"/>
        <v>4.5830117753623192</v>
      </c>
      <c r="AO111" s="2796">
        <f t="shared" si="102"/>
        <v>0</v>
      </c>
      <c r="AP111" s="2068">
        <f t="shared" si="103"/>
        <v>5.073915151515151</v>
      </c>
      <c r="AQ111" s="3231"/>
      <c r="AR111" s="6452">
        <f>+(3880.46/AR$2)/24</f>
        <v>5.2156720430107528</v>
      </c>
      <c r="AS111" s="2796">
        <f t="shared" si="104"/>
        <v>0</v>
      </c>
      <c r="AT111" s="2068">
        <f t="shared" si="105"/>
        <v>5.088276143790849</v>
      </c>
      <c r="AU111" s="3231"/>
      <c r="AV111" s="6452">
        <f>+(3340/AV$2)/24</f>
        <v>4.9702380952380958</v>
      </c>
      <c r="AW111" s="2796">
        <f t="shared" si="106"/>
        <v>0</v>
      </c>
      <c r="AX111" s="2068">
        <f t="shared" si="107"/>
        <v>5.078380738522954</v>
      </c>
      <c r="AY111" s="3231"/>
      <c r="AZ111" s="6452">
        <f>+(4163.9/AZ$2)/24</f>
        <v>5.5966397849462366</v>
      </c>
      <c r="BA111" s="3192">
        <f t="shared" si="108"/>
        <v>0</v>
      </c>
      <c r="BB111" s="6002">
        <f t="shared" si="109"/>
        <v>5.2705370370370375</v>
      </c>
      <c r="BC111" s="3192"/>
      <c r="BD111" s="6002">
        <f>+((AN111*AN$2)+(BB111*BB$2))/BD$2</f>
        <v>4.9229967948717945</v>
      </c>
      <c r="BE111" s="6638">
        <f t="shared" si="110"/>
        <v>0</v>
      </c>
      <c r="BF111" s="6639">
        <f t="shared" si="111"/>
        <v>5.1223972602739725</v>
      </c>
    </row>
    <row r="112" spans="2:58" x14ac:dyDescent="0.2">
      <c r="B112" s="1531" t="s">
        <v>1433</v>
      </c>
      <c r="C112" s="7442"/>
      <c r="D112" s="1545" t="s">
        <v>797</v>
      </c>
      <c r="E112" s="3231"/>
      <c r="F112" s="3851">
        <v>1.2521652777777776</v>
      </c>
      <c r="G112" s="3231"/>
      <c r="H112" s="2435">
        <v>1.0404704301075269</v>
      </c>
      <c r="I112" s="3097">
        <f t="shared" si="112"/>
        <v>0</v>
      </c>
      <c r="J112" s="5996">
        <f t="shared" si="112"/>
        <v>1.1445826502732239</v>
      </c>
      <c r="K112" s="3231"/>
      <c r="L112" s="7211">
        <v>0.64442638888888892</v>
      </c>
      <c r="M112" s="4142">
        <f t="shared" si="113"/>
        <v>0</v>
      </c>
      <c r="N112" s="6002">
        <f t="shared" si="114"/>
        <v>0.9796959706959707</v>
      </c>
      <c r="O112" s="3231"/>
      <c r="P112" s="6452">
        <f>+(875.323/P$2)/24</f>
        <v>1.1765094086021504</v>
      </c>
      <c r="Q112" s="2796">
        <f t="shared" si="91"/>
        <v>0</v>
      </c>
      <c r="R112" s="2068">
        <f t="shared" si="91"/>
        <v>1.0297059426229507</v>
      </c>
      <c r="S112" s="3231"/>
      <c r="T112" s="6452">
        <f>+(1209.62/T$2)/24</f>
        <v>1.6258333333333332</v>
      </c>
      <c r="U112" s="2796">
        <f t="shared" si="92"/>
        <v>0</v>
      </c>
      <c r="V112" s="2068">
        <f t="shared" si="93"/>
        <v>1.1504899237472765</v>
      </c>
      <c r="W112" s="3231"/>
      <c r="X112" s="6452">
        <f>+(808.585/X$2)/24</f>
        <v>1.1230347222222223</v>
      </c>
      <c r="Y112" s="3192">
        <f t="shared" si="94"/>
        <v>0</v>
      </c>
      <c r="Z112" s="6002">
        <f t="shared" si="94"/>
        <v>1.3104746376811596</v>
      </c>
      <c r="AA112" s="6638">
        <f t="shared" si="95"/>
        <v>0</v>
      </c>
      <c r="AB112" s="6639">
        <f t="shared" si="96"/>
        <v>1.1459890710382512</v>
      </c>
      <c r="AC112" s="3231"/>
      <c r="AD112" s="3224">
        <f>+(708.235/AD$2)/24</f>
        <v>0.9519287634408603</v>
      </c>
      <c r="AE112" s="2796">
        <f t="shared" si="97"/>
        <v>0</v>
      </c>
      <c r="AF112" s="2068">
        <f t="shared" si="97"/>
        <v>1.1178775311526479</v>
      </c>
      <c r="AG112" s="3231"/>
      <c r="AH112" s="3224">
        <f>+(642.661/AH$2)/24</f>
        <v>0.89258472222222218</v>
      </c>
      <c r="AI112" s="2796">
        <f t="shared" si="98"/>
        <v>0</v>
      </c>
      <c r="AJ112" s="2068">
        <f t="shared" si="99"/>
        <v>1.0901775956284152</v>
      </c>
      <c r="AK112" s="3231"/>
      <c r="AL112" s="6452">
        <f>+(737.037/AL$2)/24</f>
        <v>0.99064112903225821</v>
      </c>
      <c r="AM112" s="3192">
        <f t="shared" si="100"/>
        <v>0</v>
      </c>
      <c r="AN112" s="6002">
        <f t="shared" si="101"/>
        <v>0.94562182971014497</v>
      </c>
      <c r="AO112" s="2796">
        <f t="shared" si="102"/>
        <v>0</v>
      </c>
      <c r="AP112" s="2068">
        <f t="shared" si="103"/>
        <v>1.0789571212121212</v>
      </c>
      <c r="AQ112" s="3231"/>
      <c r="AR112" s="6452">
        <f>+(857.669/AR$2)/24</f>
        <v>1.1527809139784946</v>
      </c>
      <c r="AS112" s="2796">
        <f t="shared" si="104"/>
        <v>0</v>
      </c>
      <c r="AT112" s="2068">
        <f t="shared" si="105"/>
        <v>1.0864360021786492</v>
      </c>
      <c r="AU112" s="3231"/>
      <c r="AV112" s="6452">
        <f>+(705.386/AV$2)/24</f>
        <v>1.0496815476190475</v>
      </c>
      <c r="AW112" s="2796">
        <f t="shared" si="106"/>
        <v>0</v>
      </c>
      <c r="AX112" s="2068">
        <f t="shared" si="107"/>
        <v>1.0833547904191616</v>
      </c>
      <c r="AY112" s="3231"/>
      <c r="AZ112" s="6452">
        <f>+(910.934/AZ$2)/24</f>
        <v>1.2243736559139784</v>
      </c>
      <c r="BA112" s="3192">
        <f t="shared" si="108"/>
        <v>0</v>
      </c>
      <c r="BB112" s="6002">
        <f t="shared" si="109"/>
        <v>1.1453652777777779</v>
      </c>
      <c r="BC112" s="3192"/>
      <c r="BD112" s="6002">
        <f>+((AN112*AN$2)+(BB112*BB$2))/BD$2</f>
        <v>1.0443960622710622</v>
      </c>
      <c r="BE112" s="6638">
        <f t="shared" si="110"/>
        <v>0</v>
      </c>
      <c r="BF112" s="6639">
        <f t="shared" si="111"/>
        <v>1.0953317351598173</v>
      </c>
    </row>
    <row r="113" spans="2:58" ht="16" thickBot="1" x14ac:dyDescent="0.25">
      <c r="B113" s="1569" t="s">
        <v>808</v>
      </c>
      <c r="C113" s="7443"/>
      <c r="D113" s="1577" t="s">
        <v>1220</v>
      </c>
      <c r="E113" s="3225">
        <f t="shared" ref="E113:K113" si="115">+E94/E105</f>
        <v>67.511278195488714</v>
      </c>
      <c r="F113" s="5599">
        <f t="shared" si="115"/>
        <v>62.539650293840239</v>
      </c>
      <c r="G113" s="3225">
        <f t="shared" ref="G113" si="116">+G94/G105</f>
        <v>42.267942583732058</v>
      </c>
      <c r="H113" s="3190">
        <f t="shared" si="115"/>
        <v>69.307826086956524</v>
      </c>
      <c r="I113" s="3098">
        <f t="shared" si="115"/>
        <v>50.783766645529489</v>
      </c>
      <c r="J113" s="5307">
        <f t="shared" ref="J113" si="117">+J94/J105</f>
        <v>66.099704243758168</v>
      </c>
      <c r="K113" s="3225">
        <f t="shared" si="115"/>
        <v>69.057692307692307</v>
      </c>
      <c r="L113" s="7212">
        <f t="shared" ref="L113:N113" si="118">+L94/L105</f>
        <v>78.072107623318388</v>
      </c>
      <c r="M113" s="3062">
        <f t="shared" si="118"/>
        <v>59.041014946124434</v>
      </c>
      <c r="N113" s="5709">
        <f t="shared" si="118"/>
        <v>71.523566457243916</v>
      </c>
      <c r="O113" s="3225">
        <f t="shared" ref="O113:V113" si="119">+O94/O105</f>
        <v>60.344827586206897</v>
      </c>
      <c r="P113" s="5599">
        <f t="shared" si="119"/>
        <v>74.12548853401951</v>
      </c>
      <c r="Q113" s="2795">
        <f t="shared" si="119"/>
        <v>59.477929281257218</v>
      </c>
      <c r="R113" s="5412">
        <f t="shared" si="119"/>
        <v>72.387495602352132</v>
      </c>
      <c r="S113" s="3225">
        <f>+S94/S105</f>
        <v>62.5</v>
      </c>
      <c r="T113" s="5599">
        <f>+T94/T105</f>
        <v>72.102584745762712</v>
      </c>
      <c r="U113" s="2795">
        <f t="shared" si="119"/>
        <v>60.216692858390076</v>
      </c>
      <c r="V113" s="5412">
        <f t="shared" si="119"/>
        <v>72.312721948326356</v>
      </c>
      <c r="W113" s="3225">
        <f>+W94/W105</f>
        <v>60.377358490566039</v>
      </c>
      <c r="X113" s="5599">
        <f>+X94/X105</f>
        <v>75.636747139620084</v>
      </c>
      <c r="Y113" s="5714">
        <f t="shared" ref="Y113" si="120">+Y94/Y105</f>
        <v>61.077844311377248</v>
      </c>
      <c r="Z113" s="5709">
        <f t="shared" ref="Z113" si="121">+Z94/Z105</f>
        <v>73.798998348955692</v>
      </c>
      <c r="AA113" s="6640">
        <f t="shared" ref="AA113:AB113" si="122">+AA94/AA105</f>
        <v>60.246880317640382</v>
      </c>
      <c r="AB113" s="6604">
        <f t="shared" si="122"/>
        <v>72.863855617280052</v>
      </c>
      <c r="AC113" s="3225">
        <f>+AC94/AC105</f>
        <v>81.632653061224488</v>
      </c>
      <c r="AD113" s="3225">
        <f>+AD94/AD105</f>
        <v>81.322307459981857</v>
      </c>
      <c r="AE113" s="2795">
        <f t="shared" ref="AE113:AF113" si="123">+AE94/AE105</f>
        <v>63.41198501872659</v>
      </c>
      <c r="AF113" s="5412">
        <f t="shared" si="123"/>
        <v>73.989932061047213</v>
      </c>
      <c r="AG113" s="3225">
        <f>+AG94/AG105</f>
        <v>87.018867925000009</v>
      </c>
      <c r="AH113" s="3225">
        <f>+AH94/AH105</f>
        <v>70.552826896982495</v>
      </c>
      <c r="AI113" s="2795">
        <f t="shared" ref="AI113:AJ113" si="124">+AI94/AI105</f>
        <v>66.616427722929942</v>
      </c>
      <c r="AJ113" s="5412">
        <f t="shared" si="124"/>
        <v>73.44922148005756</v>
      </c>
      <c r="AK113" s="3225">
        <f>+AK94/AK105</f>
        <v>87.018867925000009</v>
      </c>
      <c r="AL113" s="5599">
        <f>+AL94/AL105</f>
        <v>80.894286490894274</v>
      </c>
      <c r="AM113" s="5714">
        <f t="shared" ref="AM113:AP113" si="125">+AM94/AM105</f>
        <v>85.307295108365764</v>
      </c>
      <c r="AN113" s="5709">
        <f t="shared" si="125"/>
        <v>77.089212862905612</v>
      </c>
      <c r="AO113" s="2795">
        <f t="shared" si="125"/>
        <v>69.104302066814896</v>
      </c>
      <c r="AP113" s="5412">
        <f t="shared" si="125"/>
        <v>74.394497334254936</v>
      </c>
      <c r="AQ113" s="3225">
        <f>+AQ94/AQ105</f>
        <v>87.018867925000009</v>
      </c>
      <c r="AR113" s="5599">
        <f>+AR94/AR105</f>
        <v>81.268996014138594</v>
      </c>
      <c r="AS113" s="2795">
        <f t="shared" ref="AS113:AT113" si="126">+AS94/AS105</f>
        <v>71.051378359320111</v>
      </c>
      <c r="AT113" s="5412">
        <f t="shared" si="126"/>
        <v>75.191355317997164</v>
      </c>
      <c r="AU113" s="3225">
        <f>+AU94/AU105</f>
        <v>78.513157894736835</v>
      </c>
      <c r="AV113" s="5599">
        <f>+AV94/AV105</f>
        <v>70.659407836254644</v>
      </c>
      <c r="AW113" s="2795">
        <f t="shared" ref="AW113:AX113" si="127">+AW94/AW105</f>
        <v>71.78287145153682</v>
      </c>
      <c r="AX113" s="5412">
        <f t="shared" si="127"/>
        <v>74.724892395085249</v>
      </c>
      <c r="AY113" s="3225">
        <f>+AY94/AY105</f>
        <v>87.245629699248127</v>
      </c>
      <c r="AZ113" s="5599">
        <f>+AZ94/AZ105</f>
        <v>76.175765928023097</v>
      </c>
      <c r="BA113" s="5714">
        <f t="shared" ref="BA113:BF113" si="128">+BA94/BA105</f>
        <v>84.259218506328338</v>
      </c>
      <c r="BB113" s="5709">
        <f t="shared" si="128"/>
        <v>76.057937901880948</v>
      </c>
      <c r="BC113" s="5714">
        <f>+BC94/BC105</f>
        <v>0</v>
      </c>
      <c r="BD113" s="5709">
        <f t="shared" ref="BD113" si="129">+BD94/BD105</f>
        <v>76.542654391115889</v>
      </c>
      <c r="BE113" s="6640">
        <f t="shared" si="128"/>
        <v>73.163382189904013</v>
      </c>
      <c r="BF113" s="6604">
        <f t="shared" si="128"/>
        <v>74.876910319246917</v>
      </c>
    </row>
    <row r="114" spans="2:58" s="3380" customFormat="1" x14ac:dyDescent="0.2">
      <c r="E114" s="4408"/>
      <c r="F114" s="3453"/>
      <c r="G114" s="4408"/>
      <c r="H114" s="3453"/>
      <c r="I114" s="4408"/>
      <c r="J114" s="3453"/>
      <c r="K114" s="4408"/>
      <c r="L114" s="3453"/>
      <c r="M114" s="4408"/>
      <c r="N114" s="3453"/>
      <c r="O114" s="4408"/>
      <c r="P114" s="3453"/>
      <c r="Q114" s="4408"/>
      <c r="R114" s="3453"/>
      <c r="S114" s="4408"/>
      <c r="T114" s="3453"/>
      <c r="U114" s="4408"/>
      <c r="V114" s="3453"/>
      <c r="W114" s="4408"/>
      <c r="X114" s="3453"/>
      <c r="Y114" s="4408"/>
      <c r="Z114" s="3453"/>
      <c r="AA114" s="4408"/>
      <c r="AB114" s="3453"/>
      <c r="AC114" s="4408"/>
      <c r="AD114" s="3453"/>
      <c r="AE114" s="4408"/>
      <c r="AF114" s="3453"/>
      <c r="AG114" s="4408"/>
      <c r="AH114" s="3453"/>
      <c r="AI114" s="4408"/>
      <c r="AJ114" s="3453"/>
      <c r="AK114" s="4408"/>
      <c r="AL114" s="3453"/>
      <c r="AM114" s="4408"/>
      <c r="AN114" s="3453"/>
      <c r="AO114" s="4408"/>
      <c r="AP114" s="3453"/>
      <c r="AQ114" s="4408"/>
      <c r="AR114" s="3453"/>
      <c r="AS114" s="4408"/>
      <c r="AT114" s="3453"/>
      <c r="AU114" s="4408"/>
      <c r="AV114" s="3453"/>
      <c r="AW114" s="4408"/>
      <c r="AX114" s="3453"/>
      <c r="AY114" s="4408"/>
      <c r="AZ114" s="3453"/>
      <c r="BA114" s="4408"/>
      <c r="BB114" s="3453"/>
      <c r="BC114" s="4408"/>
      <c r="BD114" s="3453"/>
      <c r="BE114" s="4408"/>
      <c r="BF114" s="3453"/>
    </row>
    <row r="115" spans="2:58" x14ac:dyDescent="0.2">
      <c r="B115" s="3938" t="s">
        <v>2112</v>
      </c>
      <c r="C115" s="3938"/>
      <c r="D115" s="1923" t="s">
        <v>170</v>
      </c>
      <c r="E115" s="5864"/>
      <c r="F115" s="5866">
        <v>184.23</v>
      </c>
      <c r="G115" s="5864"/>
      <c r="H115" s="5866">
        <v>211.35599999999999</v>
      </c>
      <c r="I115" s="5868"/>
      <c r="J115" s="5867">
        <f>+F115+H115</f>
        <v>395.58600000000001</v>
      </c>
      <c r="K115" s="5864"/>
      <c r="L115" s="5866">
        <v>289.33199999999999</v>
      </c>
      <c r="M115" s="5870"/>
      <c r="N115" s="2011">
        <f>+J115+L115</f>
        <v>684.91800000000001</v>
      </c>
      <c r="O115" s="5864"/>
      <c r="P115" s="5866">
        <v>307.8</v>
      </c>
      <c r="Q115" s="5868"/>
      <c r="R115" s="5867">
        <f>+N115+P115</f>
        <v>992.71800000000007</v>
      </c>
      <c r="S115" s="5864"/>
      <c r="T115" s="5866">
        <v>152</v>
      </c>
      <c r="U115" s="5868"/>
      <c r="V115" s="5867">
        <f>+R115+T115</f>
        <v>1144.7180000000001</v>
      </c>
      <c r="W115" s="5864"/>
      <c r="X115" s="5866">
        <v>349.22800000000001</v>
      </c>
      <c r="Y115" s="5870"/>
      <c r="Z115" s="2011">
        <f t="shared" ref="Z115:Z116" si="130">+P115+T115+X115</f>
        <v>809.02800000000002</v>
      </c>
      <c r="AA115" s="6641"/>
      <c r="AB115" s="6642">
        <f>+V115+X115</f>
        <v>1493.9460000000001</v>
      </c>
      <c r="AC115" s="5864"/>
      <c r="AD115" s="5866">
        <v>370.43399999999997</v>
      </c>
      <c r="AE115" s="5868"/>
      <c r="AF115" s="5867">
        <f>+AB115+AD115</f>
        <v>1864.38</v>
      </c>
      <c r="AG115" s="5864"/>
      <c r="AH115" s="5866">
        <v>434.15999999999997</v>
      </c>
      <c r="AI115" s="5868"/>
      <c r="AJ115" s="5867">
        <f>+AF115+AH115</f>
        <v>2298.54</v>
      </c>
      <c r="AK115" s="5864"/>
      <c r="AL115" s="5866">
        <v>417.44300000000015</v>
      </c>
      <c r="AM115" s="5870"/>
      <c r="AN115" s="2011">
        <f t="shared" ref="AN115:AN116" si="131">+AD115+AH115+AL115</f>
        <v>1222.037</v>
      </c>
      <c r="AO115" s="5868"/>
      <c r="AP115" s="5867">
        <f>+AJ115+AL115</f>
        <v>2715.9830000000002</v>
      </c>
      <c r="AQ115" s="5864"/>
      <c r="AR115" s="5866">
        <v>483.13200000000018</v>
      </c>
      <c r="AS115" s="5868"/>
      <c r="AT115" s="5867">
        <f>+AP115+AR115</f>
        <v>3199.1150000000002</v>
      </c>
      <c r="AU115" s="5864"/>
      <c r="AV115" s="5866">
        <v>379.3</v>
      </c>
      <c r="AW115" s="5868"/>
      <c r="AX115" s="5867">
        <f>+AT115+AV115</f>
        <v>3578.4150000000004</v>
      </c>
      <c r="AY115" s="5864"/>
      <c r="AZ115" s="5866">
        <v>546.702</v>
      </c>
      <c r="BA115" s="5870"/>
      <c r="BB115" s="2011">
        <f t="shared" ref="BB115:BB116" si="132">+AR115+AV115+AZ115</f>
        <v>1409.1340000000002</v>
      </c>
      <c r="BC115" s="5870"/>
      <c r="BD115" s="2011">
        <f t="shared" ref="BD115:BD117" si="133">+BB115+AN115</f>
        <v>2631.1710000000003</v>
      </c>
      <c r="BE115" s="6641"/>
      <c r="BF115" s="6642">
        <f>+AX115+AZ115</f>
        <v>4125.1170000000002</v>
      </c>
    </row>
    <row r="116" spans="2:58" x14ac:dyDescent="0.2">
      <c r="B116" s="3938" t="s">
        <v>2113</v>
      </c>
      <c r="C116" s="3938"/>
      <c r="D116" s="1923" t="s">
        <v>170</v>
      </c>
      <c r="E116" s="5864"/>
      <c r="F116" s="5866">
        <v>393.58320000000276</v>
      </c>
      <c r="G116" s="5864"/>
      <c r="H116" s="5866">
        <v>318.7552000000004</v>
      </c>
      <c r="I116" s="5868"/>
      <c r="J116" s="5867">
        <f t="shared" ref="J116:J120" si="134">+F116+H116</f>
        <v>712.33840000000316</v>
      </c>
      <c r="K116" s="5864"/>
      <c r="L116" s="5866">
        <v>656.61327199999346</v>
      </c>
      <c r="M116" s="5870"/>
      <c r="N116" s="2011">
        <f t="shared" ref="N116:N120" si="135">+J116+L116</f>
        <v>1368.9516719999965</v>
      </c>
      <c r="O116" s="5864"/>
      <c r="P116" s="5866">
        <v>684.23196800000289</v>
      </c>
      <c r="Q116" s="5868"/>
      <c r="R116" s="5867">
        <f t="shared" ref="R116:R120" si="136">+N116+P116</f>
        <v>2053.1836399999993</v>
      </c>
      <c r="S116" s="5864"/>
      <c r="T116" s="5866">
        <v>872.89396000000306</v>
      </c>
      <c r="U116" s="5868"/>
      <c r="V116" s="5867">
        <f t="shared" ref="V116" si="137">+R116+T116</f>
        <v>2926.0776000000023</v>
      </c>
      <c r="W116" s="5864"/>
      <c r="X116" s="5866">
        <v>611.0035840000088</v>
      </c>
      <c r="Y116" s="5870"/>
      <c r="Z116" s="2011">
        <f t="shared" si="130"/>
        <v>2168.1295120000145</v>
      </c>
      <c r="AA116" s="6641"/>
      <c r="AB116" s="6642">
        <f t="shared" ref="AB116" si="138">+V116+X116</f>
        <v>3537.081184000011</v>
      </c>
      <c r="AC116" s="5864"/>
      <c r="AD116" s="5866">
        <v>879.07120800000894</v>
      </c>
      <c r="AE116" s="5868"/>
      <c r="AF116" s="5867">
        <f>+AB116+AD116</f>
        <v>4416.15239200002</v>
      </c>
      <c r="AG116" s="5864"/>
      <c r="AH116" s="5866">
        <v>1406.8333600000124</v>
      </c>
      <c r="AI116" s="5868"/>
      <c r="AJ116" s="5867">
        <f t="shared" ref="AJ116" si="139">+AF116+AH116</f>
        <v>5822.9857520000323</v>
      </c>
      <c r="AK116" s="5864"/>
      <c r="AL116" s="5866">
        <v>1217.5203600000023</v>
      </c>
      <c r="AM116" s="5870"/>
      <c r="AN116" s="2011">
        <f t="shared" si="131"/>
        <v>3503.4249280000236</v>
      </c>
      <c r="AO116" s="5868"/>
      <c r="AP116" s="5867">
        <f t="shared" ref="AP116" si="140">+AJ116+AL116</f>
        <v>7040.5061120000346</v>
      </c>
      <c r="AQ116" s="5864"/>
      <c r="AR116" s="5866">
        <v>1150.3980800000086</v>
      </c>
      <c r="AS116" s="5868"/>
      <c r="AT116" s="5867">
        <f t="shared" ref="AT116" si="141">+AP116+AR116</f>
        <v>8190.9041920000436</v>
      </c>
      <c r="AU116" s="5864"/>
      <c r="AV116" s="5866">
        <v>982.84</v>
      </c>
      <c r="AW116" s="5868"/>
      <c r="AX116" s="5867">
        <f t="shared" ref="AX116" si="142">+AT116+AV116</f>
        <v>9173.7441920000438</v>
      </c>
      <c r="AY116" s="5864"/>
      <c r="AZ116" s="5866">
        <v>878.67970000000003</v>
      </c>
      <c r="BA116" s="5870"/>
      <c r="BB116" s="2011">
        <f t="shared" si="132"/>
        <v>3011.9177800000089</v>
      </c>
      <c r="BC116" s="5870"/>
      <c r="BD116" s="2011">
        <f t="shared" si="133"/>
        <v>6515.3427080000329</v>
      </c>
      <c r="BE116" s="6641"/>
      <c r="BF116" s="6642">
        <f t="shared" ref="BF116" si="143">+AX116+AZ116</f>
        <v>10052.423892000044</v>
      </c>
    </row>
    <row r="117" spans="2:58" s="6289" customFormat="1" x14ac:dyDescent="0.2">
      <c r="B117" s="6298" t="s">
        <v>2168</v>
      </c>
      <c r="C117" s="6298"/>
      <c r="D117" s="6299" t="s">
        <v>170</v>
      </c>
      <c r="E117" s="6300"/>
      <c r="F117" s="6084">
        <f>SUM(F115:F116)</f>
        <v>577.81320000000278</v>
      </c>
      <c r="G117" s="6300"/>
      <c r="H117" s="6084">
        <f>SUM(H115:H116)</f>
        <v>530.11120000000039</v>
      </c>
      <c r="I117" s="5868"/>
      <c r="J117" s="5867">
        <f>SUM(J115:J116)</f>
        <v>1107.9244000000031</v>
      </c>
      <c r="K117" s="6300"/>
      <c r="L117" s="6084">
        <f>SUM(L115:L116)</f>
        <v>945.94527199999345</v>
      </c>
      <c r="M117" s="5870"/>
      <c r="N117" s="2011">
        <f>SUM(N115:N116)</f>
        <v>2053.8696719999966</v>
      </c>
      <c r="O117" s="6300"/>
      <c r="P117" s="6084">
        <f>SUM(P115:P116)</f>
        <v>992.03196800000296</v>
      </c>
      <c r="Q117" s="5868"/>
      <c r="R117" s="5867">
        <f>SUM(R115:R116)</f>
        <v>3045.9016399999991</v>
      </c>
      <c r="S117" s="6300"/>
      <c r="T117" s="6084">
        <f>SUM(T115:T116)</f>
        <v>1024.8939600000031</v>
      </c>
      <c r="U117" s="5868"/>
      <c r="V117" s="5867">
        <f>SUM(V115:V116)</f>
        <v>4070.7956000000022</v>
      </c>
      <c r="W117" s="6300"/>
      <c r="X117" s="6084">
        <f>SUM(X115:X116)</f>
        <v>960.23158400000875</v>
      </c>
      <c r="Y117" s="5870"/>
      <c r="Z117" s="2011">
        <f>SUM(Z115:Z116)</f>
        <v>2977.1575120000143</v>
      </c>
      <c r="AA117" s="6641"/>
      <c r="AB117" s="6642">
        <f>SUM(AB115:AB116)</f>
        <v>5031.0271840000114</v>
      </c>
      <c r="AC117" s="6300"/>
      <c r="AD117" s="6084">
        <f>SUM(AD115:AD116)</f>
        <v>1249.5052080000089</v>
      </c>
      <c r="AE117" s="5868"/>
      <c r="AF117" s="5867">
        <f>SUM(AF115:AF116)</f>
        <v>6280.5323920000201</v>
      </c>
      <c r="AG117" s="6300"/>
      <c r="AH117" s="6084">
        <f>SUM(AH115:AH116)</f>
        <v>1840.9933600000122</v>
      </c>
      <c r="AI117" s="5868"/>
      <c r="AJ117" s="5867">
        <f>SUM(AJ115:AJ116)</f>
        <v>8121.5257520000323</v>
      </c>
      <c r="AK117" s="6300"/>
      <c r="AL117" s="6084">
        <f>SUM(AL115:AL116)</f>
        <v>1634.9633600000025</v>
      </c>
      <c r="AM117" s="5870"/>
      <c r="AN117" s="2011">
        <f>SUM(AN115:AN116)</f>
        <v>4725.4619280000234</v>
      </c>
      <c r="AO117" s="5868"/>
      <c r="AP117" s="5867">
        <f>SUM(AP115:AP116)</f>
        <v>9756.4891120000357</v>
      </c>
      <c r="AQ117" s="6300"/>
      <c r="AR117" s="6084">
        <f>SUM(AR115:AR116)</f>
        <v>1633.5300800000086</v>
      </c>
      <c r="AS117" s="5868"/>
      <c r="AT117" s="5867">
        <f>SUM(AT115:AT116)</f>
        <v>11390.019192000043</v>
      </c>
      <c r="AU117" s="6300"/>
      <c r="AV117" s="6084">
        <f>SUM(AV115:AV116)</f>
        <v>1362.14</v>
      </c>
      <c r="AW117" s="5868"/>
      <c r="AX117" s="5867">
        <f>SUM(AX115:AX116)</f>
        <v>12752.159192000045</v>
      </c>
      <c r="AY117" s="6300"/>
      <c r="AZ117" s="6084">
        <f>SUM(AZ115:AZ116)</f>
        <v>1425.3816999999999</v>
      </c>
      <c r="BA117" s="5870"/>
      <c r="BB117" s="2011">
        <f>SUM(BB115:BB116)</f>
        <v>4421.0517800000089</v>
      </c>
      <c r="BC117" s="5870"/>
      <c r="BD117" s="2011">
        <f t="shared" si="133"/>
        <v>9146.5137080000313</v>
      </c>
      <c r="BE117" s="6641"/>
      <c r="BF117" s="6642">
        <f>SUM(BF115:BF116)</f>
        <v>14177.540892000045</v>
      </c>
    </row>
    <row r="118" spans="2:58" s="6289" customFormat="1" x14ac:dyDescent="0.2">
      <c r="B118" s="6298" t="s">
        <v>2164</v>
      </c>
      <c r="C118" s="6298"/>
      <c r="D118" s="6299" t="s">
        <v>169</v>
      </c>
      <c r="E118" s="6300"/>
      <c r="F118" s="6301">
        <f>+F117/F5</f>
        <v>3.8223728732831155E-2</v>
      </c>
      <c r="G118" s="6300"/>
      <c r="H118" s="6301">
        <f>+H117/H5</f>
        <v>2.8712321561241358E-2</v>
      </c>
      <c r="I118" s="5868"/>
      <c r="J118" s="6293">
        <f>+J117/J5</f>
        <v>3.2994113037623063E-2</v>
      </c>
      <c r="K118" s="6300"/>
      <c r="L118" s="6301">
        <f>+L117/L5</f>
        <v>2.8963288867009496E-2</v>
      </c>
      <c r="M118" s="5870"/>
      <c r="N118" s="6294">
        <f>+N117/N5</f>
        <v>3.1006671960176525E-2</v>
      </c>
      <c r="O118" s="6300"/>
      <c r="P118" s="6301">
        <f>+P117/P5</f>
        <v>2.9150715627007068E-2</v>
      </c>
      <c r="Q118" s="5868"/>
      <c r="R118" s="6293">
        <f>+R117/R5</f>
        <v>3.0376774321202771E-2</v>
      </c>
      <c r="S118" s="6300"/>
      <c r="T118" s="6301">
        <f>+T117/T5</f>
        <v>2.8898171283958562E-2</v>
      </c>
      <c r="U118" s="5868"/>
      <c r="V118" s="6293">
        <f>+V117/V5</f>
        <v>2.9990439634549743E-2</v>
      </c>
      <c r="W118" s="6300"/>
      <c r="X118" s="6301">
        <f>+X117/X5</f>
        <v>3.3903424952425147E-2</v>
      </c>
      <c r="Y118" s="5870"/>
      <c r="Z118" s="6294">
        <f>+Z117/Z5</f>
        <v>3.0435248274337728E-2</v>
      </c>
      <c r="AA118" s="6641"/>
      <c r="AB118" s="6643">
        <f>+AB117/AB5</f>
        <v>3.0665963318061804E-2</v>
      </c>
      <c r="AC118" s="6300"/>
      <c r="AD118" s="6301">
        <f>+AD117/AD5</f>
        <v>4.3844701766213329E-2</v>
      </c>
      <c r="AE118" s="5868"/>
      <c r="AF118" s="6293">
        <f>+AF117/AF5</f>
        <v>3.2616411930886505E-2</v>
      </c>
      <c r="AG118" s="6300"/>
      <c r="AH118" s="6301">
        <f>+AH117/AH5</f>
        <v>5.2613268759863399E-2</v>
      </c>
      <c r="AI118" s="5868"/>
      <c r="AJ118" s="6293">
        <f>+AJ117/AJ5</f>
        <v>3.5691409278836218E-2</v>
      </c>
      <c r="AK118" s="6300"/>
      <c r="AL118" s="6301">
        <f>+AL117/AL5</f>
        <v>4.4335636478899342E-2</v>
      </c>
      <c r="AM118" s="5870"/>
      <c r="AN118" s="6294">
        <f>+AN117/AN5</f>
        <v>4.7082094008819013E-2</v>
      </c>
      <c r="AO118" s="5868"/>
      <c r="AP118" s="6293">
        <f>+AP117/AP5</f>
        <v>3.6896939292889327E-2</v>
      </c>
      <c r="AQ118" s="6300"/>
      <c r="AR118" s="6301">
        <f>+AR117/AR5</f>
        <v>4.2768193460003788E-2</v>
      </c>
      <c r="AS118" s="5868"/>
      <c r="AT118" s="6293">
        <f>+AT117/AT5</f>
        <v>3.7637974599644367E-2</v>
      </c>
      <c r="AU118" s="6300"/>
      <c r="AV118" s="6301">
        <f>+AV117/AV5</f>
        <v>4.1493808797416119E-2</v>
      </c>
      <c r="AW118" s="5868"/>
      <c r="AX118" s="6293">
        <f>+AX117/AX5</f>
        <v>3.8015313558850114E-2</v>
      </c>
      <c r="AY118" s="6300"/>
      <c r="AZ118" s="6301">
        <f>+AZ117/AZ5</f>
        <v>3.5636106925094009E-2</v>
      </c>
      <c r="BA118" s="5870"/>
      <c r="BB118" s="6294">
        <f>+BB117/BB5</f>
        <v>3.9821845042738786E-2</v>
      </c>
      <c r="BC118" s="5870"/>
      <c r="BD118" s="6294">
        <f>+BD117/BD5</f>
        <v>4.3269004090418062E-2</v>
      </c>
      <c r="BE118" s="6641"/>
      <c r="BF118" s="6643">
        <f>+BF117/BF5</f>
        <v>3.7761844252949921E-2</v>
      </c>
    </row>
    <row r="119" spans="2:58" s="6289" customFormat="1" x14ac:dyDescent="0.2">
      <c r="B119" s="6298" t="s">
        <v>2167</v>
      </c>
      <c r="C119" s="6298"/>
      <c r="D119" s="6299" t="s">
        <v>170</v>
      </c>
      <c r="E119" s="6300"/>
      <c r="F119" s="6302">
        <f>+F96</f>
        <v>149.04000000000002</v>
      </c>
      <c r="G119" s="6300"/>
      <c r="H119" s="6302">
        <f>+H96</f>
        <v>336.93</v>
      </c>
      <c r="I119" s="5868"/>
      <c r="J119" s="6303">
        <f>+J96</f>
        <v>485.96999999999997</v>
      </c>
      <c r="K119" s="6300"/>
      <c r="L119" s="6302">
        <f>+L96</f>
        <v>529.41599999999994</v>
      </c>
      <c r="M119" s="5870"/>
      <c r="N119" s="6304">
        <f>+N96</f>
        <v>1015.386</v>
      </c>
      <c r="O119" s="6300"/>
      <c r="P119" s="6302">
        <f>+P96</f>
        <v>500.03999999999996</v>
      </c>
      <c r="Q119" s="5868"/>
      <c r="R119" s="6303">
        <f>+R96</f>
        <v>1515.4259999999999</v>
      </c>
      <c r="S119" s="6300"/>
      <c r="T119" s="6302">
        <f>+T96</f>
        <v>728.45999999999992</v>
      </c>
      <c r="U119" s="5868"/>
      <c r="V119" s="6303">
        <f>+V96</f>
        <v>2243.886</v>
      </c>
      <c r="W119" s="6300"/>
      <c r="X119" s="6302">
        <f>+X96</f>
        <v>313.97399999999999</v>
      </c>
      <c r="Y119" s="5870"/>
      <c r="Z119" s="6304">
        <f>+Z96</f>
        <v>1542.4740000000002</v>
      </c>
      <c r="AA119" s="6641"/>
      <c r="AB119" s="6644">
        <f>+AB96</f>
        <v>2557.86</v>
      </c>
      <c r="AC119" s="6300"/>
      <c r="AD119" s="6302">
        <f>+AD96</f>
        <v>322.17399999999998</v>
      </c>
      <c r="AE119" s="5868"/>
      <c r="AF119" s="6303">
        <f>+AF96</f>
        <v>2880.0340000000001</v>
      </c>
      <c r="AG119" s="6300"/>
      <c r="AH119" s="6302">
        <f>+AH96</f>
        <v>350.85399999999998</v>
      </c>
      <c r="AI119" s="5868"/>
      <c r="AJ119" s="6303">
        <f>+AJ96</f>
        <v>3230.8879999999999</v>
      </c>
      <c r="AK119" s="6300"/>
      <c r="AL119" s="6302">
        <f>+AL96</f>
        <v>240.01799999999997</v>
      </c>
      <c r="AM119" s="5870"/>
      <c r="AN119" s="6304">
        <f>+AN96</f>
        <v>913.04599999999994</v>
      </c>
      <c r="AO119" s="5868"/>
      <c r="AP119" s="6303">
        <f>+AP96</f>
        <v>3470.9059999999995</v>
      </c>
      <c r="AQ119" s="6300"/>
      <c r="AR119" s="6302">
        <f>+AR96</f>
        <v>370.44200000000001</v>
      </c>
      <c r="AS119" s="5868"/>
      <c r="AT119" s="6303">
        <f>+AT96</f>
        <v>3841.348</v>
      </c>
      <c r="AU119" s="6300"/>
      <c r="AV119" s="6302">
        <f>+AV96</f>
        <v>119.41600000000001</v>
      </c>
      <c r="AW119" s="5868"/>
      <c r="AX119" s="6303">
        <f>+AX96</f>
        <v>3960.7640000000001</v>
      </c>
      <c r="AY119" s="6300"/>
      <c r="AZ119" s="6302">
        <f>+AZ96</f>
        <v>419.74200000000002</v>
      </c>
      <c r="BA119" s="5870"/>
      <c r="BB119" s="6304">
        <f>+BB96</f>
        <v>909.6</v>
      </c>
      <c r="BC119" s="5870"/>
      <c r="BD119" s="6304">
        <f>+BD96</f>
        <v>1822.646</v>
      </c>
      <c r="BE119" s="6641"/>
      <c r="BF119" s="6644">
        <f>+BF96</f>
        <v>4380.5060000000003</v>
      </c>
    </row>
    <row r="120" spans="2:58" x14ac:dyDescent="0.2">
      <c r="B120" s="3938" t="s">
        <v>2114</v>
      </c>
      <c r="C120" s="3938"/>
      <c r="D120" s="1923" t="s">
        <v>170</v>
      </c>
      <c r="E120" s="5865"/>
      <c r="F120" s="5866">
        <v>172.39679999999998</v>
      </c>
      <c r="G120" s="5865"/>
      <c r="H120" s="5866">
        <v>265.01580000000001</v>
      </c>
      <c r="I120" s="5869"/>
      <c r="J120" s="5867">
        <f t="shared" si="134"/>
        <v>437.4126</v>
      </c>
      <c r="K120" s="5865"/>
      <c r="L120" s="5866">
        <v>376.05772800000005</v>
      </c>
      <c r="M120" s="5871"/>
      <c r="N120" s="2011">
        <f t="shared" si="135"/>
        <v>813.47032800000011</v>
      </c>
      <c r="O120" s="5865"/>
      <c r="P120" s="5866">
        <v>391.76803200000006</v>
      </c>
      <c r="Q120" s="5869"/>
      <c r="R120" s="5867">
        <f t="shared" si="136"/>
        <v>1205.2383600000003</v>
      </c>
      <c r="S120" s="5865"/>
      <c r="T120" s="5866">
        <v>408.38903999999997</v>
      </c>
      <c r="U120" s="5869"/>
      <c r="V120" s="5867">
        <f t="shared" ref="V120" si="144">+R120+T120</f>
        <v>1613.6274000000003</v>
      </c>
      <c r="W120" s="5865"/>
      <c r="X120" s="5866">
        <v>324.45441599999992</v>
      </c>
      <c r="Y120" s="5871"/>
      <c r="Z120" s="2011">
        <f t="shared" ref="Z120" si="145">+P120+T120+X120</f>
        <v>1124.611488</v>
      </c>
      <c r="AA120" s="6645"/>
      <c r="AB120" s="6642">
        <f t="shared" ref="AB120" si="146">+V120+X120</f>
        <v>1938.0818160000003</v>
      </c>
      <c r="AC120" s="5865"/>
      <c r="AD120" s="5866">
        <v>323.10979199999997</v>
      </c>
      <c r="AE120" s="5869"/>
      <c r="AF120" s="5867">
        <f>+AB120+AD120</f>
        <v>2261.1916080000001</v>
      </c>
      <c r="AG120" s="5865"/>
      <c r="AH120" s="5866">
        <v>393.08363999999995</v>
      </c>
      <c r="AI120" s="5869"/>
      <c r="AJ120" s="5867">
        <f t="shared" ref="AJ120" si="147">+AF120+AH120</f>
        <v>2654.2752479999999</v>
      </c>
      <c r="AK120" s="5865"/>
      <c r="AL120" s="5866">
        <v>520.8176400000001</v>
      </c>
      <c r="AM120" s="5871"/>
      <c r="AN120" s="2011">
        <f t="shared" ref="AN120" si="148">+AD120+AH120+AL120</f>
        <v>1237.011072</v>
      </c>
      <c r="AO120" s="5869"/>
      <c r="AP120" s="5867">
        <f t="shared" ref="AP120" si="149">+AJ120+AL120</f>
        <v>3175.0928880000001</v>
      </c>
      <c r="AQ120" s="5865"/>
      <c r="AR120" s="5866">
        <v>540.3169200000001</v>
      </c>
      <c r="AS120" s="5869"/>
      <c r="AT120" s="5867">
        <f t="shared" ref="AT120" si="150">+AP120+AR120</f>
        <v>3715.4098080000003</v>
      </c>
      <c r="AU120" s="5865"/>
      <c r="AV120" s="5866">
        <v>465.01</v>
      </c>
      <c r="AW120" s="5869"/>
      <c r="AX120" s="5867">
        <f t="shared" ref="AX120" si="151">+AT120+AV120</f>
        <v>4180.4198080000006</v>
      </c>
      <c r="AY120" s="5865"/>
      <c r="AZ120" s="5866">
        <v>570.04229999999995</v>
      </c>
      <c r="BA120" s="5871"/>
      <c r="BB120" s="2011">
        <f t="shared" ref="BB120" si="152">+AR120+AV120+AZ120</f>
        <v>1575.36922</v>
      </c>
      <c r="BC120" s="5871"/>
      <c r="BD120" s="2011">
        <f t="shared" ref="BD120" si="153">+BB120+AN120</f>
        <v>2812.3802919999998</v>
      </c>
      <c r="BE120" s="6645"/>
      <c r="BF120" s="6642">
        <f t="shared" ref="BF120" si="154">+AX120+AZ120</f>
        <v>4750.4621080000006</v>
      </c>
    </row>
    <row r="121" spans="2:58" s="3380" customFormat="1" x14ac:dyDescent="0.2">
      <c r="E121" s="4408"/>
      <c r="F121" s="3453"/>
      <c r="G121" s="4408"/>
      <c r="H121" s="3453"/>
      <c r="I121" s="4408"/>
      <c r="J121" s="3453"/>
      <c r="K121" s="4408"/>
      <c r="L121" s="3453"/>
      <c r="M121" s="4408"/>
      <c r="N121" s="3453"/>
      <c r="O121" s="4408"/>
      <c r="P121" s="3453"/>
      <c r="Q121" s="4408"/>
      <c r="R121" s="3453"/>
      <c r="S121" s="4408"/>
      <c r="T121" s="3453"/>
      <c r="U121" s="4408"/>
      <c r="V121" s="3453"/>
      <c r="W121" s="4408"/>
      <c r="X121" s="3453"/>
      <c r="Y121" s="4408"/>
      <c r="Z121" s="3453"/>
      <c r="AA121" s="4408"/>
      <c r="AB121" s="3453"/>
      <c r="AC121" s="4408"/>
      <c r="AD121" s="3453"/>
      <c r="AE121" s="4408"/>
      <c r="AF121" s="3453"/>
      <c r="AG121" s="4408"/>
      <c r="AH121" s="3453"/>
      <c r="AI121" s="4408"/>
      <c r="AJ121" s="3453"/>
      <c r="AK121" s="4408"/>
      <c r="AL121" s="3453"/>
      <c r="AM121" s="4408"/>
      <c r="AN121" s="3453"/>
      <c r="AO121" s="4408"/>
      <c r="AP121" s="3453"/>
      <c r="AQ121" s="4408"/>
      <c r="AR121" s="3453"/>
      <c r="AS121" s="4408"/>
      <c r="AT121" s="3453"/>
      <c r="AU121" s="4408"/>
      <c r="AV121" s="3453"/>
      <c r="AW121" s="4408"/>
      <c r="AX121" s="3453"/>
      <c r="AY121" s="4408"/>
      <c r="AZ121" s="3453"/>
      <c r="BA121" s="4408"/>
      <c r="BB121" s="3453"/>
      <c r="BC121" s="8367"/>
      <c r="BD121" s="3453"/>
      <c r="BE121" s="4408"/>
      <c r="BF121" s="3453"/>
    </row>
    <row r="122" spans="2:58" s="3380" customFormat="1" ht="19" x14ac:dyDescent="0.25">
      <c r="B122" s="6660" t="s">
        <v>2169</v>
      </c>
      <c r="C122" s="6660"/>
      <c r="X122" s="3453"/>
      <c r="AL122" s="3453"/>
      <c r="AR122" s="3453"/>
      <c r="AV122" s="3453"/>
      <c r="AZ122" s="3453"/>
      <c r="BB122" s="8134"/>
    </row>
    <row r="123" spans="2:58" x14ac:dyDescent="0.2">
      <c r="B123" s="3938" t="s">
        <v>2170</v>
      </c>
      <c r="C123" s="3938"/>
      <c r="D123" s="1923" t="s">
        <v>170</v>
      </c>
      <c r="E123" s="5865"/>
      <c r="F123" s="5866">
        <f>+F5</f>
        <v>15116.61</v>
      </c>
      <c r="G123" s="5865"/>
      <c r="H123" s="5866">
        <f>+H5</f>
        <v>18462.847000000002</v>
      </c>
      <c r="I123" s="5869"/>
      <c r="J123" s="5867">
        <f>+J5</f>
        <v>33579.457000000002</v>
      </c>
      <c r="K123" s="5865"/>
      <c r="L123" s="5866">
        <f>+L5</f>
        <v>32660.146999999997</v>
      </c>
      <c r="M123" s="5871"/>
      <c r="N123" s="6305">
        <f>+N5</f>
        <v>66239.603999999992</v>
      </c>
      <c r="O123" s="5865"/>
      <c r="P123" s="5866">
        <f>+P5</f>
        <v>34031.136000000006</v>
      </c>
      <c r="Q123" s="5869"/>
      <c r="R123" s="5867">
        <f>+R5</f>
        <v>100270.73999999999</v>
      </c>
      <c r="S123" s="5865"/>
      <c r="T123" s="5866">
        <f>+T5</f>
        <v>35465.703000000001</v>
      </c>
      <c r="U123" s="5869"/>
      <c r="V123" s="5867">
        <f>+V5</f>
        <v>135736.443</v>
      </c>
      <c r="W123" s="5865"/>
      <c r="X123" s="5866">
        <f>+X5</f>
        <v>28322.554000000004</v>
      </c>
      <c r="Y123" s="5871"/>
      <c r="Z123" s="6305">
        <f>+Z5</f>
        <v>97819.393000000011</v>
      </c>
      <c r="AA123" s="6645"/>
      <c r="AB123" s="6642">
        <f>+AB5</f>
        <v>164058.997</v>
      </c>
      <c r="AC123" s="5865"/>
      <c r="AD123" s="5866">
        <f>+AD5</f>
        <v>28498.431000000004</v>
      </c>
      <c r="AE123" s="5869"/>
      <c r="AF123" s="5867">
        <f>+AF5</f>
        <v>192557.42800000001</v>
      </c>
      <c r="AG123" s="5865"/>
      <c r="AH123" s="5866">
        <f>+AH5</f>
        <v>34991.047000000006</v>
      </c>
      <c r="AI123" s="5869"/>
      <c r="AJ123" s="5867">
        <f>+AJ5</f>
        <v>227548.47500000003</v>
      </c>
      <c r="AK123" s="5865"/>
      <c r="AL123" s="5866">
        <f>+AL5</f>
        <v>36876.957000000002</v>
      </c>
      <c r="AM123" s="5871"/>
      <c r="AN123" s="6305">
        <f>+AN5</f>
        <v>100366.43500000001</v>
      </c>
      <c r="AO123" s="5869"/>
      <c r="AP123" s="5867">
        <f>+AP5</f>
        <v>264425.43200000003</v>
      </c>
      <c r="AQ123" s="5865"/>
      <c r="AR123" s="5866">
        <f>+AR5</f>
        <v>38194.975000000013</v>
      </c>
      <c r="AS123" s="5869"/>
      <c r="AT123" s="5867">
        <f>+AT5</f>
        <v>302620.40700000006</v>
      </c>
      <c r="AU123" s="5865"/>
      <c r="AV123" s="5866">
        <f>+AV5</f>
        <v>32827.548000000003</v>
      </c>
      <c r="AW123" s="5869"/>
      <c r="AX123" s="5867">
        <f>+AX5</f>
        <v>335447.95500000007</v>
      </c>
      <c r="AY123" s="5865"/>
      <c r="AZ123" s="5866">
        <f>+AZ5</f>
        <v>39998.243999999999</v>
      </c>
      <c r="BA123" s="5871"/>
      <c r="BB123" s="6305">
        <f>+BB5</f>
        <v>111020.76700000002</v>
      </c>
      <c r="BC123" s="5871"/>
      <c r="BD123" s="6305">
        <f>+BD5</f>
        <v>211387.20200000005</v>
      </c>
      <c r="BE123" s="6645"/>
      <c r="BF123" s="6642">
        <f>+BF5</f>
        <v>375446.19900000008</v>
      </c>
    </row>
    <row r="124" spans="2:58" ht="32" x14ac:dyDescent="0.2">
      <c r="B124" s="6307" t="s">
        <v>2176</v>
      </c>
      <c r="C124" s="7407"/>
      <c r="D124" s="1923" t="s">
        <v>170</v>
      </c>
      <c r="E124" s="5865"/>
      <c r="F124" s="5866">
        <f>+F117</f>
        <v>577.81320000000278</v>
      </c>
      <c r="G124" s="5865"/>
      <c r="H124" s="5866">
        <f>+H117</f>
        <v>530.11120000000039</v>
      </c>
      <c r="I124" s="5869"/>
      <c r="J124" s="5867">
        <f>+J117</f>
        <v>1107.9244000000031</v>
      </c>
      <c r="K124" s="5865"/>
      <c r="L124" s="5866">
        <f>+L117</f>
        <v>945.94527199999345</v>
      </c>
      <c r="M124" s="5871"/>
      <c r="N124" s="6305">
        <f>+N117</f>
        <v>2053.8696719999966</v>
      </c>
      <c r="O124" s="5865"/>
      <c r="P124" s="5866">
        <f>+P117</f>
        <v>992.03196800000296</v>
      </c>
      <c r="Q124" s="5869"/>
      <c r="R124" s="5867">
        <f>+R117</f>
        <v>3045.9016399999991</v>
      </c>
      <c r="S124" s="5865"/>
      <c r="T124" s="5866">
        <f>+T117</f>
        <v>1024.8939600000031</v>
      </c>
      <c r="U124" s="5869"/>
      <c r="V124" s="5867">
        <f>+V117</f>
        <v>4070.7956000000022</v>
      </c>
      <c r="W124" s="5865"/>
      <c r="X124" s="5866">
        <f>+X117</f>
        <v>960.23158400000875</v>
      </c>
      <c r="Y124" s="5871"/>
      <c r="Z124" s="6305">
        <f>+Z117</f>
        <v>2977.1575120000143</v>
      </c>
      <c r="AA124" s="6645"/>
      <c r="AB124" s="6642">
        <f>+AB117</f>
        <v>5031.0271840000114</v>
      </c>
      <c r="AC124" s="5865"/>
      <c r="AD124" s="5866">
        <f>+AD117</f>
        <v>1249.5052080000089</v>
      </c>
      <c r="AE124" s="5869"/>
      <c r="AF124" s="5867">
        <f>+AF117</f>
        <v>6280.5323920000201</v>
      </c>
      <c r="AG124" s="5865"/>
      <c r="AH124" s="5866">
        <f>+AH117</f>
        <v>1840.9933600000122</v>
      </c>
      <c r="AI124" s="5869"/>
      <c r="AJ124" s="5867">
        <f>+AJ117</f>
        <v>8121.5257520000323</v>
      </c>
      <c r="AK124" s="5865"/>
      <c r="AL124" s="5866">
        <f>+AL117</f>
        <v>1634.9633600000025</v>
      </c>
      <c r="AM124" s="5871"/>
      <c r="AN124" s="6305">
        <f>+AN117</f>
        <v>4725.4619280000234</v>
      </c>
      <c r="AO124" s="5869"/>
      <c r="AP124" s="5867">
        <f>+AP117</f>
        <v>9756.4891120000357</v>
      </c>
      <c r="AQ124" s="5865"/>
      <c r="AR124" s="5866">
        <f>+AR117</f>
        <v>1633.5300800000086</v>
      </c>
      <c r="AS124" s="5869"/>
      <c r="AT124" s="5867">
        <f>+AT117</f>
        <v>11390.019192000043</v>
      </c>
      <c r="AU124" s="5865"/>
      <c r="AV124" s="5866">
        <f>+AV117</f>
        <v>1362.14</v>
      </c>
      <c r="AW124" s="5869"/>
      <c r="AX124" s="5867">
        <f>+AX117</f>
        <v>12752.159192000045</v>
      </c>
      <c r="AY124" s="5865"/>
      <c r="AZ124" s="5866">
        <f>+AZ117</f>
        <v>1425.3816999999999</v>
      </c>
      <c r="BA124" s="5871"/>
      <c r="BB124" s="6305">
        <f>+BB117</f>
        <v>4421.0517800000089</v>
      </c>
      <c r="BC124" s="5871"/>
      <c r="BD124" s="6305">
        <f>+BD117</f>
        <v>9146.5137080000313</v>
      </c>
      <c r="BE124" s="6645"/>
      <c r="BF124" s="6642">
        <f>+BF117</f>
        <v>14177.540892000045</v>
      </c>
    </row>
    <row r="125" spans="2:58" x14ac:dyDescent="0.2">
      <c r="B125" s="3938" t="s">
        <v>2114</v>
      </c>
      <c r="C125" s="3938"/>
      <c r="D125" s="1923" t="s">
        <v>170</v>
      </c>
      <c r="E125" s="5865"/>
      <c r="F125" s="5866">
        <f>+F120</f>
        <v>172.39679999999998</v>
      </c>
      <c r="G125" s="5865"/>
      <c r="H125" s="5866">
        <f>+H120</f>
        <v>265.01580000000001</v>
      </c>
      <c r="I125" s="5869"/>
      <c r="J125" s="5867">
        <f>+J120</f>
        <v>437.4126</v>
      </c>
      <c r="K125" s="5865"/>
      <c r="L125" s="5866">
        <f>+L120</f>
        <v>376.05772800000005</v>
      </c>
      <c r="M125" s="5871"/>
      <c r="N125" s="6305">
        <f>+N120</f>
        <v>813.47032800000011</v>
      </c>
      <c r="O125" s="5865"/>
      <c r="P125" s="5866">
        <f>+P120</f>
        <v>391.76803200000006</v>
      </c>
      <c r="Q125" s="5869"/>
      <c r="R125" s="5867">
        <f>+R120</f>
        <v>1205.2383600000003</v>
      </c>
      <c r="S125" s="5865"/>
      <c r="T125" s="5866">
        <f>+T120</f>
        <v>408.38903999999997</v>
      </c>
      <c r="U125" s="5869"/>
      <c r="V125" s="5867">
        <f>+V120</f>
        <v>1613.6274000000003</v>
      </c>
      <c r="W125" s="5865"/>
      <c r="X125" s="5866">
        <f>+X120</f>
        <v>324.45441599999992</v>
      </c>
      <c r="Y125" s="5871"/>
      <c r="Z125" s="6305">
        <f>+Z120</f>
        <v>1124.611488</v>
      </c>
      <c r="AA125" s="6645"/>
      <c r="AB125" s="6642">
        <f>+AB120</f>
        <v>1938.0818160000003</v>
      </c>
      <c r="AC125" s="5865"/>
      <c r="AD125" s="5866">
        <f>+AD120</f>
        <v>323.10979199999997</v>
      </c>
      <c r="AE125" s="5869"/>
      <c r="AF125" s="5867">
        <f>+AF120</f>
        <v>2261.1916080000001</v>
      </c>
      <c r="AG125" s="5865"/>
      <c r="AH125" s="5866">
        <f>+AH120</f>
        <v>393.08363999999995</v>
      </c>
      <c r="AI125" s="5869"/>
      <c r="AJ125" s="5867">
        <f>+AJ120</f>
        <v>2654.2752479999999</v>
      </c>
      <c r="AK125" s="5865"/>
      <c r="AL125" s="5866">
        <f>+AL120</f>
        <v>520.8176400000001</v>
      </c>
      <c r="AM125" s="5871"/>
      <c r="AN125" s="6305">
        <f>+AN120</f>
        <v>1237.011072</v>
      </c>
      <c r="AO125" s="5869"/>
      <c r="AP125" s="5867">
        <f>+AP120</f>
        <v>3175.0928880000001</v>
      </c>
      <c r="AQ125" s="5865"/>
      <c r="AR125" s="5866">
        <f>+AR120</f>
        <v>540.3169200000001</v>
      </c>
      <c r="AS125" s="5869"/>
      <c r="AT125" s="5867">
        <f>+AT120</f>
        <v>3715.4098080000003</v>
      </c>
      <c r="AU125" s="5865"/>
      <c r="AV125" s="5866">
        <f>+AV120</f>
        <v>465.01</v>
      </c>
      <c r="AW125" s="5869"/>
      <c r="AX125" s="5867">
        <f>+AX120</f>
        <v>4180.4198080000006</v>
      </c>
      <c r="AY125" s="5865"/>
      <c r="AZ125" s="5866">
        <f>+AZ120</f>
        <v>570.04229999999995</v>
      </c>
      <c r="BA125" s="5871"/>
      <c r="BB125" s="6305">
        <f>+BB120</f>
        <v>1575.36922</v>
      </c>
      <c r="BC125" s="5871"/>
      <c r="BD125" s="6305">
        <f>+BD120</f>
        <v>2812.3802919999998</v>
      </c>
      <c r="BE125" s="6645"/>
      <c r="BF125" s="6642">
        <f>+BF120</f>
        <v>4750.4621080000006</v>
      </c>
    </row>
    <row r="126" spans="2:58" x14ac:dyDescent="0.2">
      <c r="B126" s="3938" t="s">
        <v>2174</v>
      </c>
      <c r="C126" s="3938"/>
      <c r="D126" s="1923" t="s">
        <v>170</v>
      </c>
      <c r="E126" s="5865"/>
      <c r="F126" s="5866">
        <f>+F94</f>
        <v>14366.4</v>
      </c>
      <c r="G126" s="5865"/>
      <c r="H126" s="5866">
        <f>+H94</f>
        <v>17667.72</v>
      </c>
      <c r="I126" s="5869"/>
      <c r="J126" s="5867">
        <f>+J94</f>
        <v>32034.12</v>
      </c>
      <c r="K126" s="5865"/>
      <c r="L126" s="5866">
        <f>+L94</f>
        <v>31338.144</v>
      </c>
      <c r="M126" s="5871"/>
      <c r="N126" s="6305">
        <f>+N94</f>
        <v>63372.26400000001</v>
      </c>
      <c r="O126" s="5865"/>
      <c r="P126" s="5866">
        <f>+P94</f>
        <v>32647.335999999996</v>
      </c>
      <c r="Q126" s="5869"/>
      <c r="R126" s="5867">
        <f>+R94</f>
        <v>96019.60000000002</v>
      </c>
      <c r="S126" s="5865"/>
      <c r="T126" s="5866">
        <f>+T94</f>
        <v>34032.42</v>
      </c>
      <c r="U126" s="5869"/>
      <c r="V126" s="5867">
        <f>+V94</f>
        <v>130052.02000000002</v>
      </c>
      <c r="W126" s="5865"/>
      <c r="X126" s="5866">
        <f>+X94</f>
        <v>27037.867999999995</v>
      </c>
      <c r="Y126" s="5871"/>
      <c r="Z126" s="6305">
        <f>+Z94</f>
        <v>93717.594000000012</v>
      </c>
      <c r="AA126" s="6645"/>
      <c r="AB126" s="6642">
        <f>+AB94</f>
        <v>157089.85800000001</v>
      </c>
      <c r="AC126" s="5865"/>
      <c r="AD126" s="5866">
        <f>+AD94</f>
        <v>26925.815999999995</v>
      </c>
      <c r="AE126" s="5869"/>
      <c r="AF126" s="5867">
        <f>+AF94</f>
        <v>184015.67399999997</v>
      </c>
      <c r="AG126" s="5865"/>
      <c r="AH126" s="5866">
        <f>+AH94</f>
        <v>32756.972000000002</v>
      </c>
      <c r="AI126" s="5869"/>
      <c r="AJ126" s="5867">
        <f>+AJ94</f>
        <v>216772.64599999998</v>
      </c>
      <c r="AK126" s="5865"/>
      <c r="AL126" s="5866">
        <f>+AL94</f>
        <v>34721.176000000007</v>
      </c>
      <c r="AM126" s="5871"/>
      <c r="AN126" s="6305">
        <f>+AN94</f>
        <v>94403.963999999964</v>
      </c>
      <c r="AO126" s="5869"/>
      <c r="AP126" s="5867">
        <f>+AP94</f>
        <v>251493.82199999996</v>
      </c>
      <c r="AQ126" s="5865"/>
      <c r="AR126" s="5866">
        <f>+AR94</f>
        <v>36021.128000000019</v>
      </c>
      <c r="AS126" s="5869"/>
      <c r="AT126" s="5867">
        <f>+AT94</f>
        <v>287514.95000000013</v>
      </c>
      <c r="AU126" s="5865"/>
      <c r="AV126" s="5866">
        <f>+AV94</f>
        <v>31000.401999999998</v>
      </c>
      <c r="AW126" s="5869"/>
      <c r="AX126" s="5867">
        <f>+AX94</f>
        <v>318515.35200000013</v>
      </c>
      <c r="AY126" s="5865"/>
      <c r="AZ126" s="5866">
        <f>+AZ94</f>
        <v>38002.82</v>
      </c>
      <c r="BA126" s="5871"/>
      <c r="BB126" s="6305">
        <f>+BB94</f>
        <v>105024.34999999999</v>
      </c>
      <c r="BC126" s="5871"/>
      <c r="BD126" s="6305">
        <f>+BD94</f>
        <v>199428.31399999995</v>
      </c>
      <c r="BE126" s="6645"/>
      <c r="BF126" s="6642">
        <f>+BF94</f>
        <v>356518.17200000008</v>
      </c>
    </row>
    <row r="127" spans="2:58" x14ac:dyDescent="0.2">
      <c r="B127" s="3938" t="s">
        <v>2171</v>
      </c>
      <c r="C127" s="3938"/>
      <c r="D127" s="1923" t="s">
        <v>170</v>
      </c>
      <c r="E127" s="5865"/>
      <c r="F127" s="5866">
        <f>+F96</f>
        <v>149.04000000000002</v>
      </c>
      <c r="G127" s="5865"/>
      <c r="H127" s="5866">
        <f>+H96</f>
        <v>336.93</v>
      </c>
      <c r="I127" s="5869"/>
      <c r="J127" s="5867">
        <f>+J96</f>
        <v>485.96999999999997</v>
      </c>
      <c r="K127" s="5865"/>
      <c r="L127" s="5866">
        <f>+L96</f>
        <v>529.41599999999994</v>
      </c>
      <c r="M127" s="5871"/>
      <c r="N127" s="6305">
        <f>+N96</f>
        <v>1015.386</v>
      </c>
      <c r="O127" s="5865"/>
      <c r="P127" s="5866">
        <f>+P96</f>
        <v>500.03999999999996</v>
      </c>
      <c r="Q127" s="5869"/>
      <c r="R127" s="5867">
        <f>+R96</f>
        <v>1515.4259999999999</v>
      </c>
      <c r="S127" s="5865"/>
      <c r="T127" s="5866">
        <f>+T96</f>
        <v>728.45999999999992</v>
      </c>
      <c r="U127" s="5869"/>
      <c r="V127" s="5867">
        <f>+V96</f>
        <v>2243.886</v>
      </c>
      <c r="W127" s="5865"/>
      <c r="X127" s="5866">
        <f>+X96</f>
        <v>313.97399999999999</v>
      </c>
      <c r="Y127" s="5871"/>
      <c r="Z127" s="6305">
        <f>+Z96</f>
        <v>1542.4740000000002</v>
      </c>
      <c r="AA127" s="6645"/>
      <c r="AB127" s="6642">
        <f>+AB96</f>
        <v>2557.86</v>
      </c>
      <c r="AC127" s="5865"/>
      <c r="AD127" s="5866">
        <f>+AD96</f>
        <v>322.17399999999998</v>
      </c>
      <c r="AE127" s="5869"/>
      <c r="AF127" s="5867">
        <f>+AF96</f>
        <v>2880.0340000000001</v>
      </c>
      <c r="AG127" s="5865"/>
      <c r="AH127" s="5866">
        <f>+AH96</f>
        <v>350.85399999999998</v>
      </c>
      <c r="AI127" s="5869"/>
      <c r="AJ127" s="5867">
        <f>+AJ96</f>
        <v>3230.8879999999999</v>
      </c>
      <c r="AK127" s="5865"/>
      <c r="AL127" s="5866">
        <f>+AL96</f>
        <v>240.01799999999997</v>
      </c>
      <c r="AM127" s="5871"/>
      <c r="AN127" s="6305">
        <f>+AN96</f>
        <v>913.04599999999994</v>
      </c>
      <c r="AO127" s="5869"/>
      <c r="AP127" s="5867">
        <f>+AP96</f>
        <v>3470.9059999999995</v>
      </c>
      <c r="AQ127" s="5865"/>
      <c r="AR127" s="5866">
        <f>+AR96</f>
        <v>370.44200000000001</v>
      </c>
      <c r="AS127" s="5869"/>
      <c r="AT127" s="5867">
        <f>+AT96</f>
        <v>3841.348</v>
      </c>
      <c r="AU127" s="5865"/>
      <c r="AV127" s="5866">
        <f>+AV96</f>
        <v>119.41600000000001</v>
      </c>
      <c r="AW127" s="5869"/>
      <c r="AX127" s="5867">
        <f>+AX96</f>
        <v>3960.7640000000001</v>
      </c>
      <c r="AY127" s="5865"/>
      <c r="AZ127" s="5866">
        <f>+AZ96</f>
        <v>419.74200000000002</v>
      </c>
      <c r="BA127" s="5871"/>
      <c r="BB127" s="6305">
        <f>+BB96</f>
        <v>909.6</v>
      </c>
      <c r="BC127" s="5871"/>
      <c r="BD127" s="6305">
        <f>+BD96</f>
        <v>1822.646</v>
      </c>
      <c r="BE127" s="6645"/>
      <c r="BF127" s="6642">
        <f>+BF96</f>
        <v>4380.5060000000003</v>
      </c>
    </row>
    <row r="128" spans="2:58" x14ac:dyDescent="0.2">
      <c r="B128" s="3938" t="s">
        <v>2172</v>
      </c>
      <c r="C128" s="3938"/>
      <c r="D128" s="1923" t="s">
        <v>170</v>
      </c>
      <c r="E128" s="5865"/>
      <c r="F128" s="5866">
        <f>+F126-F127</f>
        <v>14217.359999999999</v>
      </c>
      <c r="G128" s="5865"/>
      <c r="H128" s="5866">
        <f>+H126-H127</f>
        <v>17330.79</v>
      </c>
      <c r="I128" s="5869"/>
      <c r="J128" s="5867">
        <f>+J126-J127</f>
        <v>31548.149999999998</v>
      </c>
      <c r="K128" s="5865"/>
      <c r="L128" s="5866">
        <f>+L126-L127</f>
        <v>30808.727999999999</v>
      </c>
      <c r="M128" s="5871"/>
      <c r="N128" s="6305">
        <f>+N126-N127</f>
        <v>62356.878000000012</v>
      </c>
      <c r="O128" s="5865"/>
      <c r="P128" s="5866">
        <f>+P126-P127</f>
        <v>32147.295999999995</v>
      </c>
      <c r="Q128" s="5869"/>
      <c r="R128" s="5867">
        <f>+R126-R127</f>
        <v>94504.174000000014</v>
      </c>
      <c r="S128" s="5865"/>
      <c r="T128" s="5866">
        <f>+T126-T127</f>
        <v>33303.96</v>
      </c>
      <c r="U128" s="5869"/>
      <c r="V128" s="5867">
        <f>+V126-V127</f>
        <v>127808.13400000002</v>
      </c>
      <c r="W128" s="5865"/>
      <c r="X128" s="5866">
        <f>+X126-X127</f>
        <v>26723.893999999997</v>
      </c>
      <c r="Y128" s="5871"/>
      <c r="Z128" s="6305">
        <f>+Z126-Z127</f>
        <v>92175.12000000001</v>
      </c>
      <c r="AA128" s="6645"/>
      <c r="AB128" s="6642">
        <f>+AB126-AB127</f>
        <v>154531.99800000002</v>
      </c>
      <c r="AC128" s="5865"/>
      <c r="AD128" s="5866">
        <f>+AD126-AD127</f>
        <v>26603.641999999996</v>
      </c>
      <c r="AE128" s="5869"/>
      <c r="AF128" s="5867">
        <f>+AF126-AF127</f>
        <v>181135.63999999996</v>
      </c>
      <c r="AG128" s="5865"/>
      <c r="AH128" s="5866">
        <f>+AH126-AH127</f>
        <v>32406.118000000002</v>
      </c>
      <c r="AI128" s="5869"/>
      <c r="AJ128" s="5867">
        <f>+AJ126-AJ127</f>
        <v>213541.75799999997</v>
      </c>
      <c r="AK128" s="5865"/>
      <c r="AL128" s="5866">
        <f>+AL126-AL127</f>
        <v>34481.15800000001</v>
      </c>
      <c r="AM128" s="5871"/>
      <c r="AN128" s="6305">
        <f>+AN126-AN127</f>
        <v>93490.917999999961</v>
      </c>
      <c r="AO128" s="5869"/>
      <c r="AP128" s="5867">
        <f>+AP126-AP127</f>
        <v>248022.91599999997</v>
      </c>
      <c r="AQ128" s="5865"/>
      <c r="AR128" s="5866">
        <f>+AR126-AR127</f>
        <v>35650.686000000016</v>
      </c>
      <c r="AS128" s="5869"/>
      <c r="AT128" s="5867">
        <f>+AT126-AT127</f>
        <v>283673.60200000013</v>
      </c>
      <c r="AU128" s="5865"/>
      <c r="AV128" s="5866">
        <f>+AV126-AV127</f>
        <v>30880.985999999997</v>
      </c>
      <c r="AW128" s="5869"/>
      <c r="AX128" s="5867">
        <f>+AX126-AX127</f>
        <v>314554.58800000011</v>
      </c>
      <c r="AY128" s="5865"/>
      <c r="AZ128" s="5866">
        <f>+AZ126-AZ127</f>
        <v>37583.078000000001</v>
      </c>
      <c r="BA128" s="5871"/>
      <c r="BB128" s="6305">
        <f>+BB126-BB127</f>
        <v>104114.74999999999</v>
      </c>
      <c r="BC128" s="5871"/>
      <c r="BD128" s="6305">
        <f>+BD126-BD127</f>
        <v>197605.66799999995</v>
      </c>
      <c r="BE128" s="6645"/>
      <c r="BF128" s="6642">
        <f>+BF126-BF127</f>
        <v>352137.66600000008</v>
      </c>
    </row>
    <row r="129" spans="2:58" s="3380" customFormat="1" x14ac:dyDescent="0.2">
      <c r="E129" s="4408"/>
      <c r="F129" s="3453"/>
      <c r="G129" s="4408"/>
      <c r="H129" s="3453"/>
      <c r="I129" s="4408"/>
      <c r="J129" s="3453"/>
      <c r="K129" s="4408"/>
      <c r="L129" s="3453"/>
      <c r="M129" s="4408"/>
      <c r="N129" s="3453"/>
      <c r="O129" s="4408"/>
      <c r="P129" s="3453"/>
      <c r="Q129" s="4408"/>
      <c r="R129" s="3453"/>
      <c r="S129" s="4408"/>
      <c r="T129" s="3453"/>
      <c r="U129" s="4408"/>
      <c r="V129" s="3453"/>
      <c r="W129" s="4408"/>
      <c r="X129" s="3453"/>
      <c r="Y129" s="4408"/>
      <c r="Z129" s="3453"/>
      <c r="AA129" s="4408"/>
      <c r="AB129" s="3453"/>
      <c r="AC129" s="4408"/>
      <c r="AD129" s="3453"/>
      <c r="AE129" s="4408"/>
      <c r="AF129" s="3453"/>
      <c r="AG129" s="4408"/>
      <c r="AH129" s="3453"/>
      <c r="AI129" s="4408"/>
      <c r="AJ129" s="3453"/>
      <c r="AK129" s="4408"/>
      <c r="AL129" s="3453"/>
      <c r="AM129" s="4408"/>
      <c r="AN129" s="3453"/>
      <c r="AO129" s="4408"/>
      <c r="AP129" s="3453"/>
      <c r="AQ129" s="4408"/>
      <c r="AR129" s="3453"/>
      <c r="AS129" s="4408"/>
      <c r="AT129" s="3453"/>
      <c r="AU129" s="4408"/>
      <c r="AV129" s="3453"/>
      <c r="AW129" s="4408"/>
      <c r="AX129" s="3453"/>
      <c r="AY129" s="4408"/>
      <c r="AZ129" s="3453"/>
      <c r="BA129" s="4408"/>
      <c r="BB129" s="3453"/>
      <c r="BC129" s="4408"/>
      <c r="BD129" s="3453"/>
      <c r="BE129" s="4408"/>
      <c r="BF129" s="3453"/>
    </row>
    <row r="130" spans="2:58" x14ac:dyDescent="0.2">
      <c r="B130" s="3938" t="s">
        <v>2177</v>
      </c>
      <c r="C130" s="3938"/>
      <c r="D130" s="1923" t="s">
        <v>170</v>
      </c>
      <c r="E130" s="5865"/>
      <c r="F130" s="5866">
        <f>+F123-F124-F125-F126</f>
        <v>0</v>
      </c>
      <c r="G130" s="5866"/>
      <c r="H130" s="5866">
        <f t="shared" ref="H130:R130" si="155">+H123-H124-H125-H126</f>
        <v>0</v>
      </c>
      <c r="I130" s="5867"/>
      <c r="J130" s="5867">
        <f t="shared" si="155"/>
        <v>0</v>
      </c>
      <c r="K130" s="5866"/>
      <c r="L130" s="5866">
        <f t="shared" si="155"/>
        <v>0</v>
      </c>
      <c r="M130" s="5871"/>
      <c r="N130" s="6305">
        <f t="shared" si="155"/>
        <v>0</v>
      </c>
      <c r="O130" s="5866"/>
      <c r="P130" s="5866">
        <f t="shared" si="155"/>
        <v>0</v>
      </c>
      <c r="Q130" s="5869"/>
      <c r="R130" s="5867">
        <f t="shared" si="155"/>
        <v>0</v>
      </c>
      <c r="S130" s="5866"/>
      <c r="T130" s="5866">
        <f t="shared" ref="T130" si="156">+T123-T124-T125-T126</f>
        <v>0</v>
      </c>
      <c r="U130" s="5869"/>
      <c r="V130" s="5867">
        <f t="shared" ref="V130" si="157">+V123-V124-V125-V126</f>
        <v>0</v>
      </c>
      <c r="W130" s="5866"/>
      <c r="X130" s="5866">
        <f t="shared" ref="X130" si="158">+X123-X124-X125-X126</f>
        <v>0</v>
      </c>
      <c r="Y130" s="5871"/>
      <c r="Z130" s="6305">
        <f t="shared" ref="Z130" si="159">+Z123-Z124-Z125-Z126</f>
        <v>2.9999999984283932E-2</v>
      </c>
      <c r="AA130" s="6645"/>
      <c r="AB130" s="6642">
        <f t="shared" ref="AB130" si="160">+AB123-AB124-AB125-AB126</f>
        <v>2.9999999998835847E-2</v>
      </c>
      <c r="AC130" s="5866"/>
      <c r="AD130" s="5866">
        <f t="shared" ref="AD130" si="161">+AD123-AD124-AD125-AD126</f>
        <v>0</v>
      </c>
      <c r="AE130" s="5869"/>
      <c r="AF130" s="5867">
        <f t="shared" ref="AF130" si="162">+AF123-AF124-AF125-AF126</f>
        <v>3.0000000027939677E-2</v>
      </c>
      <c r="AG130" s="5866"/>
      <c r="AH130" s="5866">
        <f t="shared" ref="AH130" si="163">+AH123-AH124-AH125-AH126</f>
        <v>-2.00000001132139E-3</v>
      </c>
      <c r="AI130" s="5869"/>
      <c r="AJ130" s="5867">
        <f t="shared" ref="AJ130" si="164">+AJ123-AJ124-AJ125-AJ126</f>
        <v>2.8000000020256266E-2</v>
      </c>
      <c r="AK130" s="5866"/>
      <c r="AL130" s="5866">
        <f t="shared" ref="AL130" si="165">+AL123-AL124-AL125-AL126</f>
        <v>0</v>
      </c>
      <c r="AM130" s="5871"/>
      <c r="AN130" s="6305">
        <f t="shared" ref="AN130" si="166">+AN123-AN124-AN125-AN126</f>
        <v>-1.9999999640276656E-3</v>
      </c>
      <c r="AO130" s="5869"/>
      <c r="AP130" s="5867">
        <f t="shared" ref="AP130" si="167">+AP123-AP124-AP125-AP126</f>
        <v>2.8000000020256266E-2</v>
      </c>
      <c r="AQ130" s="5866"/>
      <c r="AR130" s="5866">
        <f t="shared" ref="AR130" si="168">+AR123-AR124-AR125-AR126</f>
        <v>0</v>
      </c>
      <c r="AS130" s="5869"/>
      <c r="AT130" s="5867">
        <f t="shared" ref="AT130" si="169">+AT123-AT124-AT125-AT126</f>
        <v>2.7999999874737114E-2</v>
      </c>
      <c r="AU130" s="5866"/>
      <c r="AV130" s="5866">
        <f t="shared" ref="AV130" si="170">+AV123-AV124-AV125-AV126</f>
        <v>-3.9999999935389496E-3</v>
      </c>
      <c r="AW130" s="5869"/>
      <c r="AX130" s="5867">
        <f t="shared" ref="AX130" si="171">+AX123-AX124-AX125-AX126</f>
        <v>2.3999999917577952E-2</v>
      </c>
      <c r="AY130" s="5866"/>
      <c r="AZ130" s="5866">
        <f t="shared" ref="AZ130" si="172">+AZ123-AZ124-AZ125-AZ126</f>
        <v>0</v>
      </c>
      <c r="BA130" s="5871"/>
      <c r="BB130" s="6305">
        <f t="shared" ref="BB130" si="173">+BB123-BB124-BB125-BB126</f>
        <v>-3.9999999717110768E-3</v>
      </c>
      <c r="BC130" s="5871"/>
      <c r="BD130" s="6305">
        <f t="shared" ref="BD130" si="174">+BD123-BD124-BD125-BD126</f>
        <v>-5.9999999357387424E-3</v>
      </c>
      <c r="BE130" s="6645"/>
      <c r="BF130" s="6642">
        <f t="shared" ref="BF130" si="175">+BF123-BF124-BF125-BF126</f>
        <v>2.3999999975785613E-2</v>
      </c>
    </row>
    <row r="131" spans="2:58" x14ac:dyDescent="0.2">
      <c r="AC131" s="7321"/>
      <c r="AD131" s="7321"/>
      <c r="AE131" s="7321"/>
      <c r="AF131" s="7321"/>
      <c r="AG131" s="7545"/>
      <c r="AH131" s="7545"/>
      <c r="AI131" s="7545"/>
      <c r="AJ131" s="7545"/>
      <c r="AK131" s="7744"/>
      <c r="AL131" s="2265"/>
      <c r="AM131" s="7744"/>
      <c r="AN131" s="7744"/>
      <c r="AO131" s="7744"/>
      <c r="AP131" s="7744"/>
      <c r="AQ131" s="8077"/>
      <c r="AR131" s="2265"/>
      <c r="AS131" s="8077"/>
      <c r="AT131" s="8077"/>
    </row>
    <row r="132" spans="2:58" x14ac:dyDescent="0.2">
      <c r="AC132" s="7321"/>
      <c r="AD132" s="7321"/>
      <c r="AE132" s="7321"/>
      <c r="AF132" s="7321"/>
      <c r="AG132" s="7545"/>
      <c r="AH132" s="7545"/>
      <c r="AI132" s="7545"/>
      <c r="AJ132" s="7545"/>
      <c r="AK132" s="7744"/>
      <c r="AL132" s="2265"/>
      <c r="AM132" s="7744"/>
      <c r="AN132" s="7744"/>
      <c r="AO132" s="7744"/>
      <c r="AP132" s="7744"/>
      <c r="AQ132" s="8077"/>
      <c r="AR132" s="2265"/>
      <c r="AS132" s="8077"/>
      <c r="AT132" s="8077"/>
      <c r="BB132" s="1673">
        <f>+BB123-BB124-BB125</f>
        <v>105024.34600000002</v>
      </c>
    </row>
    <row r="133" spans="2:58" ht="15" customHeight="1" x14ac:dyDescent="0.2">
      <c r="AC133" s="7321"/>
      <c r="AD133" s="8928" t="s">
        <v>2328</v>
      </c>
      <c r="AE133" s="7321"/>
      <c r="AF133" s="7321"/>
      <c r="AG133" s="7545"/>
      <c r="AH133" s="7545"/>
      <c r="AI133" s="7545"/>
      <c r="AJ133" s="7545"/>
      <c r="AK133" s="7744"/>
      <c r="AL133" s="2265"/>
      <c r="AM133" s="7744"/>
      <c r="AN133" s="7744"/>
      <c r="AO133" s="7744"/>
      <c r="AP133" s="7744"/>
      <c r="AQ133" s="8077"/>
      <c r="AR133" s="8928" t="s">
        <v>2554</v>
      </c>
      <c r="AS133" s="8077"/>
      <c r="AT133" s="8077"/>
    </row>
    <row r="134" spans="2:58" x14ac:dyDescent="0.2">
      <c r="AC134" s="7321"/>
      <c r="AD134" s="8928"/>
      <c r="AE134" s="7321"/>
      <c r="AF134" s="7321"/>
      <c r="AG134" s="7545"/>
      <c r="AH134" s="7545"/>
      <c r="AI134" s="7545"/>
      <c r="AJ134" s="7545"/>
      <c r="AK134" s="7744"/>
      <c r="AL134" s="2265"/>
      <c r="AM134" s="7744"/>
      <c r="AN134" s="7744"/>
      <c r="AO134" s="7744"/>
      <c r="AP134" s="7744"/>
      <c r="AQ134" s="8077"/>
      <c r="AR134" s="8928"/>
      <c r="AS134" s="8077"/>
      <c r="AT134" s="8077"/>
    </row>
    <row r="135" spans="2:58" x14ac:dyDescent="0.2">
      <c r="AC135" s="7321"/>
      <c r="AD135" s="8928"/>
      <c r="AE135" s="7321"/>
      <c r="AF135" s="7321"/>
      <c r="AG135" s="7545"/>
      <c r="AH135" s="7545"/>
      <c r="AI135" s="7545"/>
      <c r="AJ135" s="7545"/>
      <c r="AK135" s="7744"/>
      <c r="AL135" s="2265"/>
      <c r="AM135" s="7744"/>
      <c r="AN135" s="7744"/>
      <c r="AO135" s="7744"/>
      <c r="AP135" s="7744"/>
      <c r="AQ135" s="8077"/>
      <c r="AR135" s="8928"/>
      <c r="AS135" s="8077"/>
      <c r="AT135" s="8077"/>
    </row>
    <row r="136" spans="2:58" x14ac:dyDescent="0.2">
      <c r="AC136" s="7321"/>
      <c r="AD136" s="8928"/>
      <c r="AE136" s="7321"/>
      <c r="AF136" s="7321"/>
      <c r="AG136" s="7545"/>
      <c r="AH136" s="7545"/>
      <c r="AI136" s="7545"/>
      <c r="AJ136" s="7545"/>
      <c r="AK136" s="7744"/>
      <c r="AL136" s="2265"/>
      <c r="AM136" s="7744"/>
      <c r="AN136" s="7744"/>
      <c r="AO136" s="7744"/>
      <c r="AP136" s="7744"/>
      <c r="AQ136" s="8077"/>
      <c r="AR136" s="8928"/>
      <c r="AS136" s="8077"/>
      <c r="AT136" s="8077"/>
    </row>
    <row r="137" spans="2:58" x14ac:dyDescent="0.2">
      <c r="AC137" s="7321"/>
      <c r="AD137" s="8928"/>
      <c r="AE137" s="7321"/>
      <c r="AF137" s="7321"/>
      <c r="AG137" s="7545"/>
      <c r="AH137" s="7545"/>
      <c r="AI137" s="7545"/>
      <c r="AJ137" s="7545"/>
      <c r="AK137" s="7744"/>
      <c r="AL137" s="2265"/>
      <c r="AM137" s="7744"/>
      <c r="AN137" s="7744"/>
      <c r="AO137" s="7744"/>
      <c r="AP137" s="7744"/>
      <c r="AQ137" s="8077"/>
      <c r="AR137" s="8928"/>
      <c r="AS137" s="8077"/>
      <c r="AT137" s="8077"/>
    </row>
    <row r="138" spans="2:58" x14ac:dyDescent="0.2">
      <c r="AC138" s="7321"/>
      <c r="AD138" s="8928"/>
      <c r="AE138" s="7321"/>
      <c r="AF138" s="7321"/>
      <c r="AG138" s="7545"/>
      <c r="AH138" s="7545"/>
      <c r="AI138" s="7545"/>
      <c r="AJ138" s="7545"/>
      <c r="AK138" s="7744"/>
      <c r="AL138" s="2265"/>
      <c r="AM138" s="7744"/>
      <c r="AN138" s="7744"/>
      <c r="AO138" s="7744"/>
      <c r="AP138" s="7744"/>
      <c r="AQ138" s="8077"/>
      <c r="AR138" s="8928"/>
      <c r="AS138" s="8077"/>
      <c r="AT138" s="8077"/>
    </row>
    <row r="139" spans="2:58" x14ac:dyDescent="0.2">
      <c r="AC139" s="7321"/>
      <c r="AD139" s="8928"/>
      <c r="AE139" s="7321"/>
      <c r="AF139" s="7321"/>
      <c r="AG139" s="7545"/>
      <c r="AH139" s="7545"/>
      <c r="AI139" s="7545"/>
      <c r="AJ139" s="7545"/>
      <c r="AK139" s="7744"/>
      <c r="AL139" s="2265"/>
      <c r="AM139" s="7744"/>
      <c r="AN139" s="7744"/>
      <c r="AO139" s="7744"/>
      <c r="AP139" s="7744"/>
      <c r="AQ139" s="8077"/>
      <c r="AR139" s="8928"/>
      <c r="AS139" s="8077"/>
      <c r="AT139" s="8077"/>
    </row>
    <row r="140" spans="2:58" x14ac:dyDescent="0.2">
      <c r="AC140" s="7321"/>
      <c r="AD140" s="8928"/>
      <c r="AE140" s="7321"/>
      <c r="AF140" s="7321"/>
      <c r="AG140" s="7545"/>
      <c r="AH140" s="7545"/>
      <c r="AI140" s="7545"/>
      <c r="AJ140" s="7545"/>
      <c r="AK140" s="7744"/>
      <c r="AL140" s="2265"/>
      <c r="AM140" s="7744"/>
      <c r="AN140" s="7744"/>
      <c r="AO140" s="7744"/>
      <c r="AP140" s="7744"/>
      <c r="AQ140" s="8077"/>
      <c r="AR140" s="8928"/>
      <c r="AS140" s="8077"/>
      <c r="AT140" s="8077"/>
    </row>
    <row r="141" spans="2:58" x14ac:dyDescent="0.2">
      <c r="AC141" s="7321"/>
      <c r="AD141" s="8928"/>
      <c r="AE141" s="7321"/>
      <c r="AF141" s="7321"/>
      <c r="AG141" s="7545"/>
      <c r="AH141" s="7545"/>
      <c r="AI141" s="7545"/>
      <c r="AJ141" s="7545"/>
      <c r="AK141" s="7744"/>
      <c r="AL141" s="2265"/>
      <c r="AM141" s="7744"/>
      <c r="AN141" s="7744"/>
      <c r="AO141" s="7744"/>
      <c r="AP141" s="7744"/>
      <c r="AQ141" s="8077"/>
      <c r="AR141" s="8928"/>
      <c r="AS141" s="8077"/>
      <c r="AT141" s="8077"/>
    </row>
    <row r="142" spans="2:58" x14ac:dyDescent="0.2">
      <c r="AC142" s="7321"/>
      <c r="AD142" s="8928"/>
      <c r="AE142" s="7321"/>
      <c r="AF142" s="7321"/>
      <c r="AG142" s="7545"/>
      <c r="AH142" s="7545"/>
      <c r="AI142" s="7545"/>
      <c r="AJ142" s="7545"/>
      <c r="AK142" s="7744"/>
      <c r="AL142" s="2265"/>
      <c r="AM142" s="7744"/>
      <c r="AN142" s="7744"/>
      <c r="AO142" s="7744"/>
      <c r="AP142" s="7744"/>
      <c r="AQ142" s="8077"/>
      <c r="AR142" s="8928"/>
      <c r="AS142" s="8077"/>
      <c r="AT142" s="8077"/>
    </row>
    <row r="143" spans="2:58" x14ac:dyDescent="0.2">
      <c r="AC143" s="7321"/>
      <c r="AD143" s="8928"/>
      <c r="AE143" s="7321"/>
      <c r="AF143" s="7321"/>
      <c r="AG143" s="7545"/>
      <c r="AH143" s="7545"/>
      <c r="AI143" s="7545"/>
      <c r="AJ143" s="7545"/>
      <c r="AK143" s="7744"/>
      <c r="AL143" s="2265"/>
      <c r="AM143" s="7744"/>
      <c r="AN143" s="7744"/>
      <c r="AO143" s="7744"/>
      <c r="AP143" s="7744"/>
      <c r="AQ143" s="8077"/>
      <c r="AR143" s="8928"/>
      <c r="AS143" s="8077"/>
      <c r="AT143" s="8077"/>
    </row>
    <row r="144" spans="2:58" x14ac:dyDescent="0.2">
      <c r="AC144" s="7321"/>
      <c r="AD144" s="8928"/>
      <c r="AE144" s="7321"/>
      <c r="AF144" s="7321"/>
      <c r="AG144" s="7545"/>
      <c r="AH144" s="7545"/>
      <c r="AI144" s="7545"/>
      <c r="AJ144" s="7545"/>
      <c r="AK144" s="7744"/>
      <c r="AL144" s="2265"/>
      <c r="AM144" s="7744"/>
      <c r="AN144" s="7744"/>
      <c r="AO144" s="7744"/>
      <c r="AP144" s="7744"/>
      <c r="AQ144" s="8077"/>
      <c r="AR144" s="8928"/>
      <c r="AS144" s="8077"/>
      <c r="AT144" s="8077"/>
    </row>
    <row r="145" spans="29:46" x14ac:dyDescent="0.2">
      <c r="AC145" s="7321"/>
      <c r="AD145" s="8928"/>
      <c r="AE145" s="7321"/>
      <c r="AF145" s="7321"/>
      <c r="AG145" s="7545"/>
      <c r="AH145" s="7545"/>
      <c r="AI145" s="7545"/>
      <c r="AJ145" s="7545"/>
      <c r="AK145" s="7744"/>
      <c r="AL145" s="2265"/>
      <c r="AM145" s="7744"/>
      <c r="AN145" s="7744"/>
      <c r="AO145" s="7744"/>
      <c r="AP145" s="7744"/>
      <c r="AQ145" s="8077"/>
      <c r="AR145" s="8928"/>
      <c r="AS145" s="8077"/>
      <c r="AT145" s="8077"/>
    </row>
    <row r="146" spans="29:46" x14ac:dyDescent="0.2">
      <c r="AC146" s="7321"/>
      <c r="AD146" s="8928"/>
      <c r="AE146" s="7321"/>
      <c r="AF146" s="7321"/>
      <c r="AG146" s="7545"/>
      <c r="AH146" s="7545"/>
      <c r="AI146" s="7545"/>
      <c r="AJ146" s="7545"/>
      <c r="AK146" s="7744"/>
      <c r="AL146" s="2265"/>
      <c r="AM146" s="7744"/>
      <c r="AN146" s="7744"/>
      <c r="AO146" s="7744"/>
      <c r="AP146" s="7744"/>
      <c r="AQ146" s="8077"/>
      <c r="AR146" s="8928"/>
      <c r="AS146" s="8077"/>
      <c r="AT146" s="8077"/>
    </row>
    <row r="147" spans="29:46" x14ac:dyDescent="0.2">
      <c r="AC147" s="7321"/>
      <c r="AD147" s="7321"/>
      <c r="AE147" s="7321"/>
      <c r="AF147" s="7321"/>
      <c r="AG147" s="7545"/>
      <c r="AH147" s="7545"/>
      <c r="AI147" s="7545"/>
      <c r="AJ147" s="7545"/>
      <c r="AK147" s="7744"/>
      <c r="AL147" s="2265"/>
      <c r="AM147" s="7744"/>
      <c r="AN147" s="7744"/>
      <c r="AO147" s="7744"/>
      <c r="AP147" s="7744"/>
      <c r="AQ147" s="8077"/>
      <c r="AR147" s="2265"/>
    </row>
    <row r="148" spans="29:46" x14ac:dyDescent="0.2">
      <c r="AC148" s="7321"/>
      <c r="AD148" s="7321"/>
      <c r="AE148" s="7321"/>
      <c r="AF148" s="7321"/>
      <c r="AG148" s="7545"/>
      <c r="AH148" s="7545"/>
      <c r="AI148" s="7545"/>
      <c r="AJ148" s="7545"/>
      <c r="AK148" s="7744"/>
      <c r="AL148" s="2265"/>
      <c r="AM148" s="7744"/>
      <c r="AN148" s="7744"/>
      <c r="AO148" s="7744"/>
      <c r="AP148" s="7744"/>
      <c r="AQ148" s="8077"/>
      <c r="AR148" s="2265"/>
    </row>
    <row r="149" spans="29:46" x14ac:dyDescent="0.2">
      <c r="AC149" s="7321"/>
      <c r="AD149" s="7321"/>
      <c r="AE149" s="7321"/>
      <c r="AF149" s="7321"/>
      <c r="AG149" s="7545"/>
      <c r="AH149" s="7545"/>
      <c r="AI149" s="7545"/>
      <c r="AJ149" s="7545"/>
      <c r="AK149" s="7744"/>
      <c r="AL149" s="2265"/>
      <c r="AM149" s="7744"/>
      <c r="AN149" s="7744"/>
      <c r="AO149" s="7744"/>
      <c r="AP149" s="7744"/>
      <c r="AQ149" s="8077"/>
      <c r="AR149" s="2265"/>
    </row>
    <row r="150" spans="29:46" x14ac:dyDescent="0.2">
      <c r="AC150" s="7321"/>
      <c r="AD150" s="7321"/>
      <c r="AE150" s="7321"/>
      <c r="AF150" s="7321"/>
      <c r="AQ150" s="8077"/>
      <c r="AR150" s="8077"/>
    </row>
    <row r="151" spans="29:46" x14ac:dyDescent="0.2">
      <c r="AC151" s="7321"/>
      <c r="AD151" s="7321"/>
      <c r="AE151" s="7321"/>
      <c r="AF151" s="7321"/>
    </row>
    <row r="152" spans="29:46" x14ac:dyDescent="0.2">
      <c r="AC152" s="7321"/>
      <c r="AD152" s="7321"/>
      <c r="AE152" s="7321"/>
      <c r="AF152" s="7321"/>
    </row>
    <row r="153" spans="29:46" x14ac:dyDescent="0.2">
      <c r="AC153" s="7321"/>
      <c r="AD153" s="7321"/>
      <c r="AE153" s="7321"/>
      <c r="AF153" s="7321"/>
    </row>
  </sheetData>
  <autoFilter ref="C3:C113" xr:uid="{00000000-0009-0000-0000-000011000000}"/>
  <mergeCells count="32">
    <mergeCell ref="AR133:AR146"/>
    <mergeCell ref="B3:B4"/>
    <mergeCell ref="E3:F3"/>
    <mergeCell ref="G3:H3"/>
    <mergeCell ref="I3:J3"/>
    <mergeCell ref="K3:L3"/>
    <mergeCell ref="C3:C5"/>
    <mergeCell ref="AD133:AD146"/>
    <mergeCell ref="M3:N3"/>
    <mergeCell ref="Q3:R3"/>
    <mergeCell ref="S3:T3"/>
    <mergeCell ref="O3:P3"/>
    <mergeCell ref="W3:X3"/>
    <mergeCell ref="AA3:AB3"/>
    <mergeCell ref="U3:V3"/>
    <mergeCell ref="Y3:Z3"/>
    <mergeCell ref="AQ3:AR3"/>
    <mergeCell ref="AS3:AT3"/>
    <mergeCell ref="AC3:AD3"/>
    <mergeCell ref="AE3:AF3"/>
    <mergeCell ref="D3:D5"/>
    <mergeCell ref="AK3:AL3"/>
    <mergeCell ref="AM3:AN3"/>
    <mergeCell ref="AO3:AP3"/>
    <mergeCell ref="AG3:AH3"/>
    <mergeCell ref="AI3:AJ3"/>
    <mergeCell ref="AY3:AZ3"/>
    <mergeCell ref="BA3:BB3"/>
    <mergeCell ref="BE3:BF3"/>
    <mergeCell ref="BC3:BD3"/>
    <mergeCell ref="AU3:AV3"/>
    <mergeCell ref="AW3:AX3"/>
  </mergeCells>
  <pageMargins left="0.7" right="0.7" top="0.75" bottom="0.75" header="0.3" footer="0.3"/>
  <pageSetup scale="6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33CC"/>
  </sheetPr>
  <dimension ref="A1:BF94"/>
  <sheetViews>
    <sheetView zoomScale="130" zoomScaleNormal="130" workbookViewId="0">
      <pane xSplit="4" topLeftCell="BC1" activePane="topRight" state="frozen"/>
      <selection pane="topRight" activeCell="AZ48" sqref="AZ48"/>
    </sheetView>
  </sheetViews>
  <sheetFormatPr baseColWidth="10" defaultColWidth="8.83203125" defaultRowHeight="15" x14ac:dyDescent="0.2"/>
  <cols>
    <col min="2" max="2" width="39.33203125" bestFit="1" customWidth="1"/>
    <col min="3" max="3" width="16.6640625" style="7398" bestFit="1" customWidth="1"/>
    <col min="4" max="4" width="15.1640625" bestFit="1" customWidth="1"/>
    <col min="5" max="5" width="15.6640625" style="2100" customWidth="1"/>
    <col min="6" max="6" width="14.5" style="2265" customWidth="1"/>
    <col min="7" max="7" width="16.6640625" style="2100" customWidth="1"/>
    <col min="8" max="8" width="17.33203125" style="2265" customWidth="1"/>
    <col min="9" max="9" width="9.1640625" style="2100" customWidth="1"/>
    <col min="10" max="10" width="9.5" style="2265" customWidth="1"/>
    <col min="11" max="11" width="15.6640625" style="2100" customWidth="1"/>
    <col min="12" max="12" width="14.5" style="2265" customWidth="1"/>
    <col min="13" max="13" width="13.5" style="2100" customWidth="1"/>
    <col min="14" max="14" width="15.33203125" style="2265" customWidth="1"/>
    <col min="15" max="15" width="9.1640625" style="2100" customWidth="1"/>
    <col min="16" max="16" width="11.83203125" style="2265" customWidth="1"/>
    <col min="17" max="17" width="12.1640625" style="2100" customWidth="1"/>
    <col min="18" max="18" width="9.5" style="2265" customWidth="1"/>
    <col min="19" max="19" width="10.83203125" style="2100" customWidth="1"/>
    <col min="20" max="20" width="9.1640625" style="2265" customWidth="1"/>
    <col min="21" max="21" width="9.1640625" style="2100" customWidth="1"/>
    <col min="22" max="22" width="9.1640625" style="2265" customWidth="1"/>
    <col min="23" max="23" width="9.1640625" style="2100" customWidth="1"/>
    <col min="24" max="24" width="19.6640625" style="2265" customWidth="1"/>
    <col min="25" max="25" width="10.5" style="2100" customWidth="1"/>
    <col min="26" max="26" width="10.5" style="2265" customWidth="1"/>
    <col min="27" max="27" width="9.1640625" style="2100" customWidth="1"/>
    <col min="28" max="28" width="9.1640625" style="2265" customWidth="1"/>
    <col min="30" max="30" width="14.1640625" customWidth="1"/>
    <col min="34" max="34" width="13.33203125" customWidth="1"/>
    <col min="39" max="40" width="10.5" bestFit="1" customWidth="1"/>
    <col min="51" max="51" width="9.1640625" style="8260"/>
    <col min="52" max="52" width="12.6640625" style="8260" customWidth="1"/>
    <col min="53" max="53" width="10.5" style="2100" customWidth="1"/>
    <col min="54" max="54" width="10.5" style="2265" customWidth="1"/>
    <col min="55" max="55" width="11.33203125" style="2100" customWidth="1"/>
    <col min="56" max="56" width="10.5" style="2265" customWidth="1"/>
    <col min="57" max="57" width="9.1640625" style="2100" customWidth="1"/>
    <col min="58" max="58" width="9.1640625" style="2265" customWidth="1"/>
  </cols>
  <sheetData>
    <row r="1" spans="1:58" ht="23" x14ac:dyDescent="0.25">
      <c r="B1" s="1641" t="s">
        <v>341</v>
      </c>
      <c r="C1" s="1641"/>
      <c r="D1" s="1537"/>
      <c r="E1" s="2883"/>
      <c r="F1" s="1833"/>
      <c r="G1" s="2883"/>
      <c r="H1" s="1833"/>
      <c r="I1" s="2883"/>
      <c r="J1" s="1833"/>
    </row>
    <row r="2" spans="1:58" ht="16" thickBot="1" x14ac:dyDescent="0.25">
      <c r="B2" s="1537"/>
      <c r="C2" s="1537"/>
      <c r="D2" s="1537"/>
      <c r="E2" s="2842">
        <v>30</v>
      </c>
      <c r="F2" s="2318">
        <v>30</v>
      </c>
      <c r="G2" s="2842">
        <v>31</v>
      </c>
      <c r="H2" s="2318">
        <v>31</v>
      </c>
      <c r="I2" s="2842">
        <f>+E2+G2</f>
        <v>61</v>
      </c>
      <c r="J2" s="2318">
        <f>+F2+H2</f>
        <v>61</v>
      </c>
      <c r="K2" s="2842">
        <v>30</v>
      </c>
      <c r="L2" s="2318">
        <v>30</v>
      </c>
      <c r="M2" s="2842">
        <f>+I2+K2</f>
        <v>91</v>
      </c>
      <c r="N2" s="2318">
        <f>+J2+L2</f>
        <v>91</v>
      </c>
      <c r="O2" s="2842">
        <v>31</v>
      </c>
      <c r="P2" s="2318">
        <v>31</v>
      </c>
      <c r="Q2" s="2842">
        <f>+M2+O2</f>
        <v>122</v>
      </c>
      <c r="R2" s="2318">
        <f>+N2+P2</f>
        <v>122</v>
      </c>
      <c r="S2" s="2842">
        <v>31</v>
      </c>
      <c r="T2" s="2318">
        <v>31</v>
      </c>
      <c r="U2" s="2842">
        <f>+Q2+S2</f>
        <v>153</v>
      </c>
      <c r="V2" s="2318">
        <f>+R2+T2</f>
        <v>153</v>
      </c>
      <c r="W2" s="2842">
        <v>30</v>
      </c>
      <c r="X2" s="2318">
        <v>30</v>
      </c>
      <c r="Y2" s="2842">
        <f>+O2+S2+W2</f>
        <v>92</v>
      </c>
      <c r="Z2" s="2318">
        <f>+P2+T2+X2</f>
        <v>92</v>
      </c>
      <c r="AA2" s="2842">
        <f>+U2+W2</f>
        <v>183</v>
      </c>
      <c r="AB2" s="2318">
        <f>+V2+X2</f>
        <v>183</v>
      </c>
      <c r="AC2" s="2842">
        <v>31</v>
      </c>
      <c r="AD2" s="2318">
        <v>31</v>
      </c>
      <c r="AE2" s="2842">
        <f>+AA2+AC2</f>
        <v>214</v>
      </c>
      <c r="AF2" s="2318">
        <f>+AB2+AD2</f>
        <v>214</v>
      </c>
      <c r="AG2" s="2842">
        <v>30</v>
      </c>
      <c r="AH2" s="2318">
        <v>30</v>
      </c>
      <c r="AI2" s="2842">
        <f>+AE2+AG2</f>
        <v>244</v>
      </c>
      <c r="AJ2" s="2318">
        <f>+AF2+AH2</f>
        <v>244</v>
      </c>
      <c r="AK2" s="2842">
        <v>31</v>
      </c>
      <c r="AL2" s="2318">
        <v>31</v>
      </c>
      <c r="AM2" s="2842">
        <f>+AC2+AG2+AK2</f>
        <v>92</v>
      </c>
      <c r="AN2" s="2318">
        <f>+AD2+AH2+AL2</f>
        <v>92</v>
      </c>
      <c r="AO2" s="2842">
        <f>+AI2+AK2</f>
        <v>275</v>
      </c>
      <c r="AP2" s="2318">
        <f>+AJ2+AL2</f>
        <v>275</v>
      </c>
      <c r="AQ2" s="2842">
        <v>31</v>
      </c>
      <c r="AR2" s="2318">
        <v>31</v>
      </c>
      <c r="AS2" s="2842">
        <f>+AO2+AQ2</f>
        <v>306</v>
      </c>
      <c r="AT2" s="2318">
        <f>+AP2+AR2</f>
        <v>306</v>
      </c>
      <c r="AU2" s="2842">
        <v>28</v>
      </c>
      <c r="AV2" s="2318">
        <v>28</v>
      </c>
      <c r="AW2" s="2842">
        <f>+AS2+AU2</f>
        <v>334</v>
      </c>
      <c r="AX2" s="2318">
        <f>+AT2+AV2</f>
        <v>334</v>
      </c>
      <c r="AY2" s="2842">
        <v>31</v>
      </c>
      <c r="AZ2" s="2318">
        <v>31</v>
      </c>
      <c r="BA2" s="2842">
        <f>+AQ2+AU2+AY2</f>
        <v>90</v>
      </c>
      <c r="BB2" s="2318">
        <f>+AR2+AV2+AZ2</f>
        <v>90</v>
      </c>
      <c r="BC2" s="2842">
        <f>+BA2+AM2</f>
        <v>182</v>
      </c>
      <c r="BD2" s="2318">
        <f>+BB2+AN2</f>
        <v>182</v>
      </c>
      <c r="BE2" s="2842">
        <f>+AW2+AY2</f>
        <v>365</v>
      </c>
      <c r="BF2" s="2318">
        <f>+AX2+AZ2</f>
        <v>365</v>
      </c>
    </row>
    <row r="3" spans="1:58" ht="16" thickBot="1" x14ac:dyDescent="0.25">
      <c r="B3" s="8640" t="s">
        <v>657</v>
      </c>
      <c r="C3" s="8950" t="s">
        <v>2269</v>
      </c>
      <c r="D3" s="8642" t="s">
        <v>658</v>
      </c>
      <c r="E3" s="8644" t="s">
        <v>1859</v>
      </c>
      <c r="F3" s="8645"/>
      <c r="G3" s="8644" t="s">
        <v>1862</v>
      </c>
      <c r="H3" s="8644"/>
      <c r="I3" s="8646" t="s">
        <v>52</v>
      </c>
      <c r="J3" s="8647"/>
      <c r="K3" s="8703" t="s">
        <v>1863</v>
      </c>
      <c r="L3" s="8704"/>
      <c r="M3" s="8700" t="s">
        <v>1568</v>
      </c>
      <c r="N3" s="8699"/>
      <c r="O3" s="8644" t="s">
        <v>1864</v>
      </c>
      <c r="P3" s="8644"/>
      <c r="Q3" s="8646" t="s">
        <v>62</v>
      </c>
      <c r="R3" s="8647"/>
      <c r="S3" s="8644" t="s">
        <v>2160</v>
      </c>
      <c r="T3" s="8644"/>
      <c r="U3" s="8646" t="s">
        <v>64</v>
      </c>
      <c r="V3" s="8647"/>
      <c r="W3" s="8644" t="s">
        <v>2227</v>
      </c>
      <c r="X3" s="8644"/>
      <c r="Y3" s="8698" t="s">
        <v>1717</v>
      </c>
      <c r="Z3" s="8699"/>
      <c r="AA3" s="8701" t="s">
        <v>1697</v>
      </c>
      <c r="AB3" s="8702"/>
      <c r="AC3" s="8644" t="s">
        <v>2265</v>
      </c>
      <c r="AD3" s="8644"/>
      <c r="AE3" s="8646" t="s">
        <v>101</v>
      </c>
      <c r="AF3" s="8647"/>
      <c r="AG3" s="8644" t="s">
        <v>2423</v>
      </c>
      <c r="AH3" s="8644"/>
      <c r="AI3" s="8646" t="s">
        <v>105</v>
      </c>
      <c r="AJ3" s="8647"/>
      <c r="AK3" s="8644" t="s">
        <v>2449</v>
      </c>
      <c r="AL3" s="8644"/>
      <c r="AM3" s="8698" t="s">
        <v>1756</v>
      </c>
      <c r="AN3" s="8699"/>
      <c r="AO3" s="8646" t="s">
        <v>2448</v>
      </c>
      <c r="AP3" s="8647"/>
      <c r="AQ3" s="8644" t="s">
        <v>2533</v>
      </c>
      <c r="AR3" s="8644"/>
      <c r="AS3" s="8646" t="s">
        <v>110</v>
      </c>
      <c r="AT3" s="8647"/>
      <c r="AU3" s="8644" t="s">
        <v>2577</v>
      </c>
      <c r="AV3" s="8644"/>
      <c r="AW3" s="8646" t="s">
        <v>113</v>
      </c>
      <c r="AX3" s="8647"/>
      <c r="AY3" s="8644" t="s">
        <v>2603</v>
      </c>
      <c r="AZ3" s="8644"/>
      <c r="BA3" s="8698" t="s">
        <v>1757</v>
      </c>
      <c r="BB3" s="8699"/>
      <c r="BC3" s="8698" t="s">
        <v>1842</v>
      </c>
      <c r="BD3" s="8699"/>
      <c r="BE3" s="8701" t="s">
        <v>1865</v>
      </c>
      <c r="BF3" s="8702"/>
    </row>
    <row r="4" spans="1:58" ht="16" thickBot="1" x14ac:dyDescent="0.25">
      <c r="B4" s="8641"/>
      <c r="C4" s="8951"/>
      <c r="D4" s="8643"/>
      <c r="E4" s="6551" t="s">
        <v>659</v>
      </c>
      <c r="F4" s="3833" t="s">
        <v>660</v>
      </c>
      <c r="G4" s="6551" t="s">
        <v>659</v>
      </c>
      <c r="H4" s="3909" t="s">
        <v>660</v>
      </c>
      <c r="I4" s="3373" t="s">
        <v>659</v>
      </c>
      <c r="J4" s="3866" t="s">
        <v>660</v>
      </c>
      <c r="K4" s="6551" t="s">
        <v>659</v>
      </c>
      <c r="L4" s="3909" t="s">
        <v>660</v>
      </c>
      <c r="M4" s="6552" t="s">
        <v>659</v>
      </c>
      <c r="N4" s="3888" t="s">
        <v>660</v>
      </c>
      <c r="O4" s="6551" t="s">
        <v>659</v>
      </c>
      <c r="P4" s="3909" t="s">
        <v>660</v>
      </c>
      <c r="Q4" s="3373" t="s">
        <v>659</v>
      </c>
      <c r="R4" s="3866" t="s">
        <v>660</v>
      </c>
      <c r="S4" s="6551" t="s">
        <v>659</v>
      </c>
      <c r="T4" s="3909" t="s">
        <v>660</v>
      </c>
      <c r="U4" s="3373" t="s">
        <v>659</v>
      </c>
      <c r="V4" s="3866" t="s">
        <v>660</v>
      </c>
      <c r="W4" s="6551" t="s">
        <v>659</v>
      </c>
      <c r="X4" s="3856" t="s">
        <v>660</v>
      </c>
      <c r="Y4" s="6558" t="s">
        <v>659</v>
      </c>
      <c r="Z4" s="3888" t="s">
        <v>660</v>
      </c>
      <c r="AA4" s="6507" t="s">
        <v>659</v>
      </c>
      <c r="AB4" s="6624" t="s">
        <v>660</v>
      </c>
      <c r="AC4" s="7360" t="s">
        <v>659</v>
      </c>
      <c r="AD4" s="3909" t="s">
        <v>660</v>
      </c>
      <c r="AE4" s="3373" t="s">
        <v>659</v>
      </c>
      <c r="AF4" s="3866" t="s">
        <v>660</v>
      </c>
      <c r="AG4" s="7560" t="s">
        <v>659</v>
      </c>
      <c r="AH4" s="3909" t="s">
        <v>660</v>
      </c>
      <c r="AI4" s="3373" t="s">
        <v>659</v>
      </c>
      <c r="AJ4" s="3866" t="s">
        <v>660</v>
      </c>
      <c r="AK4" s="7749" t="s">
        <v>659</v>
      </c>
      <c r="AL4" s="3856" t="s">
        <v>660</v>
      </c>
      <c r="AM4" s="7751" t="s">
        <v>659</v>
      </c>
      <c r="AN4" s="3888" t="s">
        <v>660</v>
      </c>
      <c r="AO4" s="3373" t="s">
        <v>659</v>
      </c>
      <c r="AP4" s="3866" t="s">
        <v>660</v>
      </c>
      <c r="AQ4" s="8101" t="s">
        <v>659</v>
      </c>
      <c r="AR4" s="3856" t="s">
        <v>660</v>
      </c>
      <c r="AS4" s="3373" t="s">
        <v>659</v>
      </c>
      <c r="AT4" s="3866" t="s">
        <v>660</v>
      </c>
      <c r="AU4" s="8155" t="s">
        <v>659</v>
      </c>
      <c r="AV4" s="3856" t="s">
        <v>660</v>
      </c>
      <c r="AW4" s="3373" t="s">
        <v>659</v>
      </c>
      <c r="AX4" s="3866" t="s">
        <v>660</v>
      </c>
      <c r="AY4" s="8274" t="s">
        <v>659</v>
      </c>
      <c r="AZ4" s="3856" t="s">
        <v>660</v>
      </c>
      <c r="BA4" s="8286" t="s">
        <v>659</v>
      </c>
      <c r="BB4" s="3888" t="s">
        <v>660</v>
      </c>
      <c r="BC4" s="8286" t="s">
        <v>659</v>
      </c>
      <c r="BD4" s="3888" t="s">
        <v>660</v>
      </c>
      <c r="BE4" s="8331" t="s">
        <v>659</v>
      </c>
      <c r="BF4" s="6624" t="s">
        <v>660</v>
      </c>
    </row>
    <row r="5" spans="1:58" ht="17" thickBot="1" x14ac:dyDescent="0.25">
      <c r="B5" s="1747" t="s">
        <v>2263</v>
      </c>
      <c r="C5" s="7436"/>
      <c r="D5" s="1737" t="s">
        <v>170</v>
      </c>
      <c r="E5" s="1751">
        <v>8737.2599973903816</v>
      </c>
      <c r="F5" s="3914">
        <v>8737.2599999999984</v>
      </c>
      <c r="G5" s="1751">
        <v>45789.607178727863</v>
      </c>
      <c r="H5" s="3914">
        <v>45789.471000000005</v>
      </c>
      <c r="I5" s="1882">
        <f>+E5+G5</f>
        <v>54526.867176118249</v>
      </c>
      <c r="J5" s="2412">
        <f>+F5+H5</f>
        <v>54526.731</v>
      </c>
      <c r="K5" s="1751">
        <v>44208.42105263158</v>
      </c>
      <c r="L5" s="3204">
        <v>33906.119000000006</v>
      </c>
      <c r="M5" s="2046">
        <f>+I5+K5</f>
        <v>98735.288228749821</v>
      </c>
      <c r="N5" s="2254">
        <f>+J5+L5</f>
        <v>88432.85</v>
      </c>
      <c r="O5" s="1751">
        <v>61954.26195426195</v>
      </c>
      <c r="P5" s="3204">
        <v>25400.46</v>
      </c>
      <c r="Q5" s="1882">
        <f>+M5+O5</f>
        <v>160689.55018301177</v>
      </c>
      <c r="R5" s="2412">
        <f>+N5+P5</f>
        <v>113833.31</v>
      </c>
      <c r="S5" s="1751">
        <v>57172.557172557164</v>
      </c>
      <c r="T5" s="3204">
        <v>32486.389000000006</v>
      </c>
      <c r="U5" s="1882">
        <f>+Q5+S5</f>
        <v>217862.10735556894</v>
      </c>
      <c r="V5" s="2412">
        <f>+R5+T5</f>
        <v>146319.69899999999</v>
      </c>
      <c r="W5" s="1751">
        <v>60291.060291060283</v>
      </c>
      <c r="X5" s="6676">
        <v>33707.063999999998</v>
      </c>
      <c r="Y5" s="6554">
        <f>+O5+S5+W5</f>
        <v>179417.87941787939</v>
      </c>
      <c r="Z5" s="5030">
        <f>+X5+T5+P5</f>
        <v>91593.913</v>
      </c>
      <c r="AA5" s="6626">
        <f>+U5+W5</f>
        <v>278153.16764662921</v>
      </c>
      <c r="AB5" s="6627">
        <f>+V5+X5</f>
        <v>180026.76299999998</v>
      </c>
      <c r="AC5" s="1751">
        <v>51813.471502590677</v>
      </c>
      <c r="AD5" s="3204">
        <v>31070.937000000002</v>
      </c>
      <c r="AE5" s="1882">
        <f>+AA5+AC5</f>
        <v>329966.6391492199</v>
      </c>
      <c r="AF5" s="2412">
        <f>+AB5+AD5</f>
        <v>211097.69999999998</v>
      </c>
      <c r="AG5" s="1751">
        <v>74760.62176165804</v>
      </c>
      <c r="AH5" s="3204">
        <v>41534.036000000007</v>
      </c>
      <c r="AI5" s="1882">
        <f>+AE5+AG5</f>
        <v>404727.26091087796</v>
      </c>
      <c r="AJ5" s="2412">
        <f>+AF5+AH5</f>
        <v>252631.73599999998</v>
      </c>
      <c r="AK5" s="1751">
        <v>75591.295336787574</v>
      </c>
      <c r="AL5" s="6676">
        <v>57715.203000000001</v>
      </c>
      <c r="AM5" s="7760">
        <f>+AC5+AG5+AK5</f>
        <v>202165.38860103628</v>
      </c>
      <c r="AN5" s="5030">
        <f>+AL5+AH5+AD5</f>
        <v>130320.17600000001</v>
      </c>
      <c r="AO5" s="1882">
        <f>+AI5+AK5</f>
        <v>480318.55624766555</v>
      </c>
      <c r="AP5" s="2412">
        <f>+AJ5+AL5</f>
        <v>310346.93899999995</v>
      </c>
      <c r="AQ5" s="1751">
        <v>76145.07772020725</v>
      </c>
      <c r="AR5" s="6676">
        <v>48188.179000000011</v>
      </c>
      <c r="AS5" s="1882">
        <f>+AO5+AQ5</f>
        <v>556463.63396787283</v>
      </c>
      <c r="AT5" s="2412">
        <f>+AP5+AR5</f>
        <v>358535.11799999996</v>
      </c>
      <c r="AU5" s="1751">
        <v>69223</v>
      </c>
      <c r="AV5" s="6676">
        <v>51023.400999999998</v>
      </c>
      <c r="AW5" s="1882">
        <f>+AS5+AU5</f>
        <v>625686.63396787283</v>
      </c>
      <c r="AX5" s="2412">
        <f>+AT5+AV5</f>
        <v>409558.51899999997</v>
      </c>
      <c r="AY5" s="1751">
        <v>75775</v>
      </c>
      <c r="AZ5" s="6676">
        <v>53318.277999999998</v>
      </c>
      <c r="BA5" s="8325">
        <f>+AQ5+AU5+AY5</f>
        <v>221143.07772020725</v>
      </c>
      <c r="BB5" s="5030">
        <f>+AZ5+AV5+AR5</f>
        <v>152529.85800000001</v>
      </c>
      <c r="BC5" s="8325">
        <f>+BA5+AM5</f>
        <v>423308.46632124356</v>
      </c>
      <c r="BD5" s="5030">
        <f>+BB5+AN5</f>
        <v>282850.03399999999</v>
      </c>
      <c r="BE5" s="6626">
        <f>+AW5+AY5</f>
        <v>701461.63396787283</v>
      </c>
      <c r="BF5" s="6627">
        <f>+AX5+AZ5</f>
        <v>462876.79699999996</v>
      </c>
    </row>
    <row r="6" spans="1:58" s="3380" customFormat="1" ht="24.75" customHeight="1" x14ac:dyDescent="0.2">
      <c r="B6" s="4375" t="s">
        <v>809</v>
      </c>
      <c r="C6" s="6673"/>
      <c r="D6" s="6673"/>
      <c r="E6" s="5268"/>
      <c r="F6" s="6674"/>
      <c r="G6" s="5268"/>
      <c r="H6" s="6674"/>
      <c r="I6" s="5268"/>
      <c r="J6" s="6094"/>
      <c r="K6" s="5268"/>
      <c r="L6" s="6094"/>
      <c r="M6" s="5268"/>
      <c r="N6" s="6094"/>
      <c r="O6" s="5268"/>
      <c r="P6" s="6094"/>
      <c r="Q6" s="5268"/>
      <c r="R6" s="6094"/>
      <c r="S6" s="5268"/>
      <c r="T6" s="6094"/>
      <c r="U6" s="5268"/>
      <c r="V6" s="6094"/>
      <c r="W6" s="5268"/>
      <c r="X6" s="7285" t="s">
        <v>2264</v>
      </c>
      <c r="Y6" s="6677"/>
      <c r="Z6" s="6678"/>
      <c r="AA6" s="5268"/>
      <c r="AB6" s="6094"/>
      <c r="AC6" s="5268"/>
      <c r="AD6" s="7285" t="s">
        <v>2293</v>
      </c>
      <c r="AE6" s="5268"/>
      <c r="AF6" s="6094"/>
      <c r="AG6" s="5268"/>
      <c r="AH6" s="7285" t="s">
        <v>2433</v>
      </c>
      <c r="AI6" s="5268"/>
      <c r="AJ6" s="6094"/>
      <c r="AK6" s="5268"/>
      <c r="AL6" s="7285"/>
      <c r="AM6" s="6677"/>
      <c r="AN6" s="6678"/>
      <c r="AO6" s="5268"/>
      <c r="AP6" s="6094"/>
      <c r="AQ6" s="5268"/>
      <c r="AR6" s="7285"/>
      <c r="AS6" s="6881"/>
      <c r="AT6" s="6094"/>
      <c r="AU6" s="5268"/>
      <c r="AV6" s="7285"/>
      <c r="AW6" s="5268"/>
      <c r="AX6" s="6094"/>
      <c r="AY6" s="5268"/>
      <c r="AZ6" s="7285"/>
      <c r="BA6" s="6677"/>
      <c r="BB6" s="6678"/>
      <c r="BC6" s="6677"/>
      <c r="BD6" s="6678"/>
      <c r="BE6" s="5268"/>
      <c r="BF6" s="6094"/>
    </row>
    <row r="7" spans="1:58" s="3380" customFormat="1" ht="17" thickBot="1" x14ac:dyDescent="0.25">
      <c r="B7" s="1604" t="s">
        <v>2368</v>
      </c>
      <c r="C7" s="7437" t="s">
        <v>2289</v>
      </c>
      <c r="D7" s="1545" t="s">
        <v>170</v>
      </c>
      <c r="E7" s="1751"/>
      <c r="F7" s="3914"/>
      <c r="G7" s="1751"/>
      <c r="H7" s="3914"/>
      <c r="I7" s="1882"/>
      <c r="J7" s="2412"/>
      <c r="K7" s="1751"/>
      <c r="L7" s="3204"/>
      <c r="M7" s="2046"/>
      <c r="N7" s="2254"/>
      <c r="O7" s="1751"/>
      <c r="P7" s="3204"/>
      <c r="Q7" s="1882"/>
      <c r="R7" s="2412"/>
      <c r="S7" s="1751"/>
      <c r="T7" s="3204"/>
      <c r="U7" s="1882"/>
      <c r="V7" s="2412"/>
      <c r="W7" s="1751"/>
      <c r="X7" s="6676"/>
      <c r="Y7" s="8194"/>
      <c r="Z7" s="5030"/>
      <c r="AA7" s="6626"/>
      <c r="AB7" s="6627"/>
      <c r="AC7" s="1751"/>
      <c r="AD7" s="3204"/>
      <c r="AE7" s="1882"/>
      <c r="AF7" s="2412"/>
      <c r="AG7" s="1751"/>
      <c r="AH7" s="3204"/>
      <c r="AI7" s="1882"/>
      <c r="AJ7" s="2412"/>
      <c r="AK7" s="1751"/>
      <c r="AL7" s="6676"/>
      <c r="AM7" s="8194"/>
      <c r="AN7" s="5030"/>
      <c r="AO7" s="1882"/>
      <c r="AP7" s="2412"/>
      <c r="AQ7" s="1751"/>
      <c r="AR7" s="6676"/>
      <c r="AS7" s="2403"/>
      <c r="AT7" s="2412"/>
      <c r="AU7" s="1751"/>
      <c r="AV7" s="1646">
        <f>6775.085-AV28</f>
        <v>6772.3050000000003</v>
      </c>
      <c r="AW7" s="8240">
        <v>0</v>
      </c>
      <c r="AX7" s="1823">
        <f>+AT7+AV7</f>
        <v>6772.3050000000003</v>
      </c>
      <c r="AY7" s="1751"/>
      <c r="AZ7" s="1646"/>
      <c r="BA7" s="8325"/>
      <c r="BB7" s="2011">
        <f>+AR7+AV7+AZ7</f>
        <v>6772.3050000000003</v>
      </c>
      <c r="BC7" s="8325"/>
      <c r="BD7" s="2011">
        <f>+BB7+AN7</f>
        <v>6772.3050000000003</v>
      </c>
      <c r="BE7" s="6626"/>
      <c r="BF7" s="6627">
        <f>+AX7+AZ7</f>
        <v>6772.3050000000003</v>
      </c>
    </row>
    <row r="8" spans="1:58" ht="16" x14ac:dyDescent="0.2">
      <c r="A8" s="1673"/>
      <c r="B8" s="1604" t="s">
        <v>2282</v>
      </c>
      <c r="C8" s="7437" t="s">
        <v>2289</v>
      </c>
      <c r="D8" s="1545" t="s">
        <v>170</v>
      </c>
      <c r="E8" s="8948"/>
      <c r="F8" s="4406"/>
      <c r="G8" s="8948"/>
      <c r="H8" s="4406">
        <f>2208.6-2.4-11.505</f>
        <v>2194.6949999999997</v>
      </c>
      <c r="I8" s="8614">
        <f>+E8+G8</f>
        <v>0</v>
      </c>
      <c r="J8" s="1823">
        <f>+F8+H8</f>
        <v>2194.6949999999997</v>
      </c>
      <c r="K8" s="8932"/>
      <c r="L8" s="1646">
        <v>0</v>
      </c>
      <c r="M8" s="8945">
        <f>+I8+K8</f>
        <v>0</v>
      </c>
      <c r="N8" s="2011">
        <f>+J8+L8</f>
        <v>2194.6949999999997</v>
      </c>
      <c r="O8" s="8932"/>
      <c r="P8" s="1646">
        <f>9384.51-29.56</f>
        <v>9354.9500000000007</v>
      </c>
      <c r="Q8" s="8946">
        <f>+M8+O8</f>
        <v>0</v>
      </c>
      <c r="R8" s="1823">
        <f>+N8+P8</f>
        <v>11549.645</v>
      </c>
      <c r="S8" s="8932"/>
      <c r="T8" s="1646">
        <v>3069.5450000000001</v>
      </c>
      <c r="U8" s="8946">
        <f>+Q8+S8</f>
        <v>0</v>
      </c>
      <c r="V8" s="1823">
        <f>+R8+T8</f>
        <v>14619.19</v>
      </c>
      <c r="W8" s="8932"/>
      <c r="X8" s="1646">
        <v>6642.16</v>
      </c>
      <c r="Y8" s="8945"/>
      <c r="Z8" s="2011">
        <f>+P8+T8+X8</f>
        <v>19066.654999999999</v>
      </c>
      <c r="AA8" s="8947">
        <f>+U8+W8</f>
        <v>0</v>
      </c>
      <c r="AB8" s="6531">
        <f>+V8+X8</f>
        <v>21261.35</v>
      </c>
      <c r="AC8" s="8932"/>
      <c r="AD8" s="1646">
        <v>3441.7349999999997</v>
      </c>
      <c r="AE8" s="8946"/>
      <c r="AF8" s="1823">
        <f>+AB8+AD8</f>
        <v>24703.084999999999</v>
      </c>
      <c r="AG8" s="8932"/>
      <c r="AH8" s="1646">
        <v>7744.4149999999991</v>
      </c>
      <c r="AI8" s="8946">
        <f>+AE8+AG8</f>
        <v>0</v>
      </c>
      <c r="AJ8" s="1823">
        <f>+AF8+AH8</f>
        <v>32447.5</v>
      </c>
      <c r="AK8" s="8932"/>
      <c r="AL8" s="1646">
        <v>13255.69</v>
      </c>
      <c r="AM8" s="8945"/>
      <c r="AN8" s="2011">
        <f>+AD8+AH8+AL8</f>
        <v>24441.839999999997</v>
      </c>
      <c r="AO8" s="8946">
        <f>+AI8+AK8</f>
        <v>0</v>
      </c>
      <c r="AP8" s="1823">
        <f>+AJ8+AL8</f>
        <v>45703.19</v>
      </c>
      <c r="AQ8" s="8932"/>
      <c r="AR8" s="1646">
        <v>7985.7249999999985</v>
      </c>
      <c r="AS8" s="8956">
        <f>+AO8+AQ8</f>
        <v>0</v>
      </c>
      <c r="AT8" s="1823">
        <f>+AP8+AR8</f>
        <v>53688.915000000001</v>
      </c>
      <c r="AU8" s="8932"/>
      <c r="AV8" s="1646">
        <v>17012.355</v>
      </c>
      <c r="AW8" s="8946">
        <f>+AS8+AU8</f>
        <v>0</v>
      </c>
      <c r="AX8" s="1823">
        <f>+AT8+AV8</f>
        <v>70701.27</v>
      </c>
      <c r="AY8" s="8932"/>
      <c r="AZ8" s="1646">
        <v>12681.045</v>
      </c>
      <c r="BA8" s="8945"/>
      <c r="BB8" s="2011">
        <f t="shared" ref="BB8:BB33" si="0">+AR8+AV8+AZ8</f>
        <v>37679.125</v>
      </c>
      <c r="BC8" s="8945"/>
      <c r="BD8" s="2011">
        <f t="shared" ref="BD8:BD33" si="1">+BB8+AN8</f>
        <v>62120.964999999997</v>
      </c>
      <c r="BE8" s="8947">
        <f>+AW8+AY8</f>
        <v>0</v>
      </c>
      <c r="BF8" s="6627">
        <f t="shared" ref="BF8:BF33" si="2">+AX8+AZ8</f>
        <v>83382.315000000002</v>
      </c>
    </row>
    <row r="9" spans="1:58" s="8094" customFormat="1" ht="16" x14ac:dyDescent="0.2">
      <c r="A9" s="1673"/>
      <c r="B9" s="1604" t="s">
        <v>2282</v>
      </c>
      <c r="C9" s="7437" t="s">
        <v>2292</v>
      </c>
      <c r="D9" s="1545" t="s">
        <v>170</v>
      </c>
      <c r="E9" s="8949"/>
      <c r="F9" s="4406"/>
      <c r="G9" s="8949"/>
      <c r="H9" s="4406"/>
      <c r="I9" s="8615"/>
      <c r="J9" s="1823"/>
      <c r="K9" s="8932"/>
      <c r="L9" s="1646"/>
      <c r="M9" s="8945"/>
      <c r="N9" s="2011"/>
      <c r="O9" s="8932"/>
      <c r="P9" s="1646"/>
      <c r="Q9" s="8946"/>
      <c r="R9" s="1823"/>
      <c r="S9" s="8932"/>
      <c r="T9" s="1646"/>
      <c r="U9" s="8946"/>
      <c r="V9" s="1823"/>
      <c r="W9" s="8932"/>
      <c r="X9" s="1646"/>
      <c r="Y9" s="8945"/>
      <c r="Z9" s="2011"/>
      <c r="AA9" s="8947"/>
      <c r="AB9" s="6531"/>
      <c r="AC9" s="8932"/>
      <c r="AD9" s="1646"/>
      <c r="AE9" s="8946"/>
      <c r="AF9" s="1823"/>
      <c r="AG9" s="8932"/>
      <c r="AH9" s="1646"/>
      <c r="AI9" s="8946"/>
      <c r="AJ9" s="1823"/>
      <c r="AK9" s="8932"/>
      <c r="AL9" s="1646"/>
      <c r="AM9" s="8945"/>
      <c r="AN9" s="2011"/>
      <c r="AO9" s="8946"/>
      <c r="AP9" s="1823"/>
      <c r="AQ9" s="8932"/>
      <c r="AR9" s="1646">
        <v>640.08499999999992</v>
      </c>
      <c r="AS9" s="8946"/>
      <c r="AT9" s="1823">
        <f t="shared" ref="AT9:AT33" si="3">+AP9+AR9</f>
        <v>640.08499999999992</v>
      </c>
      <c r="AU9" s="8932"/>
      <c r="AV9" s="1646"/>
      <c r="AW9" s="8946"/>
      <c r="AX9" s="1823">
        <f t="shared" ref="AX9:AX33" si="4">+AT9+AV9</f>
        <v>640.08499999999992</v>
      </c>
      <c r="AY9" s="8932"/>
      <c r="AZ9" s="1646"/>
      <c r="BA9" s="8945"/>
      <c r="BB9" s="2011">
        <f t="shared" si="0"/>
        <v>640.08499999999992</v>
      </c>
      <c r="BC9" s="8945"/>
      <c r="BD9" s="2011">
        <f t="shared" si="1"/>
        <v>640.08499999999992</v>
      </c>
      <c r="BE9" s="8947"/>
      <c r="BF9" s="6627">
        <f t="shared" si="2"/>
        <v>640.08499999999992</v>
      </c>
    </row>
    <row r="10" spans="1:58" ht="15" customHeight="1" x14ac:dyDescent="0.2">
      <c r="B10" s="1604" t="s">
        <v>2282</v>
      </c>
      <c r="C10" s="7437" t="s">
        <v>2290</v>
      </c>
      <c r="D10" s="1545" t="s">
        <v>170</v>
      </c>
      <c r="E10" s="8593"/>
      <c r="F10" s="4406"/>
      <c r="G10" s="8593"/>
      <c r="H10" s="3851"/>
      <c r="I10" s="8608"/>
      <c r="J10" s="1823">
        <f t="shared" ref="J10:J33" si="5">+F10+H10</f>
        <v>0</v>
      </c>
      <c r="K10" s="8932"/>
      <c r="L10" s="1646"/>
      <c r="M10" s="8945"/>
      <c r="N10" s="2011">
        <f t="shared" ref="N10:N33" si="6">+J10+L10</f>
        <v>0</v>
      </c>
      <c r="O10" s="8932"/>
      <c r="P10" s="3918"/>
      <c r="Q10" s="8946"/>
      <c r="R10" s="1823">
        <f t="shared" ref="R10:R33" si="7">+N10+P10</f>
        <v>0</v>
      </c>
      <c r="S10" s="8932"/>
      <c r="T10" s="1646">
        <v>2104.3049999999998</v>
      </c>
      <c r="U10" s="8946"/>
      <c r="V10" s="1823">
        <f t="shared" ref="V10:V33" si="8">+R10+T10</f>
        <v>2104.3049999999998</v>
      </c>
      <c r="W10" s="8932"/>
      <c r="X10" s="1646">
        <v>2648.2749999999996</v>
      </c>
      <c r="Y10" s="8945"/>
      <c r="Z10" s="2011">
        <f t="shared" ref="Z10:Z33" si="9">+P10+T10+X10</f>
        <v>4752.58</v>
      </c>
      <c r="AA10" s="8947"/>
      <c r="AB10" s="6531">
        <f t="shared" ref="AB10:AB33" si="10">+V10+X10</f>
        <v>4752.58</v>
      </c>
      <c r="AC10" s="8932"/>
      <c r="AD10" s="1646">
        <v>0</v>
      </c>
      <c r="AE10" s="8946"/>
      <c r="AF10" s="1823">
        <f t="shared" ref="AF10:AF33" si="11">+AB10+AD10</f>
        <v>4752.58</v>
      </c>
      <c r="AG10" s="8932"/>
      <c r="AH10" s="1646">
        <v>1867.0849999999998</v>
      </c>
      <c r="AI10" s="8946"/>
      <c r="AJ10" s="1823">
        <f t="shared" ref="AJ10:AJ33" si="12">+AF10+AH10</f>
        <v>6619.665</v>
      </c>
      <c r="AK10" s="8932"/>
      <c r="AL10" s="1646">
        <v>5118.6350000000002</v>
      </c>
      <c r="AM10" s="8945"/>
      <c r="AN10" s="2011">
        <f t="shared" ref="AN10:AN33" si="13">+AD10+AH10+AL10</f>
        <v>6985.72</v>
      </c>
      <c r="AO10" s="8946"/>
      <c r="AP10" s="1823">
        <f t="shared" ref="AP10:AP33" si="14">+AJ10+AL10</f>
        <v>11738.3</v>
      </c>
      <c r="AQ10" s="8932"/>
      <c r="AR10" s="1646">
        <v>4071.5950000000003</v>
      </c>
      <c r="AS10" s="8946"/>
      <c r="AT10" s="1823">
        <f t="shared" si="3"/>
        <v>15809.895</v>
      </c>
      <c r="AU10" s="8932"/>
      <c r="AV10" s="1646">
        <v>1597.145</v>
      </c>
      <c r="AW10" s="8946"/>
      <c r="AX10" s="1823">
        <f t="shared" si="4"/>
        <v>17407.04</v>
      </c>
      <c r="AY10" s="8932"/>
      <c r="AZ10" s="1646"/>
      <c r="BA10" s="8945"/>
      <c r="BB10" s="2011">
        <f t="shared" si="0"/>
        <v>5668.74</v>
      </c>
      <c r="BC10" s="8945"/>
      <c r="BD10" s="2011">
        <f t="shared" si="1"/>
        <v>12654.46</v>
      </c>
      <c r="BE10" s="8947"/>
      <c r="BF10" s="6627">
        <f t="shared" si="2"/>
        <v>17407.04</v>
      </c>
    </row>
    <row r="11" spans="1:58" ht="15" customHeight="1" x14ac:dyDescent="0.2">
      <c r="A11" s="1673"/>
      <c r="B11" s="1604" t="s">
        <v>2283</v>
      </c>
      <c r="C11" s="7437" t="s">
        <v>2289</v>
      </c>
      <c r="D11" s="1545" t="s">
        <v>170</v>
      </c>
      <c r="E11" s="7406"/>
      <c r="F11" s="5245"/>
      <c r="G11" s="7406"/>
      <c r="H11" s="4149"/>
      <c r="I11" s="7400">
        <f>+E11+G11</f>
        <v>0</v>
      </c>
      <c r="J11" s="1823">
        <f t="shared" si="5"/>
        <v>0</v>
      </c>
      <c r="K11" s="7406"/>
      <c r="L11" s="3918">
        <f>462.17-20.97</f>
        <v>441.20000000000005</v>
      </c>
      <c r="M11" s="7402">
        <f>+I11+K11</f>
        <v>0</v>
      </c>
      <c r="N11" s="2011">
        <f t="shared" si="6"/>
        <v>441.20000000000005</v>
      </c>
      <c r="O11" s="7406"/>
      <c r="P11" s="3918">
        <v>0</v>
      </c>
      <c r="Q11" s="7400">
        <f>+M11+O11</f>
        <v>0</v>
      </c>
      <c r="R11" s="1823">
        <f t="shared" si="7"/>
        <v>441.20000000000005</v>
      </c>
      <c r="S11" s="7406"/>
      <c r="T11" s="3918">
        <v>0</v>
      </c>
      <c r="U11" s="7400">
        <f>+Q11+S11</f>
        <v>0</v>
      </c>
      <c r="V11" s="1823">
        <f t="shared" si="8"/>
        <v>441.20000000000005</v>
      </c>
      <c r="W11" s="7406"/>
      <c r="X11" s="3918">
        <v>0</v>
      </c>
      <c r="Y11" s="7402"/>
      <c r="Z11" s="2011">
        <f t="shared" si="9"/>
        <v>0</v>
      </c>
      <c r="AA11" s="7404">
        <f>+U11+W11</f>
        <v>0</v>
      </c>
      <c r="AB11" s="6531">
        <f t="shared" si="10"/>
        <v>441.20000000000005</v>
      </c>
      <c r="AC11" s="7406"/>
      <c r="AD11" s="3918">
        <v>0</v>
      </c>
      <c r="AE11" s="7400"/>
      <c r="AF11" s="1823">
        <f t="shared" si="11"/>
        <v>441.20000000000005</v>
      </c>
      <c r="AG11" s="7585"/>
      <c r="AH11" s="3918">
        <v>0</v>
      </c>
      <c r="AI11" s="7558">
        <f>+AE11+AG11</f>
        <v>0</v>
      </c>
      <c r="AJ11" s="1823">
        <f t="shared" si="12"/>
        <v>441.20000000000005</v>
      </c>
      <c r="AK11" s="7761"/>
      <c r="AL11" s="3918">
        <v>0</v>
      </c>
      <c r="AM11" s="7747"/>
      <c r="AN11" s="2011">
        <f t="shared" si="13"/>
        <v>0</v>
      </c>
      <c r="AO11" s="7893">
        <f>+AI11+AK11</f>
        <v>0</v>
      </c>
      <c r="AP11" s="1823">
        <f t="shared" si="14"/>
        <v>441.20000000000005</v>
      </c>
      <c r="AQ11" s="8108"/>
      <c r="AR11" s="3918"/>
      <c r="AS11" s="8096">
        <f>+AO11+AQ11</f>
        <v>0</v>
      </c>
      <c r="AT11" s="1823">
        <f t="shared" si="3"/>
        <v>441.20000000000005</v>
      </c>
      <c r="AU11" s="8172"/>
      <c r="AV11" s="3918"/>
      <c r="AW11" s="8151">
        <f>+AS11+AU11</f>
        <v>0</v>
      </c>
      <c r="AX11" s="1823">
        <f t="shared" si="4"/>
        <v>441.20000000000005</v>
      </c>
      <c r="AY11" s="8322"/>
      <c r="AZ11" s="3918">
        <v>672.80499999999995</v>
      </c>
      <c r="BA11" s="8267"/>
      <c r="BB11" s="2011">
        <f t="shared" si="0"/>
        <v>672.80499999999995</v>
      </c>
      <c r="BC11" s="8267"/>
      <c r="BD11" s="2011">
        <f t="shared" si="1"/>
        <v>672.80499999999995</v>
      </c>
      <c r="BE11" s="8278">
        <f>+AW11+AY11</f>
        <v>0</v>
      </c>
      <c r="BF11" s="6627">
        <f t="shared" si="2"/>
        <v>1114.0050000000001</v>
      </c>
    </row>
    <row r="12" spans="1:58" ht="16" x14ac:dyDescent="0.2">
      <c r="B12" s="1604" t="s">
        <v>2284</v>
      </c>
      <c r="C12" s="7437" t="s">
        <v>2289</v>
      </c>
      <c r="D12" s="1545" t="s">
        <v>170</v>
      </c>
      <c r="E12" s="7399"/>
      <c r="F12" s="5245">
        <v>1143.3</v>
      </c>
      <c r="G12" s="7399"/>
      <c r="H12" s="4149"/>
      <c r="I12" s="7401"/>
      <c r="J12" s="1823">
        <f t="shared" si="5"/>
        <v>1143.3</v>
      </c>
      <c r="K12" s="7399"/>
      <c r="L12" s="3918">
        <v>0</v>
      </c>
      <c r="M12" s="7403"/>
      <c r="N12" s="2011">
        <f t="shared" si="6"/>
        <v>1143.3</v>
      </c>
      <c r="O12" s="7399"/>
      <c r="P12" s="3918">
        <v>0</v>
      </c>
      <c r="Q12" s="7401"/>
      <c r="R12" s="1823">
        <f t="shared" si="7"/>
        <v>1143.3</v>
      </c>
      <c r="S12" s="7399"/>
      <c r="T12" s="3918">
        <v>0</v>
      </c>
      <c r="U12" s="7401"/>
      <c r="V12" s="1823">
        <f t="shared" si="8"/>
        <v>1143.3</v>
      </c>
      <c r="W12" s="7399"/>
      <c r="X12" s="3918">
        <v>0</v>
      </c>
      <c r="Y12" s="7403"/>
      <c r="Z12" s="2011">
        <f t="shared" si="9"/>
        <v>0</v>
      </c>
      <c r="AA12" s="7405"/>
      <c r="AB12" s="6531">
        <f t="shared" si="10"/>
        <v>1143.3</v>
      </c>
      <c r="AC12" s="7399"/>
      <c r="AD12" s="3918">
        <v>0</v>
      </c>
      <c r="AE12" s="7401"/>
      <c r="AF12" s="1823">
        <f t="shared" si="11"/>
        <v>1143.3</v>
      </c>
      <c r="AG12" s="7556"/>
      <c r="AH12" s="3918">
        <v>0</v>
      </c>
      <c r="AI12" s="7559"/>
      <c r="AJ12" s="1823">
        <f t="shared" si="12"/>
        <v>1143.3</v>
      </c>
      <c r="AK12" s="7746"/>
      <c r="AL12" s="3918">
        <v>6413.12</v>
      </c>
      <c r="AM12" s="7748"/>
      <c r="AN12" s="2011">
        <f t="shared" si="13"/>
        <v>6413.12</v>
      </c>
      <c r="AO12" s="7894"/>
      <c r="AP12" s="1823">
        <f t="shared" si="14"/>
        <v>7556.42</v>
      </c>
      <c r="AQ12" s="8098"/>
      <c r="AR12" s="3918">
        <v>2533.7550000000001</v>
      </c>
      <c r="AS12" s="8097"/>
      <c r="AT12" s="1823">
        <f t="shared" si="3"/>
        <v>10090.174999999999</v>
      </c>
      <c r="AU12" s="8146"/>
      <c r="AV12" s="3918"/>
      <c r="AW12" s="8152"/>
      <c r="AX12" s="1823">
        <f t="shared" si="4"/>
        <v>10090.174999999999</v>
      </c>
      <c r="AY12" s="8263"/>
      <c r="AZ12" s="3918"/>
      <c r="BA12" s="8268"/>
      <c r="BB12" s="2011">
        <f t="shared" si="0"/>
        <v>2533.7550000000001</v>
      </c>
      <c r="BC12" s="8268"/>
      <c r="BD12" s="2011">
        <f t="shared" si="1"/>
        <v>8946.875</v>
      </c>
      <c r="BE12" s="8279"/>
      <c r="BF12" s="6627">
        <f t="shared" si="2"/>
        <v>10090.174999999999</v>
      </c>
    </row>
    <row r="13" spans="1:58" ht="16" x14ac:dyDescent="0.2">
      <c r="B13" s="1604" t="s">
        <v>2285</v>
      </c>
      <c r="C13" s="7437" t="s">
        <v>2290</v>
      </c>
      <c r="D13" s="1545" t="s">
        <v>170</v>
      </c>
      <c r="E13" s="8594"/>
      <c r="F13" s="5245">
        <v>0</v>
      </c>
      <c r="G13" s="8594"/>
      <c r="H13" s="5245">
        <f>2294.49-10.8</f>
        <v>2283.6899999999996</v>
      </c>
      <c r="I13" s="8614">
        <f>+E13+G13</f>
        <v>0</v>
      </c>
      <c r="J13" s="1823">
        <f t="shared" si="5"/>
        <v>2283.6899999999996</v>
      </c>
      <c r="K13" s="8594"/>
      <c r="L13" s="3918">
        <v>0</v>
      </c>
      <c r="M13" s="8575">
        <f>+I13+K13</f>
        <v>0</v>
      </c>
      <c r="N13" s="2011">
        <f t="shared" si="6"/>
        <v>2283.6899999999996</v>
      </c>
      <c r="O13" s="8594"/>
      <c r="P13" s="3918">
        <v>0</v>
      </c>
      <c r="Q13" s="8614">
        <f>+M13+O13</f>
        <v>0</v>
      </c>
      <c r="R13" s="1823">
        <f t="shared" si="7"/>
        <v>2283.6899999999996</v>
      </c>
      <c r="S13" s="8594"/>
      <c r="T13" s="3918">
        <v>0</v>
      </c>
      <c r="U13" s="8614">
        <f>+Q13+S13</f>
        <v>0</v>
      </c>
      <c r="V13" s="1823">
        <f t="shared" si="8"/>
        <v>2283.6899999999996</v>
      </c>
      <c r="W13" s="8594"/>
      <c r="X13" s="3918">
        <f>3404.925-24.468</f>
        <v>3380.4570000000003</v>
      </c>
      <c r="Y13" s="8575"/>
      <c r="Z13" s="2011">
        <f t="shared" si="9"/>
        <v>3380.4570000000003</v>
      </c>
      <c r="AA13" s="8577">
        <f>+U13+W13</f>
        <v>0</v>
      </c>
      <c r="AB13" s="6531">
        <f t="shared" si="10"/>
        <v>5664.1469999999999</v>
      </c>
      <c r="AC13" s="8594"/>
      <c r="AD13" s="3918">
        <v>0</v>
      </c>
      <c r="AE13" s="8614"/>
      <c r="AF13" s="1823">
        <f t="shared" si="11"/>
        <v>5664.1469999999999</v>
      </c>
      <c r="AG13" s="8594"/>
      <c r="AH13" s="3918">
        <v>5302.6849999999995</v>
      </c>
      <c r="AI13" s="8614">
        <f>+AE13+AG13</f>
        <v>0</v>
      </c>
      <c r="AJ13" s="1823">
        <f t="shared" si="12"/>
        <v>10966.831999999999</v>
      </c>
      <c r="AK13" s="8594"/>
      <c r="AL13" s="3918">
        <f>3638.055-5.3</f>
        <v>3632.7549999999997</v>
      </c>
      <c r="AM13" s="8575"/>
      <c r="AN13" s="2011">
        <f t="shared" si="13"/>
        <v>8935.4399999999987</v>
      </c>
      <c r="AO13" s="8614">
        <f>+AI13+AK13</f>
        <v>0</v>
      </c>
      <c r="AP13" s="1823">
        <f t="shared" si="14"/>
        <v>14599.586999999998</v>
      </c>
      <c r="AQ13" s="8594"/>
      <c r="AR13" s="3918">
        <v>5946.86</v>
      </c>
      <c r="AS13" s="8614">
        <f>+AO13+AQ13</f>
        <v>0</v>
      </c>
      <c r="AT13" s="1823">
        <f t="shared" si="3"/>
        <v>20546.446999999996</v>
      </c>
      <c r="AU13" s="8594"/>
      <c r="AV13" s="3918"/>
      <c r="AW13" s="8614">
        <f>+AS13+AU13</f>
        <v>0</v>
      </c>
      <c r="AX13" s="1823">
        <f t="shared" si="4"/>
        <v>20546.446999999996</v>
      </c>
      <c r="AY13" s="8594"/>
      <c r="AZ13" s="3918">
        <v>1572.605</v>
      </c>
      <c r="BA13" s="8575"/>
      <c r="BB13" s="2011">
        <f t="shared" si="0"/>
        <v>7519.4650000000001</v>
      </c>
      <c r="BC13" s="8575"/>
      <c r="BD13" s="2011">
        <f t="shared" si="1"/>
        <v>16454.904999999999</v>
      </c>
      <c r="BE13" s="8577">
        <f>+AW13+AY13</f>
        <v>0</v>
      </c>
      <c r="BF13" s="6627">
        <f t="shared" si="2"/>
        <v>22119.051999999996</v>
      </c>
    </row>
    <row r="14" spans="1:58" ht="16" x14ac:dyDescent="0.2">
      <c r="B14" s="1604" t="s">
        <v>2285</v>
      </c>
      <c r="C14" s="7437" t="s">
        <v>2289</v>
      </c>
      <c r="D14" s="1545" t="s">
        <v>170</v>
      </c>
      <c r="E14" s="8595"/>
      <c r="F14" s="5245">
        <v>0</v>
      </c>
      <c r="G14" s="8595"/>
      <c r="H14" s="5245">
        <f>9372.235-151.2</f>
        <v>9221.0349999999999</v>
      </c>
      <c r="I14" s="8615"/>
      <c r="J14" s="1823">
        <f t="shared" si="5"/>
        <v>9221.0349999999999</v>
      </c>
      <c r="K14" s="8595"/>
      <c r="L14" s="3918">
        <f>4552.17-46.35</f>
        <v>4505.82</v>
      </c>
      <c r="M14" s="8576"/>
      <c r="N14" s="2011">
        <f t="shared" si="6"/>
        <v>13726.855</v>
      </c>
      <c r="O14" s="8595"/>
      <c r="P14" s="3918">
        <f>5691.24-72</f>
        <v>5619.24</v>
      </c>
      <c r="Q14" s="8615"/>
      <c r="R14" s="1823">
        <f t="shared" si="7"/>
        <v>19346.095000000001</v>
      </c>
      <c r="S14" s="8595"/>
      <c r="T14" s="3918">
        <f>5492.87</f>
        <v>5492.87</v>
      </c>
      <c r="U14" s="8615"/>
      <c r="V14" s="1823">
        <f t="shared" si="8"/>
        <v>24838.965</v>
      </c>
      <c r="W14" s="8595"/>
      <c r="X14" s="3918">
        <f>4714.53-72.9</f>
        <v>4641.63</v>
      </c>
      <c r="Y14" s="8576"/>
      <c r="Z14" s="2011">
        <f t="shared" si="9"/>
        <v>15753.740000000002</v>
      </c>
      <c r="AA14" s="8578"/>
      <c r="AB14" s="6531">
        <f t="shared" si="10"/>
        <v>29480.595000000001</v>
      </c>
      <c r="AC14" s="8595"/>
      <c r="AD14" s="3918">
        <v>3940.7149999999997</v>
      </c>
      <c r="AE14" s="8615"/>
      <c r="AF14" s="1823">
        <f t="shared" si="11"/>
        <v>33421.31</v>
      </c>
      <c r="AG14" s="8595"/>
      <c r="AH14" s="3918">
        <f>5008.205-2.7</f>
        <v>5005.5050000000001</v>
      </c>
      <c r="AI14" s="8615"/>
      <c r="AJ14" s="1823">
        <f t="shared" si="12"/>
        <v>38426.814999999995</v>
      </c>
      <c r="AK14" s="8595"/>
      <c r="AL14" s="3918">
        <v>2539.8900000000003</v>
      </c>
      <c r="AM14" s="8576"/>
      <c r="AN14" s="2011">
        <f t="shared" si="13"/>
        <v>11486.11</v>
      </c>
      <c r="AO14" s="8615"/>
      <c r="AP14" s="1823">
        <f t="shared" si="14"/>
        <v>40966.704999999994</v>
      </c>
      <c r="AQ14" s="8595"/>
      <c r="AR14" s="3918">
        <v>5838.4749999999995</v>
      </c>
      <c r="AS14" s="8615"/>
      <c r="AT14" s="1823">
        <f t="shared" si="3"/>
        <v>46805.179999999993</v>
      </c>
      <c r="AU14" s="8595"/>
      <c r="AV14" s="3918"/>
      <c r="AW14" s="8615"/>
      <c r="AX14" s="1823">
        <f t="shared" si="4"/>
        <v>46805.179999999993</v>
      </c>
      <c r="AY14" s="8595"/>
      <c r="AZ14" s="3918">
        <f>14777.17-18.2</f>
        <v>14758.97</v>
      </c>
      <c r="BA14" s="8576"/>
      <c r="BB14" s="2011">
        <f t="shared" si="0"/>
        <v>20597.445</v>
      </c>
      <c r="BC14" s="8576"/>
      <c r="BD14" s="2011">
        <f t="shared" si="1"/>
        <v>32083.555</v>
      </c>
      <c r="BE14" s="8578"/>
      <c r="BF14" s="6627">
        <f t="shared" si="2"/>
        <v>61564.149999999994</v>
      </c>
    </row>
    <row r="15" spans="1:58" s="4179" customFormat="1" ht="16" x14ac:dyDescent="0.2">
      <c r="B15" s="1604" t="s">
        <v>2285</v>
      </c>
      <c r="C15" s="7437" t="s">
        <v>2291</v>
      </c>
      <c r="D15" s="1545" t="s">
        <v>170</v>
      </c>
      <c r="E15" s="8595"/>
      <c r="F15" s="5245">
        <v>0</v>
      </c>
      <c r="G15" s="8595"/>
      <c r="H15" s="5245">
        <v>2568.52</v>
      </c>
      <c r="I15" s="8615"/>
      <c r="J15" s="1823">
        <f t="shared" si="5"/>
        <v>2568.52</v>
      </c>
      <c r="K15" s="8595"/>
      <c r="L15" s="3918">
        <v>466.26</v>
      </c>
      <c r="M15" s="8576"/>
      <c r="N15" s="2011">
        <f t="shared" si="6"/>
        <v>3034.7799999999997</v>
      </c>
      <c r="O15" s="8595"/>
      <c r="P15" s="3918">
        <f>2441.73-151.2</f>
        <v>2290.5300000000002</v>
      </c>
      <c r="Q15" s="8615"/>
      <c r="R15" s="1823">
        <f t="shared" si="7"/>
        <v>5325.3099999999995</v>
      </c>
      <c r="S15" s="8595"/>
      <c r="T15" s="3918">
        <f>2730.075-5.2</f>
        <v>2724.875</v>
      </c>
      <c r="U15" s="8615"/>
      <c r="V15" s="1823">
        <f t="shared" si="8"/>
        <v>8050.1849999999995</v>
      </c>
      <c r="W15" s="8595"/>
      <c r="X15" s="3918">
        <f>6568.54-5.6</f>
        <v>6562.94</v>
      </c>
      <c r="Y15" s="8576"/>
      <c r="Z15" s="2011">
        <f t="shared" si="9"/>
        <v>11578.345000000001</v>
      </c>
      <c r="AA15" s="8578"/>
      <c r="AB15" s="6531">
        <f t="shared" si="10"/>
        <v>14613.125</v>
      </c>
      <c r="AC15" s="8595"/>
      <c r="AD15" s="3918">
        <v>0</v>
      </c>
      <c r="AE15" s="8615"/>
      <c r="AF15" s="1823">
        <f t="shared" si="11"/>
        <v>14613.125</v>
      </c>
      <c r="AG15" s="8595"/>
      <c r="AH15" s="7681">
        <v>4556.46</v>
      </c>
      <c r="AI15" s="8615"/>
      <c r="AJ15" s="1823">
        <f t="shared" si="12"/>
        <v>19169.584999999999</v>
      </c>
      <c r="AK15" s="8595"/>
      <c r="AL15" s="7681">
        <f>5603.3-8.1-7.8</f>
        <v>5587.4</v>
      </c>
      <c r="AM15" s="8576"/>
      <c r="AN15" s="2011">
        <f t="shared" si="13"/>
        <v>10143.86</v>
      </c>
      <c r="AO15" s="8615"/>
      <c r="AP15" s="1823">
        <f t="shared" si="14"/>
        <v>24756.985000000001</v>
      </c>
      <c r="AQ15" s="8595"/>
      <c r="AR15" s="7681">
        <v>8791.4549999999999</v>
      </c>
      <c r="AS15" s="8615"/>
      <c r="AT15" s="1823">
        <f t="shared" si="3"/>
        <v>33548.44</v>
      </c>
      <c r="AU15" s="8595"/>
      <c r="AV15" s="7681"/>
      <c r="AW15" s="8615"/>
      <c r="AX15" s="1823">
        <f t="shared" si="4"/>
        <v>33548.44</v>
      </c>
      <c r="AY15" s="8595"/>
      <c r="AZ15" s="7681">
        <f>3368.115-4.16</f>
        <v>3363.9549999999999</v>
      </c>
      <c r="BA15" s="8576"/>
      <c r="BB15" s="2011">
        <f t="shared" si="0"/>
        <v>12155.41</v>
      </c>
      <c r="BC15" s="8576"/>
      <c r="BD15" s="2011">
        <f t="shared" si="1"/>
        <v>22299.27</v>
      </c>
      <c r="BE15" s="8578"/>
      <c r="BF15" s="6627">
        <f t="shared" si="2"/>
        <v>36912.395000000004</v>
      </c>
    </row>
    <row r="16" spans="1:58" ht="15" customHeight="1" x14ac:dyDescent="0.2">
      <c r="B16" s="1604" t="s">
        <v>2285</v>
      </c>
      <c r="C16" s="7437" t="s">
        <v>2292</v>
      </c>
      <c r="D16" s="1545" t="s">
        <v>170</v>
      </c>
      <c r="E16" s="8595"/>
      <c r="F16" s="5245">
        <v>0</v>
      </c>
      <c r="G16" s="8595"/>
      <c r="H16" s="5245">
        <f>946.835-57.2</f>
        <v>889.63499999999999</v>
      </c>
      <c r="I16" s="8615"/>
      <c r="J16" s="1823">
        <f t="shared" si="5"/>
        <v>889.63499999999999</v>
      </c>
      <c r="K16" s="8595"/>
      <c r="L16" s="3918">
        <v>0</v>
      </c>
      <c r="M16" s="8576"/>
      <c r="N16" s="2011">
        <f t="shared" si="6"/>
        <v>889.63499999999999</v>
      </c>
      <c r="O16" s="8595"/>
      <c r="P16" s="3918">
        <v>0</v>
      </c>
      <c r="Q16" s="8615"/>
      <c r="R16" s="1823">
        <f t="shared" si="7"/>
        <v>889.63499999999999</v>
      </c>
      <c r="S16" s="8595"/>
      <c r="T16" s="3918">
        <v>0</v>
      </c>
      <c r="U16" s="8615"/>
      <c r="V16" s="1823">
        <f t="shared" si="8"/>
        <v>889.63499999999999</v>
      </c>
      <c r="W16" s="8595"/>
      <c r="X16" s="3918">
        <v>0</v>
      </c>
      <c r="Y16" s="8576"/>
      <c r="Z16" s="2011">
        <f t="shared" si="9"/>
        <v>0</v>
      </c>
      <c r="AA16" s="8578"/>
      <c r="AB16" s="6531">
        <f t="shared" si="10"/>
        <v>889.63499999999999</v>
      </c>
      <c r="AC16" s="8595"/>
      <c r="AD16" s="3918">
        <v>0</v>
      </c>
      <c r="AE16" s="8615"/>
      <c r="AF16" s="1823">
        <f t="shared" si="11"/>
        <v>889.63499999999999</v>
      </c>
      <c r="AG16" s="8595"/>
      <c r="AH16" s="3918">
        <v>0</v>
      </c>
      <c r="AI16" s="8615"/>
      <c r="AJ16" s="1823">
        <f t="shared" si="12"/>
        <v>889.63499999999999</v>
      </c>
      <c r="AK16" s="8595"/>
      <c r="AL16" s="3918">
        <v>813.91</v>
      </c>
      <c r="AM16" s="8576"/>
      <c r="AN16" s="2011">
        <f t="shared" si="13"/>
        <v>813.91</v>
      </c>
      <c r="AO16" s="8615"/>
      <c r="AP16" s="1823">
        <f t="shared" si="14"/>
        <v>1703.5450000000001</v>
      </c>
      <c r="AQ16" s="8595"/>
      <c r="AR16" s="3918">
        <v>707.56999999999994</v>
      </c>
      <c r="AS16" s="8615"/>
      <c r="AT16" s="1823">
        <f t="shared" si="3"/>
        <v>2411.1149999999998</v>
      </c>
      <c r="AU16" s="8595"/>
      <c r="AV16" s="3918"/>
      <c r="AW16" s="8615"/>
      <c r="AX16" s="1823">
        <f t="shared" si="4"/>
        <v>2411.1149999999998</v>
      </c>
      <c r="AY16" s="8595"/>
      <c r="AZ16" s="3918"/>
      <c r="BA16" s="8576"/>
      <c r="BB16" s="2011">
        <f t="shared" si="0"/>
        <v>707.56999999999994</v>
      </c>
      <c r="BC16" s="8576"/>
      <c r="BD16" s="2011">
        <f t="shared" si="1"/>
        <v>1521.48</v>
      </c>
      <c r="BE16" s="8578"/>
      <c r="BF16" s="6627">
        <f t="shared" si="2"/>
        <v>2411.1149999999998</v>
      </c>
    </row>
    <row r="17" spans="2:58" ht="16" x14ac:dyDescent="0.2">
      <c r="B17" s="1604" t="s">
        <v>2286</v>
      </c>
      <c r="C17" s="7437" t="s">
        <v>2289</v>
      </c>
      <c r="D17" s="1545" t="s">
        <v>170</v>
      </c>
      <c r="E17" s="8595"/>
      <c r="F17" s="5245">
        <v>0</v>
      </c>
      <c r="G17" s="8595"/>
      <c r="H17" s="5245">
        <f>7971.41-20.08</f>
        <v>7951.33</v>
      </c>
      <c r="I17" s="8615"/>
      <c r="J17" s="1823">
        <f t="shared" si="5"/>
        <v>7951.33</v>
      </c>
      <c r="K17" s="8595"/>
      <c r="L17" s="3918">
        <f>9368.145-26.482</f>
        <v>9341.6630000000005</v>
      </c>
      <c r="M17" s="8576"/>
      <c r="N17" s="2011">
        <f t="shared" si="6"/>
        <v>17292.993000000002</v>
      </c>
      <c r="O17" s="8595"/>
      <c r="P17" s="3918">
        <v>0</v>
      </c>
      <c r="Q17" s="8615"/>
      <c r="R17" s="1823">
        <f t="shared" si="7"/>
        <v>17292.993000000002</v>
      </c>
      <c r="S17" s="8595"/>
      <c r="T17" s="3918">
        <f>4494.91-15.33</f>
        <v>4479.58</v>
      </c>
      <c r="U17" s="8615"/>
      <c r="V17" s="1823">
        <f t="shared" si="8"/>
        <v>21772.573000000004</v>
      </c>
      <c r="W17" s="8595"/>
      <c r="X17" s="3918">
        <v>0</v>
      </c>
      <c r="Y17" s="8576"/>
      <c r="Z17" s="2011">
        <f t="shared" si="9"/>
        <v>4479.58</v>
      </c>
      <c r="AA17" s="8578"/>
      <c r="AB17" s="6531">
        <f t="shared" si="10"/>
        <v>21772.573000000004</v>
      </c>
      <c r="AC17" s="8595"/>
      <c r="AD17" s="3918">
        <f>8633.99-49.92</f>
        <v>8584.07</v>
      </c>
      <c r="AE17" s="8615"/>
      <c r="AF17" s="1823">
        <f t="shared" si="11"/>
        <v>30356.643000000004</v>
      </c>
      <c r="AG17" s="8595"/>
      <c r="AH17" s="3918">
        <f>1991.83-4.6</f>
        <v>1987.23</v>
      </c>
      <c r="AI17" s="8615"/>
      <c r="AJ17" s="1823">
        <f t="shared" si="12"/>
        <v>32343.873000000003</v>
      </c>
      <c r="AK17" s="8595"/>
      <c r="AL17" s="3918">
        <v>2108.395</v>
      </c>
      <c r="AM17" s="8576"/>
      <c r="AN17" s="2011">
        <f t="shared" si="13"/>
        <v>12679.695</v>
      </c>
      <c r="AO17" s="8615"/>
      <c r="AP17" s="1823">
        <f t="shared" si="14"/>
        <v>34452.268000000004</v>
      </c>
      <c r="AQ17" s="8595"/>
      <c r="AR17" s="3918"/>
      <c r="AS17" s="8615"/>
      <c r="AT17" s="1823">
        <f t="shared" si="3"/>
        <v>34452.268000000004</v>
      </c>
      <c r="AU17" s="8595"/>
      <c r="AV17" s="3918">
        <v>8310.880000000001</v>
      </c>
      <c r="AW17" s="8615"/>
      <c r="AX17" s="1823">
        <f t="shared" si="4"/>
        <v>42763.148000000001</v>
      </c>
      <c r="AY17" s="8595"/>
      <c r="AZ17" s="3918">
        <v>3511.2649999999999</v>
      </c>
      <c r="BA17" s="8576"/>
      <c r="BB17" s="2011">
        <f t="shared" si="0"/>
        <v>11822.145</v>
      </c>
      <c r="BC17" s="8576"/>
      <c r="BD17" s="2011">
        <f t="shared" si="1"/>
        <v>24501.84</v>
      </c>
      <c r="BE17" s="8578"/>
      <c r="BF17" s="6627">
        <f t="shared" si="2"/>
        <v>46274.413</v>
      </c>
    </row>
    <row r="18" spans="2:58" s="5123" customFormat="1" ht="16" x14ac:dyDescent="0.2">
      <c r="B18" s="1604" t="s">
        <v>2286</v>
      </c>
      <c r="C18" s="7437" t="s">
        <v>2292</v>
      </c>
      <c r="D18" s="1545" t="s">
        <v>170</v>
      </c>
      <c r="E18" s="8595"/>
      <c r="F18" s="5245"/>
      <c r="G18" s="8595"/>
      <c r="H18" s="5245"/>
      <c r="I18" s="8615"/>
      <c r="J18" s="1823">
        <f t="shared" si="5"/>
        <v>0</v>
      </c>
      <c r="K18" s="8595"/>
      <c r="L18" s="3918">
        <v>846.63</v>
      </c>
      <c r="M18" s="8576"/>
      <c r="N18" s="2011">
        <f t="shared" si="6"/>
        <v>846.63</v>
      </c>
      <c r="O18" s="8595"/>
      <c r="P18" s="3918">
        <v>0</v>
      </c>
      <c r="Q18" s="8615"/>
      <c r="R18" s="1823">
        <f t="shared" si="7"/>
        <v>846.63</v>
      </c>
      <c r="S18" s="8595"/>
      <c r="T18" s="3918">
        <v>0</v>
      </c>
      <c r="U18" s="8615"/>
      <c r="V18" s="1823">
        <f t="shared" si="8"/>
        <v>846.63</v>
      </c>
      <c r="W18" s="8595"/>
      <c r="X18" s="3918">
        <v>0</v>
      </c>
      <c r="Y18" s="8576"/>
      <c r="Z18" s="2011">
        <f t="shared" si="9"/>
        <v>0</v>
      </c>
      <c r="AA18" s="8578"/>
      <c r="AB18" s="6531">
        <f t="shared" si="10"/>
        <v>846.63</v>
      </c>
      <c r="AC18" s="8595"/>
      <c r="AD18" s="3918">
        <v>0</v>
      </c>
      <c r="AE18" s="8615"/>
      <c r="AF18" s="1823">
        <f t="shared" si="11"/>
        <v>846.63</v>
      </c>
      <c r="AG18" s="8595"/>
      <c r="AH18" s="3918">
        <v>0</v>
      </c>
      <c r="AI18" s="8615"/>
      <c r="AJ18" s="1823">
        <f t="shared" si="12"/>
        <v>846.63</v>
      </c>
      <c r="AK18" s="8595"/>
      <c r="AL18" s="3918">
        <v>623.72500000000002</v>
      </c>
      <c r="AM18" s="8576"/>
      <c r="AN18" s="2011">
        <f t="shared" si="13"/>
        <v>623.72500000000002</v>
      </c>
      <c r="AO18" s="8615"/>
      <c r="AP18" s="1823">
        <f t="shared" si="14"/>
        <v>1470.355</v>
      </c>
      <c r="AQ18" s="8595"/>
      <c r="AR18" s="3918"/>
      <c r="AS18" s="8615"/>
      <c r="AT18" s="1823">
        <f t="shared" si="3"/>
        <v>1470.355</v>
      </c>
      <c r="AU18" s="8595"/>
      <c r="AV18" s="3918">
        <v>490.79999999999995</v>
      </c>
      <c r="AW18" s="8615"/>
      <c r="AX18" s="1823">
        <f t="shared" si="4"/>
        <v>1961.155</v>
      </c>
      <c r="AY18" s="8595"/>
      <c r="AZ18" s="3918"/>
      <c r="BA18" s="8576"/>
      <c r="BB18" s="2011">
        <f t="shared" si="0"/>
        <v>490.79999999999995</v>
      </c>
      <c r="BC18" s="8576"/>
      <c r="BD18" s="2011">
        <f t="shared" si="1"/>
        <v>1114.5250000000001</v>
      </c>
      <c r="BE18" s="8578"/>
      <c r="BF18" s="6627">
        <f t="shared" si="2"/>
        <v>1961.155</v>
      </c>
    </row>
    <row r="19" spans="2:58" ht="16" x14ac:dyDescent="0.2">
      <c r="B19" s="1604" t="s">
        <v>2286</v>
      </c>
      <c r="C19" s="7437" t="s">
        <v>2291</v>
      </c>
      <c r="D19" s="1545" t="s">
        <v>170</v>
      </c>
      <c r="E19" s="8595"/>
      <c r="F19" s="5245">
        <v>0</v>
      </c>
      <c r="G19" s="8595"/>
      <c r="H19" s="5245">
        <f>2648.275-10.4</f>
        <v>2637.875</v>
      </c>
      <c r="I19" s="8615"/>
      <c r="J19" s="1823">
        <f t="shared" si="5"/>
        <v>2637.875</v>
      </c>
      <c r="K19" s="8595"/>
      <c r="L19" s="3918">
        <v>2092.0349999999999</v>
      </c>
      <c r="M19" s="8576"/>
      <c r="N19" s="2011">
        <f t="shared" si="6"/>
        <v>4729.91</v>
      </c>
      <c r="O19" s="8595"/>
      <c r="P19" s="3918">
        <v>0</v>
      </c>
      <c r="Q19" s="8615"/>
      <c r="R19" s="1823">
        <f t="shared" si="7"/>
        <v>4729.91</v>
      </c>
      <c r="S19" s="8595"/>
      <c r="T19" s="3918">
        <v>1051.1300000000001</v>
      </c>
      <c r="U19" s="8615"/>
      <c r="V19" s="1823">
        <f t="shared" si="8"/>
        <v>5781.04</v>
      </c>
      <c r="W19" s="8595"/>
      <c r="X19" s="3918">
        <v>0</v>
      </c>
      <c r="Y19" s="8576"/>
      <c r="Z19" s="2011">
        <f t="shared" si="9"/>
        <v>1051.1300000000001</v>
      </c>
      <c r="AA19" s="8578"/>
      <c r="AB19" s="6531">
        <f t="shared" si="10"/>
        <v>5781.04</v>
      </c>
      <c r="AC19" s="8595"/>
      <c r="AD19" s="3918">
        <f>737.88+2386.515</f>
        <v>3124.395</v>
      </c>
      <c r="AE19" s="8615"/>
      <c r="AF19" s="1823">
        <f t="shared" si="11"/>
        <v>8905.4349999999995</v>
      </c>
      <c r="AG19" s="8595"/>
      <c r="AH19" s="7681">
        <f>4887.55-26.63</f>
        <v>4860.92</v>
      </c>
      <c r="AI19" s="8615"/>
      <c r="AJ19" s="1823">
        <f t="shared" si="12"/>
        <v>13766.355</v>
      </c>
      <c r="AK19" s="8595"/>
      <c r="AL19" s="7681">
        <v>5539.9049999999997</v>
      </c>
      <c r="AM19" s="8576"/>
      <c r="AN19" s="2011">
        <f t="shared" si="13"/>
        <v>13525.220000000001</v>
      </c>
      <c r="AO19" s="8615"/>
      <c r="AP19" s="1823">
        <f t="shared" si="14"/>
        <v>19306.259999999998</v>
      </c>
      <c r="AQ19" s="8595"/>
      <c r="AR19" s="7681"/>
      <c r="AS19" s="8615"/>
      <c r="AT19" s="1823">
        <f t="shared" si="3"/>
        <v>19306.259999999998</v>
      </c>
      <c r="AU19" s="8595"/>
      <c r="AV19" s="7681">
        <f>5955.04-AV33</f>
        <v>5927.0379999999996</v>
      </c>
      <c r="AW19" s="8615"/>
      <c r="AX19" s="1823">
        <f t="shared" si="4"/>
        <v>25233.297999999999</v>
      </c>
      <c r="AY19" s="8595"/>
      <c r="AZ19" s="7681">
        <v>4065.46</v>
      </c>
      <c r="BA19" s="8576"/>
      <c r="BB19" s="2011">
        <f t="shared" si="0"/>
        <v>9992.4979999999996</v>
      </c>
      <c r="BC19" s="8576"/>
      <c r="BD19" s="2011">
        <f t="shared" si="1"/>
        <v>23517.718000000001</v>
      </c>
      <c r="BE19" s="8578"/>
      <c r="BF19" s="6627">
        <f t="shared" si="2"/>
        <v>29298.757999999998</v>
      </c>
    </row>
    <row r="20" spans="2:58" ht="16" x14ac:dyDescent="0.2">
      <c r="B20" s="1604" t="s">
        <v>2286</v>
      </c>
      <c r="C20" s="7437" t="s">
        <v>2290</v>
      </c>
      <c r="D20" s="1545" t="s">
        <v>170</v>
      </c>
      <c r="E20" s="8595"/>
      <c r="F20" s="5245">
        <v>0</v>
      </c>
      <c r="G20" s="8595"/>
      <c r="H20" s="5245">
        <v>292.435</v>
      </c>
      <c r="I20" s="8615"/>
      <c r="J20" s="1823">
        <f t="shared" si="5"/>
        <v>292.435</v>
      </c>
      <c r="K20" s="8595"/>
      <c r="L20" s="3918">
        <v>1020.4549999999999</v>
      </c>
      <c r="M20" s="8576"/>
      <c r="N20" s="2011">
        <f t="shared" si="6"/>
        <v>1312.8899999999999</v>
      </c>
      <c r="O20" s="8595"/>
      <c r="P20" s="3918">
        <v>0</v>
      </c>
      <c r="Q20" s="8615"/>
      <c r="R20" s="1823">
        <f t="shared" si="7"/>
        <v>1312.8899999999999</v>
      </c>
      <c r="S20" s="8595"/>
      <c r="T20" s="3918">
        <v>642.13</v>
      </c>
      <c r="U20" s="8615"/>
      <c r="V20" s="1823">
        <f t="shared" si="8"/>
        <v>1955.02</v>
      </c>
      <c r="W20" s="8595"/>
      <c r="X20" s="3918">
        <v>0</v>
      </c>
      <c r="Y20" s="8576"/>
      <c r="Z20" s="2011">
        <f t="shared" si="9"/>
        <v>642.13</v>
      </c>
      <c r="AA20" s="8578"/>
      <c r="AB20" s="6531">
        <f t="shared" si="10"/>
        <v>1955.02</v>
      </c>
      <c r="AC20" s="8595"/>
      <c r="AD20" s="3918">
        <v>0</v>
      </c>
      <c r="AE20" s="8615"/>
      <c r="AF20" s="1823">
        <f t="shared" si="11"/>
        <v>1955.02</v>
      </c>
      <c r="AG20" s="8595"/>
      <c r="AH20" s="3918">
        <f>3858.915-2.8</f>
        <v>3856.1149999999998</v>
      </c>
      <c r="AI20" s="8615"/>
      <c r="AJ20" s="1823">
        <f t="shared" si="12"/>
        <v>5811.1350000000002</v>
      </c>
      <c r="AK20" s="8595"/>
      <c r="AL20" s="3918">
        <f>1370.15-36.8</f>
        <v>1333.3500000000001</v>
      </c>
      <c r="AM20" s="8576"/>
      <c r="AN20" s="2011">
        <f t="shared" si="13"/>
        <v>5189.4650000000001</v>
      </c>
      <c r="AO20" s="8615"/>
      <c r="AP20" s="1823">
        <f t="shared" si="14"/>
        <v>7144.4850000000006</v>
      </c>
      <c r="AQ20" s="8595"/>
      <c r="AR20" s="3918"/>
      <c r="AS20" s="8615"/>
      <c r="AT20" s="1823">
        <f t="shared" si="3"/>
        <v>7144.4850000000006</v>
      </c>
      <c r="AU20" s="8595"/>
      <c r="AV20" s="3918">
        <v>1732.1149999999998</v>
      </c>
      <c r="AW20" s="8615"/>
      <c r="AX20" s="1823">
        <f t="shared" si="4"/>
        <v>8876.6</v>
      </c>
      <c r="AY20" s="8595"/>
      <c r="AZ20" s="3918">
        <v>1374.24</v>
      </c>
      <c r="BA20" s="8576"/>
      <c r="BB20" s="2011">
        <f t="shared" si="0"/>
        <v>3106.3549999999996</v>
      </c>
      <c r="BC20" s="8576"/>
      <c r="BD20" s="2011">
        <f t="shared" si="1"/>
        <v>8295.82</v>
      </c>
      <c r="BE20" s="8578"/>
      <c r="BF20" s="6627">
        <f t="shared" si="2"/>
        <v>10250.84</v>
      </c>
    </row>
    <row r="21" spans="2:58" ht="16" x14ac:dyDescent="0.2">
      <c r="B21" s="1604" t="s">
        <v>2287</v>
      </c>
      <c r="C21" s="7437" t="s">
        <v>2289</v>
      </c>
      <c r="D21" s="1545" t="s">
        <v>170</v>
      </c>
      <c r="E21" s="8594"/>
      <c r="F21" s="5245">
        <v>0</v>
      </c>
      <c r="G21" s="8594"/>
      <c r="H21" s="5245">
        <f>8216.81-203.4</f>
        <v>8013.41</v>
      </c>
      <c r="I21" s="8614">
        <f>+E21+G21</f>
        <v>0</v>
      </c>
      <c r="J21" s="1823">
        <f t="shared" si="5"/>
        <v>8013.41</v>
      </c>
      <c r="K21" s="8594"/>
      <c r="L21" s="3918">
        <f>1777.105-17.5</f>
        <v>1759.605</v>
      </c>
      <c r="M21" s="8575">
        <f>+I21+K21</f>
        <v>0</v>
      </c>
      <c r="N21" s="2011">
        <f t="shared" si="6"/>
        <v>9773.0149999999994</v>
      </c>
      <c r="O21" s="8594"/>
      <c r="P21" s="3918">
        <v>2764.84</v>
      </c>
      <c r="Q21" s="8614">
        <f>+M21+O21</f>
        <v>0</v>
      </c>
      <c r="R21" s="1823">
        <f t="shared" si="7"/>
        <v>12537.855</v>
      </c>
      <c r="S21" s="8594"/>
      <c r="T21" s="3918">
        <f>4047.055-58.3</f>
        <v>3988.7549999999997</v>
      </c>
      <c r="U21" s="8614">
        <f>+Q21+S21</f>
        <v>0</v>
      </c>
      <c r="V21" s="1823">
        <f t="shared" si="8"/>
        <v>16526.61</v>
      </c>
      <c r="W21" s="8594"/>
      <c r="X21" s="3918">
        <v>0</v>
      </c>
      <c r="Y21" s="8575"/>
      <c r="Z21" s="2011">
        <f t="shared" si="9"/>
        <v>6753.5949999999993</v>
      </c>
      <c r="AA21" s="8577">
        <f>+U21+W21</f>
        <v>0</v>
      </c>
      <c r="AB21" s="6531">
        <f t="shared" si="10"/>
        <v>16526.61</v>
      </c>
      <c r="AC21" s="8594"/>
      <c r="AD21" s="3918">
        <v>7263.84</v>
      </c>
      <c r="AE21" s="8614"/>
      <c r="AF21" s="1823">
        <f t="shared" si="11"/>
        <v>23790.45</v>
      </c>
      <c r="AG21" s="8594"/>
      <c r="AH21" s="3918">
        <v>0</v>
      </c>
      <c r="AI21" s="8614">
        <f>+AE21+AG21</f>
        <v>0</v>
      </c>
      <c r="AJ21" s="1823">
        <f t="shared" si="12"/>
        <v>23790.45</v>
      </c>
      <c r="AK21" s="8594"/>
      <c r="AL21" s="3918">
        <f>1744.385-4.818</f>
        <v>1739.567</v>
      </c>
      <c r="AM21" s="8575"/>
      <c r="AN21" s="2011">
        <f t="shared" si="13"/>
        <v>9003.4069999999992</v>
      </c>
      <c r="AO21" s="8614">
        <f>+AI21+AK21</f>
        <v>0</v>
      </c>
      <c r="AP21" s="1823">
        <f t="shared" si="14"/>
        <v>25530.017</v>
      </c>
      <c r="AQ21" s="8594"/>
      <c r="AR21" s="3918">
        <v>2554.2049999999999</v>
      </c>
      <c r="AS21" s="8614">
        <f>+AO21+AQ21</f>
        <v>0</v>
      </c>
      <c r="AT21" s="1823">
        <f t="shared" si="3"/>
        <v>28084.222000000002</v>
      </c>
      <c r="AU21" s="8594"/>
      <c r="AV21" s="3918">
        <v>2926.395</v>
      </c>
      <c r="AW21" s="8614">
        <f>+AS21+AU21</f>
        <v>0</v>
      </c>
      <c r="AX21" s="1823">
        <f t="shared" si="4"/>
        <v>31010.617000000002</v>
      </c>
      <c r="AY21" s="8594"/>
      <c r="AZ21" s="3918">
        <v>1184.0550000000001</v>
      </c>
      <c r="BA21" s="8575"/>
      <c r="BB21" s="2011">
        <f t="shared" si="0"/>
        <v>6664.6550000000007</v>
      </c>
      <c r="BC21" s="8575"/>
      <c r="BD21" s="2011">
        <f t="shared" si="1"/>
        <v>15668.062</v>
      </c>
      <c r="BE21" s="8577">
        <f>+AW21+AY21</f>
        <v>0</v>
      </c>
      <c r="BF21" s="6627">
        <f t="shared" si="2"/>
        <v>32194.672000000002</v>
      </c>
    </row>
    <row r="22" spans="2:58" ht="15" customHeight="1" x14ac:dyDescent="0.2">
      <c r="B22" s="1604" t="s">
        <v>2287</v>
      </c>
      <c r="C22" s="7437" t="s">
        <v>2290</v>
      </c>
      <c r="D22" s="1545" t="s">
        <v>170</v>
      </c>
      <c r="E22" s="8596"/>
      <c r="F22" s="5245">
        <v>0</v>
      </c>
      <c r="G22" s="8596"/>
      <c r="H22" s="5245">
        <f>1858.905-17.1</f>
        <v>1841.8050000000001</v>
      </c>
      <c r="I22" s="8608"/>
      <c r="J22" s="1823">
        <f t="shared" si="5"/>
        <v>1841.8050000000001</v>
      </c>
      <c r="K22" s="8596"/>
      <c r="L22" s="3918">
        <f>1110.435-26.05</f>
        <v>1084.385</v>
      </c>
      <c r="M22" s="8572"/>
      <c r="N22" s="2011">
        <f t="shared" si="6"/>
        <v>2926.19</v>
      </c>
      <c r="O22" s="8596"/>
      <c r="P22" s="3918">
        <v>0</v>
      </c>
      <c r="Q22" s="8608"/>
      <c r="R22" s="1823">
        <f t="shared" si="7"/>
        <v>2926.19</v>
      </c>
      <c r="S22" s="8596"/>
      <c r="T22" s="3918">
        <v>0</v>
      </c>
      <c r="U22" s="8608"/>
      <c r="V22" s="1823">
        <f t="shared" si="8"/>
        <v>2926.19</v>
      </c>
      <c r="W22" s="8596"/>
      <c r="X22" s="3918">
        <v>0</v>
      </c>
      <c r="Y22" s="8572"/>
      <c r="Z22" s="2011">
        <f t="shared" si="9"/>
        <v>0</v>
      </c>
      <c r="AA22" s="8574"/>
      <c r="AB22" s="6531">
        <f t="shared" si="10"/>
        <v>2926.19</v>
      </c>
      <c r="AC22" s="8596"/>
      <c r="AD22" s="3918">
        <v>0</v>
      </c>
      <c r="AE22" s="8608"/>
      <c r="AF22" s="1823">
        <f t="shared" si="11"/>
        <v>2926.19</v>
      </c>
      <c r="AG22" s="8596"/>
      <c r="AH22" s="3918">
        <v>0</v>
      </c>
      <c r="AI22" s="8608"/>
      <c r="AJ22" s="1823">
        <f t="shared" si="12"/>
        <v>2926.19</v>
      </c>
      <c r="AK22" s="8596"/>
      <c r="AL22" s="3918">
        <v>2486.7199999999998</v>
      </c>
      <c r="AM22" s="8572"/>
      <c r="AN22" s="2011">
        <f t="shared" si="13"/>
        <v>2486.7199999999998</v>
      </c>
      <c r="AO22" s="8608"/>
      <c r="AP22" s="1823">
        <f t="shared" si="14"/>
        <v>5412.91</v>
      </c>
      <c r="AQ22" s="8596"/>
      <c r="AR22" s="3918">
        <v>505.11500000000001</v>
      </c>
      <c r="AS22" s="8608"/>
      <c r="AT22" s="1823">
        <f t="shared" si="3"/>
        <v>5918.0249999999996</v>
      </c>
      <c r="AU22" s="8596"/>
      <c r="AV22" s="3918">
        <v>513.29499999999996</v>
      </c>
      <c r="AW22" s="8608"/>
      <c r="AX22" s="1823">
        <f t="shared" si="4"/>
        <v>6431.32</v>
      </c>
      <c r="AY22" s="8596"/>
      <c r="AZ22" s="3918"/>
      <c r="BA22" s="8572"/>
      <c r="BB22" s="2011">
        <f t="shared" si="0"/>
        <v>1018.41</v>
      </c>
      <c r="BC22" s="8572"/>
      <c r="BD22" s="2011">
        <f t="shared" si="1"/>
        <v>3505.1299999999997</v>
      </c>
      <c r="BE22" s="8574"/>
      <c r="BF22" s="6627">
        <f t="shared" si="2"/>
        <v>6431.32</v>
      </c>
    </row>
    <row r="23" spans="2:58" ht="16" x14ac:dyDescent="0.2">
      <c r="B23" s="1604" t="s">
        <v>2287</v>
      </c>
      <c r="C23" s="7437" t="s">
        <v>2291</v>
      </c>
      <c r="D23" s="1545" t="s">
        <v>170</v>
      </c>
      <c r="E23" s="8594"/>
      <c r="F23" s="5245">
        <v>0</v>
      </c>
      <c r="G23" s="8594"/>
      <c r="H23" s="5245">
        <f>5333.36-13</f>
        <v>5320.36</v>
      </c>
      <c r="I23" s="8614">
        <f>+E23+G23</f>
        <v>0</v>
      </c>
      <c r="J23" s="1823">
        <f t="shared" si="5"/>
        <v>5320.36</v>
      </c>
      <c r="K23" s="8594"/>
      <c r="L23" s="3918">
        <f>4110.45-27.986</f>
        <v>4082.4639999999999</v>
      </c>
      <c r="M23" s="8575">
        <f>+I23+K23</f>
        <v>0</v>
      </c>
      <c r="N23" s="2011">
        <f t="shared" si="6"/>
        <v>9402.8240000000005</v>
      </c>
      <c r="O23" s="8594"/>
      <c r="P23" s="3918">
        <f>1421.28-54.94</f>
        <v>1366.34</v>
      </c>
      <c r="Q23" s="8614">
        <f>+M23+O23</f>
        <v>0</v>
      </c>
      <c r="R23" s="1823">
        <f t="shared" si="7"/>
        <v>10769.164000000001</v>
      </c>
      <c r="S23" s="8594"/>
      <c r="T23" s="3918">
        <f>4018.425-4.95</f>
        <v>4013.4750000000004</v>
      </c>
      <c r="U23" s="8614">
        <f>+Q23+S23</f>
        <v>0</v>
      </c>
      <c r="V23" s="1823">
        <f t="shared" si="8"/>
        <v>14782.639000000001</v>
      </c>
      <c r="W23" s="8594"/>
      <c r="X23" s="3918">
        <f>3030.93-39.555</f>
        <v>2991.375</v>
      </c>
      <c r="Y23" s="8575"/>
      <c r="Z23" s="2011">
        <f t="shared" si="9"/>
        <v>8371.19</v>
      </c>
      <c r="AA23" s="8577">
        <f>+U23+W23</f>
        <v>0</v>
      </c>
      <c r="AB23" s="6531">
        <f t="shared" si="10"/>
        <v>17774.014000000003</v>
      </c>
      <c r="AC23" s="8594"/>
      <c r="AD23" s="3918">
        <v>3020.57</v>
      </c>
      <c r="AE23" s="8614"/>
      <c r="AF23" s="1823">
        <f t="shared" si="11"/>
        <v>20794.584000000003</v>
      </c>
      <c r="AG23" s="8594"/>
      <c r="AH23" s="7681">
        <v>0</v>
      </c>
      <c r="AI23" s="8614">
        <f>+AE23+AG23</f>
        <v>0</v>
      </c>
      <c r="AJ23" s="1823">
        <f t="shared" si="12"/>
        <v>20794.584000000003</v>
      </c>
      <c r="AK23" s="8594"/>
      <c r="AL23" s="7681">
        <v>4069.5499999999997</v>
      </c>
      <c r="AM23" s="8575"/>
      <c r="AN23" s="2011">
        <f t="shared" si="13"/>
        <v>7090.12</v>
      </c>
      <c r="AO23" s="8614">
        <f>+AI23+AK23</f>
        <v>0</v>
      </c>
      <c r="AP23" s="1823">
        <f t="shared" si="14"/>
        <v>24864.134000000002</v>
      </c>
      <c r="AQ23" s="8594"/>
      <c r="AR23" s="7681">
        <v>3458.0949999999998</v>
      </c>
      <c r="AS23" s="8614">
        <f>+AO23+AQ23</f>
        <v>0</v>
      </c>
      <c r="AT23" s="1823">
        <f t="shared" si="3"/>
        <v>28322.229000000003</v>
      </c>
      <c r="AU23" s="8594"/>
      <c r="AV23" s="7681">
        <f>3472.41-AV30</f>
        <v>3464.6099999999997</v>
      </c>
      <c r="AW23" s="8614">
        <f>+AS23+AU23</f>
        <v>0</v>
      </c>
      <c r="AX23" s="1823">
        <f t="shared" si="4"/>
        <v>31786.839000000004</v>
      </c>
      <c r="AY23" s="8594"/>
      <c r="AZ23" s="7681">
        <v>4619.6549999999997</v>
      </c>
      <c r="BA23" s="8575"/>
      <c r="BB23" s="2011">
        <f t="shared" si="0"/>
        <v>11542.36</v>
      </c>
      <c r="BC23" s="8575"/>
      <c r="BD23" s="2011">
        <f t="shared" si="1"/>
        <v>18632.48</v>
      </c>
      <c r="BE23" s="8577">
        <f>+AW23+AY23</f>
        <v>0</v>
      </c>
      <c r="BF23" s="6627">
        <f t="shared" si="2"/>
        <v>36406.494000000006</v>
      </c>
    </row>
    <row r="24" spans="2:58" s="5200" customFormat="1" ht="16" x14ac:dyDescent="0.2">
      <c r="B24" s="1604" t="s">
        <v>2288</v>
      </c>
      <c r="C24" s="7437" t="s">
        <v>2290</v>
      </c>
      <c r="D24" s="1545" t="s">
        <v>170</v>
      </c>
      <c r="E24" s="8595"/>
      <c r="F24" s="5245">
        <v>35.020000000000003</v>
      </c>
      <c r="G24" s="8595"/>
      <c r="H24" s="5245"/>
      <c r="I24" s="8615"/>
      <c r="J24" s="1823">
        <f t="shared" si="5"/>
        <v>35.020000000000003</v>
      </c>
      <c r="K24" s="8595"/>
      <c r="L24" s="3918">
        <f>1081.805-17.99</f>
        <v>1063.8150000000001</v>
      </c>
      <c r="M24" s="8576"/>
      <c r="N24" s="2011">
        <f t="shared" si="6"/>
        <v>1098.835</v>
      </c>
      <c r="O24" s="8595"/>
      <c r="P24" s="3918">
        <v>0</v>
      </c>
      <c r="Q24" s="8615"/>
      <c r="R24" s="1823">
        <f t="shared" si="7"/>
        <v>1098.835</v>
      </c>
      <c r="S24" s="8595"/>
      <c r="T24" s="3918">
        <v>0</v>
      </c>
      <c r="U24" s="8615"/>
      <c r="V24" s="1823">
        <f t="shared" si="8"/>
        <v>1098.835</v>
      </c>
      <c r="W24" s="8595"/>
      <c r="X24" s="3918">
        <v>0</v>
      </c>
      <c r="Y24" s="8576"/>
      <c r="Z24" s="2011">
        <f t="shared" si="9"/>
        <v>0</v>
      </c>
      <c r="AA24" s="8578"/>
      <c r="AB24" s="6531">
        <f t="shared" si="10"/>
        <v>1098.835</v>
      </c>
      <c r="AC24" s="8595"/>
      <c r="AD24" s="3918">
        <v>0</v>
      </c>
      <c r="AE24" s="8615"/>
      <c r="AF24" s="1823">
        <f t="shared" si="11"/>
        <v>1098.835</v>
      </c>
      <c r="AG24" s="8595"/>
      <c r="AH24" s="3918">
        <v>0</v>
      </c>
      <c r="AI24" s="8615"/>
      <c r="AJ24" s="1823">
        <f t="shared" si="12"/>
        <v>1098.835</v>
      </c>
      <c r="AK24" s="8595"/>
      <c r="AL24" s="3918">
        <v>0</v>
      </c>
      <c r="AM24" s="8576"/>
      <c r="AN24" s="2011">
        <f t="shared" si="13"/>
        <v>0</v>
      </c>
      <c r="AO24" s="8615"/>
      <c r="AP24" s="1823">
        <f t="shared" si="14"/>
        <v>1098.835</v>
      </c>
      <c r="AQ24" s="8595"/>
      <c r="AR24" s="3918"/>
      <c r="AS24" s="8615"/>
      <c r="AT24" s="1823">
        <f t="shared" si="3"/>
        <v>1098.835</v>
      </c>
      <c r="AU24" s="8595"/>
      <c r="AV24" s="3918"/>
      <c r="AW24" s="8615"/>
      <c r="AX24" s="1823">
        <f t="shared" si="4"/>
        <v>1098.835</v>
      </c>
      <c r="AY24" s="8595"/>
      <c r="AZ24" s="3918"/>
      <c r="BA24" s="8576"/>
      <c r="BB24" s="2011">
        <f t="shared" si="0"/>
        <v>0</v>
      </c>
      <c r="BC24" s="8576"/>
      <c r="BD24" s="2011">
        <f t="shared" si="1"/>
        <v>0</v>
      </c>
      <c r="BE24" s="8578"/>
      <c r="BF24" s="6627">
        <f t="shared" si="2"/>
        <v>1098.835</v>
      </c>
    </row>
    <row r="25" spans="2:58" s="5772" customFormat="1" ht="16" x14ac:dyDescent="0.2">
      <c r="B25" s="1604" t="s">
        <v>2288</v>
      </c>
      <c r="C25" s="7437" t="s">
        <v>2291</v>
      </c>
      <c r="D25" s="1545" t="s">
        <v>170</v>
      </c>
      <c r="E25" s="8595"/>
      <c r="F25" s="5245">
        <v>0</v>
      </c>
      <c r="G25" s="8595"/>
      <c r="H25" s="5245"/>
      <c r="I25" s="8615"/>
      <c r="J25" s="1823">
        <f t="shared" si="5"/>
        <v>0</v>
      </c>
      <c r="K25" s="8595"/>
      <c r="L25" s="3918">
        <f>2588.97-36</f>
        <v>2552.9699999999998</v>
      </c>
      <c r="M25" s="8576"/>
      <c r="N25" s="2011">
        <f t="shared" si="6"/>
        <v>2552.9699999999998</v>
      </c>
      <c r="O25" s="8595"/>
      <c r="P25" s="3918">
        <v>0</v>
      </c>
      <c r="Q25" s="8615"/>
      <c r="R25" s="1823">
        <f t="shared" si="7"/>
        <v>2552.9699999999998</v>
      </c>
      <c r="S25" s="8595"/>
      <c r="T25" s="3918">
        <f>3141.12-12.5</f>
        <v>3128.62</v>
      </c>
      <c r="U25" s="8615"/>
      <c r="V25" s="1823">
        <f t="shared" si="8"/>
        <v>5681.59</v>
      </c>
      <c r="W25" s="8595"/>
      <c r="X25" s="3918">
        <f>4765.11-27.512</f>
        <v>4737.598</v>
      </c>
      <c r="Y25" s="8576"/>
      <c r="Z25" s="2011">
        <f t="shared" si="9"/>
        <v>7866.2179999999998</v>
      </c>
      <c r="AA25" s="8578"/>
      <c r="AB25" s="6531">
        <f t="shared" si="10"/>
        <v>10419.188</v>
      </c>
      <c r="AC25" s="8595"/>
      <c r="AD25" s="3918">
        <v>0</v>
      </c>
      <c r="AE25" s="8615"/>
      <c r="AF25" s="1823">
        <f t="shared" si="11"/>
        <v>10419.188</v>
      </c>
      <c r="AG25" s="8595"/>
      <c r="AH25" s="7681">
        <v>4159.9399999999996</v>
      </c>
      <c r="AI25" s="8615"/>
      <c r="AJ25" s="1823">
        <f t="shared" si="12"/>
        <v>14579.128000000001</v>
      </c>
      <c r="AK25" s="8595"/>
      <c r="AL25" s="7681">
        <v>0</v>
      </c>
      <c r="AM25" s="8576"/>
      <c r="AN25" s="2011">
        <f t="shared" si="13"/>
        <v>4159.9399999999996</v>
      </c>
      <c r="AO25" s="8615"/>
      <c r="AP25" s="1823">
        <f t="shared" si="14"/>
        <v>14579.128000000001</v>
      </c>
      <c r="AQ25" s="8595"/>
      <c r="AR25" s="7681">
        <f>2975.475-12.96</f>
        <v>2962.5149999999999</v>
      </c>
      <c r="AS25" s="8615"/>
      <c r="AT25" s="1823">
        <f t="shared" si="3"/>
        <v>17541.643</v>
      </c>
      <c r="AU25" s="8595"/>
      <c r="AV25" s="8256"/>
      <c r="AW25" s="8615"/>
      <c r="AX25" s="1823">
        <f t="shared" si="4"/>
        <v>17541.643</v>
      </c>
      <c r="AY25" s="8595"/>
      <c r="AZ25" s="7681">
        <f>3124.76-15.3</f>
        <v>3109.46</v>
      </c>
      <c r="BA25" s="8576"/>
      <c r="BB25" s="2011">
        <f t="shared" si="0"/>
        <v>6071.9750000000004</v>
      </c>
      <c r="BC25" s="8576"/>
      <c r="BD25" s="2011">
        <f t="shared" si="1"/>
        <v>10231.915000000001</v>
      </c>
      <c r="BE25" s="8578"/>
      <c r="BF25" s="6627">
        <f t="shared" si="2"/>
        <v>20651.102999999999</v>
      </c>
    </row>
    <row r="26" spans="2:58" s="5200" customFormat="1" ht="16" x14ac:dyDescent="0.2">
      <c r="B26" s="1604" t="s">
        <v>2288</v>
      </c>
      <c r="C26" s="7437" t="s">
        <v>2289</v>
      </c>
      <c r="D26" s="1545" t="s">
        <v>170</v>
      </c>
      <c r="E26" s="8595"/>
      <c r="F26" s="5245">
        <f>6894.82-111.56</f>
        <v>6783.2599999999993</v>
      </c>
      <c r="G26" s="8595"/>
      <c r="H26" s="5245"/>
      <c r="I26" s="8615"/>
      <c r="J26" s="1823">
        <f t="shared" si="5"/>
        <v>6783.2599999999993</v>
      </c>
      <c r="K26" s="8595"/>
      <c r="L26" s="3918">
        <f>2672.815-81.04</f>
        <v>2591.7750000000001</v>
      </c>
      <c r="M26" s="8576"/>
      <c r="N26" s="2011">
        <f t="shared" si="6"/>
        <v>9375.0349999999999</v>
      </c>
      <c r="O26" s="8595"/>
      <c r="P26" s="3918">
        <f>2470.36-39.8</f>
        <v>2430.56</v>
      </c>
      <c r="Q26" s="8615"/>
      <c r="R26" s="1823">
        <f t="shared" si="7"/>
        <v>11805.594999999999</v>
      </c>
      <c r="S26" s="8595"/>
      <c r="T26" s="3918">
        <v>0</v>
      </c>
      <c r="U26" s="8615"/>
      <c r="V26" s="1823">
        <f t="shared" si="8"/>
        <v>11805.594999999999</v>
      </c>
      <c r="W26" s="8595"/>
      <c r="X26" s="3918">
        <v>0</v>
      </c>
      <c r="Y26" s="8576"/>
      <c r="Z26" s="2011">
        <f t="shared" si="9"/>
        <v>2430.56</v>
      </c>
      <c r="AA26" s="8578"/>
      <c r="AB26" s="6531">
        <f t="shared" si="10"/>
        <v>11805.594999999999</v>
      </c>
      <c r="AC26" s="8595"/>
      <c r="AD26" s="3918">
        <v>0</v>
      </c>
      <c r="AE26" s="8615"/>
      <c r="AF26" s="1823">
        <f t="shared" si="11"/>
        <v>11805.594999999999</v>
      </c>
      <c r="AG26" s="8595"/>
      <c r="AH26" s="3918">
        <v>0</v>
      </c>
      <c r="AI26" s="8615"/>
      <c r="AJ26" s="1823">
        <f t="shared" si="12"/>
        <v>11805.594999999999</v>
      </c>
      <c r="AK26" s="8595"/>
      <c r="AL26" s="3918">
        <v>0</v>
      </c>
      <c r="AM26" s="8576"/>
      <c r="AN26" s="2011">
        <f t="shared" si="13"/>
        <v>0</v>
      </c>
      <c r="AO26" s="8615"/>
      <c r="AP26" s="1823">
        <f t="shared" si="14"/>
        <v>11805.594999999999</v>
      </c>
      <c r="AQ26" s="8595"/>
      <c r="AR26" s="3918"/>
      <c r="AS26" s="8615"/>
      <c r="AT26" s="1823">
        <f t="shared" si="3"/>
        <v>11805.594999999999</v>
      </c>
      <c r="AU26" s="8595"/>
      <c r="AV26" s="3918"/>
      <c r="AW26" s="8615"/>
      <c r="AX26" s="1823">
        <f t="shared" si="4"/>
        <v>11805.594999999999</v>
      </c>
      <c r="AY26" s="8595"/>
      <c r="AZ26" s="3918"/>
      <c r="BA26" s="8576"/>
      <c r="BB26" s="2011">
        <f t="shared" si="0"/>
        <v>0</v>
      </c>
      <c r="BC26" s="8576"/>
      <c r="BD26" s="2011">
        <f t="shared" si="1"/>
        <v>0</v>
      </c>
      <c r="BE26" s="8578"/>
      <c r="BF26" s="6627">
        <f t="shared" si="2"/>
        <v>11805.594999999999</v>
      </c>
    </row>
    <row r="27" spans="2:58" ht="15" customHeight="1" x14ac:dyDescent="0.2">
      <c r="B27" s="2852" t="s">
        <v>2103</v>
      </c>
      <c r="C27" s="7438"/>
      <c r="D27" s="2853" t="s">
        <v>170</v>
      </c>
      <c r="E27" s="8596"/>
      <c r="F27" s="5245">
        <v>0</v>
      </c>
      <c r="G27" s="8596"/>
      <c r="H27" s="5245"/>
      <c r="I27" s="8608"/>
      <c r="J27" s="1823">
        <f t="shared" si="5"/>
        <v>0</v>
      </c>
      <c r="K27" s="8596"/>
      <c r="L27" s="3918">
        <v>20.97</v>
      </c>
      <c r="M27" s="8572"/>
      <c r="N27" s="2011">
        <f t="shared" si="6"/>
        <v>20.97</v>
      </c>
      <c r="O27" s="8596"/>
      <c r="P27" s="3918">
        <v>0</v>
      </c>
      <c r="Q27" s="8608"/>
      <c r="R27" s="1823">
        <f t="shared" si="7"/>
        <v>20.97</v>
      </c>
      <c r="S27" s="8596"/>
      <c r="T27" s="3918">
        <v>0</v>
      </c>
      <c r="U27" s="8608"/>
      <c r="V27" s="1823">
        <f t="shared" si="8"/>
        <v>20.97</v>
      </c>
      <c r="W27" s="8596"/>
      <c r="X27" s="3918">
        <v>0</v>
      </c>
      <c r="Y27" s="8572"/>
      <c r="Z27" s="2011">
        <f t="shared" si="9"/>
        <v>0</v>
      </c>
      <c r="AA27" s="8574"/>
      <c r="AB27" s="6531">
        <f t="shared" si="10"/>
        <v>20.97</v>
      </c>
      <c r="AC27" s="8596"/>
      <c r="AD27" s="3918">
        <v>0</v>
      </c>
      <c r="AE27" s="8608"/>
      <c r="AF27" s="1823">
        <f t="shared" si="11"/>
        <v>20.97</v>
      </c>
      <c r="AG27" s="8596"/>
      <c r="AH27" s="3918">
        <v>0</v>
      </c>
      <c r="AI27" s="8608"/>
      <c r="AJ27" s="1823">
        <f t="shared" si="12"/>
        <v>20.97</v>
      </c>
      <c r="AK27" s="8596"/>
      <c r="AL27" s="3918">
        <v>0</v>
      </c>
      <c r="AM27" s="8572"/>
      <c r="AN27" s="2011">
        <f t="shared" si="13"/>
        <v>0</v>
      </c>
      <c r="AO27" s="8608"/>
      <c r="AP27" s="1823">
        <f t="shared" si="14"/>
        <v>20.97</v>
      </c>
      <c r="AQ27" s="8596"/>
      <c r="AR27" s="3918"/>
      <c r="AS27" s="8608"/>
      <c r="AT27" s="1823">
        <f t="shared" si="3"/>
        <v>20.97</v>
      </c>
      <c r="AU27" s="8596"/>
      <c r="AV27" s="3918"/>
      <c r="AW27" s="8608"/>
      <c r="AX27" s="1823">
        <f t="shared" si="4"/>
        <v>20.97</v>
      </c>
      <c r="AY27" s="8596"/>
      <c r="AZ27" s="3918"/>
      <c r="BA27" s="8572"/>
      <c r="BB27" s="2011">
        <f t="shared" si="0"/>
        <v>0</v>
      </c>
      <c r="BC27" s="8572"/>
      <c r="BD27" s="2011">
        <f t="shared" si="1"/>
        <v>0</v>
      </c>
      <c r="BE27" s="8574"/>
      <c r="BF27" s="6627">
        <f t="shared" si="2"/>
        <v>20.97</v>
      </c>
    </row>
    <row r="28" spans="2:58" s="8189" customFormat="1" ht="15" customHeight="1" x14ac:dyDescent="0.2">
      <c r="B28" s="2852" t="s">
        <v>1688</v>
      </c>
      <c r="C28" s="7438"/>
      <c r="D28" s="2853"/>
      <c r="E28" s="8190"/>
      <c r="F28" s="5245"/>
      <c r="G28" s="8190"/>
      <c r="H28" s="5245"/>
      <c r="I28" s="8191"/>
      <c r="J28" s="1823"/>
      <c r="K28" s="8190"/>
      <c r="L28" s="3918"/>
      <c r="M28" s="8192"/>
      <c r="N28" s="2011"/>
      <c r="O28" s="8190"/>
      <c r="P28" s="3918"/>
      <c r="Q28" s="8191"/>
      <c r="R28" s="1823"/>
      <c r="S28" s="8190"/>
      <c r="T28" s="3918"/>
      <c r="U28" s="8191"/>
      <c r="V28" s="1823"/>
      <c r="W28" s="8190"/>
      <c r="X28" s="3918"/>
      <c r="Y28" s="8192"/>
      <c r="Z28" s="2011"/>
      <c r="AA28" s="8193"/>
      <c r="AB28" s="6531"/>
      <c r="AC28" s="8190"/>
      <c r="AD28" s="3918"/>
      <c r="AE28" s="8191"/>
      <c r="AF28" s="1823"/>
      <c r="AG28" s="8190"/>
      <c r="AH28" s="3918"/>
      <c r="AI28" s="8191"/>
      <c r="AJ28" s="1823"/>
      <c r="AK28" s="8190"/>
      <c r="AL28" s="3918"/>
      <c r="AM28" s="8192"/>
      <c r="AN28" s="2011"/>
      <c r="AO28" s="8191"/>
      <c r="AP28" s="1823"/>
      <c r="AQ28" s="8190"/>
      <c r="AR28" s="3918"/>
      <c r="AS28" s="8191"/>
      <c r="AT28" s="1823"/>
      <c r="AU28" s="8190"/>
      <c r="AV28" s="5231">
        <v>2.78</v>
      </c>
      <c r="AW28" s="8191"/>
      <c r="AX28" s="1823">
        <f t="shared" si="4"/>
        <v>2.78</v>
      </c>
      <c r="AY28" s="8263"/>
      <c r="AZ28" s="5231"/>
      <c r="BA28" s="8268"/>
      <c r="BB28" s="2011">
        <f t="shared" si="0"/>
        <v>2.78</v>
      </c>
      <c r="BC28" s="8268"/>
      <c r="BD28" s="2011">
        <f t="shared" si="1"/>
        <v>2.78</v>
      </c>
      <c r="BE28" s="8279"/>
      <c r="BF28" s="6627">
        <f t="shared" si="2"/>
        <v>2.78</v>
      </c>
    </row>
    <row r="29" spans="2:58" ht="15.75" customHeight="1" x14ac:dyDescent="0.2">
      <c r="B29" s="2852" t="s">
        <v>1258</v>
      </c>
      <c r="C29" s="7438"/>
      <c r="D29" s="2853" t="s">
        <v>170</v>
      </c>
      <c r="E29" s="8933"/>
      <c r="F29" s="6681">
        <v>0</v>
      </c>
      <c r="G29" s="8933"/>
      <c r="H29" s="6681">
        <v>2.4</v>
      </c>
      <c r="I29" s="8936">
        <f>+E29+G29</f>
        <v>0</v>
      </c>
      <c r="J29" s="1823">
        <f t="shared" si="5"/>
        <v>2.4</v>
      </c>
      <c r="K29" s="8933"/>
      <c r="L29" s="3920">
        <v>0</v>
      </c>
      <c r="M29" s="8939">
        <f>+I29+K29</f>
        <v>0</v>
      </c>
      <c r="N29" s="2011">
        <f t="shared" si="6"/>
        <v>2.4</v>
      </c>
      <c r="O29" s="8933"/>
      <c r="P29" s="5231">
        <v>29.56</v>
      </c>
      <c r="Q29" s="8936">
        <f>+M29+O29</f>
        <v>0</v>
      </c>
      <c r="R29" s="1823">
        <f t="shared" si="7"/>
        <v>31.959999999999997</v>
      </c>
      <c r="S29" s="8933"/>
      <c r="T29" s="5231">
        <v>0</v>
      </c>
      <c r="U29" s="8936">
        <f>+Q29+S29</f>
        <v>0</v>
      </c>
      <c r="V29" s="1823">
        <f t="shared" si="8"/>
        <v>31.959999999999997</v>
      </c>
      <c r="W29" s="8933"/>
      <c r="X29" s="5231">
        <v>0</v>
      </c>
      <c r="Y29" s="8939"/>
      <c r="Z29" s="2011">
        <f t="shared" si="9"/>
        <v>29.56</v>
      </c>
      <c r="AA29" s="8942">
        <f>+U29+W29</f>
        <v>0</v>
      </c>
      <c r="AB29" s="6531">
        <f t="shared" si="10"/>
        <v>31.959999999999997</v>
      </c>
      <c r="AC29" s="8933"/>
      <c r="AD29" s="3918">
        <v>0</v>
      </c>
      <c r="AE29" s="8936"/>
      <c r="AF29" s="1823">
        <f t="shared" si="11"/>
        <v>31.959999999999997</v>
      </c>
      <c r="AG29" s="8933"/>
      <c r="AH29" s="5231">
        <v>0</v>
      </c>
      <c r="AI29" s="8936">
        <f>+AE29+AG29</f>
        <v>0</v>
      </c>
      <c r="AJ29" s="1823">
        <f t="shared" si="12"/>
        <v>31.959999999999997</v>
      </c>
      <c r="AK29" s="8933"/>
      <c r="AL29" s="5231">
        <v>0</v>
      </c>
      <c r="AM29" s="8939"/>
      <c r="AN29" s="2011">
        <f t="shared" si="13"/>
        <v>0</v>
      </c>
      <c r="AO29" s="8936">
        <f>+AI29+AK29</f>
        <v>0</v>
      </c>
      <c r="AP29" s="1823">
        <f t="shared" si="14"/>
        <v>31.959999999999997</v>
      </c>
      <c r="AQ29" s="8933"/>
      <c r="AR29" s="5231"/>
      <c r="AS29" s="8936">
        <f>+AO29+AQ29</f>
        <v>0</v>
      </c>
      <c r="AT29" s="1823">
        <f t="shared" si="3"/>
        <v>31.959999999999997</v>
      </c>
      <c r="AU29" s="8933"/>
      <c r="AV29" s="5231"/>
      <c r="AW29" s="8936">
        <f>+AS29+AU29</f>
        <v>0</v>
      </c>
      <c r="AX29" s="1823">
        <f t="shared" si="4"/>
        <v>31.959999999999997</v>
      </c>
      <c r="AY29" s="8933"/>
      <c r="AZ29" s="5231"/>
      <c r="BA29" s="8939"/>
      <c r="BB29" s="2011">
        <f t="shared" si="0"/>
        <v>0</v>
      </c>
      <c r="BC29" s="8939"/>
      <c r="BD29" s="2011">
        <f t="shared" si="1"/>
        <v>0</v>
      </c>
      <c r="BE29" s="8942">
        <f>+AW29+AY29</f>
        <v>0</v>
      </c>
      <c r="BF29" s="6627">
        <f t="shared" si="2"/>
        <v>31.959999999999997</v>
      </c>
    </row>
    <row r="30" spans="2:58" ht="16" x14ac:dyDescent="0.2">
      <c r="B30" s="2852" t="s">
        <v>1575</v>
      </c>
      <c r="C30" s="7438"/>
      <c r="D30" s="2853" t="s">
        <v>170</v>
      </c>
      <c r="E30" s="8934"/>
      <c r="F30" s="3914">
        <v>0</v>
      </c>
      <c r="G30" s="8934"/>
      <c r="H30" s="6681">
        <v>233.5</v>
      </c>
      <c r="I30" s="8937"/>
      <c r="J30" s="1823">
        <f t="shared" si="5"/>
        <v>233.5</v>
      </c>
      <c r="K30" s="8934"/>
      <c r="L30" s="3920">
        <v>71.536000000000001</v>
      </c>
      <c r="M30" s="8940"/>
      <c r="N30" s="2011">
        <f t="shared" si="6"/>
        <v>305.036</v>
      </c>
      <c r="O30" s="8934"/>
      <c r="P30" s="5231">
        <v>54.94</v>
      </c>
      <c r="Q30" s="8937"/>
      <c r="R30" s="1823">
        <f t="shared" si="7"/>
        <v>359.976</v>
      </c>
      <c r="S30" s="8934"/>
      <c r="T30" s="5231">
        <v>63.25</v>
      </c>
      <c r="U30" s="8937"/>
      <c r="V30" s="1823">
        <f t="shared" si="8"/>
        <v>423.226</v>
      </c>
      <c r="W30" s="8934"/>
      <c r="X30" s="5231">
        <v>39.555</v>
      </c>
      <c r="Y30" s="8940"/>
      <c r="Z30" s="2011">
        <f t="shared" si="9"/>
        <v>157.745</v>
      </c>
      <c r="AA30" s="8943"/>
      <c r="AB30" s="6531">
        <f t="shared" si="10"/>
        <v>462.78100000000001</v>
      </c>
      <c r="AC30" s="8934"/>
      <c r="AD30" s="3918">
        <v>0</v>
      </c>
      <c r="AE30" s="8937"/>
      <c r="AF30" s="1823">
        <f t="shared" si="11"/>
        <v>462.78100000000001</v>
      </c>
      <c r="AG30" s="8934"/>
      <c r="AH30" s="5231">
        <v>0</v>
      </c>
      <c r="AI30" s="8937"/>
      <c r="AJ30" s="1823">
        <f t="shared" si="12"/>
        <v>462.78100000000001</v>
      </c>
      <c r="AK30" s="8934"/>
      <c r="AL30" s="5231">
        <v>4.8179999999999996</v>
      </c>
      <c r="AM30" s="8940"/>
      <c r="AN30" s="2011">
        <f t="shared" si="13"/>
        <v>4.8179999999999996</v>
      </c>
      <c r="AO30" s="8937"/>
      <c r="AP30" s="1823">
        <f t="shared" si="14"/>
        <v>467.59899999999999</v>
      </c>
      <c r="AQ30" s="8934"/>
      <c r="AR30" s="5231"/>
      <c r="AS30" s="8937"/>
      <c r="AT30" s="1823">
        <f t="shared" si="3"/>
        <v>467.59899999999999</v>
      </c>
      <c r="AU30" s="8934"/>
      <c r="AV30" s="5231">
        <v>7.8</v>
      </c>
      <c r="AW30" s="8937"/>
      <c r="AX30" s="1823">
        <f t="shared" si="4"/>
        <v>475.399</v>
      </c>
      <c r="AY30" s="8934"/>
      <c r="AZ30" s="5231"/>
      <c r="BA30" s="8940"/>
      <c r="BB30" s="2011">
        <f t="shared" si="0"/>
        <v>7.8</v>
      </c>
      <c r="BC30" s="8940"/>
      <c r="BD30" s="2011">
        <f t="shared" si="1"/>
        <v>12.617999999999999</v>
      </c>
      <c r="BE30" s="8943"/>
      <c r="BF30" s="6627">
        <f t="shared" si="2"/>
        <v>475.399</v>
      </c>
    </row>
    <row r="31" spans="2:58" s="5200" customFormat="1" ht="16" x14ac:dyDescent="0.2">
      <c r="B31" s="2852" t="s">
        <v>1906</v>
      </c>
      <c r="C31" s="7438"/>
      <c r="D31" s="2853" t="s">
        <v>170</v>
      </c>
      <c r="E31" s="8934"/>
      <c r="F31" s="3914">
        <v>111.56</v>
      </c>
      <c r="G31" s="8934"/>
      <c r="H31" s="3914">
        <v>11.5</v>
      </c>
      <c r="I31" s="8937"/>
      <c r="J31" s="1823">
        <f t="shared" si="5"/>
        <v>123.06</v>
      </c>
      <c r="K31" s="8934"/>
      <c r="L31" s="3920">
        <v>135.03</v>
      </c>
      <c r="M31" s="8940"/>
      <c r="N31" s="2011">
        <f t="shared" si="6"/>
        <v>258.09000000000003</v>
      </c>
      <c r="O31" s="8934"/>
      <c r="P31" s="5231">
        <v>39.799999999999997</v>
      </c>
      <c r="Q31" s="8937"/>
      <c r="R31" s="1823">
        <f t="shared" si="7"/>
        <v>297.89000000000004</v>
      </c>
      <c r="S31" s="8934"/>
      <c r="T31" s="3920">
        <v>12.5</v>
      </c>
      <c r="U31" s="8937"/>
      <c r="V31" s="1823">
        <f t="shared" si="8"/>
        <v>310.39000000000004</v>
      </c>
      <c r="W31" s="8934"/>
      <c r="X31" s="5231">
        <v>27.512</v>
      </c>
      <c r="Y31" s="8940"/>
      <c r="Z31" s="2011">
        <f t="shared" si="9"/>
        <v>79.811999999999998</v>
      </c>
      <c r="AA31" s="8943"/>
      <c r="AB31" s="6531">
        <f t="shared" si="10"/>
        <v>337.90200000000004</v>
      </c>
      <c r="AC31" s="8934"/>
      <c r="AD31" s="3918">
        <v>0</v>
      </c>
      <c r="AE31" s="8937"/>
      <c r="AF31" s="1823">
        <f t="shared" si="11"/>
        <v>337.90200000000004</v>
      </c>
      <c r="AG31" s="8934"/>
      <c r="AH31" s="3920">
        <v>0</v>
      </c>
      <c r="AI31" s="8937"/>
      <c r="AJ31" s="1823">
        <f t="shared" si="12"/>
        <v>337.90200000000004</v>
      </c>
      <c r="AK31" s="8934"/>
      <c r="AL31" s="5231">
        <v>0</v>
      </c>
      <c r="AM31" s="8940"/>
      <c r="AN31" s="2011">
        <f t="shared" si="13"/>
        <v>0</v>
      </c>
      <c r="AO31" s="8937"/>
      <c r="AP31" s="1823">
        <f t="shared" si="14"/>
        <v>337.90200000000004</v>
      </c>
      <c r="AQ31" s="8934"/>
      <c r="AR31" s="5231">
        <v>12.96</v>
      </c>
      <c r="AS31" s="8937"/>
      <c r="AT31" s="1823">
        <f t="shared" si="3"/>
        <v>350.86200000000002</v>
      </c>
      <c r="AU31" s="8934"/>
      <c r="AV31" s="5231"/>
      <c r="AW31" s="8937"/>
      <c r="AX31" s="1823">
        <f t="shared" si="4"/>
        <v>350.86200000000002</v>
      </c>
      <c r="AY31" s="8934"/>
      <c r="AZ31" s="5231">
        <v>15.3</v>
      </c>
      <c r="BA31" s="8940"/>
      <c r="BB31" s="2011">
        <f t="shared" si="0"/>
        <v>28.26</v>
      </c>
      <c r="BC31" s="8940"/>
      <c r="BD31" s="2011">
        <f t="shared" si="1"/>
        <v>28.26</v>
      </c>
      <c r="BE31" s="8943"/>
      <c r="BF31" s="6627">
        <f t="shared" si="2"/>
        <v>366.16200000000003</v>
      </c>
    </row>
    <row r="32" spans="2:58" ht="16" x14ac:dyDescent="0.2">
      <c r="B32" s="2852" t="s">
        <v>1140</v>
      </c>
      <c r="C32" s="7438"/>
      <c r="D32" s="2853" t="s">
        <v>170</v>
      </c>
      <c r="E32" s="8934"/>
      <c r="F32" s="3914">
        <v>0</v>
      </c>
      <c r="G32" s="8934"/>
      <c r="H32" s="3914">
        <v>219.2</v>
      </c>
      <c r="I32" s="8937"/>
      <c r="J32" s="1823">
        <f t="shared" si="5"/>
        <v>219.2</v>
      </c>
      <c r="K32" s="8934"/>
      <c r="L32" s="3920">
        <v>46.35</v>
      </c>
      <c r="M32" s="8940"/>
      <c r="N32" s="2011">
        <f t="shared" si="6"/>
        <v>265.55</v>
      </c>
      <c r="O32" s="8934"/>
      <c r="P32" s="3920">
        <v>223.2</v>
      </c>
      <c r="Q32" s="8937"/>
      <c r="R32" s="1823">
        <f t="shared" si="7"/>
        <v>488.75</v>
      </c>
      <c r="S32" s="8934"/>
      <c r="T32" s="3920">
        <v>5.2</v>
      </c>
      <c r="U32" s="8937"/>
      <c r="V32" s="1823">
        <f t="shared" si="8"/>
        <v>493.95</v>
      </c>
      <c r="W32" s="8934"/>
      <c r="X32" s="5231">
        <v>102.968</v>
      </c>
      <c r="Y32" s="8940"/>
      <c r="Z32" s="2011">
        <f t="shared" si="9"/>
        <v>331.36799999999999</v>
      </c>
      <c r="AA32" s="8943"/>
      <c r="AB32" s="6531">
        <f t="shared" si="10"/>
        <v>596.91800000000001</v>
      </c>
      <c r="AC32" s="8934"/>
      <c r="AD32" s="3918">
        <v>0</v>
      </c>
      <c r="AE32" s="8937"/>
      <c r="AF32" s="1823">
        <f t="shared" si="11"/>
        <v>596.91800000000001</v>
      </c>
      <c r="AG32" s="8934"/>
      <c r="AH32" s="7632">
        <v>2.7</v>
      </c>
      <c r="AI32" s="8937"/>
      <c r="AJ32" s="1823">
        <f t="shared" si="12"/>
        <v>599.61800000000005</v>
      </c>
      <c r="AK32" s="8934"/>
      <c r="AL32" s="5231">
        <v>21.2</v>
      </c>
      <c r="AM32" s="8940"/>
      <c r="AN32" s="2011">
        <f t="shared" si="13"/>
        <v>23.9</v>
      </c>
      <c r="AO32" s="8937"/>
      <c r="AP32" s="1823">
        <f t="shared" si="14"/>
        <v>620.8180000000001</v>
      </c>
      <c r="AQ32" s="8934"/>
      <c r="AR32" s="5231"/>
      <c r="AS32" s="8937"/>
      <c r="AT32" s="1823">
        <f t="shared" si="3"/>
        <v>620.8180000000001</v>
      </c>
      <c r="AU32" s="8934"/>
      <c r="AV32" s="5231"/>
      <c r="AW32" s="8937"/>
      <c r="AX32" s="1823">
        <f t="shared" si="4"/>
        <v>620.8180000000001</v>
      </c>
      <c r="AY32" s="8934"/>
      <c r="AZ32" s="5231">
        <v>22.36</v>
      </c>
      <c r="BA32" s="8940"/>
      <c r="BB32" s="2011">
        <f t="shared" si="0"/>
        <v>22.36</v>
      </c>
      <c r="BC32" s="8940"/>
      <c r="BD32" s="2011">
        <f t="shared" si="1"/>
        <v>46.26</v>
      </c>
      <c r="BE32" s="8943"/>
      <c r="BF32" s="6627">
        <f t="shared" si="2"/>
        <v>643.17800000000011</v>
      </c>
    </row>
    <row r="33" spans="2:58" ht="17" thickBot="1" x14ac:dyDescent="0.25">
      <c r="B33" s="2854" t="s">
        <v>1142</v>
      </c>
      <c r="C33" s="7439"/>
      <c r="D33" s="2855" t="s">
        <v>170</v>
      </c>
      <c r="E33" s="8935"/>
      <c r="F33" s="3914">
        <v>0</v>
      </c>
      <c r="G33" s="8935"/>
      <c r="H33" s="3914">
        <v>30.48</v>
      </c>
      <c r="I33" s="8938"/>
      <c r="J33" s="1823">
        <f t="shared" si="5"/>
        <v>30.48</v>
      </c>
      <c r="K33" s="8935"/>
      <c r="L33" s="3204">
        <v>26.481999999999999</v>
      </c>
      <c r="M33" s="8941"/>
      <c r="N33" s="2011">
        <f t="shared" si="6"/>
        <v>56.962000000000003</v>
      </c>
      <c r="O33" s="8935"/>
      <c r="P33" s="3204">
        <v>0</v>
      </c>
      <c r="Q33" s="8938"/>
      <c r="R33" s="1823">
        <f t="shared" si="7"/>
        <v>56.962000000000003</v>
      </c>
      <c r="S33" s="8935"/>
      <c r="T33" s="3204">
        <v>15.33</v>
      </c>
      <c r="U33" s="8938"/>
      <c r="V33" s="1823">
        <f t="shared" si="8"/>
        <v>72.292000000000002</v>
      </c>
      <c r="W33" s="8935"/>
      <c r="X33" s="6679">
        <v>0</v>
      </c>
      <c r="Y33" s="8941"/>
      <c r="Z33" s="2011">
        <f t="shared" si="9"/>
        <v>15.33</v>
      </c>
      <c r="AA33" s="8944"/>
      <c r="AB33" s="6531">
        <f t="shared" si="10"/>
        <v>72.292000000000002</v>
      </c>
      <c r="AC33" s="8935"/>
      <c r="AD33" s="3204">
        <v>49.92</v>
      </c>
      <c r="AE33" s="8938"/>
      <c r="AF33" s="1823">
        <f t="shared" si="11"/>
        <v>122.212</v>
      </c>
      <c r="AG33" s="8935"/>
      <c r="AH33" s="7633">
        <v>34.03</v>
      </c>
      <c r="AI33" s="8938"/>
      <c r="AJ33" s="1823">
        <f t="shared" si="12"/>
        <v>156.24200000000002</v>
      </c>
      <c r="AK33" s="8935"/>
      <c r="AL33" s="6679">
        <v>36.799999999999997</v>
      </c>
      <c r="AM33" s="8941"/>
      <c r="AN33" s="2011">
        <f t="shared" si="13"/>
        <v>120.75</v>
      </c>
      <c r="AO33" s="8938"/>
      <c r="AP33" s="1823">
        <f t="shared" si="14"/>
        <v>193.04200000000003</v>
      </c>
      <c r="AQ33" s="8935"/>
      <c r="AR33" s="6679"/>
      <c r="AS33" s="8938"/>
      <c r="AT33" s="1823">
        <f t="shared" si="3"/>
        <v>193.04200000000003</v>
      </c>
      <c r="AU33" s="8935"/>
      <c r="AV33" s="6679">
        <v>28.001999999999999</v>
      </c>
      <c r="AW33" s="8938"/>
      <c r="AX33" s="1823">
        <f t="shared" si="4"/>
        <v>221.04400000000004</v>
      </c>
      <c r="AY33" s="8935"/>
      <c r="AZ33" s="6679"/>
      <c r="BA33" s="8941"/>
      <c r="BB33" s="2011">
        <f t="shared" si="0"/>
        <v>28.001999999999999</v>
      </c>
      <c r="BC33" s="8941"/>
      <c r="BD33" s="2011">
        <f t="shared" si="1"/>
        <v>148.75200000000001</v>
      </c>
      <c r="BE33" s="8944"/>
      <c r="BF33" s="6627">
        <f t="shared" si="2"/>
        <v>221.04400000000004</v>
      </c>
    </row>
    <row r="34" spans="2:58" ht="17" thickBot="1" x14ac:dyDescent="0.25">
      <c r="B34" s="1748" t="s">
        <v>795</v>
      </c>
      <c r="C34" s="7440"/>
      <c r="D34" s="1749" t="s">
        <v>170</v>
      </c>
      <c r="E34" s="2464">
        <f>+'Maj Prod Summ'!D29</f>
        <v>8073.1400000000012</v>
      </c>
      <c r="F34" s="2817">
        <f>SUM(F8:F33)</f>
        <v>8073.1399999999994</v>
      </c>
      <c r="G34" s="2464">
        <f>+'Maj Prod Summ'!F29</f>
        <v>43712</v>
      </c>
      <c r="H34" s="2817">
        <f>SUM(H8:H33)</f>
        <v>43711.87</v>
      </c>
      <c r="I34" s="2320">
        <f>+G34+E34</f>
        <v>51785.14</v>
      </c>
      <c r="J34" s="1825">
        <f>SUM(J8:J33)</f>
        <v>51785.009999999995</v>
      </c>
      <c r="K34" s="2319">
        <f>+'Maj Prod Summ'!J29</f>
        <v>41998</v>
      </c>
      <c r="L34" s="2817">
        <f>SUM(L8:L33)</f>
        <v>32149.445</v>
      </c>
      <c r="M34" s="2321">
        <f>+I34+K34</f>
        <v>93783.14</v>
      </c>
      <c r="N34" s="2005">
        <f>SUM(N8:N33)</f>
        <v>83934.454999999987</v>
      </c>
      <c r="O34" s="2319">
        <f>+'Maj Prod Summ'!N29</f>
        <v>59600</v>
      </c>
      <c r="P34" s="2817">
        <f>SUM(P8:P33)</f>
        <v>24173.960000000003</v>
      </c>
      <c r="Q34" s="2320">
        <f>+O34+M34</f>
        <v>153383.14000000001</v>
      </c>
      <c r="R34" s="1825">
        <f>SUM(R8:R33)</f>
        <v>108108.41500000001</v>
      </c>
      <c r="S34" s="2319">
        <f>+'Maj Prod Summ'!R29</f>
        <v>55000</v>
      </c>
      <c r="T34" s="2817">
        <f>SUM(T8:T33)</f>
        <v>30791.56500000001</v>
      </c>
      <c r="U34" s="2320">
        <f>+S34+Q34</f>
        <v>208383.14</v>
      </c>
      <c r="V34" s="1825">
        <f>SUM(V8:V33)</f>
        <v>138899.98000000001</v>
      </c>
      <c r="W34" s="2319">
        <f>+'Maj Prod Summ'!V29</f>
        <v>58000</v>
      </c>
      <c r="X34" s="2817">
        <f>SUM(X8:X33)</f>
        <v>31774.469999999998</v>
      </c>
      <c r="Y34" s="2321">
        <f>+O34+S34+W34</f>
        <v>172600</v>
      </c>
      <c r="Z34" s="2005">
        <f>SUM(Z8:Z33)</f>
        <v>86739.994999999995</v>
      </c>
      <c r="AA34" s="6598">
        <f>+W34+U34</f>
        <v>266383.14</v>
      </c>
      <c r="AB34" s="6594">
        <f>SUM(AB8:AB33)</f>
        <v>170674.44999999995</v>
      </c>
      <c r="AC34" s="2319">
        <f>+'Maj Prod Summ'!AB29</f>
        <v>50000</v>
      </c>
      <c r="AD34" s="2817">
        <f>SUM(AD8:AD33)</f>
        <v>29425.244999999995</v>
      </c>
      <c r="AE34" s="2320">
        <f>+AC34+AA34</f>
        <v>316383.14</v>
      </c>
      <c r="AF34" s="1825">
        <f>SUM(AF8:AF33)</f>
        <v>200099.69499999998</v>
      </c>
      <c r="AG34" s="2319">
        <f>+'Maj Prod Summ'!AF29</f>
        <v>72144</v>
      </c>
      <c r="AH34" s="2817">
        <f>SUM(AH8:AH33)</f>
        <v>39377.084999999992</v>
      </c>
      <c r="AI34" s="2320">
        <f>+AG34+AE34</f>
        <v>388527.14</v>
      </c>
      <c r="AJ34" s="1825">
        <f>SUM(AJ8:AJ33)</f>
        <v>239476.78</v>
      </c>
      <c r="AK34" s="2319">
        <f>+'Maj Prod Summ'!AJ29</f>
        <v>72945.600000000006</v>
      </c>
      <c r="AL34" s="2817">
        <f>SUM(AL8:AL33)</f>
        <v>55325.43</v>
      </c>
      <c r="AM34" s="2321">
        <f>+AC34+AG34+AK34</f>
        <v>195089.6</v>
      </c>
      <c r="AN34" s="2005">
        <f>SUM(AN8:AN33)</f>
        <v>124127.76000000001</v>
      </c>
      <c r="AO34" s="2320">
        <f>+AK34+AI34</f>
        <v>461472.74</v>
      </c>
      <c r="AP34" s="1825">
        <f>SUM(AP8:AP33)</f>
        <v>294802.21000000008</v>
      </c>
      <c r="AQ34" s="2319">
        <f>+'Maj Prod Summ'!AP29</f>
        <v>73480</v>
      </c>
      <c r="AR34" s="2817">
        <f>SUM(AR8:AR33)</f>
        <v>46008.409999999996</v>
      </c>
      <c r="AS34" s="2320">
        <f>+AQ34+AO34</f>
        <v>534952.74</v>
      </c>
      <c r="AT34" s="1825">
        <f>SUM(AT8:AT33)</f>
        <v>340810.62000000005</v>
      </c>
      <c r="AU34" s="2319">
        <f>+'Maj Prod Summ'!AT29</f>
        <v>66800</v>
      </c>
      <c r="AV34" s="2817">
        <f>SUM(AV7:AV33)</f>
        <v>48785.52</v>
      </c>
      <c r="AW34" s="2320">
        <f>+AU34+AS34</f>
        <v>601752.74</v>
      </c>
      <c r="AX34" s="1825">
        <f>SUM(AX7:AX33)</f>
        <v>389596.13999999996</v>
      </c>
      <c r="AY34" s="2319">
        <f>+'Maj Prod Summ'!AX29</f>
        <v>73122.399999999994</v>
      </c>
      <c r="AZ34" s="2817">
        <f>SUM(AZ7:AZ33)</f>
        <v>50951.174999999996</v>
      </c>
      <c r="BA34" s="2321">
        <f>+AQ34+AU34+AY34</f>
        <v>213402.4</v>
      </c>
      <c r="BB34" s="2005">
        <f>SUM(BB7:BB33)</f>
        <v>145745.10500000001</v>
      </c>
      <c r="BC34" s="2321">
        <f>+AS34+AW34+BA34</f>
        <v>1350107.88</v>
      </c>
      <c r="BD34" s="2005">
        <f>SUM(BD7:BD33)</f>
        <v>269872.86500000005</v>
      </c>
      <c r="BE34" s="6598">
        <f>+AY34+AW34</f>
        <v>674875.14</v>
      </c>
      <c r="BF34" s="6594">
        <f>SUM(BF7:BF33)</f>
        <v>440547.31500000006</v>
      </c>
    </row>
    <row r="35" spans="2:58" s="6289" customFormat="1" ht="17" thickBot="1" x14ac:dyDescent="0.25">
      <c r="B35" s="6296" t="s">
        <v>2166</v>
      </c>
      <c r="C35" s="6296"/>
      <c r="D35" s="6297" t="s">
        <v>170</v>
      </c>
      <c r="E35" s="2319"/>
      <c r="F35" s="5955">
        <f>+F34-F36</f>
        <v>7961.579999999999</v>
      </c>
      <c r="G35" s="2319"/>
      <c r="H35" s="5955">
        <f>+H34-H36</f>
        <v>43214.79</v>
      </c>
      <c r="I35" s="2784"/>
      <c r="J35" s="1914">
        <f>+J34-J36</f>
        <v>51176.369999999995</v>
      </c>
      <c r="K35" s="2319"/>
      <c r="L35" s="5955">
        <f>+L34-L36</f>
        <v>31849.077000000001</v>
      </c>
      <c r="M35" s="2951"/>
      <c r="N35" s="2071">
        <f>+N34-N36</f>
        <v>83025.446999999986</v>
      </c>
      <c r="O35" s="1750"/>
      <c r="P35" s="5955">
        <f>+P34-P36</f>
        <v>23826.460000000003</v>
      </c>
      <c r="Q35" s="2784"/>
      <c r="R35" s="1914">
        <f>+R34-R36</f>
        <v>106851.90700000001</v>
      </c>
      <c r="S35" s="1750"/>
      <c r="T35" s="5955">
        <f>+T34-T36</f>
        <v>30695.285000000011</v>
      </c>
      <c r="U35" s="2784"/>
      <c r="V35" s="1914">
        <f>+V34-V36</f>
        <v>137547.19200000001</v>
      </c>
      <c r="W35" s="1750"/>
      <c r="X35" s="5955">
        <f>+X34-X36</f>
        <v>31604.434999999998</v>
      </c>
      <c r="Y35" s="2951"/>
      <c r="Z35" s="2071">
        <f>+Z34-Z36</f>
        <v>86126.18</v>
      </c>
      <c r="AA35" s="6511"/>
      <c r="AB35" s="6630">
        <f>+AB34-AB36</f>
        <v>169151.62699999995</v>
      </c>
      <c r="AC35" s="1750"/>
      <c r="AD35" s="5955">
        <f>+AD34-AD36</f>
        <v>29375.324999999997</v>
      </c>
      <c r="AE35" s="2784"/>
      <c r="AF35" s="1914">
        <f>+AF34-AF36</f>
        <v>198526.95199999999</v>
      </c>
      <c r="AG35" s="1750"/>
      <c r="AH35" s="5955">
        <f>+AH34-AH36</f>
        <v>39340.354999999989</v>
      </c>
      <c r="AI35" s="2784"/>
      <c r="AJ35" s="1914">
        <f>+AJ34-AJ36</f>
        <v>237867.307</v>
      </c>
      <c r="AK35" s="1750"/>
      <c r="AL35" s="5955">
        <f>+AL34-AL36</f>
        <v>55262.612000000001</v>
      </c>
      <c r="AM35" s="2951"/>
      <c r="AN35" s="2071">
        <f>+AN34-AN36</f>
        <v>123978.29200000002</v>
      </c>
      <c r="AO35" s="2784"/>
      <c r="AP35" s="1914">
        <f>+AP34-AP36</f>
        <v>293129.91900000005</v>
      </c>
      <c r="AQ35" s="1750"/>
      <c r="AR35" s="5955">
        <f>+AR34-AR36</f>
        <v>45995.45</v>
      </c>
      <c r="AS35" s="2784"/>
      <c r="AT35" s="1914">
        <f>+AT34-AT36</f>
        <v>339125.36900000006</v>
      </c>
      <c r="AU35" s="1750"/>
      <c r="AV35" s="5955">
        <f>+AV34-AV36</f>
        <v>48746.937999999995</v>
      </c>
      <c r="AW35" s="2784"/>
      <c r="AX35" s="1914">
        <f>+AX34-AX36</f>
        <v>387872.30699999997</v>
      </c>
      <c r="AY35" s="1750"/>
      <c r="AZ35" s="5955">
        <f>+AZ34-AZ36</f>
        <v>50913.514999999992</v>
      </c>
      <c r="BA35" s="2951"/>
      <c r="BB35" s="2071">
        <f>+BB34-BB36</f>
        <v>145655.90300000002</v>
      </c>
      <c r="BC35" s="2951"/>
      <c r="BD35" s="2071">
        <f>+BD34-BD36</f>
        <v>269634.19500000007</v>
      </c>
      <c r="BE35" s="6511"/>
      <c r="BF35" s="6630">
        <f>+BF34-BF36</f>
        <v>438785.82200000004</v>
      </c>
    </row>
    <row r="36" spans="2:58" s="6289" customFormat="1" ht="17" thickBot="1" x14ac:dyDescent="0.25">
      <c r="B36" s="6296" t="s">
        <v>2165</v>
      </c>
      <c r="C36" s="6296"/>
      <c r="D36" s="6297" t="s">
        <v>170</v>
      </c>
      <c r="E36" s="2319"/>
      <c r="F36" s="5955">
        <f>+SUM(F27:F33)</f>
        <v>111.56</v>
      </c>
      <c r="G36" s="2319"/>
      <c r="H36" s="5955">
        <f>+SUM(H27:H33)</f>
        <v>497.08000000000004</v>
      </c>
      <c r="I36" s="2784"/>
      <c r="J36" s="1914">
        <f>+SUM(J27:J33)</f>
        <v>608.6400000000001</v>
      </c>
      <c r="K36" s="2319"/>
      <c r="L36" s="5955">
        <f>+SUM(L27:L33)</f>
        <v>300.36800000000005</v>
      </c>
      <c r="M36" s="2951"/>
      <c r="N36" s="2071">
        <f>+SUM(N27:N33)</f>
        <v>909.00800000000004</v>
      </c>
      <c r="O36" s="1750"/>
      <c r="P36" s="5955">
        <f>+SUM(P27:P33)</f>
        <v>347.5</v>
      </c>
      <c r="Q36" s="2784"/>
      <c r="R36" s="1914">
        <f>+SUM(R27:R33)</f>
        <v>1256.508</v>
      </c>
      <c r="S36" s="1750"/>
      <c r="T36" s="5955">
        <f>+SUM(T27:T33)</f>
        <v>96.28</v>
      </c>
      <c r="U36" s="2784"/>
      <c r="V36" s="1914">
        <f>+SUM(V27:V33)</f>
        <v>1352.788</v>
      </c>
      <c r="W36" s="1750"/>
      <c r="X36" s="5955">
        <f>+SUM(X27:X33)</f>
        <v>170.03500000000003</v>
      </c>
      <c r="Y36" s="2951"/>
      <c r="Z36" s="2071">
        <f>+SUM(Z27:Z33)</f>
        <v>613.81500000000005</v>
      </c>
      <c r="AA36" s="6511"/>
      <c r="AB36" s="6630">
        <f>+SUM(AB27:AB33)</f>
        <v>1522.8229999999999</v>
      </c>
      <c r="AC36" s="1750"/>
      <c r="AD36" s="5955">
        <f>+SUM(AD27:AD33)</f>
        <v>49.92</v>
      </c>
      <c r="AE36" s="2784"/>
      <c r="AF36" s="1914">
        <f>+SUM(AF27:AF33)</f>
        <v>1572.7429999999999</v>
      </c>
      <c r="AG36" s="1750"/>
      <c r="AH36" s="5955">
        <f>+SUM(AH27:AH33)</f>
        <v>36.730000000000004</v>
      </c>
      <c r="AI36" s="2784"/>
      <c r="AJ36" s="1914">
        <f>+SUM(AJ27:AJ33)</f>
        <v>1609.4730000000002</v>
      </c>
      <c r="AK36" s="1750"/>
      <c r="AL36" s="5955">
        <f>+SUM(AL27:AL33)</f>
        <v>62.817999999999998</v>
      </c>
      <c r="AM36" s="2951"/>
      <c r="AN36" s="2071">
        <f>+SUM(AN27:AN33)</f>
        <v>149.46799999999999</v>
      </c>
      <c r="AO36" s="2784"/>
      <c r="AP36" s="1914">
        <f>+SUM(AP27:AP33)</f>
        <v>1672.2910000000002</v>
      </c>
      <c r="AQ36" s="1750"/>
      <c r="AR36" s="5955">
        <f>+SUM(AR27:AR33)</f>
        <v>12.96</v>
      </c>
      <c r="AS36" s="2784"/>
      <c r="AT36" s="1914">
        <f>+SUM(AT27:AT33)</f>
        <v>1685.2510000000002</v>
      </c>
      <c r="AU36" s="1750"/>
      <c r="AV36" s="5955">
        <f>+SUM(AV27:AV33)</f>
        <v>38.582000000000001</v>
      </c>
      <c r="AW36" s="2784"/>
      <c r="AX36" s="1914">
        <f>+SUM(AX27:AX33)</f>
        <v>1723.8330000000003</v>
      </c>
      <c r="AY36" s="1750"/>
      <c r="AZ36" s="5955">
        <f>+SUM(AZ27:AZ33)</f>
        <v>37.659999999999997</v>
      </c>
      <c r="BA36" s="2951"/>
      <c r="BB36" s="2071">
        <f>+SUM(BB27:BB33)</f>
        <v>89.201999999999998</v>
      </c>
      <c r="BC36" s="2951"/>
      <c r="BD36" s="2071">
        <f>+SUM(BD27:BD33)</f>
        <v>238.67000000000002</v>
      </c>
      <c r="BE36" s="6511"/>
      <c r="BF36" s="6630">
        <f>+SUM(BF27:BF33)</f>
        <v>1761.4930000000002</v>
      </c>
    </row>
    <row r="37" spans="2:58" ht="17" thickBot="1" x14ac:dyDescent="0.25">
      <c r="B37" s="1603" t="s">
        <v>811</v>
      </c>
      <c r="C37" s="7426"/>
      <c r="D37" s="1606" t="s">
        <v>169</v>
      </c>
      <c r="E37" s="2974">
        <f t="shared" ref="E37:AF37" si="15">+E34/E5*100</f>
        <v>92.39899010000002</v>
      </c>
      <c r="F37" s="3921">
        <f t="shared" si="15"/>
        <v>92.398990072402569</v>
      </c>
      <c r="G37" s="2974">
        <f t="shared" si="15"/>
        <v>95.462710193999996</v>
      </c>
      <c r="H37" s="3921">
        <f t="shared" si="15"/>
        <v>95.462710193791054</v>
      </c>
      <c r="I37" s="2987">
        <f t="shared" si="15"/>
        <v>94.971786720732283</v>
      </c>
      <c r="J37" s="1963">
        <f t="shared" si="15"/>
        <v>94.971785489946186</v>
      </c>
      <c r="K37" s="2764">
        <f t="shared" si="15"/>
        <v>95</v>
      </c>
      <c r="L37" s="2066">
        <f t="shared" si="15"/>
        <v>94.819005973523517</v>
      </c>
      <c r="M37" s="3050">
        <f t="shared" si="15"/>
        <v>94.984419129585476</v>
      </c>
      <c r="N37" s="2912">
        <f t="shared" si="15"/>
        <v>94.913208157375877</v>
      </c>
      <c r="O37" s="2764">
        <f t="shared" si="15"/>
        <v>96.2</v>
      </c>
      <c r="P37" s="2066">
        <f t="shared" si="15"/>
        <v>95.171347290560888</v>
      </c>
      <c r="Q37" s="2987">
        <f t="shared" si="15"/>
        <v>95.453089404575238</v>
      </c>
      <c r="R37" s="1963">
        <f t="shared" si="15"/>
        <v>94.970808632376588</v>
      </c>
      <c r="S37" s="2764">
        <f t="shared" si="15"/>
        <v>96.200000000000017</v>
      </c>
      <c r="T37" s="2066">
        <f t="shared" si="15"/>
        <v>94.782972031763833</v>
      </c>
      <c r="U37" s="2987">
        <f t="shared" si="15"/>
        <v>95.649097738645082</v>
      </c>
      <c r="V37" s="1963">
        <f t="shared" si="15"/>
        <v>94.929104522009723</v>
      </c>
      <c r="W37" s="2764">
        <f t="shared" si="15"/>
        <v>96.2</v>
      </c>
      <c r="X37" s="2066">
        <f t="shared" si="15"/>
        <v>94.266501526208273</v>
      </c>
      <c r="Y37" s="3050">
        <f t="shared" si="15"/>
        <v>96.200000000000017</v>
      </c>
      <c r="Z37" s="2912">
        <f t="shared" si="15"/>
        <v>94.700610727265243</v>
      </c>
      <c r="AA37" s="6664">
        <f t="shared" si="15"/>
        <v>95.768508499755058</v>
      </c>
      <c r="AB37" s="6665">
        <f t="shared" si="15"/>
        <v>94.805042959084901</v>
      </c>
      <c r="AC37" s="2764">
        <f t="shared" si="15"/>
        <v>96.5</v>
      </c>
      <c r="AD37" s="2066">
        <f t="shared" si="15"/>
        <v>94.703436204707941</v>
      </c>
      <c r="AE37" s="2987">
        <f t="shared" si="15"/>
        <v>95.88337197231715</v>
      </c>
      <c r="AF37" s="1963">
        <f t="shared" si="15"/>
        <v>94.790087717677636</v>
      </c>
      <c r="AG37" s="2764">
        <f t="shared" ref="AG37:AP37" si="16">+AG34/AG5*100</f>
        <v>96.499999999999986</v>
      </c>
      <c r="AH37" s="2066">
        <f t="shared" si="16"/>
        <v>94.806786896414266</v>
      </c>
      <c r="AI37" s="2792">
        <f t="shared" si="16"/>
        <v>95.997274590691518</v>
      </c>
      <c r="AJ37" s="1963">
        <f t="shared" si="16"/>
        <v>94.792833153788735</v>
      </c>
      <c r="AK37" s="2764">
        <f t="shared" si="16"/>
        <v>96.5</v>
      </c>
      <c r="AL37" s="2066">
        <f t="shared" si="16"/>
        <v>95.859370017289905</v>
      </c>
      <c r="AM37" s="3050">
        <f t="shared" si="16"/>
        <v>96.5</v>
      </c>
      <c r="AN37" s="2912">
        <f t="shared" si="16"/>
        <v>95.248305987554843</v>
      </c>
      <c r="AO37" s="2792">
        <f t="shared" si="16"/>
        <v>96.076392218761555</v>
      </c>
      <c r="AP37" s="1963">
        <f t="shared" si="16"/>
        <v>94.991176955027129</v>
      </c>
      <c r="AQ37" s="2764">
        <f t="shared" ref="AQ37:AT37" si="17">+AQ34/AQ5*100</f>
        <v>96.500000000000014</v>
      </c>
      <c r="AR37" s="2066">
        <f t="shared" si="17"/>
        <v>95.476548304512576</v>
      </c>
      <c r="AS37" s="2792">
        <f t="shared" si="17"/>
        <v>96.134357637265694</v>
      </c>
      <c r="AT37" s="1963">
        <f t="shared" si="17"/>
        <v>95.056412298222924</v>
      </c>
      <c r="AU37" s="2764">
        <f t="shared" ref="AU37:AX37" si="18">+AU34/AU5*100</f>
        <v>96.49971830172052</v>
      </c>
      <c r="AV37" s="2066">
        <f t="shared" si="18"/>
        <v>95.614010520388476</v>
      </c>
      <c r="AW37" s="2792">
        <f t="shared" si="18"/>
        <v>96.174779407369954</v>
      </c>
      <c r="AX37" s="1963">
        <f t="shared" si="18"/>
        <v>95.125878702574369</v>
      </c>
      <c r="AY37" s="2764">
        <f t="shared" ref="AY37:BF37" si="19">+AY34/AY5*100</f>
        <v>96.499373144176843</v>
      </c>
      <c r="AZ37" s="2066">
        <f t="shared" si="19"/>
        <v>95.560428639499577</v>
      </c>
      <c r="BA37" s="3050">
        <f t="shared" si="19"/>
        <v>96.499697028725976</v>
      </c>
      <c r="BB37" s="2912">
        <f t="shared" si="19"/>
        <v>95.551852542864097</v>
      </c>
      <c r="BC37" s="3050">
        <f t="shared" ref="BC37:BD37" si="20">+BC34/BC5*100</f>
        <v>318.94185621494745</v>
      </c>
      <c r="BD37" s="2912">
        <f t="shared" si="20"/>
        <v>95.411996662514127</v>
      </c>
      <c r="BE37" s="6664">
        <f t="shared" si="19"/>
        <v>96.209843463927712</v>
      </c>
      <c r="BF37" s="6665">
        <f t="shared" si="19"/>
        <v>95.175934040176159</v>
      </c>
    </row>
    <row r="38" spans="2:58" s="3380" customFormat="1" x14ac:dyDescent="0.2">
      <c r="B38" s="6030" t="s">
        <v>2151</v>
      </c>
      <c r="C38" s="6577"/>
      <c r="D38" s="7589" t="s">
        <v>170</v>
      </c>
      <c r="E38" s="6032"/>
      <c r="F38" s="6032">
        <f>+F8+F11+F12+F13+F14+F15+F16+F17+F18+F19+F20+F21+F22+F23+F24+F25+F26+F10+F9</f>
        <v>7961.579999999999</v>
      </c>
      <c r="G38" s="6032"/>
      <c r="H38" s="6032">
        <f>+H8+H11+H12+H13+H14+H15+H16+H17+H18+H19+H20+H21+H22+H23+H24+H25+H26+H10+H9</f>
        <v>43214.79</v>
      </c>
      <c r="I38" s="6032"/>
      <c r="J38" s="6032">
        <f>+F38+H38</f>
        <v>51176.37</v>
      </c>
      <c r="K38" s="6032"/>
      <c r="L38" s="6032">
        <f>+L8+L11+L12+L13+L14+L15+L16+L17+L18+L19+L20+L21+L22+L23+L24+L25+L26+L10+L9</f>
        <v>31849.077000000001</v>
      </c>
      <c r="M38" s="6032"/>
      <c r="N38" s="6032">
        <f>+J38+L38</f>
        <v>83025.447</v>
      </c>
      <c r="O38" s="6032"/>
      <c r="P38" s="6032">
        <f>+P8+P11+P12+P13+P14+P15+P16+P17+P18+P19+P20+P21+P22+P23+P24+P25+P26+P10+P9</f>
        <v>23826.460000000003</v>
      </c>
      <c r="Q38" s="6032"/>
      <c r="R38" s="6032">
        <f>+N38+P38</f>
        <v>106851.90700000001</v>
      </c>
      <c r="S38" s="6032"/>
      <c r="T38" s="6032">
        <f>+T8+T11+T12+T13+T14+T15+T16+T17+T18+T19+T20+T21+T22+T23+T24+T25+T26+T10+T9</f>
        <v>30695.285</v>
      </c>
      <c r="U38" s="6032"/>
      <c r="V38" s="6032">
        <f>+R38+T38</f>
        <v>137547.19200000001</v>
      </c>
      <c r="W38" s="6032"/>
      <c r="X38" s="6032">
        <f>+X8+X11+X12+X13+X14+X15+X16+X17+X18+X19+X20+X21+X22+X23+X24+X25+X26+X10+X9</f>
        <v>31604.434999999998</v>
      </c>
      <c r="Y38" s="6032"/>
      <c r="Z38" s="6032">
        <f>+Z8+Z11+Z12+Z13+Z14+Z15+Z16+Z17+Z18+Z19+Z20+Z21+Z22+Z23+Z24+Z25+Z26+Z10+Z9</f>
        <v>86126.18</v>
      </c>
      <c r="AA38" s="6032"/>
      <c r="AB38" s="6032">
        <f>+AB8+AB11+AB12+AB13+AB14+AB15+AB16+AB17+AB18+AB19+AB20+AB21+AB22+AB23+AB24+AB25+AB26+AB10+AB9</f>
        <v>169151.62699999998</v>
      </c>
      <c r="AC38" s="6032"/>
      <c r="AD38" s="6032">
        <f>+AD8+AD11+AD12+AD13+AD14+AD15+AD16+AD17+AD18+AD19+AD20+AD21+AD22+AD23+AD24+AD25+AD26+AD10+AD9</f>
        <v>29375.324999999997</v>
      </c>
      <c r="AE38" s="6032"/>
      <c r="AF38" s="6032">
        <f>+AF8+AF11+AF12+AF13+AF14+AF15+AF16+AF17+AF18+AF19+AF20+AF21+AF22+AF23+AF24+AF25+AF26+AF10+AF9</f>
        <v>198526.95199999999</v>
      </c>
      <c r="AG38" s="6032"/>
      <c r="AH38" s="6032">
        <f>+AH8+AH11+AH12+AH13+AH14+AH15+AH16+AH17+AH18+AH19+AH20+AH21+AH22+AH23+AH24+AH25+AH26+AH10+AH9</f>
        <v>39340.354999999996</v>
      </c>
      <c r="AI38" s="6032"/>
      <c r="AJ38" s="6032">
        <f>+AJ8+AJ11+AJ12+AJ13+AJ14+AJ15+AJ16+AJ17+AJ18+AJ19+AJ20+AJ21+AJ22+AJ23+AJ24+AJ25+AJ26+AJ10+AJ9</f>
        <v>237867.30700000003</v>
      </c>
      <c r="AK38" s="6032"/>
      <c r="AL38" s="6032">
        <f>+AL8+AL11+AL12+AL13+AL14+AL15+AL16+AL17+AL18+AL19+AL20+AL21+AL22+AL23+AL24+AL25+AL26+AL10+AL9</f>
        <v>55262.612000000008</v>
      </c>
      <c r="AM38" s="6032"/>
      <c r="AN38" s="6032">
        <f>+AN8+AN11+AN12+AN13+AN14+AN15+AN16+AN17+AN18+AN19+AN20+AN21+AN22+AN23+AN24+AN25+AN26+AN10+AN9</f>
        <v>123978.29200000002</v>
      </c>
      <c r="AO38" s="6032"/>
      <c r="AP38" s="6032">
        <f>+AP8+AP11+AP12+AP13+AP14+AP15+AP16+AP17+AP18+AP19+AP20+AP21+AP22+AP23+AP24+AP25+AP26+AP10+AP9</f>
        <v>293129.91899999999</v>
      </c>
      <c r="AQ38" s="6032"/>
      <c r="AR38" s="6032">
        <f>+AR35</f>
        <v>45995.45</v>
      </c>
      <c r="AS38" s="6032"/>
      <c r="AT38" s="6032">
        <f>+AT8+AT11+AT12+AT13+AT14+AT15+AT16+AT17+AT18+AT19+AT20+AT21+AT22+AT23+AT24+AT25+AT26+AT10+AT9</f>
        <v>339125.36900000006</v>
      </c>
      <c r="AU38" s="6032"/>
      <c r="AV38" s="6032">
        <f>+AV35</f>
        <v>48746.937999999995</v>
      </c>
      <c r="AW38" s="6032"/>
      <c r="AX38" s="6032">
        <f>+AX8+AX11+AX12+AX13+AX14+AX15+AX16+AX17+AX18+AX19+AX20+AX21+AX22+AX23+AX24+AX25+AX26+AX10+AX9+AX7</f>
        <v>387872.30699999997</v>
      </c>
      <c r="AY38" s="6032"/>
      <c r="AZ38" s="6032">
        <f>+AZ35</f>
        <v>50913.514999999992</v>
      </c>
      <c r="BA38" s="6032"/>
      <c r="BB38" s="6032">
        <f>+BB8+BB11+BB12+BB13+BB14+BB15+BB16+BB17+BB18+BB19+BB20+BB21+BB22+BB23+BB24+BB25+BB26+BB10+BB9</f>
        <v>138883.598</v>
      </c>
      <c r="BC38" s="6032"/>
      <c r="BD38" s="6032">
        <f>+BD8+BD11+BD12+BD13+BD14+BD15+BD16+BD17+BD18+BD19+BD20+BD21+BD22+BD23+BD24+BD25+BD26+BD10+BD9</f>
        <v>262861.89</v>
      </c>
      <c r="BE38" s="6032"/>
      <c r="BF38" s="6032">
        <f>+BF8+BF11+BF12+BF13+BF14+BF15+BF16+BF17+BF18+BF19+BF20+BF21+BF22+BF23+BF24+BF25+BF26+BF10+BF9</f>
        <v>432013.51700000005</v>
      </c>
    </row>
    <row r="39" spans="2:58" ht="16" thickBot="1" x14ac:dyDescent="0.25">
      <c r="B39" s="1528" t="s">
        <v>2150</v>
      </c>
      <c r="C39" s="7427"/>
      <c r="D39" s="1607" t="s">
        <v>169</v>
      </c>
      <c r="E39" s="6035"/>
      <c r="F39" s="6037">
        <f>+F38/F34</f>
        <v>0.98618133712533163</v>
      </c>
      <c r="G39" s="6035"/>
      <c r="H39" s="6037">
        <f>+H38/H34</f>
        <v>0.98862826047021091</v>
      </c>
      <c r="I39" s="6036"/>
      <c r="J39" s="6037">
        <f>+J38/J34</f>
        <v>0.98824679188050768</v>
      </c>
      <c r="K39" s="6035"/>
      <c r="L39" s="6037">
        <f>+L38/L34</f>
        <v>0.99065713265034594</v>
      </c>
      <c r="M39" s="6036"/>
      <c r="N39" s="6037">
        <f>+N38/N34</f>
        <v>0.98917002558722766</v>
      </c>
      <c r="O39" s="6035"/>
      <c r="P39" s="6037">
        <f>+P38/P34</f>
        <v>0.98562502792260764</v>
      </c>
      <c r="Q39" s="6036"/>
      <c r="R39" s="6037">
        <f>+R38/R34</f>
        <v>0.98837733399384309</v>
      </c>
      <c r="S39" s="6035"/>
      <c r="T39" s="6037">
        <f>+T38/T34</f>
        <v>0.99687316964889539</v>
      </c>
      <c r="U39" s="6036"/>
      <c r="V39" s="6037">
        <f>+V38/V34</f>
        <v>0.99026070414121015</v>
      </c>
      <c r="W39" s="6035"/>
      <c r="X39" s="6037">
        <f>+X38/X34</f>
        <v>0.99464869122915345</v>
      </c>
      <c r="Y39" s="6036"/>
      <c r="Z39" s="6037">
        <f>+Z38/Z34</f>
        <v>0.99292350662459683</v>
      </c>
      <c r="AA39" s="6666"/>
      <c r="AB39" s="6667">
        <f>+AB38/AB34</f>
        <v>0.99107761589388466</v>
      </c>
      <c r="AC39" s="6035"/>
      <c r="AD39" s="6037">
        <f>+AD38/AD34</f>
        <v>0.99830349755796433</v>
      </c>
      <c r="AE39" s="6036"/>
      <c r="AF39" s="6037">
        <f>+AF38/AF34</f>
        <v>0.99214020291235328</v>
      </c>
      <c r="AG39" s="6035"/>
      <c r="AH39" s="6037">
        <f>+AH38/AH34</f>
        <v>0.99906722399588499</v>
      </c>
      <c r="AI39" s="6036"/>
      <c r="AJ39" s="6037">
        <f>+AJ38/AJ34</f>
        <v>0.99327921061908397</v>
      </c>
      <c r="AK39" s="6035"/>
      <c r="AL39" s="6037">
        <f>+AL38/AL34</f>
        <v>0.99886457276518248</v>
      </c>
      <c r="AM39" s="6036"/>
      <c r="AN39" s="6037">
        <f>+AN38/AN34</f>
        <v>0.99879585356249079</v>
      </c>
      <c r="AO39" s="6036"/>
      <c r="AP39" s="6037">
        <f>+AP38/AP34</f>
        <v>0.99432741362420562</v>
      </c>
      <c r="AQ39" s="6035"/>
      <c r="AR39" s="6037">
        <f>+AR38/AR34</f>
        <v>0.99971831236941244</v>
      </c>
      <c r="AS39" s="6036"/>
      <c r="AT39" s="6037">
        <f>+AT38/AT34</f>
        <v>0.99505516876205324</v>
      </c>
      <c r="AU39" s="6035"/>
      <c r="AV39" s="6037">
        <f>+AV38/AV34</f>
        <v>0.99920915058402571</v>
      </c>
      <c r="AW39" s="6036"/>
      <c r="AX39" s="6037">
        <f>+AX38/AX34</f>
        <v>0.99557533347224647</v>
      </c>
      <c r="AY39" s="6035"/>
      <c r="AZ39" s="6037">
        <f>+AZ38/AZ34</f>
        <v>0.99926086101056544</v>
      </c>
      <c r="BA39" s="6036"/>
      <c r="BB39" s="6037">
        <f>+BB38/BB34</f>
        <v>0.95292118387097791</v>
      </c>
      <c r="BC39" s="6036"/>
      <c r="BD39" s="6037">
        <f>+BD38/BD34</f>
        <v>0.97402119327558168</v>
      </c>
      <c r="BE39" s="6666"/>
      <c r="BF39" s="6667">
        <f>+BF38/BF34</f>
        <v>0.98062909996398451</v>
      </c>
    </row>
    <row r="40" spans="2:58" s="3380" customFormat="1" ht="18" x14ac:dyDescent="0.2">
      <c r="B40" s="5301" t="s">
        <v>185</v>
      </c>
      <c r="C40" s="5057"/>
      <c r="D40" s="5057"/>
      <c r="E40" s="5302"/>
      <c r="F40" s="5303"/>
      <c r="G40" s="5302"/>
      <c r="H40" s="4902"/>
      <c r="I40" s="5302"/>
      <c r="J40" s="4902"/>
      <c r="K40" s="5302"/>
      <c r="L40" s="4902"/>
      <c r="M40" s="5302"/>
      <c r="N40" s="4902"/>
      <c r="O40" s="5302"/>
      <c r="P40" s="4902"/>
      <c r="Q40" s="5302"/>
      <c r="R40" s="4902"/>
      <c r="S40" s="5302"/>
      <c r="T40" s="4902"/>
      <c r="U40" s="5302"/>
      <c r="V40" s="4902"/>
      <c r="W40" s="5302"/>
      <c r="X40" s="4902"/>
      <c r="Y40" s="5302"/>
      <c r="Z40" s="4902"/>
      <c r="AA40" s="5302"/>
      <c r="AB40" s="4902"/>
      <c r="AC40" s="5302"/>
      <c r="AD40" s="4902"/>
      <c r="AE40" s="5302"/>
      <c r="AF40" s="4902"/>
      <c r="AG40" s="5302"/>
      <c r="AH40" s="4902"/>
      <c r="AI40" s="5302"/>
      <c r="AJ40" s="4902"/>
      <c r="AK40" s="5302"/>
      <c r="AL40" s="4902"/>
      <c r="AM40" s="5302"/>
      <c r="AN40" s="4902"/>
      <c r="AO40" s="5302"/>
      <c r="AP40" s="4902"/>
      <c r="AQ40" s="5302"/>
      <c r="AR40" s="4902"/>
      <c r="AS40" s="5302"/>
      <c r="AT40" s="4902"/>
      <c r="AU40" s="5302"/>
      <c r="AV40" s="4902"/>
      <c r="AW40" s="5302"/>
      <c r="AX40" s="4902"/>
      <c r="AY40" s="5302"/>
      <c r="AZ40" s="4902"/>
      <c r="BA40" s="5302"/>
      <c r="BB40" s="4902"/>
      <c r="BC40" s="5302"/>
      <c r="BD40" s="4902"/>
      <c r="BE40" s="5302"/>
      <c r="BF40" s="4902"/>
    </row>
    <row r="41" spans="2:58" x14ac:dyDescent="0.2">
      <c r="B41" s="1605" t="s">
        <v>335</v>
      </c>
      <c r="C41" s="7441"/>
      <c r="D41" s="1545" t="s">
        <v>711</v>
      </c>
      <c r="E41" s="4963">
        <f>+E2*24</f>
        <v>720</v>
      </c>
      <c r="F41" s="4417">
        <f>+F2*24</f>
        <v>720</v>
      </c>
      <c r="G41" s="4963">
        <f>+G2*24</f>
        <v>744</v>
      </c>
      <c r="H41" s="4417">
        <f>+H2*24</f>
        <v>744</v>
      </c>
      <c r="I41" s="6562">
        <f>+E41+G41</f>
        <v>1464</v>
      </c>
      <c r="J41" s="6038">
        <f>+F41+H41</f>
        <v>1464</v>
      </c>
      <c r="K41" s="4963">
        <f>+K2*24</f>
        <v>720</v>
      </c>
      <c r="L41" s="4417">
        <f>+L2*24</f>
        <v>720</v>
      </c>
      <c r="M41" s="2879">
        <f>+I41+K41</f>
        <v>2184</v>
      </c>
      <c r="N41" s="4775">
        <f>+J41+L41</f>
        <v>2184</v>
      </c>
      <c r="O41" s="4963">
        <f>+O2*24</f>
        <v>744</v>
      </c>
      <c r="P41" s="4417">
        <f>+P2*24</f>
        <v>744</v>
      </c>
      <c r="Q41" s="6562">
        <f>+M41+O41</f>
        <v>2928</v>
      </c>
      <c r="R41" s="6038">
        <f>+N41+P41</f>
        <v>2928</v>
      </c>
      <c r="S41" s="4963">
        <f>+S2*24</f>
        <v>744</v>
      </c>
      <c r="T41" s="4417">
        <f>+T2*24</f>
        <v>744</v>
      </c>
      <c r="U41" s="6562">
        <f>+Q41+S41</f>
        <v>3672</v>
      </c>
      <c r="V41" s="6038">
        <f>+R41+T41</f>
        <v>3672</v>
      </c>
      <c r="W41" s="4963">
        <f>+W2*24</f>
        <v>720</v>
      </c>
      <c r="X41" s="4417">
        <f>+X2*24</f>
        <v>720</v>
      </c>
      <c r="Y41" s="2879">
        <f>+O41+S41+W41</f>
        <v>2208</v>
      </c>
      <c r="Z41" s="4775">
        <f>+P41+T41+X41</f>
        <v>2208</v>
      </c>
      <c r="AA41" s="6668">
        <f>+U41+W41</f>
        <v>4392</v>
      </c>
      <c r="AB41" s="6669">
        <f>+V41+X41</f>
        <v>4392</v>
      </c>
      <c r="AC41" s="4963">
        <f>+AC2*24</f>
        <v>744</v>
      </c>
      <c r="AD41" s="4417">
        <f>+AD2*24</f>
        <v>744</v>
      </c>
      <c r="AE41" s="7372">
        <f>+AA41+AC41</f>
        <v>5136</v>
      </c>
      <c r="AF41" s="6038">
        <f>+AB41+AD41</f>
        <v>5136</v>
      </c>
      <c r="AG41" s="4963">
        <f>+AG2*24</f>
        <v>720</v>
      </c>
      <c r="AH41" s="4417">
        <f>+AH2*24</f>
        <v>720</v>
      </c>
      <c r="AI41" s="7586">
        <f>+AE41+AG41</f>
        <v>5856</v>
      </c>
      <c r="AJ41" s="6038">
        <f>+AF41+AH41</f>
        <v>5856</v>
      </c>
      <c r="AK41" s="4963">
        <f>+AK2*24</f>
        <v>744</v>
      </c>
      <c r="AL41" s="4417">
        <f>+AL2*24</f>
        <v>744</v>
      </c>
      <c r="AM41" s="2879">
        <f>+AC41+AG41+AK41</f>
        <v>2208</v>
      </c>
      <c r="AN41" s="4775">
        <f>+AD41+AH41+AL41</f>
        <v>2208</v>
      </c>
      <c r="AO41" s="7895">
        <f>+AI41+AK41</f>
        <v>6600</v>
      </c>
      <c r="AP41" s="6038">
        <f>+AJ41+AL41</f>
        <v>6600</v>
      </c>
      <c r="AQ41" s="4963">
        <f>+AQ2*24</f>
        <v>744</v>
      </c>
      <c r="AR41" s="4417">
        <f>+AR2*24</f>
        <v>744</v>
      </c>
      <c r="AS41" s="8110">
        <f>+AO41+AQ41</f>
        <v>7344</v>
      </c>
      <c r="AT41" s="6038">
        <f>+AP41+AR41</f>
        <v>7344</v>
      </c>
      <c r="AU41" s="4963">
        <f>+AU2*24</f>
        <v>672</v>
      </c>
      <c r="AV41" s="4417">
        <f>+AV2*24</f>
        <v>672</v>
      </c>
      <c r="AW41" s="8174">
        <f>+AS41+AU41</f>
        <v>8016</v>
      </c>
      <c r="AX41" s="6038">
        <f>+AT41+AV41</f>
        <v>8016</v>
      </c>
      <c r="AY41" s="4963">
        <f>+AY2*24</f>
        <v>744</v>
      </c>
      <c r="AZ41" s="4417">
        <f>+AZ2*24</f>
        <v>744</v>
      </c>
      <c r="BA41" s="2879">
        <f>+AQ41+AU41+AY41</f>
        <v>2160</v>
      </c>
      <c r="BB41" s="4775">
        <f>+AR41+AV41+AZ41</f>
        <v>2160</v>
      </c>
      <c r="BC41" s="2879">
        <f t="shared" ref="BC41" si="21">+BA41+AM41</f>
        <v>4368</v>
      </c>
      <c r="BD41" s="4775">
        <f t="shared" ref="BD41" si="22">+BB41+AN41</f>
        <v>4368</v>
      </c>
      <c r="BE41" s="8332">
        <f>+AW41+AY41</f>
        <v>8760</v>
      </c>
      <c r="BF41" s="6669">
        <f>+AX41+AZ41</f>
        <v>8760</v>
      </c>
    </row>
    <row r="42" spans="2:58" x14ac:dyDescent="0.2">
      <c r="B42" s="1531" t="s">
        <v>799</v>
      </c>
      <c r="C42" s="7442"/>
      <c r="D42" s="1545" t="s">
        <v>169</v>
      </c>
      <c r="E42" s="2706">
        <f t="shared" ref="E42:R42" si="23">+E43/E41*100</f>
        <v>19.666666666666671</v>
      </c>
      <c r="F42" s="1859">
        <f t="shared" si="23"/>
        <v>33.43055555555555</v>
      </c>
      <c r="G42" s="2706">
        <f t="shared" si="23"/>
        <v>90.322580645161281</v>
      </c>
      <c r="H42" s="1859">
        <f t="shared" si="23"/>
        <v>78.884408602150529</v>
      </c>
      <c r="I42" s="2794">
        <f t="shared" si="23"/>
        <v>55.573770491803273</v>
      </c>
      <c r="J42" s="1861">
        <f t="shared" si="23"/>
        <v>56.530054644808736</v>
      </c>
      <c r="K42" s="2706">
        <f t="shared" si="23"/>
        <v>90</v>
      </c>
      <c r="L42" s="1859">
        <f t="shared" si="23"/>
        <v>71.162037037037038</v>
      </c>
      <c r="M42" s="2260">
        <f t="shared" si="23"/>
        <v>66.92307692307692</v>
      </c>
      <c r="N42" s="2055">
        <f t="shared" si="23"/>
        <v>61.353785103785107</v>
      </c>
      <c r="O42" s="2706">
        <f t="shared" si="23"/>
        <v>91.935483870967744</v>
      </c>
      <c r="P42" s="1859">
        <f t="shared" si="23"/>
        <v>44.399641577060926</v>
      </c>
      <c r="Q42" s="2794">
        <f t="shared" si="23"/>
        <v>73.278688524590166</v>
      </c>
      <c r="R42" s="1861">
        <f t="shared" si="23"/>
        <v>57.045765027322403</v>
      </c>
      <c r="S42" s="2706">
        <f t="shared" ref="S42:V42" si="24">+S43/S41*100</f>
        <v>93.548387096774192</v>
      </c>
      <c r="T42" s="6452">
        <f t="shared" si="24"/>
        <v>70.967741935483872</v>
      </c>
      <c r="U42" s="2794">
        <f t="shared" si="24"/>
        <v>77.385620915032689</v>
      </c>
      <c r="V42" s="1861">
        <f t="shared" si="24"/>
        <v>59.866557734204797</v>
      </c>
      <c r="W42" s="2706">
        <f t="shared" ref="W42:AJ42" si="25">+W43/W41*100</f>
        <v>90</v>
      </c>
      <c r="X42" s="6452">
        <f t="shared" si="25"/>
        <v>70.034722222222229</v>
      </c>
      <c r="Y42" s="2260">
        <f t="shared" si="25"/>
        <v>91.847826086956516</v>
      </c>
      <c r="Z42" s="2055">
        <f t="shared" si="25"/>
        <v>61.711201690821248</v>
      </c>
      <c r="AA42" s="6612">
        <f t="shared" si="25"/>
        <v>79.453551912568301</v>
      </c>
      <c r="AB42" s="6635">
        <f t="shared" si="25"/>
        <v>61.533469945355193</v>
      </c>
      <c r="AC42" s="2706">
        <f t="shared" si="25"/>
        <v>83.870967741935488</v>
      </c>
      <c r="AD42" s="6452">
        <f t="shared" si="25"/>
        <v>59.339157706093189</v>
      </c>
      <c r="AE42" s="2794">
        <f t="shared" si="25"/>
        <v>80.093457943925245</v>
      </c>
      <c r="AF42" s="1861">
        <f t="shared" si="25"/>
        <v>61.215602284527527</v>
      </c>
      <c r="AG42" s="2706">
        <f t="shared" si="25"/>
        <v>90</v>
      </c>
      <c r="AH42" s="6452">
        <f t="shared" si="25"/>
        <v>73.296296296296305</v>
      </c>
      <c r="AI42" s="2794">
        <f t="shared" si="25"/>
        <v>81.311475409836078</v>
      </c>
      <c r="AJ42" s="1861">
        <f t="shared" si="25"/>
        <v>62.700933515482703</v>
      </c>
      <c r="AK42" s="2706">
        <f t="shared" ref="AK42:AP42" si="26">+AK43/AK41*100</f>
        <v>88.06451612903227</v>
      </c>
      <c r="AL42" s="6452">
        <f t="shared" si="26"/>
        <v>79.034498207885306</v>
      </c>
      <c r="AM42" s="2260">
        <f t="shared" si="26"/>
        <v>87.282608695652172</v>
      </c>
      <c r="AN42" s="2055">
        <f t="shared" si="26"/>
        <v>70.526871980676333</v>
      </c>
      <c r="AO42" s="2794">
        <f t="shared" si="26"/>
        <v>82.072727272727278</v>
      </c>
      <c r="AP42" s="1861">
        <f t="shared" si="26"/>
        <v>64.542171717171726</v>
      </c>
      <c r="AQ42" s="2706">
        <f t="shared" ref="AQ42:AT42" si="27">+AQ43/AQ41*100</f>
        <v>77.41935483870968</v>
      </c>
      <c r="AR42" s="6452">
        <f t="shared" si="27"/>
        <v>87.486559139784958</v>
      </c>
      <c r="AS42" s="2794">
        <f t="shared" si="27"/>
        <v>81.601307189542482</v>
      </c>
      <c r="AT42" s="1861">
        <f t="shared" si="27"/>
        <v>66.866603122730581</v>
      </c>
      <c r="AU42" s="2706">
        <f t="shared" ref="AU42:AX42" si="28">+AU43/AU41*100</f>
        <v>85.714285714285708</v>
      </c>
      <c r="AV42" s="6452">
        <f t="shared" si="28"/>
        <v>86.72172619047619</v>
      </c>
      <c r="AW42" s="2794">
        <f t="shared" si="28"/>
        <v>81.946107784431149</v>
      </c>
      <c r="AX42" s="1861">
        <f t="shared" si="28"/>
        <v>68.531104457751184</v>
      </c>
      <c r="AY42" s="2706">
        <f t="shared" ref="AY42:BF42" si="29">+AY43/AY41*100</f>
        <v>77.41935483870968</v>
      </c>
      <c r="AZ42" s="6452">
        <f t="shared" si="29"/>
        <v>84.942204301075279</v>
      </c>
      <c r="BA42" s="2260">
        <f t="shared" si="29"/>
        <v>80</v>
      </c>
      <c r="BB42" s="2055">
        <f t="shared" si="29"/>
        <v>86.372222222222234</v>
      </c>
      <c r="BC42" s="2260">
        <f t="shared" ref="BC42:BD42" si="30">+BC43/BC41*100</f>
        <v>83.681318681318672</v>
      </c>
      <c r="BD42" s="2055">
        <f t="shared" si="30"/>
        <v>78.362484737484735</v>
      </c>
      <c r="BE42" s="6612">
        <f t="shared" si="29"/>
        <v>81.561643835616437</v>
      </c>
      <c r="BF42" s="6635">
        <f t="shared" si="29"/>
        <v>69.924923896499251</v>
      </c>
    </row>
    <row r="43" spans="2:58" x14ac:dyDescent="0.2">
      <c r="B43" s="1531" t="s">
        <v>798</v>
      </c>
      <c r="C43" s="7442"/>
      <c r="D43" s="1545" t="s">
        <v>711</v>
      </c>
      <c r="E43" s="1786">
        <v>141.60000000000002</v>
      </c>
      <c r="F43" s="2750">
        <v>240.7</v>
      </c>
      <c r="G43" s="3229">
        <v>672</v>
      </c>
      <c r="H43" s="3918">
        <v>586.9</v>
      </c>
      <c r="I43" s="1787">
        <f>+E43+G43</f>
        <v>813.6</v>
      </c>
      <c r="J43" s="6038">
        <f>+F43+H43</f>
        <v>827.59999999999991</v>
      </c>
      <c r="K43" s="3229">
        <v>648</v>
      </c>
      <c r="L43" s="3918">
        <v>512.36666666666667</v>
      </c>
      <c r="M43" s="2260">
        <f>+I43+K43</f>
        <v>1461.6</v>
      </c>
      <c r="N43" s="4775">
        <f>+J43+L43</f>
        <v>1339.9666666666667</v>
      </c>
      <c r="O43" s="3229">
        <v>684</v>
      </c>
      <c r="P43" s="5600">
        <v>330.33333333333331</v>
      </c>
      <c r="Q43" s="1787">
        <f>+M43+O43</f>
        <v>2145.6</v>
      </c>
      <c r="R43" s="6038">
        <f>+N43+P43</f>
        <v>1670.3</v>
      </c>
      <c r="S43" s="3229">
        <v>696</v>
      </c>
      <c r="T43" s="5600">
        <v>528</v>
      </c>
      <c r="U43" s="1787">
        <f>+Q43+S43</f>
        <v>2841.6</v>
      </c>
      <c r="V43" s="6038">
        <f>+R43+T43</f>
        <v>2198.3000000000002</v>
      </c>
      <c r="W43" s="3229">
        <v>648</v>
      </c>
      <c r="X43" s="5600">
        <v>504.25</v>
      </c>
      <c r="Y43" s="2879">
        <f>+O43+S43+W43</f>
        <v>2028</v>
      </c>
      <c r="Z43" s="4775">
        <f>+P43+T43+X43</f>
        <v>1362.5833333333333</v>
      </c>
      <c r="AA43" s="6670">
        <f>+U43+W43</f>
        <v>3489.6</v>
      </c>
      <c r="AB43" s="6669">
        <f>+V43+X43</f>
        <v>2702.55</v>
      </c>
      <c r="AC43" s="3229">
        <v>624</v>
      </c>
      <c r="AD43" s="5600">
        <v>441.48333333333335</v>
      </c>
      <c r="AE43" s="1787">
        <f>+AA43+AC43</f>
        <v>4113.6000000000004</v>
      </c>
      <c r="AF43" s="6038">
        <f>+AB43+AD43</f>
        <v>3144.0333333333338</v>
      </c>
      <c r="AG43" s="3229">
        <v>648</v>
      </c>
      <c r="AH43" s="5600">
        <v>527.73333333333335</v>
      </c>
      <c r="AI43" s="1787">
        <f>+AE43+AG43</f>
        <v>4761.6000000000004</v>
      </c>
      <c r="AJ43" s="6038">
        <f>+AF43+AH43</f>
        <v>3671.7666666666673</v>
      </c>
      <c r="AK43" s="3229">
        <v>655.20000000000005</v>
      </c>
      <c r="AL43" s="5600">
        <v>588.01666666666665</v>
      </c>
      <c r="AM43" s="2879">
        <f>+AC43+AG43+AK43</f>
        <v>1927.2</v>
      </c>
      <c r="AN43" s="4775">
        <f>+AD43+AH43+AL43</f>
        <v>1557.2333333333333</v>
      </c>
      <c r="AO43" s="1787">
        <f>+AI43+AK43</f>
        <v>5416.8</v>
      </c>
      <c r="AP43" s="6199">
        <f>+AJ43+AL43</f>
        <v>4259.7833333333338</v>
      </c>
      <c r="AQ43" s="3229">
        <v>576</v>
      </c>
      <c r="AR43" s="5600">
        <v>650.90000000000009</v>
      </c>
      <c r="AS43" s="1787">
        <f>+AO43+AQ43</f>
        <v>5992.8</v>
      </c>
      <c r="AT43" s="6038">
        <f>+AP43+AR43</f>
        <v>4910.6833333333343</v>
      </c>
      <c r="AU43" s="3229">
        <v>576</v>
      </c>
      <c r="AV43" s="5600">
        <v>582.77</v>
      </c>
      <c r="AW43" s="1787">
        <f>+AS43+AU43</f>
        <v>6568.8</v>
      </c>
      <c r="AX43" s="6038">
        <f>+AT43+AV43</f>
        <v>5493.4533333333347</v>
      </c>
      <c r="AY43" s="3229">
        <v>576</v>
      </c>
      <c r="AZ43" s="5600">
        <v>631.97</v>
      </c>
      <c r="BA43" s="2879">
        <f>+AQ43+AU43+AY43</f>
        <v>1728</v>
      </c>
      <c r="BB43" s="4775">
        <f>+AR43+AV43+AZ43</f>
        <v>1865.64</v>
      </c>
      <c r="BC43" s="2879">
        <f t="shared" ref="BC43" si="31">+BA43+AM43</f>
        <v>3655.2</v>
      </c>
      <c r="BD43" s="4775">
        <f t="shared" ref="BD43" si="32">+BB43+AN43</f>
        <v>3422.8733333333334</v>
      </c>
      <c r="BE43" s="6670">
        <f>+AW43+AY43</f>
        <v>7144.8</v>
      </c>
      <c r="BF43" s="6669">
        <f>+AX43+AZ43</f>
        <v>6125.423333333335</v>
      </c>
    </row>
    <row r="44" spans="2:58" x14ac:dyDescent="0.2">
      <c r="B44" s="1531" t="s">
        <v>800</v>
      </c>
      <c r="C44" s="7442"/>
      <c r="D44" s="1545" t="s">
        <v>169</v>
      </c>
      <c r="E44" s="3224">
        <f t="shared" ref="E44:R44" si="33">+E45/E43*100</f>
        <v>53.75</v>
      </c>
      <c r="F44" s="6452">
        <f t="shared" si="33"/>
        <v>55.719429441905554</v>
      </c>
      <c r="G44" s="3224">
        <f t="shared" si="33"/>
        <v>53.75</v>
      </c>
      <c r="H44" s="1859">
        <f t="shared" si="33"/>
        <v>62.287726472425739</v>
      </c>
      <c r="I44" s="2794">
        <f t="shared" si="33"/>
        <v>53.75</v>
      </c>
      <c r="J44" s="1861">
        <f t="shared" si="33"/>
        <v>60.377396487836322</v>
      </c>
      <c r="K44" s="3224">
        <f t="shared" si="33"/>
        <v>83.333333333333343</v>
      </c>
      <c r="L44" s="1859">
        <f t="shared" si="33"/>
        <v>60.376683364777826</v>
      </c>
      <c r="M44" s="2260">
        <f t="shared" si="33"/>
        <v>66.865763546798036</v>
      </c>
      <c r="N44" s="2055">
        <f t="shared" si="33"/>
        <v>60.377123809049969</v>
      </c>
      <c r="O44" s="3224">
        <f t="shared" si="33"/>
        <v>83.333333333333343</v>
      </c>
      <c r="P44" s="6452">
        <f t="shared" si="33"/>
        <v>59.470232088799193</v>
      </c>
      <c r="Q44" s="2794">
        <f t="shared" si="33"/>
        <v>72.115492170022378</v>
      </c>
      <c r="R44" s="1861">
        <f t="shared" si="33"/>
        <v>60.197768863876753</v>
      </c>
      <c r="S44" s="3224">
        <f t="shared" ref="S44:V44" si="34">+S45/S43*100</f>
        <v>83.333333333333343</v>
      </c>
      <c r="T44" s="6452">
        <f t="shared" si="34"/>
        <v>53.787878787878782</v>
      </c>
      <c r="U44" s="2794">
        <f t="shared" si="34"/>
        <v>74.863105292792795</v>
      </c>
      <c r="V44" s="1861">
        <f t="shared" si="34"/>
        <v>58.658205583102088</v>
      </c>
      <c r="W44" s="3224">
        <f t="shared" ref="W44:AJ44" si="35">+W45/W43*100</f>
        <v>83.333333333333343</v>
      </c>
      <c r="X44" s="6452">
        <f t="shared" si="35"/>
        <v>52.662369856222114</v>
      </c>
      <c r="Y44" s="2260">
        <f t="shared" si="35"/>
        <v>83.333333333333343</v>
      </c>
      <c r="Z44" s="2055">
        <f t="shared" si="35"/>
        <v>54.748945018653295</v>
      </c>
      <c r="AA44" s="6612">
        <f t="shared" si="35"/>
        <v>76.435981201283823</v>
      </c>
      <c r="AB44" s="6635">
        <f t="shared" si="35"/>
        <v>57.539484314197075</v>
      </c>
      <c r="AC44" s="3224">
        <f t="shared" si="35"/>
        <v>83.333333333333343</v>
      </c>
      <c r="AD44" s="6452">
        <f t="shared" si="35"/>
        <v>51.934765374306316</v>
      </c>
      <c r="AE44" s="2794">
        <f t="shared" si="35"/>
        <v>77.482253986775561</v>
      </c>
      <c r="AF44" s="1861">
        <f t="shared" si="35"/>
        <v>56.752472938157986</v>
      </c>
      <c r="AG44" s="3224">
        <f t="shared" si="35"/>
        <v>83.333333333333343</v>
      </c>
      <c r="AH44" s="6452">
        <f t="shared" si="35"/>
        <v>60.668266801414852</v>
      </c>
      <c r="AI44" s="2794">
        <f t="shared" si="35"/>
        <v>78.278519825268816</v>
      </c>
      <c r="AJ44" s="1861">
        <f t="shared" si="35"/>
        <v>57.315279656477792</v>
      </c>
      <c r="AK44" s="3224">
        <f t="shared" ref="AK44:AP44" si="36">+AK45/AK43*100</f>
        <v>83.333333333333329</v>
      </c>
      <c r="AL44" s="6452">
        <f t="shared" si="36"/>
        <v>67.370539383804314</v>
      </c>
      <c r="AM44" s="2260">
        <f t="shared" si="36"/>
        <v>83.333333333333329</v>
      </c>
      <c r="AN44" s="2055">
        <f t="shared" si="36"/>
        <v>60.723077252392052</v>
      </c>
      <c r="AO44" s="2794">
        <f t="shared" si="36"/>
        <v>78.889935016984182</v>
      </c>
      <c r="AP44" s="1905">
        <f t="shared" si="36"/>
        <v>58.703298681075324</v>
      </c>
      <c r="AQ44" s="3224">
        <f t="shared" ref="AQ44:AT44" si="37">+AQ45/AQ43*100</f>
        <v>83.333333333333343</v>
      </c>
      <c r="AR44" s="6452">
        <f t="shared" si="37"/>
        <v>51.948584011880975</v>
      </c>
      <c r="AS44" s="2794">
        <f t="shared" si="37"/>
        <v>79.317013749833123</v>
      </c>
      <c r="AT44" s="1861">
        <f t="shared" si="37"/>
        <v>57.807976486639653</v>
      </c>
      <c r="AU44" s="3224">
        <f t="shared" ref="AU44:AX44" si="38">+AU45/AU43*100</f>
        <v>83.333333333333343</v>
      </c>
      <c r="AV44" s="6452">
        <f t="shared" si="38"/>
        <v>61.344955986066552</v>
      </c>
      <c r="AW44" s="2794">
        <f t="shared" si="38"/>
        <v>79.669193764462293</v>
      </c>
      <c r="AX44" s="1861">
        <f t="shared" si="38"/>
        <v>58.183195027293081</v>
      </c>
      <c r="AY44" s="3224">
        <f t="shared" ref="AY44:BF44" si="39">+AY45/AY43*100</f>
        <v>83.333333333333343</v>
      </c>
      <c r="AZ44" s="6452">
        <f t="shared" si="39"/>
        <v>63.352690792284442</v>
      </c>
      <c r="BA44" s="2260">
        <f t="shared" si="39"/>
        <v>83.333333333333343</v>
      </c>
      <c r="BB44" s="2055">
        <f t="shared" si="39"/>
        <v>58.746775011970861</v>
      </c>
      <c r="BC44" s="2260">
        <f t="shared" ref="BC44:BD44" si="40">+BC45/BC43*100</f>
        <v>83.333333333333343</v>
      </c>
      <c r="BD44" s="2055">
        <f t="shared" si="40"/>
        <v>59.645892047811678</v>
      </c>
      <c r="BE44" s="6612">
        <f t="shared" si="39"/>
        <v>79.964589631620186</v>
      </c>
      <c r="BF44" s="6635">
        <f t="shared" si="39"/>
        <v>58.716540407819409</v>
      </c>
    </row>
    <row r="45" spans="2:58" x14ac:dyDescent="0.2">
      <c r="B45" s="1531" t="s">
        <v>801</v>
      </c>
      <c r="C45" s="7442"/>
      <c r="D45" s="1545" t="s">
        <v>711</v>
      </c>
      <c r="E45" s="4811">
        <v>76.110000000000014</v>
      </c>
      <c r="F45" s="4406">
        <v>134.11666666666667</v>
      </c>
      <c r="G45" s="4811">
        <v>361.2</v>
      </c>
      <c r="H45" s="3918">
        <v>365.56666666666666</v>
      </c>
      <c r="I45" s="4809">
        <f>+E45+G45</f>
        <v>437.31</v>
      </c>
      <c r="J45" s="6038">
        <f>+F45+H45</f>
        <v>499.68333333333334</v>
      </c>
      <c r="K45" s="4811">
        <v>540</v>
      </c>
      <c r="L45" s="3918">
        <v>309.35000000000002</v>
      </c>
      <c r="M45" s="2260">
        <f>+I45+K45</f>
        <v>977.31</v>
      </c>
      <c r="N45" s="4775">
        <f>+J45+L45</f>
        <v>809.0333333333333</v>
      </c>
      <c r="O45" s="4811">
        <v>570</v>
      </c>
      <c r="P45" s="5600">
        <v>196.45</v>
      </c>
      <c r="Q45" s="4809">
        <f>+M45+O45</f>
        <v>1547.31</v>
      </c>
      <c r="R45" s="6038">
        <f>+N45+P45</f>
        <v>1005.4833333333333</v>
      </c>
      <c r="S45" s="4811">
        <v>580</v>
      </c>
      <c r="T45" s="5600">
        <v>284</v>
      </c>
      <c r="U45" s="4809">
        <f>+Q45+S45</f>
        <v>2127.31</v>
      </c>
      <c r="V45" s="6038">
        <f>+R45+T45</f>
        <v>1289.4833333333333</v>
      </c>
      <c r="W45" s="4811">
        <v>540</v>
      </c>
      <c r="X45" s="5600">
        <v>265.55</v>
      </c>
      <c r="Y45" s="2879">
        <f>+O45+S45+W45</f>
        <v>1690</v>
      </c>
      <c r="Z45" s="4775">
        <f>+P45+T45+X45</f>
        <v>746</v>
      </c>
      <c r="AA45" s="6519">
        <f>+U45+W45</f>
        <v>2667.31</v>
      </c>
      <c r="AB45" s="6669">
        <f>+V45+X45</f>
        <v>1555.0333333333333</v>
      </c>
      <c r="AC45" s="4811">
        <v>520</v>
      </c>
      <c r="AD45" s="5600">
        <v>229.28333333333333</v>
      </c>
      <c r="AE45" s="4809">
        <f>+AA45+AC45</f>
        <v>3187.31</v>
      </c>
      <c r="AF45" s="6199">
        <f>+AB45+AD45</f>
        <v>1784.3166666666666</v>
      </c>
      <c r="AG45" s="4811">
        <v>540</v>
      </c>
      <c r="AH45" s="5600">
        <v>320.16666666666663</v>
      </c>
      <c r="AI45" s="4809">
        <f>+AE45+AG45</f>
        <v>3727.31</v>
      </c>
      <c r="AJ45" s="6038">
        <f>+AF45+AH45</f>
        <v>2104.4833333333331</v>
      </c>
      <c r="AK45" s="4811">
        <v>546</v>
      </c>
      <c r="AL45" s="5600">
        <v>396.15000000000003</v>
      </c>
      <c r="AM45" s="2879">
        <f>+AC45+AG45+AK45</f>
        <v>1606</v>
      </c>
      <c r="AN45" s="4775">
        <f>+AD45+AH45+AL45</f>
        <v>945.59999999999991</v>
      </c>
      <c r="AO45" s="4809">
        <f>+AI45+AK45</f>
        <v>4273.3099999999995</v>
      </c>
      <c r="AP45" s="6199">
        <f>+AJ45+AL45</f>
        <v>2500.6333333333332</v>
      </c>
      <c r="AQ45" s="4811">
        <v>480</v>
      </c>
      <c r="AR45" s="5600">
        <v>338.13333333333333</v>
      </c>
      <c r="AS45" s="4809">
        <f>+AO45+AQ45</f>
        <v>4753.3099999999995</v>
      </c>
      <c r="AT45" s="6038">
        <f>+AP45+AR45</f>
        <v>2838.7666666666664</v>
      </c>
      <c r="AU45" s="4811">
        <v>480</v>
      </c>
      <c r="AV45" s="5600">
        <v>357.5</v>
      </c>
      <c r="AW45" s="4809">
        <f>+AS45+AU45</f>
        <v>5233.3099999999995</v>
      </c>
      <c r="AX45" s="6038">
        <f>+AT45+AV45</f>
        <v>3196.2666666666664</v>
      </c>
      <c r="AY45" s="4811">
        <v>480</v>
      </c>
      <c r="AZ45" s="5600">
        <v>400.37</v>
      </c>
      <c r="BA45" s="2879">
        <f>+AQ45+AU45+AY45</f>
        <v>1440</v>
      </c>
      <c r="BB45" s="4775">
        <f>+AR45+AV45+AZ45</f>
        <v>1096.0033333333333</v>
      </c>
      <c r="BC45" s="2879">
        <f t="shared" ref="BC45" si="41">+BA45+AM45</f>
        <v>3046</v>
      </c>
      <c r="BD45" s="4775">
        <f t="shared" ref="BD45" si="42">+BB45+AN45</f>
        <v>2041.6033333333332</v>
      </c>
      <c r="BE45" s="6519">
        <f>+AW45+AY45</f>
        <v>5713.3099999999995</v>
      </c>
      <c r="BF45" s="6669">
        <f>+AX45+AZ45</f>
        <v>3596.6366666666663</v>
      </c>
    </row>
    <row r="46" spans="2:58" x14ac:dyDescent="0.2">
      <c r="B46" s="1531" t="s">
        <v>1126</v>
      </c>
      <c r="C46" s="7442"/>
      <c r="D46" s="1545" t="s">
        <v>1125</v>
      </c>
      <c r="E46" s="3220">
        <f>+E45/(E43/24)</f>
        <v>12.9</v>
      </c>
      <c r="F46" s="6452">
        <f t="shared" ref="F46:J46" si="43">+F45/(F43/24)</f>
        <v>13.372663066057333</v>
      </c>
      <c r="G46" s="3220">
        <f>+G45/(G43/24)</f>
        <v>12.9</v>
      </c>
      <c r="H46" s="1859">
        <f t="shared" si="43"/>
        <v>14.949054353382177</v>
      </c>
      <c r="I46" s="2794">
        <f t="shared" si="43"/>
        <v>12.9</v>
      </c>
      <c r="J46" s="2805">
        <f t="shared" si="43"/>
        <v>14.490575157080718</v>
      </c>
      <c r="K46" s="3220">
        <f>+K45/(K43/24)</f>
        <v>20</v>
      </c>
      <c r="L46" s="1859">
        <f t="shared" ref="L46:N46" si="44">+L45/(L43/24)</f>
        <v>14.49040400754668</v>
      </c>
      <c r="M46" s="2260">
        <f t="shared" si="44"/>
        <v>16.047783251231525</v>
      </c>
      <c r="N46" s="2887">
        <f t="shared" si="44"/>
        <v>14.490509714171994</v>
      </c>
      <c r="O46" s="3220">
        <f>+O45/(O43/24)</f>
        <v>20</v>
      </c>
      <c r="P46" s="5982">
        <f>+P45/(P43/24)</f>
        <v>14.272855701311807</v>
      </c>
      <c r="Q46" s="2794">
        <f t="shared" ref="Q46:R46" si="45">+Q45/(Q43/24)</f>
        <v>17.307718120805369</v>
      </c>
      <c r="R46" s="2805">
        <f t="shared" si="45"/>
        <v>14.447464527330419</v>
      </c>
      <c r="S46" s="3220">
        <f>+S45/(S43/24)</f>
        <v>20</v>
      </c>
      <c r="T46" s="5982">
        <f>+T45/(T43/24)</f>
        <v>12.909090909090908</v>
      </c>
      <c r="U46" s="2794">
        <f t="shared" ref="U46:V46" si="46">+U45/(U43/24)</f>
        <v>17.967145270270272</v>
      </c>
      <c r="V46" s="2805">
        <f t="shared" si="46"/>
        <v>14.077969339944501</v>
      </c>
      <c r="W46" s="3220">
        <f>+W45/(W43/24)</f>
        <v>20</v>
      </c>
      <c r="X46" s="5982">
        <f>+X45/(X43/24)</f>
        <v>12.638968765493306</v>
      </c>
      <c r="Y46" s="2260">
        <f t="shared" ref="Y46:Z46" si="47">+Y45/(Y43/24)</f>
        <v>20</v>
      </c>
      <c r="Z46" s="2887">
        <f t="shared" si="47"/>
        <v>13.139746804476792</v>
      </c>
      <c r="AA46" s="6612">
        <f t="shared" ref="AA46:AB46" si="48">+AA45/(AA43/24)</f>
        <v>18.344635488308114</v>
      </c>
      <c r="AB46" s="6671">
        <f t="shared" si="48"/>
        <v>13.809476235407299</v>
      </c>
      <c r="AC46" s="3220">
        <f>+AC45/(AC43/24)</f>
        <v>20</v>
      </c>
      <c r="AD46" s="5982">
        <f>+AD45/(AD43/24)</f>
        <v>12.464343689833514</v>
      </c>
      <c r="AE46" s="2794">
        <f t="shared" ref="AE46:AF46" si="49">+AE45/(AE43/24)</f>
        <v>18.595740956826138</v>
      </c>
      <c r="AF46" s="2805">
        <f t="shared" si="49"/>
        <v>13.620593505157917</v>
      </c>
      <c r="AG46" s="3220">
        <f>+AG45/(AG43/24)</f>
        <v>20</v>
      </c>
      <c r="AH46" s="5982">
        <f>+AH45/(AH43/24)</f>
        <v>14.560384032339563</v>
      </c>
      <c r="AI46" s="2794">
        <f t="shared" ref="AI46:AJ46" si="50">+AI45/(AI43/24)</f>
        <v>18.786844758064515</v>
      </c>
      <c r="AJ46" s="2805">
        <f t="shared" si="50"/>
        <v>13.755667117554671</v>
      </c>
      <c r="AK46" s="3220">
        <f>+AK45/(AK43/24)</f>
        <v>20</v>
      </c>
      <c r="AL46" s="5982">
        <f>+AL45/(AL43/24)</f>
        <v>16.168929452113037</v>
      </c>
      <c r="AM46" s="2260">
        <f t="shared" ref="AM46:AP46" si="51">+AM45/(AM43/24)</f>
        <v>20</v>
      </c>
      <c r="AN46" s="2887">
        <f t="shared" si="51"/>
        <v>14.573538540574093</v>
      </c>
      <c r="AO46" s="2794">
        <f t="shared" si="51"/>
        <v>18.933584404076203</v>
      </c>
      <c r="AP46" s="2805">
        <f t="shared" si="51"/>
        <v>14.088791683458076</v>
      </c>
      <c r="AQ46" s="3220">
        <f>+AQ45/(AQ43/24)</f>
        <v>20</v>
      </c>
      <c r="AR46" s="5982">
        <f>+AR45/(AR43/24)</f>
        <v>12.467660162851434</v>
      </c>
      <c r="AS46" s="2794">
        <f t="shared" ref="AS46:AT46" si="52">+AS45/(AS43/24)</f>
        <v>19.036083299959948</v>
      </c>
      <c r="AT46" s="2805">
        <f t="shared" si="52"/>
        <v>13.873914356793517</v>
      </c>
      <c r="AU46" s="3220">
        <f>+AU45/(AU43/24)</f>
        <v>20</v>
      </c>
      <c r="AV46" s="5982">
        <f>+AV45/(AV43/24)</f>
        <v>14.722789436655971</v>
      </c>
      <c r="AW46" s="2794">
        <f t="shared" ref="AW46:AX46" si="53">+AW45/(AW43/24)</f>
        <v>19.120606503470952</v>
      </c>
      <c r="AX46" s="2805">
        <f t="shared" si="53"/>
        <v>13.963966806550339</v>
      </c>
      <c r="AY46" s="3220">
        <f>+AY45/(AY43/24)</f>
        <v>20</v>
      </c>
      <c r="AZ46" s="5982">
        <f>+AZ45/(AZ43/24)</f>
        <v>15.204645790148266</v>
      </c>
      <c r="BA46" s="2260">
        <f t="shared" ref="BA46:BF46" si="54">+BA45/(BA43/24)</f>
        <v>20</v>
      </c>
      <c r="BB46" s="2887">
        <f t="shared" si="54"/>
        <v>14.099226002873008</v>
      </c>
      <c r="BC46" s="2260">
        <f t="shared" ref="BC46:BD46" si="55">+BC45/(BC43/24)</f>
        <v>20.000000000000004</v>
      </c>
      <c r="BD46" s="2887">
        <f t="shared" si="55"/>
        <v>14.315014091474803</v>
      </c>
      <c r="BE46" s="6612">
        <f t="shared" si="54"/>
        <v>19.191501511588847</v>
      </c>
      <c r="BF46" s="6671">
        <f t="shared" si="54"/>
        <v>14.091969697876658</v>
      </c>
    </row>
    <row r="47" spans="2:58" x14ac:dyDescent="0.2">
      <c r="B47" s="1531" t="s">
        <v>802</v>
      </c>
      <c r="C47" s="7442"/>
      <c r="D47" s="1545" t="s">
        <v>1093</v>
      </c>
      <c r="E47" s="3228"/>
      <c r="F47" s="4419">
        <v>0.89200000000000002</v>
      </c>
      <c r="G47" s="3228"/>
      <c r="H47" s="1636">
        <v>0.54700000000000004</v>
      </c>
      <c r="I47" s="2992">
        <f>+((E47*E5)+(G47*G5))/I5</f>
        <v>0</v>
      </c>
      <c r="J47" s="6008">
        <f>+((F47*F5)+(H47*H5))/J5</f>
        <v>0.6022821459258213</v>
      </c>
      <c r="K47" s="3228"/>
      <c r="L47" s="1636">
        <v>0.42699999999999999</v>
      </c>
      <c r="M47" s="2260">
        <f>+((I47*I5)+(K47*K5))/M5</f>
        <v>0</v>
      </c>
      <c r="N47" s="2055">
        <f>+((J47*J5)+(L47*L5))/N5</f>
        <v>0.53507705982561915</v>
      </c>
      <c r="O47" s="3228"/>
      <c r="P47" s="5981">
        <v>0.35699999999999998</v>
      </c>
      <c r="Q47" s="2992">
        <f>+((M47*M5)+(O47*O5))/Q5</f>
        <v>0</v>
      </c>
      <c r="R47" s="6008">
        <f>+((N47*N5)+(P47*P5))/R5</f>
        <v>0.49534142150483024</v>
      </c>
      <c r="S47" s="3228"/>
      <c r="T47" s="5981">
        <v>0.53923835808457821</v>
      </c>
      <c r="U47" s="2992">
        <f>+((Q47*Q5)+(S47*S5))/U5</f>
        <v>0</v>
      </c>
      <c r="V47" s="6008">
        <f>+((R47*R5)+(T47*T5))/V5</f>
        <v>0.50508756619610673</v>
      </c>
      <c r="W47" s="3228"/>
      <c r="X47" s="5981">
        <v>0.45600000000000002</v>
      </c>
      <c r="Y47" s="2260">
        <f>+((O47*O5)+(S47*S5)+(W47*W5))/Y5</f>
        <v>0</v>
      </c>
      <c r="Z47" s="2055">
        <f>+((P47*P5)+(T47*T5)+(X47*X5))/Z5</f>
        <v>0.45806856694130871</v>
      </c>
      <c r="AA47" s="6636">
        <f>+((U47*U5)+(W47*W5))/AA5</f>
        <v>0</v>
      </c>
      <c r="AB47" s="6637">
        <f>+((V47*V5)+(X47*X5))/AB5</f>
        <v>0.4958967230803174</v>
      </c>
      <c r="AC47" s="3228"/>
      <c r="AD47" s="5981">
        <v>0.40799999999999997</v>
      </c>
      <c r="AE47" s="2992">
        <f>+((AA47*AA5)+(AC47*AC5))/AE5</f>
        <v>0</v>
      </c>
      <c r="AF47" s="6008">
        <f>+((AB47*AB5)+(AD47*AD5))/AF5</f>
        <v>0.48295942653310253</v>
      </c>
      <c r="AG47" s="3228"/>
      <c r="AH47" s="5981">
        <v>0.38</v>
      </c>
      <c r="AI47" s="2992">
        <f>+((AE47*AE5)+(AG47*AG5))/AI5</f>
        <v>0</v>
      </c>
      <c r="AJ47" s="6008">
        <f>+((AF47*AF5)+(AH47*AH5))/AJ5</f>
        <v>0.4660323349654571</v>
      </c>
      <c r="AK47" s="3228"/>
      <c r="AL47" s="5981">
        <v>0.36499999999999999</v>
      </c>
      <c r="AM47" s="2260">
        <f>+((AC47*AC5)+(AG47*AG5)+(AK47*AK5))/AM5</f>
        <v>0</v>
      </c>
      <c r="AN47" s="2055">
        <f>+((AD47*AD5)+(AH47*AH5)+(AL47*AL5))/AN5</f>
        <v>0.38003267484077063</v>
      </c>
      <c r="AO47" s="2992">
        <f>+((AI47*AI5)+(AK47*AK5))/AO5</f>
        <v>0</v>
      </c>
      <c r="AP47" s="6008">
        <f>+((AJ47*AJ5)+(AL47*AL5))/AP5</f>
        <v>0.44724335724624931</v>
      </c>
      <c r="AQ47" s="3228"/>
      <c r="AR47" s="5981">
        <v>0.38500000000000001</v>
      </c>
      <c r="AS47" s="2992">
        <f>+((AO47*AO5)+(AQ47*AQ5))/AS5</f>
        <v>0</v>
      </c>
      <c r="AT47" s="6008">
        <f>+((AP47*AP5)+(AR47*AR5))/AT5</f>
        <v>0.43887766616060453</v>
      </c>
      <c r="AU47" s="3228"/>
      <c r="AV47" s="5981">
        <v>0.34599999999999997</v>
      </c>
      <c r="AW47" s="2992">
        <f>+((AS47*AS5)+(AU47*AU5))/AW5</f>
        <v>0</v>
      </c>
      <c r="AX47" s="6008">
        <f>+((AT47*AT5)+(AV47*AV5))/AX5</f>
        <v>0.4273068302858497</v>
      </c>
      <c r="AY47" s="3228"/>
      <c r="AZ47" s="5981">
        <v>0.35199999999999998</v>
      </c>
      <c r="BA47" s="2260">
        <f>+((AQ47*AQ5)+(AU47*AU5)+(AY47*AY5))/BA5</f>
        <v>0</v>
      </c>
      <c r="BB47" s="2055">
        <f>+((AR47*AR5)+(AV47*AV5)+(AZ47*AZ5))/BB5</f>
        <v>0.36041847961990497</v>
      </c>
      <c r="BC47" s="2260">
        <f>+((AS47*AS5)+(AW47*AW5)+(BA47*BA5))/BC5</f>
        <v>0</v>
      </c>
      <c r="BD47" s="2055">
        <f>+((AT47*AT5)+(AX47*AX5)+(BB47*BB5))/BD5</f>
        <v>1.3693998280089084</v>
      </c>
      <c r="BE47" s="6636">
        <f>+((AW47*AW5)+(AY47*AY5))/BE5</f>
        <v>0</v>
      </c>
      <c r="BF47" s="6637">
        <f>+((AX47*AX5)+(AZ47*AZ5))/BF5</f>
        <v>0.41863231789183192</v>
      </c>
    </row>
    <row r="48" spans="2:58" x14ac:dyDescent="0.2">
      <c r="B48" s="1531" t="s">
        <v>803</v>
      </c>
      <c r="C48" s="7442"/>
      <c r="D48" s="1545" t="s">
        <v>703</v>
      </c>
      <c r="E48" s="4811">
        <f>+'POWER DISTRIBUTION'!I26</f>
        <v>2119909.9999999679</v>
      </c>
      <c r="F48" s="5600">
        <f>+'POWER DISTRIBUTION'!J26</f>
        <v>2119909.9999999995</v>
      </c>
      <c r="G48" s="4811">
        <f>+'POWER DISTRIBUTION'!K26</f>
        <v>4863979.9999999851</v>
      </c>
      <c r="H48" s="5600">
        <f>+'POWER DISTRIBUTION'!L26</f>
        <v>4863980</v>
      </c>
      <c r="I48" s="1787">
        <f>+E48+G48</f>
        <v>6983889.9999999534</v>
      </c>
      <c r="J48" s="1823">
        <f>+F48+H48</f>
        <v>6983890</v>
      </c>
      <c r="K48" s="4811">
        <f>+'POWER DISTRIBUTION'!O26</f>
        <v>4403154.9999999963</v>
      </c>
      <c r="L48" s="5600">
        <f>+'POWER DISTRIBUTION'!P26</f>
        <v>4403154.9999999963</v>
      </c>
      <c r="M48" s="2260">
        <f>+I48+K48</f>
        <v>11387044.99999995</v>
      </c>
      <c r="N48" s="2888">
        <f>+J48+L48</f>
        <v>11387044.999999996</v>
      </c>
      <c r="O48" s="4811">
        <f>+'POWER DISTRIBUTION'!S26</f>
        <v>4894386.6943866936</v>
      </c>
      <c r="P48" s="5600">
        <f>+'POWER DISTRIBUTION'!T26</f>
        <v>3064690.0000000042</v>
      </c>
      <c r="Q48" s="4809">
        <f>+M48+O48</f>
        <v>16281431.694386642</v>
      </c>
      <c r="R48" s="1823">
        <f>+N48+P48</f>
        <v>14451735</v>
      </c>
      <c r="S48" s="4811">
        <f>+'POWER DISTRIBUTION'!W26</f>
        <v>4516632.0166320158</v>
      </c>
      <c r="T48" s="5600">
        <f>+'POWER DISTRIBUTION'!X26</f>
        <v>4095389.9999999986</v>
      </c>
      <c r="U48" s="4809">
        <f>+Q48+S48</f>
        <v>20798063.711018659</v>
      </c>
      <c r="V48" s="1823">
        <f>+R48+T48</f>
        <v>18547125</v>
      </c>
      <c r="W48" s="4811">
        <f>+'POWER DISTRIBUTION'!AA26</f>
        <v>4762993.7629937623</v>
      </c>
      <c r="X48" s="5600">
        <f>+'POWER DISTRIBUTION'!AB26</f>
        <v>3888609.9999999977</v>
      </c>
      <c r="Y48" s="2879">
        <f>+O48+S48+W48</f>
        <v>14174012.474012472</v>
      </c>
      <c r="Z48" s="4775">
        <f>+P48+T48+X48</f>
        <v>11048690</v>
      </c>
      <c r="AA48" s="6519">
        <f>+U48+W48</f>
        <v>25561057.47401242</v>
      </c>
      <c r="AB48" s="6531">
        <f>+V48+X48</f>
        <v>22435734.999999996</v>
      </c>
      <c r="AC48" s="4811">
        <f>+'POWER DISTRIBUTION'!AG26</f>
        <v>4093264.2487046635</v>
      </c>
      <c r="AD48" s="5600">
        <f>+'POWER DISTRIBUTION'!AH26</f>
        <v>3844684.9999999991</v>
      </c>
      <c r="AE48" s="4809">
        <f>+AA48+AC48</f>
        <v>29654321.722717084</v>
      </c>
      <c r="AF48" s="1823">
        <f>+AB48+AD48</f>
        <v>26280419.999999996</v>
      </c>
      <c r="AG48" s="4811">
        <f>+'POWER DISTRIBUTION'!AK26</f>
        <v>5906089.1191709852</v>
      </c>
      <c r="AH48" s="5600">
        <f>+'POWER DISTRIBUTION'!AL26</f>
        <v>4338508.333333334</v>
      </c>
      <c r="AI48" s="4809">
        <f>+AE48+AG48</f>
        <v>35560410.84188807</v>
      </c>
      <c r="AJ48" s="1823">
        <f>+AF48+AH48</f>
        <v>30618928.333333328</v>
      </c>
      <c r="AK48" s="4811">
        <f>+'POWER DISTRIBUTION'!AO26</f>
        <v>5971712.3316062186</v>
      </c>
      <c r="AL48" s="5600">
        <f>+'POWER DISTRIBUTION'!AP26</f>
        <v>5018993.3333333358</v>
      </c>
      <c r="AM48" s="2879">
        <f>+AC48+AG48+AK48</f>
        <v>15971065.699481867</v>
      </c>
      <c r="AN48" s="4775">
        <f>+AD48+AH48+AL48</f>
        <v>13202186.666666668</v>
      </c>
      <c r="AO48" s="4809">
        <f>+AI48+AK48</f>
        <v>41532123.173494287</v>
      </c>
      <c r="AP48" s="1823">
        <f>+AJ48+AL48</f>
        <v>35637921.666666664</v>
      </c>
      <c r="AQ48" s="4811">
        <f>+'POWER DISTRIBUTION'!AU26</f>
        <v>6015461.1398963714</v>
      </c>
      <c r="AR48" s="5600">
        <f>+'POWER DISTRIBUTION'!AV26</f>
        <v>4628176.6666666633</v>
      </c>
      <c r="AS48" s="4809">
        <f>+AO48+AQ48</f>
        <v>47547584.313390657</v>
      </c>
      <c r="AT48" s="1823">
        <f>+AP48+AR48</f>
        <v>40266098.333333328</v>
      </c>
      <c r="AU48" s="4811">
        <f>+'POWER DISTRIBUTION'!AY26</f>
        <v>5468601.0362592004</v>
      </c>
      <c r="AV48" s="5600">
        <f>+'POWER DISTRIBUTION'!AZ26</f>
        <v>4554140</v>
      </c>
      <c r="AW48" s="4809">
        <f>+AS48+AU48</f>
        <v>53016185.349649861</v>
      </c>
      <c r="AX48" s="1823">
        <f>+AT48+AV48</f>
        <v>44820238.333333328</v>
      </c>
      <c r="AY48" s="4811">
        <f>+'POWER DISTRIBUTION'!BC26</f>
        <v>5986186.1140319994</v>
      </c>
      <c r="AZ48" s="5600">
        <f>+'POWER DISTRIBUTION'!BD26</f>
        <v>5121438.3333333395</v>
      </c>
      <c r="BA48" s="2879">
        <f>+AQ48+AU48+AY48</f>
        <v>17470248.290187571</v>
      </c>
      <c r="BB48" s="4775">
        <f>+AR48+AV48+AZ48</f>
        <v>14303755.000000004</v>
      </c>
      <c r="BC48" s="2879">
        <f t="shared" ref="BC48" si="56">+BA48+AM48</f>
        <v>33441313.989669438</v>
      </c>
      <c r="BD48" s="4775">
        <f t="shared" ref="BD48" si="57">+BB48+AN48</f>
        <v>27505941.666666672</v>
      </c>
      <c r="BE48" s="6519">
        <f>+AW48+AY48</f>
        <v>59002371.463681862</v>
      </c>
      <c r="BF48" s="6531">
        <f>+AX48+AZ48</f>
        <v>49941676.666666672</v>
      </c>
    </row>
    <row r="49" spans="2:58" x14ac:dyDescent="0.2">
      <c r="B49" s="1531" t="s">
        <v>804</v>
      </c>
      <c r="C49" s="7442"/>
      <c r="D49" s="1545" t="s">
        <v>796</v>
      </c>
      <c r="E49" s="3224">
        <f t="shared" ref="E49:AF49" si="58">+E48/E5</f>
        <v>242.62869602519967</v>
      </c>
      <c r="F49" s="6452">
        <f t="shared" si="58"/>
        <v>242.62869595273574</v>
      </c>
      <c r="G49" s="3224">
        <f t="shared" si="58"/>
        <v>106.22454088795084</v>
      </c>
      <c r="H49" s="3177">
        <f t="shared" si="58"/>
        <v>106.224856801687</v>
      </c>
      <c r="I49" s="2794">
        <f t="shared" si="58"/>
        <v>128.08162951013563</v>
      </c>
      <c r="J49" s="2805">
        <f t="shared" si="58"/>
        <v>128.08194938368854</v>
      </c>
      <c r="K49" s="3224">
        <f t="shared" si="58"/>
        <v>99.59991547216525</v>
      </c>
      <c r="L49" s="3177">
        <f t="shared" si="58"/>
        <v>129.86313768320093</v>
      </c>
      <c r="M49" s="2260">
        <f t="shared" si="58"/>
        <v>115.32902981574789</v>
      </c>
      <c r="N49" s="2887">
        <f t="shared" si="58"/>
        <v>128.76487640056828</v>
      </c>
      <c r="O49" s="3224">
        <f t="shared" si="58"/>
        <v>79</v>
      </c>
      <c r="P49" s="7189">
        <f t="shared" si="58"/>
        <v>120.65490152540562</v>
      </c>
      <c r="Q49" s="2794">
        <f t="shared" si="58"/>
        <v>101.3222806078147</v>
      </c>
      <c r="R49" s="2805">
        <f t="shared" si="58"/>
        <v>126.95523832171796</v>
      </c>
      <c r="S49" s="3224">
        <f t="shared" si="58"/>
        <v>79</v>
      </c>
      <c r="T49" s="7189">
        <f t="shared" si="58"/>
        <v>126.06479593653816</v>
      </c>
      <c r="U49" s="2794">
        <f t="shared" si="58"/>
        <v>95.464346523897817</v>
      </c>
      <c r="V49" s="2805">
        <f t="shared" si="58"/>
        <v>126.7575393248998</v>
      </c>
      <c r="W49" s="3224">
        <f t="shared" si="58"/>
        <v>79</v>
      </c>
      <c r="X49" s="7189">
        <f t="shared" si="58"/>
        <v>115.36483865815183</v>
      </c>
      <c r="Y49" s="2260">
        <f t="shared" si="58"/>
        <v>79</v>
      </c>
      <c r="Z49" s="2887">
        <f t="shared" si="58"/>
        <v>120.62690235758352</v>
      </c>
      <c r="AA49" s="6612">
        <f t="shared" si="58"/>
        <v>91.895618842944998</v>
      </c>
      <c r="AB49" s="6671">
        <f t="shared" si="58"/>
        <v>124.624442644675</v>
      </c>
      <c r="AC49" s="3224">
        <f t="shared" si="58"/>
        <v>79</v>
      </c>
      <c r="AD49" s="7189">
        <f t="shared" si="58"/>
        <v>123.73894614121225</v>
      </c>
      <c r="AE49" s="2794">
        <f t="shared" si="58"/>
        <v>89.870666316986643</v>
      </c>
      <c r="AF49" s="2805">
        <f t="shared" si="58"/>
        <v>124.49410865206015</v>
      </c>
      <c r="AG49" s="3224">
        <f t="shared" ref="AG49:AP49" si="59">+AG48/AG5</f>
        <v>79</v>
      </c>
      <c r="AH49" s="7189">
        <f t="shared" si="59"/>
        <v>104.45669988183506</v>
      </c>
      <c r="AI49" s="2794">
        <f t="shared" si="59"/>
        <v>87.862652893348269</v>
      </c>
      <c r="AJ49" s="2805">
        <f t="shared" si="59"/>
        <v>121.19984930687146</v>
      </c>
      <c r="AK49" s="3224">
        <f t="shared" si="59"/>
        <v>79</v>
      </c>
      <c r="AL49" s="7189">
        <f t="shared" si="59"/>
        <v>86.961373649388975</v>
      </c>
      <c r="AM49" s="2260">
        <f t="shared" si="59"/>
        <v>79</v>
      </c>
      <c r="AN49" s="2887">
        <f t="shared" si="59"/>
        <v>101.30577683279577</v>
      </c>
      <c r="AO49" s="2794">
        <f t="shared" si="59"/>
        <v>86.46787144338262</v>
      </c>
      <c r="AP49" s="2805">
        <f t="shared" si="59"/>
        <v>114.83252189146505</v>
      </c>
      <c r="AQ49" s="3224">
        <f t="shared" ref="AQ49:AT49" si="60">+AQ48/AQ5</f>
        <v>78.999999999999986</v>
      </c>
      <c r="AR49" s="7189">
        <f t="shared" si="60"/>
        <v>96.043817440510921</v>
      </c>
      <c r="AS49" s="2794">
        <f t="shared" si="60"/>
        <v>85.445986783272517</v>
      </c>
      <c r="AT49" s="2805">
        <f t="shared" si="60"/>
        <v>112.30726450995334</v>
      </c>
      <c r="AU49" s="3224">
        <f t="shared" ref="AU49:AX49" si="61">+AU48/AU5</f>
        <v>78.999769386752959</v>
      </c>
      <c r="AV49" s="7189">
        <f t="shared" si="61"/>
        <v>89.255908284122427</v>
      </c>
      <c r="AW49" s="2794">
        <f t="shared" si="61"/>
        <v>84.732807880904943</v>
      </c>
      <c r="AX49" s="2805">
        <f t="shared" si="61"/>
        <v>109.43549274171814</v>
      </c>
      <c r="AY49" s="3224">
        <f t="shared" ref="AY49:BF49" si="62">+AY48/AY5</f>
        <v>78.999486823253037</v>
      </c>
      <c r="AZ49" s="7189">
        <f t="shared" si="62"/>
        <v>96.054083617129194</v>
      </c>
      <c r="BA49" s="2260">
        <f t="shared" si="62"/>
        <v>78.999751971848426</v>
      </c>
      <c r="BB49" s="2887">
        <f t="shared" si="62"/>
        <v>93.776754188022664</v>
      </c>
      <c r="BC49" s="2260">
        <f t="shared" ref="BC49:BD49" si="63">+BC48/BC5</f>
        <v>78.999870426147439</v>
      </c>
      <c r="BD49" s="2887">
        <f t="shared" si="63"/>
        <v>97.245672124142899</v>
      </c>
      <c r="BE49" s="6612">
        <f t="shared" si="62"/>
        <v>84.113469085871898</v>
      </c>
      <c r="BF49" s="6671">
        <f t="shared" si="62"/>
        <v>107.89410268639297</v>
      </c>
    </row>
    <row r="50" spans="2:58" ht="15" customHeight="1" x14ac:dyDescent="0.2">
      <c r="B50" s="1531" t="s">
        <v>805</v>
      </c>
      <c r="C50" s="7442"/>
      <c r="D50" s="1545" t="s">
        <v>797</v>
      </c>
      <c r="E50" s="3231"/>
      <c r="F50" s="3851">
        <v>0</v>
      </c>
      <c r="G50" s="3231"/>
      <c r="H50" s="2067">
        <v>1.4544220430107526</v>
      </c>
      <c r="I50" s="2796">
        <f>+((E50*E$2)+(G50*G$2))/I$2</f>
        <v>0</v>
      </c>
      <c r="J50" s="2068">
        <f>+((F50*F$2)+(H50*H$2))/J$2</f>
        <v>0.73913251366120214</v>
      </c>
      <c r="K50" s="3231"/>
      <c r="L50" s="2067">
        <v>1.9559722222222222</v>
      </c>
      <c r="M50" s="3054">
        <f>+((I50*I$2)+(K50*K$2))/M$2</f>
        <v>0</v>
      </c>
      <c r="N50" s="6039">
        <f>+((J50*J$2)+(L50*L$2))/N$2</f>
        <v>1.1402884615384616</v>
      </c>
      <c r="O50" s="3231"/>
      <c r="P50" s="6453">
        <f>+(981.39/P$2)/24</f>
        <v>1.3190725806451613</v>
      </c>
      <c r="Q50" s="2796">
        <f>+((M50*M$2)+(O50*O$2))/Q$2</f>
        <v>0</v>
      </c>
      <c r="R50" s="2068">
        <f>+((N50*N$2)+(P50*P$2))/R$2</f>
        <v>1.1857172131147544</v>
      </c>
      <c r="S50" s="3231"/>
      <c r="T50" s="6453">
        <f>+(231.92/T$2)/24</f>
        <v>0.31172043010752687</v>
      </c>
      <c r="U50" s="2796">
        <f>+((Q50*Q$2)+(S50*S$2))/U$2</f>
        <v>0</v>
      </c>
      <c r="V50" s="2068">
        <f>+((R50*R$2)+(T50*T$2))/V$2</f>
        <v>1.008632897603486</v>
      </c>
      <c r="W50" s="3231"/>
      <c r="X50" s="6453">
        <f>+(636.3/X$2)/24</f>
        <v>0.88374999999999992</v>
      </c>
      <c r="Y50" s="3054">
        <f>+((O50*O$2)+(S50*S$2)+(W50*W$2))/Y$2</f>
        <v>0</v>
      </c>
      <c r="Z50" s="6039">
        <f>+((P50*P$2)+(T50*T$2)+(X50*X$2))/Z$2</f>
        <v>0.83768568840579705</v>
      </c>
      <c r="AA50" s="6638">
        <f>+((U50*U$2)+(W50*W$2))/AA$2</f>
        <v>0</v>
      </c>
      <c r="AB50" s="6639">
        <f>+((V50*V$2)+(X50*X$2))/AB$2</f>
        <v>0.98816029143897999</v>
      </c>
      <c r="AC50" s="3231"/>
      <c r="AD50" s="6453">
        <f>+(744.9/AD$2)/24</f>
        <v>1.0012096774193548</v>
      </c>
      <c r="AE50" s="2796">
        <f>+((AA50*AA$2)+(AC50*AC$2))/AE$2</f>
        <v>0</v>
      </c>
      <c r="AF50" s="2068">
        <f>+((AB50*AB$2)+(AD50*AD$2))/AF$2</f>
        <v>0.99005062305295954</v>
      </c>
      <c r="AG50" s="3231"/>
      <c r="AH50" s="6453">
        <f>+(1085.58/AH$2)/24</f>
        <v>1.5077499999999999</v>
      </c>
      <c r="AI50" s="2796">
        <f>+((AE50*AE$2)+(AG50*AG$2))/AI$2</f>
        <v>0</v>
      </c>
      <c r="AJ50" s="2068">
        <f>+((AF50*AF$2)+(AH50*AH$2))/AJ$2</f>
        <v>1.0537021857923499</v>
      </c>
      <c r="AK50" s="3231"/>
      <c r="AL50" s="6453">
        <f>+(1459.4/AL$2)/24</f>
        <v>1.9615591397849463</v>
      </c>
      <c r="AM50" s="3054">
        <f>+((AC50*AC$2)+(AG50*AG$2)+(AK50*AK$2))/AM$2</f>
        <v>0</v>
      </c>
      <c r="AN50" s="6039">
        <f>+((AD50*AD$2)+(AH50*AH$2)+(AL50*AL$2))/AN$2</f>
        <v>1.4899818840579708</v>
      </c>
      <c r="AO50" s="2796">
        <f>+((AI50*AI$2)+(AK50*AK$2))/AO$2</f>
        <v>0</v>
      </c>
      <c r="AP50" s="2068">
        <f>+((AJ50*AJ$2)+(AL50*AL$2))/AP$2</f>
        <v>1.1560424242424243</v>
      </c>
      <c r="AQ50" s="3231"/>
      <c r="AR50" s="6453">
        <f>+(1050.25/AR$2)/24</f>
        <v>1.4116263440860217</v>
      </c>
      <c r="AS50" s="2796">
        <f>+((AO50*AO$2)+(AQ50*AQ$2))/AS$2</f>
        <v>0</v>
      </c>
      <c r="AT50" s="2068">
        <f>+((AP50*AP$2)+(AR50*AR$2))/AT$2</f>
        <v>1.1819349128540306</v>
      </c>
      <c r="AU50" s="3231"/>
      <c r="AV50" s="6453">
        <f>+(1082.5/AV$2)/24</f>
        <v>1.6108630952380951</v>
      </c>
      <c r="AW50" s="2796">
        <f>+((AS50*AS$2)+(AU50*AU$2))/AW$2</f>
        <v>0</v>
      </c>
      <c r="AX50" s="2068">
        <f>+((AT50*AT$2)+(AV50*AV$2))/AX$2</f>
        <v>1.2178929640718565</v>
      </c>
      <c r="AY50" s="3231"/>
      <c r="AZ50" s="6453">
        <f>+(1004.6/AZ$2)/24</f>
        <v>1.3502688172043011</v>
      </c>
      <c r="BA50" s="3054">
        <f>+((AQ50*AQ$2)+(AU50*AU$2)+(AY50*AY$2))/BA$2</f>
        <v>0</v>
      </c>
      <c r="BB50" s="6039">
        <f>+((AR50*AR$2)+(AV50*AV$2)+(AZ50*AZ$2))/BB$2</f>
        <v>1.4524768518518518</v>
      </c>
      <c r="BC50" s="3054">
        <f>+((AS50*AS$2)+(AW50*AW$2)+(BA50*BA$2))/BC$2</f>
        <v>0</v>
      </c>
      <c r="BD50" s="6039">
        <f>+((AN50*AN$2)+(BB50*BB$2))/BD$2</f>
        <v>1.4714354395604394</v>
      </c>
      <c r="BE50" s="6638">
        <f>+((AW50*AW$2)+(AY50*AY$2))/BE$2</f>
        <v>0</v>
      </c>
      <c r="BF50" s="6639">
        <f>+((AX50*AX$2)+(AZ50*AZ$2))/BF$2</f>
        <v>1.2291358447488587</v>
      </c>
    </row>
    <row r="51" spans="2:58" x14ac:dyDescent="0.2">
      <c r="B51" s="1531" t="s">
        <v>806</v>
      </c>
      <c r="C51" s="7442"/>
      <c r="D51" s="1545" t="s">
        <v>797</v>
      </c>
      <c r="E51" s="3231"/>
      <c r="F51" s="3851">
        <v>3.3031805555555551</v>
      </c>
      <c r="G51" s="3231"/>
      <c r="H51" s="2067">
        <v>10.693669354838709</v>
      </c>
      <c r="I51" s="2794">
        <f t="shared" ref="I51:J52" si="64">+((E51*E$2)+(G51*G$2))/I$2</f>
        <v>0</v>
      </c>
      <c r="J51" s="1861">
        <f t="shared" si="64"/>
        <v>7.0590027322404367</v>
      </c>
      <c r="K51" s="3231"/>
      <c r="L51" s="2067">
        <v>5.9520833333333334</v>
      </c>
      <c r="M51" s="2260">
        <f t="shared" ref="M51:M52" si="65">+((I51*I$2)+(K51*K$2))/M$2</f>
        <v>0</v>
      </c>
      <c r="N51" s="2055">
        <f t="shared" ref="N51:N52" si="66">+((J51*J$2)+(L51*L$2))/N$2</f>
        <v>6.6940842490842485</v>
      </c>
      <c r="O51" s="3231"/>
      <c r="P51" s="6453">
        <f>+(2584.11/P$2)/24</f>
        <v>3.473266129032258</v>
      </c>
      <c r="Q51" s="2794">
        <f t="shared" ref="Q51:Q52" si="67">+((M51*M$2)+(O51*O$2))/Q$2</f>
        <v>0</v>
      </c>
      <c r="R51" s="1861">
        <f t="shared" ref="R51:R52" si="68">+((N51*N$2)+(P51*P$2))/R$2</f>
        <v>5.8756796448087432</v>
      </c>
      <c r="S51" s="3231"/>
      <c r="T51" s="6453">
        <f>+(5762.06/T$2)/24</f>
        <v>7.7447043010752692</v>
      </c>
      <c r="U51" s="2794">
        <f t="shared" ref="U51:U52" si="69">+((Q51*Q$2)+(S51*S$2))/U$2</f>
        <v>0</v>
      </c>
      <c r="V51" s="1861">
        <f t="shared" ref="V51:V52" si="70">+((R51*R$2)+(T51*T$2))/V$2</f>
        <v>6.2543709150326796</v>
      </c>
      <c r="W51" s="3231"/>
      <c r="X51" s="6453">
        <f>+(4683.6/X$2)/24</f>
        <v>6.5049999999999999</v>
      </c>
      <c r="Y51" s="3054">
        <f t="shared" ref="Y51:Y52" si="71">+((O51*O$2)+(S51*S$2)+(W51*W$2))/Y$2</f>
        <v>0</v>
      </c>
      <c r="Z51" s="6039">
        <f t="shared" ref="Z51:Z52" si="72">+((P51*P$2)+(T51*T$2)+(X51*X$2))/Z$2</f>
        <v>5.9011639492753627</v>
      </c>
      <c r="AA51" s="6612">
        <f t="shared" ref="AA51:AA52" si="73">+((U51*U$2)+(W51*W$2))/AA$2</f>
        <v>0</v>
      </c>
      <c r="AB51" s="6635">
        <f t="shared" ref="AB51:AB52" si="74">+((V51*V$2)+(X51*X$2))/AB$2</f>
        <v>6.2954576502732236</v>
      </c>
      <c r="AC51" s="3231"/>
      <c r="AD51" s="6453">
        <f>+(3636.8/AD$2)/24</f>
        <v>4.8881720430107531</v>
      </c>
      <c r="AE51" s="2794">
        <f t="shared" ref="AE51:AE52" si="75">+((AA51*AA$2)+(AC51*AC$2))/AE$2</f>
        <v>0</v>
      </c>
      <c r="AF51" s="1861">
        <f t="shared" ref="AF51:AF52" si="76">+((AB51*AB$2)+(AD51*AD$2))/AF$2</f>
        <v>6.0915985202492209</v>
      </c>
      <c r="AG51" s="3231"/>
      <c r="AH51" s="6453">
        <f>+(4451.53/AH$2)/24</f>
        <v>6.1826805555555557</v>
      </c>
      <c r="AI51" s="2794">
        <f t="shared" ref="AI51:AI52" si="77">+((AE51*AE$2)+(AG51*AG$2))/AI$2</f>
        <v>0</v>
      </c>
      <c r="AJ51" s="1861">
        <f t="shared" ref="AJ51:AJ52" si="78">+((AF51*AF$2)+(AH51*AH$2))/AJ$2</f>
        <v>6.1027971311475406</v>
      </c>
      <c r="AK51" s="3231"/>
      <c r="AL51" s="6453">
        <f>+(5833.63/AL$2)/24</f>
        <v>7.8409005376344085</v>
      </c>
      <c r="AM51" s="3054">
        <f t="shared" ref="AM51:AM52" si="79">+((AC51*AC$2)+(AG51*AG$2)+(AK51*AK$2))/AM$2</f>
        <v>0</v>
      </c>
      <c r="AN51" s="6039">
        <f t="shared" ref="AN51:AN52" si="80">+((AD51*AD$2)+(AH51*AH$2)+(AL51*AL$2))/AN$2</f>
        <v>6.305235507246377</v>
      </c>
      <c r="AO51" s="2794">
        <f t="shared" ref="AO51:AO52" si="81">+((AI51*AI$2)+(AK51*AK$2))/AO$2</f>
        <v>0</v>
      </c>
      <c r="AP51" s="1861">
        <f t="shared" ref="AP51:AP52" si="82">+((AJ51*AJ$2)+(AL51*AL$2))/AP$2</f>
        <v>6.2987287878787876</v>
      </c>
      <c r="AQ51" s="3231"/>
      <c r="AR51" s="6453">
        <f>+(5255.3/AR$2)/24</f>
        <v>7.0635752688172042</v>
      </c>
      <c r="AS51" s="2794">
        <f t="shared" ref="AS51:AS52" si="83">+((AO51*AO$2)+(AQ51*AQ$2))/AS$2</f>
        <v>0</v>
      </c>
      <c r="AT51" s="1861">
        <f t="shared" ref="AT51:AT52" si="84">+((AP51*AP$2)+(AR51*AR$2))/AT$2</f>
        <v>6.3762132352941174</v>
      </c>
      <c r="AU51" s="3231"/>
      <c r="AV51" s="6453">
        <f>+(5039/AV$2)/24</f>
        <v>7.4985119047619051</v>
      </c>
      <c r="AW51" s="2794">
        <f t="shared" ref="AW51:AW52" si="85">+((AS51*AS$2)+(AU51*AU$2))/AW$2</f>
        <v>0</v>
      </c>
      <c r="AX51" s="1861">
        <f t="shared" ref="AX51:AX52" si="86">+((AT51*AT$2)+(AV51*AV$2))/AX$2</f>
        <v>6.4702981536926147</v>
      </c>
      <c r="AY51" s="3231"/>
      <c r="AZ51" s="6453">
        <f>+(5341.1/AZ$2)/24</f>
        <v>7.1788978494623663</v>
      </c>
      <c r="BA51" s="3054">
        <f t="shared" ref="BA51:BA52" si="87">+((AQ51*AQ$2)+(AU51*AU$2)+(AY51*AY$2))/BA$2</f>
        <v>0</v>
      </c>
      <c r="BB51" s="6039">
        <f t="shared" ref="BB51:BB52" si="88">+((AR51*AR$2)+(AV51*AV$2)+(AZ51*AZ$2))/BB$2</f>
        <v>7.2386111111111111</v>
      </c>
      <c r="BC51" s="3054">
        <f t="shared" ref="BC51:BC52" si="89">+((AS51*AS$2)+(AW51*AW$2)+(BA51*BA$2))/BC$2</f>
        <v>0</v>
      </c>
      <c r="BD51" s="6039">
        <f>+((AN51*AN$2)+(BB51*BB$2))/BD$2</f>
        <v>6.7667948717948727</v>
      </c>
      <c r="BE51" s="6612">
        <f t="shared" ref="BE51:BE52" si="90">+((AW51*AW$2)+(AY51*AY$2))/BE$2</f>
        <v>0</v>
      </c>
      <c r="BF51" s="6635">
        <f t="shared" ref="BF51:BF52" si="91">+((AX51*AX$2)+(AZ51*AZ$2))/BF$2</f>
        <v>6.5304805936073063</v>
      </c>
    </row>
    <row r="52" spans="2:58" x14ac:dyDescent="0.2">
      <c r="B52" s="1531" t="s">
        <v>807</v>
      </c>
      <c r="C52" s="7442"/>
      <c r="D52" s="1545" t="s">
        <v>797</v>
      </c>
      <c r="E52" s="3231"/>
      <c r="F52" s="3851">
        <v>0.98468055555555567</v>
      </c>
      <c r="G52" s="3231"/>
      <c r="H52" s="2067">
        <v>2.2467741935483869</v>
      </c>
      <c r="I52" s="2794">
        <f t="shared" si="64"/>
        <v>0</v>
      </c>
      <c r="J52" s="1861">
        <f t="shared" si="64"/>
        <v>1.6260724043715846</v>
      </c>
      <c r="K52" s="3231"/>
      <c r="L52" s="2067">
        <v>0.80593749999999986</v>
      </c>
      <c r="M52" s="2260">
        <f t="shared" si="65"/>
        <v>0</v>
      </c>
      <c r="N52" s="2055">
        <f t="shared" si="66"/>
        <v>1.3556982600732599</v>
      </c>
      <c r="O52" s="3231"/>
      <c r="P52" s="6453">
        <f>+(319.143/P$2)/24</f>
        <v>0.42895564516129031</v>
      </c>
      <c r="Q52" s="2794">
        <f t="shared" si="67"/>
        <v>0</v>
      </c>
      <c r="R52" s="1861">
        <f t="shared" si="68"/>
        <v>1.1202144808743166</v>
      </c>
      <c r="S52" s="3231"/>
      <c r="T52" s="6453">
        <f>+(1416.942/T$2)/24</f>
        <v>1.904491935483871</v>
      </c>
      <c r="U52" s="2794">
        <f t="shared" si="69"/>
        <v>0</v>
      </c>
      <c r="V52" s="1861">
        <f t="shared" si="70"/>
        <v>1.2791203703703702</v>
      </c>
      <c r="W52" s="3231"/>
      <c r="X52" s="6453">
        <f>+(1048.219/X$2)/24</f>
        <v>1.4558597222222225</v>
      </c>
      <c r="Y52" s="3054">
        <f t="shared" si="71"/>
        <v>0</v>
      </c>
      <c r="Z52" s="6039">
        <f t="shared" si="72"/>
        <v>1.2610072463768118</v>
      </c>
      <c r="AA52" s="6612">
        <f t="shared" si="73"/>
        <v>0</v>
      </c>
      <c r="AB52" s="6635">
        <f t="shared" si="74"/>
        <v>1.3080940346083787</v>
      </c>
      <c r="AC52" s="3231"/>
      <c r="AD52" s="6453">
        <f>+(775.368/AD$2)/24</f>
        <v>1.0421612903225808</v>
      </c>
      <c r="AE52" s="2794">
        <f t="shared" si="75"/>
        <v>0</v>
      </c>
      <c r="AF52" s="1861">
        <f t="shared" si="76"/>
        <v>1.269571066978193</v>
      </c>
      <c r="AG52" s="3231"/>
      <c r="AH52" s="6453">
        <f>+(885.88/AH$2)/24</f>
        <v>1.230388888888889</v>
      </c>
      <c r="AI52" s="2794">
        <f t="shared" si="77"/>
        <v>0</v>
      </c>
      <c r="AJ52" s="1861">
        <f t="shared" si="78"/>
        <v>1.2647535860655739</v>
      </c>
      <c r="AK52" s="3231"/>
      <c r="AL52" s="6453">
        <f>+(1193.448/AL$2)/24</f>
        <v>1.6040967741935486</v>
      </c>
      <c r="AM52" s="3054">
        <f t="shared" si="79"/>
        <v>0</v>
      </c>
      <c r="AN52" s="6039">
        <f t="shared" si="80"/>
        <v>1.2928876811594205</v>
      </c>
      <c r="AO52" s="2794">
        <f t="shared" si="81"/>
        <v>0</v>
      </c>
      <c r="AP52" s="1861">
        <f t="shared" si="82"/>
        <v>1.3030068181818182</v>
      </c>
      <c r="AQ52" s="3231"/>
      <c r="AR52" s="6453">
        <f>+(1158.177/AR$2)/24</f>
        <v>1.5566895161290322</v>
      </c>
      <c r="AS52" s="2794">
        <f t="shared" si="83"/>
        <v>0</v>
      </c>
      <c r="AT52" s="1861">
        <f t="shared" si="84"/>
        <v>1.3287066993464052</v>
      </c>
      <c r="AU52" s="3231"/>
      <c r="AV52" s="6453">
        <f>+(1051.432/AV$2)/24</f>
        <v>1.5646309523809523</v>
      </c>
      <c r="AW52" s="2794">
        <f t="shared" si="85"/>
        <v>0</v>
      </c>
      <c r="AX52" s="1861">
        <f t="shared" si="86"/>
        <v>1.3484847804391218</v>
      </c>
      <c r="AY52" s="3231"/>
      <c r="AZ52" s="6453">
        <f>+(1184.117/AZ$2)/24</f>
        <v>1.5915551075268815</v>
      </c>
      <c r="BA52" s="3054">
        <f t="shared" si="87"/>
        <v>0</v>
      </c>
      <c r="BB52" s="6039">
        <f t="shared" si="88"/>
        <v>1.5711694444444442</v>
      </c>
      <c r="BC52" s="3054">
        <f t="shared" si="89"/>
        <v>0</v>
      </c>
      <c r="BD52" s="6039">
        <f>+((AN52*AN$2)+(BB52*BB$2))/BD$2</f>
        <v>1.4304995421245421</v>
      </c>
      <c r="BE52" s="6612">
        <f t="shared" si="90"/>
        <v>0</v>
      </c>
      <c r="BF52" s="6635">
        <f t="shared" si="91"/>
        <v>1.369129109589041</v>
      </c>
    </row>
    <row r="53" spans="2:58" ht="16" thickBot="1" x14ac:dyDescent="0.25">
      <c r="B53" s="1569" t="s">
        <v>808</v>
      </c>
      <c r="C53" s="7443"/>
      <c r="D53" s="1577" t="s">
        <v>1220</v>
      </c>
      <c r="E53" s="3225">
        <f t="shared" ref="E53:J53" si="92">+E34/E45</f>
        <v>106.07200105111023</v>
      </c>
      <c r="F53" s="5599">
        <f t="shared" si="92"/>
        <v>60.194904933515588</v>
      </c>
      <c r="G53" s="3225">
        <f t="shared" si="92"/>
        <v>121.01882613510521</v>
      </c>
      <c r="H53" s="3915">
        <f t="shared" si="92"/>
        <v>119.57290963800493</v>
      </c>
      <c r="I53" s="2795">
        <f t="shared" si="92"/>
        <v>118.41746129747776</v>
      </c>
      <c r="J53" s="3916">
        <f t="shared" si="92"/>
        <v>103.63565591541308</v>
      </c>
      <c r="K53" s="3225">
        <f t="shared" ref="K53:N53" si="93">+K34/K45</f>
        <v>77.774074074074079</v>
      </c>
      <c r="L53" s="3915">
        <f t="shared" si="93"/>
        <v>103.92579602392112</v>
      </c>
      <c r="M53" s="2880">
        <f t="shared" si="93"/>
        <v>95.960483367611104</v>
      </c>
      <c r="N53" s="3917">
        <f t="shared" si="93"/>
        <v>103.74659676156729</v>
      </c>
      <c r="O53" s="3225">
        <f t="shared" ref="O53" si="94">+O34/O45</f>
        <v>104.56140350877193</v>
      </c>
      <c r="P53" s="5599">
        <f t="shared" ref="P53:R53" si="95">+P34/P45</f>
        <v>123.05400865360144</v>
      </c>
      <c r="Q53" s="2795">
        <f t="shared" si="95"/>
        <v>99.128901125178544</v>
      </c>
      <c r="R53" s="3916">
        <f t="shared" si="95"/>
        <v>107.51885328780521</v>
      </c>
      <c r="S53" s="3225">
        <f>+S34/S45</f>
        <v>94.827586206896555</v>
      </c>
      <c r="T53" s="5599">
        <f>+T34/T45</f>
        <v>108.42100352112679</v>
      </c>
      <c r="U53" s="2795">
        <f t="shared" ref="U53:V53" si="96">+U34/U45</f>
        <v>97.9561699987308</v>
      </c>
      <c r="V53" s="3916">
        <f t="shared" si="96"/>
        <v>107.71754578707235</v>
      </c>
      <c r="W53" s="3225">
        <f>+W34/W45</f>
        <v>107.4074074074074</v>
      </c>
      <c r="X53" s="5599">
        <f>+X34/X45</f>
        <v>119.65531914893616</v>
      </c>
      <c r="Y53" s="2880">
        <f t="shared" ref="Y53:Z53" si="97">+Y34/Y45</f>
        <v>102.1301775147929</v>
      </c>
      <c r="Z53" s="3917">
        <f t="shared" si="97"/>
        <v>116.27345174262734</v>
      </c>
      <c r="AA53" s="6640">
        <f t="shared" ref="AA53:AB53" si="98">+AA34/AA45</f>
        <v>99.869583962868958</v>
      </c>
      <c r="AB53" s="6672">
        <f t="shared" si="98"/>
        <v>109.75613598851039</v>
      </c>
      <c r="AC53" s="3225">
        <f>+AC34/AC45</f>
        <v>96.15384615384616</v>
      </c>
      <c r="AD53" s="5599">
        <f>+AD34/AD45</f>
        <v>128.33573453514572</v>
      </c>
      <c r="AE53" s="2795">
        <f t="shared" ref="AE53:AF53" si="99">+AE34/AE45</f>
        <v>99.263372561815459</v>
      </c>
      <c r="AF53" s="3916">
        <f t="shared" si="99"/>
        <v>112.14360025780176</v>
      </c>
      <c r="AG53" s="3225">
        <f>+AG34/AG45</f>
        <v>133.6</v>
      </c>
      <c r="AH53" s="5599">
        <f>+AH34/AH45</f>
        <v>122.9893336803748</v>
      </c>
      <c r="AI53" s="2795">
        <f t="shared" ref="AI53:AJ53" si="100">+AI34/AI45</f>
        <v>104.23794640102381</v>
      </c>
      <c r="AJ53" s="3916">
        <f t="shared" si="100"/>
        <v>113.79362155398397</v>
      </c>
      <c r="AK53" s="3225">
        <f>+AK34/AK45</f>
        <v>133.60000000000002</v>
      </c>
      <c r="AL53" s="5599">
        <f>+AL34/AL45</f>
        <v>139.65778114350624</v>
      </c>
      <c r="AM53" s="2880">
        <f t="shared" ref="AM53:AP53" si="101">+AM34/AM45</f>
        <v>121.47546699875467</v>
      </c>
      <c r="AN53" s="3917">
        <f t="shared" si="101"/>
        <v>131.26878172588835</v>
      </c>
      <c r="AO53" s="2795">
        <f t="shared" si="101"/>
        <v>107.98953036405037</v>
      </c>
      <c r="AP53" s="3916">
        <f t="shared" si="101"/>
        <v>117.89101827537027</v>
      </c>
      <c r="AQ53" s="3225">
        <f>+AQ34/AQ45</f>
        <v>153.08333333333334</v>
      </c>
      <c r="AR53" s="5599">
        <f>+AR34/AR45</f>
        <v>136.06588130914827</v>
      </c>
      <c r="AS53" s="2795">
        <f t="shared" ref="AS53:AT53" si="102">+AS34/AS45</f>
        <v>112.54320463003677</v>
      </c>
      <c r="AT53" s="3916">
        <f t="shared" si="102"/>
        <v>120.0558763782394</v>
      </c>
      <c r="AU53" s="3225">
        <f>+AU34/AU45</f>
        <v>139.16666666666666</v>
      </c>
      <c r="AV53" s="5599">
        <f>+AV34/AV45</f>
        <v>136.462993006993</v>
      </c>
      <c r="AW53" s="2795">
        <f t="shared" ref="AW53:AX53" si="103">+AW34/AW45</f>
        <v>114.98511267247689</v>
      </c>
      <c r="AX53" s="3916">
        <f t="shared" si="103"/>
        <v>121.89099991656933</v>
      </c>
      <c r="AY53" s="3225">
        <f>+AY34/AY45</f>
        <v>152.33833333333331</v>
      </c>
      <c r="AZ53" s="5599">
        <f>+AZ34/AZ45</f>
        <v>127.26022179483977</v>
      </c>
      <c r="BA53" s="2880">
        <f t="shared" ref="BA53:BF53" si="104">+BA34/BA45</f>
        <v>148.19611111111109</v>
      </c>
      <c r="BB53" s="3917">
        <f t="shared" si="104"/>
        <v>132.97870596500618</v>
      </c>
      <c r="BC53" s="2880">
        <f t="shared" ref="BC53:BD53" si="105">+BC34/BC45</f>
        <v>443.23961917268548</v>
      </c>
      <c r="BD53" s="3917">
        <f t="shared" si="105"/>
        <v>132.1867282413659</v>
      </c>
      <c r="BE53" s="6640">
        <f t="shared" si="104"/>
        <v>118.12331905672895</v>
      </c>
      <c r="BF53" s="6672">
        <f t="shared" si="104"/>
        <v>122.48869035978987</v>
      </c>
    </row>
    <row r="54" spans="2:58" s="3380" customFormat="1" x14ac:dyDescent="0.2">
      <c r="E54" s="4408"/>
      <c r="F54" s="3453"/>
      <c r="G54" s="4408"/>
      <c r="H54" s="3453"/>
      <c r="I54" s="4408"/>
      <c r="J54" s="3453"/>
      <c r="K54" s="4408"/>
      <c r="L54" s="3453"/>
      <c r="M54" s="4408"/>
      <c r="N54" s="3453"/>
      <c r="O54" s="4408"/>
      <c r="P54" s="3453"/>
      <c r="Q54" s="4408"/>
      <c r="R54" s="3453"/>
      <c r="S54" s="4408"/>
      <c r="T54" s="3453"/>
      <c r="U54" s="4408"/>
      <c r="V54" s="3453"/>
      <c r="W54" s="4408"/>
      <c r="X54" s="3453"/>
      <c r="Y54" s="4408"/>
      <c r="Z54" s="3453"/>
      <c r="AA54" s="4408"/>
      <c r="AB54" s="3453"/>
      <c r="AC54" s="4408"/>
      <c r="AD54" s="3453"/>
      <c r="AE54" s="4408"/>
      <c r="AF54" s="3453"/>
      <c r="AG54" s="4408"/>
      <c r="AH54" s="3453"/>
      <c r="AI54" s="4408"/>
      <c r="AJ54" s="3453"/>
      <c r="AK54" s="4408"/>
      <c r="AL54" s="3453"/>
      <c r="AM54" s="4408"/>
      <c r="AN54" s="3453"/>
      <c r="AO54" s="4408"/>
      <c r="AP54" s="3453"/>
      <c r="AQ54" s="4408"/>
      <c r="AR54" s="3453"/>
      <c r="AS54" s="4408"/>
      <c r="AT54" s="3453"/>
      <c r="BA54" s="4408"/>
      <c r="BB54" s="3453"/>
      <c r="BC54" s="4408"/>
      <c r="BD54" s="3453"/>
      <c r="BE54" s="4408"/>
      <c r="BF54" s="3453"/>
    </row>
    <row r="55" spans="2:58" x14ac:dyDescent="0.2">
      <c r="B55" s="3938" t="s">
        <v>2115</v>
      </c>
      <c r="C55" s="7428"/>
      <c r="D55" s="1545" t="s">
        <v>170</v>
      </c>
      <c r="E55" s="6300"/>
      <c r="F55" s="6084">
        <v>376.98</v>
      </c>
      <c r="G55" s="6300"/>
      <c r="H55" s="5866">
        <v>478.53</v>
      </c>
      <c r="I55" s="5868"/>
      <c r="J55" s="1823">
        <f>+F55+H55</f>
        <v>855.51</v>
      </c>
      <c r="K55" s="6300"/>
      <c r="L55" s="5866">
        <v>572.6</v>
      </c>
      <c r="M55" s="5870"/>
      <c r="N55" s="2011">
        <f>+J55+L55</f>
        <v>1428.1100000000001</v>
      </c>
      <c r="O55" s="5864"/>
      <c r="P55" s="5866">
        <v>511.25</v>
      </c>
      <c r="Q55" s="5868"/>
      <c r="R55" s="1823">
        <f>+N55+P55</f>
        <v>1939.3600000000001</v>
      </c>
      <c r="S55" s="6300"/>
      <c r="T55" s="6084">
        <v>274</v>
      </c>
      <c r="U55" s="5868"/>
      <c r="V55" s="1823">
        <f>+R55+T55</f>
        <v>2213.36</v>
      </c>
      <c r="W55" s="6300"/>
      <c r="X55" s="6084">
        <v>529.70000000000005</v>
      </c>
      <c r="Y55" s="5870"/>
      <c r="Z55" s="2250">
        <f t="shared" ref="Z55:Z56" si="106">+P55+T55+X55</f>
        <v>1314.95</v>
      </c>
      <c r="AA55" s="6641"/>
      <c r="AB55" s="6531">
        <f>+V55+X55</f>
        <v>2743.0600000000004</v>
      </c>
      <c r="AC55" s="6300"/>
      <c r="AD55" s="6084">
        <v>374.59</v>
      </c>
      <c r="AE55" s="5868"/>
      <c r="AF55" s="1823">
        <f>+AB55+AD55</f>
        <v>3117.6500000000005</v>
      </c>
      <c r="AG55" s="6300"/>
      <c r="AH55" s="6084">
        <v>453.69499999999999</v>
      </c>
      <c r="AI55" s="5868"/>
      <c r="AJ55" s="1823">
        <f>+AF55+AH55</f>
        <v>3571.3450000000007</v>
      </c>
      <c r="AK55" s="6300"/>
      <c r="AL55" s="6084">
        <v>387.77700000000004</v>
      </c>
      <c r="AM55" s="5870"/>
      <c r="AN55" s="2250">
        <f t="shared" ref="AN55:AN56" si="107">+AD55+AH55+AL55</f>
        <v>1216.0619999999999</v>
      </c>
      <c r="AO55" s="5868"/>
      <c r="AP55" s="1823">
        <f>+AJ55+AL55</f>
        <v>3959.1220000000008</v>
      </c>
      <c r="AQ55" s="6300"/>
      <c r="AR55" s="6084">
        <v>514.91700000000014</v>
      </c>
      <c r="AS55" s="5868"/>
      <c r="AT55" s="1823">
        <f>+AP55+AR55</f>
        <v>4474.0390000000007</v>
      </c>
      <c r="AU55" s="6300"/>
      <c r="AV55" s="6084">
        <v>472.54</v>
      </c>
      <c r="AW55" s="5868"/>
      <c r="AX55" s="1823">
        <f>+AT55+AV55</f>
        <v>4946.5790000000006</v>
      </c>
      <c r="AY55" s="6300"/>
      <c r="AZ55" s="6084">
        <v>523.39300000000003</v>
      </c>
      <c r="BA55" s="5870"/>
      <c r="BB55" s="2250">
        <f t="shared" ref="BB55:BB56" si="108">+AR55+AV55+AZ55</f>
        <v>1510.8500000000001</v>
      </c>
      <c r="BC55" s="5870"/>
      <c r="BD55" s="2250">
        <f t="shared" ref="BD55:BD57" si="109">+BB55+AN55</f>
        <v>2726.9120000000003</v>
      </c>
      <c r="BE55" s="6641"/>
      <c r="BF55" s="6531">
        <f>+AX55+AZ55</f>
        <v>5469.9720000000007</v>
      </c>
    </row>
    <row r="56" spans="2:58" x14ac:dyDescent="0.2">
      <c r="B56" s="3938" t="s">
        <v>2113</v>
      </c>
      <c r="C56" s="7428"/>
      <c r="D56" s="1545" t="s">
        <v>170</v>
      </c>
      <c r="E56" s="6300"/>
      <c r="F56" s="6084">
        <v>190.26231999999709</v>
      </c>
      <c r="G56" s="6300"/>
      <c r="H56" s="5866">
        <v>943.38787500000512</v>
      </c>
      <c r="I56" s="5868"/>
      <c r="J56" s="1823">
        <f t="shared" ref="J56:J60" si="110">+F56+H56</f>
        <v>1133.6501950000022</v>
      </c>
      <c r="K56" s="6300"/>
      <c r="L56" s="5866">
        <v>798.28066000001002</v>
      </c>
      <c r="M56" s="5870"/>
      <c r="N56" s="2011">
        <f t="shared" ref="N56:N60" si="111">+J56+L56</f>
        <v>1931.9308550000123</v>
      </c>
      <c r="O56" s="5864"/>
      <c r="P56" s="5866">
        <v>425.16247999999996</v>
      </c>
      <c r="Q56" s="5868"/>
      <c r="R56" s="1823">
        <f t="shared" ref="R56:R60" si="112">+N56+P56</f>
        <v>2357.0933350000123</v>
      </c>
      <c r="S56" s="6300"/>
      <c r="T56" s="6084">
        <v>958.95052500000406</v>
      </c>
      <c r="U56" s="5868"/>
      <c r="V56" s="1823">
        <f t="shared" ref="V56" si="113">+R56+T56</f>
        <v>3316.0438600000161</v>
      </c>
      <c r="W56" s="6300"/>
      <c r="X56" s="6084">
        <v>926.28702500000213</v>
      </c>
      <c r="Y56" s="5870"/>
      <c r="Z56" s="2250">
        <f t="shared" si="106"/>
        <v>2310.4000300000062</v>
      </c>
      <c r="AA56" s="6641"/>
      <c r="AB56" s="6531">
        <f t="shared" ref="AB56" si="114">+V56+X56</f>
        <v>4242.3308850000185</v>
      </c>
      <c r="AC56" s="6300"/>
      <c r="AD56" s="6084">
        <v>829.72332500000289</v>
      </c>
      <c r="AE56" s="5868"/>
      <c r="AF56" s="1823">
        <f t="shared" ref="AF56" si="115">+AB56+AD56</f>
        <v>5072.0542100000212</v>
      </c>
      <c r="AG56" s="6300"/>
      <c r="AH56" s="6084">
        <v>1112.5997250000084</v>
      </c>
      <c r="AI56" s="5868"/>
      <c r="AJ56" s="1823">
        <f t="shared" ref="AJ56" si="116">+AF56+AH56</f>
        <v>6184.6539350000294</v>
      </c>
      <c r="AK56" s="6300"/>
      <c r="AL56" s="6084">
        <v>1172.1145500000011</v>
      </c>
      <c r="AM56" s="5870"/>
      <c r="AN56" s="2250">
        <f t="shared" si="107"/>
        <v>3114.4376000000125</v>
      </c>
      <c r="AO56" s="5868"/>
      <c r="AP56" s="1823">
        <f t="shared" ref="AP56" si="117">+AJ56+AL56</f>
        <v>7356.7684850000305</v>
      </c>
      <c r="AQ56" s="6300"/>
      <c r="AR56" s="6084">
        <v>974.72585000001459</v>
      </c>
      <c r="AS56" s="5868"/>
      <c r="AT56" s="1823">
        <f t="shared" ref="AT56" si="118">+AP56+AR56</f>
        <v>8331.4943350000449</v>
      </c>
      <c r="AU56" s="6300"/>
      <c r="AV56" s="6084">
        <v>1033.56</v>
      </c>
      <c r="AW56" s="5868"/>
      <c r="AX56" s="1823">
        <f t="shared" ref="AX56" si="119">+AT56+AV56</f>
        <v>9365.0543350000444</v>
      </c>
      <c r="AY56" s="6300"/>
      <c r="AZ56" s="6084">
        <v>1347.6339</v>
      </c>
      <c r="BA56" s="5870"/>
      <c r="BB56" s="2250">
        <f t="shared" si="108"/>
        <v>3355.9197500000146</v>
      </c>
      <c r="BC56" s="5870"/>
      <c r="BD56" s="2250">
        <f t="shared" si="109"/>
        <v>6470.3573500000275</v>
      </c>
      <c r="BE56" s="6641"/>
      <c r="BF56" s="6531">
        <f t="shared" ref="BF56" si="120">+AX56+AZ56</f>
        <v>10712.688235000045</v>
      </c>
    </row>
    <row r="57" spans="2:58" s="6289" customFormat="1" x14ac:dyDescent="0.2">
      <c r="B57" s="6298" t="s">
        <v>2168</v>
      </c>
      <c r="C57" s="6298"/>
      <c r="D57" s="6299" t="s">
        <v>170</v>
      </c>
      <c r="E57" s="6300"/>
      <c r="F57" s="6084">
        <f>SUM(F55:F56)</f>
        <v>567.24231999999711</v>
      </c>
      <c r="G57" s="6300"/>
      <c r="H57" s="5866">
        <f>SUM(H55:H56)</f>
        <v>1421.9178750000051</v>
      </c>
      <c r="I57" s="5868"/>
      <c r="J57" s="5867">
        <f>SUM(J55:J56)</f>
        <v>1989.1601950000022</v>
      </c>
      <c r="K57" s="5864"/>
      <c r="L57" s="5866">
        <f>SUM(L55:L56)</f>
        <v>1370.88066000001</v>
      </c>
      <c r="M57" s="5870"/>
      <c r="N57" s="6305">
        <f>SUM(N55:N56)</f>
        <v>3360.0408550000125</v>
      </c>
      <c r="O57" s="5864"/>
      <c r="P57" s="5866">
        <f>SUM(P55:P56)</f>
        <v>936.41247999999996</v>
      </c>
      <c r="Q57" s="5868"/>
      <c r="R57" s="5867">
        <f>SUM(R55:R56)</f>
        <v>4296.4533350000129</v>
      </c>
      <c r="S57" s="5864"/>
      <c r="T57" s="5866">
        <f>SUM(T55:T56)</f>
        <v>1232.9505250000041</v>
      </c>
      <c r="U57" s="5868"/>
      <c r="V57" s="5867">
        <f>SUM(V55:V56)</f>
        <v>5529.4038600000167</v>
      </c>
      <c r="W57" s="5864"/>
      <c r="X57" s="5866">
        <f>SUM(X55:X56)</f>
        <v>1455.9870250000022</v>
      </c>
      <c r="Y57" s="5870"/>
      <c r="Z57" s="6305">
        <f>SUM(Z55:Z56)</f>
        <v>3625.350030000006</v>
      </c>
      <c r="AA57" s="6641"/>
      <c r="AB57" s="6642">
        <f>SUM(AB55:AB56)</f>
        <v>6985.3908850000189</v>
      </c>
      <c r="AC57" s="5864"/>
      <c r="AD57" s="5866">
        <f>SUM(AD55:AD56)</f>
        <v>1204.3133250000028</v>
      </c>
      <c r="AE57" s="5868"/>
      <c r="AF57" s="5867">
        <f>SUM(AF55:AF56)</f>
        <v>8189.7042100000217</v>
      </c>
      <c r="AG57" s="5864"/>
      <c r="AH57" s="5866">
        <f>SUM(AH55:AH56)</f>
        <v>1566.2947250000084</v>
      </c>
      <c r="AI57" s="5868"/>
      <c r="AJ57" s="5867">
        <f>SUM(AJ55:AJ56)</f>
        <v>9755.9989350000305</v>
      </c>
      <c r="AK57" s="5864"/>
      <c r="AL57" s="5866">
        <f>SUM(AL55:AL56)</f>
        <v>1559.8915500000012</v>
      </c>
      <c r="AM57" s="5870"/>
      <c r="AN57" s="6305">
        <f>SUM(AN55:AN56)</f>
        <v>4330.4996000000119</v>
      </c>
      <c r="AO57" s="5868"/>
      <c r="AP57" s="5867">
        <f>SUM(AP55:AP56)</f>
        <v>11315.890485000031</v>
      </c>
      <c r="AQ57" s="5864"/>
      <c r="AR57" s="5866">
        <f>SUM(AR55:AR56)</f>
        <v>1489.6428500000147</v>
      </c>
      <c r="AS57" s="5868"/>
      <c r="AT57" s="5867">
        <f>SUM(AT55:AT56)</f>
        <v>12805.533335000046</v>
      </c>
      <c r="AU57" s="5864"/>
      <c r="AV57" s="5866">
        <f>SUM(AV55:AV56)</f>
        <v>1506.1</v>
      </c>
      <c r="AW57" s="5868"/>
      <c r="AX57" s="5867">
        <f>SUM(AX55:AX56)</f>
        <v>14311.633335000046</v>
      </c>
      <c r="AY57" s="5864"/>
      <c r="AZ57" s="5866">
        <f>SUM(AZ55:AZ56)</f>
        <v>1871.0269000000001</v>
      </c>
      <c r="BA57" s="5870"/>
      <c r="BB57" s="6305">
        <f>SUM(BB55:BB56)</f>
        <v>4866.7697500000149</v>
      </c>
      <c r="BC57" s="5870"/>
      <c r="BD57" s="6305">
        <f t="shared" si="109"/>
        <v>9197.2693500000278</v>
      </c>
      <c r="BE57" s="6641"/>
      <c r="BF57" s="6642">
        <f>SUM(BF55:BF56)</f>
        <v>16182.660235000047</v>
      </c>
    </row>
    <row r="58" spans="2:58" s="6289" customFormat="1" x14ac:dyDescent="0.2">
      <c r="B58" s="6298" t="s">
        <v>2164</v>
      </c>
      <c r="C58" s="6298"/>
      <c r="D58" s="6299" t="s">
        <v>169</v>
      </c>
      <c r="E58" s="5864"/>
      <c r="F58" s="6292">
        <f>+F57/F5</f>
        <v>6.4922220467285768E-2</v>
      </c>
      <c r="G58" s="5864"/>
      <c r="H58" s="6292">
        <f>+H57/H5</f>
        <v>3.1053380699681044E-2</v>
      </c>
      <c r="I58" s="5868"/>
      <c r="J58" s="6293">
        <f>+J57/J5</f>
        <v>3.6480459373220121E-2</v>
      </c>
      <c r="K58" s="5864"/>
      <c r="L58" s="6292">
        <f>+L57/L5</f>
        <v>4.0431659547942062E-2</v>
      </c>
      <c r="M58" s="5870"/>
      <c r="N58" s="6294">
        <f>+N57/N5</f>
        <v>3.7995392605802168E-2</v>
      </c>
      <c r="O58" s="5864"/>
      <c r="P58" s="6292">
        <f>+P57/P5</f>
        <v>3.6865965419523895E-2</v>
      </c>
      <c r="Q58" s="5868"/>
      <c r="R58" s="6293">
        <f>+R57/R5</f>
        <v>3.7743375247544092E-2</v>
      </c>
      <c r="S58" s="5864"/>
      <c r="T58" s="6292">
        <f>+T57/T5</f>
        <v>3.7952833877597285E-2</v>
      </c>
      <c r="U58" s="5868"/>
      <c r="V58" s="6293">
        <f>+V57/V5</f>
        <v>3.7789879953211335E-2</v>
      </c>
      <c r="W58" s="5864"/>
      <c r="X58" s="6292">
        <f>+X57/X5</f>
        <v>4.3195308407756969E-2</v>
      </c>
      <c r="Y58" s="5870"/>
      <c r="Z58" s="6294">
        <f>+Z57/Z5</f>
        <v>3.9580687310520363E-2</v>
      </c>
      <c r="AA58" s="6641"/>
      <c r="AB58" s="6643">
        <f>+AB57/AB5</f>
        <v>3.8801957934443444E-2</v>
      </c>
      <c r="AC58" s="5864"/>
      <c r="AD58" s="6292">
        <f>+AD57/AD5</f>
        <v>3.8760122522214335E-2</v>
      </c>
      <c r="AE58" s="5868"/>
      <c r="AF58" s="6293">
        <f>+AF57/AF5</f>
        <v>3.8795800285839316E-2</v>
      </c>
      <c r="AG58" s="5864"/>
      <c r="AH58" s="6292">
        <f>+AH57/AH5</f>
        <v>3.7711113001395E-2</v>
      </c>
      <c r="AI58" s="5868"/>
      <c r="AJ58" s="6293">
        <f>+AJ57/AJ5</f>
        <v>3.8617471777180168E-2</v>
      </c>
      <c r="AK58" s="5864"/>
      <c r="AL58" s="6292">
        <f>+AL57/AL5</f>
        <v>2.7027394324507549E-2</v>
      </c>
      <c r="AM58" s="5870"/>
      <c r="AN58" s="6294">
        <f>+AN57/AN5</f>
        <v>3.322969422631851E-2</v>
      </c>
      <c r="AO58" s="5868"/>
      <c r="AP58" s="6293">
        <f>+AP57/AP5</f>
        <v>3.6462065717361665E-2</v>
      </c>
      <c r="AQ58" s="5864"/>
      <c r="AR58" s="6292">
        <f>+AR57/AR5</f>
        <v>3.0913034709197342E-2</v>
      </c>
      <c r="AS58" s="5868"/>
      <c r="AT58" s="6293">
        <f>+AT57/AT5</f>
        <v>3.5716259557592479E-2</v>
      </c>
      <c r="AU58" s="5864"/>
      <c r="AV58" s="6292">
        <f>+AV57/AV5</f>
        <v>2.9517828495987556E-2</v>
      </c>
      <c r="AW58" s="5868"/>
      <c r="AX58" s="6293">
        <f>+AX57/AX5</f>
        <v>3.4944049924645927E-2</v>
      </c>
      <c r="AY58" s="5864"/>
      <c r="AZ58" s="6292">
        <f>+AZ57/AZ5</f>
        <v>3.5091660312060347E-2</v>
      </c>
      <c r="BA58" s="5870"/>
      <c r="BB58" s="6294">
        <f>+BB57/BB5</f>
        <v>3.1906997186085459E-2</v>
      </c>
      <c r="BC58" s="5870"/>
      <c r="BD58" s="6294">
        <f>+BD57/BD5</f>
        <v>3.2516415925196704E-2</v>
      </c>
      <c r="BE58" s="6641"/>
      <c r="BF58" s="6643">
        <f>+BF57/BF5</f>
        <v>3.4961053005644713E-2</v>
      </c>
    </row>
    <row r="59" spans="2:58" s="6289" customFormat="1" x14ac:dyDescent="0.2">
      <c r="B59" s="6298" t="s">
        <v>2167</v>
      </c>
      <c r="C59" s="6298"/>
      <c r="D59" s="6299" t="s">
        <v>170</v>
      </c>
      <c r="E59" s="5864"/>
      <c r="F59" s="5866">
        <f>+F36</f>
        <v>111.56</v>
      </c>
      <c r="G59" s="5864"/>
      <c r="H59" s="5866">
        <f>+H36</f>
        <v>497.08000000000004</v>
      </c>
      <c r="I59" s="5868"/>
      <c r="J59" s="5867">
        <f>+J36</f>
        <v>608.6400000000001</v>
      </c>
      <c r="K59" s="5864"/>
      <c r="L59" s="5866">
        <f>+L36</f>
        <v>300.36800000000005</v>
      </c>
      <c r="M59" s="5870"/>
      <c r="N59" s="6305">
        <f>+N36</f>
        <v>909.00800000000004</v>
      </c>
      <c r="O59" s="5864"/>
      <c r="P59" s="5866">
        <f>+P36</f>
        <v>347.5</v>
      </c>
      <c r="Q59" s="5868"/>
      <c r="R59" s="5867">
        <f>+R36</f>
        <v>1256.508</v>
      </c>
      <c r="S59" s="5864"/>
      <c r="T59" s="5866">
        <f>+T36</f>
        <v>96.28</v>
      </c>
      <c r="U59" s="5868"/>
      <c r="V59" s="5867">
        <f>+V36</f>
        <v>1352.788</v>
      </c>
      <c r="W59" s="5864"/>
      <c r="X59" s="5866">
        <f>+X36</f>
        <v>170.03500000000003</v>
      </c>
      <c r="Y59" s="5870"/>
      <c r="Z59" s="6305">
        <f>+Z36</f>
        <v>613.81500000000005</v>
      </c>
      <c r="AA59" s="6641"/>
      <c r="AB59" s="6642">
        <f>+AB36</f>
        <v>1522.8229999999999</v>
      </c>
      <c r="AC59" s="5864"/>
      <c r="AD59" s="5866">
        <f>+AD36</f>
        <v>49.92</v>
      </c>
      <c r="AE59" s="5868"/>
      <c r="AF59" s="5867">
        <f>+AF36</f>
        <v>1572.7429999999999</v>
      </c>
      <c r="AG59" s="5864"/>
      <c r="AH59" s="5866">
        <f>+AH36</f>
        <v>36.730000000000004</v>
      </c>
      <c r="AI59" s="5868"/>
      <c r="AJ59" s="5867">
        <f>+AJ36</f>
        <v>1609.4730000000002</v>
      </c>
      <c r="AK59" s="5864"/>
      <c r="AL59" s="5866">
        <f>+AL36</f>
        <v>62.817999999999998</v>
      </c>
      <c r="AM59" s="5870"/>
      <c r="AN59" s="6305">
        <f>+AN36</f>
        <v>149.46799999999999</v>
      </c>
      <c r="AO59" s="5868"/>
      <c r="AP59" s="5867">
        <f>+AP36</f>
        <v>1672.2910000000002</v>
      </c>
      <c r="AQ59" s="5864"/>
      <c r="AR59" s="5866">
        <f>+AR36</f>
        <v>12.96</v>
      </c>
      <c r="AS59" s="5868"/>
      <c r="AT59" s="5867">
        <f>+AT36</f>
        <v>1685.2510000000002</v>
      </c>
      <c r="AU59" s="5864"/>
      <c r="AV59" s="5866">
        <f>+AV36</f>
        <v>38.582000000000001</v>
      </c>
      <c r="AW59" s="5868"/>
      <c r="AX59" s="5867">
        <f>+AX36</f>
        <v>1723.8330000000003</v>
      </c>
      <c r="AY59" s="5864"/>
      <c r="AZ59" s="5866">
        <f>+AZ36</f>
        <v>37.659999999999997</v>
      </c>
      <c r="BA59" s="5870"/>
      <c r="BB59" s="6305">
        <f>+BB36</f>
        <v>89.201999999999998</v>
      </c>
      <c r="BC59" s="5870"/>
      <c r="BD59" s="6305">
        <f t="shared" ref="BD59:BD60" si="121">+BB59+AN59</f>
        <v>238.67</v>
      </c>
      <c r="BE59" s="6641"/>
      <c r="BF59" s="6642">
        <f>+BF36</f>
        <v>1761.4930000000002</v>
      </c>
    </row>
    <row r="60" spans="2:58" x14ac:dyDescent="0.2">
      <c r="B60" s="3938" t="s">
        <v>2116</v>
      </c>
      <c r="C60" s="7428"/>
      <c r="D60" s="1545" t="s">
        <v>170</v>
      </c>
      <c r="E60" s="5864"/>
      <c r="F60" s="5866">
        <v>96.877680000000012</v>
      </c>
      <c r="G60" s="5864"/>
      <c r="H60" s="5866">
        <v>655.67812500000002</v>
      </c>
      <c r="I60" s="5868"/>
      <c r="J60" s="1823">
        <f t="shared" si="110"/>
        <v>752.55580500000008</v>
      </c>
      <c r="K60" s="5864"/>
      <c r="L60" s="5866">
        <v>385.79333999999994</v>
      </c>
      <c r="M60" s="5870"/>
      <c r="N60" s="2011">
        <f t="shared" si="111"/>
        <v>1138.3491450000001</v>
      </c>
      <c r="O60" s="5864"/>
      <c r="P60" s="5866">
        <v>290.08751999999998</v>
      </c>
      <c r="Q60" s="5868"/>
      <c r="R60" s="1823">
        <f t="shared" si="112"/>
        <v>1428.4366650000002</v>
      </c>
      <c r="S60" s="5864"/>
      <c r="T60" s="5866">
        <v>461.87347500000004</v>
      </c>
      <c r="U60" s="5868"/>
      <c r="V60" s="1823">
        <f t="shared" ref="V60" si="122">+R60+T60</f>
        <v>1890.3101400000003</v>
      </c>
      <c r="W60" s="5864"/>
      <c r="X60" s="5866">
        <v>476.61697499999991</v>
      </c>
      <c r="Y60" s="5870"/>
      <c r="Z60" s="2250">
        <f t="shared" ref="Z60" si="123">+P60+T60+X60</f>
        <v>1228.5779699999998</v>
      </c>
      <c r="AA60" s="6641"/>
      <c r="AB60" s="6531">
        <f t="shared" ref="AB60" si="124">+V60+X60</f>
        <v>2366.9271150000004</v>
      </c>
      <c r="AC60" s="5864"/>
      <c r="AD60" s="5866">
        <v>441.37867499999999</v>
      </c>
      <c r="AE60" s="5868"/>
      <c r="AF60" s="1823">
        <f t="shared" ref="AF60" si="125">+AB60+AD60</f>
        <v>2808.3057900000003</v>
      </c>
      <c r="AG60" s="5864"/>
      <c r="AH60" s="5866">
        <v>590.65627499999994</v>
      </c>
      <c r="AI60" s="5868"/>
      <c r="AJ60" s="1823">
        <f t="shared" ref="AJ60" si="126">+AF60+AH60</f>
        <v>3398.9620650000002</v>
      </c>
      <c r="AK60" s="5864"/>
      <c r="AL60" s="5866">
        <v>829.88144999999997</v>
      </c>
      <c r="AM60" s="5870"/>
      <c r="AN60" s="2250">
        <f t="shared" ref="AN60" si="127">+AD60+AH60+AL60</f>
        <v>1861.9164000000001</v>
      </c>
      <c r="AO60" s="5868"/>
      <c r="AP60" s="1823">
        <f t="shared" ref="AP60" si="128">+AJ60+AL60</f>
        <v>4228.8435150000005</v>
      </c>
      <c r="AQ60" s="5864"/>
      <c r="AR60" s="5866">
        <v>690.12614999999994</v>
      </c>
      <c r="AS60" s="5868"/>
      <c r="AT60" s="1823">
        <f t="shared" ref="AT60" si="129">+AP60+AR60</f>
        <v>4918.9696650000005</v>
      </c>
      <c r="AU60" s="5864"/>
      <c r="AV60" s="5866">
        <v>731.78</v>
      </c>
      <c r="AW60" s="5868"/>
      <c r="AX60" s="1823">
        <f t="shared" ref="AX60" si="130">+AT60+AV60</f>
        <v>5650.7496650000003</v>
      </c>
      <c r="AY60" s="5864"/>
      <c r="AZ60" s="5866">
        <v>496.0761</v>
      </c>
      <c r="BA60" s="5870"/>
      <c r="BB60" s="2250">
        <f t="shared" ref="BB60" si="131">+AR60+AV60+AZ60</f>
        <v>1917.9822499999998</v>
      </c>
      <c r="BC60" s="5870"/>
      <c r="BD60" s="2250">
        <f t="shared" si="121"/>
        <v>3779.8986500000001</v>
      </c>
      <c r="BE60" s="6641"/>
      <c r="BF60" s="6531">
        <f t="shared" ref="BF60" si="132">+AX60+AZ60</f>
        <v>6146.8257650000005</v>
      </c>
    </row>
    <row r="61" spans="2:58" s="3380" customFormat="1" x14ac:dyDescent="0.2">
      <c r="E61" s="4408"/>
      <c r="F61" s="3453"/>
      <c r="G61" s="4408"/>
      <c r="H61" s="3453"/>
      <c r="I61" s="4408"/>
      <c r="J61" s="3453"/>
      <c r="K61" s="4408"/>
      <c r="L61" s="3453"/>
      <c r="M61" s="4408"/>
      <c r="N61" s="3453"/>
      <c r="O61" s="4408"/>
      <c r="P61" s="3453"/>
      <c r="Q61" s="4408"/>
      <c r="R61" s="3453"/>
      <c r="S61" s="4408"/>
      <c r="T61" s="3453"/>
      <c r="U61" s="4408"/>
      <c r="V61" s="3453"/>
      <c r="W61" s="4408"/>
      <c r="X61" s="3453"/>
      <c r="Y61" s="4408"/>
      <c r="Z61" s="3453"/>
      <c r="AA61" s="4408"/>
      <c r="AB61" s="3453"/>
      <c r="AC61" s="4408"/>
      <c r="AD61" s="3453"/>
      <c r="AE61" s="4408"/>
      <c r="AF61" s="3453"/>
      <c r="AG61" s="4408"/>
      <c r="AH61" s="3453"/>
      <c r="AI61" s="4408"/>
      <c r="AJ61" s="3453"/>
      <c r="AK61" s="4408"/>
      <c r="AL61" s="3453"/>
      <c r="AM61" s="4408"/>
      <c r="AN61" s="3453"/>
      <c r="AO61" s="4408"/>
      <c r="AP61" s="3453"/>
      <c r="AQ61" s="4408"/>
      <c r="AR61" s="3453"/>
      <c r="AS61" s="4408"/>
      <c r="AT61" s="3453"/>
      <c r="BA61" s="4408"/>
      <c r="BB61" s="3453"/>
      <c r="BC61" s="4408"/>
      <c r="BD61" s="3453"/>
      <c r="BE61" s="4408"/>
      <c r="BF61" s="3453"/>
    </row>
    <row r="62" spans="2:58" s="3380" customFormat="1" ht="19" x14ac:dyDescent="0.25">
      <c r="B62" s="6660" t="s">
        <v>2169</v>
      </c>
      <c r="C62" s="6660"/>
      <c r="E62" s="4408"/>
      <c r="F62" s="3453"/>
      <c r="G62" s="4408"/>
      <c r="H62" s="3453"/>
      <c r="I62" s="4408"/>
      <c r="J62" s="3453"/>
      <c r="K62" s="4408"/>
      <c r="L62" s="3453"/>
      <c r="M62" s="4408"/>
      <c r="N62" s="3453"/>
      <c r="O62" s="4408"/>
      <c r="P62" s="3453"/>
      <c r="Q62" s="4408"/>
      <c r="R62" s="3453"/>
      <c r="S62" s="4408"/>
      <c r="T62" s="3453"/>
      <c r="U62" s="4408"/>
      <c r="V62" s="3453"/>
      <c r="W62" s="4408"/>
      <c r="X62" s="3453"/>
      <c r="Y62" s="4408"/>
      <c r="Z62" s="3453"/>
      <c r="AA62" s="4408"/>
      <c r="AB62" s="3453"/>
      <c r="AC62" s="4408"/>
      <c r="AD62" s="3453"/>
      <c r="AE62" s="4408"/>
      <c r="AF62" s="3453"/>
      <c r="AG62" s="4408"/>
      <c r="AH62" s="3453"/>
      <c r="AI62" s="4408"/>
      <c r="AJ62" s="3453"/>
      <c r="AK62" s="4408"/>
      <c r="AL62" s="3453"/>
      <c r="AM62" s="4408"/>
      <c r="AN62" s="3453"/>
      <c r="AO62" s="4408"/>
      <c r="AP62" s="3453"/>
      <c r="AQ62" s="4408"/>
      <c r="AR62" s="3453"/>
      <c r="AS62" s="4408"/>
      <c r="AT62" s="3453"/>
      <c r="BA62" s="4408"/>
      <c r="BB62" s="3453"/>
      <c r="BC62" s="4408"/>
      <c r="BD62" s="3453"/>
      <c r="BE62" s="4408"/>
      <c r="BF62" s="3453"/>
    </row>
    <row r="63" spans="2:58" x14ac:dyDescent="0.2">
      <c r="B63" s="3938" t="s">
        <v>2170</v>
      </c>
      <c r="C63" s="3938"/>
      <c r="D63" s="1923" t="s">
        <v>170</v>
      </c>
      <c r="E63" s="5865"/>
      <c r="F63" s="5866">
        <f>+F5</f>
        <v>8737.2599999999984</v>
      </c>
      <c r="G63" s="5865"/>
      <c r="H63" s="5866">
        <f>+H5</f>
        <v>45789.471000000005</v>
      </c>
      <c r="I63" s="5869"/>
      <c r="J63" s="5867">
        <f>+J5</f>
        <v>54526.731</v>
      </c>
      <c r="K63" s="5865"/>
      <c r="L63" s="5866">
        <f>+L5</f>
        <v>33906.119000000006</v>
      </c>
      <c r="M63" s="5871"/>
      <c r="N63" s="6305">
        <f>+N5</f>
        <v>88432.85</v>
      </c>
      <c r="O63" s="5865"/>
      <c r="P63" s="5866">
        <f>+P5</f>
        <v>25400.46</v>
      </c>
      <c r="Q63" s="5869"/>
      <c r="R63" s="5867">
        <f>+R5</f>
        <v>113833.31</v>
      </c>
      <c r="S63" s="5865"/>
      <c r="T63" s="5866">
        <f>+T5</f>
        <v>32486.389000000006</v>
      </c>
      <c r="U63" s="5869"/>
      <c r="V63" s="5867">
        <f>+V5</f>
        <v>146319.69899999999</v>
      </c>
      <c r="W63" s="5865"/>
      <c r="X63" s="5866">
        <f>+X5</f>
        <v>33707.063999999998</v>
      </c>
      <c r="Y63" s="5871"/>
      <c r="Z63" s="6305">
        <f>+Z5</f>
        <v>91593.913</v>
      </c>
      <c r="AA63" s="6645"/>
      <c r="AB63" s="6642">
        <f>+AB5</f>
        <v>180026.76299999998</v>
      </c>
      <c r="AC63" s="5865"/>
      <c r="AD63" s="5866">
        <f>+AD5</f>
        <v>31070.937000000002</v>
      </c>
      <c r="AE63" s="5869"/>
      <c r="AF63" s="5867">
        <f>+AF5</f>
        <v>211097.69999999998</v>
      </c>
      <c r="AG63" s="5865"/>
      <c r="AH63" s="5866">
        <f>+AH5</f>
        <v>41534.036000000007</v>
      </c>
      <c r="AI63" s="5869"/>
      <c r="AJ63" s="5867">
        <f>+AJ5</f>
        <v>252631.73599999998</v>
      </c>
      <c r="AK63" s="5865"/>
      <c r="AL63" s="5866">
        <f>+AL5</f>
        <v>57715.203000000001</v>
      </c>
      <c r="AM63" s="5871"/>
      <c r="AN63" s="6305">
        <f>+AN5</f>
        <v>130320.17600000001</v>
      </c>
      <c r="AO63" s="5869"/>
      <c r="AP63" s="5867">
        <f>+AP5</f>
        <v>310346.93899999995</v>
      </c>
      <c r="AQ63" s="5865"/>
      <c r="AR63" s="5866">
        <f>+AR5</f>
        <v>48188.179000000011</v>
      </c>
      <c r="AS63" s="5869"/>
      <c r="AT63" s="5867">
        <f>+AT5</f>
        <v>358535.11799999996</v>
      </c>
      <c r="AU63" s="5865"/>
      <c r="AV63" s="5866">
        <f>+AV5</f>
        <v>51023.400999999998</v>
      </c>
      <c r="AW63" s="5869"/>
      <c r="AX63" s="5867">
        <f>+AX5</f>
        <v>409558.51899999997</v>
      </c>
      <c r="AY63" s="5865"/>
      <c r="AZ63" s="5866">
        <f>+AZ5</f>
        <v>53318.277999999998</v>
      </c>
      <c r="BA63" s="5871"/>
      <c r="BB63" s="6305">
        <f>+BB5</f>
        <v>152529.85800000001</v>
      </c>
      <c r="BC63" s="5871"/>
      <c r="BD63" s="6305">
        <f>+BD5</f>
        <v>282850.03399999999</v>
      </c>
      <c r="BE63" s="6645"/>
      <c r="BF63" s="6642">
        <f>+BF5</f>
        <v>462876.79699999996</v>
      </c>
    </row>
    <row r="64" spans="2:58" ht="32" x14ac:dyDescent="0.2">
      <c r="B64" s="6306" t="s">
        <v>2175</v>
      </c>
      <c r="C64" s="6306"/>
      <c r="D64" s="1923" t="s">
        <v>170</v>
      </c>
      <c r="E64" s="5865"/>
      <c r="F64" s="5866">
        <f>+F57</f>
        <v>567.24231999999711</v>
      </c>
      <c r="G64" s="5865"/>
      <c r="H64" s="5866">
        <f>+H57</f>
        <v>1421.9178750000051</v>
      </c>
      <c r="I64" s="5869"/>
      <c r="J64" s="5867">
        <f>+J57</f>
        <v>1989.1601950000022</v>
      </c>
      <c r="K64" s="5865"/>
      <c r="L64" s="5866">
        <f>+L57</f>
        <v>1370.88066000001</v>
      </c>
      <c r="M64" s="5871"/>
      <c r="N64" s="6305">
        <f>+N57</f>
        <v>3360.0408550000125</v>
      </c>
      <c r="O64" s="5865"/>
      <c r="P64" s="5866">
        <f>+P57</f>
        <v>936.41247999999996</v>
      </c>
      <c r="Q64" s="5869"/>
      <c r="R64" s="5867">
        <f>+R57</f>
        <v>4296.4533350000129</v>
      </c>
      <c r="S64" s="5865"/>
      <c r="T64" s="5866">
        <f>+T57</f>
        <v>1232.9505250000041</v>
      </c>
      <c r="U64" s="5869"/>
      <c r="V64" s="5867">
        <f>+V57</f>
        <v>5529.4038600000167</v>
      </c>
      <c r="W64" s="5865"/>
      <c r="X64" s="5866">
        <f>+X57</f>
        <v>1455.9870250000022</v>
      </c>
      <c r="Y64" s="5871"/>
      <c r="Z64" s="6305">
        <f>+Z57</f>
        <v>3625.350030000006</v>
      </c>
      <c r="AA64" s="6645"/>
      <c r="AB64" s="6642">
        <f>+AB57</f>
        <v>6985.3908850000189</v>
      </c>
      <c r="AC64" s="5865"/>
      <c r="AD64" s="5866">
        <f>+AD57</f>
        <v>1204.3133250000028</v>
      </c>
      <c r="AE64" s="5869"/>
      <c r="AF64" s="5867">
        <f>+AF57</f>
        <v>8189.7042100000217</v>
      </c>
      <c r="AG64" s="5865"/>
      <c r="AH64" s="5866">
        <f>+AH57</f>
        <v>1566.2947250000084</v>
      </c>
      <c r="AI64" s="5869"/>
      <c r="AJ64" s="5867">
        <f>+AJ57</f>
        <v>9755.9989350000305</v>
      </c>
      <c r="AK64" s="5865"/>
      <c r="AL64" s="5866">
        <f>+AL57</f>
        <v>1559.8915500000012</v>
      </c>
      <c r="AM64" s="5871"/>
      <c r="AN64" s="6305">
        <f>+AN57</f>
        <v>4330.4996000000119</v>
      </c>
      <c r="AO64" s="5869"/>
      <c r="AP64" s="5867">
        <f>+AP57</f>
        <v>11315.890485000031</v>
      </c>
      <c r="AQ64" s="5865"/>
      <c r="AR64" s="5866">
        <f>+AR57</f>
        <v>1489.6428500000147</v>
      </c>
      <c r="AS64" s="5869"/>
      <c r="AT64" s="5867">
        <f>+AT57</f>
        <v>12805.533335000046</v>
      </c>
      <c r="AU64" s="5865"/>
      <c r="AV64" s="5866">
        <f>+AV57</f>
        <v>1506.1</v>
      </c>
      <c r="AW64" s="5869"/>
      <c r="AX64" s="5867">
        <f>+AX57</f>
        <v>14311.633335000046</v>
      </c>
      <c r="AY64" s="5865"/>
      <c r="AZ64" s="5866">
        <f>+AZ57</f>
        <v>1871.0269000000001</v>
      </c>
      <c r="BA64" s="5871"/>
      <c r="BB64" s="6305">
        <f>+BB57</f>
        <v>4866.7697500000149</v>
      </c>
      <c r="BC64" s="5871"/>
      <c r="BD64" s="6305">
        <f>+BD57</f>
        <v>9197.2693500000278</v>
      </c>
      <c r="BE64" s="6645"/>
      <c r="BF64" s="6642">
        <f>+BF57</f>
        <v>16182.660235000047</v>
      </c>
    </row>
    <row r="65" spans="2:58" x14ac:dyDescent="0.2">
      <c r="B65" s="3938" t="s">
        <v>2114</v>
      </c>
      <c r="C65" s="3938"/>
      <c r="D65" s="1923" t="s">
        <v>170</v>
      </c>
      <c r="E65" s="5865"/>
      <c r="F65" s="5866">
        <f>+F60</f>
        <v>96.877680000000012</v>
      </c>
      <c r="G65" s="5865"/>
      <c r="H65" s="5866">
        <f>+H60</f>
        <v>655.67812500000002</v>
      </c>
      <c r="I65" s="5869"/>
      <c r="J65" s="5867">
        <f>+J60</f>
        <v>752.55580500000008</v>
      </c>
      <c r="K65" s="5865"/>
      <c r="L65" s="5866">
        <f>+L60</f>
        <v>385.79333999999994</v>
      </c>
      <c r="M65" s="5871"/>
      <c r="N65" s="6305">
        <f>+N60</f>
        <v>1138.3491450000001</v>
      </c>
      <c r="O65" s="5865"/>
      <c r="P65" s="5866">
        <f>+P60</f>
        <v>290.08751999999998</v>
      </c>
      <c r="Q65" s="5869"/>
      <c r="R65" s="5867">
        <f>+R60</f>
        <v>1428.4366650000002</v>
      </c>
      <c r="S65" s="5865"/>
      <c r="T65" s="5866">
        <f>+T60</f>
        <v>461.87347500000004</v>
      </c>
      <c r="U65" s="5869"/>
      <c r="V65" s="5867">
        <f>+V60</f>
        <v>1890.3101400000003</v>
      </c>
      <c r="W65" s="5865"/>
      <c r="X65" s="5866">
        <f>+X60</f>
        <v>476.61697499999991</v>
      </c>
      <c r="Y65" s="5871"/>
      <c r="Z65" s="6305">
        <f>+Z60</f>
        <v>1228.5779699999998</v>
      </c>
      <c r="AA65" s="6645"/>
      <c r="AB65" s="6642">
        <f>+AB60</f>
        <v>2366.9271150000004</v>
      </c>
      <c r="AC65" s="5865"/>
      <c r="AD65" s="5866">
        <f>+AD60</f>
        <v>441.37867499999999</v>
      </c>
      <c r="AE65" s="5869"/>
      <c r="AF65" s="5867">
        <f>+AF60</f>
        <v>2808.3057900000003</v>
      </c>
      <c r="AG65" s="5865"/>
      <c r="AH65" s="5866">
        <f>+AH60</f>
        <v>590.65627499999994</v>
      </c>
      <c r="AI65" s="5869"/>
      <c r="AJ65" s="5867">
        <f>+AJ60</f>
        <v>3398.9620650000002</v>
      </c>
      <c r="AK65" s="5865"/>
      <c r="AL65" s="5866">
        <f>+AL60</f>
        <v>829.88144999999997</v>
      </c>
      <c r="AM65" s="5871"/>
      <c r="AN65" s="6305">
        <f>+AN60</f>
        <v>1861.9164000000001</v>
      </c>
      <c r="AO65" s="5869"/>
      <c r="AP65" s="5867">
        <f>+AP60</f>
        <v>4228.8435150000005</v>
      </c>
      <c r="AQ65" s="5865"/>
      <c r="AR65" s="5866">
        <f>+AR60</f>
        <v>690.12614999999994</v>
      </c>
      <c r="AS65" s="5869"/>
      <c r="AT65" s="5867">
        <f>+AT60</f>
        <v>4918.9696650000005</v>
      </c>
      <c r="AU65" s="5865"/>
      <c r="AV65" s="5866">
        <f>+AV60</f>
        <v>731.78</v>
      </c>
      <c r="AW65" s="5869"/>
      <c r="AX65" s="5867">
        <f>+AX60</f>
        <v>5650.7496650000003</v>
      </c>
      <c r="AY65" s="5865"/>
      <c r="AZ65" s="5866">
        <f>+AZ60</f>
        <v>496.0761</v>
      </c>
      <c r="BA65" s="5871"/>
      <c r="BB65" s="6305">
        <f>+BB60</f>
        <v>1917.9822499999998</v>
      </c>
      <c r="BC65" s="5871"/>
      <c r="BD65" s="6305">
        <f>+BD60</f>
        <v>3779.8986500000001</v>
      </c>
      <c r="BE65" s="6645"/>
      <c r="BF65" s="6642">
        <f>+BF60</f>
        <v>6146.8257650000005</v>
      </c>
    </row>
    <row r="66" spans="2:58" x14ac:dyDescent="0.2">
      <c r="B66" s="3938" t="s">
        <v>2173</v>
      </c>
      <c r="C66" s="3938"/>
      <c r="D66" s="1923" t="s">
        <v>170</v>
      </c>
      <c r="E66" s="5865"/>
      <c r="F66" s="5866">
        <f>+F34</f>
        <v>8073.1399999999994</v>
      </c>
      <c r="G66" s="5865"/>
      <c r="H66" s="5866">
        <f>+H34</f>
        <v>43711.87</v>
      </c>
      <c r="I66" s="5869"/>
      <c r="J66" s="5867">
        <f>+J34</f>
        <v>51785.009999999995</v>
      </c>
      <c r="K66" s="5865"/>
      <c r="L66" s="5866">
        <f>+L34</f>
        <v>32149.445</v>
      </c>
      <c r="M66" s="5871"/>
      <c r="N66" s="6305">
        <f>+N34</f>
        <v>83934.454999999987</v>
      </c>
      <c r="O66" s="5865"/>
      <c r="P66" s="5866">
        <f>+P34</f>
        <v>24173.960000000003</v>
      </c>
      <c r="Q66" s="5869"/>
      <c r="R66" s="5867">
        <f>+R34</f>
        <v>108108.41500000001</v>
      </c>
      <c r="S66" s="5865"/>
      <c r="T66" s="5866">
        <f>+T34</f>
        <v>30791.56500000001</v>
      </c>
      <c r="U66" s="5869"/>
      <c r="V66" s="5867">
        <f>+V34</f>
        <v>138899.98000000001</v>
      </c>
      <c r="W66" s="5865"/>
      <c r="X66" s="5866">
        <f>+X34</f>
        <v>31774.469999999998</v>
      </c>
      <c r="Y66" s="5871"/>
      <c r="Z66" s="6305">
        <f>+Z34</f>
        <v>86739.994999999995</v>
      </c>
      <c r="AA66" s="6645"/>
      <c r="AB66" s="6642">
        <f>+AB34</f>
        <v>170674.44999999995</v>
      </c>
      <c r="AC66" s="5865"/>
      <c r="AD66" s="5866">
        <f>+AD34</f>
        <v>29425.244999999995</v>
      </c>
      <c r="AE66" s="5869"/>
      <c r="AF66" s="5867">
        <f>+AF34</f>
        <v>200099.69499999998</v>
      </c>
      <c r="AG66" s="5865"/>
      <c r="AH66" s="5866">
        <f>+AH34</f>
        <v>39377.084999999992</v>
      </c>
      <c r="AI66" s="5869"/>
      <c r="AJ66" s="5867">
        <f>+AJ34</f>
        <v>239476.78</v>
      </c>
      <c r="AK66" s="5865"/>
      <c r="AL66" s="5866">
        <f>+AL34</f>
        <v>55325.43</v>
      </c>
      <c r="AM66" s="5871"/>
      <c r="AN66" s="6305">
        <f>+AN34</f>
        <v>124127.76000000001</v>
      </c>
      <c r="AO66" s="5869"/>
      <c r="AP66" s="5867">
        <f>+AP34</f>
        <v>294802.21000000008</v>
      </c>
      <c r="AQ66" s="5865"/>
      <c r="AR66" s="5866">
        <f>+AR34</f>
        <v>46008.409999999996</v>
      </c>
      <c r="AS66" s="5869"/>
      <c r="AT66" s="5867">
        <f>+AT34</f>
        <v>340810.62000000005</v>
      </c>
      <c r="AU66" s="5865"/>
      <c r="AV66" s="5866">
        <f>+AV34</f>
        <v>48785.52</v>
      </c>
      <c r="AW66" s="5869"/>
      <c r="AX66" s="5867">
        <f>+AX34</f>
        <v>389596.13999999996</v>
      </c>
      <c r="AY66" s="5865"/>
      <c r="AZ66" s="5866">
        <f>+AZ34</f>
        <v>50951.174999999996</v>
      </c>
      <c r="BA66" s="5871"/>
      <c r="BB66" s="6305">
        <f>+BB34</f>
        <v>145745.10500000001</v>
      </c>
      <c r="BC66" s="5871"/>
      <c r="BD66" s="6305">
        <f>+BD34</f>
        <v>269872.86500000005</v>
      </c>
      <c r="BE66" s="6645"/>
      <c r="BF66" s="6642">
        <f>+BF34</f>
        <v>440547.31500000006</v>
      </c>
    </row>
    <row r="67" spans="2:58" x14ac:dyDescent="0.2">
      <c r="B67" s="3938" t="s">
        <v>2171</v>
      </c>
      <c r="C67" s="3938"/>
      <c r="D67" s="1923" t="s">
        <v>170</v>
      </c>
      <c r="E67" s="5865"/>
      <c r="F67" s="5866">
        <f>+F36</f>
        <v>111.56</v>
      </c>
      <c r="G67" s="5865"/>
      <c r="H67" s="5866">
        <f>+H36</f>
        <v>497.08000000000004</v>
      </c>
      <c r="I67" s="5869"/>
      <c r="J67" s="5867">
        <f>+J36</f>
        <v>608.6400000000001</v>
      </c>
      <c r="K67" s="5865"/>
      <c r="L67" s="5866">
        <f>+L36</f>
        <v>300.36800000000005</v>
      </c>
      <c r="M67" s="5871"/>
      <c r="N67" s="6305">
        <f>+N36</f>
        <v>909.00800000000004</v>
      </c>
      <c r="O67" s="5865"/>
      <c r="P67" s="5866">
        <f>+P36</f>
        <v>347.5</v>
      </c>
      <c r="Q67" s="5869"/>
      <c r="R67" s="5867">
        <f>+R36</f>
        <v>1256.508</v>
      </c>
      <c r="S67" s="5865"/>
      <c r="T67" s="5866">
        <f>+T36</f>
        <v>96.28</v>
      </c>
      <c r="U67" s="5869"/>
      <c r="V67" s="5867">
        <f>+V36</f>
        <v>1352.788</v>
      </c>
      <c r="W67" s="5865"/>
      <c r="X67" s="5866">
        <f>+X36</f>
        <v>170.03500000000003</v>
      </c>
      <c r="Y67" s="5871"/>
      <c r="Z67" s="6305">
        <f>+Z36</f>
        <v>613.81500000000005</v>
      </c>
      <c r="AA67" s="6645"/>
      <c r="AB67" s="6642">
        <f>+AB36</f>
        <v>1522.8229999999999</v>
      </c>
      <c r="AC67" s="5865"/>
      <c r="AD67" s="5866">
        <f>+AD36</f>
        <v>49.92</v>
      </c>
      <c r="AE67" s="5869"/>
      <c r="AF67" s="5867">
        <f>+AF36</f>
        <v>1572.7429999999999</v>
      </c>
      <c r="AG67" s="5865"/>
      <c r="AH67" s="5866">
        <f>+AH36</f>
        <v>36.730000000000004</v>
      </c>
      <c r="AI67" s="5869"/>
      <c r="AJ67" s="5867">
        <f>+AJ36</f>
        <v>1609.4730000000002</v>
      </c>
      <c r="AK67" s="5865"/>
      <c r="AL67" s="5866">
        <f>+AL36</f>
        <v>62.817999999999998</v>
      </c>
      <c r="AM67" s="5871"/>
      <c r="AN67" s="6305">
        <f>+AN36</f>
        <v>149.46799999999999</v>
      </c>
      <c r="AO67" s="5869"/>
      <c r="AP67" s="5867">
        <f>+AP36</f>
        <v>1672.2910000000002</v>
      </c>
      <c r="AQ67" s="5865"/>
      <c r="AR67" s="5866">
        <f>+AR36</f>
        <v>12.96</v>
      </c>
      <c r="AS67" s="5869"/>
      <c r="AT67" s="5867">
        <f>+AT36</f>
        <v>1685.2510000000002</v>
      </c>
      <c r="AU67" s="5865"/>
      <c r="AV67" s="5866">
        <f>+AV36</f>
        <v>38.582000000000001</v>
      </c>
      <c r="AW67" s="5869"/>
      <c r="AX67" s="5867">
        <f>+AX36</f>
        <v>1723.8330000000003</v>
      </c>
      <c r="AY67" s="5865"/>
      <c r="AZ67" s="5866">
        <f>+AZ36</f>
        <v>37.659999999999997</v>
      </c>
      <c r="BA67" s="5871"/>
      <c r="BB67" s="6305">
        <f>+BB36</f>
        <v>89.201999999999998</v>
      </c>
      <c r="BC67" s="5871"/>
      <c r="BD67" s="6305">
        <f>+BD36</f>
        <v>238.67000000000002</v>
      </c>
      <c r="BE67" s="6645"/>
      <c r="BF67" s="6642">
        <f>+BF36</f>
        <v>1761.4930000000002</v>
      </c>
    </row>
    <row r="68" spans="2:58" x14ac:dyDescent="0.2">
      <c r="B68" s="3938" t="s">
        <v>2172</v>
      </c>
      <c r="C68" s="3938"/>
      <c r="D68" s="1923" t="s">
        <v>170</v>
      </c>
      <c r="E68" s="5865"/>
      <c r="F68" s="5866">
        <f>+F66-F67</f>
        <v>7961.579999999999</v>
      </c>
      <c r="G68" s="5865"/>
      <c r="H68" s="5866">
        <f>+H66-H67</f>
        <v>43214.79</v>
      </c>
      <c r="I68" s="5869"/>
      <c r="J68" s="5867">
        <f>+J66-J67</f>
        <v>51176.369999999995</v>
      </c>
      <c r="K68" s="5865"/>
      <c r="L68" s="5866">
        <f>+L66-L67</f>
        <v>31849.077000000001</v>
      </c>
      <c r="M68" s="5871"/>
      <c r="N68" s="6305">
        <f>+N66-N67</f>
        <v>83025.446999999986</v>
      </c>
      <c r="O68" s="5865"/>
      <c r="P68" s="5866">
        <f>+P66-P67</f>
        <v>23826.460000000003</v>
      </c>
      <c r="Q68" s="5869"/>
      <c r="R68" s="5867">
        <f>+R66-R67</f>
        <v>106851.90700000001</v>
      </c>
      <c r="S68" s="5865"/>
      <c r="T68" s="5866">
        <f>+T66-T67</f>
        <v>30695.285000000011</v>
      </c>
      <c r="U68" s="5869"/>
      <c r="V68" s="5867">
        <f>+V66-V67</f>
        <v>137547.19200000001</v>
      </c>
      <c r="W68" s="5865"/>
      <c r="X68" s="5866">
        <f>+X66-X67</f>
        <v>31604.434999999998</v>
      </c>
      <c r="Y68" s="5871"/>
      <c r="Z68" s="6305">
        <f>+Z66-Z67</f>
        <v>86126.18</v>
      </c>
      <c r="AA68" s="6645"/>
      <c r="AB68" s="6642">
        <f>+AB66-AB67</f>
        <v>169151.62699999995</v>
      </c>
      <c r="AC68" s="5865"/>
      <c r="AD68" s="5866">
        <f>+AD66-AD67</f>
        <v>29375.324999999997</v>
      </c>
      <c r="AE68" s="5869"/>
      <c r="AF68" s="5867">
        <f>+AF66-AF67</f>
        <v>198526.95199999999</v>
      </c>
      <c r="AG68" s="5865"/>
      <c r="AH68" s="5866">
        <f>+AH66-AH67</f>
        <v>39340.354999999989</v>
      </c>
      <c r="AI68" s="5869"/>
      <c r="AJ68" s="5867">
        <f>+AJ66-AJ67</f>
        <v>237867.307</v>
      </c>
      <c r="AK68" s="5865"/>
      <c r="AL68" s="5866">
        <f>+AL66-AL67</f>
        <v>55262.612000000001</v>
      </c>
      <c r="AM68" s="5871"/>
      <c r="AN68" s="6305">
        <f>+AN66-AN67</f>
        <v>123978.29200000002</v>
      </c>
      <c r="AO68" s="5869"/>
      <c r="AP68" s="5867">
        <f>+AP66-AP67</f>
        <v>293129.91900000005</v>
      </c>
      <c r="AQ68" s="5865"/>
      <c r="AR68" s="5866">
        <f>+AR66-AR67</f>
        <v>45995.45</v>
      </c>
      <c r="AS68" s="5869"/>
      <c r="AT68" s="5867">
        <f>+AT66-AT67</f>
        <v>339125.36900000006</v>
      </c>
      <c r="AU68" s="5865"/>
      <c r="AV68" s="5866">
        <f>+AV66-AV67</f>
        <v>48746.937999999995</v>
      </c>
      <c r="AW68" s="5869"/>
      <c r="AX68" s="5867">
        <f>+AX66-AX67</f>
        <v>387872.30699999997</v>
      </c>
      <c r="AY68" s="5865"/>
      <c r="AZ68" s="5866">
        <f>+AZ66-AZ67</f>
        <v>50913.514999999992</v>
      </c>
      <c r="BA68" s="5871"/>
      <c r="BB68" s="6305">
        <f>+BB66-BB67</f>
        <v>145655.90300000002</v>
      </c>
      <c r="BC68" s="5871"/>
      <c r="BD68" s="6305">
        <f>+BD66-BD67</f>
        <v>269634.19500000007</v>
      </c>
      <c r="BE68" s="6645"/>
      <c r="BF68" s="6642">
        <f>+BF66-BF67</f>
        <v>438785.82200000004</v>
      </c>
    </row>
    <row r="69" spans="2:58" s="3380" customFormat="1" x14ac:dyDescent="0.2">
      <c r="E69" s="4408"/>
      <c r="F69" s="3453"/>
      <c r="G69" s="4408"/>
      <c r="H69" s="3453"/>
      <c r="I69" s="4408"/>
      <c r="J69" s="3453"/>
      <c r="K69" s="4408"/>
      <c r="L69" s="3453"/>
      <c r="M69" s="4408"/>
      <c r="N69" s="3453"/>
      <c r="O69" s="4408"/>
      <c r="P69" s="3453"/>
      <c r="Q69" s="4408"/>
      <c r="R69" s="3453"/>
      <c r="S69" s="4408"/>
      <c r="T69" s="3453"/>
      <c r="U69" s="4408"/>
      <c r="V69" s="3453"/>
      <c r="W69" s="4408"/>
      <c r="X69" s="3453"/>
      <c r="Y69" s="4408"/>
      <c r="Z69" s="3453"/>
      <c r="AA69" s="4408"/>
      <c r="AB69" s="3453"/>
      <c r="AC69" s="4408"/>
      <c r="AD69" s="3453"/>
      <c r="AE69" s="4408"/>
      <c r="AF69" s="3453"/>
      <c r="AG69" s="4408"/>
      <c r="AH69" s="3453"/>
      <c r="AI69" s="4408"/>
      <c r="AJ69" s="3453"/>
      <c r="AK69" s="4408"/>
      <c r="AL69" s="3453"/>
      <c r="AM69" s="4408"/>
      <c r="AN69" s="3453"/>
      <c r="AO69" s="4408"/>
      <c r="AP69" s="3453"/>
      <c r="AQ69" s="4408"/>
      <c r="AR69" s="3453"/>
      <c r="AS69" s="4408"/>
      <c r="AT69" s="3453"/>
      <c r="BA69" s="4408"/>
      <c r="BB69" s="3453"/>
      <c r="BC69" s="4408"/>
      <c r="BD69" s="3453"/>
      <c r="BE69" s="4408"/>
      <c r="BF69" s="3453"/>
    </row>
    <row r="70" spans="2:58" ht="16" thickBot="1" x14ac:dyDescent="0.25">
      <c r="B70" s="3938" t="s">
        <v>2177</v>
      </c>
      <c r="C70" s="3938"/>
      <c r="D70" s="1923" t="s">
        <v>170</v>
      </c>
      <c r="E70" s="5865"/>
      <c r="F70" s="5866">
        <f>+F63-F64-F65-F66</f>
        <v>0</v>
      </c>
      <c r="G70" s="5865"/>
      <c r="H70" s="5866">
        <f>+H63-H64-H65-H66</f>
        <v>4.9999999973806553E-3</v>
      </c>
      <c r="I70" s="5869"/>
      <c r="J70" s="5867">
        <f>+J63-J64-J65-J66</f>
        <v>4.9999999973806553E-3</v>
      </c>
      <c r="K70" s="5865"/>
      <c r="L70" s="5866">
        <f>+L63-L64-L65-L66</f>
        <v>0</v>
      </c>
      <c r="M70" s="5871"/>
      <c r="N70" s="6305">
        <f>+N63-N64-N65-N66</f>
        <v>5.0000000046566129E-3</v>
      </c>
      <c r="O70" s="5865"/>
      <c r="P70" s="5866">
        <f>+P63-P64-P65-P66</f>
        <v>0</v>
      </c>
      <c r="Q70" s="5869"/>
      <c r="R70" s="5867">
        <f>+R63-R64-R65-R66</f>
        <v>4.9999999755527824E-3</v>
      </c>
      <c r="S70" s="5865"/>
      <c r="T70" s="5866">
        <f>+T63-T64-T65-T66</f>
        <v>0</v>
      </c>
      <c r="U70" s="5869"/>
      <c r="V70" s="5867">
        <f>+V63-V64-V65-V66</f>
        <v>4.9999999755527824E-3</v>
      </c>
      <c r="W70" s="5865"/>
      <c r="X70" s="5866">
        <f>+X63-X64-X65-X66</f>
        <v>-1.0000000002037268E-2</v>
      </c>
      <c r="Y70" s="5871"/>
      <c r="Z70" s="6305">
        <f>+Z63-Z64-Z65-Z66</f>
        <v>-9.9999999947613105E-3</v>
      </c>
      <c r="AA70" s="6645"/>
      <c r="AB70" s="6642">
        <f>+AB63-AB64-AB65-AB66</f>
        <v>-5.0000000046566129E-3</v>
      </c>
      <c r="AC70" s="5865"/>
      <c r="AD70" s="5866">
        <f>+AD63-AD64-AD65-AD66</f>
        <v>0</v>
      </c>
      <c r="AE70" s="5869"/>
      <c r="AF70" s="5867">
        <f>+AF63-AF64-AF65-AF66</f>
        <v>-5.0000000337604433E-3</v>
      </c>
      <c r="AG70" s="5865"/>
      <c r="AH70" s="5866">
        <f>+AH63-AH64-AH65-AH66</f>
        <v>0</v>
      </c>
      <c r="AI70" s="5869"/>
      <c r="AJ70" s="5867">
        <f>+AJ63-AJ64-AJ65-AJ66</f>
        <v>-5.0000000628642738E-3</v>
      </c>
      <c r="AK70" s="5865"/>
      <c r="AL70" s="5866">
        <f>+AL63-AL64-AL65-AL66</f>
        <v>0</v>
      </c>
      <c r="AM70" s="5871"/>
      <c r="AN70" s="6305">
        <f>+AN63-AN64-AN65-AN66</f>
        <v>0</v>
      </c>
      <c r="AO70" s="5869"/>
      <c r="AP70" s="5867">
        <f>+AP63-AP64-AP65-AP66</f>
        <v>-5.0000001792795956E-3</v>
      </c>
      <c r="AQ70" s="5865"/>
      <c r="AR70" s="5866">
        <f>+AR63-AR64-AR65-AR66</f>
        <v>0</v>
      </c>
      <c r="AS70" s="5869"/>
      <c r="AT70" s="5867">
        <f>+AT63-AT64-AT65-AT66</f>
        <v>-5.0000001210719347E-3</v>
      </c>
      <c r="AU70" s="5866"/>
      <c r="AV70" s="5867">
        <f>+AV63-AV64-AV65-AV66</f>
        <v>1.0000000038417056E-3</v>
      </c>
      <c r="AW70" s="5867"/>
      <c r="AX70" s="5866">
        <f>+AX63-AX64-AX65-AX66</f>
        <v>-4.0000000153668225E-3</v>
      </c>
      <c r="AY70" s="5866"/>
      <c r="AZ70" s="5867">
        <f>+AZ63-AZ64-AZ65-AZ66</f>
        <v>0</v>
      </c>
      <c r="BA70" s="5871"/>
      <c r="BB70" s="6305">
        <f>+BB63-BB64-BB65-BB66</f>
        <v>9.9999998928979039E-4</v>
      </c>
      <c r="BC70" s="5871"/>
      <c r="BD70" s="6305">
        <f>+BD63-BD64-BD65-BD66</f>
        <v>9.9999993108212948E-4</v>
      </c>
      <c r="BE70" s="6645"/>
      <c r="BF70" s="6642">
        <f>+BF63-BF64-BF65-BF66</f>
        <v>-4.0000001317821443E-3</v>
      </c>
    </row>
    <row r="71" spans="2:58" ht="16" thickBot="1" x14ac:dyDescent="0.25">
      <c r="AC71" s="2100"/>
      <c r="AD71" s="2265"/>
      <c r="AE71" s="2100"/>
      <c r="AF71" s="2265"/>
      <c r="AG71" s="2100"/>
      <c r="AH71" s="2265"/>
      <c r="AI71" s="2100"/>
      <c r="AJ71" s="2265"/>
      <c r="AK71" s="2100"/>
      <c r="AL71" s="2265"/>
      <c r="AM71" s="2100"/>
      <c r="AN71" s="2265"/>
      <c r="AO71" s="8646"/>
      <c r="AP71" s="8647"/>
      <c r="AQ71" s="2100"/>
      <c r="AR71" s="2265"/>
      <c r="AS71" s="2100"/>
      <c r="AT71" s="2265"/>
    </row>
    <row r="72" spans="2:58" ht="27" hidden="1" customHeight="1" thickBot="1" x14ac:dyDescent="0.25">
      <c r="B72" s="8954" t="s">
        <v>2218</v>
      </c>
      <c r="C72" s="7444"/>
      <c r="F72" s="8952" t="s">
        <v>2221</v>
      </c>
      <c r="P72" s="8953" t="s">
        <v>2219</v>
      </c>
      <c r="T72" s="8952" t="s">
        <v>2220</v>
      </c>
      <c r="X72" s="8952" t="s">
        <v>2229</v>
      </c>
      <c r="Y72" s="6680"/>
      <c r="Z72" s="6675"/>
      <c r="AC72" s="2100"/>
      <c r="AD72" s="8952"/>
      <c r="AE72" s="2100"/>
      <c r="AF72" s="2265"/>
      <c r="AG72" s="2100"/>
      <c r="AH72" s="8952"/>
      <c r="AI72" s="2100"/>
      <c r="AJ72" s="2265"/>
      <c r="AK72" s="2100"/>
      <c r="AL72" s="8952" t="s">
        <v>2457</v>
      </c>
      <c r="AM72" s="6680"/>
      <c r="AN72" s="6675"/>
      <c r="AO72" s="3373"/>
      <c r="AP72" s="3866"/>
      <c r="AQ72" s="2100"/>
      <c r="AR72" s="8955"/>
      <c r="AS72" s="2100"/>
      <c r="AT72" s="2265"/>
      <c r="BA72" s="6680"/>
      <c r="BB72" s="6675"/>
      <c r="BC72" s="6680"/>
      <c r="BD72" s="6675"/>
    </row>
    <row r="73" spans="2:58" ht="35.25" hidden="1" customHeight="1" x14ac:dyDescent="0.2">
      <c r="B73" s="8954"/>
      <c r="C73" s="7444"/>
      <c r="F73" s="8952"/>
      <c r="P73" s="8953"/>
      <c r="T73" s="8952"/>
      <c r="X73" s="8952"/>
      <c r="Y73" s="6680"/>
      <c r="Z73" s="6675"/>
      <c r="AC73" s="2100"/>
      <c r="AD73" s="8952"/>
      <c r="AE73" s="2100"/>
      <c r="AF73" s="2265"/>
      <c r="AG73" s="2100"/>
      <c r="AH73" s="8952"/>
      <c r="AI73" s="2100"/>
      <c r="AJ73" s="2265"/>
      <c r="AK73" s="2100"/>
      <c r="AL73" s="8952"/>
      <c r="AM73" s="6680"/>
      <c r="AN73" s="6675"/>
      <c r="AO73" s="1882"/>
      <c r="AP73" s="2412"/>
      <c r="AQ73" s="2100"/>
      <c r="AR73" s="8955"/>
      <c r="AS73" s="2100"/>
      <c r="AT73" s="2265"/>
      <c r="BA73" s="6680"/>
      <c r="BB73" s="6675"/>
      <c r="BC73" s="6680"/>
      <c r="BD73" s="6675"/>
    </row>
    <row r="74" spans="2:58" ht="113.25" hidden="1" customHeight="1" x14ac:dyDescent="0.2">
      <c r="B74" s="8954"/>
      <c r="C74" s="7444"/>
      <c r="F74" s="8952"/>
      <c r="P74" s="8953"/>
      <c r="T74" s="8952"/>
      <c r="X74" s="8952"/>
      <c r="Y74" s="6680"/>
      <c r="Z74" s="6675"/>
      <c r="AC74" s="2100"/>
      <c r="AD74" s="8952"/>
      <c r="AE74" s="2100"/>
      <c r="AF74" s="2265"/>
      <c r="AG74" s="2100"/>
      <c r="AH74" s="8952"/>
      <c r="AI74" s="2100"/>
      <c r="AJ74" s="2265"/>
      <c r="AK74" s="2100"/>
      <c r="AL74" s="8952"/>
      <c r="AM74" s="6680"/>
      <c r="AN74" s="6675"/>
      <c r="AO74" s="5268"/>
      <c r="AP74" s="6094"/>
      <c r="AQ74" s="2100"/>
      <c r="AR74" s="8955"/>
      <c r="AS74" s="2100"/>
      <c r="AT74" s="2265"/>
      <c r="BA74" s="6680"/>
      <c r="BB74" s="6675"/>
      <c r="BC74" s="6680"/>
      <c r="BD74" s="6675"/>
    </row>
    <row r="75" spans="2:58" hidden="1" x14ac:dyDescent="0.2">
      <c r="AC75" s="2100"/>
      <c r="AD75" s="2265"/>
      <c r="AE75" s="2100"/>
      <c r="AF75" s="2265"/>
      <c r="AG75" s="2100"/>
      <c r="AH75" s="2265"/>
      <c r="AI75" s="2100"/>
      <c r="AJ75" s="2265"/>
      <c r="AK75" s="2100"/>
      <c r="AL75" s="2265"/>
      <c r="AM75" s="2100"/>
      <c r="AN75" s="2265"/>
      <c r="AO75" s="8946"/>
      <c r="AP75" s="1823"/>
      <c r="AQ75" s="2100"/>
      <c r="AR75" s="2265"/>
      <c r="AS75" s="2100"/>
      <c r="AT75" s="2265"/>
    </row>
    <row r="76" spans="2:58" hidden="1" x14ac:dyDescent="0.2">
      <c r="B76" s="7538" t="s">
        <v>2329</v>
      </c>
      <c r="C76" s="7538"/>
      <c r="D76" s="7538"/>
      <c r="E76" s="7539"/>
      <c r="F76" s="7540"/>
      <c r="G76" s="7539"/>
      <c r="H76" s="7540"/>
      <c r="I76" s="7539"/>
      <c r="J76" s="7540"/>
      <c r="K76" s="7539"/>
      <c r="L76" s="7540"/>
      <c r="M76" s="7539"/>
      <c r="N76" s="7540"/>
      <c r="O76" s="7539"/>
      <c r="P76" s="7540"/>
      <c r="Q76" s="7539"/>
      <c r="R76" s="7540"/>
      <c r="S76" s="7539"/>
      <c r="T76" s="7540"/>
      <c r="U76" s="7539"/>
      <c r="V76" s="7540"/>
      <c r="W76" s="7539"/>
      <c r="X76" s="7540"/>
      <c r="Y76" s="7539"/>
      <c r="Z76" s="7540"/>
      <c r="AA76" s="7539"/>
      <c r="AB76" s="7540"/>
      <c r="AC76" s="7539"/>
      <c r="AD76" s="7540"/>
      <c r="AE76" s="7539"/>
      <c r="AF76" s="7540"/>
      <c r="AG76" s="7539"/>
      <c r="AH76" s="7540"/>
      <c r="AI76" s="7539"/>
      <c r="AJ76" s="7540"/>
      <c r="AK76" s="7539"/>
      <c r="AL76" s="7540"/>
      <c r="AM76" s="7539"/>
      <c r="AN76" s="7540"/>
      <c r="AO76" s="8946"/>
      <c r="AP76" s="1823"/>
      <c r="AQ76" s="7539"/>
      <c r="AR76" s="7540"/>
      <c r="AS76" s="7539"/>
      <c r="AT76" s="7540"/>
      <c r="BA76" s="7539"/>
      <c r="BB76" s="7540"/>
      <c r="BC76" s="7539"/>
      <c r="BD76" s="7540"/>
      <c r="BE76" s="7539"/>
      <c r="BF76" s="7540"/>
    </row>
    <row r="77" spans="2:58" hidden="1" x14ac:dyDescent="0.2">
      <c r="B77" s="7538" t="s">
        <v>2330</v>
      </c>
      <c r="C77" s="7538" t="s">
        <v>2331</v>
      </c>
      <c r="D77" s="7538"/>
      <c r="E77" s="7539"/>
      <c r="F77" s="7540"/>
      <c r="G77" s="7539"/>
      <c r="H77" s="7540"/>
      <c r="I77" s="7539"/>
      <c r="J77" s="7540"/>
      <c r="K77" s="7539"/>
      <c r="L77" s="7540"/>
      <c r="M77" s="7539"/>
      <c r="N77" s="7540"/>
      <c r="O77" s="7539"/>
      <c r="P77" s="7540"/>
      <c r="Q77" s="7539"/>
      <c r="R77" s="7540"/>
      <c r="S77" s="7539"/>
      <c r="T77" s="7540"/>
      <c r="U77" s="7539"/>
      <c r="V77" s="7540"/>
      <c r="W77" s="7539"/>
      <c r="X77" s="7541">
        <v>17.16</v>
      </c>
      <c r="Y77" s="7539"/>
      <c r="Z77" s="7540"/>
      <c r="AA77" s="7539"/>
      <c r="AB77" s="7540"/>
      <c r="AC77" s="7539"/>
      <c r="AD77" s="7542">
        <v>0</v>
      </c>
      <c r="AE77" s="7539"/>
      <c r="AF77" s="7541">
        <f>+AD77+X77</f>
        <v>17.16</v>
      </c>
      <c r="AG77" s="7539"/>
      <c r="AH77" s="7540"/>
      <c r="AI77" s="7539"/>
      <c r="AJ77" s="7540"/>
      <c r="AK77" s="7539"/>
      <c r="AL77" s="7541"/>
      <c r="AM77" s="7539"/>
      <c r="AN77" s="7540"/>
      <c r="AO77" s="7893"/>
      <c r="AP77" s="1823"/>
      <c r="AQ77" s="7539"/>
      <c r="AR77" s="7541"/>
      <c r="AS77" s="7539"/>
      <c r="AT77" s="7540"/>
      <c r="BA77" s="7539"/>
      <c r="BB77" s="7540"/>
      <c r="BC77" s="7539"/>
      <c r="BD77" s="7540"/>
      <c r="BE77" s="7539"/>
      <c r="BF77" s="7540"/>
    </row>
    <row r="78" spans="2:58" s="7612" customFormat="1" hidden="1" x14ac:dyDescent="0.2">
      <c r="B78" s="7538" t="s">
        <v>2330</v>
      </c>
      <c r="C78" s="7538" t="s">
        <v>2333</v>
      </c>
      <c r="D78" s="7538"/>
      <c r="E78" s="7539"/>
      <c r="F78" s="7540"/>
      <c r="G78" s="7539"/>
      <c r="H78" s="7540"/>
      <c r="I78" s="7539"/>
      <c r="J78" s="7540"/>
      <c r="K78" s="7539"/>
      <c r="L78" s="7540"/>
      <c r="M78" s="7539"/>
      <c r="N78" s="7540"/>
      <c r="O78" s="7539"/>
      <c r="P78" s="7540"/>
      <c r="Q78" s="7539"/>
      <c r="R78" s="7540"/>
      <c r="S78" s="7539"/>
      <c r="T78" s="7540"/>
      <c r="U78" s="7539"/>
      <c r="V78" s="7540"/>
      <c r="W78" s="7539"/>
      <c r="X78" s="7541"/>
      <c r="Y78" s="7539"/>
      <c r="Z78" s="7540"/>
      <c r="AA78" s="7539"/>
      <c r="AB78" s="7540"/>
      <c r="AC78" s="7539"/>
      <c r="AD78" s="7542"/>
      <c r="AE78" s="7539"/>
      <c r="AF78" s="7541"/>
      <c r="AG78" s="7539"/>
      <c r="AH78" s="7541">
        <v>949.08000000000015</v>
      </c>
      <c r="AI78" s="7539"/>
      <c r="AJ78" s="7540"/>
      <c r="AK78" s="7539"/>
      <c r="AL78" s="7541"/>
      <c r="AM78" s="7539"/>
      <c r="AN78" s="7540"/>
      <c r="AO78" s="7894"/>
      <c r="AP78" s="1823"/>
      <c r="AQ78" s="7539"/>
      <c r="AR78" s="7541"/>
      <c r="AS78" s="7539"/>
      <c r="AT78" s="7540"/>
      <c r="AY78" s="8260"/>
      <c r="AZ78" s="8260"/>
      <c r="BA78" s="7539"/>
      <c r="BB78" s="7540"/>
      <c r="BC78" s="7539"/>
      <c r="BD78" s="7540"/>
      <c r="BE78" s="7539"/>
      <c r="BF78" s="7540"/>
    </row>
    <row r="79" spans="2:58" hidden="1" x14ac:dyDescent="0.2">
      <c r="B79" s="7538" t="s">
        <v>2332</v>
      </c>
      <c r="C79" s="7538" t="s">
        <v>2333</v>
      </c>
      <c r="D79" s="7538"/>
      <c r="E79" s="7539"/>
      <c r="F79" s="7540"/>
      <c r="G79" s="7539"/>
      <c r="H79" s="7540"/>
      <c r="I79" s="7539"/>
      <c r="J79" s="7540"/>
      <c r="K79" s="7539"/>
      <c r="L79" s="7540"/>
      <c r="M79" s="7539"/>
      <c r="N79" s="7540"/>
      <c r="O79" s="7539"/>
      <c r="P79" s="7540"/>
      <c r="Q79" s="7539"/>
      <c r="R79" s="7540"/>
      <c r="S79" s="7539"/>
      <c r="T79" s="7540"/>
      <c r="U79" s="7539"/>
      <c r="V79" s="7540"/>
      <c r="W79" s="7539"/>
      <c r="X79" s="7541">
        <v>1570.8000000000002</v>
      </c>
      <c r="Y79" s="7539"/>
      <c r="Z79" s="7540"/>
      <c r="AA79" s="7539"/>
      <c r="AB79" s="7540"/>
      <c r="AC79" s="7539"/>
      <c r="AD79" s="7541">
        <v>1969.4400000000003</v>
      </c>
      <c r="AE79" s="7539"/>
      <c r="AF79" s="7541">
        <f t="shared" ref="AF79:AF81" si="133">+AD79+X79</f>
        <v>3540.2400000000007</v>
      </c>
      <c r="AG79" s="7539"/>
      <c r="AH79" s="7541"/>
      <c r="AI79" s="7539"/>
      <c r="AJ79" s="7540"/>
      <c r="AK79" s="7539"/>
      <c r="AL79" s="7541"/>
      <c r="AM79" s="7539"/>
      <c r="AN79" s="7540"/>
      <c r="AO79" s="8614"/>
      <c r="AP79" s="1823"/>
      <c r="AQ79" s="7539"/>
      <c r="AR79" s="7541"/>
      <c r="AS79" s="7539"/>
      <c r="AT79" s="7540"/>
      <c r="BA79" s="7539"/>
      <c r="BB79" s="7540"/>
      <c r="BC79" s="7539"/>
      <c r="BD79" s="7540"/>
      <c r="BE79" s="7539"/>
      <c r="BF79" s="7540"/>
    </row>
    <row r="80" spans="2:58" s="7398" customFormat="1" hidden="1" x14ac:dyDescent="0.2">
      <c r="B80" s="7538" t="s">
        <v>2335</v>
      </c>
      <c r="C80" s="7538" t="s">
        <v>2333</v>
      </c>
      <c r="D80" s="7538"/>
      <c r="E80" s="7539"/>
      <c r="F80" s="7540"/>
      <c r="G80" s="7539"/>
      <c r="H80" s="7540"/>
      <c r="I80" s="7539"/>
      <c r="J80" s="7540"/>
      <c r="K80" s="7539"/>
      <c r="L80" s="7540"/>
      <c r="M80" s="7539"/>
      <c r="N80" s="7540"/>
      <c r="O80" s="7539"/>
      <c r="P80" s="7540"/>
      <c r="Q80" s="7539"/>
      <c r="R80" s="7540"/>
      <c r="S80" s="7539"/>
      <c r="T80" s="7540"/>
      <c r="U80" s="7539"/>
      <c r="V80" s="7540"/>
      <c r="W80" s="7539"/>
      <c r="X80" s="7541">
        <v>0</v>
      </c>
      <c r="Y80" s="7539"/>
      <c r="Z80" s="7540"/>
      <c r="AA80" s="7539"/>
      <c r="AB80" s="7540"/>
      <c r="AC80" s="7539"/>
      <c r="AD80" s="7541">
        <v>737.88</v>
      </c>
      <c r="AE80" s="7539"/>
      <c r="AF80" s="7541">
        <f t="shared" si="133"/>
        <v>737.88</v>
      </c>
      <c r="AG80" s="7539"/>
      <c r="AH80" s="7541"/>
      <c r="AI80" s="7539"/>
      <c r="AJ80" s="7540"/>
      <c r="AK80" s="7539"/>
      <c r="AL80" s="7541"/>
      <c r="AM80" s="7539"/>
      <c r="AN80" s="7540"/>
      <c r="AO80" s="8615"/>
      <c r="AP80" s="1823"/>
      <c r="AQ80" s="7539"/>
      <c r="AR80" s="7541"/>
      <c r="AS80" s="7539"/>
      <c r="AT80" s="7540"/>
      <c r="AY80" s="8260"/>
      <c r="AZ80" s="8260"/>
      <c r="BA80" s="7539"/>
      <c r="BB80" s="7540"/>
      <c r="BC80" s="7539"/>
      <c r="BD80" s="7540"/>
      <c r="BE80" s="7539"/>
      <c r="BF80" s="7540"/>
    </row>
    <row r="81" spans="2:58" hidden="1" x14ac:dyDescent="0.2">
      <c r="B81" s="7538" t="s">
        <v>2334</v>
      </c>
      <c r="C81" s="7538" t="s">
        <v>2333</v>
      </c>
      <c r="D81" s="7538"/>
      <c r="E81" s="7539"/>
      <c r="F81" s="7540"/>
      <c r="G81" s="7539"/>
      <c r="H81" s="7540"/>
      <c r="I81" s="7539"/>
      <c r="J81" s="7540"/>
      <c r="K81" s="7539"/>
      <c r="L81" s="7540"/>
      <c r="M81" s="7539"/>
      <c r="N81" s="7540"/>
      <c r="O81" s="7539"/>
      <c r="P81" s="7540"/>
      <c r="Q81" s="7539"/>
      <c r="R81" s="7540"/>
      <c r="S81" s="7539"/>
      <c r="T81" s="7540"/>
      <c r="U81" s="7539"/>
      <c r="V81" s="7540"/>
      <c r="W81" s="7539"/>
      <c r="X81" s="7541">
        <v>1071.8399999999999</v>
      </c>
      <c r="Y81" s="7539"/>
      <c r="Z81" s="7540"/>
      <c r="AA81" s="7539"/>
      <c r="AB81" s="7540"/>
      <c r="AC81" s="7538"/>
      <c r="AD81" s="7543">
        <v>0</v>
      </c>
      <c r="AE81" s="7538"/>
      <c r="AF81" s="7541">
        <f t="shared" si="133"/>
        <v>1071.8399999999999</v>
      </c>
      <c r="AG81" s="7539"/>
      <c r="AH81" s="7541">
        <v>2728.44</v>
      </c>
      <c r="AI81" s="7539"/>
      <c r="AJ81" s="7540"/>
      <c r="AK81" s="7539"/>
      <c r="AL81" s="7541"/>
      <c r="AM81" s="7539"/>
      <c r="AN81" s="7540"/>
      <c r="AO81" s="8615"/>
      <c r="AP81" s="1823"/>
      <c r="AQ81" s="7539"/>
      <c r="AR81" s="7541"/>
      <c r="AS81" s="7539"/>
      <c r="AT81" s="7540"/>
      <c r="BA81" s="7539"/>
      <c r="BB81" s="7540"/>
      <c r="BC81" s="7539"/>
      <c r="BD81" s="7540"/>
      <c r="BE81" s="7539"/>
      <c r="BF81" s="7540"/>
    </row>
    <row r="82" spans="2:58" ht="16" hidden="1" x14ac:dyDescent="0.2">
      <c r="B82" s="7538" t="s">
        <v>15</v>
      </c>
      <c r="C82" s="7538"/>
      <c r="D82" s="7538"/>
      <c r="E82" s="7539"/>
      <c r="F82" s="7540"/>
      <c r="G82" s="7539"/>
      <c r="H82" s="7540"/>
      <c r="I82" s="7539"/>
      <c r="J82" s="7540"/>
      <c r="K82" s="7539"/>
      <c r="L82" s="7540"/>
      <c r="M82" s="7539"/>
      <c r="N82" s="7540"/>
      <c r="O82" s="7539"/>
      <c r="P82" s="7540"/>
      <c r="Q82" s="7539"/>
      <c r="R82" s="7540"/>
      <c r="S82" s="7539"/>
      <c r="T82" s="7540"/>
      <c r="U82" s="7539"/>
      <c r="V82" s="7540"/>
      <c r="W82" s="7539"/>
      <c r="X82" s="7544">
        <f>SUM(X77:X81)</f>
        <v>2659.8</v>
      </c>
      <c r="Y82" s="7539"/>
      <c r="Z82" s="7540"/>
      <c r="AA82" s="7539"/>
      <c r="AB82" s="7540"/>
      <c r="AC82" s="7538"/>
      <c r="AD82" s="7544">
        <f>SUM(AD77:AD81)</f>
        <v>2707.32</v>
      </c>
      <c r="AE82" s="7538"/>
      <c r="AF82" s="7544">
        <f>SUM(AF77:AF81)</f>
        <v>5367.1200000000008</v>
      </c>
      <c r="AG82" s="7539"/>
      <c r="AH82" s="7661">
        <f>SUM(AH78:AH81)</f>
        <v>3677.5200000000004</v>
      </c>
      <c r="AI82" s="7539"/>
      <c r="AJ82" s="7540"/>
      <c r="AK82" s="7539"/>
      <c r="AL82" s="7544">
        <f>SUM(AL77:AL81)</f>
        <v>0</v>
      </c>
      <c r="AM82" s="7539"/>
      <c r="AN82" s="7540"/>
      <c r="AO82" s="8615"/>
      <c r="AP82" s="1823"/>
      <c r="AQ82" s="7539"/>
      <c r="AR82" s="7544">
        <f>SUM(AR77:AR81)</f>
        <v>0</v>
      </c>
      <c r="AS82" s="7539"/>
      <c r="AT82" s="7540"/>
      <c r="BA82" s="7539"/>
      <c r="BB82" s="7540"/>
      <c r="BC82" s="7539"/>
      <c r="BD82" s="7540"/>
      <c r="BE82" s="7539"/>
      <c r="BF82" s="7540"/>
    </row>
    <row r="83" spans="2:58" hidden="1" x14ac:dyDescent="0.2">
      <c r="AG83" s="2100"/>
      <c r="AH83" s="2265"/>
      <c r="AI83" s="2100"/>
      <c r="AJ83" s="2265"/>
      <c r="AQ83" s="8094"/>
      <c r="AR83" s="8094"/>
      <c r="AS83" s="2100"/>
      <c r="AT83" s="2265"/>
    </row>
    <row r="84" spans="2:58" hidden="1" x14ac:dyDescent="0.2">
      <c r="AG84" s="2100"/>
      <c r="AH84" s="2265"/>
      <c r="AI84" s="2100"/>
      <c r="AJ84" s="2265"/>
      <c r="AQ84" s="8094"/>
      <c r="AR84" s="8094"/>
      <c r="AS84" s="2100"/>
      <c r="AT84" s="2265"/>
    </row>
    <row r="85" spans="2:58" hidden="1" x14ac:dyDescent="0.2">
      <c r="AG85" s="2100"/>
      <c r="AH85" s="2265"/>
      <c r="AI85" s="2100"/>
      <c r="AJ85" s="2265"/>
      <c r="AQ85" s="8094"/>
      <c r="AR85" s="8094"/>
      <c r="AS85" s="2100"/>
      <c r="AT85" s="2265"/>
    </row>
    <row r="86" spans="2:58" x14ac:dyDescent="0.2">
      <c r="AG86" s="2100"/>
      <c r="AH86" s="2265"/>
      <c r="AI86" s="2100"/>
      <c r="AJ86" s="2265"/>
      <c r="AQ86" s="8094"/>
      <c r="AR86" s="8094"/>
      <c r="AS86" s="2100"/>
      <c r="AT86" s="2265"/>
    </row>
    <row r="87" spans="2:58" x14ac:dyDescent="0.2">
      <c r="AG87" s="2100"/>
      <c r="AH87" s="2265"/>
      <c r="AI87" s="2100"/>
      <c r="AJ87" s="2265"/>
      <c r="AQ87" s="8094"/>
      <c r="AR87" s="8094"/>
      <c r="AS87" s="2100"/>
      <c r="AT87" s="2265"/>
    </row>
    <row r="88" spans="2:58" x14ac:dyDescent="0.2">
      <c r="AG88" s="2100"/>
      <c r="AH88" s="2265"/>
      <c r="AI88" s="2100"/>
      <c r="AJ88" s="2265"/>
      <c r="AQ88" s="8094"/>
      <c r="AR88" s="8094"/>
      <c r="AS88" s="2100"/>
      <c r="AT88" s="2265"/>
    </row>
    <row r="89" spans="2:58" x14ac:dyDescent="0.2">
      <c r="AG89" s="2100"/>
      <c r="AH89" s="2265"/>
      <c r="AI89" s="2100"/>
      <c r="AJ89" s="2265"/>
      <c r="AQ89" s="8094"/>
      <c r="AR89" s="8094"/>
      <c r="AS89" s="2100"/>
      <c r="AT89" s="2265"/>
    </row>
    <row r="90" spans="2:58" x14ac:dyDescent="0.2">
      <c r="AG90" s="2100"/>
      <c r="AH90" s="2265"/>
      <c r="AI90" s="2100"/>
      <c r="AJ90" s="2265"/>
      <c r="AQ90" s="8094"/>
      <c r="AR90" s="8094"/>
      <c r="AS90" s="2100"/>
      <c r="AT90" s="2265"/>
    </row>
    <row r="91" spans="2:58" x14ac:dyDescent="0.2">
      <c r="AG91" s="2100"/>
      <c r="AH91" s="2265"/>
      <c r="AI91" s="2100"/>
      <c r="AJ91" s="2265"/>
      <c r="AQ91" s="8094"/>
      <c r="AR91" s="8094"/>
      <c r="AS91" s="2100"/>
      <c r="AT91" s="2265"/>
    </row>
    <row r="92" spans="2:58" x14ac:dyDescent="0.2">
      <c r="AG92" s="2100"/>
      <c r="AH92" s="2265"/>
      <c r="AI92" s="2100"/>
      <c r="AJ92" s="2265"/>
      <c r="AQ92" s="8094"/>
      <c r="AR92" s="8094"/>
      <c r="AS92" s="2100"/>
      <c r="AT92" s="2265"/>
    </row>
    <row r="93" spans="2:58" x14ac:dyDescent="0.2">
      <c r="AG93" s="2100"/>
      <c r="AH93" s="2265"/>
      <c r="AI93" s="2100"/>
      <c r="AJ93" s="2265"/>
      <c r="AS93" s="2100"/>
      <c r="AT93" s="2265"/>
    </row>
    <row r="94" spans="2:58" x14ac:dyDescent="0.2">
      <c r="AG94" s="2100"/>
      <c r="AH94" s="2265"/>
      <c r="AI94" s="2100"/>
      <c r="AJ94" s="2265"/>
    </row>
  </sheetData>
  <autoFilter ref="C5:C53" xr:uid="{00000000-0009-0000-0000-000012000000}"/>
  <mergeCells count="204">
    <mergeCell ref="AQ3:AR3"/>
    <mergeCell ref="AQ8:AQ10"/>
    <mergeCell ref="AQ13:AQ16"/>
    <mergeCell ref="AQ17:AQ20"/>
    <mergeCell ref="AQ21:AQ22"/>
    <mergeCell ref="AQ23:AQ27"/>
    <mergeCell ref="AQ29:AQ33"/>
    <mergeCell ref="AR72:AR74"/>
    <mergeCell ref="AS3:AT3"/>
    <mergeCell ref="AS8:AS10"/>
    <mergeCell ref="AS13:AS16"/>
    <mergeCell ref="AS17:AS20"/>
    <mergeCell ref="AS21:AS22"/>
    <mergeCell ref="AS23:AS27"/>
    <mergeCell ref="AS29:AS33"/>
    <mergeCell ref="AO75:AO76"/>
    <mergeCell ref="AO79:AO82"/>
    <mergeCell ref="AK29:AK33"/>
    <mergeCell ref="AM29:AM33"/>
    <mergeCell ref="AO29:AO33"/>
    <mergeCell ref="AL72:AL74"/>
    <mergeCell ref="AK17:AK20"/>
    <mergeCell ref="AM17:AM20"/>
    <mergeCell ref="AO17:AO20"/>
    <mergeCell ref="AK21:AK22"/>
    <mergeCell ref="AM21:AM22"/>
    <mergeCell ref="AO21:AO22"/>
    <mergeCell ref="AK23:AK27"/>
    <mergeCell ref="AM23:AM27"/>
    <mergeCell ref="AO23:AO27"/>
    <mergeCell ref="AO71:AP71"/>
    <mergeCell ref="AK3:AL3"/>
    <mergeCell ref="AM3:AN3"/>
    <mergeCell ref="AO3:AP3"/>
    <mergeCell ref="AK8:AK10"/>
    <mergeCell ref="AM8:AM10"/>
    <mergeCell ref="AO8:AO10"/>
    <mergeCell ref="AK13:AK16"/>
    <mergeCell ref="AM13:AM16"/>
    <mergeCell ref="AO13:AO16"/>
    <mergeCell ref="AG23:AG27"/>
    <mergeCell ref="AI23:AI27"/>
    <mergeCell ref="AG29:AG33"/>
    <mergeCell ref="AI29:AI33"/>
    <mergeCell ref="AH72:AH74"/>
    <mergeCell ref="AG3:AH3"/>
    <mergeCell ref="AI3:AJ3"/>
    <mergeCell ref="AG8:AG10"/>
    <mergeCell ref="AI8:AI10"/>
    <mergeCell ref="AG13:AG16"/>
    <mergeCell ref="AI13:AI16"/>
    <mergeCell ref="AG17:AG20"/>
    <mergeCell ref="AI17:AI20"/>
    <mergeCell ref="AG21:AG22"/>
    <mergeCell ref="AI21:AI22"/>
    <mergeCell ref="AD72:AD74"/>
    <mergeCell ref="AC13:AC16"/>
    <mergeCell ref="AE13:AE16"/>
    <mergeCell ref="AC17:AC20"/>
    <mergeCell ref="AE17:AE20"/>
    <mergeCell ref="AC21:AC22"/>
    <mergeCell ref="AE21:AE22"/>
    <mergeCell ref="AC23:AC27"/>
    <mergeCell ref="AE23:AE27"/>
    <mergeCell ref="X72:X74"/>
    <mergeCell ref="Y3:Z3"/>
    <mergeCell ref="Y8:Y10"/>
    <mergeCell ref="Y13:Y16"/>
    <mergeCell ref="Y17:Y20"/>
    <mergeCell ref="Y21:Y22"/>
    <mergeCell ref="Y23:Y27"/>
    <mergeCell ref="Y29:Y33"/>
    <mergeCell ref="W13:W16"/>
    <mergeCell ref="W17:W20"/>
    <mergeCell ref="W21:W22"/>
    <mergeCell ref="W23:W27"/>
    <mergeCell ref="W3:X3"/>
    <mergeCell ref="F72:F74"/>
    <mergeCell ref="P72:P74"/>
    <mergeCell ref="B72:B74"/>
    <mergeCell ref="T72:T74"/>
    <mergeCell ref="S23:S27"/>
    <mergeCell ref="U23:U27"/>
    <mergeCell ref="S29:S33"/>
    <mergeCell ref="U29:U33"/>
    <mergeCell ref="S13:S16"/>
    <mergeCell ref="U13:U16"/>
    <mergeCell ref="S17:S20"/>
    <mergeCell ref="U17:U20"/>
    <mergeCell ref="S21:S22"/>
    <mergeCell ref="U21:U22"/>
    <mergeCell ref="Q29:Q33"/>
    <mergeCell ref="Q21:Q22"/>
    <mergeCell ref="Q23:Q27"/>
    <mergeCell ref="M29:M33"/>
    <mergeCell ref="M21:M22"/>
    <mergeCell ref="O21:O22"/>
    <mergeCell ref="Q17:Q20"/>
    <mergeCell ref="M17:M20"/>
    <mergeCell ref="G29:G33"/>
    <mergeCell ref="G23:G27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K29:K33"/>
    <mergeCell ref="I17:I20"/>
    <mergeCell ref="O29:O33"/>
    <mergeCell ref="M13:M16"/>
    <mergeCell ref="E29:E33"/>
    <mergeCell ref="I13:I16"/>
    <mergeCell ref="K13:K16"/>
    <mergeCell ref="G13:G16"/>
    <mergeCell ref="K17:K20"/>
    <mergeCell ref="I23:I27"/>
    <mergeCell ref="I29:I33"/>
    <mergeCell ref="K21:K22"/>
    <mergeCell ref="K23:K27"/>
    <mergeCell ref="I21:I22"/>
    <mergeCell ref="O17:O20"/>
    <mergeCell ref="O23:O27"/>
    <mergeCell ref="M23:M27"/>
    <mergeCell ref="E13:E16"/>
    <mergeCell ref="E17:E20"/>
    <mergeCell ref="G17:G20"/>
    <mergeCell ref="S3:T3"/>
    <mergeCell ref="U3:V3"/>
    <mergeCell ref="S8:S10"/>
    <mergeCell ref="U8:U10"/>
    <mergeCell ref="O8:O10"/>
    <mergeCell ref="Q8:Q10"/>
    <mergeCell ref="E8:E10"/>
    <mergeCell ref="G8:G10"/>
    <mergeCell ref="I8:I10"/>
    <mergeCell ref="K8:K10"/>
    <mergeCell ref="M8:M10"/>
    <mergeCell ref="Q13:Q16"/>
    <mergeCell ref="E21:E22"/>
    <mergeCell ref="E23:E27"/>
    <mergeCell ref="G21:G22"/>
    <mergeCell ref="AY17:AY20"/>
    <mergeCell ref="AY21:AY22"/>
    <mergeCell ref="AY23:AY27"/>
    <mergeCell ref="AY29:AY33"/>
    <mergeCell ref="BE3:BF3"/>
    <mergeCell ref="BA8:BA10"/>
    <mergeCell ref="BE8:BE10"/>
    <mergeCell ref="BA13:BA16"/>
    <mergeCell ref="O13:O16"/>
    <mergeCell ref="W8:W10"/>
    <mergeCell ref="AA8:AA10"/>
    <mergeCell ref="AC3:AD3"/>
    <mergeCell ref="AE3:AF3"/>
    <mergeCell ref="AC8:AC10"/>
    <mergeCell ref="AE8:AE10"/>
    <mergeCell ref="W29:W33"/>
    <mergeCell ref="AA29:AA33"/>
    <mergeCell ref="AA13:AA16"/>
    <mergeCell ref="AA17:AA20"/>
    <mergeCell ref="AA21:AA22"/>
    <mergeCell ref="AA23:AA27"/>
    <mergeCell ref="AA3:AB3"/>
    <mergeCell ref="AC29:AC33"/>
    <mergeCell ref="AE29:AE33"/>
    <mergeCell ref="BC29:BC33"/>
    <mergeCell ref="BE23:BE27"/>
    <mergeCell ref="BA29:BA33"/>
    <mergeCell ref="BE29:BE33"/>
    <mergeCell ref="BC3:BD3"/>
    <mergeCell ref="BC8:BC10"/>
    <mergeCell ref="BC13:BC16"/>
    <mergeCell ref="AU23:AU27"/>
    <mergeCell ref="AW23:AW27"/>
    <mergeCell ref="AU29:AU33"/>
    <mergeCell ref="AW29:AW33"/>
    <mergeCell ref="AU3:AV3"/>
    <mergeCell ref="AW3:AX3"/>
    <mergeCell ref="AU8:AU10"/>
    <mergeCell ref="AW8:AW10"/>
    <mergeCell ref="AU13:AU16"/>
    <mergeCell ref="AW13:AW16"/>
    <mergeCell ref="AU17:AU20"/>
    <mergeCell ref="AW17:AW20"/>
    <mergeCell ref="AU21:AU22"/>
    <mergeCell ref="AW21:AW22"/>
    <mergeCell ref="AY3:AZ3"/>
    <mergeCell ref="AY8:AY10"/>
    <mergeCell ref="AY13:AY16"/>
    <mergeCell ref="BA3:BB3"/>
    <mergeCell ref="BA23:BA27"/>
    <mergeCell ref="BE13:BE16"/>
    <mergeCell ref="BA17:BA20"/>
    <mergeCell ref="BE17:BE20"/>
    <mergeCell ref="BA21:BA22"/>
    <mergeCell ref="BE21:BE22"/>
    <mergeCell ref="BC17:BC20"/>
    <mergeCell ref="BC21:BC22"/>
    <mergeCell ref="BC23:BC27"/>
  </mergeCells>
  <pageMargins left="0.7" right="0.7" top="0.25" bottom="0.25" header="0.3" footer="0.3"/>
  <pageSetup scale="6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B1:BF96"/>
  <sheetViews>
    <sheetView zoomScale="130" zoomScaleNormal="130" workbookViewId="0">
      <pane xSplit="5" topLeftCell="BB1" activePane="topRight" state="frozen"/>
      <selection pane="topRight" activeCell="BA60" sqref="BA60"/>
    </sheetView>
  </sheetViews>
  <sheetFormatPr baseColWidth="10" defaultColWidth="9.1640625" defaultRowHeight="15" x14ac:dyDescent="0.2"/>
  <cols>
    <col min="1" max="1" width="9.1640625" style="7386"/>
    <col min="2" max="2" width="39.33203125" style="7386" bestFit="1" customWidth="1"/>
    <col min="3" max="3" width="10.33203125" style="7386" bestFit="1" customWidth="1"/>
    <col min="4" max="4" width="12" style="7386" customWidth="1"/>
    <col min="5" max="5" width="15.1640625" style="7386" bestFit="1" customWidth="1"/>
    <col min="6" max="6" width="15.6640625" style="2100" hidden="1" customWidth="1"/>
    <col min="7" max="7" width="14.5" style="2265" hidden="1" customWidth="1"/>
    <col min="8" max="8" width="16.6640625" style="2100" hidden="1" customWidth="1"/>
    <col min="9" max="9" width="17.33203125" style="2265" hidden="1" customWidth="1"/>
    <col min="10" max="10" width="9.1640625" style="2100" hidden="1" customWidth="1"/>
    <col min="11" max="11" width="9.5" style="2265" hidden="1" customWidth="1"/>
    <col min="12" max="12" width="15.6640625" style="2100" hidden="1" customWidth="1"/>
    <col min="13" max="13" width="14.5" style="2265" hidden="1" customWidth="1"/>
    <col min="14" max="14" width="13.5" style="2100" hidden="1" customWidth="1"/>
    <col min="15" max="15" width="15.33203125" style="2265" hidden="1" customWidth="1"/>
    <col min="16" max="16" width="9.1640625" style="2100" hidden="1" customWidth="1"/>
    <col min="17" max="17" width="11.83203125" style="2265" hidden="1" customWidth="1"/>
    <col min="18" max="18" width="12.1640625" style="2100" hidden="1" customWidth="1"/>
    <col min="19" max="19" width="9.5" style="2265" hidden="1" customWidth="1"/>
    <col min="20" max="20" width="10.83203125" style="2100" hidden="1" customWidth="1"/>
    <col min="21" max="21" width="9.1640625" style="2265" hidden="1" customWidth="1"/>
    <col min="22" max="22" width="9.1640625" style="2100" hidden="1" customWidth="1"/>
    <col min="23" max="23" width="9.1640625" style="2265" hidden="1" customWidth="1"/>
    <col min="24" max="24" width="9.1640625" style="2100" hidden="1" customWidth="1"/>
    <col min="25" max="25" width="19.6640625" style="2265" hidden="1" customWidth="1"/>
    <col min="26" max="26" width="10.5" style="2100" hidden="1" customWidth="1"/>
    <col min="27" max="27" width="10.5" style="2265" hidden="1" customWidth="1"/>
    <col min="28" max="28" width="9.1640625" style="2100" hidden="1" customWidth="1"/>
    <col min="29" max="29" width="9.1640625" style="2265" hidden="1" customWidth="1"/>
    <col min="30" max="39" width="9.1640625" style="7386"/>
    <col min="40" max="41" width="9.5" style="7386" bestFit="1" customWidth="1"/>
    <col min="42" max="51" width="9.1640625" style="7386"/>
    <col min="52" max="53" width="9.1640625" style="8260"/>
    <col min="54" max="54" width="12.1640625" style="8260" customWidth="1"/>
    <col min="55" max="55" width="9.5" style="8260" bestFit="1" customWidth="1"/>
    <col min="56" max="57" width="9.1640625" style="8260"/>
    <col min="58" max="16384" width="9.1640625" style="7386"/>
  </cols>
  <sheetData>
    <row r="1" spans="2:58" ht="23" x14ac:dyDescent="0.25">
      <c r="B1" s="1641" t="s">
        <v>447</v>
      </c>
      <c r="C1" s="1641"/>
      <c r="D1" s="1641"/>
      <c r="E1" s="1537"/>
      <c r="F1" s="2883"/>
      <c r="G1" s="1833"/>
      <c r="H1" s="2883"/>
      <c r="I1" s="1833"/>
      <c r="J1" s="2883"/>
      <c r="K1" s="1833"/>
      <c r="BF1" s="1673">
        <f>+BE5-BF33</f>
        <v>91270.327849104113</v>
      </c>
    </row>
    <row r="2" spans="2:58" ht="16" thickBot="1" x14ac:dyDescent="0.25">
      <c r="B2" s="1537"/>
      <c r="C2" s="1537"/>
      <c r="D2" s="1537"/>
      <c r="E2" s="1537"/>
      <c r="F2" s="2842">
        <v>0</v>
      </c>
      <c r="G2" s="2318">
        <v>0</v>
      </c>
      <c r="H2" s="2842">
        <v>0</v>
      </c>
      <c r="I2" s="2318">
        <v>0</v>
      </c>
      <c r="J2" s="2842">
        <f>+F2+H2</f>
        <v>0</v>
      </c>
      <c r="K2" s="2318">
        <f>+G2+I2</f>
        <v>0</v>
      </c>
      <c r="L2" s="2842">
        <v>0</v>
      </c>
      <c r="M2" s="2318">
        <v>0</v>
      </c>
      <c r="N2" s="2842">
        <f>+J2+L2</f>
        <v>0</v>
      </c>
      <c r="O2" s="2318">
        <f>+K2+M2</f>
        <v>0</v>
      </c>
      <c r="P2" s="2842">
        <v>0</v>
      </c>
      <c r="Q2" s="2318">
        <v>0</v>
      </c>
      <c r="R2" s="2842">
        <f>+N2+P2</f>
        <v>0</v>
      </c>
      <c r="S2" s="2318">
        <f>+O2+Q2</f>
        <v>0</v>
      </c>
      <c r="T2" s="2842">
        <v>0</v>
      </c>
      <c r="U2" s="2318">
        <v>0</v>
      </c>
      <c r="V2" s="2842">
        <f>+R2+T2</f>
        <v>0</v>
      </c>
      <c r="W2" s="2318">
        <f>+S2+U2</f>
        <v>0</v>
      </c>
      <c r="X2" s="2842">
        <v>0</v>
      </c>
      <c r="Y2" s="2318">
        <v>0</v>
      </c>
      <c r="Z2" s="2842">
        <f>+P2+T2+X2</f>
        <v>0</v>
      </c>
      <c r="AA2" s="2318">
        <f>+Q2+U2+Y2</f>
        <v>0</v>
      </c>
      <c r="AB2" s="2842">
        <f>+V2+X2</f>
        <v>0</v>
      </c>
      <c r="AC2" s="2318">
        <f>+W2+Y2</f>
        <v>0</v>
      </c>
      <c r="AD2" s="2842">
        <v>31</v>
      </c>
      <c r="AE2" s="2318">
        <v>31</v>
      </c>
      <c r="AF2" s="2842">
        <f>+AB2+AD2</f>
        <v>31</v>
      </c>
      <c r="AG2" s="2318">
        <f>+AC2+AE2</f>
        <v>31</v>
      </c>
      <c r="AH2" s="2842">
        <v>30</v>
      </c>
      <c r="AI2" s="2318">
        <v>30</v>
      </c>
      <c r="AJ2" s="2842">
        <f>+AF2+AH2</f>
        <v>61</v>
      </c>
      <c r="AK2" s="2318">
        <f>+AG2+AI2</f>
        <v>61</v>
      </c>
      <c r="AL2" s="2842">
        <v>31</v>
      </c>
      <c r="AM2" s="2318">
        <v>31</v>
      </c>
      <c r="AN2" s="2842">
        <f>+AD2+AH2+AL2</f>
        <v>92</v>
      </c>
      <c r="AO2" s="2318">
        <f>+AE2+AI2+AM2</f>
        <v>92</v>
      </c>
      <c r="AP2" s="2842">
        <f>+AJ2+AL2</f>
        <v>92</v>
      </c>
      <c r="AQ2" s="2318">
        <f>+AK2+AM2</f>
        <v>92</v>
      </c>
      <c r="AR2" s="2842">
        <v>31</v>
      </c>
      <c r="AS2" s="2318">
        <v>31</v>
      </c>
      <c r="AT2" s="2842">
        <f>+AP2+AR2</f>
        <v>123</v>
      </c>
      <c r="AU2" s="2318">
        <f>+AQ2+AS2</f>
        <v>123</v>
      </c>
      <c r="AV2" s="2842">
        <v>28</v>
      </c>
      <c r="AW2" s="2318">
        <v>28</v>
      </c>
      <c r="AX2" s="2842">
        <f>+AT2+AV2</f>
        <v>151</v>
      </c>
      <c r="AY2" s="2318">
        <f>+AU2+AW2</f>
        <v>151</v>
      </c>
      <c r="AZ2" s="2842">
        <v>31</v>
      </c>
      <c r="BA2" s="2318">
        <v>31</v>
      </c>
      <c r="BB2" s="2842">
        <f>+AR2+AV2+AZ2</f>
        <v>90</v>
      </c>
      <c r="BC2" s="2318">
        <f>+AS2+AW2+BA2</f>
        <v>90</v>
      </c>
      <c r="BD2" s="2842">
        <f>+AX2+AZ2</f>
        <v>182</v>
      </c>
      <c r="BE2" s="2318">
        <f>+AY2+BA2</f>
        <v>182</v>
      </c>
    </row>
    <row r="3" spans="2:58" ht="16" thickBot="1" x14ac:dyDescent="0.25">
      <c r="B3" s="8640" t="s">
        <v>657</v>
      </c>
      <c r="C3" s="8926" t="s">
        <v>2269</v>
      </c>
      <c r="D3" s="8958" t="s">
        <v>2270</v>
      </c>
      <c r="E3" s="8642" t="s">
        <v>658</v>
      </c>
      <c r="F3" s="8644" t="s">
        <v>1859</v>
      </c>
      <c r="G3" s="8645"/>
      <c r="H3" s="8644" t="s">
        <v>1862</v>
      </c>
      <c r="I3" s="8644"/>
      <c r="J3" s="8646" t="s">
        <v>52</v>
      </c>
      <c r="K3" s="8647"/>
      <c r="L3" s="8703" t="s">
        <v>1863</v>
      </c>
      <c r="M3" s="8704"/>
      <c r="N3" s="8700" t="s">
        <v>1568</v>
      </c>
      <c r="O3" s="8699"/>
      <c r="P3" s="8644" t="s">
        <v>1864</v>
      </c>
      <c r="Q3" s="8644"/>
      <c r="R3" s="8646" t="s">
        <v>62</v>
      </c>
      <c r="S3" s="8647"/>
      <c r="T3" s="8644" t="s">
        <v>2160</v>
      </c>
      <c r="U3" s="8644"/>
      <c r="V3" s="8646" t="s">
        <v>64</v>
      </c>
      <c r="W3" s="8647"/>
      <c r="X3" s="8644" t="s">
        <v>2227</v>
      </c>
      <c r="Y3" s="8644"/>
      <c r="Z3" s="8698" t="s">
        <v>1717</v>
      </c>
      <c r="AA3" s="8699"/>
      <c r="AB3" s="8701" t="s">
        <v>1697</v>
      </c>
      <c r="AC3" s="8702"/>
      <c r="AD3" s="8644" t="s">
        <v>2265</v>
      </c>
      <c r="AE3" s="8644"/>
      <c r="AF3" s="8646" t="s">
        <v>101</v>
      </c>
      <c r="AG3" s="8647"/>
      <c r="AH3" s="8644" t="s">
        <v>2423</v>
      </c>
      <c r="AI3" s="8644"/>
      <c r="AJ3" s="8646" t="s">
        <v>105</v>
      </c>
      <c r="AK3" s="8647"/>
      <c r="AL3" s="8644" t="s">
        <v>2449</v>
      </c>
      <c r="AM3" s="8644"/>
      <c r="AN3" s="8698" t="s">
        <v>1756</v>
      </c>
      <c r="AO3" s="8699"/>
      <c r="AP3" s="8646" t="s">
        <v>2448</v>
      </c>
      <c r="AQ3" s="8647"/>
      <c r="AR3" s="8644" t="s">
        <v>2533</v>
      </c>
      <c r="AS3" s="8644"/>
      <c r="AT3" s="8646" t="s">
        <v>110</v>
      </c>
      <c r="AU3" s="8647"/>
      <c r="AV3" s="8644" t="s">
        <v>2577</v>
      </c>
      <c r="AW3" s="8644"/>
      <c r="AX3" s="8646" t="s">
        <v>113</v>
      </c>
      <c r="AY3" s="8647"/>
      <c r="AZ3" s="8644" t="s">
        <v>2600</v>
      </c>
      <c r="BA3" s="8644"/>
      <c r="BB3" s="8698" t="s">
        <v>1757</v>
      </c>
      <c r="BC3" s="8699"/>
      <c r="BD3" s="8646" t="s">
        <v>1865</v>
      </c>
      <c r="BE3" s="8647"/>
    </row>
    <row r="4" spans="2:58" ht="16" thickBot="1" x14ac:dyDescent="0.25">
      <c r="B4" s="8641"/>
      <c r="C4" s="8957"/>
      <c r="D4" s="8959"/>
      <c r="E4" s="8643"/>
      <c r="F4" s="7387" t="s">
        <v>659</v>
      </c>
      <c r="G4" s="3833" t="s">
        <v>660</v>
      </c>
      <c r="H4" s="7387" t="s">
        <v>659</v>
      </c>
      <c r="I4" s="3909" t="s">
        <v>660</v>
      </c>
      <c r="J4" s="3373" t="s">
        <v>659</v>
      </c>
      <c r="K4" s="3866" t="s">
        <v>660</v>
      </c>
      <c r="L4" s="7387" t="s">
        <v>659</v>
      </c>
      <c r="M4" s="3909" t="s">
        <v>660</v>
      </c>
      <c r="N4" s="7389" t="s">
        <v>659</v>
      </c>
      <c r="O4" s="3888" t="s">
        <v>660</v>
      </c>
      <c r="P4" s="7387" t="s">
        <v>659</v>
      </c>
      <c r="Q4" s="3909" t="s">
        <v>660</v>
      </c>
      <c r="R4" s="3373" t="s">
        <v>659</v>
      </c>
      <c r="S4" s="3866" t="s">
        <v>660</v>
      </c>
      <c r="T4" s="7387" t="s">
        <v>659</v>
      </c>
      <c r="U4" s="3909" t="s">
        <v>660</v>
      </c>
      <c r="V4" s="3373" t="s">
        <v>659</v>
      </c>
      <c r="W4" s="3866" t="s">
        <v>660</v>
      </c>
      <c r="X4" s="7387" t="s">
        <v>659</v>
      </c>
      <c r="Y4" s="3856" t="s">
        <v>660</v>
      </c>
      <c r="Z4" s="7388" t="s">
        <v>659</v>
      </c>
      <c r="AA4" s="3888" t="s">
        <v>660</v>
      </c>
      <c r="AB4" s="7395" t="s">
        <v>659</v>
      </c>
      <c r="AC4" s="6624" t="s">
        <v>660</v>
      </c>
      <c r="AD4" s="7387" t="s">
        <v>659</v>
      </c>
      <c r="AE4" s="3909" t="s">
        <v>660</v>
      </c>
      <c r="AF4" s="3373" t="s">
        <v>659</v>
      </c>
      <c r="AG4" s="3866" t="s">
        <v>660</v>
      </c>
      <c r="AH4" s="7560" t="s">
        <v>659</v>
      </c>
      <c r="AI4" s="3909" t="s">
        <v>660</v>
      </c>
      <c r="AJ4" s="3373" t="s">
        <v>659</v>
      </c>
      <c r="AK4" s="3866" t="s">
        <v>660</v>
      </c>
      <c r="AL4" s="7771" t="s">
        <v>659</v>
      </c>
      <c r="AM4" s="3856" t="s">
        <v>660</v>
      </c>
      <c r="AN4" s="7774" t="s">
        <v>659</v>
      </c>
      <c r="AO4" s="3888" t="s">
        <v>660</v>
      </c>
      <c r="AP4" s="3373" t="s">
        <v>659</v>
      </c>
      <c r="AQ4" s="3866" t="s">
        <v>660</v>
      </c>
      <c r="AR4" s="8101" t="s">
        <v>659</v>
      </c>
      <c r="AS4" s="3856" t="s">
        <v>660</v>
      </c>
      <c r="AT4" s="3373" t="s">
        <v>659</v>
      </c>
      <c r="AU4" s="3866" t="s">
        <v>660</v>
      </c>
      <c r="AV4" s="8155" t="s">
        <v>659</v>
      </c>
      <c r="AW4" s="3856" t="s">
        <v>660</v>
      </c>
      <c r="AX4" s="3373" t="s">
        <v>659</v>
      </c>
      <c r="AY4" s="3866" t="s">
        <v>660</v>
      </c>
      <c r="AZ4" s="8274" t="s">
        <v>659</v>
      </c>
      <c r="BA4" s="3856" t="s">
        <v>660</v>
      </c>
      <c r="BB4" s="8286" t="s">
        <v>659</v>
      </c>
      <c r="BC4" s="3888" t="s">
        <v>660</v>
      </c>
      <c r="BD4" s="3373" t="s">
        <v>659</v>
      </c>
      <c r="BE4" s="3866" t="s">
        <v>660</v>
      </c>
    </row>
    <row r="5" spans="2:58" ht="17" thickBot="1" x14ac:dyDescent="0.25">
      <c r="B5" s="1747" t="s">
        <v>2263</v>
      </c>
      <c r="C5" s="7433"/>
      <c r="D5" s="7433"/>
      <c r="E5" s="1737" t="s">
        <v>170</v>
      </c>
      <c r="F5" s="1751"/>
      <c r="G5" s="3914"/>
      <c r="H5" s="1751"/>
      <c r="I5" s="3914"/>
      <c r="J5" s="1882"/>
      <c r="K5" s="2412">
        <f>+G5+I5</f>
        <v>0</v>
      </c>
      <c r="L5" s="1751"/>
      <c r="M5" s="3204"/>
      <c r="N5" s="2046"/>
      <c r="O5" s="2254">
        <f>+K5+M5</f>
        <v>0</v>
      </c>
      <c r="P5" s="1751">
        <v>7314.5245559038658</v>
      </c>
      <c r="Q5" s="3204">
        <v>0</v>
      </c>
      <c r="R5" s="1882">
        <f>+N5+P5</f>
        <v>7314.5245559038658</v>
      </c>
      <c r="S5" s="2412">
        <f>+O5+Q5</f>
        <v>0</v>
      </c>
      <c r="T5" s="1751">
        <v>8359.4566353187038</v>
      </c>
      <c r="U5" s="3204">
        <v>0</v>
      </c>
      <c r="V5" s="1882">
        <f>+R5+T5</f>
        <v>15673.98119122257</v>
      </c>
      <c r="W5" s="2412">
        <f>+S5+U5</f>
        <v>0</v>
      </c>
      <c r="X5" s="1751">
        <v>10449.32079414838</v>
      </c>
      <c r="Y5" s="6676">
        <v>0</v>
      </c>
      <c r="Z5" s="7392">
        <f>+P5+T5+X5</f>
        <v>26123.301985370948</v>
      </c>
      <c r="AA5" s="5030">
        <f>+Y5+U5+Q5</f>
        <v>0</v>
      </c>
      <c r="AB5" s="6626">
        <f>+V5+X5</f>
        <v>26123.301985370948</v>
      </c>
      <c r="AC5" s="6627">
        <f>+W5+Y5</f>
        <v>0</v>
      </c>
      <c r="AD5" s="1751">
        <v>10449.32079414838</v>
      </c>
      <c r="AE5" s="3204">
        <v>17348.029327999997</v>
      </c>
      <c r="AF5" s="1882">
        <f>+AB5+AD5</f>
        <v>36572.622779519326</v>
      </c>
      <c r="AG5" s="2412">
        <f>+AC5+AE5</f>
        <v>17348.029327999997</v>
      </c>
      <c r="AH5" s="1751">
        <v>41797.283176593519</v>
      </c>
      <c r="AI5" s="3204">
        <v>19516.046719999998</v>
      </c>
      <c r="AJ5" s="1882">
        <f>+AF5+AH5</f>
        <v>78369.905956112838</v>
      </c>
      <c r="AK5" s="2412">
        <f>+AG5+AI5</f>
        <v>36864.076047999995</v>
      </c>
      <c r="AL5" s="1751">
        <v>31347.962382445137</v>
      </c>
      <c r="AM5" s="6676">
        <v>10635.978528</v>
      </c>
      <c r="AN5" s="7781">
        <f>+AD5+AH5+AL5</f>
        <v>83594.566353187038</v>
      </c>
      <c r="AO5" s="5030">
        <f>+AM5+AI5+AE5</f>
        <v>47500.054575999995</v>
      </c>
      <c r="AP5" s="1882">
        <f>+AJ5+AL5</f>
        <v>109717.86833855798</v>
      </c>
      <c r="AQ5" s="2412">
        <f>+AK5+AM5</f>
        <v>47500.054575999995</v>
      </c>
      <c r="AR5" s="1751">
        <v>36572.622779519326</v>
      </c>
      <c r="AS5" s="6676">
        <v>14134.635377000001</v>
      </c>
      <c r="AT5" s="1882">
        <f>+AP5+AR5</f>
        <v>146290.49111807731</v>
      </c>
      <c r="AU5" s="2412">
        <f>+AQ5+AS5</f>
        <v>61634.689952999994</v>
      </c>
      <c r="AV5" s="1751">
        <v>36573</v>
      </c>
      <c r="AW5" s="6676">
        <v>19983.566259000003</v>
      </c>
      <c r="AX5" s="1882">
        <f>+AT5+AV5</f>
        <v>182863.49111807731</v>
      </c>
      <c r="AY5" s="2412">
        <f>+AU5+AW5</f>
        <v>81618.256211999993</v>
      </c>
      <c r="AZ5" s="1751">
        <v>47022</v>
      </c>
      <c r="BA5" s="6676">
        <v>11744.73</v>
      </c>
      <c r="BB5" s="8325">
        <f>+AR5+AV5+AZ5</f>
        <v>120167.62277951933</v>
      </c>
      <c r="BC5" s="5030">
        <f>+BA5+AW5+AS5</f>
        <v>45862.931636000001</v>
      </c>
      <c r="BD5" s="1882">
        <f>+AX5+AZ5</f>
        <v>229885.49111807731</v>
      </c>
      <c r="BE5" s="2412">
        <f>+AY5+BA5</f>
        <v>93362.986211999989</v>
      </c>
    </row>
    <row r="6" spans="2:58" s="3380" customFormat="1" ht="16" x14ac:dyDescent="0.2">
      <c r="B6" s="4375" t="s">
        <v>809</v>
      </c>
      <c r="C6" s="6673"/>
      <c r="D6" s="6673"/>
      <c r="E6" s="6673"/>
      <c r="F6" s="5268"/>
      <c r="G6" s="6674"/>
      <c r="H6" s="5268"/>
      <c r="I6" s="6674"/>
      <c r="J6" s="5268"/>
      <c r="K6" s="6094"/>
      <c r="L6" s="5268"/>
      <c r="M6" s="6094"/>
      <c r="N6" s="5268"/>
      <c r="O6" s="6094"/>
      <c r="P6" s="5268"/>
      <c r="Q6" s="6094"/>
      <c r="R6" s="5268"/>
      <c r="S6" s="6094"/>
      <c r="T6" s="5268"/>
      <c r="U6" s="6094"/>
      <c r="V6" s="5268"/>
      <c r="W6" s="6094"/>
      <c r="X6" s="5268"/>
      <c r="Y6" s="7285"/>
      <c r="Z6" s="6677"/>
      <c r="AA6" s="6678"/>
      <c r="AB6" s="5268"/>
      <c r="AC6" s="6094"/>
      <c r="AD6" s="5268"/>
      <c r="AE6" s="6094"/>
      <c r="AF6" s="5268"/>
      <c r="AG6" s="6094"/>
      <c r="AH6" s="5268"/>
      <c r="AI6" s="6094"/>
      <c r="AJ6" s="5268"/>
      <c r="AK6" s="6094"/>
      <c r="AL6" s="5268"/>
      <c r="AM6" s="7285"/>
      <c r="AN6" s="6677"/>
      <c r="AO6" s="6678"/>
      <c r="AP6" s="5268"/>
      <c r="AQ6" s="6094"/>
      <c r="AR6" s="5268"/>
      <c r="AS6" s="7285"/>
      <c r="AT6" s="5268"/>
      <c r="AU6" s="6094"/>
      <c r="AV6" s="5268"/>
      <c r="AW6" s="7285"/>
      <c r="AX6" s="5268"/>
      <c r="AY6" s="6094"/>
      <c r="AZ6" s="5268"/>
      <c r="BA6" s="7285"/>
      <c r="BB6" s="6677"/>
      <c r="BC6" s="6678"/>
      <c r="BD6" s="5268"/>
      <c r="BE6" s="6094"/>
    </row>
    <row r="7" spans="2:58" x14ac:dyDescent="0.2">
      <c r="B7" s="1604" t="s">
        <v>2272</v>
      </c>
      <c r="C7" s="7610" t="s">
        <v>2552</v>
      </c>
      <c r="D7" s="7434">
        <v>42.24</v>
      </c>
      <c r="E7" s="1544" t="s">
        <v>170</v>
      </c>
      <c r="F7" s="7418"/>
      <c r="G7" s="4406"/>
      <c r="H7" s="7418"/>
      <c r="I7" s="4406"/>
      <c r="J7" s="7419"/>
      <c r="K7" s="3193">
        <f>+G7+I7</f>
        <v>0</v>
      </c>
      <c r="L7" s="7418"/>
      <c r="M7" s="2750"/>
      <c r="N7" s="7422"/>
      <c r="O7" s="5029">
        <f>+K7+M7</f>
        <v>0</v>
      </c>
      <c r="P7" s="7418"/>
      <c r="Q7" s="2750"/>
      <c r="R7" s="7419"/>
      <c r="S7" s="3193">
        <f>+O7+Q7</f>
        <v>0</v>
      </c>
      <c r="T7" s="7418"/>
      <c r="U7" s="2750"/>
      <c r="V7" s="7419"/>
      <c r="W7" s="3193">
        <f>+S7+U7</f>
        <v>0</v>
      </c>
      <c r="X7" s="7418"/>
      <c r="Y7" s="2750"/>
      <c r="Z7" s="7422"/>
      <c r="AA7" s="5029">
        <f>+Q7+U7+Y7</f>
        <v>0</v>
      </c>
      <c r="AB7" s="7423"/>
      <c r="AC7" s="6615">
        <f>+W7+Y7</f>
        <v>0</v>
      </c>
      <c r="AD7" s="7418"/>
      <c r="AE7" s="2750">
        <v>3094.2792861057001</v>
      </c>
      <c r="AF7" s="7419"/>
      <c r="AG7" s="3193">
        <f>+AC7+AE7</f>
        <v>3094.2792861057001</v>
      </c>
      <c r="AH7" s="7418"/>
      <c r="AI7" s="2750">
        <f>1621.8610656633-1.014</f>
        <v>1620.8470656633001</v>
      </c>
      <c r="AJ7" s="7419"/>
      <c r="AK7" s="3193">
        <f>+AG7+AI7</f>
        <v>4715.1263517690004</v>
      </c>
      <c r="AL7" s="7418"/>
      <c r="AM7" s="2750">
        <v>3288.1112240256002</v>
      </c>
      <c r="AN7" s="7422"/>
      <c r="AO7" s="5029">
        <f>+AE7+AI7+AM7</f>
        <v>8003.2375757946011</v>
      </c>
      <c r="AP7" s="7419"/>
      <c r="AQ7" s="3193">
        <f>+AK7+AM7</f>
        <v>8003.2375757946011</v>
      </c>
      <c r="AR7" s="7418"/>
      <c r="AS7" s="2750">
        <v>2081.3923403783997</v>
      </c>
      <c r="AT7" s="7419"/>
      <c r="AU7" s="3193">
        <f>+AQ7+AS7</f>
        <v>10084.629916173</v>
      </c>
      <c r="AV7" s="7418"/>
      <c r="AW7" s="2750">
        <v>3246.8434261766997</v>
      </c>
      <c r="AX7" s="7419"/>
      <c r="AY7" s="3193">
        <f>+AU7+AW7</f>
        <v>13331.4733423497</v>
      </c>
      <c r="AZ7" s="7418"/>
      <c r="BA7" s="2750">
        <v>1893.577677</v>
      </c>
      <c r="BB7" s="7422"/>
      <c r="BC7" s="5029">
        <f>+AS7+AW7+BA7</f>
        <v>7221.8134435550992</v>
      </c>
      <c r="BD7" s="7419"/>
      <c r="BE7" s="3193">
        <f>+AY7+BA7</f>
        <v>15225.051019349699</v>
      </c>
    </row>
    <row r="8" spans="2:58" s="8189" customFormat="1" x14ac:dyDescent="0.2">
      <c r="B8" s="1604" t="s">
        <v>2272</v>
      </c>
      <c r="C8" s="7610" t="s">
        <v>2585</v>
      </c>
      <c r="D8" s="7434">
        <v>42.24</v>
      </c>
      <c r="E8" s="1544" t="s">
        <v>170</v>
      </c>
      <c r="F8" s="7418"/>
      <c r="G8" s="4406"/>
      <c r="H8" s="7418"/>
      <c r="I8" s="4406"/>
      <c r="J8" s="7419"/>
      <c r="K8" s="3193"/>
      <c r="L8" s="7418"/>
      <c r="M8" s="2750"/>
      <c r="N8" s="7422"/>
      <c r="O8" s="5029"/>
      <c r="P8" s="7418"/>
      <c r="Q8" s="2750"/>
      <c r="R8" s="7419"/>
      <c r="S8" s="3193"/>
      <c r="T8" s="7418"/>
      <c r="U8" s="2750"/>
      <c r="V8" s="7419"/>
      <c r="W8" s="3193"/>
      <c r="X8" s="7418"/>
      <c r="Y8" s="2750"/>
      <c r="Z8" s="7422"/>
      <c r="AA8" s="5029"/>
      <c r="AB8" s="7423"/>
      <c r="AC8" s="6615"/>
      <c r="AD8" s="7418"/>
      <c r="AE8" s="2750"/>
      <c r="AF8" s="7419"/>
      <c r="AG8" s="3193"/>
      <c r="AH8" s="7418"/>
      <c r="AI8" s="2750"/>
      <c r="AJ8" s="7419"/>
      <c r="AK8" s="3193"/>
      <c r="AL8" s="7418"/>
      <c r="AM8" s="2750"/>
      <c r="AN8" s="7422"/>
      <c r="AO8" s="5029"/>
      <c r="AP8" s="7419"/>
      <c r="AQ8" s="3193"/>
      <c r="AR8" s="7418"/>
      <c r="AS8" s="2750"/>
      <c r="AT8" s="7419"/>
      <c r="AU8" s="3193"/>
      <c r="AV8" s="7418"/>
      <c r="AW8" s="2750">
        <v>70.601914580400006</v>
      </c>
      <c r="AX8" s="7419"/>
      <c r="AY8" s="3193">
        <f>+AU8+AW8</f>
        <v>70.601914580400006</v>
      </c>
      <c r="AZ8" s="7418"/>
      <c r="BA8" s="2750"/>
      <c r="BB8" s="7422"/>
      <c r="BC8" s="5029">
        <f t="shared" ref="BC8:BC45" si="0">+AS8+AW8+BA8</f>
        <v>70.601914580400006</v>
      </c>
      <c r="BD8" s="7419"/>
      <c r="BE8" s="3193">
        <f t="shared" ref="BE8:BE45" si="1">+AY8+BA8</f>
        <v>70.601914580400006</v>
      </c>
    </row>
    <row r="9" spans="2:58" x14ac:dyDescent="0.2">
      <c r="B9" s="1604" t="s">
        <v>2273</v>
      </c>
      <c r="C9" s="7610" t="s">
        <v>2552</v>
      </c>
      <c r="D9" s="7434">
        <v>36.520000000000003</v>
      </c>
      <c r="E9" s="1544" t="s">
        <v>170</v>
      </c>
      <c r="F9" s="7418"/>
      <c r="G9" s="4406"/>
      <c r="H9" s="7418"/>
      <c r="I9" s="3851"/>
      <c r="J9" s="7419"/>
      <c r="K9" s="3193">
        <f t="shared" ref="K9:K31" si="2">+G9+I9</f>
        <v>0</v>
      </c>
      <c r="L9" s="7418"/>
      <c r="M9" s="2750"/>
      <c r="N9" s="7422"/>
      <c r="O9" s="5029">
        <f t="shared" ref="O9:O31" si="3">+K9+M9</f>
        <v>0</v>
      </c>
      <c r="P9" s="7418"/>
      <c r="Q9" s="2750"/>
      <c r="R9" s="7419"/>
      <c r="S9" s="3193">
        <f t="shared" ref="S9:S31" si="4">+O9+Q9</f>
        <v>0</v>
      </c>
      <c r="T9" s="7418"/>
      <c r="U9" s="2750"/>
      <c r="V9" s="7419"/>
      <c r="W9" s="3193">
        <f t="shared" ref="W9:W31" si="5">+S9+U9</f>
        <v>0</v>
      </c>
      <c r="X9" s="7418"/>
      <c r="Y9" s="2750"/>
      <c r="Z9" s="7422"/>
      <c r="AA9" s="5029">
        <f t="shared" ref="AA9:AA31" si="6">+Q9+U9+Y9</f>
        <v>0</v>
      </c>
      <c r="AB9" s="7423"/>
      <c r="AC9" s="6615">
        <f t="shared" ref="AC9:AC31" si="7">+W9+Y9</f>
        <v>0</v>
      </c>
      <c r="AD9" s="7418"/>
      <c r="AE9" s="2750">
        <v>242.60451641999998</v>
      </c>
      <c r="AF9" s="7419"/>
      <c r="AG9" s="3193">
        <f t="shared" ref="AG9:AG45" si="8">+AC9+AE9</f>
        <v>242.60451641999998</v>
      </c>
      <c r="AH9" s="7418"/>
      <c r="AI9" s="2750">
        <v>804.78057366000007</v>
      </c>
      <c r="AJ9" s="7419"/>
      <c r="AK9" s="3193">
        <f t="shared" ref="AK9:AK45" si="9">+AG9+AI9</f>
        <v>1047.3850900800001</v>
      </c>
      <c r="AL9" s="7418"/>
      <c r="AM9" s="2750">
        <v>474.34196375999994</v>
      </c>
      <c r="AN9" s="7422"/>
      <c r="AO9" s="5029">
        <f t="shared" ref="AO9:AO45" si="10">+AE9+AI9+AM9</f>
        <v>1521.7270538400001</v>
      </c>
      <c r="AP9" s="7419"/>
      <c r="AQ9" s="3193">
        <f t="shared" ref="AQ9:AQ45" si="11">+AK9+AM9</f>
        <v>1521.7270538400001</v>
      </c>
      <c r="AR9" s="7418"/>
      <c r="AS9" s="2750"/>
      <c r="AT9" s="7419"/>
      <c r="AU9" s="3193">
        <f t="shared" ref="AU9:AU45" si="12">+AQ9+AS9</f>
        <v>1521.7270538400001</v>
      </c>
      <c r="AV9" s="7418"/>
      <c r="AW9" s="2750"/>
      <c r="AX9" s="7419"/>
      <c r="AY9" s="3193">
        <f t="shared" ref="AY9:AY45" si="13">+AU9+AW9</f>
        <v>1521.7270538400001</v>
      </c>
      <c r="AZ9" s="7418"/>
      <c r="BA9" s="2750"/>
      <c r="BB9" s="7422"/>
      <c r="BC9" s="5029">
        <f t="shared" si="0"/>
        <v>0</v>
      </c>
      <c r="BD9" s="7419"/>
      <c r="BE9" s="3193">
        <f t="shared" si="1"/>
        <v>1521.7270538400001</v>
      </c>
    </row>
    <row r="10" spans="2:58" s="7608" customFormat="1" x14ac:dyDescent="0.2">
      <c r="B10" s="1604" t="s">
        <v>2425</v>
      </c>
      <c r="C10" s="7610" t="s">
        <v>2552</v>
      </c>
      <c r="D10" s="7434">
        <v>49.32</v>
      </c>
      <c r="E10" s="1544" t="s">
        <v>170</v>
      </c>
      <c r="F10" s="7418"/>
      <c r="G10" s="4406"/>
      <c r="H10" s="7418"/>
      <c r="I10" s="3851"/>
      <c r="J10" s="7419"/>
      <c r="K10" s="3193"/>
      <c r="L10" s="7418"/>
      <c r="M10" s="2750"/>
      <c r="N10" s="7422"/>
      <c r="O10" s="5029"/>
      <c r="P10" s="7418"/>
      <c r="Q10" s="2750"/>
      <c r="R10" s="7419"/>
      <c r="S10" s="3193"/>
      <c r="T10" s="7418"/>
      <c r="U10" s="2750"/>
      <c r="V10" s="7419"/>
      <c r="W10" s="3193"/>
      <c r="X10" s="7418"/>
      <c r="Y10" s="2750"/>
      <c r="Z10" s="7422"/>
      <c r="AA10" s="5029"/>
      <c r="AB10" s="7423"/>
      <c r="AC10" s="6615"/>
      <c r="AD10" s="7418"/>
      <c r="AE10" s="2750"/>
      <c r="AF10" s="7419"/>
      <c r="AG10" s="3193">
        <f t="shared" si="8"/>
        <v>0</v>
      </c>
      <c r="AH10" s="7418"/>
      <c r="AI10" s="2750">
        <v>425.04732103680004</v>
      </c>
      <c r="AJ10" s="7419"/>
      <c r="AK10" s="3193">
        <f t="shared" si="9"/>
        <v>425.04732103680004</v>
      </c>
      <c r="AL10" s="7418"/>
      <c r="AM10" s="2750">
        <v>271.93317643799992</v>
      </c>
      <c r="AN10" s="7422"/>
      <c r="AO10" s="5029">
        <f t="shared" si="10"/>
        <v>696.9804974747999</v>
      </c>
      <c r="AP10" s="7419"/>
      <c r="AQ10" s="3193">
        <f t="shared" si="11"/>
        <v>696.9804974747999</v>
      </c>
      <c r="AR10" s="7418"/>
      <c r="AS10" s="2750"/>
      <c r="AT10" s="7419"/>
      <c r="AU10" s="3193">
        <f t="shared" si="12"/>
        <v>696.9804974747999</v>
      </c>
      <c r="AV10" s="7418"/>
      <c r="AW10" s="2750">
        <v>1360.3727245751998</v>
      </c>
      <c r="AX10" s="7419"/>
      <c r="AY10" s="3193">
        <f t="shared" si="13"/>
        <v>2057.3532220499997</v>
      </c>
      <c r="AZ10" s="7418"/>
      <c r="BA10" s="2750"/>
      <c r="BB10" s="7422"/>
      <c r="BC10" s="5029">
        <f t="shared" si="0"/>
        <v>1360.3727245751998</v>
      </c>
      <c r="BD10" s="7419"/>
      <c r="BE10" s="3193">
        <f t="shared" si="1"/>
        <v>2057.3532220499997</v>
      </c>
    </row>
    <row r="11" spans="2:58" s="8189" customFormat="1" x14ac:dyDescent="0.2">
      <c r="B11" s="1604" t="s">
        <v>2425</v>
      </c>
      <c r="C11" s="7610" t="s">
        <v>2580</v>
      </c>
      <c r="D11" s="7434">
        <v>49.32</v>
      </c>
      <c r="E11" s="1544" t="s">
        <v>170</v>
      </c>
      <c r="F11" s="7418"/>
      <c r="G11" s="4406"/>
      <c r="H11" s="7418"/>
      <c r="I11" s="3851"/>
      <c r="J11" s="7419"/>
      <c r="K11" s="3193"/>
      <c r="L11" s="7418"/>
      <c r="M11" s="2750"/>
      <c r="N11" s="7422"/>
      <c r="O11" s="5029"/>
      <c r="P11" s="7418"/>
      <c r="Q11" s="2750"/>
      <c r="R11" s="7419"/>
      <c r="S11" s="3193"/>
      <c r="T11" s="7418"/>
      <c r="U11" s="2750"/>
      <c r="V11" s="7419"/>
      <c r="W11" s="3193"/>
      <c r="X11" s="7418"/>
      <c r="Y11" s="2750"/>
      <c r="Z11" s="7422"/>
      <c r="AA11" s="5029"/>
      <c r="AB11" s="7423"/>
      <c r="AC11" s="6615"/>
      <c r="AD11" s="7418"/>
      <c r="AE11" s="2750"/>
      <c r="AF11" s="7419"/>
      <c r="AG11" s="3193"/>
      <c r="AH11" s="7418"/>
      <c r="AI11" s="2750"/>
      <c r="AJ11" s="7419"/>
      <c r="AK11" s="3193"/>
      <c r="AL11" s="7418"/>
      <c r="AM11" s="2750"/>
      <c r="AN11" s="7422"/>
      <c r="AO11" s="5029"/>
      <c r="AP11" s="7419"/>
      <c r="AQ11" s="3193"/>
      <c r="AR11" s="7418"/>
      <c r="AS11" s="2750"/>
      <c r="AT11" s="7419"/>
      <c r="AU11" s="3193"/>
      <c r="AV11" s="7418"/>
      <c r="AW11" s="2750">
        <v>66.210699239999997</v>
      </c>
      <c r="AX11" s="7419"/>
      <c r="AY11" s="3193">
        <f t="shared" si="13"/>
        <v>66.210699239999997</v>
      </c>
      <c r="AZ11" s="7418"/>
      <c r="BA11" s="2750"/>
      <c r="BB11" s="7422"/>
      <c r="BC11" s="5029">
        <f t="shared" si="0"/>
        <v>66.210699239999997</v>
      </c>
      <c r="BD11" s="7419"/>
      <c r="BE11" s="3193">
        <f t="shared" si="1"/>
        <v>66.210699239999997</v>
      </c>
    </row>
    <row r="12" spans="2:58" x14ac:dyDescent="0.2">
      <c r="B12" s="1604" t="s">
        <v>2274</v>
      </c>
      <c r="C12" s="7610" t="s">
        <v>2552</v>
      </c>
      <c r="D12" s="7434">
        <v>66.3</v>
      </c>
      <c r="E12" s="1544" t="s">
        <v>170</v>
      </c>
      <c r="F12" s="7418"/>
      <c r="G12" s="4406"/>
      <c r="H12" s="7418"/>
      <c r="I12" s="3851"/>
      <c r="J12" s="7419"/>
      <c r="K12" s="3193">
        <f t="shared" si="2"/>
        <v>0</v>
      </c>
      <c r="L12" s="7418"/>
      <c r="M12" s="2750"/>
      <c r="N12" s="7422"/>
      <c r="O12" s="5029">
        <f t="shared" si="3"/>
        <v>0</v>
      </c>
      <c r="P12" s="7418"/>
      <c r="Q12" s="2750"/>
      <c r="R12" s="7419"/>
      <c r="S12" s="3193">
        <f t="shared" si="4"/>
        <v>0</v>
      </c>
      <c r="T12" s="7418"/>
      <c r="U12" s="2750"/>
      <c r="V12" s="7419"/>
      <c r="W12" s="3193">
        <f t="shared" si="5"/>
        <v>0</v>
      </c>
      <c r="X12" s="7418"/>
      <c r="Y12" s="2750"/>
      <c r="Z12" s="7422"/>
      <c r="AA12" s="5029">
        <f t="shared" si="6"/>
        <v>0</v>
      </c>
      <c r="AB12" s="7423"/>
      <c r="AC12" s="6615">
        <f t="shared" si="7"/>
        <v>0</v>
      </c>
      <c r="AD12" s="7418"/>
      <c r="AE12" s="2750">
        <v>729.01899360989978</v>
      </c>
      <c r="AF12" s="7419"/>
      <c r="AG12" s="3193">
        <f t="shared" si="8"/>
        <v>729.01899360989978</v>
      </c>
      <c r="AH12" s="7418"/>
      <c r="AI12" s="2750">
        <v>0</v>
      </c>
      <c r="AJ12" s="7419"/>
      <c r="AK12" s="3193">
        <f t="shared" si="9"/>
        <v>729.01899360989978</v>
      </c>
      <c r="AL12" s="7418"/>
      <c r="AM12" s="2750">
        <v>2350.2531585455999</v>
      </c>
      <c r="AN12" s="7422"/>
      <c r="AO12" s="5029">
        <f t="shared" si="10"/>
        <v>3079.2721521554995</v>
      </c>
      <c r="AP12" s="7419"/>
      <c r="AQ12" s="3193">
        <f t="shared" si="11"/>
        <v>3079.2721521554995</v>
      </c>
      <c r="AR12" s="7418"/>
      <c r="AS12" s="2750">
        <v>4160.4759726390002</v>
      </c>
      <c r="AT12" s="7419"/>
      <c r="AU12" s="3193">
        <f t="shared" si="12"/>
        <v>7239.7481247944997</v>
      </c>
      <c r="AV12" s="7418"/>
      <c r="AW12" s="2750">
        <v>1128.4281861048003</v>
      </c>
      <c r="AX12" s="7419"/>
      <c r="AY12" s="3193">
        <f t="shared" si="13"/>
        <v>8368.1763108993</v>
      </c>
      <c r="AZ12" s="7418"/>
      <c r="BA12" s="2750">
        <f>2094.288177-6.4</f>
        <v>2087.8881769999998</v>
      </c>
      <c r="BB12" s="7422"/>
      <c r="BC12" s="5029">
        <f t="shared" si="0"/>
        <v>7376.7923357438003</v>
      </c>
      <c r="BD12" s="7419"/>
      <c r="BE12" s="3193">
        <f t="shared" si="1"/>
        <v>10456.064487899301</v>
      </c>
    </row>
    <row r="13" spans="2:58" ht="15" customHeight="1" x14ac:dyDescent="0.2">
      <c r="B13" s="1604" t="s">
        <v>2274</v>
      </c>
      <c r="C13" s="7431" t="s">
        <v>2275</v>
      </c>
      <c r="D13" s="7434">
        <v>66.3</v>
      </c>
      <c r="E13" s="1544" t="s">
        <v>170</v>
      </c>
      <c r="F13" s="7418"/>
      <c r="G13" s="4406"/>
      <c r="H13" s="7418"/>
      <c r="I13" s="3851"/>
      <c r="J13" s="7419"/>
      <c r="K13" s="3193">
        <f t="shared" si="2"/>
        <v>0</v>
      </c>
      <c r="L13" s="7418"/>
      <c r="M13" s="2750"/>
      <c r="N13" s="7422"/>
      <c r="O13" s="5029">
        <f t="shared" si="3"/>
        <v>0</v>
      </c>
      <c r="P13" s="7418"/>
      <c r="Q13" s="2750"/>
      <c r="R13" s="7419"/>
      <c r="S13" s="3193">
        <f t="shared" si="4"/>
        <v>0</v>
      </c>
      <c r="T13" s="7418"/>
      <c r="U13" s="2750"/>
      <c r="V13" s="7419"/>
      <c r="W13" s="3193">
        <f t="shared" si="5"/>
        <v>0</v>
      </c>
      <c r="X13" s="7418"/>
      <c r="Y13" s="2750"/>
      <c r="Z13" s="7422"/>
      <c r="AA13" s="5029">
        <f t="shared" si="6"/>
        <v>0</v>
      </c>
      <c r="AB13" s="7423"/>
      <c r="AC13" s="6615">
        <f t="shared" si="7"/>
        <v>0</v>
      </c>
      <c r="AD13" s="7418"/>
      <c r="AE13" s="2750">
        <v>5268.7270865375995</v>
      </c>
      <c r="AF13" s="7419"/>
      <c r="AG13" s="3193">
        <f t="shared" si="8"/>
        <v>5268.7270865375995</v>
      </c>
      <c r="AH13" s="7418"/>
      <c r="AI13" s="2750">
        <f>2998.6185495798-19</f>
        <v>2979.6185495797999</v>
      </c>
      <c r="AJ13" s="7419"/>
      <c r="AK13" s="3193">
        <f t="shared" si="9"/>
        <v>8248.3456361173994</v>
      </c>
      <c r="AL13" s="7418"/>
      <c r="AM13" s="2750">
        <v>0</v>
      </c>
      <c r="AN13" s="7422"/>
      <c r="AO13" s="5029">
        <f t="shared" si="10"/>
        <v>8248.3456361173994</v>
      </c>
      <c r="AP13" s="7419"/>
      <c r="AQ13" s="3193">
        <f t="shared" si="11"/>
        <v>8248.3456361173994</v>
      </c>
      <c r="AR13" s="7418"/>
      <c r="AS13" s="2750"/>
      <c r="AT13" s="7419"/>
      <c r="AU13" s="3193">
        <f t="shared" si="12"/>
        <v>8248.3456361173994</v>
      </c>
      <c r="AV13" s="7418"/>
      <c r="AW13" s="2750"/>
      <c r="AX13" s="7419"/>
      <c r="AY13" s="3193">
        <f t="shared" si="13"/>
        <v>8248.3456361173994</v>
      </c>
      <c r="AZ13" s="7418"/>
      <c r="BA13" s="2750"/>
      <c r="BB13" s="7422"/>
      <c r="BC13" s="5029">
        <f t="shared" si="0"/>
        <v>0</v>
      </c>
      <c r="BD13" s="7419"/>
      <c r="BE13" s="3193">
        <f t="shared" si="1"/>
        <v>8248.3456361173994</v>
      </c>
    </row>
    <row r="14" spans="2:58" s="8189" customFormat="1" ht="15" customHeight="1" x14ac:dyDescent="0.2">
      <c r="B14" s="1604" t="s">
        <v>2274</v>
      </c>
      <c r="C14" s="7431" t="s">
        <v>2583</v>
      </c>
      <c r="D14" s="7434">
        <v>66.3</v>
      </c>
      <c r="E14" s="1544" t="s">
        <v>170</v>
      </c>
      <c r="F14" s="7418"/>
      <c r="G14" s="4406"/>
      <c r="H14" s="7418"/>
      <c r="I14" s="3851"/>
      <c r="J14" s="7419"/>
      <c r="K14" s="3193"/>
      <c r="L14" s="7418"/>
      <c r="M14" s="2750"/>
      <c r="N14" s="7422"/>
      <c r="O14" s="5029"/>
      <c r="P14" s="7418"/>
      <c r="Q14" s="2750"/>
      <c r="R14" s="7419"/>
      <c r="S14" s="3193"/>
      <c r="T14" s="7418"/>
      <c r="U14" s="2750"/>
      <c r="V14" s="7419"/>
      <c r="W14" s="3193"/>
      <c r="X14" s="7418"/>
      <c r="Y14" s="2750"/>
      <c r="Z14" s="7422"/>
      <c r="AA14" s="5029"/>
      <c r="AB14" s="7423"/>
      <c r="AC14" s="6615"/>
      <c r="AD14" s="7418"/>
      <c r="AE14" s="2750"/>
      <c r="AF14" s="7419"/>
      <c r="AG14" s="3193"/>
      <c r="AH14" s="7418"/>
      <c r="AI14" s="2750"/>
      <c r="AJ14" s="7419"/>
      <c r="AK14" s="3193"/>
      <c r="AL14" s="7418"/>
      <c r="AM14" s="2750"/>
      <c r="AN14" s="7422"/>
      <c r="AO14" s="5029"/>
      <c r="AP14" s="7419"/>
      <c r="AQ14" s="3193"/>
      <c r="AR14" s="7418"/>
      <c r="AS14" s="2750"/>
      <c r="AT14" s="7419"/>
      <c r="AU14" s="3193"/>
      <c r="AV14" s="7418"/>
      <c r="AW14" s="2750">
        <v>3740.6030131763996</v>
      </c>
      <c r="AX14" s="7419"/>
      <c r="AY14" s="3193">
        <f t="shared" si="13"/>
        <v>3740.6030131763996</v>
      </c>
      <c r="AZ14" s="7418"/>
      <c r="BA14" s="2750"/>
      <c r="BB14" s="7422"/>
      <c r="BC14" s="5029">
        <f t="shared" si="0"/>
        <v>3740.6030131763996</v>
      </c>
      <c r="BD14" s="7419"/>
      <c r="BE14" s="3193">
        <f t="shared" si="1"/>
        <v>3740.6030131763996</v>
      </c>
    </row>
    <row r="15" spans="2:58" s="7398" customFormat="1" ht="15" customHeight="1" x14ac:dyDescent="0.2">
      <c r="B15" s="1604" t="s">
        <v>2274</v>
      </c>
      <c r="C15" s="7431" t="s">
        <v>2277</v>
      </c>
      <c r="D15" s="7434">
        <v>66.3</v>
      </c>
      <c r="E15" s="1544" t="s">
        <v>170</v>
      </c>
      <c r="F15" s="5986"/>
      <c r="G15" s="4406"/>
      <c r="H15" s="5986"/>
      <c r="I15" s="3851"/>
      <c r="J15" s="7394"/>
      <c r="K15" s="3193">
        <f t="shared" ref="K15" si="14">+G15+I15</f>
        <v>0</v>
      </c>
      <c r="L15" s="5986"/>
      <c r="M15" s="2750"/>
      <c r="N15" s="5783"/>
      <c r="O15" s="5029">
        <f t="shared" ref="O15" si="15">+K15+M15</f>
        <v>0</v>
      </c>
      <c r="P15" s="5986"/>
      <c r="Q15" s="4406"/>
      <c r="R15" s="7394"/>
      <c r="S15" s="3193">
        <f t="shared" ref="S15" si="16">+O15+Q15</f>
        <v>0</v>
      </c>
      <c r="T15" s="5986"/>
      <c r="U15" s="2750"/>
      <c r="V15" s="7394"/>
      <c r="W15" s="3193">
        <f t="shared" ref="W15" si="17">+S15+U15</f>
        <v>0</v>
      </c>
      <c r="X15" s="5986"/>
      <c r="Y15" s="2750"/>
      <c r="Z15" s="5783"/>
      <c r="AA15" s="5029">
        <f t="shared" ref="AA15" si="18">+Q15+U15+Y15</f>
        <v>0</v>
      </c>
      <c r="AB15" s="6614"/>
      <c r="AC15" s="6615">
        <f t="shared" ref="AC15" si="19">+W15+Y15</f>
        <v>0</v>
      </c>
      <c r="AD15" s="5986"/>
      <c r="AE15" s="2750">
        <v>507.70288072980003</v>
      </c>
      <c r="AF15" s="7394"/>
      <c r="AG15" s="3193">
        <f t="shared" si="8"/>
        <v>507.70288072980003</v>
      </c>
      <c r="AH15" s="5986"/>
      <c r="AI15" s="2750">
        <v>0</v>
      </c>
      <c r="AJ15" s="7394"/>
      <c r="AK15" s="3193">
        <f t="shared" si="9"/>
        <v>507.70288072980003</v>
      </c>
      <c r="AL15" s="5986"/>
      <c r="AM15" s="2750">
        <v>0</v>
      </c>
      <c r="AN15" s="5783"/>
      <c r="AO15" s="5029">
        <f t="shared" si="10"/>
        <v>507.70288072980003</v>
      </c>
      <c r="AP15" s="7394"/>
      <c r="AQ15" s="3193">
        <f t="shared" si="11"/>
        <v>507.70288072980003</v>
      </c>
      <c r="AR15" s="5986"/>
      <c r="AS15" s="2750"/>
      <c r="AT15" s="7394"/>
      <c r="AU15" s="3193">
        <f t="shared" si="12"/>
        <v>507.70288072980003</v>
      </c>
      <c r="AV15" s="5986"/>
      <c r="AW15" s="2750"/>
      <c r="AX15" s="7394"/>
      <c r="AY15" s="3193">
        <f t="shared" si="13"/>
        <v>507.70288072980003</v>
      </c>
      <c r="AZ15" s="5986"/>
      <c r="BA15" s="2750"/>
      <c r="BB15" s="5783"/>
      <c r="BC15" s="5029">
        <f t="shared" si="0"/>
        <v>0</v>
      </c>
      <c r="BD15" s="7394"/>
      <c r="BE15" s="3193">
        <f t="shared" si="1"/>
        <v>507.70288072980003</v>
      </c>
    </row>
    <row r="16" spans="2:58" s="8189" customFormat="1" ht="15" customHeight="1" x14ac:dyDescent="0.2">
      <c r="B16" s="1604" t="s">
        <v>2274</v>
      </c>
      <c r="C16" s="7431" t="s">
        <v>2581</v>
      </c>
      <c r="D16" s="7434">
        <v>66.3</v>
      </c>
      <c r="E16" s="1544" t="s">
        <v>170</v>
      </c>
      <c r="F16" s="5986"/>
      <c r="G16" s="4406"/>
      <c r="H16" s="5986"/>
      <c r="I16" s="3851"/>
      <c r="J16" s="7394"/>
      <c r="K16" s="3193"/>
      <c r="L16" s="5986"/>
      <c r="M16" s="2750"/>
      <c r="N16" s="5783"/>
      <c r="O16" s="5029"/>
      <c r="P16" s="5986"/>
      <c r="Q16" s="4406"/>
      <c r="R16" s="7394"/>
      <c r="S16" s="3193"/>
      <c r="T16" s="5986"/>
      <c r="U16" s="2750"/>
      <c r="V16" s="7394"/>
      <c r="W16" s="3193"/>
      <c r="X16" s="5986"/>
      <c r="Y16" s="2750"/>
      <c r="Z16" s="5783"/>
      <c r="AA16" s="5029"/>
      <c r="AB16" s="6614"/>
      <c r="AC16" s="6615"/>
      <c r="AD16" s="5986"/>
      <c r="AE16" s="2750"/>
      <c r="AF16" s="7394"/>
      <c r="AG16" s="3193"/>
      <c r="AH16" s="5986"/>
      <c r="AI16" s="2750"/>
      <c r="AJ16" s="7394"/>
      <c r="AK16" s="3193"/>
      <c r="AL16" s="5986"/>
      <c r="AM16" s="2750"/>
      <c r="AN16" s="5783"/>
      <c r="AO16" s="5029"/>
      <c r="AP16" s="7394"/>
      <c r="AQ16" s="3193"/>
      <c r="AR16" s="5986"/>
      <c r="AS16" s="2750"/>
      <c r="AT16" s="7394"/>
      <c r="AU16" s="3193"/>
      <c r="AV16" s="5986"/>
      <c r="AW16" s="2750">
        <v>88.280932320000005</v>
      </c>
      <c r="AX16" s="7394"/>
      <c r="AY16" s="3193">
        <f t="shared" si="13"/>
        <v>88.280932320000005</v>
      </c>
      <c r="AZ16" s="5986"/>
      <c r="BA16" s="2750"/>
      <c r="BB16" s="5783"/>
      <c r="BC16" s="5029">
        <f t="shared" si="0"/>
        <v>88.280932320000005</v>
      </c>
      <c r="BD16" s="7394"/>
      <c r="BE16" s="3193">
        <f t="shared" si="1"/>
        <v>88.280932320000005</v>
      </c>
    </row>
    <row r="17" spans="2:58" s="8189" customFormat="1" ht="15" customHeight="1" x14ac:dyDescent="0.2">
      <c r="B17" s="1604" t="s">
        <v>2274</v>
      </c>
      <c r="C17" s="7431" t="s">
        <v>2582</v>
      </c>
      <c r="D17" s="7434">
        <v>66.3</v>
      </c>
      <c r="E17" s="1544" t="s">
        <v>170</v>
      </c>
      <c r="F17" s="5986"/>
      <c r="G17" s="4406"/>
      <c r="H17" s="5986"/>
      <c r="I17" s="3851"/>
      <c r="J17" s="7394"/>
      <c r="K17" s="3193"/>
      <c r="L17" s="5986"/>
      <c r="M17" s="2750"/>
      <c r="N17" s="5783"/>
      <c r="O17" s="5029"/>
      <c r="P17" s="5986"/>
      <c r="Q17" s="4406"/>
      <c r="R17" s="7394"/>
      <c r="S17" s="3193"/>
      <c r="T17" s="5986"/>
      <c r="U17" s="2750"/>
      <c r="V17" s="7394"/>
      <c r="W17" s="3193"/>
      <c r="X17" s="5986"/>
      <c r="Y17" s="2750"/>
      <c r="Z17" s="5783"/>
      <c r="AA17" s="5029"/>
      <c r="AB17" s="6614"/>
      <c r="AC17" s="6615"/>
      <c r="AD17" s="5986"/>
      <c r="AE17" s="2750"/>
      <c r="AF17" s="7394"/>
      <c r="AG17" s="3193"/>
      <c r="AH17" s="5986"/>
      <c r="AI17" s="2750"/>
      <c r="AJ17" s="7394"/>
      <c r="AK17" s="3193"/>
      <c r="AL17" s="5986"/>
      <c r="AM17" s="2750"/>
      <c r="AN17" s="5783"/>
      <c r="AO17" s="5029"/>
      <c r="AP17" s="7394"/>
      <c r="AQ17" s="3193"/>
      <c r="AR17" s="5986"/>
      <c r="AS17" s="2750"/>
      <c r="AT17" s="7394"/>
      <c r="AU17" s="3193"/>
      <c r="AV17" s="5986"/>
      <c r="AW17" s="2750">
        <v>66.210699239999997</v>
      </c>
      <c r="AX17" s="7394"/>
      <c r="AY17" s="3193">
        <f t="shared" si="13"/>
        <v>66.210699239999997</v>
      </c>
      <c r="AZ17" s="5986"/>
      <c r="BA17" s="2750"/>
      <c r="BB17" s="5783"/>
      <c r="BC17" s="5029">
        <f t="shared" si="0"/>
        <v>66.210699239999997</v>
      </c>
      <c r="BD17" s="7394"/>
      <c r="BE17" s="3193">
        <f t="shared" si="1"/>
        <v>66.210699239999997</v>
      </c>
    </row>
    <row r="18" spans="2:58" ht="15" customHeight="1" x14ac:dyDescent="0.2">
      <c r="B18" s="1604" t="s">
        <v>2276</v>
      </c>
      <c r="C18" s="7431" t="s">
        <v>2275</v>
      </c>
      <c r="D18" s="7434">
        <v>57.38</v>
      </c>
      <c r="E18" s="1544" t="s">
        <v>170</v>
      </c>
      <c r="F18" s="7418"/>
      <c r="G18" s="4406"/>
      <c r="H18" s="7418"/>
      <c r="I18" s="3851"/>
      <c r="J18" s="7419"/>
      <c r="K18" s="3193">
        <f t="shared" si="2"/>
        <v>0</v>
      </c>
      <c r="L18" s="7418"/>
      <c r="M18" s="2750"/>
      <c r="N18" s="7422"/>
      <c r="O18" s="5029">
        <f t="shared" si="3"/>
        <v>0</v>
      </c>
      <c r="P18" s="7418"/>
      <c r="Q18" s="4406"/>
      <c r="R18" s="7419"/>
      <c r="S18" s="3193">
        <f t="shared" si="4"/>
        <v>0</v>
      </c>
      <c r="T18" s="7418"/>
      <c r="U18" s="2750"/>
      <c r="V18" s="7419"/>
      <c r="W18" s="3193">
        <f t="shared" si="5"/>
        <v>0</v>
      </c>
      <c r="X18" s="7418"/>
      <c r="Y18" s="2750"/>
      <c r="Z18" s="7422"/>
      <c r="AA18" s="5029">
        <f t="shared" si="6"/>
        <v>0</v>
      </c>
      <c r="AB18" s="7423"/>
      <c r="AC18" s="6615">
        <f t="shared" si="7"/>
        <v>0</v>
      </c>
      <c r="AD18" s="7418"/>
      <c r="AE18" s="2750">
        <v>2003.2609692122999</v>
      </c>
      <c r="AF18" s="7419"/>
      <c r="AG18" s="3193">
        <f t="shared" si="8"/>
        <v>2003.2609692122999</v>
      </c>
      <c r="AH18" s="7418"/>
      <c r="AI18" s="2750">
        <v>2714.4463349807997</v>
      </c>
      <c r="AJ18" s="7419"/>
      <c r="AK18" s="3193">
        <f t="shared" si="9"/>
        <v>4717.7073041930998</v>
      </c>
      <c r="AL18" s="7418"/>
      <c r="AM18" s="2750">
        <v>0</v>
      </c>
      <c r="AN18" s="7422"/>
      <c r="AO18" s="5029">
        <f t="shared" si="10"/>
        <v>4717.7073041930998</v>
      </c>
      <c r="AP18" s="7419"/>
      <c r="AQ18" s="3193">
        <f t="shared" si="11"/>
        <v>4717.7073041930998</v>
      </c>
      <c r="AR18" s="7418"/>
      <c r="AS18" s="2750"/>
      <c r="AT18" s="7419"/>
      <c r="AU18" s="3193">
        <f t="shared" si="12"/>
        <v>4717.7073041930998</v>
      </c>
      <c r="AV18" s="7418"/>
      <c r="AW18" s="2750"/>
      <c r="AX18" s="7419"/>
      <c r="AY18" s="3193">
        <f t="shared" si="13"/>
        <v>4717.7073041930998</v>
      </c>
      <c r="AZ18" s="7418"/>
      <c r="BA18" s="2750">
        <v>679.00340500000004</v>
      </c>
      <c r="BB18" s="7422"/>
      <c r="BC18" s="5029">
        <f t="shared" si="0"/>
        <v>679.00340500000004</v>
      </c>
      <c r="BD18" s="7419"/>
      <c r="BE18" s="3193">
        <f t="shared" si="1"/>
        <v>5396.7107091931002</v>
      </c>
    </row>
    <row r="19" spans="2:58" s="7828" customFormat="1" ht="15" customHeight="1" x14ac:dyDescent="0.2">
      <c r="B19" s="1604" t="s">
        <v>2455</v>
      </c>
      <c r="C19" s="7610" t="s">
        <v>2552</v>
      </c>
      <c r="D19" s="7434">
        <v>77.569999999999993</v>
      </c>
      <c r="E19" s="1544" t="s">
        <v>170</v>
      </c>
      <c r="F19" s="7418"/>
      <c r="G19" s="4406"/>
      <c r="H19" s="7418"/>
      <c r="I19" s="3851"/>
      <c r="J19" s="7419"/>
      <c r="K19" s="3193"/>
      <c r="L19" s="7418"/>
      <c r="M19" s="2750"/>
      <c r="N19" s="7422"/>
      <c r="O19" s="5029"/>
      <c r="P19" s="7418"/>
      <c r="Q19" s="4406"/>
      <c r="R19" s="7419"/>
      <c r="S19" s="3193"/>
      <c r="T19" s="7418"/>
      <c r="U19" s="2750"/>
      <c r="V19" s="7419"/>
      <c r="W19" s="3193"/>
      <c r="X19" s="7418"/>
      <c r="Y19" s="2750"/>
      <c r="Z19" s="7422"/>
      <c r="AA19" s="5029"/>
      <c r="AB19" s="7423"/>
      <c r="AC19" s="6615"/>
      <c r="AD19" s="7418"/>
      <c r="AE19" s="2750"/>
      <c r="AF19" s="7419"/>
      <c r="AG19" s="3193">
        <f t="shared" si="8"/>
        <v>0</v>
      </c>
      <c r="AH19" s="7418"/>
      <c r="AI19" s="2750"/>
      <c r="AJ19" s="7419"/>
      <c r="AK19" s="3193">
        <f t="shared" si="9"/>
        <v>0</v>
      </c>
      <c r="AL19" s="7418"/>
      <c r="AM19" s="2750">
        <v>3792.4404908291999</v>
      </c>
      <c r="AN19" s="7422"/>
      <c r="AO19" s="5029">
        <f t="shared" si="10"/>
        <v>3792.4404908291999</v>
      </c>
      <c r="AP19" s="7419"/>
      <c r="AQ19" s="3193">
        <f t="shared" si="11"/>
        <v>3792.4404908291999</v>
      </c>
      <c r="AR19" s="7418"/>
      <c r="AS19" s="2750"/>
      <c r="AT19" s="7419"/>
      <c r="AU19" s="3193">
        <f t="shared" si="12"/>
        <v>3792.4404908291999</v>
      </c>
      <c r="AV19" s="7418"/>
      <c r="AW19" s="2750"/>
      <c r="AX19" s="7419"/>
      <c r="AY19" s="3193">
        <f t="shared" si="13"/>
        <v>3792.4404908291999</v>
      </c>
      <c r="AZ19" s="7418"/>
      <c r="BA19" s="2750"/>
      <c r="BB19" s="7422"/>
      <c r="BC19" s="5029">
        <f t="shared" si="0"/>
        <v>0</v>
      </c>
      <c r="BD19" s="7419"/>
      <c r="BE19" s="3193">
        <f t="shared" si="1"/>
        <v>3792.4404908291999</v>
      </c>
    </row>
    <row r="20" spans="2:58" s="8189" customFormat="1" ht="15" customHeight="1" x14ac:dyDescent="0.2">
      <c r="B20" s="1604" t="s">
        <v>2455</v>
      </c>
      <c r="C20" s="7610" t="s">
        <v>2583</v>
      </c>
      <c r="D20" s="7434">
        <v>77.569999999999993</v>
      </c>
      <c r="E20" s="1544" t="s">
        <v>170</v>
      </c>
      <c r="F20" s="7418"/>
      <c r="G20" s="4406"/>
      <c r="H20" s="7418"/>
      <c r="I20" s="3851"/>
      <c r="J20" s="7419"/>
      <c r="K20" s="3193"/>
      <c r="L20" s="7418"/>
      <c r="M20" s="2750"/>
      <c r="N20" s="7422"/>
      <c r="O20" s="5029"/>
      <c r="P20" s="7418"/>
      <c r="Q20" s="4406"/>
      <c r="R20" s="7419"/>
      <c r="S20" s="3193"/>
      <c r="T20" s="7418"/>
      <c r="U20" s="2750"/>
      <c r="V20" s="7419"/>
      <c r="W20" s="3193"/>
      <c r="X20" s="7418"/>
      <c r="Y20" s="2750"/>
      <c r="Z20" s="7422"/>
      <c r="AA20" s="5029"/>
      <c r="AB20" s="7423"/>
      <c r="AC20" s="6615"/>
      <c r="AD20" s="7418"/>
      <c r="AE20" s="2750"/>
      <c r="AF20" s="7419"/>
      <c r="AG20" s="3193"/>
      <c r="AH20" s="7418"/>
      <c r="AI20" s="2750"/>
      <c r="AJ20" s="7419"/>
      <c r="AK20" s="3193"/>
      <c r="AL20" s="7418"/>
      <c r="AM20" s="2750"/>
      <c r="AN20" s="7422"/>
      <c r="AO20" s="5029"/>
      <c r="AP20" s="7419"/>
      <c r="AQ20" s="3193"/>
      <c r="AR20" s="7418"/>
      <c r="AS20" s="2750"/>
      <c r="AT20" s="7419"/>
      <c r="AU20" s="3193"/>
      <c r="AV20" s="7418"/>
      <c r="AW20" s="2750">
        <v>2266.8008929272</v>
      </c>
      <c r="AX20" s="7419"/>
      <c r="AY20" s="3193">
        <f t="shared" si="13"/>
        <v>2266.8008929272</v>
      </c>
      <c r="AZ20" s="7418"/>
      <c r="BA20" s="2750"/>
      <c r="BB20" s="7422"/>
      <c r="BC20" s="5029">
        <f t="shared" si="0"/>
        <v>2266.8008929272</v>
      </c>
      <c r="BD20" s="7419"/>
      <c r="BE20" s="3193">
        <f t="shared" si="1"/>
        <v>2266.8008929272</v>
      </c>
    </row>
    <row r="21" spans="2:58" s="8189" customFormat="1" ht="15" customHeight="1" x14ac:dyDescent="0.2">
      <c r="B21" s="1604" t="s">
        <v>2455</v>
      </c>
      <c r="C21" s="7610" t="s">
        <v>2585</v>
      </c>
      <c r="D21" s="7434">
        <v>77.569999999999993</v>
      </c>
      <c r="E21" s="1544" t="s">
        <v>170</v>
      </c>
      <c r="F21" s="7418"/>
      <c r="G21" s="4406"/>
      <c r="H21" s="7418"/>
      <c r="I21" s="3851"/>
      <c r="J21" s="7419"/>
      <c r="K21" s="3193"/>
      <c r="L21" s="7418"/>
      <c r="M21" s="2750"/>
      <c r="N21" s="7422"/>
      <c r="O21" s="5029"/>
      <c r="P21" s="7418"/>
      <c r="Q21" s="4406"/>
      <c r="R21" s="7419"/>
      <c r="S21" s="3193"/>
      <c r="T21" s="7418"/>
      <c r="U21" s="2750"/>
      <c r="V21" s="7419"/>
      <c r="W21" s="3193"/>
      <c r="X21" s="7418"/>
      <c r="Y21" s="2750"/>
      <c r="Z21" s="7422"/>
      <c r="AA21" s="5029"/>
      <c r="AB21" s="7423"/>
      <c r="AC21" s="6615"/>
      <c r="AD21" s="7418"/>
      <c r="AE21" s="2750"/>
      <c r="AF21" s="7419"/>
      <c r="AG21" s="3193"/>
      <c r="AH21" s="7418"/>
      <c r="AI21" s="2750"/>
      <c r="AJ21" s="7419"/>
      <c r="AK21" s="3193"/>
      <c r="AL21" s="7418"/>
      <c r="AM21" s="2750"/>
      <c r="AN21" s="7422"/>
      <c r="AO21" s="5029"/>
      <c r="AP21" s="7419"/>
      <c r="AQ21" s="3193"/>
      <c r="AR21" s="7418"/>
      <c r="AS21" s="2750"/>
      <c r="AT21" s="7419"/>
      <c r="AU21" s="3193"/>
      <c r="AV21" s="7418"/>
      <c r="AW21" s="2750">
        <v>77.245815780000001</v>
      </c>
      <c r="AX21" s="7419"/>
      <c r="AY21" s="3193">
        <f t="shared" si="13"/>
        <v>77.245815780000001</v>
      </c>
      <c r="AZ21" s="7418"/>
      <c r="BA21" s="2750"/>
      <c r="BB21" s="7422"/>
      <c r="BC21" s="5029">
        <f t="shared" si="0"/>
        <v>77.245815780000001</v>
      </c>
      <c r="BD21" s="7419"/>
      <c r="BE21" s="3193">
        <f t="shared" si="1"/>
        <v>77.245815780000001</v>
      </c>
    </row>
    <row r="22" spans="2:58" s="8189" customFormat="1" ht="15" customHeight="1" x14ac:dyDescent="0.2">
      <c r="B22" s="1604" t="s">
        <v>2278</v>
      </c>
      <c r="C22" s="7610" t="s">
        <v>2583</v>
      </c>
      <c r="D22" s="7434">
        <v>90.68</v>
      </c>
      <c r="E22" s="1544" t="s">
        <v>170</v>
      </c>
      <c r="F22" s="7418"/>
      <c r="G22" s="4406"/>
      <c r="H22" s="7418"/>
      <c r="I22" s="3851"/>
      <c r="J22" s="7419"/>
      <c r="K22" s="3193"/>
      <c r="L22" s="7418"/>
      <c r="M22" s="2750"/>
      <c r="N22" s="7422"/>
      <c r="O22" s="5029"/>
      <c r="P22" s="7418"/>
      <c r="Q22" s="4406"/>
      <c r="R22" s="7419"/>
      <c r="S22" s="3193"/>
      <c r="T22" s="7418"/>
      <c r="U22" s="2750"/>
      <c r="V22" s="7419"/>
      <c r="W22" s="3193"/>
      <c r="X22" s="7418"/>
      <c r="Y22" s="2750"/>
      <c r="Z22" s="7422"/>
      <c r="AA22" s="5029"/>
      <c r="AB22" s="7423"/>
      <c r="AC22" s="6615"/>
      <c r="AD22" s="7418"/>
      <c r="AE22" s="2750"/>
      <c r="AF22" s="7419"/>
      <c r="AG22" s="3193"/>
      <c r="AH22" s="7418"/>
      <c r="AI22" s="2750"/>
      <c r="AJ22" s="7419"/>
      <c r="AK22" s="3193"/>
      <c r="AL22" s="7418"/>
      <c r="AM22" s="2750"/>
      <c r="AN22" s="7422"/>
      <c r="AO22" s="5029"/>
      <c r="AP22" s="7419"/>
      <c r="AQ22" s="3193"/>
      <c r="AR22" s="7418"/>
      <c r="AS22" s="2750"/>
      <c r="AT22" s="7419"/>
      <c r="AU22" s="3193"/>
      <c r="AV22" s="7418"/>
      <c r="AW22" s="2750">
        <f>5145.2008554051-AW44</f>
        <v>5134.2008554050999</v>
      </c>
      <c r="AX22" s="7419"/>
      <c r="AY22" s="3193">
        <f t="shared" si="13"/>
        <v>5134.2008554050999</v>
      </c>
      <c r="AZ22" s="7418"/>
      <c r="BA22" s="2750"/>
      <c r="BB22" s="7422"/>
      <c r="BC22" s="5029">
        <f t="shared" si="0"/>
        <v>5134.2008554050999</v>
      </c>
      <c r="BD22" s="7419"/>
      <c r="BE22" s="3193">
        <f t="shared" si="1"/>
        <v>5134.2008554050999</v>
      </c>
    </row>
    <row r="23" spans="2:58" s="8189" customFormat="1" ht="15" customHeight="1" x14ac:dyDescent="0.2">
      <c r="B23" s="1604" t="s">
        <v>2278</v>
      </c>
      <c r="C23" s="7610" t="s">
        <v>2581</v>
      </c>
      <c r="D23" s="7434">
        <v>90.68</v>
      </c>
      <c r="E23" s="1544" t="s">
        <v>170</v>
      </c>
      <c r="F23" s="7418"/>
      <c r="G23" s="4406"/>
      <c r="H23" s="7418"/>
      <c r="I23" s="3851"/>
      <c r="J23" s="7419"/>
      <c r="K23" s="3193"/>
      <c r="L23" s="7418"/>
      <c r="M23" s="2750"/>
      <c r="N23" s="7422"/>
      <c r="O23" s="5029"/>
      <c r="P23" s="7418"/>
      <c r="Q23" s="4406"/>
      <c r="R23" s="7419"/>
      <c r="S23" s="3193"/>
      <c r="T23" s="7418"/>
      <c r="U23" s="2750"/>
      <c r="V23" s="7419"/>
      <c r="W23" s="3193"/>
      <c r="X23" s="7418"/>
      <c r="Y23" s="2750"/>
      <c r="Z23" s="7422"/>
      <c r="AA23" s="5029"/>
      <c r="AB23" s="7423"/>
      <c r="AC23" s="6615"/>
      <c r="AD23" s="7418"/>
      <c r="AE23" s="2750"/>
      <c r="AF23" s="7419"/>
      <c r="AG23" s="3193"/>
      <c r="AH23" s="7418"/>
      <c r="AI23" s="2750"/>
      <c r="AJ23" s="7419"/>
      <c r="AK23" s="3193"/>
      <c r="AL23" s="7418"/>
      <c r="AM23" s="2750"/>
      <c r="AN23" s="7422"/>
      <c r="AO23" s="5029"/>
      <c r="AP23" s="7419"/>
      <c r="AQ23" s="3193"/>
      <c r="AR23" s="7418"/>
      <c r="AS23" s="2750"/>
      <c r="AT23" s="7419"/>
      <c r="AU23" s="3193"/>
      <c r="AV23" s="7418"/>
      <c r="AW23" s="2750">
        <v>38.62290789</v>
      </c>
      <c r="AX23" s="7419"/>
      <c r="AY23" s="3193">
        <f t="shared" si="13"/>
        <v>38.62290789</v>
      </c>
      <c r="AZ23" s="7418"/>
      <c r="BA23" s="2750"/>
      <c r="BB23" s="7422"/>
      <c r="BC23" s="5029">
        <f t="shared" si="0"/>
        <v>38.62290789</v>
      </c>
      <c r="BD23" s="7419"/>
      <c r="BE23" s="3193">
        <f t="shared" si="1"/>
        <v>38.62290789</v>
      </c>
    </row>
    <row r="24" spans="2:58" x14ac:dyDescent="0.2">
      <c r="B24" s="1604" t="s">
        <v>2278</v>
      </c>
      <c r="C24" s="7610" t="s">
        <v>2552</v>
      </c>
      <c r="D24" s="7434">
        <v>90.68</v>
      </c>
      <c r="E24" s="1544" t="s">
        <v>170</v>
      </c>
      <c r="F24" s="7418"/>
      <c r="G24" s="4406"/>
      <c r="H24" s="7418"/>
      <c r="I24" s="3851"/>
      <c r="J24" s="7419"/>
      <c r="K24" s="3193">
        <f t="shared" si="2"/>
        <v>0</v>
      </c>
      <c r="L24" s="7418"/>
      <c r="M24" s="2750"/>
      <c r="N24" s="7422"/>
      <c r="O24" s="5029">
        <f t="shared" si="3"/>
        <v>0</v>
      </c>
      <c r="P24" s="7418"/>
      <c r="Q24" s="4406"/>
      <c r="R24" s="7419"/>
      <c r="S24" s="3193">
        <f t="shared" si="4"/>
        <v>0</v>
      </c>
      <c r="T24" s="7418"/>
      <c r="U24" s="2750"/>
      <c r="V24" s="7419"/>
      <c r="W24" s="3193">
        <f t="shared" si="5"/>
        <v>0</v>
      </c>
      <c r="X24" s="7418"/>
      <c r="Y24" s="2750"/>
      <c r="Z24" s="7422"/>
      <c r="AA24" s="5029">
        <f t="shared" si="6"/>
        <v>0</v>
      </c>
      <c r="AB24" s="7423"/>
      <c r="AC24" s="6615">
        <f t="shared" si="7"/>
        <v>0</v>
      </c>
      <c r="AD24" s="7418"/>
      <c r="AE24" s="2750">
        <v>2616.1244767854005</v>
      </c>
      <c r="AF24" s="7419"/>
      <c r="AG24" s="3193">
        <f t="shared" si="8"/>
        <v>2616.1244767854005</v>
      </c>
      <c r="AH24" s="7418"/>
      <c r="AI24" s="2750">
        <v>0</v>
      </c>
      <c r="AJ24" s="7419"/>
      <c r="AK24" s="3193">
        <f t="shared" si="9"/>
        <v>2616.1244767854005</v>
      </c>
      <c r="AL24" s="7418"/>
      <c r="AM24" s="2750">
        <v>0</v>
      </c>
      <c r="AN24" s="7422"/>
      <c r="AO24" s="5029">
        <f t="shared" si="10"/>
        <v>2616.1244767854005</v>
      </c>
      <c r="AP24" s="7419"/>
      <c r="AQ24" s="3193">
        <f t="shared" si="11"/>
        <v>2616.1244767854005</v>
      </c>
      <c r="AR24" s="7418"/>
      <c r="AS24" s="2750"/>
      <c r="AT24" s="7419"/>
      <c r="AU24" s="3193">
        <f t="shared" si="12"/>
        <v>2616.1244767854005</v>
      </c>
      <c r="AV24" s="7418"/>
      <c r="AW24" s="3913"/>
      <c r="AX24" s="7419"/>
      <c r="AY24" s="3193">
        <f t="shared" si="13"/>
        <v>2616.1244767854005</v>
      </c>
      <c r="AZ24" s="7418"/>
      <c r="BA24" s="3913"/>
      <c r="BB24" s="7422"/>
      <c r="BC24" s="5029">
        <f t="shared" si="0"/>
        <v>0</v>
      </c>
      <c r="BD24" s="7419"/>
      <c r="BE24" s="3193">
        <f t="shared" si="1"/>
        <v>2616.1244767854005</v>
      </c>
    </row>
    <row r="25" spans="2:58" s="7608" customFormat="1" x14ac:dyDescent="0.2">
      <c r="B25" s="1604" t="s">
        <v>2278</v>
      </c>
      <c r="C25" s="7431" t="s">
        <v>2275</v>
      </c>
      <c r="D25" s="7434">
        <v>90.68</v>
      </c>
      <c r="E25" s="1544" t="s">
        <v>170</v>
      </c>
      <c r="F25" s="7418"/>
      <c r="G25" s="4406"/>
      <c r="H25" s="7418"/>
      <c r="I25" s="3851"/>
      <c r="J25" s="7419"/>
      <c r="K25" s="3193"/>
      <c r="L25" s="7418"/>
      <c r="M25" s="2750"/>
      <c r="N25" s="7422"/>
      <c r="O25" s="5029"/>
      <c r="P25" s="7418"/>
      <c r="Q25" s="4406"/>
      <c r="R25" s="7419"/>
      <c r="S25" s="3193"/>
      <c r="T25" s="7418"/>
      <c r="U25" s="2750"/>
      <c r="V25" s="7419"/>
      <c r="W25" s="3193"/>
      <c r="X25" s="7418"/>
      <c r="Y25" s="2750"/>
      <c r="Z25" s="7422"/>
      <c r="AA25" s="5029"/>
      <c r="AB25" s="7423"/>
      <c r="AC25" s="6615"/>
      <c r="AD25" s="7418"/>
      <c r="AE25" s="2750"/>
      <c r="AF25" s="7419"/>
      <c r="AG25" s="3193">
        <f t="shared" si="8"/>
        <v>0</v>
      </c>
      <c r="AH25" s="7418"/>
      <c r="AI25" s="2750">
        <v>4760.2617467957998</v>
      </c>
      <c r="AJ25" s="7419"/>
      <c r="AK25" s="3193">
        <f t="shared" si="9"/>
        <v>4760.2617467957998</v>
      </c>
      <c r="AL25" s="7418"/>
      <c r="AM25" s="2750">
        <v>0</v>
      </c>
      <c r="AN25" s="7422"/>
      <c r="AO25" s="5029">
        <f t="shared" si="10"/>
        <v>4760.2617467957998</v>
      </c>
      <c r="AP25" s="7419"/>
      <c r="AQ25" s="3193">
        <f t="shared" si="11"/>
        <v>4760.2617467957998</v>
      </c>
      <c r="AR25" s="7418"/>
      <c r="AS25" s="2750"/>
      <c r="AT25" s="7419"/>
      <c r="AU25" s="3193">
        <f t="shared" si="12"/>
        <v>4760.2617467957998</v>
      </c>
      <c r="AV25" s="7418"/>
      <c r="AW25" s="3913"/>
      <c r="AX25" s="7419"/>
      <c r="AY25" s="3193">
        <f t="shared" si="13"/>
        <v>4760.2617467957998</v>
      </c>
      <c r="AZ25" s="7418"/>
      <c r="BA25" s="3913"/>
      <c r="BB25" s="7422"/>
      <c r="BC25" s="5029">
        <f t="shared" si="0"/>
        <v>0</v>
      </c>
      <c r="BD25" s="7419"/>
      <c r="BE25" s="3193">
        <f t="shared" si="1"/>
        <v>4760.2617467957998</v>
      </c>
    </row>
    <row r="26" spans="2:58" x14ac:dyDescent="0.2">
      <c r="B26" s="1604" t="s">
        <v>2279</v>
      </c>
      <c r="C26" s="7610" t="s">
        <v>2552</v>
      </c>
      <c r="D26" s="7434">
        <v>79.36</v>
      </c>
      <c r="E26" s="1544" t="s">
        <v>170</v>
      </c>
      <c r="F26" s="7418"/>
      <c r="G26" s="4406"/>
      <c r="H26" s="7418"/>
      <c r="I26" s="3851"/>
      <c r="J26" s="7419"/>
      <c r="K26" s="3193">
        <f t="shared" si="2"/>
        <v>0</v>
      </c>
      <c r="L26" s="7418"/>
      <c r="M26" s="2750"/>
      <c r="N26" s="7422"/>
      <c r="O26" s="5029">
        <f t="shared" si="3"/>
        <v>0</v>
      </c>
      <c r="P26" s="7418"/>
      <c r="Q26" s="4406"/>
      <c r="R26" s="7419"/>
      <c r="S26" s="3193">
        <f t="shared" si="4"/>
        <v>0</v>
      </c>
      <c r="T26" s="7418"/>
      <c r="U26" s="2750"/>
      <c r="V26" s="7419"/>
      <c r="W26" s="3193">
        <f t="shared" si="5"/>
        <v>0</v>
      </c>
      <c r="X26" s="7418"/>
      <c r="Y26" s="2750"/>
      <c r="Z26" s="7422"/>
      <c r="AA26" s="5029">
        <f t="shared" si="6"/>
        <v>0</v>
      </c>
      <c r="AB26" s="7423"/>
      <c r="AC26" s="6615">
        <f t="shared" si="7"/>
        <v>0</v>
      </c>
      <c r="AD26" s="7418"/>
      <c r="AE26" s="2750">
        <v>640.12151383110006</v>
      </c>
      <c r="AF26" s="7419"/>
      <c r="AG26" s="3193">
        <f t="shared" si="8"/>
        <v>640.12151383110006</v>
      </c>
      <c r="AH26" s="7418"/>
      <c r="AI26" s="2750">
        <v>142.8107749488</v>
      </c>
      <c r="AJ26" s="7419"/>
      <c r="AK26" s="3193">
        <f t="shared" si="9"/>
        <v>782.93228877990009</v>
      </c>
      <c r="AL26" s="7418"/>
      <c r="AM26" s="2750">
        <v>0</v>
      </c>
      <c r="AN26" s="7422"/>
      <c r="AO26" s="5029">
        <f t="shared" si="10"/>
        <v>782.93228877990009</v>
      </c>
      <c r="AP26" s="7419"/>
      <c r="AQ26" s="3193">
        <f t="shared" si="11"/>
        <v>782.93228877990009</v>
      </c>
      <c r="AR26" s="7418"/>
      <c r="AS26" s="2750"/>
      <c r="AT26" s="7419"/>
      <c r="AU26" s="3193">
        <f t="shared" si="12"/>
        <v>782.93228877990009</v>
      </c>
      <c r="AV26" s="7418"/>
      <c r="AW26" s="3913"/>
      <c r="AX26" s="7419"/>
      <c r="AY26" s="3193">
        <f t="shared" si="13"/>
        <v>782.93228877990009</v>
      </c>
      <c r="AZ26" s="7418"/>
      <c r="BA26" s="3913"/>
      <c r="BB26" s="7422"/>
      <c r="BC26" s="5029">
        <f t="shared" si="0"/>
        <v>0</v>
      </c>
      <c r="BD26" s="7419"/>
      <c r="BE26" s="3193">
        <f t="shared" si="1"/>
        <v>782.93228877990009</v>
      </c>
    </row>
    <row r="27" spans="2:58" s="7608" customFormat="1" x14ac:dyDescent="0.2">
      <c r="B27" s="1604" t="s">
        <v>2279</v>
      </c>
      <c r="C27" s="7431" t="s">
        <v>2275</v>
      </c>
      <c r="D27" s="7434">
        <v>79.36</v>
      </c>
      <c r="E27" s="1544" t="s">
        <v>170</v>
      </c>
      <c r="F27" s="7418"/>
      <c r="G27" s="4406"/>
      <c r="H27" s="7418"/>
      <c r="I27" s="3851"/>
      <c r="J27" s="7419"/>
      <c r="K27" s="3193"/>
      <c r="L27" s="7418"/>
      <c r="M27" s="2750"/>
      <c r="N27" s="7422"/>
      <c r="O27" s="5029"/>
      <c r="P27" s="7418"/>
      <c r="Q27" s="4406"/>
      <c r="R27" s="7419"/>
      <c r="S27" s="3193"/>
      <c r="T27" s="7418"/>
      <c r="U27" s="2750"/>
      <c r="V27" s="7419"/>
      <c r="W27" s="3193"/>
      <c r="X27" s="7418"/>
      <c r="Y27" s="2750"/>
      <c r="Z27" s="7422"/>
      <c r="AA27" s="5029"/>
      <c r="AB27" s="7423"/>
      <c r="AC27" s="6615"/>
      <c r="AD27" s="7418"/>
      <c r="AE27" s="2750"/>
      <c r="AF27" s="7419"/>
      <c r="AG27" s="3193">
        <f t="shared" si="8"/>
        <v>0</v>
      </c>
      <c r="AH27" s="7418"/>
      <c r="AI27" s="2750">
        <v>1128.4744828580999</v>
      </c>
      <c r="AJ27" s="7419"/>
      <c r="AK27" s="3193">
        <f t="shared" si="9"/>
        <v>1128.4744828580999</v>
      </c>
      <c r="AL27" s="7418"/>
      <c r="AM27" s="2750">
        <v>0</v>
      </c>
      <c r="AN27" s="7422"/>
      <c r="AO27" s="5029">
        <f t="shared" si="10"/>
        <v>1128.4744828580999</v>
      </c>
      <c r="AP27" s="7419"/>
      <c r="AQ27" s="3193">
        <f t="shared" si="11"/>
        <v>1128.4744828580999</v>
      </c>
      <c r="AR27" s="7418"/>
      <c r="AS27" s="2750"/>
      <c r="AT27" s="7419"/>
      <c r="AU27" s="3193">
        <f t="shared" si="12"/>
        <v>1128.4744828580999</v>
      </c>
      <c r="AV27" s="7418"/>
      <c r="AW27" s="3913"/>
      <c r="AX27" s="7419"/>
      <c r="AY27" s="3193">
        <f t="shared" si="13"/>
        <v>1128.4744828580999</v>
      </c>
      <c r="AZ27" s="7418"/>
      <c r="BA27" s="3913"/>
      <c r="BB27" s="7422"/>
      <c r="BC27" s="5029">
        <f t="shared" si="0"/>
        <v>0</v>
      </c>
      <c r="BD27" s="7419"/>
      <c r="BE27" s="3193">
        <f t="shared" si="1"/>
        <v>1128.4744828580999</v>
      </c>
    </row>
    <row r="28" spans="2:58" x14ac:dyDescent="0.2">
      <c r="B28" s="1604" t="s">
        <v>2280</v>
      </c>
      <c r="C28" s="7610" t="s">
        <v>2552</v>
      </c>
      <c r="D28" s="7434">
        <v>107.31</v>
      </c>
      <c r="E28" s="1544" t="s">
        <v>170</v>
      </c>
      <c r="F28" s="7418"/>
      <c r="G28" s="4406"/>
      <c r="H28" s="7418"/>
      <c r="I28" s="3851"/>
      <c r="J28" s="7419"/>
      <c r="K28" s="3193">
        <f t="shared" si="2"/>
        <v>0</v>
      </c>
      <c r="L28" s="7418"/>
      <c r="M28" s="2750"/>
      <c r="N28" s="7422"/>
      <c r="O28" s="5029">
        <f t="shared" si="3"/>
        <v>0</v>
      </c>
      <c r="P28" s="7418"/>
      <c r="Q28" s="4406"/>
      <c r="R28" s="7419"/>
      <c r="S28" s="3193">
        <f t="shared" si="4"/>
        <v>0</v>
      </c>
      <c r="T28" s="7418"/>
      <c r="U28" s="2750"/>
      <c r="V28" s="7419"/>
      <c r="W28" s="3193">
        <f t="shared" si="5"/>
        <v>0</v>
      </c>
      <c r="X28" s="7418"/>
      <c r="Y28" s="2750"/>
      <c r="Z28" s="7422"/>
      <c r="AA28" s="5029">
        <f t="shared" si="6"/>
        <v>0</v>
      </c>
      <c r="AB28" s="7423"/>
      <c r="AC28" s="6615">
        <f t="shared" si="7"/>
        <v>0</v>
      </c>
      <c r="AD28" s="7418"/>
      <c r="AE28" s="2750">
        <v>451.30001716800001</v>
      </c>
      <c r="AF28" s="7419"/>
      <c r="AG28" s="3193">
        <f t="shared" si="8"/>
        <v>451.30001716800001</v>
      </c>
      <c r="AH28" s="7418"/>
      <c r="AI28" s="2750">
        <v>0</v>
      </c>
      <c r="AJ28" s="7419"/>
      <c r="AK28" s="3193">
        <f t="shared" si="9"/>
        <v>451.30001716800001</v>
      </c>
      <c r="AL28" s="7418"/>
      <c r="AM28" s="2750">
        <v>0</v>
      </c>
      <c r="AN28" s="7422"/>
      <c r="AO28" s="5029">
        <f t="shared" si="10"/>
        <v>451.30001716800001</v>
      </c>
      <c r="AP28" s="7419"/>
      <c r="AQ28" s="3193">
        <f t="shared" si="11"/>
        <v>451.30001716800001</v>
      </c>
      <c r="AR28" s="7418"/>
      <c r="AS28" s="2750"/>
      <c r="AT28" s="7419"/>
      <c r="AU28" s="3193">
        <f t="shared" si="12"/>
        <v>451.30001716800001</v>
      </c>
      <c r="AV28" s="7418"/>
      <c r="AW28" s="3913"/>
      <c r="AX28" s="7419"/>
      <c r="AY28" s="3193">
        <f t="shared" si="13"/>
        <v>451.30001716800001</v>
      </c>
      <c r="AZ28" s="7418"/>
      <c r="BA28" s="3913"/>
      <c r="BB28" s="7422"/>
      <c r="BC28" s="5029">
        <f t="shared" si="0"/>
        <v>0</v>
      </c>
      <c r="BD28" s="7419"/>
      <c r="BE28" s="3193">
        <f t="shared" si="1"/>
        <v>451.30001716800001</v>
      </c>
    </row>
    <row r="29" spans="2:58" ht="15" customHeight="1" x14ac:dyDescent="0.2">
      <c r="B29" s="1604" t="s">
        <v>2281</v>
      </c>
      <c r="C29" s="7431" t="s">
        <v>2275</v>
      </c>
      <c r="D29" s="7434">
        <v>122.45</v>
      </c>
      <c r="E29" s="1544" t="s">
        <v>170</v>
      </c>
      <c r="F29" s="7418"/>
      <c r="G29" s="4406"/>
      <c r="H29" s="7418"/>
      <c r="I29" s="3851"/>
      <c r="J29" s="7419"/>
      <c r="K29" s="3193">
        <f t="shared" si="2"/>
        <v>0</v>
      </c>
      <c r="L29" s="7418"/>
      <c r="M29" s="2750"/>
      <c r="N29" s="7422"/>
      <c r="O29" s="5029">
        <f t="shared" si="3"/>
        <v>0</v>
      </c>
      <c r="P29" s="7418"/>
      <c r="Q29" s="4406"/>
      <c r="R29" s="7419"/>
      <c r="S29" s="3193">
        <f t="shared" si="4"/>
        <v>0</v>
      </c>
      <c r="T29" s="7418"/>
      <c r="U29" s="2750"/>
      <c r="V29" s="7419"/>
      <c r="W29" s="3193">
        <f t="shared" si="5"/>
        <v>0</v>
      </c>
      <c r="X29" s="7418"/>
      <c r="Y29" s="2750"/>
      <c r="Z29" s="7422"/>
      <c r="AA29" s="5029">
        <f t="shared" si="6"/>
        <v>0</v>
      </c>
      <c r="AB29" s="7423"/>
      <c r="AC29" s="6615">
        <f t="shared" si="7"/>
        <v>0</v>
      </c>
      <c r="AD29" s="7418"/>
      <c r="AE29" s="2750">
        <v>754.21595946199977</v>
      </c>
      <c r="AF29" s="7419"/>
      <c r="AG29" s="3193">
        <f t="shared" si="8"/>
        <v>754.21595946199977</v>
      </c>
      <c r="AH29" s="7418"/>
      <c r="AI29" s="2750">
        <v>4056.8096501926002</v>
      </c>
      <c r="AJ29" s="7419"/>
      <c r="AK29" s="3193">
        <f t="shared" si="9"/>
        <v>4811.0256096546</v>
      </c>
      <c r="AL29" s="7418"/>
      <c r="AM29" s="2750">
        <v>0</v>
      </c>
      <c r="AN29" s="7422"/>
      <c r="AO29" s="5029">
        <f t="shared" si="10"/>
        <v>4811.0256096546</v>
      </c>
      <c r="AP29" s="7419"/>
      <c r="AQ29" s="3193">
        <f t="shared" si="11"/>
        <v>4811.0256096546</v>
      </c>
      <c r="AR29" s="7418"/>
      <c r="AS29" s="2750"/>
      <c r="AT29" s="7419"/>
      <c r="AU29" s="3193">
        <f t="shared" si="12"/>
        <v>4811.0256096546</v>
      </c>
      <c r="AV29" s="7418"/>
      <c r="AW29" s="3913"/>
      <c r="AX29" s="7419"/>
      <c r="AY29" s="3193">
        <f t="shared" si="13"/>
        <v>4811.0256096546</v>
      </c>
      <c r="AZ29" s="7418"/>
      <c r="BA29" s="3913"/>
      <c r="BB29" s="7422"/>
      <c r="BC29" s="5029">
        <f t="shared" si="0"/>
        <v>0</v>
      </c>
      <c r="BD29" s="7419"/>
      <c r="BE29" s="3193">
        <f t="shared" si="1"/>
        <v>4811.0256096546</v>
      </c>
    </row>
    <row r="30" spans="2:58" s="8094" customFormat="1" ht="15" customHeight="1" x14ac:dyDescent="0.2">
      <c r="B30" s="7609" t="s">
        <v>2281</v>
      </c>
      <c r="C30" s="7610" t="s">
        <v>2552</v>
      </c>
      <c r="D30" s="7611">
        <v>122.45</v>
      </c>
      <c r="E30" s="1544" t="s">
        <v>170</v>
      </c>
      <c r="F30" s="7418"/>
      <c r="G30" s="4406"/>
      <c r="H30" s="7418"/>
      <c r="I30" s="3851"/>
      <c r="J30" s="7419"/>
      <c r="K30" s="3193"/>
      <c r="L30" s="7418"/>
      <c r="M30" s="2750"/>
      <c r="N30" s="7422"/>
      <c r="O30" s="5029"/>
      <c r="P30" s="7418"/>
      <c r="Q30" s="4406"/>
      <c r="R30" s="7419"/>
      <c r="S30" s="3193"/>
      <c r="T30" s="7418"/>
      <c r="U30" s="2750"/>
      <c r="V30" s="7419"/>
      <c r="W30" s="3193"/>
      <c r="X30" s="7418"/>
      <c r="Y30" s="2750"/>
      <c r="Z30" s="7422"/>
      <c r="AA30" s="5029"/>
      <c r="AB30" s="7423"/>
      <c r="AC30" s="6615"/>
      <c r="AD30" s="7418"/>
      <c r="AE30" s="2750"/>
      <c r="AF30" s="7419"/>
      <c r="AG30" s="3193"/>
      <c r="AH30" s="7418"/>
      <c r="AI30" s="2750"/>
      <c r="AJ30" s="7419"/>
      <c r="AK30" s="3193"/>
      <c r="AL30" s="7418"/>
      <c r="AM30" s="2750"/>
      <c r="AN30" s="7422"/>
      <c r="AO30" s="5029"/>
      <c r="AP30" s="7419"/>
      <c r="AQ30" s="3193"/>
      <c r="AR30" s="7418"/>
      <c r="AS30" s="2750">
        <f>5036.5049928739-17.338</f>
        <v>5019.1669928739002</v>
      </c>
      <c r="AT30" s="7419"/>
      <c r="AU30" s="3193">
        <f t="shared" si="12"/>
        <v>5019.1669928739002</v>
      </c>
      <c r="AV30" s="7418"/>
      <c r="AW30" s="3913"/>
      <c r="AX30" s="7419"/>
      <c r="AY30" s="3193">
        <f t="shared" si="13"/>
        <v>5019.1669928739002</v>
      </c>
      <c r="AZ30" s="7418"/>
      <c r="BA30" s="3913"/>
      <c r="BB30" s="7422"/>
      <c r="BC30" s="5029">
        <f t="shared" si="0"/>
        <v>5019.1669928739002</v>
      </c>
      <c r="BD30" s="7419"/>
      <c r="BE30" s="3193">
        <f t="shared" si="1"/>
        <v>5019.1669928739002</v>
      </c>
    </row>
    <row r="31" spans="2:58" ht="15" customHeight="1" x14ac:dyDescent="0.2">
      <c r="B31" s="7609" t="s">
        <v>2281</v>
      </c>
      <c r="C31" s="7610" t="s">
        <v>2277</v>
      </c>
      <c r="D31" s="7611">
        <v>122.45</v>
      </c>
      <c r="E31" s="1544" t="s">
        <v>170</v>
      </c>
      <c r="F31" s="7418"/>
      <c r="G31" s="4406"/>
      <c r="H31" s="7418"/>
      <c r="I31" s="3851"/>
      <c r="J31" s="7419"/>
      <c r="K31" s="3193">
        <f t="shared" si="2"/>
        <v>0</v>
      </c>
      <c r="L31" s="7418"/>
      <c r="M31" s="2750"/>
      <c r="N31" s="7422"/>
      <c r="O31" s="5029">
        <f t="shared" si="3"/>
        <v>0</v>
      </c>
      <c r="P31" s="7418"/>
      <c r="Q31" s="4406"/>
      <c r="R31" s="7419"/>
      <c r="S31" s="3193">
        <f t="shared" si="4"/>
        <v>0</v>
      </c>
      <c r="T31" s="7418"/>
      <c r="U31" s="2750"/>
      <c r="V31" s="7419"/>
      <c r="W31" s="3193">
        <f t="shared" si="5"/>
        <v>0</v>
      </c>
      <c r="X31" s="7418"/>
      <c r="Y31" s="2750"/>
      <c r="Z31" s="7422"/>
      <c r="AA31" s="5029">
        <f t="shared" si="6"/>
        <v>0</v>
      </c>
      <c r="AB31" s="7423"/>
      <c r="AC31" s="6615">
        <f t="shared" si="7"/>
        <v>0</v>
      </c>
      <c r="AD31" s="7418"/>
      <c r="AE31" s="2750">
        <v>154.80994111660002</v>
      </c>
      <c r="AF31" s="7419"/>
      <c r="AG31" s="3193">
        <f t="shared" si="8"/>
        <v>154.80994111660002</v>
      </c>
      <c r="AH31" s="7418"/>
      <c r="AI31" s="2750">
        <v>0</v>
      </c>
      <c r="AJ31" s="7419"/>
      <c r="AK31" s="3193">
        <f t="shared" si="9"/>
        <v>154.80994111660002</v>
      </c>
      <c r="AL31" s="7418"/>
      <c r="AM31" s="2750">
        <v>0</v>
      </c>
      <c r="AN31" s="7422"/>
      <c r="AO31" s="5029">
        <f t="shared" si="10"/>
        <v>154.80994111660002</v>
      </c>
      <c r="AP31" s="7419"/>
      <c r="AQ31" s="3193">
        <f t="shared" si="11"/>
        <v>154.80994111660002</v>
      </c>
      <c r="AR31" s="7418"/>
      <c r="AS31" s="2750"/>
      <c r="AT31" s="7419"/>
      <c r="AU31" s="3193">
        <f t="shared" si="12"/>
        <v>154.80994111660002</v>
      </c>
      <c r="AV31" s="7418"/>
      <c r="AW31" s="3913"/>
      <c r="AX31" s="7419"/>
      <c r="AY31" s="3193">
        <f t="shared" si="13"/>
        <v>154.80994111660002</v>
      </c>
      <c r="AZ31" s="7418"/>
      <c r="BA31" s="3913"/>
      <c r="BB31" s="7422"/>
      <c r="BC31" s="5029">
        <f t="shared" si="0"/>
        <v>0</v>
      </c>
      <c r="BD31" s="7419"/>
      <c r="BE31" s="3193">
        <f t="shared" si="1"/>
        <v>154.80994111660002</v>
      </c>
    </row>
    <row r="32" spans="2:58" s="8094" customFormat="1" ht="15" customHeight="1" x14ac:dyDescent="0.2">
      <c r="B32" s="7609" t="s">
        <v>2549</v>
      </c>
      <c r="C32" s="7610" t="s">
        <v>2277</v>
      </c>
      <c r="D32" s="7611"/>
      <c r="E32" s="1544" t="s">
        <v>170</v>
      </c>
      <c r="F32" s="7418"/>
      <c r="G32" s="4406"/>
      <c r="H32" s="7418"/>
      <c r="I32" s="3851"/>
      <c r="J32" s="7419"/>
      <c r="K32" s="3193"/>
      <c r="L32" s="7418"/>
      <c r="M32" s="2750"/>
      <c r="N32" s="7422"/>
      <c r="O32" s="5029"/>
      <c r="P32" s="7418"/>
      <c r="Q32" s="4406"/>
      <c r="R32" s="7419"/>
      <c r="S32" s="3193"/>
      <c r="T32" s="7418"/>
      <c r="U32" s="2750"/>
      <c r="V32" s="7419"/>
      <c r="W32" s="3193"/>
      <c r="X32" s="7418"/>
      <c r="Y32" s="2750"/>
      <c r="Z32" s="7422"/>
      <c r="AA32" s="5029"/>
      <c r="AB32" s="7423"/>
      <c r="AC32" s="6615"/>
      <c r="AD32" s="7418"/>
      <c r="AE32" s="2750"/>
      <c r="AF32" s="7419"/>
      <c r="AG32" s="3193"/>
      <c r="AH32" s="7418"/>
      <c r="AI32" s="2750"/>
      <c r="AJ32" s="7419"/>
      <c r="AK32" s="3193"/>
      <c r="AL32" s="7418"/>
      <c r="AM32" s="2750"/>
      <c r="AN32" s="7422"/>
      <c r="AO32" s="5029"/>
      <c r="AP32" s="7419"/>
      <c r="AQ32" s="3193"/>
      <c r="AR32" s="7418"/>
      <c r="AS32" s="2750">
        <v>1257.8688571176001</v>
      </c>
      <c r="AT32" s="7419"/>
      <c r="AU32" s="3193">
        <f t="shared" si="12"/>
        <v>1257.8688571176001</v>
      </c>
      <c r="AV32" s="7418"/>
      <c r="AW32" s="3913"/>
      <c r="AX32" s="7419"/>
      <c r="AY32" s="3193">
        <f t="shared" si="13"/>
        <v>1257.8688571176001</v>
      </c>
      <c r="AZ32" s="7418"/>
      <c r="BA32" s="3913"/>
      <c r="BB32" s="7422"/>
      <c r="BC32" s="5029">
        <f t="shared" si="0"/>
        <v>1257.8688571176001</v>
      </c>
      <c r="BD32" s="7419"/>
      <c r="BE32" s="3193">
        <f t="shared" si="1"/>
        <v>1257.8688571176001</v>
      </c>
      <c r="BF32" s="1673">
        <f>+BE32+BE33</f>
        <v>1993.5256319888003</v>
      </c>
    </row>
    <row r="33" spans="2:58" s="8094" customFormat="1" ht="15" customHeight="1" x14ac:dyDescent="0.2">
      <c r="B33" s="7609" t="s">
        <v>2550</v>
      </c>
      <c r="C33" s="7610" t="s">
        <v>2552</v>
      </c>
      <c r="D33" s="7611"/>
      <c r="E33" s="1544" t="s">
        <v>170</v>
      </c>
      <c r="F33" s="7418"/>
      <c r="G33" s="4406"/>
      <c r="H33" s="7418"/>
      <c r="I33" s="3851"/>
      <c r="J33" s="7419"/>
      <c r="K33" s="3193"/>
      <c r="L33" s="7418"/>
      <c r="M33" s="2750"/>
      <c r="N33" s="7422"/>
      <c r="O33" s="5029"/>
      <c r="P33" s="7418"/>
      <c r="Q33" s="4406"/>
      <c r="R33" s="7419"/>
      <c r="S33" s="3193"/>
      <c r="T33" s="7418"/>
      <c r="U33" s="2750"/>
      <c r="V33" s="7419"/>
      <c r="W33" s="3193"/>
      <c r="X33" s="7418"/>
      <c r="Y33" s="2750"/>
      <c r="Z33" s="7422"/>
      <c r="AA33" s="5029"/>
      <c r="AB33" s="7423"/>
      <c r="AC33" s="6615"/>
      <c r="AD33" s="7418"/>
      <c r="AE33" s="2750"/>
      <c r="AF33" s="7419"/>
      <c r="AG33" s="3193"/>
      <c r="AH33" s="7418"/>
      <c r="AI33" s="2750"/>
      <c r="AJ33" s="7419"/>
      <c r="AK33" s="3193"/>
      <c r="AL33" s="7418"/>
      <c r="AM33" s="2750"/>
      <c r="AN33" s="7422"/>
      <c r="AO33" s="5029"/>
      <c r="AP33" s="7419"/>
      <c r="AQ33" s="3193"/>
      <c r="AR33" s="7418"/>
      <c r="AS33" s="2750">
        <v>735.65677487120013</v>
      </c>
      <c r="AT33" s="7419"/>
      <c r="AU33" s="3193">
        <f t="shared" si="12"/>
        <v>735.65677487120013</v>
      </c>
      <c r="AV33" s="7418"/>
      <c r="AW33" s="3913"/>
      <c r="AX33" s="7419"/>
      <c r="AY33" s="3193">
        <f t="shared" si="13"/>
        <v>735.65677487120013</v>
      </c>
      <c r="AZ33" s="7418"/>
      <c r="BA33" s="3913"/>
      <c r="BB33" s="7422"/>
      <c r="BC33" s="5029">
        <f t="shared" si="0"/>
        <v>735.65677487120013</v>
      </c>
      <c r="BD33" s="7419"/>
      <c r="BE33" s="3193">
        <f t="shared" si="1"/>
        <v>735.65677487120013</v>
      </c>
      <c r="BF33" s="8094">
        <f>+BF32*100/BE49</f>
        <v>2092.6583628958774</v>
      </c>
    </row>
    <row r="34" spans="2:58" s="8386" customFormat="1" ht="15" customHeight="1" x14ac:dyDescent="0.2">
      <c r="B34" s="7609" t="s">
        <v>2608</v>
      </c>
      <c r="C34" s="7610" t="s">
        <v>2609</v>
      </c>
      <c r="D34" s="7611"/>
      <c r="E34" s="1544" t="s">
        <v>170</v>
      </c>
      <c r="F34" s="7418"/>
      <c r="G34" s="4406"/>
      <c r="H34" s="7418"/>
      <c r="I34" s="3851"/>
      <c r="J34" s="7419"/>
      <c r="K34" s="3193"/>
      <c r="L34" s="7418"/>
      <c r="M34" s="2750"/>
      <c r="N34" s="7422"/>
      <c r="O34" s="5029"/>
      <c r="P34" s="7418"/>
      <c r="Q34" s="4406"/>
      <c r="R34" s="7419"/>
      <c r="S34" s="3193"/>
      <c r="T34" s="7418"/>
      <c r="U34" s="2750"/>
      <c r="V34" s="7419"/>
      <c r="W34" s="3193"/>
      <c r="X34" s="7418"/>
      <c r="Y34" s="2750"/>
      <c r="Z34" s="7422"/>
      <c r="AA34" s="5029"/>
      <c r="AB34" s="7423"/>
      <c r="AC34" s="6615"/>
      <c r="AD34" s="7418"/>
      <c r="AE34" s="2750"/>
      <c r="AF34" s="7419"/>
      <c r="AG34" s="3193"/>
      <c r="AH34" s="7418"/>
      <c r="AI34" s="2750"/>
      <c r="AJ34" s="7419"/>
      <c r="AK34" s="3193"/>
      <c r="AL34" s="7418"/>
      <c r="AM34" s="2750"/>
      <c r="AN34" s="7422"/>
      <c r="AO34" s="5029"/>
      <c r="AP34" s="7419"/>
      <c r="AQ34" s="3193"/>
      <c r="AR34" s="7418"/>
      <c r="AS34" s="2750"/>
      <c r="AT34" s="7419"/>
      <c r="AU34" s="3193"/>
      <c r="AV34" s="7418"/>
      <c r="AW34" s="3913"/>
      <c r="AX34" s="7419"/>
      <c r="AY34" s="3193"/>
      <c r="AZ34" s="7418"/>
      <c r="BA34" s="2750">
        <v>126.20621800000001</v>
      </c>
      <c r="BB34" s="7422"/>
      <c r="BC34" s="5029">
        <f t="shared" si="0"/>
        <v>126.20621800000001</v>
      </c>
      <c r="BD34" s="7419"/>
      <c r="BE34" s="3193">
        <f t="shared" si="1"/>
        <v>126.20621800000001</v>
      </c>
    </row>
    <row r="35" spans="2:58" s="8386" customFormat="1" ht="15" customHeight="1" x14ac:dyDescent="0.2">
      <c r="B35" s="7609" t="s">
        <v>2608</v>
      </c>
      <c r="C35" s="7610" t="s">
        <v>2610</v>
      </c>
      <c r="D35" s="7611"/>
      <c r="E35" s="1544" t="s">
        <v>170</v>
      </c>
      <c r="F35" s="7418"/>
      <c r="G35" s="4406"/>
      <c r="H35" s="7418"/>
      <c r="I35" s="3851"/>
      <c r="J35" s="7419"/>
      <c r="K35" s="3193"/>
      <c r="L35" s="7418"/>
      <c r="M35" s="2750"/>
      <c r="N35" s="7422"/>
      <c r="O35" s="5029"/>
      <c r="P35" s="7418"/>
      <c r="Q35" s="4406"/>
      <c r="R35" s="7419"/>
      <c r="S35" s="3193"/>
      <c r="T35" s="7418"/>
      <c r="U35" s="2750"/>
      <c r="V35" s="7419"/>
      <c r="W35" s="3193"/>
      <c r="X35" s="7418"/>
      <c r="Y35" s="2750"/>
      <c r="Z35" s="7422"/>
      <c r="AA35" s="5029"/>
      <c r="AB35" s="7423"/>
      <c r="AC35" s="6615"/>
      <c r="AD35" s="7418"/>
      <c r="AE35" s="2750"/>
      <c r="AF35" s="7419"/>
      <c r="AG35" s="3193"/>
      <c r="AH35" s="7418"/>
      <c r="AI35" s="2750"/>
      <c r="AJ35" s="7419"/>
      <c r="AK35" s="3193"/>
      <c r="AL35" s="7418"/>
      <c r="AM35" s="2750"/>
      <c r="AN35" s="7422"/>
      <c r="AO35" s="5029"/>
      <c r="AP35" s="7419"/>
      <c r="AQ35" s="3193"/>
      <c r="AR35" s="7418"/>
      <c r="AS35" s="2750"/>
      <c r="AT35" s="7419"/>
      <c r="AU35" s="3193"/>
      <c r="AV35" s="7418"/>
      <c r="AW35" s="3913"/>
      <c r="AX35" s="7419"/>
      <c r="AY35" s="3193"/>
      <c r="AZ35" s="7418"/>
      <c r="BA35" s="2750">
        <f>777.295317-BA40</f>
        <v>524.70531699999992</v>
      </c>
      <c r="BB35" s="7422"/>
      <c r="BC35" s="5029">
        <f t="shared" si="0"/>
        <v>524.70531699999992</v>
      </c>
      <c r="BD35" s="7419"/>
      <c r="BE35" s="3193">
        <f t="shared" si="1"/>
        <v>524.70531699999992</v>
      </c>
    </row>
    <row r="36" spans="2:58" s="8386" customFormat="1" ht="15" customHeight="1" x14ac:dyDescent="0.2">
      <c r="B36" s="7609" t="s">
        <v>2608</v>
      </c>
      <c r="C36" s="7610" t="s">
        <v>2611</v>
      </c>
      <c r="D36" s="7611"/>
      <c r="E36" s="1544" t="s">
        <v>170</v>
      </c>
      <c r="F36" s="7418"/>
      <c r="G36" s="4406"/>
      <c r="H36" s="7418"/>
      <c r="I36" s="3851"/>
      <c r="J36" s="7419"/>
      <c r="K36" s="3193"/>
      <c r="L36" s="7418"/>
      <c r="M36" s="2750"/>
      <c r="N36" s="7422"/>
      <c r="O36" s="5029"/>
      <c r="P36" s="7418"/>
      <c r="Q36" s="4406"/>
      <c r="R36" s="7419"/>
      <c r="S36" s="3193"/>
      <c r="T36" s="7418"/>
      <c r="U36" s="2750"/>
      <c r="V36" s="7419"/>
      <c r="W36" s="3193"/>
      <c r="X36" s="7418"/>
      <c r="Y36" s="2750"/>
      <c r="Z36" s="7422"/>
      <c r="AA36" s="5029"/>
      <c r="AB36" s="7423"/>
      <c r="AC36" s="6615"/>
      <c r="AD36" s="7418"/>
      <c r="AE36" s="2750"/>
      <c r="AF36" s="7419"/>
      <c r="AG36" s="3193"/>
      <c r="AH36" s="7418"/>
      <c r="AI36" s="2750"/>
      <c r="AJ36" s="7419"/>
      <c r="AK36" s="3193"/>
      <c r="AL36" s="7418"/>
      <c r="AM36" s="2750"/>
      <c r="AN36" s="7422"/>
      <c r="AO36" s="5029"/>
      <c r="AP36" s="7419"/>
      <c r="AQ36" s="3193"/>
      <c r="AR36" s="7418"/>
      <c r="AS36" s="2750"/>
      <c r="AT36" s="7419"/>
      <c r="AU36" s="3193"/>
      <c r="AV36" s="7418"/>
      <c r="AW36" s="3913"/>
      <c r="AX36" s="7419"/>
      <c r="AY36" s="3193"/>
      <c r="AZ36" s="7418"/>
      <c r="BA36" s="2750">
        <v>261.24262800000002</v>
      </c>
      <c r="BB36" s="7422"/>
      <c r="BC36" s="5029">
        <f t="shared" si="0"/>
        <v>261.24262800000002</v>
      </c>
      <c r="BD36" s="7419"/>
      <c r="BE36" s="3193">
        <f t="shared" si="1"/>
        <v>261.24262800000002</v>
      </c>
    </row>
    <row r="37" spans="2:58" s="8386" customFormat="1" ht="15" customHeight="1" x14ac:dyDescent="0.2">
      <c r="B37" s="7609" t="s">
        <v>2612</v>
      </c>
      <c r="C37" s="7610" t="s">
        <v>2609</v>
      </c>
      <c r="D37" s="7611"/>
      <c r="E37" s="1544" t="s">
        <v>170</v>
      </c>
      <c r="F37" s="7418"/>
      <c r="G37" s="4406"/>
      <c r="H37" s="7418"/>
      <c r="I37" s="3851"/>
      <c r="J37" s="7419"/>
      <c r="K37" s="3193"/>
      <c r="L37" s="7418"/>
      <c r="M37" s="2750"/>
      <c r="N37" s="7422"/>
      <c r="O37" s="5029"/>
      <c r="P37" s="7418"/>
      <c r="Q37" s="4406"/>
      <c r="R37" s="7419"/>
      <c r="S37" s="3193"/>
      <c r="T37" s="7418"/>
      <c r="U37" s="2750"/>
      <c r="V37" s="7419"/>
      <c r="W37" s="3193"/>
      <c r="X37" s="7418"/>
      <c r="Y37" s="2750"/>
      <c r="Z37" s="7422"/>
      <c r="AA37" s="5029"/>
      <c r="AB37" s="7423"/>
      <c r="AC37" s="6615"/>
      <c r="AD37" s="7418"/>
      <c r="AE37" s="2750"/>
      <c r="AF37" s="7419"/>
      <c r="AG37" s="3193"/>
      <c r="AH37" s="7418"/>
      <c r="AI37" s="2750"/>
      <c r="AJ37" s="7419"/>
      <c r="AK37" s="3193"/>
      <c r="AL37" s="7418"/>
      <c r="AM37" s="2750"/>
      <c r="AN37" s="7422"/>
      <c r="AO37" s="5029"/>
      <c r="AP37" s="7419"/>
      <c r="AQ37" s="3193"/>
      <c r="AR37" s="7418"/>
      <c r="AS37" s="2750"/>
      <c r="AT37" s="7419"/>
      <c r="AU37" s="3193"/>
      <c r="AV37" s="7418"/>
      <c r="AW37" s="3913"/>
      <c r="AX37" s="7419"/>
      <c r="AY37" s="3193"/>
      <c r="AZ37" s="7418"/>
      <c r="BA37" s="2750">
        <v>1198.580451</v>
      </c>
      <c r="BB37" s="7422"/>
      <c r="BC37" s="5029">
        <f t="shared" si="0"/>
        <v>1198.580451</v>
      </c>
      <c r="BD37" s="7419"/>
      <c r="BE37" s="3193">
        <f t="shared" si="1"/>
        <v>1198.580451</v>
      </c>
    </row>
    <row r="38" spans="2:58" s="8386" customFormat="1" ht="15" customHeight="1" x14ac:dyDescent="0.2">
      <c r="B38" s="7609" t="s">
        <v>2612</v>
      </c>
      <c r="C38" s="7610" t="s">
        <v>2611</v>
      </c>
      <c r="D38" s="7611"/>
      <c r="E38" s="1544" t="s">
        <v>170</v>
      </c>
      <c r="F38" s="7418"/>
      <c r="G38" s="4406"/>
      <c r="H38" s="7418"/>
      <c r="I38" s="3851"/>
      <c r="J38" s="7419"/>
      <c r="K38" s="3193"/>
      <c r="L38" s="7418"/>
      <c r="M38" s="2750"/>
      <c r="N38" s="7422"/>
      <c r="O38" s="5029"/>
      <c r="P38" s="7418"/>
      <c r="Q38" s="4406"/>
      <c r="R38" s="7419"/>
      <c r="S38" s="3193"/>
      <c r="T38" s="7418"/>
      <c r="U38" s="2750"/>
      <c r="V38" s="7419"/>
      <c r="W38" s="3193"/>
      <c r="X38" s="7418"/>
      <c r="Y38" s="2750"/>
      <c r="Z38" s="7422"/>
      <c r="AA38" s="5029"/>
      <c r="AB38" s="7423"/>
      <c r="AC38" s="6615"/>
      <c r="AD38" s="7418"/>
      <c r="AE38" s="2750"/>
      <c r="AF38" s="7419"/>
      <c r="AG38" s="3193"/>
      <c r="AH38" s="7418"/>
      <c r="AI38" s="2750"/>
      <c r="AJ38" s="7419"/>
      <c r="AK38" s="3193"/>
      <c r="AL38" s="7418"/>
      <c r="AM38" s="2750"/>
      <c r="AN38" s="7422"/>
      <c r="AO38" s="5029"/>
      <c r="AP38" s="7419"/>
      <c r="AQ38" s="3193"/>
      <c r="AR38" s="7418"/>
      <c r="AS38" s="2750"/>
      <c r="AT38" s="7419"/>
      <c r="AU38" s="3193"/>
      <c r="AV38" s="7418"/>
      <c r="AW38" s="3913"/>
      <c r="AX38" s="7419"/>
      <c r="AY38" s="3193"/>
      <c r="AZ38" s="7418"/>
      <c r="BA38" s="2750">
        <v>310.66244999999998</v>
      </c>
      <c r="BB38" s="7422"/>
      <c r="BC38" s="5029">
        <f t="shared" si="0"/>
        <v>310.66244999999998</v>
      </c>
      <c r="BD38" s="7419"/>
      <c r="BE38" s="3193">
        <f t="shared" si="1"/>
        <v>310.66244999999998</v>
      </c>
    </row>
    <row r="39" spans="2:58" s="8094" customFormat="1" ht="15" customHeight="1" x14ac:dyDescent="0.2">
      <c r="B39" s="7609" t="s">
        <v>2551</v>
      </c>
      <c r="C39" s="7610" t="s">
        <v>2277</v>
      </c>
      <c r="D39" s="7611"/>
      <c r="E39" s="1544" t="s">
        <v>170</v>
      </c>
      <c r="F39" s="7418"/>
      <c r="G39" s="4406"/>
      <c r="H39" s="7418"/>
      <c r="I39" s="3851"/>
      <c r="J39" s="7419"/>
      <c r="K39" s="3193"/>
      <c r="L39" s="7418"/>
      <c r="M39" s="2750"/>
      <c r="N39" s="7422"/>
      <c r="O39" s="5029"/>
      <c r="P39" s="7418"/>
      <c r="Q39" s="4406"/>
      <c r="R39" s="7419"/>
      <c r="S39" s="3193"/>
      <c r="T39" s="7418"/>
      <c r="U39" s="2750"/>
      <c r="V39" s="7419"/>
      <c r="W39" s="3193"/>
      <c r="X39" s="7418"/>
      <c r="Y39" s="2750"/>
      <c r="Z39" s="7422"/>
      <c r="AA39" s="5029"/>
      <c r="AB39" s="7423"/>
      <c r="AC39" s="6615"/>
      <c r="AD39" s="7418"/>
      <c r="AE39" s="2750"/>
      <c r="AF39" s="7419"/>
      <c r="AG39" s="3193"/>
      <c r="AH39" s="7418"/>
      <c r="AI39" s="2750"/>
      <c r="AJ39" s="7419"/>
      <c r="AK39" s="3193"/>
      <c r="AL39" s="7418"/>
      <c r="AM39" s="2750"/>
      <c r="AN39" s="7422"/>
      <c r="AO39" s="5029"/>
      <c r="AP39" s="7419"/>
      <c r="AQ39" s="3193"/>
      <c r="AR39" s="7418"/>
      <c r="AS39" s="2750">
        <f>224.019046818-14.94</f>
        <v>209.07904681799999</v>
      </c>
      <c r="AT39" s="7419"/>
      <c r="AU39" s="3193">
        <f t="shared" si="12"/>
        <v>209.07904681799999</v>
      </c>
      <c r="AV39" s="7418"/>
      <c r="AW39" s="2750">
        <f>1769.1953949369-AW43</f>
        <v>1758.7453949368999</v>
      </c>
      <c r="AX39" s="7419"/>
      <c r="AY39" s="3193">
        <f t="shared" si="13"/>
        <v>1967.8244417548999</v>
      </c>
      <c r="AZ39" s="7418"/>
      <c r="BA39" s="2750">
        <v>3746.4772899999998</v>
      </c>
      <c r="BB39" s="7422"/>
      <c r="BC39" s="5029">
        <f t="shared" si="0"/>
        <v>5714.3017317549002</v>
      </c>
      <c r="BD39" s="7419"/>
      <c r="BE39" s="3193">
        <f t="shared" si="1"/>
        <v>5714.3017317549002</v>
      </c>
    </row>
    <row r="40" spans="2:58" s="8386" customFormat="1" ht="15" customHeight="1" x14ac:dyDescent="0.2">
      <c r="B40" s="7663" t="s">
        <v>2613</v>
      </c>
      <c r="C40" s="7610"/>
      <c r="D40" s="7611"/>
      <c r="E40" s="7666" t="s">
        <v>170</v>
      </c>
      <c r="F40" s="7418"/>
      <c r="G40" s="4406"/>
      <c r="H40" s="7418"/>
      <c r="I40" s="3851"/>
      <c r="J40" s="7419"/>
      <c r="K40" s="3193"/>
      <c r="L40" s="7418"/>
      <c r="M40" s="2750"/>
      <c r="N40" s="7422"/>
      <c r="O40" s="5029"/>
      <c r="P40" s="7418"/>
      <c r="Q40" s="4406"/>
      <c r="R40" s="7419"/>
      <c r="S40" s="3193"/>
      <c r="T40" s="7418"/>
      <c r="U40" s="2750"/>
      <c r="V40" s="7419"/>
      <c r="W40" s="3193"/>
      <c r="X40" s="7418"/>
      <c r="Y40" s="2750"/>
      <c r="Z40" s="7422"/>
      <c r="AA40" s="5029"/>
      <c r="AB40" s="7423"/>
      <c r="AC40" s="6615"/>
      <c r="AD40" s="7418"/>
      <c r="AE40" s="2750"/>
      <c r="AF40" s="7419"/>
      <c r="AG40" s="3193"/>
      <c r="AH40" s="7418"/>
      <c r="AI40" s="2750"/>
      <c r="AJ40" s="7419"/>
      <c r="AK40" s="3193"/>
      <c r="AL40" s="7418"/>
      <c r="AM40" s="2750"/>
      <c r="AN40" s="7422"/>
      <c r="AO40" s="5029"/>
      <c r="AP40" s="7419"/>
      <c r="AQ40" s="3193"/>
      <c r="AR40" s="7418"/>
      <c r="AS40" s="2750"/>
      <c r="AT40" s="7419"/>
      <c r="AU40" s="3193"/>
      <c r="AV40" s="7418"/>
      <c r="AW40" s="2750"/>
      <c r="AX40" s="7419"/>
      <c r="AY40" s="3193"/>
      <c r="AZ40" s="7418"/>
      <c r="BA40" s="7672">
        <v>252.59</v>
      </c>
      <c r="BB40" s="7422"/>
      <c r="BC40" s="5029">
        <f t="shared" si="0"/>
        <v>252.59</v>
      </c>
      <c r="BD40" s="7419"/>
      <c r="BE40" s="3193">
        <f t="shared" si="1"/>
        <v>252.59</v>
      </c>
    </row>
    <row r="41" spans="2:58" s="7678" customFormat="1" ht="15" customHeight="1" x14ac:dyDescent="0.2">
      <c r="B41" s="7663" t="s">
        <v>2434</v>
      </c>
      <c r="C41" s="7664"/>
      <c r="D41" s="7665"/>
      <c r="E41" s="7666" t="s">
        <v>170</v>
      </c>
      <c r="F41" s="7667"/>
      <c r="G41" s="7668"/>
      <c r="H41" s="7667"/>
      <c r="I41" s="7669"/>
      <c r="J41" s="7670"/>
      <c r="K41" s="7671"/>
      <c r="L41" s="7667"/>
      <c r="M41" s="7672"/>
      <c r="N41" s="7673"/>
      <c r="O41" s="7674"/>
      <c r="P41" s="7667"/>
      <c r="Q41" s="7668"/>
      <c r="R41" s="7670"/>
      <c r="S41" s="7671"/>
      <c r="T41" s="7667"/>
      <c r="U41" s="7672"/>
      <c r="V41" s="7670"/>
      <c r="W41" s="7671"/>
      <c r="X41" s="7667"/>
      <c r="Y41" s="7672"/>
      <c r="Z41" s="7673"/>
      <c r="AA41" s="7674"/>
      <c r="AB41" s="7675"/>
      <c r="AC41" s="7676"/>
      <c r="AD41" s="7667"/>
      <c r="AE41" s="7672"/>
      <c r="AF41" s="7670"/>
      <c r="AG41" s="3193">
        <f t="shared" si="8"/>
        <v>0</v>
      </c>
      <c r="AH41" s="7667"/>
      <c r="AI41" s="7677">
        <v>1.014</v>
      </c>
      <c r="AJ41" s="7670"/>
      <c r="AK41" s="3193">
        <f t="shared" si="9"/>
        <v>1.014</v>
      </c>
      <c r="AL41" s="7667"/>
      <c r="AM41" s="7672">
        <v>0</v>
      </c>
      <c r="AN41" s="7673"/>
      <c r="AO41" s="5029">
        <f t="shared" si="10"/>
        <v>1.014</v>
      </c>
      <c r="AP41" s="7670"/>
      <c r="AQ41" s="3193">
        <f t="shared" si="11"/>
        <v>1.014</v>
      </c>
      <c r="AR41" s="7667"/>
      <c r="AS41" s="7672"/>
      <c r="AT41" s="7670"/>
      <c r="AU41" s="3193">
        <f t="shared" si="12"/>
        <v>1.014</v>
      </c>
      <c r="AV41" s="7667"/>
      <c r="AW41" s="7672"/>
      <c r="AX41" s="7670"/>
      <c r="AY41" s="3193">
        <f t="shared" si="13"/>
        <v>1.014</v>
      </c>
      <c r="AZ41" s="7667"/>
      <c r="BA41" s="7672"/>
      <c r="BB41" s="7673"/>
      <c r="BC41" s="5029">
        <f t="shared" si="0"/>
        <v>0</v>
      </c>
      <c r="BD41" s="7670"/>
      <c r="BE41" s="3193">
        <f t="shared" si="1"/>
        <v>1.014</v>
      </c>
    </row>
    <row r="42" spans="2:58" s="7678" customFormat="1" ht="15" customHeight="1" x14ac:dyDescent="0.2">
      <c r="B42" s="7663" t="s">
        <v>2556</v>
      </c>
      <c r="C42" s="7664"/>
      <c r="D42" s="7665"/>
      <c r="E42" s="7666" t="s">
        <v>170</v>
      </c>
      <c r="F42" s="7667"/>
      <c r="G42" s="7668"/>
      <c r="H42" s="7667"/>
      <c r="I42" s="7669"/>
      <c r="J42" s="7670"/>
      <c r="K42" s="7671"/>
      <c r="L42" s="7667"/>
      <c r="M42" s="7672"/>
      <c r="N42" s="7673"/>
      <c r="O42" s="7674"/>
      <c r="P42" s="7667"/>
      <c r="Q42" s="7668"/>
      <c r="R42" s="7670"/>
      <c r="S42" s="7671"/>
      <c r="T42" s="7667"/>
      <c r="U42" s="7672"/>
      <c r="V42" s="7670"/>
      <c r="W42" s="7671"/>
      <c r="X42" s="7667"/>
      <c r="Y42" s="7672"/>
      <c r="Z42" s="7673"/>
      <c r="AA42" s="7674"/>
      <c r="AB42" s="7675"/>
      <c r="AC42" s="7676"/>
      <c r="AD42" s="7667"/>
      <c r="AE42" s="7672"/>
      <c r="AF42" s="7670"/>
      <c r="AG42" s="3193"/>
      <c r="AH42" s="7667"/>
      <c r="AI42" s="7677"/>
      <c r="AJ42" s="7670"/>
      <c r="AK42" s="3193"/>
      <c r="AL42" s="7667"/>
      <c r="AM42" s="7672"/>
      <c r="AN42" s="7673"/>
      <c r="AO42" s="5029"/>
      <c r="AP42" s="7670"/>
      <c r="AQ42" s="3193"/>
      <c r="AR42" s="7667"/>
      <c r="AS42" s="7672">
        <v>17.338000000000001</v>
      </c>
      <c r="AT42" s="7670"/>
      <c r="AU42" s="3193">
        <f t="shared" si="12"/>
        <v>17.338000000000001</v>
      </c>
      <c r="AV42" s="7667"/>
      <c r="AW42" s="7672"/>
      <c r="AX42" s="7670"/>
      <c r="AY42" s="3193">
        <f t="shared" si="13"/>
        <v>17.338000000000001</v>
      </c>
      <c r="AZ42" s="7667"/>
      <c r="BA42" s="7672"/>
      <c r="BB42" s="7673"/>
      <c r="BC42" s="5029">
        <f t="shared" si="0"/>
        <v>17.338000000000001</v>
      </c>
      <c r="BD42" s="7670"/>
      <c r="BE42" s="3193">
        <f t="shared" si="1"/>
        <v>17.338000000000001</v>
      </c>
    </row>
    <row r="43" spans="2:58" s="7678" customFormat="1" ht="15" customHeight="1" x14ac:dyDescent="0.2">
      <c r="B43" s="7663" t="s">
        <v>2557</v>
      </c>
      <c r="C43" s="7664"/>
      <c r="D43" s="7665"/>
      <c r="E43" s="7666" t="s">
        <v>170</v>
      </c>
      <c r="F43" s="7667"/>
      <c r="G43" s="7668"/>
      <c r="H43" s="7667"/>
      <c r="I43" s="7669"/>
      <c r="J43" s="7670"/>
      <c r="K43" s="7671"/>
      <c r="L43" s="7667"/>
      <c r="M43" s="7672"/>
      <c r="N43" s="7673"/>
      <c r="O43" s="7674"/>
      <c r="P43" s="7667"/>
      <c r="Q43" s="7668"/>
      <c r="R43" s="7670"/>
      <c r="S43" s="7671"/>
      <c r="T43" s="7667"/>
      <c r="U43" s="7672"/>
      <c r="V43" s="7670"/>
      <c r="W43" s="7671"/>
      <c r="X43" s="7667"/>
      <c r="Y43" s="7672"/>
      <c r="Z43" s="7673"/>
      <c r="AA43" s="7674"/>
      <c r="AB43" s="7675"/>
      <c r="AC43" s="7676"/>
      <c r="AD43" s="7667"/>
      <c r="AE43" s="7672"/>
      <c r="AF43" s="7670"/>
      <c r="AG43" s="3193"/>
      <c r="AH43" s="7667"/>
      <c r="AI43" s="7677"/>
      <c r="AJ43" s="7670"/>
      <c r="AK43" s="3193"/>
      <c r="AL43" s="7667"/>
      <c r="AM43" s="7672"/>
      <c r="AN43" s="7673"/>
      <c r="AO43" s="5029"/>
      <c r="AP43" s="7670"/>
      <c r="AQ43" s="3193"/>
      <c r="AR43" s="7667"/>
      <c r="AS43" s="7672">
        <v>14.94</v>
      </c>
      <c r="AT43" s="7670"/>
      <c r="AU43" s="3193">
        <f t="shared" si="12"/>
        <v>14.94</v>
      </c>
      <c r="AV43" s="7667"/>
      <c r="AW43" s="7672">
        <v>10.45</v>
      </c>
      <c r="AX43" s="7670"/>
      <c r="AY43" s="3193">
        <f t="shared" si="13"/>
        <v>25.39</v>
      </c>
      <c r="AZ43" s="7667"/>
      <c r="BA43" s="7672"/>
      <c r="BB43" s="7673"/>
      <c r="BC43" s="5029">
        <f t="shared" si="0"/>
        <v>25.39</v>
      </c>
      <c r="BD43" s="7670"/>
      <c r="BE43" s="3193">
        <f t="shared" si="1"/>
        <v>25.39</v>
      </c>
    </row>
    <row r="44" spans="2:58" s="7678" customFormat="1" ht="15" customHeight="1" x14ac:dyDescent="0.2">
      <c r="B44" s="7663" t="s">
        <v>2584</v>
      </c>
      <c r="C44" s="7664"/>
      <c r="D44" s="7665"/>
      <c r="E44" s="7666" t="s">
        <v>170</v>
      </c>
      <c r="F44" s="7667"/>
      <c r="G44" s="7668"/>
      <c r="H44" s="7667"/>
      <c r="I44" s="7669"/>
      <c r="J44" s="7670"/>
      <c r="K44" s="7671"/>
      <c r="L44" s="7667"/>
      <c r="M44" s="7672"/>
      <c r="N44" s="7673"/>
      <c r="O44" s="7674"/>
      <c r="P44" s="7667"/>
      <c r="Q44" s="7668"/>
      <c r="R44" s="7670"/>
      <c r="S44" s="7671"/>
      <c r="T44" s="7667"/>
      <c r="U44" s="7672"/>
      <c r="V44" s="7670"/>
      <c r="W44" s="7671"/>
      <c r="X44" s="7667"/>
      <c r="Y44" s="7672"/>
      <c r="Z44" s="7673"/>
      <c r="AA44" s="7674"/>
      <c r="AB44" s="7675"/>
      <c r="AC44" s="7676"/>
      <c r="AD44" s="7667"/>
      <c r="AE44" s="7672"/>
      <c r="AF44" s="7670"/>
      <c r="AG44" s="3193"/>
      <c r="AH44" s="7667"/>
      <c r="AI44" s="7677"/>
      <c r="AJ44" s="7670"/>
      <c r="AK44" s="3193"/>
      <c r="AL44" s="7667"/>
      <c r="AM44" s="7672"/>
      <c r="AN44" s="7673"/>
      <c r="AO44" s="5029"/>
      <c r="AP44" s="7670"/>
      <c r="AQ44" s="3193"/>
      <c r="AR44" s="7667"/>
      <c r="AS44" s="7672"/>
      <c r="AT44" s="7670"/>
      <c r="AU44" s="3193"/>
      <c r="AV44" s="7667"/>
      <c r="AW44" s="7672">
        <v>11</v>
      </c>
      <c r="AX44" s="7670"/>
      <c r="AY44" s="3193">
        <f t="shared" si="13"/>
        <v>11</v>
      </c>
      <c r="AZ44" s="7667"/>
      <c r="BA44" s="7672"/>
      <c r="BB44" s="7673"/>
      <c r="BC44" s="5029">
        <f t="shared" si="0"/>
        <v>11</v>
      </c>
      <c r="BD44" s="7670"/>
      <c r="BE44" s="3193">
        <f t="shared" si="1"/>
        <v>11</v>
      </c>
    </row>
    <row r="45" spans="2:58" s="7678" customFormat="1" ht="15" customHeight="1" thickBot="1" x14ac:dyDescent="0.25">
      <c r="B45" s="7663" t="s">
        <v>2435</v>
      </c>
      <c r="C45" s="7664"/>
      <c r="D45" s="7665"/>
      <c r="E45" s="7666" t="s">
        <v>170</v>
      </c>
      <c r="F45" s="7667"/>
      <c r="G45" s="7668"/>
      <c r="H45" s="7667"/>
      <c r="I45" s="7669"/>
      <c r="J45" s="7670"/>
      <c r="K45" s="7671"/>
      <c r="L45" s="7667"/>
      <c r="M45" s="7672"/>
      <c r="N45" s="7673"/>
      <c r="O45" s="7674"/>
      <c r="P45" s="7667"/>
      <c r="Q45" s="7668"/>
      <c r="R45" s="7670"/>
      <c r="S45" s="7671"/>
      <c r="T45" s="7667"/>
      <c r="U45" s="7672"/>
      <c r="V45" s="7670"/>
      <c r="W45" s="7671"/>
      <c r="X45" s="7667"/>
      <c r="Y45" s="7672"/>
      <c r="Z45" s="7673"/>
      <c r="AA45" s="7674"/>
      <c r="AB45" s="7675"/>
      <c r="AC45" s="7676"/>
      <c r="AD45" s="7667"/>
      <c r="AE45" s="7672"/>
      <c r="AF45" s="7670"/>
      <c r="AG45" s="3193">
        <f t="shared" si="8"/>
        <v>0</v>
      </c>
      <c r="AH45" s="7667"/>
      <c r="AI45" s="7677">
        <v>19</v>
      </c>
      <c r="AJ45" s="7670"/>
      <c r="AK45" s="3193">
        <f t="shared" si="9"/>
        <v>19</v>
      </c>
      <c r="AL45" s="7667"/>
      <c r="AM45" s="7672">
        <v>0</v>
      </c>
      <c r="AN45" s="7673"/>
      <c r="AO45" s="5029">
        <f t="shared" si="10"/>
        <v>19</v>
      </c>
      <c r="AP45" s="7670"/>
      <c r="AQ45" s="3193">
        <f t="shared" si="11"/>
        <v>19</v>
      </c>
      <c r="AR45" s="7667"/>
      <c r="AS45" s="7672"/>
      <c r="AT45" s="7670"/>
      <c r="AU45" s="3193">
        <f t="shared" si="12"/>
        <v>19</v>
      </c>
      <c r="AV45" s="7667"/>
      <c r="AW45" s="7672"/>
      <c r="AX45" s="7670"/>
      <c r="AY45" s="3193">
        <f t="shared" si="13"/>
        <v>19</v>
      </c>
      <c r="AZ45" s="7667"/>
      <c r="BA45" s="7672">
        <v>6.4</v>
      </c>
      <c r="BB45" s="7673"/>
      <c r="BC45" s="5029">
        <f t="shared" si="0"/>
        <v>6.4</v>
      </c>
      <c r="BD45" s="7670"/>
      <c r="BE45" s="3193">
        <f t="shared" si="1"/>
        <v>25.4</v>
      </c>
    </row>
    <row r="46" spans="2:58" ht="17" thickBot="1" x14ac:dyDescent="0.25">
      <c r="B46" s="1748" t="s">
        <v>795</v>
      </c>
      <c r="C46" s="7662"/>
      <c r="D46" s="7662"/>
      <c r="E46" s="1749" t="s">
        <v>170</v>
      </c>
      <c r="F46" s="2464">
        <f>+'Maj Prod Summ'!D30</f>
        <v>0</v>
      </c>
      <c r="G46" s="2817">
        <f>SUM(G7:G45)</f>
        <v>0</v>
      </c>
      <c r="H46" s="2464">
        <f>+'Maj Prod Summ'!F30</f>
        <v>0</v>
      </c>
      <c r="I46" s="2817">
        <f>SUM(I7:I45)</f>
        <v>0</v>
      </c>
      <c r="J46" s="2320">
        <f>+H46+F46</f>
        <v>0</v>
      </c>
      <c r="K46" s="1825">
        <f>SUM(K7:K45)</f>
        <v>0</v>
      </c>
      <c r="L46" s="2464">
        <f>+'Maj Prod Summ'!J30</f>
        <v>0</v>
      </c>
      <c r="M46" s="2817">
        <f>SUM(M7:M45)</f>
        <v>0</v>
      </c>
      <c r="N46" s="2321">
        <f>+J46+L46</f>
        <v>0</v>
      </c>
      <c r="O46" s="2005">
        <f>SUM(O7:O45)</f>
        <v>0</v>
      </c>
      <c r="P46" s="2464">
        <f>+'Maj Prod Summ'!N30</f>
        <v>7000</v>
      </c>
      <c r="Q46" s="2817">
        <f>SUM(Q7:Q45)</f>
        <v>0</v>
      </c>
      <c r="R46" s="2320">
        <f>+P46+N46</f>
        <v>7000</v>
      </c>
      <c r="S46" s="1825">
        <f>SUM(S7:S45)</f>
        <v>0</v>
      </c>
      <c r="T46" s="2464">
        <f>+'Maj Prod Summ'!R30</f>
        <v>8000</v>
      </c>
      <c r="U46" s="2817">
        <f>SUM(U7:U45)</f>
        <v>0</v>
      </c>
      <c r="V46" s="2320">
        <f>+T46+R46</f>
        <v>15000</v>
      </c>
      <c r="W46" s="1825">
        <f>SUM(W7:W45)</f>
        <v>0</v>
      </c>
      <c r="X46" s="2464">
        <f>+'Maj Prod Summ'!V30</f>
        <v>10000</v>
      </c>
      <c r="Y46" s="2817">
        <f>SUM(Y7:Y45)</f>
        <v>0</v>
      </c>
      <c r="Z46" s="2321">
        <f>+P46+T46+X46</f>
        <v>25000</v>
      </c>
      <c r="AA46" s="2005">
        <f>SUM(AA7:AA45)</f>
        <v>0</v>
      </c>
      <c r="AB46" s="6598">
        <f>+X46+V46</f>
        <v>25000</v>
      </c>
      <c r="AC46" s="6594">
        <f>SUM(AC7:AC45)</f>
        <v>0</v>
      </c>
      <c r="AD46" s="2464">
        <f>+'Maj Prod Summ'!AB30</f>
        <v>10000</v>
      </c>
      <c r="AE46" s="2817">
        <f>SUM(AE7:AE45)</f>
        <v>16462.165640978397</v>
      </c>
      <c r="AF46" s="2320">
        <f>+AD46+AB46</f>
        <v>35000</v>
      </c>
      <c r="AG46" s="1825">
        <f>SUM(AG7:AG45)</f>
        <v>16462.165640978397</v>
      </c>
      <c r="AH46" s="2464">
        <f>+'Maj Prod Summ'!AF30</f>
        <v>40000</v>
      </c>
      <c r="AI46" s="2817">
        <f>SUM(AI7:AI45)</f>
        <v>18653.110499716</v>
      </c>
      <c r="AJ46" s="2320">
        <f>+AH46+AF46</f>
        <v>75000</v>
      </c>
      <c r="AK46" s="1825">
        <f>SUM(AK7:AK45)</f>
        <v>35115.27614069439</v>
      </c>
      <c r="AL46" s="2464">
        <f>+'Maj Prod Summ'!AJ30</f>
        <v>30000</v>
      </c>
      <c r="AM46" s="2817">
        <f>SUM(AM7:AM45)</f>
        <v>10177.080013598399</v>
      </c>
      <c r="AN46" s="2321">
        <f>+AD46+AH46+AL46</f>
        <v>80000</v>
      </c>
      <c r="AO46" s="2005">
        <f>SUM(AO7:AO45)</f>
        <v>45292.356154292807</v>
      </c>
      <c r="AP46" s="2320">
        <f>+AL46+AJ46</f>
        <v>105000</v>
      </c>
      <c r="AQ46" s="1825">
        <f>SUM(AQ7:AQ45)</f>
        <v>45292.356154292807</v>
      </c>
      <c r="AR46" s="2464">
        <f>+'Maj Prod Summ'!AP30</f>
        <v>35000</v>
      </c>
      <c r="AS46" s="2817">
        <f>SUM(AS7:AS45)</f>
        <v>13495.917984698101</v>
      </c>
      <c r="AT46" s="2320">
        <f>+AR46+AP46</f>
        <v>140000</v>
      </c>
      <c r="AU46" s="1825">
        <f>SUM(AU7:AU45)</f>
        <v>58788.274138990906</v>
      </c>
      <c r="AV46" s="2464">
        <f>+'Maj Prod Summ'!AT30</f>
        <v>35000</v>
      </c>
      <c r="AW46" s="2817">
        <f>SUM(AW7:AW45)</f>
        <v>19064.6174623527</v>
      </c>
      <c r="AX46" s="2320">
        <f>+AV46+AT46</f>
        <v>175000</v>
      </c>
      <c r="AY46" s="1825">
        <f>SUM(AY7:AY45)</f>
        <v>77852.891601343596</v>
      </c>
      <c r="AZ46" s="2464">
        <f>+'Maj Prod Summ'!AX30</f>
        <v>45000</v>
      </c>
      <c r="BA46" s="2817">
        <f>SUM(BA7:BA45)</f>
        <v>11087.333613000001</v>
      </c>
      <c r="BB46" s="2321">
        <f>+AR46+AV46+AZ46</f>
        <v>115000</v>
      </c>
      <c r="BC46" s="2005">
        <f>SUM(BC7:BC45)</f>
        <v>43647.869060050805</v>
      </c>
      <c r="BD46" s="2320">
        <f>+AZ46+AX46</f>
        <v>220000</v>
      </c>
      <c r="BE46" s="1825">
        <f>SUM(BE7:BE45)</f>
        <v>88940.225214343605</v>
      </c>
    </row>
    <row r="47" spans="2:58" ht="17" thickBot="1" x14ac:dyDescent="0.25">
      <c r="B47" s="6296" t="s">
        <v>2166</v>
      </c>
      <c r="C47" s="7432"/>
      <c r="D47" s="7432"/>
      <c r="E47" s="6297" t="s">
        <v>170</v>
      </c>
      <c r="F47" s="2319"/>
      <c r="G47" s="5955">
        <f>+G46-G48</f>
        <v>0</v>
      </c>
      <c r="H47" s="2319"/>
      <c r="I47" s="5955">
        <f>+I46-I48</f>
        <v>0</v>
      </c>
      <c r="J47" s="2784"/>
      <c r="K47" s="1914">
        <f>+K46-K48</f>
        <v>0</v>
      </c>
      <c r="L47" s="2319"/>
      <c r="M47" s="5955">
        <f>+M46-M48</f>
        <v>0</v>
      </c>
      <c r="N47" s="2951"/>
      <c r="O47" s="2071">
        <f>+O46-O48</f>
        <v>0</v>
      </c>
      <c r="P47" s="1750"/>
      <c r="Q47" s="5955">
        <f>+Q46-Q48</f>
        <v>0</v>
      </c>
      <c r="R47" s="2784"/>
      <c r="S47" s="1914">
        <f>+S46-S48</f>
        <v>0</v>
      </c>
      <c r="T47" s="1750"/>
      <c r="U47" s="5955">
        <f>+U46-U48</f>
        <v>0</v>
      </c>
      <c r="V47" s="2784"/>
      <c r="W47" s="1914">
        <f>+W46-W48</f>
        <v>0</v>
      </c>
      <c r="X47" s="1750"/>
      <c r="Y47" s="5955">
        <f>+Y46-Y48</f>
        <v>0</v>
      </c>
      <c r="Z47" s="2951"/>
      <c r="AA47" s="2071">
        <f>+AA46-AA48</f>
        <v>0</v>
      </c>
      <c r="AB47" s="6511"/>
      <c r="AC47" s="6630">
        <f>+AC46-AC48</f>
        <v>0</v>
      </c>
      <c r="AD47" s="1750"/>
      <c r="AE47" s="5955">
        <f>+AE46-AE48</f>
        <v>16462.165640978397</v>
      </c>
      <c r="AF47" s="2784"/>
      <c r="AG47" s="1914">
        <f>+AG46-AG48</f>
        <v>16462.165640978397</v>
      </c>
      <c r="AH47" s="1750"/>
      <c r="AI47" s="5955">
        <f>+AI46-AI48</f>
        <v>18633.096499716001</v>
      </c>
      <c r="AJ47" s="2784"/>
      <c r="AK47" s="1914">
        <f>+AK46-AK48</f>
        <v>35095.262140694387</v>
      </c>
      <c r="AL47" s="1750"/>
      <c r="AM47" s="5955">
        <f>+AM46-AM48</f>
        <v>10177.080013598399</v>
      </c>
      <c r="AN47" s="2951"/>
      <c r="AO47" s="2071">
        <f>+AO46-AO48</f>
        <v>45272.342154292804</v>
      </c>
      <c r="AP47" s="2784"/>
      <c r="AQ47" s="1914">
        <f>+AQ46-AQ48</f>
        <v>45272.342154292804</v>
      </c>
      <c r="AR47" s="1750"/>
      <c r="AS47" s="5955">
        <f>+AS46-AS48</f>
        <v>13463.6399846981</v>
      </c>
      <c r="AT47" s="2784"/>
      <c r="AU47" s="1914">
        <f>+AU46-AU48</f>
        <v>58735.982138990905</v>
      </c>
      <c r="AV47" s="1750"/>
      <c r="AW47" s="5955">
        <f>+AW46-AW48</f>
        <v>19043.1674623527</v>
      </c>
      <c r="AX47" s="2784"/>
      <c r="AY47" s="1914">
        <f>+AY46-AY48</f>
        <v>77779.149601343597</v>
      </c>
      <c r="AZ47" s="1750"/>
      <c r="BA47" s="5955">
        <f>+BA46-BA48</f>
        <v>10828.343613000001</v>
      </c>
      <c r="BB47" s="2951"/>
      <c r="BC47" s="2071">
        <f>+BC46-BC48</f>
        <v>43335.151060050805</v>
      </c>
      <c r="BD47" s="2784"/>
      <c r="BE47" s="1914">
        <f>+BE46-BE48</f>
        <v>88607.493214343602</v>
      </c>
    </row>
    <row r="48" spans="2:58" ht="17" thickBot="1" x14ac:dyDescent="0.25">
      <c r="B48" s="6296" t="s">
        <v>2165</v>
      </c>
      <c r="C48" s="6296"/>
      <c r="D48" s="6296"/>
      <c r="E48" s="6297" t="s">
        <v>170</v>
      </c>
      <c r="F48" s="2319"/>
      <c r="G48" s="5955">
        <v>0</v>
      </c>
      <c r="H48" s="2319"/>
      <c r="I48" s="5955">
        <v>0</v>
      </c>
      <c r="J48" s="2784"/>
      <c r="K48" s="1914">
        <f>+G48+I48</f>
        <v>0</v>
      </c>
      <c r="L48" s="2319"/>
      <c r="M48" s="5955">
        <v>0</v>
      </c>
      <c r="N48" s="2951"/>
      <c r="O48" s="2071">
        <f t="shared" ref="O48" si="20">+K48+M48</f>
        <v>0</v>
      </c>
      <c r="P48" s="1750"/>
      <c r="Q48" s="5955">
        <v>0</v>
      </c>
      <c r="R48" s="2784"/>
      <c r="S48" s="1914">
        <f t="shared" ref="S48" si="21">+O48+Q48</f>
        <v>0</v>
      </c>
      <c r="T48" s="1750"/>
      <c r="U48" s="5955">
        <v>0</v>
      </c>
      <c r="V48" s="2784"/>
      <c r="W48" s="1914">
        <f t="shared" ref="W48" si="22">+S48+U48</f>
        <v>0</v>
      </c>
      <c r="X48" s="1750"/>
      <c r="Y48" s="5955">
        <v>0</v>
      </c>
      <c r="Z48" s="2951"/>
      <c r="AA48" s="2071">
        <f t="shared" ref="AA48" si="23">+Q48+U48+Y48</f>
        <v>0</v>
      </c>
      <c r="AB48" s="6511"/>
      <c r="AC48" s="6630">
        <f t="shared" ref="AC48" si="24">+W48+Y48</f>
        <v>0</v>
      </c>
      <c r="AD48" s="1750"/>
      <c r="AE48" s="5955">
        <v>0</v>
      </c>
      <c r="AF48" s="2784"/>
      <c r="AG48" s="1914">
        <f t="shared" ref="AG48" si="25">+AC48+AE48</f>
        <v>0</v>
      </c>
      <c r="AH48" s="1750"/>
      <c r="AI48" s="5955">
        <f>+AI41+AI45</f>
        <v>20.013999999999999</v>
      </c>
      <c r="AJ48" s="2784"/>
      <c r="AK48" s="1914">
        <f t="shared" ref="AK48" si="26">+AG48+AI48</f>
        <v>20.013999999999999</v>
      </c>
      <c r="AL48" s="1750"/>
      <c r="AM48" s="5955">
        <v>0</v>
      </c>
      <c r="AN48" s="2951"/>
      <c r="AO48" s="2071">
        <f t="shared" ref="AO48" si="27">+AE48+AI48+AM48</f>
        <v>20.013999999999999</v>
      </c>
      <c r="AP48" s="2784"/>
      <c r="AQ48" s="1914">
        <f t="shared" ref="AQ48" si="28">+AK48+AM48</f>
        <v>20.013999999999999</v>
      </c>
      <c r="AR48" s="1750"/>
      <c r="AS48" s="5955">
        <f>+AS42+AS43</f>
        <v>32.277999999999999</v>
      </c>
      <c r="AT48" s="2784"/>
      <c r="AU48" s="1914">
        <f t="shared" ref="AU48" si="29">+AQ48+AS48</f>
        <v>52.292000000000002</v>
      </c>
      <c r="AV48" s="1750"/>
      <c r="AW48" s="5955">
        <f>AW43+AW44</f>
        <v>21.45</v>
      </c>
      <c r="AX48" s="2784"/>
      <c r="AY48" s="1914">
        <f t="shared" ref="AY48" si="30">+AU48+AW48</f>
        <v>73.742000000000004</v>
      </c>
      <c r="AZ48" s="1750"/>
      <c r="BA48" s="5955">
        <f>+BA40+BA45</f>
        <v>258.99</v>
      </c>
      <c r="BB48" s="2951"/>
      <c r="BC48" s="2071">
        <f t="shared" ref="BC48" si="31">+AS48+AW48+BA48</f>
        <v>312.71800000000002</v>
      </c>
      <c r="BD48" s="2784"/>
      <c r="BE48" s="1914">
        <f>+AY48+BA48</f>
        <v>332.73200000000003</v>
      </c>
    </row>
    <row r="49" spans="2:57" ht="17" thickBot="1" x14ac:dyDescent="0.25">
      <c r="B49" s="1603" t="s">
        <v>812</v>
      </c>
      <c r="C49" s="7426"/>
      <c r="D49" s="7426"/>
      <c r="E49" s="1606" t="s">
        <v>169</v>
      </c>
      <c r="F49" s="2974" t="e">
        <f t="shared" ref="F49:AK49" si="32">+F46/F5*100</f>
        <v>#DIV/0!</v>
      </c>
      <c r="G49" s="3921" t="e">
        <f t="shared" si="32"/>
        <v>#DIV/0!</v>
      </c>
      <c r="H49" s="2974" t="e">
        <f t="shared" si="32"/>
        <v>#DIV/0!</v>
      </c>
      <c r="I49" s="3921" t="e">
        <f t="shared" si="32"/>
        <v>#DIV/0!</v>
      </c>
      <c r="J49" s="2987" t="e">
        <f t="shared" si="32"/>
        <v>#DIV/0!</v>
      </c>
      <c r="K49" s="1963" t="e">
        <f t="shared" si="32"/>
        <v>#DIV/0!</v>
      </c>
      <c r="L49" s="2764" t="e">
        <f t="shared" si="32"/>
        <v>#DIV/0!</v>
      </c>
      <c r="M49" s="2066" t="e">
        <f t="shared" si="32"/>
        <v>#DIV/0!</v>
      </c>
      <c r="N49" s="3050" t="e">
        <f t="shared" si="32"/>
        <v>#DIV/0!</v>
      </c>
      <c r="O49" s="2912" t="e">
        <f t="shared" si="32"/>
        <v>#DIV/0!</v>
      </c>
      <c r="P49" s="2764">
        <f t="shared" si="32"/>
        <v>95.7</v>
      </c>
      <c r="Q49" s="2066" t="e">
        <f t="shared" si="32"/>
        <v>#DIV/0!</v>
      </c>
      <c r="R49" s="2987">
        <f t="shared" si="32"/>
        <v>95.7</v>
      </c>
      <c r="S49" s="1963" t="e">
        <f t="shared" si="32"/>
        <v>#DIV/0!</v>
      </c>
      <c r="T49" s="2764">
        <f t="shared" si="32"/>
        <v>95.7</v>
      </c>
      <c r="U49" s="2066" t="e">
        <f t="shared" si="32"/>
        <v>#DIV/0!</v>
      </c>
      <c r="V49" s="2987">
        <f t="shared" si="32"/>
        <v>95.7</v>
      </c>
      <c r="W49" s="1963" t="e">
        <f t="shared" si="32"/>
        <v>#DIV/0!</v>
      </c>
      <c r="X49" s="2764">
        <f t="shared" si="32"/>
        <v>95.7</v>
      </c>
      <c r="Y49" s="2066" t="e">
        <f t="shared" si="32"/>
        <v>#DIV/0!</v>
      </c>
      <c r="Z49" s="3050">
        <f t="shared" si="32"/>
        <v>95.7</v>
      </c>
      <c r="AA49" s="2912" t="e">
        <f t="shared" si="32"/>
        <v>#DIV/0!</v>
      </c>
      <c r="AB49" s="6664">
        <f t="shared" si="32"/>
        <v>95.7</v>
      </c>
      <c r="AC49" s="6665" t="e">
        <f t="shared" si="32"/>
        <v>#DIV/0!</v>
      </c>
      <c r="AD49" s="2685">
        <f t="shared" si="32"/>
        <v>95.7</v>
      </c>
      <c r="AE49" s="7435">
        <f t="shared" si="32"/>
        <v>94.89357741866506</v>
      </c>
      <c r="AF49" s="2792">
        <f t="shared" si="32"/>
        <v>95.700000000000017</v>
      </c>
      <c r="AG49" s="3874">
        <f t="shared" si="32"/>
        <v>94.89357741866506</v>
      </c>
      <c r="AH49" s="2764">
        <f t="shared" si="32"/>
        <v>95.7</v>
      </c>
      <c r="AI49" s="2066">
        <f t="shared" si="32"/>
        <v>95.578324684990307</v>
      </c>
      <c r="AJ49" s="2987">
        <f t="shared" si="32"/>
        <v>95.700000000000017</v>
      </c>
      <c r="AK49" s="1963">
        <f t="shared" si="32"/>
        <v>95.256086426719264</v>
      </c>
      <c r="AL49" s="2764">
        <f t="shared" ref="AL49:BE49" si="33">+AL46/AL5*100</f>
        <v>95.7</v>
      </c>
      <c r="AM49" s="2066">
        <f t="shared" si="33"/>
        <v>95.685413305475223</v>
      </c>
      <c r="AN49" s="3050">
        <f t="shared" si="33"/>
        <v>95.7</v>
      </c>
      <c r="AO49" s="2912">
        <f t="shared" si="33"/>
        <v>95.352219189190876</v>
      </c>
      <c r="AP49" s="2987">
        <f t="shared" si="33"/>
        <v>95.700000000000017</v>
      </c>
      <c r="AQ49" s="1963">
        <f t="shared" si="33"/>
        <v>95.352219189190876</v>
      </c>
      <c r="AR49" s="2764">
        <f t="shared" si="33"/>
        <v>95.700000000000017</v>
      </c>
      <c r="AS49" s="2066">
        <f t="shared" si="33"/>
        <v>95.481189466399499</v>
      </c>
      <c r="AT49" s="2987">
        <f t="shared" si="33"/>
        <v>95.700000000000017</v>
      </c>
      <c r="AU49" s="1963">
        <f t="shared" si="33"/>
        <v>95.381795842277057</v>
      </c>
      <c r="AV49" s="2764">
        <f t="shared" si="33"/>
        <v>95.699012933038034</v>
      </c>
      <c r="AW49" s="2066">
        <f t="shared" si="33"/>
        <v>95.40147747035175</v>
      </c>
      <c r="AX49" s="2987">
        <f t="shared" si="33"/>
        <v>95.69980258497867</v>
      </c>
      <c r="AY49" s="1963">
        <f t="shared" si="33"/>
        <v>95.386614728846908</v>
      </c>
      <c r="AZ49" s="2764">
        <f t="shared" si="33"/>
        <v>95.699885160137811</v>
      </c>
      <c r="BA49" s="2066">
        <f t="shared" si="33"/>
        <v>94.402626650421098</v>
      </c>
      <c r="BB49" s="3050">
        <f t="shared" si="33"/>
        <v>95.699654649072357</v>
      </c>
      <c r="BC49" s="2912">
        <f t="shared" si="33"/>
        <v>95.170255156104133</v>
      </c>
      <c r="BD49" s="2987">
        <f t="shared" si="33"/>
        <v>95.699819475340547</v>
      </c>
      <c r="BE49" s="1963">
        <f t="shared" si="33"/>
        <v>95.262832545208454</v>
      </c>
    </row>
    <row r="50" spans="2:57" s="3380" customFormat="1" ht="17" thickBot="1" x14ac:dyDescent="0.25">
      <c r="B50" s="6030" t="s">
        <v>2151</v>
      </c>
      <c r="C50" s="6577"/>
      <c r="D50" s="6577"/>
      <c r="E50" s="7589" t="s">
        <v>170</v>
      </c>
      <c r="F50" s="5955"/>
      <c r="G50" s="5955">
        <f>+G7+G9+G10+G12+G13+G18+G15+G19+G24+G25+G26+G27+G28+G29+G31</f>
        <v>0</v>
      </c>
      <c r="H50" s="5955"/>
      <c r="I50" s="5955">
        <f>+I7+I9+I10+I12+I13+I18+I15+I19+I24+I25+I26+I27+I28+I29+I31</f>
        <v>0</v>
      </c>
      <c r="J50" s="5955"/>
      <c r="K50" s="5955">
        <f>+K7+K9+K10+K12+K13+K18+K15+K19+K24+K25+K26+K27+K28+K29+K31</f>
        <v>0</v>
      </c>
      <c r="L50" s="5955"/>
      <c r="M50" s="5955">
        <f>+M7+M9+M10+M12+M13+M18+M15+M19+M24+M25+M26+M27+M28+M29+M31</f>
        <v>0</v>
      </c>
      <c r="N50" s="5955"/>
      <c r="O50" s="5955">
        <f>+O7+O9+O10+O12+O13+O18+O15+O19+O24+O25+O26+O27+O28+O29+O31</f>
        <v>0</v>
      </c>
      <c r="P50" s="5955"/>
      <c r="Q50" s="5955">
        <f>+Q7+Q9+Q10+Q12+Q13+Q18+Q15+Q19+Q24+Q25+Q26+Q27+Q28+Q29+Q31</f>
        <v>0</v>
      </c>
      <c r="R50" s="5955"/>
      <c r="S50" s="5955">
        <f>+S7+S9+S10+S12+S13+S18+S15+S19+S24+S25+S26+S27+S28+S29+S31</f>
        <v>0</v>
      </c>
      <c r="T50" s="5955"/>
      <c r="U50" s="5955">
        <f>+U7+U9+U10+U12+U13+U18+U15+U19+U24+U25+U26+U27+U28+U29+U31</f>
        <v>0</v>
      </c>
      <c r="V50" s="5955"/>
      <c r="W50" s="5955">
        <f>+W7+W9+W10+W12+W13+W18+W15+W19+W24+W25+W26+W27+W28+W29+W31</f>
        <v>0</v>
      </c>
      <c r="X50" s="5955"/>
      <c r="Y50" s="5955">
        <f>+Y7+Y9+Y10+Y12+Y13+Y18+Y15+Y19+Y24+Y25+Y26+Y27+Y28+Y29+Y31</f>
        <v>0</v>
      </c>
      <c r="Z50" s="5955"/>
      <c r="AA50" s="5955">
        <f>+AA7+AA9+AA10+AA12+AA13+AA18+AA15+AA19+AA24+AA25+AA26+AA27+AA28+AA29+AA31</f>
        <v>0</v>
      </c>
      <c r="AB50" s="5955"/>
      <c r="AC50" s="5955">
        <f>+AC7+AC9+AC10+AC12+AC13+AC18+AC15+AC19+AC24+AC25+AC26+AC27+AC28+AC29+AC31</f>
        <v>0</v>
      </c>
      <c r="AD50" s="3367"/>
      <c r="AE50" s="5955">
        <f>+AE47-AE48</f>
        <v>16462.165640978397</v>
      </c>
      <c r="AF50" s="3288"/>
      <c r="AG50" s="5955">
        <f>+AG7+AG9+AG10+AG12+AG13+AG18+AG15+AG19+AG24+AG25+AG26+AG27+AG28+AG29+AG31+AG30+AG32+AG33+AG39</f>
        <v>16462.165640978397</v>
      </c>
      <c r="AH50" s="3367"/>
      <c r="AI50" s="5955">
        <f>+AI46-AI48</f>
        <v>18633.096499716001</v>
      </c>
      <c r="AJ50" s="5955"/>
      <c r="AK50" s="5955">
        <f t="shared" ref="AK50:BE50" si="34">+AK46-AK48</f>
        <v>35095.262140694387</v>
      </c>
      <c r="AL50" s="5955"/>
      <c r="AM50" s="5955">
        <f t="shared" si="34"/>
        <v>10177.080013598399</v>
      </c>
      <c r="AN50" s="5955"/>
      <c r="AO50" s="5955">
        <f t="shared" si="34"/>
        <v>45272.342154292804</v>
      </c>
      <c r="AP50" s="5955"/>
      <c r="AQ50" s="5955">
        <f t="shared" si="34"/>
        <v>45272.342154292804</v>
      </c>
      <c r="AR50" s="5955"/>
      <c r="AS50" s="5955">
        <f t="shared" si="34"/>
        <v>13463.6399846981</v>
      </c>
      <c r="AT50" s="5955"/>
      <c r="AU50" s="5955">
        <f t="shared" si="34"/>
        <v>58735.982138990905</v>
      </c>
      <c r="AV50" s="5955"/>
      <c r="AW50" s="5955">
        <f t="shared" si="34"/>
        <v>19043.1674623527</v>
      </c>
      <c r="AX50" s="5955"/>
      <c r="AY50" s="5955">
        <f t="shared" si="34"/>
        <v>77779.149601343597</v>
      </c>
      <c r="AZ50" s="5955"/>
      <c r="BA50" s="5955">
        <f t="shared" si="34"/>
        <v>10828.343613000001</v>
      </c>
      <c r="BB50" s="5955"/>
      <c r="BC50" s="5955">
        <f t="shared" si="34"/>
        <v>43335.151060050805</v>
      </c>
      <c r="BD50" s="5955"/>
      <c r="BE50" s="5955">
        <f t="shared" si="34"/>
        <v>88607.493214343602</v>
      </c>
    </row>
    <row r="51" spans="2:57" ht="16" thickBot="1" x14ac:dyDescent="0.25">
      <c r="B51" s="1528" t="s">
        <v>2268</v>
      </c>
      <c r="C51" s="7427"/>
      <c r="D51" s="7427"/>
      <c r="E51" s="1607" t="s">
        <v>169</v>
      </c>
      <c r="F51" s="6035"/>
      <c r="G51" s="6037" t="e">
        <f>+G50/G46</f>
        <v>#DIV/0!</v>
      </c>
      <c r="H51" s="6035"/>
      <c r="I51" s="6037" t="e">
        <f>+I50/I46</f>
        <v>#DIV/0!</v>
      </c>
      <c r="J51" s="6036"/>
      <c r="K51" s="6037" t="e">
        <f>+K50/K46</f>
        <v>#DIV/0!</v>
      </c>
      <c r="L51" s="6035"/>
      <c r="M51" s="6037" t="e">
        <f>+M50/M46</f>
        <v>#DIV/0!</v>
      </c>
      <c r="N51" s="6036"/>
      <c r="O51" s="6037" t="e">
        <f>+O50/O46</f>
        <v>#DIV/0!</v>
      </c>
      <c r="P51" s="6035"/>
      <c r="Q51" s="6037" t="e">
        <f>+Q50/Q46</f>
        <v>#DIV/0!</v>
      </c>
      <c r="R51" s="6036"/>
      <c r="S51" s="6037" t="e">
        <f>+S50/S46</f>
        <v>#DIV/0!</v>
      </c>
      <c r="T51" s="6035"/>
      <c r="U51" s="6037" t="e">
        <f>+U50/U46</f>
        <v>#DIV/0!</v>
      </c>
      <c r="V51" s="6036"/>
      <c r="W51" s="6037" t="e">
        <f>+W50/W46</f>
        <v>#DIV/0!</v>
      </c>
      <c r="X51" s="6035"/>
      <c r="Y51" s="6037" t="e">
        <f>+Y50/Y46</f>
        <v>#DIV/0!</v>
      </c>
      <c r="Z51" s="6036"/>
      <c r="AA51" s="6037" t="e">
        <f>+AA50/AA46</f>
        <v>#DIV/0!</v>
      </c>
      <c r="AB51" s="6666"/>
      <c r="AC51" s="6667" t="e">
        <f>+AC50/AC46</f>
        <v>#DIV/0!</v>
      </c>
      <c r="AD51" s="6035"/>
      <c r="AE51" s="6037">
        <f>+AE50/AE46</f>
        <v>1</v>
      </c>
      <c r="AF51" s="6036"/>
      <c r="AG51" s="6037">
        <f>+AG50/AG46</f>
        <v>1</v>
      </c>
      <c r="AH51" s="6035"/>
      <c r="AI51" s="6037">
        <f>+AI50/AI46</f>
        <v>0.99892704222170858</v>
      </c>
      <c r="AJ51" s="6036"/>
      <c r="AK51" s="6037">
        <f>+AK50/AK46</f>
        <v>0.99943004862271867</v>
      </c>
      <c r="AL51" s="6035"/>
      <c r="AM51" s="6037">
        <f>+AM50/AM46</f>
        <v>1</v>
      </c>
      <c r="AN51" s="6036"/>
      <c r="AO51" s="6037">
        <f>+AO50/AO46</f>
        <v>0.99955811528259153</v>
      </c>
      <c r="AP51" s="6036"/>
      <c r="AQ51" s="6037">
        <f>+AQ50/AQ46</f>
        <v>0.99955811528259153</v>
      </c>
      <c r="AR51" s="6035"/>
      <c r="AS51" s="6037">
        <f>+AS50/AS46</f>
        <v>0.99760831385930193</v>
      </c>
      <c r="AT51" s="6036"/>
      <c r="AU51" s="6037">
        <f>+AU50/AU46</f>
        <v>0.99911050288912429</v>
      </c>
      <c r="AV51" s="6035"/>
      <c r="AW51" s="6037">
        <f>+AW50/AW46</f>
        <v>0.99887487907678407</v>
      </c>
      <c r="AX51" s="6036"/>
      <c r="AY51" s="6037">
        <f>+AY50/AY46</f>
        <v>0.99905280332582114</v>
      </c>
      <c r="AZ51" s="6035"/>
      <c r="BA51" s="6037">
        <f>+BA50/BA46</f>
        <v>0.97664091213992765</v>
      </c>
      <c r="BB51" s="6036"/>
      <c r="BC51" s="6037">
        <f>+BC50/BC46</f>
        <v>0.99283543488526871</v>
      </c>
      <c r="BD51" s="6036"/>
      <c r="BE51" s="6037">
        <f>+BE50/BE46</f>
        <v>0.99625892559639773</v>
      </c>
    </row>
    <row r="52" spans="2:57" s="3380" customFormat="1" ht="18" x14ac:dyDescent="0.2">
      <c r="B52" s="5301" t="s">
        <v>185</v>
      </c>
      <c r="C52" s="5057"/>
      <c r="D52" s="5057"/>
      <c r="E52" s="5057"/>
      <c r="F52" s="5302"/>
      <c r="G52" s="5303"/>
      <c r="H52" s="5302"/>
      <c r="I52" s="4902"/>
      <c r="J52" s="5302"/>
      <c r="K52" s="4902"/>
      <c r="L52" s="5302"/>
      <c r="M52" s="4902"/>
      <c r="N52" s="5302"/>
      <c r="O52" s="4902"/>
      <c r="P52" s="5302"/>
      <c r="Q52" s="4902"/>
      <c r="R52" s="5302"/>
      <c r="S52" s="4902"/>
      <c r="T52" s="5302"/>
      <c r="U52" s="4902"/>
      <c r="V52" s="5302"/>
      <c r="W52" s="4902"/>
      <c r="X52" s="5302"/>
      <c r="Y52" s="4902"/>
      <c r="Z52" s="5302"/>
      <c r="AA52" s="4902"/>
      <c r="AB52" s="5302"/>
      <c r="AC52" s="4902"/>
      <c r="AD52" s="5302"/>
      <c r="AE52" s="4902"/>
      <c r="AF52" s="5302"/>
      <c r="AG52" s="4902"/>
      <c r="AH52" s="5302"/>
      <c r="AI52" s="4902"/>
      <c r="AJ52" s="5302"/>
      <c r="AK52" s="4902"/>
      <c r="AL52" s="5302"/>
      <c r="AM52" s="4902"/>
      <c r="AN52" s="5302"/>
      <c r="AO52" s="4902"/>
      <c r="AP52" s="5302"/>
      <c r="AQ52" s="4902"/>
      <c r="AR52" s="5302"/>
      <c r="AS52" s="4902"/>
      <c r="AT52" s="5302"/>
      <c r="AU52" s="4902"/>
      <c r="AV52" s="5302"/>
      <c r="AW52" s="4902"/>
      <c r="AX52" s="5302"/>
      <c r="AY52" s="4902"/>
      <c r="AZ52" s="5302"/>
      <c r="BA52" s="4902"/>
      <c r="BB52" s="5302"/>
      <c r="BC52" s="4902"/>
      <c r="BD52" s="5302"/>
      <c r="BE52" s="4902"/>
    </row>
    <row r="53" spans="2:57" x14ac:dyDescent="0.2">
      <c r="B53" s="1605" t="s">
        <v>335</v>
      </c>
      <c r="C53" s="7429"/>
      <c r="D53" s="7429"/>
      <c r="E53" s="1545" t="s">
        <v>711</v>
      </c>
      <c r="F53" s="4963">
        <f>+F2*24</f>
        <v>0</v>
      </c>
      <c r="G53" s="4417">
        <f>+G2*24</f>
        <v>0</v>
      </c>
      <c r="H53" s="4963">
        <f>+H2*24</f>
        <v>0</v>
      </c>
      <c r="I53" s="4417">
        <f>+I2*24</f>
        <v>0</v>
      </c>
      <c r="J53" s="7397">
        <f>+F53+H53</f>
        <v>0</v>
      </c>
      <c r="K53" s="6038">
        <f>+G53+I53</f>
        <v>0</v>
      </c>
      <c r="L53" s="4963">
        <f>+L2*24</f>
        <v>0</v>
      </c>
      <c r="M53" s="4417">
        <f>+M2*24</f>
        <v>0</v>
      </c>
      <c r="N53" s="2879">
        <f>+J53+L53</f>
        <v>0</v>
      </c>
      <c r="O53" s="4775">
        <f>+K53+M53</f>
        <v>0</v>
      </c>
      <c r="P53" s="4963">
        <f>+P2*24</f>
        <v>0</v>
      </c>
      <c r="Q53" s="4417">
        <f>+Q2*24</f>
        <v>0</v>
      </c>
      <c r="R53" s="7397">
        <f>+N53+P53</f>
        <v>0</v>
      </c>
      <c r="S53" s="6038">
        <f>+O53+Q53</f>
        <v>0</v>
      </c>
      <c r="T53" s="4963">
        <f>+T2*24</f>
        <v>0</v>
      </c>
      <c r="U53" s="4417">
        <f>+U2*24</f>
        <v>0</v>
      </c>
      <c r="V53" s="7397">
        <f>+R53+T53</f>
        <v>0</v>
      </c>
      <c r="W53" s="6038">
        <f>+S53+U53</f>
        <v>0</v>
      </c>
      <c r="X53" s="4963">
        <f>+X2*24</f>
        <v>0</v>
      </c>
      <c r="Y53" s="4417">
        <f>+Y2*24</f>
        <v>0</v>
      </c>
      <c r="Z53" s="2879">
        <f>+P53+T53+X53</f>
        <v>0</v>
      </c>
      <c r="AA53" s="4775">
        <f>+Q53+U53+Y53</f>
        <v>0</v>
      </c>
      <c r="AB53" s="7396">
        <f>+V53+X53</f>
        <v>0</v>
      </c>
      <c r="AC53" s="6669">
        <f>+W53+Y53</f>
        <v>0</v>
      </c>
      <c r="AD53" s="4963">
        <f>+AD2*24</f>
        <v>744</v>
      </c>
      <c r="AE53" s="4417">
        <f>+AE2*24</f>
        <v>744</v>
      </c>
      <c r="AF53" s="7397">
        <f>+AB53+AD53</f>
        <v>744</v>
      </c>
      <c r="AG53" s="6038">
        <f>+AC53+AE53</f>
        <v>744</v>
      </c>
      <c r="AH53" s="4963">
        <f>+AH2*24</f>
        <v>720</v>
      </c>
      <c r="AI53" s="4417">
        <f>+AI2*24</f>
        <v>720</v>
      </c>
      <c r="AJ53" s="7586">
        <f>+AF53+AH53</f>
        <v>1464</v>
      </c>
      <c r="AK53" s="6038">
        <f>+AG53+AI53</f>
        <v>1464</v>
      </c>
      <c r="AL53" s="4963">
        <f>+AL2*24</f>
        <v>744</v>
      </c>
      <c r="AM53" s="4417">
        <f>+AM2*24</f>
        <v>744</v>
      </c>
      <c r="AN53" s="2879">
        <f>+AD53+AH53+AL53</f>
        <v>2208</v>
      </c>
      <c r="AO53" s="4775">
        <f>+AE53+AI53+AM53</f>
        <v>2208</v>
      </c>
      <c r="AP53" s="7783">
        <f>+AJ53+AL53</f>
        <v>2208</v>
      </c>
      <c r="AQ53" s="6038">
        <f>+AK53+AM53</f>
        <v>2208</v>
      </c>
      <c r="AR53" s="4963">
        <f>+AR2*24</f>
        <v>744</v>
      </c>
      <c r="AS53" s="4417">
        <f>+AS2*24</f>
        <v>744</v>
      </c>
      <c r="AT53" s="8110">
        <f>+AP53+AR53</f>
        <v>2952</v>
      </c>
      <c r="AU53" s="6038">
        <f>+AQ53+AS53</f>
        <v>2952</v>
      </c>
      <c r="AV53" s="4963">
        <f>+AV2*24</f>
        <v>672</v>
      </c>
      <c r="AW53" s="4417">
        <f>+AW2*24</f>
        <v>672</v>
      </c>
      <c r="AX53" s="8174">
        <f>+AT53+AV53</f>
        <v>3624</v>
      </c>
      <c r="AY53" s="6038">
        <f>+AU53+AW53</f>
        <v>3624</v>
      </c>
      <c r="AZ53" s="4963">
        <f>+AZ2*24</f>
        <v>744</v>
      </c>
      <c r="BA53" s="4417">
        <f>+BA2*24</f>
        <v>744</v>
      </c>
      <c r="BB53" s="2879">
        <f>+AR53+AV53+AZ53</f>
        <v>2160</v>
      </c>
      <c r="BC53" s="4775">
        <f>+AS53+AW53+BA53</f>
        <v>2160</v>
      </c>
      <c r="BD53" s="8329">
        <f>+AX53+AZ53</f>
        <v>4368</v>
      </c>
      <c r="BE53" s="6038">
        <f>+AY53+BA53</f>
        <v>4368</v>
      </c>
    </row>
    <row r="54" spans="2:57" x14ac:dyDescent="0.2">
      <c r="B54" s="1531" t="s">
        <v>799</v>
      </c>
      <c r="C54" s="7430"/>
      <c r="D54" s="7430"/>
      <c r="E54" s="1545" t="s">
        <v>169</v>
      </c>
      <c r="F54" s="2706" t="e">
        <f t="shared" ref="F54:AI54" si="35">+F55/F53*100</f>
        <v>#DIV/0!</v>
      </c>
      <c r="G54" s="1859" t="e">
        <f t="shared" si="35"/>
        <v>#DIV/0!</v>
      </c>
      <c r="H54" s="2706" t="e">
        <f t="shared" ref="H54:I54" si="36">+H55/H53*100</f>
        <v>#DIV/0!</v>
      </c>
      <c r="I54" s="1859" t="e">
        <f t="shared" si="36"/>
        <v>#DIV/0!</v>
      </c>
      <c r="J54" s="2794" t="e">
        <f t="shared" si="35"/>
        <v>#DIV/0!</v>
      </c>
      <c r="K54" s="1861" t="e">
        <f t="shared" si="35"/>
        <v>#DIV/0!</v>
      </c>
      <c r="L54" s="2706" t="e">
        <f t="shared" ref="L54:M54" si="37">+L55/L53*100</f>
        <v>#DIV/0!</v>
      </c>
      <c r="M54" s="1859" t="e">
        <f t="shared" si="37"/>
        <v>#DIV/0!</v>
      </c>
      <c r="N54" s="2260" t="e">
        <f t="shared" si="35"/>
        <v>#DIV/0!</v>
      </c>
      <c r="O54" s="2055" t="e">
        <f t="shared" si="35"/>
        <v>#DIV/0!</v>
      </c>
      <c r="P54" s="2706" t="e">
        <f t="shared" ref="P54:Q54" si="38">+P55/P53*100</f>
        <v>#DIV/0!</v>
      </c>
      <c r="Q54" s="1859" t="e">
        <f t="shared" si="38"/>
        <v>#DIV/0!</v>
      </c>
      <c r="R54" s="2794" t="e">
        <f t="shared" si="35"/>
        <v>#DIV/0!</v>
      </c>
      <c r="S54" s="1861" t="e">
        <f t="shared" si="35"/>
        <v>#DIV/0!</v>
      </c>
      <c r="T54" s="2706" t="e">
        <f t="shared" ref="T54:U54" si="39">+T55/T53*100</f>
        <v>#DIV/0!</v>
      </c>
      <c r="U54" s="1859" t="e">
        <f t="shared" si="39"/>
        <v>#DIV/0!</v>
      </c>
      <c r="V54" s="2794" t="e">
        <f t="shared" si="35"/>
        <v>#DIV/0!</v>
      </c>
      <c r="W54" s="1861" t="e">
        <f t="shared" si="35"/>
        <v>#DIV/0!</v>
      </c>
      <c r="X54" s="2706" t="e">
        <f t="shared" ref="X54:Y54" si="40">+X55/X53*100</f>
        <v>#DIV/0!</v>
      </c>
      <c r="Y54" s="1859" t="e">
        <f t="shared" si="40"/>
        <v>#DIV/0!</v>
      </c>
      <c r="Z54" s="2260" t="e">
        <f t="shared" si="35"/>
        <v>#DIV/0!</v>
      </c>
      <c r="AA54" s="2055" t="e">
        <f t="shared" si="35"/>
        <v>#DIV/0!</v>
      </c>
      <c r="AB54" s="6612" t="e">
        <f t="shared" si="35"/>
        <v>#DIV/0!</v>
      </c>
      <c r="AC54" s="6635" t="e">
        <f t="shared" si="35"/>
        <v>#DIV/0!</v>
      </c>
      <c r="AD54" s="2706">
        <f t="shared" ref="AD54:AE54" si="41">+AD55/AD53*100</f>
        <v>0</v>
      </c>
      <c r="AE54" s="6452">
        <f t="shared" si="41"/>
        <v>36.424731182795696</v>
      </c>
      <c r="AF54" s="2794">
        <f t="shared" si="35"/>
        <v>0</v>
      </c>
      <c r="AG54" s="1861">
        <f t="shared" si="35"/>
        <v>36.424731182795696</v>
      </c>
      <c r="AH54" s="2706">
        <f t="shared" si="35"/>
        <v>0</v>
      </c>
      <c r="AI54" s="1859">
        <f t="shared" si="35"/>
        <v>41.979166666666664</v>
      </c>
      <c r="AJ54" s="2794">
        <f t="shared" ref="AJ54:AQ54" si="42">+AJ55/AJ53*100</f>
        <v>0</v>
      </c>
      <c r="AK54" s="1861">
        <f t="shared" si="42"/>
        <v>39.15642076502732</v>
      </c>
      <c r="AL54" s="2706">
        <f t="shared" si="42"/>
        <v>0</v>
      </c>
      <c r="AM54" s="1859">
        <f t="shared" si="42"/>
        <v>22.536290322580644</v>
      </c>
      <c r="AN54" s="2260">
        <f t="shared" si="42"/>
        <v>0</v>
      </c>
      <c r="AO54" s="2055">
        <f t="shared" si="42"/>
        <v>33.556159420289852</v>
      </c>
      <c r="AP54" s="2794">
        <f t="shared" si="42"/>
        <v>0</v>
      </c>
      <c r="AQ54" s="1861">
        <f t="shared" si="42"/>
        <v>33.556159420289852</v>
      </c>
      <c r="AR54" s="2706">
        <f t="shared" ref="AR54:AU54" si="43">+AR55/AR53*100</f>
        <v>86.129032258064512</v>
      </c>
      <c r="AS54" s="1859">
        <f t="shared" si="43"/>
        <v>98.330645161290334</v>
      </c>
      <c r="AT54" s="2794">
        <f t="shared" si="43"/>
        <v>21.707317073170728</v>
      </c>
      <c r="AU54" s="1861">
        <f t="shared" si="43"/>
        <v>49.881436314363143</v>
      </c>
      <c r="AV54" s="2706">
        <f t="shared" ref="AV54:AY54" si="44">+AV55/AV53*100</f>
        <v>95.357142857142847</v>
      </c>
      <c r="AW54" s="1859">
        <f t="shared" si="44"/>
        <v>96.90029761904762</v>
      </c>
      <c r="AX54" s="2794">
        <f t="shared" si="44"/>
        <v>35.364238410596023</v>
      </c>
      <c r="AY54" s="1861">
        <f t="shared" si="44"/>
        <v>58.600165562913908</v>
      </c>
      <c r="AZ54" s="2706">
        <f t="shared" ref="AZ54:BE54" si="45">+AZ55/AZ53*100</f>
        <v>86.129032258064512</v>
      </c>
      <c r="BA54" s="1859">
        <f t="shared" si="45"/>
        <v>97.849462365591393</v>
      </c>
      <c r="BB54" s="2260">
        <f t="shared" si="45"/>
        <v>88.999999999999986</v>
      </c>
      <c r="BC54" s="2055">
        <f t="shared" si="45"/>
        <v>97.719907407407405</v>
      </c>
      <c r="BD54" s="2794">
        <f t="shared" si="45"/>
        <v>44.010989010989007</v>
      </c>
      <c r="BE54" s="1861">
        <f t="shared" si="45"/>
        <v>65.285485347985343</v>
      </c>
    </row>
    <row r="55" spans="2:57" x14ac:dyDescent="0.2">
      <c r="B55" s="1531" t="s">
        <v>798</v>
      </c>
      <c r="C55" s="7430"/>
      <c r="D55" s="7430"/>
      <c r="E55" s="1545" t="s">
        <v>711</v>
      </c>
      <c r="F55" s="1786"/>
      <c r="G55" s="2723"/>
      <c r="H55" s="1786"/>
      <c r="I55" s="2723"/>
      <c r="J55" s="1787">
        <f>+F55+H55</f>
        <v>0</v>
      </c>
      <c r="K55" s="6038">
        <f>+G55+I55</f>
        <v>0</v>
      </c>
      <c r="L55" s="1786"/>
      <c r="M55" s="2723"/>
      <c r="N55" s="2260">
        <f>+J55+L55</f>
        <v>0</v>
      </c>
      <c r="O55" s="4775">
        <f>+K55+M55</f>
        <v>0</v>
      </c>
      <c r="P55" s="1786"/>
      <c r="Q55" s="2723"/>
      <c r="R55" s="1787">
        <f>+N55+P55</f>
        <v>0</v>
      </c>
      <c r="S55" s="6038">
        <f>+O55+Q55</f>
        <v>0</v>
      </c>
      <c r="T55" s="1786"/>
      <c r="U55" s="2723"/>
      <c r="V55" s="1787">
        <f>+R55+T55</f>
        <v>0</v>
      </c>
      <c r="W55" s="6038">
        <f>+S55+U55</f>
        <v>0</v>
      </c>
      <c r="X55" s="1786"/>
      <c r="Y55" s="2723"/>
      <c r="Z55" s="2879">
        <f>+P55+T55+X55</f>
        <v>0</v>
      </c>
      <c r="AA55" s="4775">
        <f>+Q55+U55+Y55</f>
        <v>0</v>
      </c>
      <c r="AB55" s="6670">
        <f>+V55+X55</f>
        <v>0</v>
      </c>
      <c r="AC55" s="6669">
        <f>+W55+Y55</f>
        <v>0</v>
      </c>
      <c r="AD55" s="3229"/>
      <c r="AE55" s="4406">
        <v>271</v>
      </c>
      <c r="AF55" s="1787">
        <f>+AB55+AD55</f>
        <v>0</v>
      </c>
      <c r="AG55" s="6038">
        <f>+AC55+AE55</f>
        <v>271</v>
      </c>
      <c r="AH55" s="1786"/>
      <c r="AI55" s="4146">
        <v>302.25</v>
      </c>
      <c r="AJ55" s="1787">
        <f>+AF55+AH55</f>
        <v>0</v>
      </c>
      <c r="AK55" s="6038">
        <f>+AG55+AI55</f>
        <v>573.25</v>
      </c>
      <c r="AL55" s="1786"/>
      <c r="AM55" s="2723">
        <v>167.67</v>
      </c>
      <c r="AN55" s="2879">
        <f>+AD55+AH55+AL55</f>
        <v>0</v>
      </c>
      <c r="AO55" s="4775">
        <f>+AE55+AI55+AM55</f>
        <v>740.92</v>
      </c>
      <c r="AP55" s="1787">
        <f>+AJ55+AL55</f>
        <v>0</v>
      </c>
      <c r="AQ55" s="6199">
        <f>+AK55+AM55</f>
        <v>740.92</v>
      </c>
      <c r="AR55" s="1786">
        <v>640.79999999999995</v>
      </c>
      <c r="AS55" s="1859">
        <v>731.58</v>
      </c>
      <c r="AT55" s="1787">
        <f>+AP55+AR55</f>
        <v>640.79999999999995</v>
      </c>
      <c r="AU55" s="6038">
        <f>+AQ55+AS55</f>
        <v>1472.5</v>
      </c>
      <c r="AV55" s="1786">
        <v>640.79999999999995</v>
      </c>
      <c r="AW55" s="1859">
        <v>651.16999999999996</v>
      </c>
      <c r="AX55" s="1787">
        <f>+AT55+AV55</f>
        <v>1281.5999999999999</v>
      </c>
      <c r="AY55" s="6038">
        <f>+AU55+AW55</f>
        <v>2123.67</v>
      </c>
      <c r="AZ55" s="1786">
        <v>640.79999999999995</v>
      </c>
      <c r="BA55" s="1859">
        <v>728</v>
      </c>
      <c r="BB55" s="2879">
        <f>+AR55+AV55+AZ55</f>
        <v>1922.3999999999999</v>
      </c>
      <c r="BC55" s="4775">
        <f>+AS55+AW55+BA55</f>
        <v>2110.75</v>
      </c>
      <c r="BD55" s="1787">
        <f>+AX55+AZ55</f>
        <v>1922.3999999999999</v>
      </c>
      <c r="BE55" s="6199">
        <f>+AY55+BA55</f>
        <v>2851.67</v>
      </c>
    </row>
    <row r="56" spans="2:57" x14ac:dyDescent="0.2">
      <c r="B56" s="1531" t="s">
        <v>800</v>
      </c>
      <c r="C56" s="7430"/>
      <c r="D56" s="7430"/>
      <c r="E56" s="1545" t="s">
        <v>169</v>
      </c>
      <c r="F56" s="3224" t="e">
        <f t="shared" ref="F56:AI56" si="46">+F57/F55*100</f>
        <v>#DIV/0!</v>
      </c>
      <c r="G56" s="6452" t="e">
        <f t="shared" si="46"/>
        <v>#DIV/0!</v>
      </c>
      <c r="H56" s="3224" t="e">
        <f t="shared" ref="H56:I56" si="47">+H57/H55*100</f>
        <v>#DIV/0!</v>
      </c>
      <c r="I56" s="6452" t="e">
        <f t="shared" si="47"/>
        <v>#DIV/0!</v>
      </c>
      <c r="J56" s="2794" t="e">
        <f t="shared" si="46"/>
        <v>#DIV/0!</v>
      </c>
      <c r="K56" s="1861" t="e">
        <f t="shared" si="46"/>
        <v>#DIV/0!</v>
      </c>
      <c r="L56" s="3224" t="e">
        <f t="shared" ref="L56:M56" si="48">+L57/L55*100</f>
        <v>#DIV/0!</v>
      </c>
      <c r="M56" s="6452" t="e">
        <f t="shared" si="48"/>
        <v>#DIV/0!</v>
      </c>
      <c r="N56" s="2260" t="e">
        <f t="shared" si="46"/>
        <v>#DIV/0!</v>
      </c>
      <c r="O56" s="2055" t="e">
        <f t="shared" si="46"/>
        <v>#DIV/0!</v>
      </c>
      <c r="P56" s="3224" t="e">
        <f t="shared" ref="P56:Q56" si="49">+P57/P55*100</f>
        <v>#DIV/0!</v>
      </c>
      <c r="Q56" s="6452" t="e">
        <f t="shared" si="49"/>
        <v>#DIV/0!</v>
      </c>
      <c r="R56" s="2794" t="e">
        <f t="shared" si="46"/>
        <v>#DIV/0!</v>
      </c>
      <c r="S56" s="1861" t="e">
        <f t="shared" si="46"/>
        <v>#DIV/0!</v>
      </c>
      <c r="T56" s="3224" t="e">
        <f t="shared" ref="T56:U56" si="50">+T57/T55*100</f>
        <v>#DIV/0!</v>
      </c>
      <c r="U56" s="6452" t="e">
        <f t="shared" si="50"/>
        <v>#DIV/0!</v>
      </c>
      <c r="V56" s="2794" t="e">
        <f t="shared" si="46"/>
        <v>#DIV/0!</v>
      </c>
      <c r="W56" s="1861" t="e">
        <f t="shared" si="46"/>
        <v>#DIV/0!</v>
      </c>
      <c r="X56" s="3224" t="e">
        <f t="shared" ref="X56:Y56" si="51">+X57/X55*100</f>
        <v>#DIV/0!</v>
      </c>
      <c r="Y56" s="6452" t="e">
        <f t="shared" si="51"/>
        <v>#DIV/0!</v>
      </c>
      <c r="Z56" s="2260" t="e">
        <f t="shared" si="46"/>
        <v>#DIV/0!</v>
      </c>
      <c r="AA56" s="2055" t="e">
        <f t="shared" si="46"/>
        <v>#DIV/0!</v>
      </c>
      <c r="AB56" s="6612" t="e">
        <f t="shared" si="46"/>
        <v>#DIV/0!</v>
      </c>
      <c r="AC56" s="6635" t="e">
        <f t="shared" si="46"/>
        <v>#DIV/0!</v>
      </c>
      <c r="AD56" s="3224" t="e">
        <f t="shared" ref="AD56:AE56" si="52">+AD57/AD55*100</f>
        <v>#DIV/0!</v>
      </c>
      <c r="AE56" s="6452">
        <f t="shared" si="52"/>
        <v>68.509225092250929</v>
      </c>
      <c r="AF56" s="2794" t="e">
        <f t="shared" si="46"/>
        <v>#DIV/0!</v>
      </c>
      <c r="AG56" s="1861">
        <f t="shared" si="46"/>
        <v>68.509225092250929</v>
      </c>
      <c r="AH56" s="3224" t="e">
        <f t="shared" si="46"/>
        <v>#DIV/0!</v>
      </c>
      <c r="AI56" s="6452">
        <f t="shared" si="46"/>
        <v>64.102564102564102</v>
      </c>
      <c r="AJ56" s="2794" t="e">
        <f t="shared" ref="AJ56:AQ56" si="53">+AJ57/AJ55*100</f>
        <v>#DIV/0!</v>
      </c>
      <c r="AK56" s="1861">
        <f t="shared" si="53"/>
        <v>66.185782817269939</v>
      </c>
      <c r="AL56" s="3224" t="e">
        <f t="shared" si="53"/>
        <v>#DIV/0!</v>
      </c>
      <c r="AM56" s="6452">
        <f t="shared" si="53"/>
        <v>66.30285680205165</v>
      </c>
      <c r="AN56" s="2260" t="e">
        <f t="shared" si="53"/>
        <v>#DIV/0!</v>
      </c>
      <c r="AO56" s="2055">
        <f t="shared" si="53"/>
        <v>66.212276629055765</v>
      </c>
      <c r="AP56" s="2794" t="e">
        <f t="shared" si="53"/>
        <v>#DIV/0!</v>
      </c>
      <c r="AQ56" s="1861">
        <f t="shared" si="53"/>
        <v>66.212276629055765</v>
      </c>
      <c r="AR56" s="3224">
        <f t="shared" ref="AR56:AU56" si="54">+AR57/AR55*100</f>
        <v>83.333333333333343</v>
      </c>
      <c r="AS56" s="6452">
        <f t="shared" si="54"/>
        <v>22.656442220946442</v>
      </c>
      <c r="AT56" s="2794">
        <f t="shared" si="54"/>
        <v>83.333333333333343</v>
      </c>
      <c r="AU56" s="1861">
        <f t="shared" si="54"/>
        <v>44.572495755517821</v>
      </c>
      <c r="AV56" s="3224">
        <f t="shared" ref="AV56:AY56" si="55">+AV57/AV55*100</f>
        <v>83.333333333333343</v>
      </c>
      <c r="AW56" s="6452">
        <f t="shared" si="55"/>
        <v>70.526897737917906</v>
      </c>
      <c r="AX56" s="2794">
        <f t="shared" si="55"/>
        <v>83.333333333333343</v>
      </c>
      <c r="AY56" s="1861">
        <f t="shared" si="55"/>
        <v>52.530760428880185</v>
      </c>
      <c r="AZ56" s="3224">
        <f t="shared" ref="AZ56:BE56" si="56">+AZ57/AZ55*100</f>
        <v>83.333333333333343</v>
      </c>
      <c r="BA56" s="6452">
        <f t="shared" si="56"/>
        <v>23.924450549450547</v>
      </c>
      <c r="BB56" s="2260">
        <f t="shared" si="56"/>
        <v>83.333333333333343</v>
      </c>
      <c r="BC56" s="2055">
        <f t="shared" si="56"/>
        <v>37.861897429823522</v>
      </c>
      <c r="BD56" s="2794">
        <f t="shared" si="56"/>
        <v>83.333333333333343</v>
      </c>
      <c r="BE56" s="1861">
        <f t="shared" si="56"/>
        <v>45.227884011824649</v>
      </c>
    </row>
    <row r="57" spans="2:57" x14ac:dyDescent="0.2">
      <c r="B57" s="1531" t="s">
        <v>801</v>
      </c>
      <c r="C57" s="7430"/>
      <c r="D57" s="7430"/>
      <c r="E57" s="1545" t="s">
        <v>711</v>
      </c>
      <c r="F57" s="4811"/>
      <c r="G57" s="4406"/>
      <c r="H57" s="4811"/>
      <c r="I57" s="4406"/>
      <c r="J57" s="4809">
        <f>+F57+H57</f>
        <v>0</v>
      </c>
      <c r="K57" s="6038">
        <f>+G57+I57</f>
        <v>0</v>
      </c>
      <c r="L57" s="4811"/>
      <c r="M57" s="4406"/>
      <c r="N57" s="2260">
        <f>+J57+L57</f>
        <v>0</v>
      </c>
      <c r="O57" s="4775">
        <f>+K57+M57</f>
        <v>0</v>
      </c>
      <c r="P57" s="4811"/>
      <c r="Q57" s="4406"/>
      <c r="R57" s="4809">
        <f>+N57+P57</f>
        <v>0</v>
      </c>
      <c r="S57" s="6038">
        <f>+O57+Q57</f>
        <v>0</v>
      </c>
      <c r="T57" s="4811"/>
      <c r="U57" s="4406"/>
      <c r="V57" s="4809">
        <f>+R57+T57</f>
        <v>0</v>
      </c>
      <c r="W57" s="6038">
        <f>+S57+U57</f>
        <v>0</v>
      </c>
      <c r="X57" s="4811"/>
      <c r="Y57" s="4406"/>
      <c r="Z57" s="2879">
        <f>+P57+T57+X57</f>
        <v>0</v>
      </c>
      <c r="AA57" s="4775">
        <f>+Q57+U57+Y57</f>
        <v>0</v>
      </c>
      <c r="AB57" s="6519">
        <f>+V57+X57</f>
        <v>0</v>
      </c>
      <c r="AC57" s="6669">
        <f>+W57+Y57</f>
        <v>0</v>
      </c>
      <c r="AD57" s="4811"/>
      <c r="AE57" s="4406">
        <v>185.66</v>
      </c>
      <c r="AF57" s="4809">
        <f>+AB57+AD57</f>
        <v>0</v>
      </c>
      <c r="AG57" s="6199">
        <f>+AC57+AE57</f>
        <v>185.66</v>
      </c>
      <c r="AH57" s="4811"/>
      <c r="AI57" s="4406">
        <v>193.75</v>
      </c>
      <c r="AJ57" s="4809">
        <f>+AF57+AH57</f>
        <v>0</v>
      </c>
      <c r="AK57" s="6038">
        <f>+AG57+AI57</f>
        <v>379.40999999999997</v>
      </c>
      <c r="AL57" s="4811"/>
      <c r="AM57" s="4406">
        <v>111.17</v>
      </c>
      <c r="AN57" s="2879">
        <f>+AD57+AH57+AL57</f>
        <v>0</v>
      </c>
      <c r="AO57" s="4775">
        <f>+AE57+AI57+AM57</f>
        <v>490.58</v>
      </c>
      <c r="AP57" s="4809">
        <f>+AJ57+AL57</f>
        <v>0</v>
      </c>
      <c r="AQ57" s="6199">
        <f>+AK57+AM57</f>
        <v>490.58</v>
      </c>
      <c r="AR57" s="4811">
        <v>534</v>
      </c>
      <c r="AS57" s="1859">
        <v>165.75</v>
      </c>
      <c r="AT57" s="4809">
        <f>+AP57+AR57</f>
        <v>534</v>
      </c>
      <c r="AU57" s="6038">
        <f>+AQ57+AS57</f>
        <v>656.32999999999993</v>
      </c>
      <c r="AV57" s="4811">
        <v>534</v>
      </c>
      <c r="AW57" s="1859">
        <v>459.25</v>
      </c>
      <c r="AX57" s="4809">
        <f>+AT57+AV57</f>
        <v>1068</v>
      </c>
      <c r="AY57" s="6038">
        <f>+AU57+AW57</f>
        <v>1115.58</v>
      </c>
      <c r="AZ57" s="4811">
        <v>534</v>
      </c>
      <c r="BA57" s="1859">
        <v>174.17</v>
      </c>
      <c r="BB57" s="2879">
        <f>+AR57+AV57+AZ57</f>
        <v>1602</v>
      </c>
      <c r="BC57" s="4775">
        <f>+AS57+AW57+BA57</f>
        <v>799.17</v>
      </c>
      <c r="BD57" s="4809">
        <f>+AX57+AZ57</f>
        <v>1602</v>
      </c>
      <c r="BE57" s="6199">
        <f>+AY57+BA57</f>
        <v>1289.75</v>
      </c>
    </row>
    <row r="58" spans="2:57" x14ac:dyDescent="0.2">
      <c r="B58" s="1531" t="s">
        <v>1126</v>
      </c>
      <c r="C58" s="7430"/>
      <c r="D58" s="7430"/>
      <c r="E58" s="1545" t="s">
        <v>1125</v>
      </c>
      <c r="F58" s="3220" t="e">
        <f>+F57/(F55/24)</f>
        <v>#DIV/0!</v>
      </c>
      <c r="G58" s="6452" t="e">
        <f t="shared" ref="G58:K58" si="57">+G57/(G55/24)</f>
        <v>#DIV/0!</v>
      </c>
      <c r="H58" s="3220" t="e">
        <f>+H57/(H55/24)</f>
        <v>#DIV/0!</v>
      </c>
      <c r="I58" s="6452" t="e">
        <f t="shared" ref="I58" si="58">+I57/(I55/24)</f>
        <v>#DIV/0!</v>
      </c>
      <c r="J58" s="2794" t="e">
        <f t="shared" si="57"/>
        <v>#DIV/0!</v>
      </c>
      <c r="K58" s="2805" t="e">
        <f t="shared" si="57"/>
        <v>#DIV/0!</v>
      </c>
      <c r="L58" s="3220" t="e">
        <f>+L57/(L55/24)</f>
        <v>#DIV/0!</v>
      </c>
      <c r="M58" s="6452" t="e">
        <f t="shared" ref="M58" si="59">+M57/(M55/24)</f>
        <v>#DIV/0!</v>
      </c>
      <c r="N58" s="2260" t="e">
        <f t="shared" ref="N58:O58" si="60">+N57/(N55/24)</f>
        <v>#DIV/0!</v>
      </c>
      <c r="O58" s="2887" t="e">
        <f t="shared" si="60"/>
        <v>#DIV/0!</v>
      </c>
      <c r="P58" s="3220" t="e">
        <f>+P57/(P55/24)</f>
        <v>#DIV/0!</v>
      </c>
      <c r="Q58" s="6452" t="e">
        <f t="shared" ref="Q58" si="61">+Q57/(Q55/24)</f>
        <v>#DIV/0!</v>
      </c>
      <c r="R58" s="2794" t="e">
        <f t="shared" ref="R58:S58" si="62">+R57/(R55/24)</f>
        <v>#DIV/0!</v>
      </c>
      <c r="S58" s="2805" t="e">
        <f t="shared" si="62"/>
        <v>#DIV/0!</v>
      </c>
      <c r="T58" s="3220" t="e">
        <f>+T57/(T55/24)</f>
        <v>#DIV/0!</v>
      </c>
      <c r="U58" s="6452" t="e">
        <f t="shared" ref="U58" si="63">+U57/(U55/24)</f>
        <v>#DIV/0!</v>
      </c>
      <c r="V58" s="2794" t="e">
        <f t="shared" ref="V58:W58" si="64">+V57/(V55/24)</f>
        <v>#DIV/0!</v>
      </c>
      <c r="W58" s="2805" t="e">
        <f t="shared" si="64"/>
        <v>#DIV/0!</v>
      </c>
      <c r="X58" s="3220" t="e">
        <f>+X57/(X55/24)</f>
        <v>#DIV/0!</v>
      </c>
      <c r="Y58" s="6452" t="e">
        <f t="shared" ref="Y58" si="65">+Y57/(Y55/24)</f>
        <v>#DIV/0!</v>
      </c>
      <c r="Z58" s="2260" t="e">
        <f t="shared" ref="Z58:AC58" si="66">+Z57/(Z55/24)</f>
        <v>#DIV/0!</v>
      </c>
      <c r="AA58" s="2887" t="e">
        <f t="shared" si="66"/>
        <v>#DIV/0!</v>
      </c>
      <c r="AB58" s="6612" t="e">
        <f t="shared" si="66"/>
        <v>#DIV/0!</v>
      </c>
      <c r="AC58" s="6671" t="e">
        <f t="shared" si="66"/>
        <v>#DIV/0!</v>
      </c>
      <c r="AD58" s="3220" t="e">
        <f>+AD57/(AD55/24)</f>
        <v>#DIV/0!</v>
      </c>
      <c r="AE58" s="6452">
        <f t="shared" ref="AE58" si="67">+AE57/(AE55/24)</f>
        <v>16.44221402214022</v>
      </c>
      <c r="AF58" s="2794" t="e">
        <f t="shared" ref="AF58:AG58" si="68">+AF57/(AF55/24)</f>
        <v>#DIV/0!</v>
      </c>
      <c r="AG58" s="2805">
        <f t="shared" si="68"/>
        <v>16.44221402214022</v>
      </c>
      <c r="AH58" s="3220" t="e">
        <f>+AH57/(AH55/24)</f>
        <v>#DIV/0!</v>
      </c>
      <c r="AI58" s="6452">
        <f t="shared" ref="AI58:AK58" si="69">+AI57/(AI55/24)</f>
        <v>15.384615384615385</v>
      </c>
      <c r="AJ58" s="2794" t="e">
        <f t="shared" si="69"/>
        <v>#DIV/0!</v>
      </c>
      <c r="AK58" s="2805">
        <f t="shared" si="69"/>
        <v>15.884587876144787</v>
      </c>
      <c r="AL58" s="3220" t="e">
        <f>+AL57/(AL55/24)</f>
        <v>#DIV/0!</v>
      </c>
      <c r="AM58" s="6452">
        <f t="shared" ref="AM58:AQ58" si="70">+AM57/(AM55/24)</f>
        <v>15.912685632492398</v>
      </c>
      <c r="AN58" s="2260" t="e">
        <f t="shared" si="70"/>
        <v>#DIV/0!</v>
      </c>
      <c r="AO58" s="2887">
        <f t="shared" si="70"/>
        <v>15.890946390973385</v>
      </c>
      <c r="AP58" s="2794" t="e">
        <f t="shared" si="70"/>
        <v>#DIV/0!</v>
      </c>
      <c r="AQ58" s="2805">
        <f t="shared" si="70"/>
        <v>15.890946390973385</v>
      </c>
      <c r="AR58" s="3220">
        <f>+AR57/(AR55/24)</f>
        <v>20</v>
      </c>
      <c r="AS58" s="6452">
        <f t="shared" ref="AS58:AU58" si="71">+AS57/(AS55/24)</f>
        <v>5.4375461330271468</v>
      </c>
      <c r="AT58" s="2794">
        <f t="shared" si="71"/>
        <v>20</v>
      </c>
      <c r="AU58" s="2805">
        <f t="shared" si="71"/>
        <v>10.697398981324278</v>
      </c>
      <c r="AV58" s="3220">
        <f>+AV57/(AV55/24)</f>
        <v>20</v>
      </c>
      <c r="AW58" s="6452">
        <f t="shared" ref="AW58:AY58" si="72">+AW57/(AW55/24)</f>
        <v>16.9264554571003</v>
      </c>
      <c r="AX58" s="2794">
        <f t="shared" si="72"/>
        <v>20</v>
      </c>
      <c r="AY58" s="2805">
        <f t="shared" si="72"/>
        <v>12.607382502931246</v>
      </c>
      <c r="AZ58" s="3220">
        <f>+AZ57/(AZ55/24)</f>
        <v>20</v>
      </c>
      <c r="BA58" s="6452">
        <f t="shared" ref="BA58:BE58" si="73">+BA57/(BA55/24)</f>
        <v>5.7418681318681317</v>
      </c>
      <c r="BB58" s="2260">
        <f t="shared" si="73"/>
        <v>20</v>
      </c>
      <c r="BC58" s="2887">
        <f t="shared" si="73"/>
        <v>9.0868553831576442</v>
      </c>
      <c r="BD58" s="2794">
        <f t="shared" si="73"/>
        <v>20</v>
      </c>
      <c r="BE58" s="2805">
        <f t="shared" si="73"/>
        <v>10.854692162837916</v>
      </c>
    </row>
    <row r="59" spans="2:57" x14ac:dyDescent="0.2">
      <c r="B59" s="1531" t="s">
        <v>802</v>
      </c>
      <c r="C59" s="7430"/>
      <c r="D59" s="7430"/>
      <c r="E59" s="1545" t="s">
        <v>1093</v>
      </c>
      <c r="F59" s="3228"/>
      <c r="G59" s="4419"/>
      <c r="H59" s="3228"/>
      <c r="I59" s="4419"/>
      <c r="J59" s="2992" t="e">
        <f>+((F59*F5)+(H59*H5))/J5</f>
        <v>#DIV/0!</v>
      </c>
      <c r="K59" s="6008" t="e">
        <f>+((G59*G5)+(I59*I5))/K5</f>
        <v>#DIV/0!</v>
      </c>
      <c r="L59" s="3228"/>
      <c r="M59" s="4419"/>
      <c r="N59" s="2260" t="e">
        <f>+((J59*J5)+(L59*L5))/N5</f>
        <v>#DIV/0!</v>
      </c>
      <c r="O59" s="2055" t="e">
        <f>+((K59*K5)+(M59*M5))/O5</f>
        <v>#DIV/0!</v>
      </c>
      <c r="P59" s="3228"/>
      <c r="Q59" s="4419"/>
      <c r="R59" s="2992" t="e">
        <f>+((N59*N5)+(P59*P5))/R5</f>
        <v>#DIV/0!</v>
      </c>
      <c r="S59" s="6008" t="e">
        <f>+((O59*O5)+(Q59*Q5))/S5</f>
        <v>#DIV/0!</v>
      </c>
      <c r="T59" s="3228"/>
      <c r="U59" s="4419"/>
      <c r="V59" s="2992" t="e">
        <f>+((R59*R5)+(T59*T5))/V5</f>
        <v>#DIV/0!</v>
      </c>
      <c r="W59" s="6008" t="e">
        <f>+((S59*S5)+(U59*U5))/W5</f>
        <v>#DIV/0!</v>
      </c>
      <c r="X59" s="3228"/>
      <c r="Y59" s="4419"/>
      <c r="Z59" s="2260">
        <f>+((P59*P5)+(T59*T5)+(X59*X5))/Z5</f>
        <v>0</v>
      </c>
      <c r="AA59" s="2055" t="e">
        <f>+((Q59*Q5)+(U59*U5)+(Y59*Y5))/AA5</f>
        <v>#DIV/0!</v>
      </c>
      <c r="AB59" s="6636" t="e">
        <f>+((V59*V5)+(X59*X5))/AB5</f>
        <v>#DIV/0!</v>
      </c>
      <c r="AC59" s="6637" t="e">
        <f>+((W59*W5)+(Y59*Y5))/AC5</f>
        <v>#DIV/0!</v>
      </c>
      <c r="AD59" s="3228"/>
      <c r="AE59" s="4419">
        <v>0.88</v>
      </c>
      <c r="AF59" s="2992" t="e">
        <f>+((AB59*AB5)+(AD59*AD5))/AF5</f>
        <v>#DIV/0!</v>
      </c>
      <c r="AG59" s="6008" t="e">
        <f>+((AC59*AC5)+(AE59*AE5))/AG5</f>
        <v>#DIV/0!</v>
      </c>
      <c r="AH59" s="3228"/>
      <c r="AI59" s="4419">
        <v>0.98299999999999998</v>
      </c>
      <c r="AJ59" s="2992" t="e">
        <f>+((AF59*AF5)+(AH59*AH5))/AJ5</f>
        <v>#DIV/0!</v>
      </c>
      <c r="AK59" s="6008" t="e">
        <f>+((AG59*AG5)+(AI59*AI5))/AK5</f>
        <v>#DIV/0!</v>
      </c>
      <c r="AL59" s="3228"/>
      <c r="AM59" s="4419">
        <v>0.76800000000000002</v>
      </c>
      <c r="AN59" s="2260">
        <f>+((AD59*AD5)+(AH59*AH5)+(AL59*AL5))/AN5</f>
        <v>0</v>
      </c>
      <c r="AO59" s="2055">
        <f>+((AE59*AE5)+(AI59*AI5)+(AM59*AM5))/AO5</f>
        <v>0.8972404689706982</v>
      </c>
      <c r="AP59" s="2992" t="e">
        <f>+((AJ59*AJ5)+(AL59*AL5))/AP5</f>
        <v>#DIV/0!</v>
      </c>
      <c r="AQ59" s="6008" t="e">
        <f>+((AK59*AK5)+(AM59*AM5))/AQ5</f>
        <v>#DIV/0!</v>
      </c>
      <c r="AR59" s="3228"/>
      <c r="AS59" s="4419">
        <v>1.056</v>
      </c>
      <c r="AT59" s="2992" t="e">
        <f>+((AP59*AP5)+(AR59*AR5))/AT5</f>
        <v>#DIV/0!</v>
      </c>
      <c r="AU59" s="6008" t="e">
        <f>+((AQ59*AQ5)+(AS59*AS5))/AU5</f>
        <v>#DIV/0!</v>
      </c>
      <c r="AV59" s="3228"/>
      <c r="AW59" s="4419">
        <v>1.054</v>
      </c>
      <c r="AX59" s="2992"/>
      <c r="AY59" s="6008">
        <v>0.96099999999999997</v>
      </c>
      <c r="AZ59" s="3228"/>
      <c r="BA59" s="4419">
        <v>1.353</v>
      </c>
      <c r="BB59" s="2260">
        <f>+((AR59*AR5)+(AV59*AV5)+(AZ59*AZ5))/BB5</f>
        <v>0</v>
      </c>
      <c r="BC59" s="2055">
        <f>+((AS59*AS5)+(AW59*AW5)+(BA59*BA5))/BC5</f>
        <v>1.1311852869949408</v>
      </c>
      <c r="BD59" s="2992">
        <f>+((AX59*AX5)+(AZ59*AZ5))/BD5</f>
        <v>0</v>
      </c>
      <c r="BE59" s="6008">
        <f>+((AY59*AY5)+(BA59*BA5))/BE5</f>
        <v>1.0103121990501227</v>
      </c>
    </row>
    <row r="60" spans="2:57" x14ac:dyDescent="0.2">
      <c r="B60" s="1531" t="s">
        <v>803</v>
      </c>
      <c r="C60" s="7430"/>
      <c r="D60" s="7430"/>
      <c r="E60" s="1545" t="s">
        <v>703</v>
      </c>
      <c r="F60" s="4811">
        <f>+'POWER DISTRIBUTION'!I27</f>
        <v>423947.00000001601</v>
      </c>
      <c r="G60" s="5600">
        <f>+'POWER DISTRIBUTION'!J27</f>
        <v>423946.99999999942</v>
      </c>
      <c r="H60" s="4811">
        <f>+'POWER DISTRIBUTION'!K27</f>
        <v>543129.99999998871</v>
      </c>
      <c r="I60" s="5600">
        <f>+'POWER DISTRIBUTION'!L27</f>
        <v>543130.00000000047</v>
      </c>
      <c r="J60" s="1787">
        <f>+F60+H60</f>
        <v>967077.00000000466</v>
      </c>
      <c r="K60" s="1823">
        <f>+G60+I60</f>
        <v>967076.99999999988</v>
      </c>
      <c r="L60" s="4811">
        <f>+'POWER DISTRIBUTION'!O27</f>
        <v>654579.9999999993</v>
      </c>
      <c r="M60" s="5600">
        <f>+'POWER DISTRIBUTION'!P27</f>
        <v>654579.99999999953</v>
      </c>
      <c r="N60" s="2260">
        <f>+J60+L60</f>
        <v>1621657.000000004</v>
      </c>
      <c r="O60" s="2888">
        <f>+K60+M60</f>
        <v>1621656.9999999995</v>
      </c>
      <c r="P60" s="4811">
        <f>+'POWER DISTRIBUTION'!S27</f>
        <v>768025.07836990594</v>
      </c>
      <c r="Q60" s="5600">
        <f>+'POWER DISTRIBUTION'!T27</f>
        <v>626460.00000000116</v>
      </c>
      <c r="R60" s="4809">
        <f>+N60+P60</f>
        <v>2389682.0783699099</v>
      </c>
      <c r="S60" s="1823">
        <f>+O60+Q60</f>
        <v>2248117.0000000009</v>
      </c>
      <c r="T60" s="4811">
        <f>+'POWER DISTRIBUTION'!W27</f>
        <v>877742.94670846406</v>
      </c>
      <c r="U60" s="5600">
        <f>+'POWER DISTRIBUTION'!X27</f>
        <v>622060.00000000058</v>
      </c>
      <c r="V60" s="4809">
        <f>+R60+T60</f>
        <v>3267425.025078374</v>
      </c>
      <c r="W60" s="1823">
        <f>+S60+U60</f>
        <v>2870177.0000000014</v>
      </c>
      <c r="X60" s="4811">
        <f>+'POWER DISTRIBUTION'!AA27</f>
        <v>1097178.6833855798</v>
      </c>
      <c r="Y60" s="5600">
        <f>+'POWER DISTRIBUTION'!AB27</f>
        <v>671860</v>
      </c>
      <c r="Z60" s="2879">
        <f>+P60+T60+X60</f>
        <v>2742946.7084639501</v>
      </c>
      <c r="AA60" s="4775">
        <f>+Q60+U60+Y60</f>
        <v>1920380.0000000019</v>
      </c>
      <c r="AB60" s="6519">
        <f>+V60+X60</f>
        <v>4364603.7084639538</v>
      </c>
      <c r="AC60" s="6531">
        <f>+W60+Y60</f>
        <v>3542037.0000000014</v>
      </c>
      <c r="AD60" s="4811">
        <f>+'POWER DISTRIBUTION'!AG27</f>
        <v>1097178.6833855798</v>
      </c>
      <c r="AE60" s="5600">
        <f>+'POWER DISTRIBUTION'!AH27</f>
        <v>2201249.9999999995</v>
      </c>
      <c r="AF60" s="4809">
        <f>+AB60+AD60</f>
        <v>5461782.3918495337</v>
      </c>
      <c r="AG60" s="1823">
        <f>+AC60+AE60</f>
        <v>5743287.0000000009</v>
      </c>
      <c r="AH60" s="4811">
        <f>+'POWER DISTRIBUTION'!AK27</f>
        <v>4388714.7335423194</v>
      </c>
      <c r="AI60" s="5600">
        <f>+'POWER DISTRIBUTION'!AL27</f>
        <v>2303723.3333333349</v>
      </c>
      <c r="AJ60" s="4809">
        <f>+AF60+AH60</f>
        <v>9850497.1253918521</v>
      </c>
      <c r="AK60" s="1823">
        <f>+AG60+AI60</f>
        <v>8047010.3333333358</v>
      </c>
      <c r="AL60" s="4811">
        <f>+'POWER DISTRIBUTION'!AO27</f>
        <v>3291536.0501567395</v>
      </c>
      <c r="AM60" s="5600">
        <f>+'POWER DISTRIBUTION'!AP27</f>
        <v>1671080.3333333333</v>
      </c>
      <c r="AN60" s="2879">
        <f>+AD60+AH60+AL60</f>
        <v>8777429.4670846388</v>
      </c>
      <c r="AO60" s="4775">
        <f>+AE60+AI60+AM60</f>
        <v>6176053.666666667</v>
      </c>
      <c r="AP60" s="4809">
        <f>+AJ60+AL60</f>
        <v>13142033.175548591</v>
      </c>
      <c r="AQ60" s="1823">
        <f>+AK60+AM60</f>
        <v>9718090.6666666698</v>
      </c>
      <c r="AR60" s="4811">
        <f>+'POWER DISTRIBUTION'!AU27</f>
        <v>3840125.3918495295</v>
      </c>
      <c r="AS60" s="5600">
        <f>+'POWER DISTRIBUTION'!AV27</f>
        <v>2140659.666666667</v>
      </c>
      <c r="AT60" s="4809">
        <f>+AP60+AR60</f>
        <v>16982158.56739812</v>
      </c>
      <c r="AU60" s="1823">
        <f>+AQ60+AS60</f>
        <v>11858750.333333336</v>
      </c>
      <c r="AV60" s="4811">
        <f>+'POWER DISTRIBUTION'!AY27</f>
        <v>3840125.3918495993</v>
      </c>
      <c r="AW60" s="5600">
        <f>+'POWER DISTRIBUTION'!AZ27</f>
        <v>2411230</v>
      </c>
      <c r="AX60" s="4809">
        <f>+AT60+AV60</f>
        <v>20822283.959247719</v>
      </c>
      <c r="AY60" s="1823">
        <f>+AU60+AW60</f>
        <v>14269980.333333336</v>
      </c>
      <c r="AZ60" s="4811">
        <f>+'POWER DISTRIBUTION'!BC27</f>
        <v>4937304.0749040004</v>
      </c>
      <c r="BA60" s="5600">
        <f>+'POWER DISTRIBUTION'!BD27</f>
        <v>2176053.33333334</v>
      </c>
      <c r="BB60" s="2879">
        <f>+AR60+AV60+AZ60</f>
        <v>12617554.858603129</v>
      </c>
      <c r="BC60" s="4775">
        <f>+AS60+AW60+BA60</f>
        <v>6727943.0000000075</v>
      </c>
      <c r="BD60" s="4809">
        <f>+AX60+AZ60</f>
        <v>25759588.034151718</v>
      </c>
      <c r="BE60" s="1823">
        <f>+AY60+BA60</f>
        <v>16446033.666666675</v>
      </c>
    </row>
    <row r="61" spans="2:57" x14ac:dyDescent="0.2">
      <c r="B61" s="1531" t="s">
        <v>804</v>
      </c>
      <c r="C61" s="7430"/>
      <c r="D61" s="7430"/>
      <c r="E61" s="1545" t="s">
        <v>796</v>
      </c>
      <c r="F61" s="3224" t="e">
        <f t="shared" ref="F61:AK61" si="74">+F60/F5</f>
        <v>#DIV/0!</v>
      </c>
      <c r="G61" s="6452" t="e">
        <f t="shared" si="74"/>
        <v>#DIV/0!</v>
      </c>
      <c r="H61" s="3224" t="e">
        <f t="shared" si="74"/>
        <v>#DIV/0!</v>
      </c>
      <c r="I61" s="6452" t="e">
        <f t="shared" si="74"/>
        <v>#DIV/0!</v>
      </c>
      <c r="J61" s="2794" t="e">
        <f t="shared" si="74"/>
        <v>#DIV/0!</v>
      </c>
      <c r="K61" s="2805" t="e">
        <f t="shared" si="74"/>
        <v>#DIV/0!</v>
      </c>
      <c r="L61" s="3224" t="e">
        <f t="shared" si="74"/>
        <v>#DIV/0!</v>
      </c>
      <c r="M61" s="6452" t="e">
        <f t="shared" si="74"/>
        <v>#DIV/0!</v>
      </c>
      <c r="N61" s="2260" t="e">
        <f t="shared" si="74"/>
        <v>#DIV/0!</v>
      </c>
      <c r="O61" s="2887" t="e">
        <f t="shared" si="74"/>
        <v>#DIV/0!</v>
      </c>
      <c r="P61" s="3224">
        <f t="shared" si="74"/>
        <v>105</v>
      </c>
      <c r="Q61" s="6452" t="e">
        <f t="shared" si="74"/>
        <v>#DIV/0!</v>
      </c>
      <c r="R61" s="2794">
        <f t="shared" si="74"/>
        <v>326.703678428572</v>
      </c>
      <c r="S61" s="2805" t="e">
        <f t="shared" si="74"/>
        <v>#DIV/0!</v>
      </c>
      <c r="T61" s="3224">
        <f t="shared" si="74"/>
        <v>105.00000000000001</v>
      </c>
      <c r="U61" s="6452" t="e">
        <f t="shared" si="74"/>
        <v>#DIV/0!</v>
      </c>
      <c r="V61" s="2794">
        <f t="shared" si="74"/>
        <v>208.46171660000027</v>
      </c>
      <c r="W61" s="2805" t="e">
        <f t="shared" si="74"/>
        <v>#DIV/0!</v>
      </c>
      <c r="X61" s="3224">
        <f t="shared" si="74"/>
        <v>105</v>
      </c>
      <c r="Y61" s="6452" t="e">
        <f t="shared" si="74"/>
        <v>#DIV/0!</v>
      </c>
      <c r="Z61" s="2260">
        <f t="shared" si="74"/>
        <v>105.00000000000001</v>
      </c>
      <c r="AA61" s="2887" t="e">
        <f t="shared" si="74"/>
        <v>#DIV/0!</v>
      </c>
      <c r="AB61" s="6612">
        <f t="shared" si="74"/>
        <v>167.07702996000017</v>
      </c>
      <c r="AC61" s="6671" t="e">
        <f t="shared" si="74"/>
        <v>#DIV/0!</v>
      </c>
      <c r="AD61" s="3224">
        <f t="shared" si="74"/>
        <v>105</v>
      </c>
      <c r="AE61" s="6452">
        <f t="shared" si="74"/>
        <v>126.88761117363036</v>
      </c>
      <c r="AF61" s="2794">
        <f t="shared" si="74"/>
        <v>149.34073568571441</v>
      </c>
      <c r="AG61" s="2805">
        <f t="shared" si="74"/>
        <v>331.06279055744068</v>
      </c>
      <c r="AH61" s="3224">
        <f t="shared" si="74"/>
        <v>105</v>
      </c>
      <c r="AI61" s="6452">
        <f t="shared" si="74"/>
        <v>118.04251990094309</v>
      </c>
      <c r="AJ61" s="2794">
        <f t="shared" si="74"/>
        <v>125.69234332000006</v>
      </c>
      <c r="AK61" s="2805">
        <f t="shared" si="74"/>
        <v>218.28867548058116</v>
      </c>
      <c r="AL61" s="3224">
        <f t="shared" ref="AL61:BE61" si="75">+AL60/AL5</f>
        <v>105</v>
      </c>
      <c r="AM61" s="6452">
        <f t="shared" si="75"/>
        <v>157.11580546482779</v>
      </c>
      <c r="AN61" s="2260">
        <f t="shared" si="75"/>
        <v>105</v>
      </c>
      <c r="AO61" s="2887">
        <f t="shared" si="75"/>
        <v>130.02203306493033</v>
      </c>
      <c r="AP61" s="2794">
        <f t="shared" si="75"/>
        <v>119.78024522857146</v>
      </c>
      <c r="AQ61" s="2805">
        <f t="shared" si="75"/>
        <v>204.59114738737287</v>
      </c>
      <c r="AR61" s="3224">
        <f t="shared" si="75"/>
        <v>105</v>
      </c>
      <c r="AS61" s="6452">
        <f t="shared" si="75"/>
        <v>151.44781662708942</v>
      </c>
      <c r="AT61" s="2794">
        <f t="shared" si="75"/>
        <v>116.08518392142859</v>
      </c>
      <c r="AU61" s="2805">
        <f t="shared" si="75"/>
        <v>192.40382879148603</v>
      </c>
      <c r="AV61" s="3224">
        <f t="shared" si="75"/>
        <v>104.99891701117215</v>
      </c>
      <c r="AW61" s="6452">
        <f t="shared" si="75"/>
        <v>120.66064528967915</v>
      </c>
      <c r="AX61" s="2794">
        <f t="shared" si="75"/>
        <v>113.86791224390714</v>
      </c>
      <c r="AY61" s="2805">
        <f t="shared" si="75"/>
        <v>174.83809377484937</v>
      </c>
      <c r="AZ61" s="3224">
        <f t="shared" si="75"/>
        <v>104.99987399310962</v>
      </c>
      <c r="BA61" s="6452">
        <f t="shared" si="75"/>
        <v>185.27912802877034</v>
      </c>
      <c r="BB61" s="2260">
        <f t="shared" si="75"/>
        <v>104.99962108556909</v>
      </c>
      <c r="BC61" s="2887">
        <f t="shared" si="75"/>
        <v>146.69674964081284</v>
      </c>
      <c r="BD61" s="2794">
        <f t="shared" si="75"/>
        <v>112.05399657397554</v>
      </c>
      <c r="BE61" s="2805">
        <f t="shared" si="75"/>
        <v>176.1515385692843</v>
      </c>
    </row>
    <row r="62" spans="2:57" ht="15" customHeight="1" x14ac:dyDescent="0.2">
      <c r="B62" s="1531" t="s">
        <v>805</v>
      </c>
      <c r="C62" s="7430"/>
      <c r="D62" s="7430"/>
      <c r="E62" s="1545" t="s">
        <v>797</v>
      </c>
      <c r="F62" s="3231"/>
      <c r="G62" s="3851"/>
      <c r="H62" s="3231"/>
      <c r="I62" s="3851"/>
      <c r="J62" s="2796" t="e">
        <f>+((F62*F$2)+(H62*H$2))/J$2</f>
        <v>#DIV/0!</v>
      </c>
      <c r="K62" s="2068" t="e">
        <f>+((G62*G$2)+(I62*I$2))/K$2</f>
        <v>#DIV/0!</v>
      </c>
      <c r="L62" s="3231"/>
      <c r="M62" s="3851"/>
      <c r="N62" s="3054" t="e">
        <f>+((J62*J$2)+(L62*L$2))/N$2</f>
        <v>#DIV/0!</v>
      </c>
      <c r="O62" s="6039" t="e">
        <f>+((K62*K$2)+(M62*M$2))/O$2</f>
        <v>#DIV/0!</v>
      </c>
      <c r="P62" s="3231"/>
      <c r="Q62" s="3851"/>
      <c r="R62" s="2796" t="e">
        <f>+((N62*N$2)+(P62*P$2))/R$2</f>
        <v>#DIV/0!</v>
      </c>
      <c r="S62" s="2068" t="e">
        <f>+((O62*O$2)+(Q62*Q$2))/S$2</f>
        <v>#DIV/0!</v>
      </c>
      <c r="T62" s="3231"/>
      <c r="U62" s="3851"/>
      <c r="V62" s="2796" t="e">
        <f>+((R62*R$2)+(T62*T$2))/V$2</f>
        <v>#DIV/0!</v>
      </c>
      <c r="W62" s="2068" t="e">
        <f>+((S62*S$2)+(U62*U$2))/W$2</f>
        <v>#DIV/0!</v>
      </c>
      <c r="X62" s="3231"/>
      <c r="Y62" s="3851"/>
      <c r="Z62" s="3054" t="e">
        <f>+((P62*P$2)+(T62*T$2)+(X62*X$2))/Z$2</f>
        <v>#DIV/0!</v>
      </c>
      <c r="AA62" s="6039" t="e">
        <f>+((Q62*Q$2)+(U62*U$2)+(Y62*Y$2))/AA$2</f>
        <v>#DIV/0!</v>
      </c>
      <c r="AB62" s="6638" t="e">
        <f>+((V62*V$2)+(X62*X$2))/AB$2</f>
        <v>#DIV/0!</v>
      </c>
      <c r="AC62" s="6639" t="e">
        <f>+((W62*W$2)+(Y62*Y$2))/AC$2</f>
        <v>#DIV/0!</v>
      </c>
      <c r="AD62" s="3231"/>
      <c r="AE62" s="3851">
        <f>(747.7/AE$2/24)</f>
        <v>1.00497311827957</v>
      </c>
      <c r="AF62" s="2796" t="e">
        <f>+((AB62*AB$2)+(AD62*AD$2))/AF$2</f>
        <v>#DIV/0!</v>
      </c>
      <c r="AG62" s="2068" t="e">
        <f>+((AC62*AC$2)+(AE62*AE$2))/AG$2</f>
        <v>#DIV/0!</v>
      </c>
      <c r="AH62" s="3231"/>
      <c r="AI62" s="3851">
        <f>(1268.57/AI$2/24)</f>
        <v>1.7619027777777776</v>
      </c>
      <c r="AJ62" s="2796" t="e">
        <f>+((AF62*AF$2)+(AH62*AH$2))/AJ$2</f>
        <v>#DIV/0!</v>
      </c>
      <c r="AK62" s="2068" t="e">
        <f>+((AG62*AG$2)+(AI62*AI$2))/AK$2</f>
        <v>#DIV/0!</v>
      </c>
      <c r="AL62" s="3231"/>
      <c r="AM62" s="3851">
        <f>(495.65/AM$2/24)</f>
        <v>0.66619623655913973</v>
      </c>
      <c r="AN62" s="3054">
        <f>+((AD62*AD$2)+(AH62*AH$2)+(AL62*AL$2))/AN$2</f>
        <v>0</v>
      </c>
      <c r="AO62" s="6039">
        <f>+((AE62*AE$2)+(AI62*AI$2)+(AM62*AM$2))/AO$2</f>
        <v>1.1376449275362319</v>
      </c>
      <c r="AP62" s="2796" t="e">
        <f>+((AJ62*AJ$2)+(AL62*AL$2))/AP$2</f>
        <v>#DIV/0!</v>
      </c>
      <c r="AQ62" s="2068" t="e">
        <f>+((AK62*AK$2)+(AM62*AM$2))/AQ$2</f>
        <v>#DIV/0!</v>
      </c>
      <c r="AR62" s="3231"/>
      <c r="AS62" s="3851">
        <f>(756.42/AS$2/24)</f>
        <v>1.0166935483870967</v>
      </c>
      <c r="AT62" s="2796" t="e">
        <f>+((AP62*AP$2)+(AR62*AR$2))/AT$2</f>
        <v>#DIV/0!</v>
      </c>
      <c r="AU62" s="2068" t="e">
        <f>+((AQ62*AQ$2)+(AS62*AS$2))/AU$2</f>
        <v>#DIV/0!</v>
      </c>
      <c r="AV62" s="3231"/>
      <c r="AW62" s="3851">
        <f>(977.6/AW$2/24)</f>
        <v>1.4547619047619049</v>
      </c>
      <c r="AX62" s="2796" t="e">
        <f>+((AT62*AT$2)+(AV62*AV$2))/AX$2</f>
        <v>#DIV/0!</v>
      </c>
      <c r="AY62" s="2068" t="e">
        <f>+((AU62*AU$2)+(AW62*AW$2))/AY$2</f>
        <v>#DIV/0!</v>
      </c>
      <c r="AZ62" s="3231"/>
      <c r="BA62" s="3851">
        <f>(826.9/BA$2/24)</f>
        <v>1.1114247311827956</v>
      </c>
      <c r="BB62" s="3054">
        <f>+((AR62*AR$2)+(AV62*AV$2)+(AZ62*AZ$2))/BB$2</f>
        <v>0</v>
      </c>
      <c r="BC62" s="6039">
        <f>+((AS62*AS$2)+(AW62*AW$2)+(BA62*BA$2))/BC$2</f>
        <v>1.1856111111111112</v>
      </c>
      <c r="BD62" s="2796" t="e">
        <f t="shared" ref="BD62:BE64" si="76">+((AX62*AX$2)+(AZ62*AZ$2))/BD$2</f>
        <v>#DIV/0!</v>
      </c>
      <c r="BE62" s="2068" t="e">
        <f t="shared" si="76"/>
        <v>#DIV/0!</v>
      </c>
    </row>
    <row r="63" spans="2:57" x14ac:dyDescent="0.2">
      <c r="B63" s="1531" t="s">
        <v>806</v>
      </c>
      <c r="C63" s="7430"/>
      <c r="D63" s="7430"/>
      <c r="E63" s="1545" t="s">
        <v>797</v>
      </c>
      <c r="F63" s="3231"/>
      <c r="G63" s="3851"/>
      <c r="H63" s="3231"/>
      <c r="I63" s="3851"/>
      <c r="J63" s="2794" t="e">
        <f t="shared" ref="J63:K64" si="77">+((F63*F$2)+(H63*H$2))/J$2</f>
        <v>#DIV/0!</v>
      </c>
      <c r="K63" s="1861" t="e">
        <f t="shared" si="77"/>
        <v>#DIV/0!</v>
      </c>
      <c r="L63" s="3231"/>
      <c r="M63" s="3851"/>
      <c r="N63" s="2260" t="e">
        <f t="shared" ref="N63:O64" si="78">+((J63*J$2)+(L63*L$2))/N$2</f>
        <v>#DIV/0!</v>
      </c>
      <c r="O63" s="2055" t="e">
        <f t="shared" si="78"/>
        <v>#DIV/0!</v>
      </c>
      <c r="P63" s="3231"/>
      <c r="Q63" s="3851"/>
      <c r="R63" s="2794" t="e">
        <f t="shared" ref="R63:S64" si="79">+((N63*N$2)+(P63*P$2))/R$2</f>
        <v>#DIV/0!</v>
      </c>
      <c r="S63" s="1861" t="e">
        <f t="shared" si="79"/>
        <v>#DIV/0!</v>
      </c>
      <c r="T63" s="3231"/>
      <c r="U63" s="3851"/>
      <c r="V63" s="2794" t="e">
        <f t="shared" ref="V63:W64" si="80">+((R63*R$2)+(T63*T$2))/V$2</f>
        <v>#DIV/0!</v>
      </c>
      <c r="W63" s="1861" t="e">
        <f t="shared" si="80"/>
        <v>#DIV/0!</v>
      </c>
      <c r="X63" s="3231"/>
      <c r="Y63" s="3851"/>
      <c r="Z63" s="3054" t="e">
        <f t="shared" ref="Z63:AA64" si="81">+((P63*P$2)+(T63*T$2)+(X63*X$2))/Z$2</f>
        <v>#DIV/0!</v>
      </c>
      <c r="AA63" s="6039" t="e">
        <f t="shared" si="81"/>
        <v>#DIV/0!</v>
      </c>
      <c r="AB63" s="6612" t="e">
        <f t="shared" ref="AB63:AC64" si="82">+((V63*V$2)+(X63*X$2))/AB$2</f>
        <v>#DIV/0!</v>
      </c>
      <c r="AC63" s="6635" t="e">
        <f t="shared" si="82"/>
        <v>#DIV/0!</v>
      </c>
      <c r="AD63" s="3231"/>
      <c r="AE63" s="3851">
        <f>+(4313.6/AE$2/24)</f>
        <v>5.7978494623655914</v>
      </c>
      <c r="AF63" s="2794" t="e">
        <f t="shared" ref="AF63:AG64" si="83">+((AB63*AB$2)+(AD63*AD$2))/AF$2</f>
        <v>#DIV/0!</v>
      </c>
      <c r="AG63" s="1861" t="e">
        <f t="shared" si="83"/>
        <v>#DIV/0!</v>
      </c>
      <c r="AH63" s="3231"/>
      <c r="AI63" s="3851">
        <f>+(5478.43/AI$2/24)</f>
        <v>7.6089305555555562</v>
      </c>
      <c r="AJ63" s="2794" t="e">
        <f t="shared" ref="AJ63:AJ64" si="84">+((AF63*AF$2)+(AH63*AH$2))/AJ$2</f>
        <v>#DIV/0!</v>
      </c>
      <c r="AK63" s="1861" t="e">
        <f t="shared" ref="AK63:AK64" si="85">+((AG63*AG$2)+(AI63*AI$2))/AK$2</f>
        <v>#DIV/0!</v>
      </c>
      <c r="AL63" s="3231"/>
      <c r="AM63" s="3851">
        <f>+(2324.7/AM$2/24)</f>
        <v>3.1245967741935483</v>
      </c>
      <c r="AN63" s="3054">
        <f t="shared" ref="AN63:AN64" si="86">+((AD63*AD$2)+(AH63*AH$2)+(AL63*AL$2))/AN$2</f>
        <v>0</v>
      </c>
      <c r="AO63" s="6039">
        <f t="shared" ref="AO63:AO64" si="87">+((AE63*AE$2)+(AI63*AI$2)+(AM63*AM$2))/AO$2</f>
        <v>5.4876494565217397</v>
      </c>
      <c r="AP63" s="2794" t="e">
        <f t="shared" ref="AP63:AP64" si="88">+((AJ63*AJ$2)+(AL63*AL$2))/AP$2</f>
        <v>#DIV/0!</v>
      </c>
      <c r="AQ63" s="1861" t="e">
        <f t="shared" ref="AQ63:AQ64" si="89">+((AK63*AK$2)+(AM63*AM$2))/AQ$2</f>
        <v>#DIV/0!</v>
      </c>
      <c r="AR63" s="3231"/>
      <c r="AS63" s="3851">
        <f>+(4319.86/AS$2/24)</f>
        <v>5.8062634408602145</v>
      </c>
      <c r="AT63" s="2794" t="e">
        <f t="shared" ref="AT63:AT64" si="90">+((AP63*AP$2)+(AR63*AR$2))/AT$2</f>
        <v>#DIV/0!</v>
      </c>
      <c r="AU63" s="1861" t="e">
        <f t="shared" ref="AU63:AU64" si="91">+((AQ63*AQ$2)+(AS63*AS$2))/AU$2</f>
        <v>#DIV/0!</v>
      </c>
      <c r="AV63" s="3231"/>
      <c r="AW63" s="3851">
        <f>+(6176.4/AW$2/24)</f>
        <v>9.1910714285714281</v>
      </c>
      <c r="AX63" s="2794" t="e">
        <f t="shared" ref="AX63:AX64" si="92">+((AT63*AT$2)+(AV63*AV$2))/AX$2</f>
        <v>#DIV/0!</v>
      </c>
      <c r="AY63" s="1861" t="e">
        <f t="shared" ref="AY63:AY64" si="93">+((AU63*AU$2)+(AW63*AW$2))/AY$2</f>
        <v>#DIV/0!</v>
      </c>
      <c r="AZ63" s="3231"/>
      <c r="BA63" s="3851">
        <f>+(4565.3/BA$2/24)</f>
        <v>6.1361559139784951</v>
      </c>
      <c r="BB63" s="3054">
        <f t="shared" ref="BB63:BB64" si="94">+((AR63*AR$2)+(AV63*AV$2)+(AZ63*AZ$2))/BB$2</f>
        <v>0</v>
      </c>
      <c r="BC63" s="6039">
        <f t="shared" ref="BC63:BC64" si="95">+((AS63*AS$2)+(AW63*AW$2)+(BA63*BA$2))/BC$2</f>
        <v>6.9729444444444448</v>
      </c>
      <c r="BD63" s="2794" t="e">
        <f t="shared" si="76"/>
        <v>#DIV/0!</v>
      </c>
      <c r="BE63" s="1861" t="e">
        <f t="shared" si="76"/>
        <v>#DIV/0!</v>
      </c>
    </row>
    <row r="64" spans="2:57" x14ac:dyDescent="0.2">
      <c r="B64" s="1531" t="s">
        <v>807</v>
      </c>
      <c r="C64" s="7430"/>
      <c r="D64" s="7430"/>
      <c r="E64" s="1545" t="s">
        <v>797</v>
      </c>
      <c r="F64" s="3231"/>
      <c r="G64" s="3851"/>
      <c r="H64" s="3231"/>
      <c r="I64" s="3851"/>
      <c r="J64" s="2794" t="e">
        <f t="shared" si="77"/>
        <v>#DIV/0!</v>
      </c>
      <c r="K64" s="1861" t="e">
        <f t="shared" si="77"/>
        <v>#DIV/0!</v>
      </c>
      <c r="L64" s="3231"/>
      <c r="M64" s="3851"/>
      <c r="N64" s="2260" t="e">
        <f t="shared" si="78"/>
        <v>#DIV/0!</v>
      </c>
      <c r="O64" s="2055" t="e">
        <f t="shared" si="78"/>
        <v>#DIV/0!</v>
      </c>
      <c r="P64" s="3231"/>
      <c r="Q64" s="3851"/>
      <c r="R64" s="2794" t="e">
        <f t="shared" si="79"/>
        <v>#DIV/0!</v>
      </c>
      <c r="S64" s="1861" t="e">
        <f t="shared" si="79"/>
        <v>#DIV/0!</v>
      </c>
      <c r="T64" s="3231"/>
      <c r="U64" s="3851"/>
      <c r="V64" s="2794" t="e">
        <f t="shared" si="80"/>
        <v>#DIV/0!</v>
      </c>
      <c r="W64" s="1861" t="e">
        <f t="shared" si="80"/>
        <v>#DIV/0!</v>
      </c>
      <c r="X64" s="3231"/>
      <c r="Y64" s="3851"/>
      <c r="Z64" s="3054" t="e">
        <f t="shared" si="81"/>
        <v>#DIV/0!</v>
      </c>
      <c r="AA64" s="6039" t="e">
        <f t="shared" si="81"/>
        <v>#DIV/0!</v>
      </c>
      <c r="AB64" s="6612" t="e">
        <f t="shared" si="82"/>
        <v>#DIV/0!</v>
      </c>
      <c r="AC64" s="6635" t="e">
        <f t="shared" si="82"/>
        <v>#DIV/0!</v>
      </c>
      <c r="AD64" s="3231"/>
      <c r="AE64" s="3851">
        <f>+(1019.709/AE$2/24)</f>
        <v>1.3705766129032257</v>
      </c>
      <c r="AF64" s="2794" t="e">
        <f t="shared" si="83"/>
        <v>#DIV/0!</v>
      </c>
      <c r="AG64" s="1861" t="e">
        <f t="shared" si="83"/>
        <v>#DIV/0!</v>
      </c>
      <c r="AH64" s="3231"/>
      <c r="AI64" s="3851">
        <f>+(1095.677/AI$2/24)</f>
        <v>1.5217736111111109</v>
      </c>
      <c r="AJ64" s="2794" t="e">
        <f t="shared" si="84"/>
        <v>#DIV/0!</v>
      </c>
      <c r="AK64" s="1861" t="e">
        <f t="shared" si="85"/>
        <v>#DIV/0!</v>
      </c>
      <c r="AL64" s="3231"/>
      <c r="AM64" s="3851">
        <f>+(491.616/AM$2/24)</f>
        <v>0.66077419354838707</v>
      </c>
      <c r="AN64" s="3054">
        <f t="shared" si="86"/>
        <v>0</v>
      </c>
      <c r="AO64" s="6039">
        <f t="shared" si="87"/>
        <v>1.1807074275362317</v>
      </c>
      <c r="AP64" s="2794" t="e">
        <f t="shared" si="88"/>
        <v>#DIV/0!</v>
      </c>
      <c r="AQ64" s="1861" t="e">
        <f t="shared" si="89"/>
        <v>#DIV/0!</v>
      </c>
      <c r="AR64" s="3231"/>
      <c r="AS64" s="3851">
        <f>+(970.967/AS$2/24)</f>
        <v>1.3050631720430108</v>
      </c>
      <c r="AT64" s="2794" t="e">
        <f t="shared" si="90"/>
        <v>#DIV/0!</v>
      </c>
      <c r="AU64" s="1861" t="e">
        <f t="shared" si="91"/>
        <v>#DIV/0!</v>
      </c>
      <c r="AV64" s="3231"/>
      <c r="AW64" s="3851">
        <f>+(1399.689/AW$2/24)</f>
        <v>2.0828705357142856</v>
      </c>
      <c r="AX64" s="2794" t="e">
        <f t="shared" si="92"/>
        <v>#DIV/0!</v>
      </c>
      <c r="AY64" s="1861" t="e">
        <f t="shared" si="93"/>
        <v>#DIV/0!</v>
      </c>
      <c r="AZ64" s="3231"/>
      <c r="BA64" s="3851">
        <f>+(1012.537/BA$2/24)</f>
        <v>1.3609368279569891</v>
      </c>
      <c r="BB64" s="3054">
        <f t="shared" si="94"/>
        <v>0</v>
      </c>
      <c r="BC64" s="6039">
        <f t="shared" si="95"/>
        <v>1.5662930555555556</v>
      </c>
      <c r="BD64" s="2794" t="e">
        <f t="shared" si="76"/>
        <v>#DIV/0!</v>
      </c>
      <c r="BE64" s="1861" t="e">
        <f t="shared" si="76"/>
        <v>#DIV/0!</v>
      </c>
    </row>
    <row r="65" spans="2:57" ht="16" thickBot="1" x14ac:dyDescent="0.25">
      <c r="B65" s="1569" t="s">
        <v>808</v>
      </c>
      <c r="C65" s="7430"/>
      <c r="D65" s="7430"/>
      <c r="E65" s="1577" t="s">
        <v>1220</v>
      </c>
      <c r="F65" s="3225" t="e">
        <f t="shared" ref="F65:S65" si="96">+F46/F57</f>
        <v>#DIV/0!</v>
      </c>
      <c r="G65" s="5599" t="e">
        <f t="shared" si="96"/>
        <v>#DIV/0!</v>
      </c>
      <c r="H65" s="3225" t="e">
        <f t="shared" ref="H65:I65" si="97">+H46/H57</f>
        <v>#DIV/0!</v>
      </c>
      <c r="I65" s="5599" t="e">
        <f t="shared" si="97"/>
        <v>#DIV/0!</v>
      </c>
      <c r="J65" s="2795" t="e">
        <f t="shared" si="96"/>
        <v>#DIV/0!</v>
      </c>
      <c r="K65" s="3916" t="e">
        <f t="shared" si="96"/>
        <v>#DIV/0!</v>
      </c>
      <c r="L65" s="3225" t="e">
        <f t="shared" ref="L65:M65" si="98">+L46/L57</f>
        <v>#DIV/0!</v>
      </c>
      <c r="M65" s="5599" t="e">
        <f t="shared" si="98"/>
        <v>#DIV/0!</v>
      </c>
      <c r="N65" s="2880" t="e">
        <f t="shared" si="96"/>
        <v>#DIV/0!</v>
      </c>
      <c r="O65" s="3917" t="e">
        <f t="shared" si="96"/>
        <v>#DIV/0!</v>
      </c>
      <c r="P65" s="3225" t="e">
        <f t="shared" ref="P65:Q65" si="99">+P46/P57</f>
        <v>#DIV/0!</v>
      </c>
      <c r="Q65" s="5599" t="e">
        <f t="shared" si="99"/>
        <v>#DIV/0!</v>
      </c>
      <c r="R65" s="2795" t="e">
        <f t="shared" si="96"/>
        <v>#DIV/0!</v>
      </c>
      <c r="S65" s="3916" t="e">
        <f t="shared" si="96"/>
        <v>#DIV/0!</v>
      </c>
      <c r="T65" s="3225" t="e">
        <f t="shared" ref="T65:U65" si="100">+T46/T57</f>
        <v>#DIV/0!</v>
      </c>
      <c r="U65" s="5599" t="e">
        <f t="shared" si="100"/>
        <v>#DIV/0!</v>
      </c>
      <c r="V65" s="2795" t="e">
        <f t="shared" ref="V65:Y65" si="101">+V46/V57</f>
        <v>#DIV/0!</v>
      </c>
      <c r="W65" s="3916" t="e">
        <f t="shared" si="101"/>
        <v>#DIV/0!</v>
      </c>
      <c r="X65" s="3225" t="e">
        <f t="shared" si="101"/>
        <v>#DIV/0!</v>
      </c>
      <c r="Y65" s="5599" t="e">
        <f t="shared" si="101"/>
        <v>#DIV/0!</v>
      </c>
      <c r="Z65" s="2880" t="e">
        <f t="shared" ref="Z65:AE65" si="102">+Z46/Z57</f>
        <v>#DIV/0!</v>
      </c>
      <c r="AA65" s="3917" t="e">
        <f t="shared" si="102"/>
        <v>#DIV/0!</v>
      </c>
      <c r="AB65" s="6640" t="e">
        <f t="shared" si="102"/>
        <v>#DIV/0!</v>
      </c>
      <c r="AC65" s="6672" t="e">
        <f t="shared" si="102"/>
        <v>#DIV/0!</v>
      </c>
      <c r="AD65" s="3225" t="e">
        <f t="shared" si="102"/>
        <v>#DIV/0!</v>
      </c>
      <c r="AE65" s="5599">
        <f t="shared" si="102"/>
        <v>88.668348814921885</v>
      </c>
      <c r="AF65" s="2795" t="e">
        <f t="shared" ref="AF65:AQ65" si="103">+AF46/AF57</f>
        <v>#DIV/0!</v>
      </c>
      <c r="AG65" s="3916">
        <f t="shared" si="103"/>
        <v>88.668348814921885</v>
      </c>
      <c r="AH65" s="3225" t="e">
        <f t="shared" si="103"/>
        <v>#DIV/0!</v>
      </c>
      <c r="AI65" s="5599">
        <f t="shared" si="103"/>
        <v>96.274118708211617</v>
      </c>
      <c r="AJ65" s="2795" t="e">
        <f t="shared" si="103"/>
        <v>#DIV/0!</v>
      </c>
      <c r="AK65" s="3916">
        <f t="shared" si="103"/>
        <v>92.552321079292568</v>
      </c>
      <c r="AL65" s="3225" t="e">
        <f t="shared" si="103"/>
        <v>#DIV/0!</v>
      </c>
      <c r="AM65" s="5599">
        <f t="shared" si="103"/>
        <v>91.545201165767736</v>
      </c>
      <c r="AN65" s="2880" t="e">
        <f t="shared" si="103"/>
        <v>#DIV/0!</v>
      </c>
      <c r="AO65" s="3917">
        <f t="shared" si="103"/>
        <v>92.324098320952359</v>
      </c>
      <c r="AP65" s="2795" t="e">
        <f t="shared" si="103"/>
        <v>#DIV/0!</v>
      </c>
      <c r="AQ65" s="3916">
        <f t="shared" si="103"/>
        <v>92.324098320952359</v>
      </c>
      <c r="AR65" s="3225">
        <f t="shared" ref="AR65:AU65" si="104">+AR46/AR57</f>
        <v>65.543071161048687</v>
      </c>
      <c r="AS65" s="5599">
        <f t="shared" si="104"/>
        <v>81.423336257605428</v>
      </c>
      <c r="AT65" s="2795">
        <f t="shared" si="104"/>
        <v>262.17228464419475</v>
      </c>
      <c r="AU65" s="3916">
        <f t="shared" si="104"/>
        <v>89.571212863941781</v>
      </c>
      <c r="AV65" s="3225">
        <f t="shared" ref="AV65:AY65" si="105">+AV46/AV57</f>
        <v>65.543071161048687</v>
      </c>
      <c r="AW65" s="5599">
        <f t="shared" si="105"/>
        <v>41.51250400076799</v>
      </c>
      <c r="AX65" s="2795">
        <f t="shared" si="105"/>
        <v>163.85767790262173</v>
      </c>
      <c r="AY65" s="3916">
        <f t="shared" si="105"/>
        <v>69.786919451176615</v>
      </c>
      <c r="AZ65" s="3225">
        <f t="shared" ref="AZ65:BE65" si="106">+AZ46/AZ57</f>
        <v>84.269662921348313</v>
      </c>
      <c r="BA65" s="5599">
        <f t="shared" si="106"/>
        <v>63.658113412183511</v>
      </c>
      <c r="BB65" s="2880">
        <f t="shared" si="106"/>
        <v>71.785268414481891</v>
      </c>
      <c r="BC65" s="3917">
        <f t="shared" si="106"/>
        <v>54.616500944793735</v>
      </c>
      <c r="BD65" s="2795">
        <f t="shared" si="106"/>
        <v>137.32833957553058</v>
      </c>
      <c r="BE65" s="3916">
        <f t="shared" si="106"/>
        <v>68.959275219494941</v>
      </c>
    </row>
    <row r="66" spans="2:57" s="3380" customFormat="1" x14ac:dyDescent="0.2">
      <c r="F66" s="4408"/>
      <c r="G66" s="3453"/>
      <c r="H66" s="4408"/>
      <c r="I66" s="3453"/>
      <c r="J66" s="4408"/>
      <c r="K66" s="3453"/>
      <c r="L66" s="4408"/>
      <c r="M66" s="3453"/>
      <c r="N66" s="4408"/>
      <c r="O66" s="3453"/>
      <c r="P66" s="4408"/>
      <c r="Q66" s="3453"/>
      <c r="R66" s="4408"/>
      <c r="S66" s="3453"/>
      <c r="T66" s="4408"/>
      <c r="U66" s="3453"/>
      <c r="V66" s="4408"/>
      <c r="W66" s="3453"/>
      <c r="X66" s="4408"/>
      <c r="Y66" s="3453"/>
      <c r="Z66" s="4408"/>
      <c r="AA66" s="3453"/>
      <c r="AB66" s="4408"/>
      <c r="AC66" s="3453"/>
      <c r="AD66" s="4408"/>
      <c r="AE66" s="3453"/>
      <c r="AF66" s="4408"/>
      <c r="AG66" s="3453"/>
      <c r="AH66" s="4408"/>
      <c r="AI66" s="3453"/>
      <c r="AJ66" s="4408"/>
      <c r="AK66" s="3453"/>
      <c r="AL66" s="4408"/>
      <c r="AM66" s="3453"/>
      <c r="AN66" s="4408"/>
      <c r="AO66" s="3453"/>
      <c r="AP66" s="4408"/>
      <c r="AQ66" s="3453"/>
      <c r="AR66" s="4408"/>
      <c r="AS66" s="3453"/>
      <c r="AT66" s="4408"/>
      <c r="AU66" s="3453"/>
      <c r="BB66" s="4408"/>
      <c r="BC66" s="3453"/>
      <c r="BD66" s="4408"/>
      <c r="BE66" s="3453"/>
    </row>
    <row r="67" spans="2:57" x14ac:dyDescent="0.2">
      <c r="B67" s="3938" t="s">
        <v>2115</v>
      </c>
      <c r="C67" s="7428"/>
      <c r="D67" s="7428"/>
      <c r="E67" s="1545" t="s">
        <v>170</v>
      </c>
      <c r="F67" s="6300"/>
      <c r="G67" s="6084"/>
      <c r="H67" s="6300"/>
      <c r="I67" s="6084"/>
      <c r="J67" s="5868"/>
      <c r="K67" s="1823">
        <f>+G67+I67</f>
        <v>0</v>
      </c>
      <c r="L67" s="6300"/>
      <c r="M67" s="6084"/>
      <c r="N67" s="5870"/>
      <c r="O67" s="2011">
        <f>+K67+M67</f>
        <v>0</v>
      </c>
      <c r="P67" s="5864"/>
      <c r="Q67" s="6084"/>
      <c r="R67" s="5868"/>
      <c r="S67" s="1823">
        <f>+O67+Q67</f>
        <v>0</v>
      </c>
      <c r="T67" s="6300"/>
      <c r="U67" s="6084"/>
      <c r="V67" s="5868"/>
      <c r="W67" s="1823">
        <f>+S67+U67</f>
        <v>0</v>
      </c>
      <c r="X67" s="6300"/>
      <c r="Y67" s="6084"/>
      <c r="Z67" s="5870"/>
      <c r="AA67" s="2250">
        <f t="shared" ref="AA67:AA68" si="107">+Q67+U67+Y67</f>
        <v>0</v>
      </c>
      <c r="AB67" s="6641"/>
      <c r="AC67" s="6531">
        <f>+W67+Y67</f>
        <v>0</v>
      </c>
      <c r="AD67" s="6300"/>
      <c r="AE67" s="6084">
        <v>289.68068300000004</v>
      </c>
      <c r="AF67" s="5868"/>
      <c r="AG67" s="1823">
        <f>+AC67+AE67</f>
        <v>289.68068300000004</v>
      </c>
      <c r="AH67" s="6300"/>
      <c r="AI67" s="6084">
        <v>189.51979500000002</v>
      </c>
      <c r="AJ67" s="5868"/>
      <c r="AK67" s="1823">
        <f>+AG67+AI67</f>
        <v>479.20047800000009</v>
      </c>
      <c r="AL67" s="6300"/>
      <c r="AM67" s="6084">
        <v>91.663326000000012</v>
      </c>
      <c r="AN67" s="5870"/>
      <c r="AO67" s="2250">
        <f t="shared" ref="AO67:AO68" si="108">+AE67+AI67+AM67</f>
        <v>570.86380400000007</v>
      </c>
      <c r="AP67" s="5868"/>
      <c r="AQ67" s="1823">
        <f>+AK67+AM67</f>
        <v>570.86380400000007</v>
      </c>
      <c r="AR67" s="6300"/>
      <c r="AS67" s="6084">
        <v>151.27096399999999</v>
      </c>
      <c r="AT67" s="5868"/>
      <c r="AU67" s="1823">
        <f>+AQ67+AS67</f>
        <v>722.13476800000012</v>
      </c>
      <c r="AV67" s="6300"/>
      <c r="AW67" s="6084">
        <v>230.12</v>
      </c>
      <c r="AX67" s="5868"/>
      <c r="AY67" s="1823">
        <f>+AU67+AW67</f>
        <v>952.25476800000013</v>
      </c>
      <c r="AZ67" s="6300"/>
      <c r="BA67" s="6084">
        <v>254.95069000000001</v>
      </c>
      <c r="BB67" s="5870"/>
      <c r="BC67" s="2250">
        <f t="shared" ref="BC67:BC68" si="109">+AS67+AW67+BA67</f>
        <v>636.34165400000006</v>
      </c>
      <c r="BD67" s="5868"/>
      <c r="BE67" s="1823">
        <f>+AY67+BA67</f>
        <v>1207.2054580000001</v>
      </c>
    </row>
    <row r="68" spans="2:57" x14ac:dyDescent="0.2">
      <c r="B68" s="3938" t="s">
        <v>2113</v>
      </c>
      <c r="C68" s="7428"/>
      <c r="D68" s="7428"/>
      <c r="E68" s="1545" t="s">
        <v>170</v>
      </c>
      <c r="F68" s="6300"/>
      <c r="G68" s="6084"/>
      <c r="H68" s="6300"/>
      <c r="I68" s="6084"/>
      <c r="J68" s="5868"/>
      <c r="K68" s="1823">
        <f t="shared" ref="K68:K72" si="110">+G68+I68</f>
        <v>0</v>
      </c>
      <c r="L68" s="6300"/>
      <c r="M68" s="6084"/>
      <c r="N68" s="5870"/>
      <c r="O68" s="2011">
        <f t="shared" ref="O68:O72" si="111">+K68+M68</f>
        <v>0</v>
      </c>
      <c r="P68" s="5864"/>
      <c r="Q68" s="6084"/>
      <c r="R68" s="5868"/>
      <c r="S68" s="1823">
        <f t="shared" ref="S68:S72" si="112">+O68+Q68</f>
        <v>0</v>
      </c>
      <c r="T68" s="6300"/>
      <c r="U68" s="6084"/>
      <c r="V68" s="5868"/>
      <c r="W68" s="1823">
        <f t="shared" ref="W68" si="113">+S68+U68</f>
        <v>0</v>
      </c>
      <c r="X68" s="6300"/>
      <c r="Y68" s="6084"/>
      <c r="Z68" s="5870"/>
      <c r="AA68" s="2250">
        <f t="shared" si="107"/>
        <v>0</v>
      </c>
      <c r="AB68" s="6641"/>
      <c r="AC68" s="6531">
        <f t="shared" ref="AC68" si="114">+W68+Y68</f>
        <v>0</v>
      </c>
      <c r="AD68" s="6300"/>
      <c r="AE68" s="6084">
        <v>335.96256410159964</v>
      </c>
      <c r="AF68" s="5868"/>
      <c r="AG68" s="1823">
        <f t="shared" ref="AG68" si="115">+AC68+AE68</f>
        <v>335.96256410159964</v>
      </c>
      <c r="AH68" s="6300"/>
      <c r="AI68" s="6084">
        <v>380.67572448399835</v>
      </c>
      <c r="AJ68" s="5868"/>
      <c r="AK68" s="1823">
        <f t="shared" ref="AK68" si="116">+AG68+AI68</f>
        <v>716.63828858559805</v>
      </c>
      <c r="AL68" s="6300"/>
      <c r="AM68" s="6084">
        <v>207.69551048160059</v>
      </c>
      <c r="AN68" s="5870"/>
      <c r="AO68" s="2250">
        <f t="shared" si="108"/>
        <v>924.3337990671987</v>
      </c>
      <c r="AP68" s="5868"/>
      <c r="AQ68" s="1823">
        <f t="shared" ref="AQ68" si="117">+AK68+AM68</f>
        <v>924.3337990671987</v>
      </c>
      <c r="AR68" s="6300"/>
      <c r="AS68" s="6084">
        <v>275.42689764689999</v>
      </c>
      <c r="AT68" s="5868"/>
      <c r="AU68" s="1823">
        <f t="shared" ref="AU68" si="118">+AQ68+AS68</f>
        <v>1199.7606967140987</v>
      </c>
      <c r="AV68" s="6300"/>
      <c r="AW68" s="6084">
        <v>389.07</v>
      </c>
      <c r="AX68" s="5868"/>
      <c r="AY68" s="1823">
        <f t="shared" ref="AY68" si="119">+AU68+AW68</f>
        <v>1588.8306967140986</v>
      </c>
      <c r="AZ68" s="6300"/>
      <c r="BA68" s="6084">
        <v>226.27211500000001</v>
      </c>
      <c r="BB68" s="5870"/>
      <c r="BC68" s="2250">
        <f t="shared" si="109"/>
        <v>890.76901264689991</v>
      </c>
      <c r="BD68" s="5868"/>
      <c r="BE68" s="1823">
        <f t="shared" ref="BE68" si="120">+AY68+BA68</f>
        <v>1815.1028117140986</v>
      </c>
    </row>
    <row r="69" spans="2:57" x14ac:dyDescent="0.2">
      <c r="B69" s="6298" t="s">
        <v>2168</v>
      </c>
      <c r="C69" s="6298"/>
      <c r="D69" s="6298"/>
      <c r="E69" s="6299" t="s">
        <v>170</v>
      </c>
      <c r="F69" s="6300"/>
      <c r="G69" s="6084">
        <f>SUM(G67:G68)</f>
        <v>0</v>
      </c>
      <c r="H69" s="6300"/>
      <c r="I69" s="6084">
        <f>SUM(I67:I68)</f>
        <v>0</v>
      </c>
      <c r="J69" s="5868"/>
      <c r="K69" s="5867">
        <f>SUM(K67:K68)</f>
        <v>0</v>
      </c>
      <c r="L69" s="5864"/>
      <c r="M69" s="6084">
        <f>SUM(M67:M68)</f>
        <v>0</v>
      </c>
      <c r="N69" s="5870"/>
      <c r="O69" s="6305">
        <f>SUM(O67:O68)</f>
        <v>0</v>
      </c>
      <c r="P69" s="5864"/>
      <c r="Q69" s="6084">
        <f>SUM(Q67:Q68)</f>
        <v>0</v>
      </c>
      <c r="R69" s="5868"/>
      <c r="S69" s="5867">
        <f>SUM(S67:S68)</f>
        <v>0</v>
      </c>
      <c r="T69" s="5864"/>
      <c r="U69" s="6084">
        <f>SUM(U67:U68)</f>
        <v>0</v>
      </c>
      <c r="V69" s="5868"/>
      <c r="W69" s="5867">
        <f>SUM(W67:W68)</f>
        <v>0</v>
      </c>
      <c r="X69" s="5864"/>
      <c r="Y69" s="6084">
        <f>SUM(Y67:Y68)</f>
        <v>0</v>
      </c>
      <c r="Z69" s="5870"/>
      <c r="AA69" s="6305">
        <f>SUM(AA67:AA68)</f>
        <v>0</v>
      </c>
      <c r="AB69" s="6641"/>
      <c r="AC69" s="6642">
        <f>SUM(AC67:AC68)</f>
        <v>0</v>
      </c>
      <c r="AD69" s="5864"/>
      <c r="AE69" s="6084">
        <f>SUM(AE67:AE68)</f>
        <v>625.64324710159963</v>
      </c>
      <c r="AF69" s="5868"/>
      <c r="AG69" s="5867">
        <f>SUM(AG67:AG68)</f>
        <v>625.64324710159963</v>
      </c>
      <c r="AH69" s="5864"/>
      <c r="AI69" s="6084">
        <f>SUM(AI67:AI68)</f>
        <v>570.1955194839984</v>
      </c>
      <c r="AJ69" s="5868"/>
      <c r="AK69" s="5867">
        <f>SUM(AK67:AK68)</f>
        <v>1195.838766585598</v>
      </c>
      <c r="AL69" s="5864"/>
      <c r="AM69" s="6084">
        <f>SUM(AM67:AM68)</f>
        <v>299.35883648160063</v>
      </c>
      <c r="AN69" s="5870"/>
      <c r="AO69" s="6305">
        <f>SUM(AO67:AO68)</f>
        <v>1495.1976030671988</v>
      </c>
      <c r="AP69" s="5868"/>
      <c r="AQ69" s="5867">
        <f>SUM(AQ67:AQ68)</f>
        <v>1495.1976030671988</v>
      </c>
      <c r="AR69" s="5864"/>
      <c r="AS69" s="6084">
        <f>SUM(AS67:AS68)</f>
        <v>426.69786164689998</v>
      </c>
      <c r="AT69" s="5868"/>
      <c r="AU69" s="5867">
        <f>SUM(AU67:AU68)</f>
        <v>1921.8954647140988</v>
      </c>
      <c r="AV69" s="5864"/>
      <c r="AW69" s="6084">
        <f>SUM(AW67:AW68)</f>
        <v>619.19000000000005</v>
      </c>
      <c r="AX69" s="5868"/>
      <c r="AY69" s="5867">
        <f>SUM(AY67:AY68)</f>
        <v>2541.0854647140986</v>
      </c>
      <c r="AZ69" s="5864"/>
      <c r="BA69" s="6084">
        <f>SUM(BA67:BA68)</f>
        <v>481.22280499999999</v>
      </c>
      <c r="BB69" s="5870"/>
      <c r="BC69" s="6305">
        <f>SUM(BC67:BC68)</f>
        <v>1527.1106666469</v>
      </c>
      <c r="BD69" s="5868"/>
      <c r="BE69" s="5867">
        <f>SUM(BE67:BE68)</f>
        <v>3022.308269714099</v>
      </c>
    </row>
    <row r="70" spans="2:57" x14ac:dyDescent="0.2">
      <c r="B70" s="6298" t="s">
        <v>2164</v>
      </c>
      <c r="C70" s="6298"/>
      <c r="D70" s="6298"/>
      <c r="E70" s="6299" t="s">
        <v>169</v>
      </c>
      <c r="F70" s="5864"/>
      <c r="G70" s="6292" t="e">
        <f>+G69/G5</f>
        <v>#DIV/0!</v>
      </c>
      <c r="H70" s="5864"/>
      <c r="I70" s="6292" t="e">
        <f>+I69/I5</f>
        <v>#DIV/0!</v>
      </c>
      <c r="J70" s="5868"/>
      <c r="K70" s="6293" t="e">
        <f>+K69/K5</f>
        <v>#DIV/0!</v>
      </c>
      <c r="L70" s="5864"/>
      <c r="M70" s="6292" t="e">
        <f>+M69/M5</f>
        <v>#DIV/0!</v>
      </c>
      <c r="N70" s="5870"/>
      <c r="O70" s="6294" t="e">
        <f>+O69/O5</f>
        <v>#DIV/0!</v>
      </c>
      <c r="P70" s="5864"/>
      <c r="Q70" s="6292" t="e">
        <f>+Q69/Q5</f>
        <v>#DIV/0!</v>
      </c>
      <c r="R70" s="5868"/>
      <c r="S70" s="6293" t="e">
        <f>+S69/S5</f>
        <v>#DIV/0!</v>
      </c>
      <c r="T70" s="5864"/>
      <c r="U70" s="6292" t="e">
        <f>+U69/U5</f>
        <v>#DIV/0!</v>
      </c>
      <c r="V70" s="5868"/>
      <c r="W70" s="6293" t="e">
        <f>+W69/W5</f>
        <v>#DIV/0!</v>
      </c>
      <c r="X70" s="5864"/>
      <c r="Y70" s="6292" t="e">
        <f>+Y69/Y5</f>
        <v>#DIV/0!</v>
      </c>
      <c r="Z70" s="5870"/>
      <c r="AA70" s="6294" t="e">
        <f>+AA69/AA5</f>
        <v>#DIV/0!</v>
      </c>
      <c r="AB70" s="6641"/>
      <c r="AC70" s="6643" t="e">
        <f>+AC69/AC5</f>
        <v>#DIV/0!</v>
      </c>
      <c r="AD70" s="5864"/>
      <c r="AE70" s="6292">
        <f>+AE69/AE5</f>
        <v>3.6064225813349379E-2</v>
      </c>
      <c r="AF70" s="5868"/>
      <c r="AG70" s="6293">
        <f>+AG69/AG5</f>
        <v>3.6064225813349379E-2</v>
      </c>
      <c r="AH70" s="5864"/>
      <c r="AI70" s="6292">
        <f>+AI69/AI5</f>
        <v>2.9216753150096909E-2</v>
      </c>
      <c r="AJ70" s="5868"/>
      <c r="AK70" s="6293">
        <f>+AK69/AK5</f>
        <v>3.2439135732807184E-2</v>
      </c>
      <c r="AL70" s="5864"/>
      <c r="AM70" s="6292">
        <f>+AM69/AM5</f>
        <v>2.8145866945247809E-2</v>
      </c>
      <c r="AN70" s="5870"/>
      <c r="AO70" s="6294">
        <f>+AO69/AO5</f>
        <v>3.1477808108091442E-2</v>
      </c>
      <c r="AP70" s="5868"/>
      <c r="AQ70" s="6293">
        <f>+AQ69/AQ5</f>
        <v>3.1477808108091442E-2</v>
      </c>
      <c r="AR70" s="5864"/>
      <c r="AS70" s="6292">
        <f>+AS69/AS5</f>
        <v>3.0188105336005085E-2</v>
      </c>
      <c r="AT70" s="5868"/>
      <c r="AU70" s="6293">
        <f>+AU69/AU5</f>
        <v>3.118204157722956E-2</v>
      </c>
      <c r="AV70" s="5864"/>
      <c r="AW70" s="6292">
        <f>+AW69/AW5</f>
        <v>3.0984959940327735E-2</v>
      </c>
      <c r="AX70" s="5868"/>
      <c r="AY70" s="6293">
        <f>+AY69/AY5</f>
        <v>3.1133787741234459E-2</v>
      </c>
      <c r="AZ70" s="5864"/>
      <c r="BA70" s="6292">
        <f>+BA69/BA5</f>
        <v>4.0973509395277712E-2</v>
      </c>
      <c r="BB70" s="5870"/>
      <c r="BC70" s="6294">
        <f>+BC69/BC5</f>
        <v>3.3297275428599032E-2</v>
      </c>
      <c r="BD70" s="5868"/>
      <c r="BE70" s="6293">
        <f>+BE69/BE5</f>
        <v>3.2371589559606867E-2</v>
      </c>
    </row>
    <row r="71" spans="2:57" x14ac:dyDescent="0.2">
      <c r="B71" s="6298" t="s">
        <v>2167</v>
      </c>
      <c r="C71" s="6298"/>
      <c r="D71" s="6298"/>
      <c r="E71" s="6299" t="s">
        <v>170</v>
      </c>
      <c r="F71" s="5864"/>
      <c r="G71" s="5866">
        <f>+G48</f>
        <v>0</v>
      </c>
      <c r="H71" s="5864"/>
      <c r="I71" s="5866">
        <f>+I48</f>
        <v>0</v>
      </c>
      <c r="J71" s="5868"/>
      <c r="K71" s="5867">
        <f>+K48</f>
        <v>0</v>
      </c>
      <c r="L71" s="5864"/>
      <c r="M71" s="5866">
        <f>+M48</f>
        <v>0</v>
      </c>
      <c r="N71" s="5870"/>
      <c r="O71" s="6305">
        <f>+O48</f>
        <v>0</v>
      </c>
      <c r="P71" s="5864"/>
      <c r="Q71" s="5866">
        <f>+Q48</f>
        <v>0</v>
      </c>
      <c r="R71" s="5868"/>
      <c r="S71" s="5867">
        <f>+S48</f>
        <v>0</v>
      </c>
      <c r="T71" s="5864"/>
      <c r="U71" s="5866">
        <f>+U48</f>
        <v>0</v>
      </c>
      <c r="V71" s="5868"/>
      <c r="W71" s="5867">
        <f>+W48</f>
        <v>0</v>
      </c>
      <c r="X71" s="5864"/>
      <c r="Y71" s="5866">
        <f>+Y48</f>
        <v>0</v>
      </c>
      <c r="Z71" s="5870"/>
      <c r="AA71" s="6305">
        <f>+AA48</f>
        <v>0</v>
      </c>
      <c r="AB71" s="6641"/>
      <c r="AC71" s="6642">
        <f>+AC48</f>
        <v>0</v>
      </c>
      <c r="AD71" s="5864"/>
      <c r="AE71" s="5866">
        <f>+AE48</f>
        <v>0</v>
      </c>
      <c r="AF71" s="5868"/>
      <c r="AG71" s="5867">
        <f>+AG48</f>
        <v>0</v>
      </c>
      <c r="AH71" s="5864"/>
      <c r="AI71" s="5866">
        <f>+AI48</f>
        <v>20.013999999999999</v>
      </c>
      <c r="AJ71" s="5868"/>
      <c r="AK71" s="5867">
        <f>+AK48</f>
        <v>20.013999999999999</v>
      </c>
      <c r="AL71" s="5864"/>
      <c r="AM71" s="5866">
        <f>+AM48</f>
        <v>0</v>
      </c>
      <c r="AN71" s="5870"/>
      <c r="AO71" s="6305">
        <f>+AO48</f>
        <v>20.013999999999999</v>
      </c>
      <c r="AP71" s="5868"/>
      <c r="AQ71" s="5867">
        <f>+AQ48</f>
        <v>20.013999999999999</v>
      </c>
      <c r="AR71" s="5864"/>
      <c r="AS71" s="5866">
        <f>+AS48</f>
        <v>32.277999999999999</v>
      </c>
      <c r="AT71" s="5868"/>
      <c r="AU71" s="5867">
        <f>+AU48</f>
        <v>52.292000000000002</v>
      </c>
      <c r="AV71" s="5864"/>
      <c r="AW71" s="5866">
        <f>+AW48</f>
        <v>21.45</v>
      </c>
      <c r="AX71" s="5868"/>
      <c r="AY71" s="5867">
        <f>+AY48</f>
        <v>73.742000000000004</v>
      </c>
      <c r="AZ71" s="5864"/>
      <c r="BA71" s="5866">
        <f>+BA48</f>
        <v>258.99</v>
      </c>
      <c r="BB71" s="5870"/>
      <c r="BC71" s="6305">
        <f>+BC48</f>
        <v>312.71800000000002</v>
      </c>
      <c r="BD71" s="5868"/>
      <c r="BE71" s="5867">
        <f>+BE48</f>
        <v>332.73200000000003</v>
      </c>
    </row>
    <row r="72" spans="2:57" x14ac:dyDescent="0.2">
      <c r="B72" s="3938" t="s">
        <v>2116</v>
      </c>
      <c r="C72" s="7428"/>
      <c r="D72" s="7428"/>
      <c r="E72" s="1545" t="s">
        <v>170</v>
      </c>
      <c r="F72" s="5864"/>
      <c r="G72" s="5866"/>
      <c r="H72" s="5864"/>
      <c r="I72" s="5866"/>
      <c r="J72" s="5868"/>
      <c r="K72" s="1823">
        <f t="shared" si="110"/>
        <v>0</v>
      </c>
      <c r="L72" s="5864"/>
      <c r="M72" s="5866"/>
      <c r="N72" s="5870"/>
      <c r="O72" s="2011">
        <f t="shared" si="111"/>
        <v>0</v>
      </c>
      <c r="P72" s="5864"/>
      <c r="Q72" s="5866"/>
      <c r="R72" s="5868"/>
      <c r="S72" s="1823">
        <f t="shared" si="112"/>
        <v>0</v>
      </c>
      <c r="T72" s="5864"/>
      <c r="U72" s="5866"/>
      <c r="V72" s="5868"/>
      <c r="W72" s="1823">
        <f t="shared" ref="W72" si="121">+S72+U72</f>
        <v>0</v>
      </c>
      <c r="X72" s="5864"/>
      <c r="Y72" s="5866"/>
      <c r="Z72" s="5870"/>
      <c r="AA72" s="2250">
        <f t="shared" ref="AA72" si="122">+Q72+U72+Y72</f>
        <v>0</v>
      </c>
      <c r="AB72" s="6641"/>
      <c r="AC72" s="6531">
        <f t="shared" ref="AC72" si="123">+W72+Y72</f>
        <v>0</v>
      </c>
      <c r="AD72" s="5864"/>
      <c r="AE72" s="5866">
        <v>260.22043991999993</v>
      </c>
      <c r="AF72" s="5868"/>
      <c r="AG72" s="1823">
        <f t="shared" ref="AG72" si="124">+AC72+AE72</f>
        <v>260.22043991999993</v>
      </c>
      <c r="AH72" s="5864"/>
      <c r="AI72" s="5866">
        <v>292.74070080000001</v>
      </c>
      <c r="AJ72" s="5868"/>
      <c r="AK72" s="1823">
        <f t="shared" ref="AK72" si="125">+AG72+AI72</f>
        <v>552.96114072</v>
      </c>
      <c r="AL72" s="5864"/>
      <c r="AM72" s="5866">
        <v>159.53967791999997</v>
      </c>
      <c r="AN72" s="5870"/>
      <c r="AO72" s="2250">
        <f t="shared" ref="AO72" si="126">+AE72+AI72+AM72</f>
        <v>712.50081864000003</v>
      </c>
      <c r="AP72" s="5868"/>
      <c r="AQ72" s="1823">
        <f t="shared" ref="AQ72" si="127">+AK72+AM72</f>
        <v>712.50081864000003</v>
      </c>
      <c r="AR72" s="5864"/>
      <c r="AS72" s="5866">
        <v>212.01953065500001</v>
      </c>
      <c r="AT72" s="5868"/>
      <c r="AU72" s="1823">
        <f t="shared" ref="AU72" si="128">+AQ72+AS72</f>
        <v>924.52034929500007</v>
      </c>
      <c r="AV72" s="5864"/>
      <c r="AW72" s="5866">
        <v>299.75</v>
      </c>
      <c r="AX72" s="5868"/>
      <c r="AY72" s="1823">
        <f t="shared" ref="AY72" si="129">+AU72+AW72</f>
        <v>1224.270349295</v>
      </c>
      <c r="AZ72" s="5864"/>
      <c r="BA72" s="5866">
        <v>176.171964</v>
      </c>
      <c r="BB72" s="5870"/>
      <c r="BC72" s="2250">
        <f t="shared" ref="BC72" si="130">+AS72+AW72+BA72</f>
        <v>687.94149465500004</v>
      </c>
      <c r="BD72" s="5868"/>
      <c r="BE72" s="1823">
        <f t="shared" ref="BE72" si="131">+AY72+BA72</f>
        <v>1400.4423132950001</v>
      </c>
    </row>
    <row r="73" spans="2:57" s="3380" customFormat="1" x14ac:dyDescent="0.2">
      <c r="F73" s="4408"/>
      <c r="G73" s="3453"/>
      <c r="H73" s="4408"/>
      <c r="I73" s="3453"/>
      <c r="J73" s="4408"/>
      <c r="K73" s="3453"/>
      <c r="L73" s="4408"/>
      <c r="M73" s="3453"/>
      <c r="N73" s="4408"/>
      <c r="O73" s="3453"/>
      <c r="P73" s="4408"/>
      <c r="Q73" s="3453"/>
      <c r="R73" s="4408"/>
      <c r="S73" s="3453"/>
      <c r="T73" s="4408"/>
      <c r="U73" s="3453"/>
      <c r="V73" s="4408"/>
      <c r="W73" s="3453"/>
      <c r="X73" s="4408"/>
      <c r="Y73" s="3453"/>
      <c r="Z73" s="4408"/>
      <c r="AA73" s="3453"/>
      <c r="AB73" s="4408"/>
      <c r="AC73" s="3453"/>
      <c r="AD73" s="4408"/>
      <c r="AE73" s="3453"/>
      <c r="AF73" s="4408"/>
      <c r="AG73" s="3453"/>
      <c r="AH73" s="4408"/>
      <c r="AI73" s="3453"/>
      <c r="AJ73" s="4408"/>
      <c r="AK73" s="3453"/>
      <c r="AL73" s="4408"/>
      <c r="AM73" s="3453"/>
      <c r="AN73" s="4408"/>
      <c r="AO73" s="3453"/>
      <c r="AP73" s="4408"/>
      <c r="AQ73" s="3453"/>
      <c r="AR73" s="4408"/>
      <c r="AS73" s="3453"/>
      <c r="AT73" s="4408"/>
      <c r="AU73" s="3453"/>
      <c r="AV73" s="4408"/>
      <c r="AW73" s="3453"/>
      <c r="AX73" s="4408"/>
      <c r="AY73" s="3453"/>
      <c r="AZ73" s="4408"/>
      <c r="BA73" s="3453"/>
      <c r="BB73" s="4408"/>
      <c r="BC73" s="3453"/>
      <c r="BD73" s="4408"/>
      <c r="BE73" s="3453"/>
    </row>
    <row r="74" spans="2:57" s="3380" customFormat="1" ht="19" x14ac:dyDescent="0.25">
      <c r="B74" s="6660" t="s">
        <v>2169</v>
      </c>
      <c r="C74" s="6660"/>
      <c r="D74" s="6660"/>
      <c r="F74" s="4408"/>
      <c r="G74" s="3453"/>
      <c r="H74" s="4408"/>
      <c r="I74" s="3453"/>
      <c r="J74" s="4408"/>
      <c r="K74" s="3453"/>
      <c r="L74" s="4408"/>
      <c r="M74" s="3453"/>
      <c r="N74" s="4408"/>
      <c r="O74" s="3453"/>
      <c r="P74" s="4408"/>
      <c r="Q74" s="3453"/>
      <c r="R74" s="4408"/>
      <c r="S74" s="3453"/>
      <c r="T74" s="4408"/>
      <c r="U74" s="3453"/>
      <c r="V74" s="4408"/>
      <c r="W74" s="3453"/>
      <c r="X74" s="4408"/>
      <c r="Y74" s="3453"/>
      <c r="Z74" s="4408"/>
      <c r="AA74" s="3453"/>
      <c r="AB74" s="4408"/>
      <c r="AC74" s="3453"/>
      <c r="AD74" s="4408"/>
      <c r="AE74" s="3453"/>
      <c r="AF74" s="4408"/>
      <c r="AG74" s="3453"/>
      <c r="AH74" s="4408"/>
      <c r="AI74" s="3453"/>
      <c r="AJ74" s="4408"/>
      <c r="AK74" s="3453"/>
      <c r="AL74" s="4408"/>
      <c r="AM74" s="3453"/>
      <c r="AN74" s="4408"/>
      <c r="AO74" s="3453"/>
      <c r="AP74" s="4408"/>
      <c r="AQ74" s="3453"/>
      <c r="AR74" s="4408"/>
      <c r="AS74" s="3453"/>
      <c r="AT74" s="4408"/>
      <c r="AU74" s="3453"/>
      <c r="AV74" s="4408"/>
      <c r="AW74" s="3453"/>
      <c r="AX74" s="4408"/>
      <c r="AY74" s="3453"/>
      <c r="AZ74" s="4408"/>
      <c r="BA74" s="3453"/>
      <c r="BB74" s="4408"/>
      <c r="BC74" s="3453"/>
      <c r="BD74" s="4408"/>
      <c r="BE74" s="3453"/>
    </row>
    <row r="75" spans="2:57" x14ac:dyDescent="0.2">
      <c r="B75" s="3938" t="s">
        <v>2170</v>
      </c>
      <c r="C75" s="3938"/>
      <c r="D75" s="3938"/>
      <c r="E75" s="1923" t="s">
        <v>170</v>
      </c>
      <c r="F75" s="5865"/>
      <c r="G75" s="5866">
        <f>+G5</f>
        <v>0</v>
      </c>
      <c r="H75" s="5865"/>
      <c r="I75" s="5866">
        <f>+I5</f>
        <v>0</v>
      </c>
      <c r="J75" s="5869"/>
      <c r="K75" s="5867">
        <f>+K5</f>
        <v>0</v>
      </c>
      <c r="L75" s="5865"/>
      <c r="M75" s="5866">
        <f>+M5</f>
        <v>0</v>
      </c>
      <c r="N75" s="5871"/>
      <c r="O75" s="6305">
        <f>+O5</f>
        <v>0</v>
      </c>
      <c r="P75" s="5865"/>
      <c r="Q75" s="5866">
        <f>+Q5</f>
        <v>0</v>
      </c>
      <c r="R75" s="5869"/>
      <c r="S75" s="5867">
        <f>+S5</f>
        <v>0</v>
      </c>
      <c r="T75" s="5865"/>
      <c r="U75" s="5866">
        <f>+U5</f>
        <v>0</v>
      </c>
      <c r="V75" s="5869"/>
      <c r="W75" s="5867">
        <f>+W5</f>
        <v>0</v>
      </c>
      <c r="X75" s="5865"/>
      <c r="Y75" s="5866">
        <f>+Y5</f>
        <v>0</v>
      </c>
      <c r="Z75" s="5871"/>
      <c r="AA75" s="6305">
        <f>+AA5</f>
        <v>0</v>
      </c>
      <c r="AB75" s="6645"/>
      <c r="AC75" s="6642">
        <f>+AC5</f>
        <v>0</v>
      </c>
      <c r="AD75" s="5865"/>
      <c r="AE75" s="5866">
        <f>+AE5</f>
        <v>17348.029327999997</v>
      </c>
      <c r="AF75" s="5869"/>
      <c r="AG75" s="5867">
        <f>+AG5</f>
        <v>17348.029327999997</v>
      </c>
      <c r="AH75" s="5865"/>
      <c r="AI75" s="5866">
        <f>+AI5</f>
        <v>19516.046719999998</v>
      </c>
      <c r="AJ75" s="5869"/>
      <c r="AK75" s="5867">
        <f>+AK5</f>
        <v>36864.076047999995</v>
      </c>
      <c r="AL75" s="5865"/>
      <c r="AM75" s="5866">
        <f>+AM5</f>
        <v>10635.978528</v>
      </c>
      <c r="AN75" s="5871"/>
      <c r="AO75" s="6305">
        <f>+AO5</f>
        <v>47500.054575999995</v>
      </c>
      <c r="AP75" s="5869"/>
      <c r="AQ75" s="5867">
        <f>+AQ5</f>
        <v>47500.054575999995</v>
      </c>
      <c r="AR75" s="5865"/>
      <c r="AS75" s="5866">
        <f>+AS5</f>
        <v>14134.635377000001</v>
      </c>
      <c r="AT75" s="5869"/>
      <c r="AU75" s="5867">
        <f>+AU5</f>
        <v>61634.689952999994</v>
      </c>
      <c r="AV75" s="5865"/>
      <c r="AW75" s="5866">
        <f>+AW5</f>
        <v>19983.566259000003</v>
      </c>
      <c r="AX75" s="5869"/>
      <c r="AY75" s="5867">
        <f>+AY5</f>
        <v>81618.256211999993</v>
      </c>
      <c r="AZ75" s="5865"/>
      <c r="BA75" s="5866">
        <f>+BA5</f>
        <v>11744.73</v>
      </c>
      <c r="BB75" s="5871"/>
      <c r="BC75" s="6305">
        <f>+BC5</f>
        <v>45862.931636000001</v>
      </c>
      <c r="BD75" s="5869"/>
      <c r="BE75" s="5867">
        <f>+BE5</f>
        <v>93362.986211999989</v>
      </c>
    </row>
    <row r="76" spans="2:57" ht="32" x14ac:dyDescent="0.2">
      <c r="B76" s="6306" t="s">
        <v>2175</v>
      </c>
      <c r="C76" s="6306"/>
      <c r="D76" s="6306"/>
      <c r="E76" s="1923" t="s">
        <v>170</v>
      </c>
      <c r="F76" s="5865"/>
      <c r="G76" s="5866">
        <f>+G69</f>
        <v>0</v>
      </c>
      <c r="H76" s="5865"/>
      <c r="I76" s="5866">
        <f>+I69</f>
        <v>0</v>
      </c>
      <c r="J76" s="5869"/>
      <c r="K76" s="5867">
        <f>+K69</f>
        <v>0</v>
      </c>
      <c r="L76" s="5865"/>
      <c r="M76" s="5866">
        <f>+M69</f>
        <v>0</v>
      </c>
      <c r="N76" s="5871"/>
      <c r="O76" s="6305">
        <f>+O69</f>
        <v>0</v>
      </c>
      <c r="P76" s="5865"/>
      <c r="Q76" s="5866">
        <f>+Q69</f>
        <v>0</v>
      </c>
      <c r="R76" s="5869"/>
      <c r="S76" s="5867">
        <f>+S69</f>
        <v>0</v>
      </c>
      <c r="T76" s="5865"/>
      <c r="U76" s="5866">
        <f>+U69</f>
        <v>0</v>
      </c>
      <c r="V76" s="5869"/>
      <c r="W76" s="5867">
        <f>+W69</f>
        <v>0</v>
      </c>
      <c r="X76" s="5865"/>
      <c r="Y76" s="5866">
        <f>+Y69</f>
        <v>0</v>
      </c>
      <c r="Z76" s="5871"/>
      <c r="AA76" s="6305">
        <f>+AA69</f>
        <v>0</v>
      </c>
      <c r="AB76" s="6645"/>
      <c r="AC76" s="6642">
        <f>+AC69</f>
        <v>0</v>
      </c>
      <c r="AD76" s="5865"/>
      <c r="AE76" s="5866">
        <f>+AE69</f>
        <v>625.64324710159963</v>
      </c>
      <c r="AF76" s="5869"/>
      <c r="AG76" s="5867">
        <f>+AG69</f>
        <v>625.64324710159963</v>
      </c>
      <c r="AH76" s="5865"/>
      <c r="AI76" s="5866">
        <f>+AI69</f>
        <v>570.1955194839984</v>
      </c>
      <c r="AJ76" s="5869"/>
      <c r="AK76" s="5867">
        <f>+AK69</f>
        <v>1195.838766585598</v>
      </c>
      <c r="AL76" s="5865"/>
      <c r="AM76" s="5866">
        <f>+AM69</f>
        <v>299.35883648160063</v>
      </c>
      <c r="AN76" s="5871"/>
      <c r="AO76" s="6305">
        <f>+AO69</f>
        <v>1495.1976030671988</v>
      </c>
      <c r="AP76" s="5869"/>
      <c r="AQ76" s="5867">
        <f>+AQ69</f>
        <v>1495.1976030671988</v>
      </c>
      <c r="AR76" s="5865"/>
      <c r="AS76" s="5866">
        <f>+AS69</f>
        <v>426.69786164689998</v>
      </c>
      <c r="AT76" s="5869"/>
      <c r="AU76" s="5867">
        <f>+AU69</f>
        <v>1921.8954647140988</v>
      </c>
      <c r="AV76" s="5865"/>
      <c r="AW76" s="5866">
        <f>+AW69</f>
        <v>619.19000000000005</v>
      </c>
      <c r="AX76" s="5869"/>
      <c r="AY76" s="5867">
        <f>+AY69</f>
        <v>2541.0854647140986</v>
      </c>
      <c r="AZ76" s="5865"/>
      <c r="BA76" s="5866">
        <f>+BA69</f>
        <v>481.22280499999999</v>
      </c>
      <c r="BB76" s="5871"/>
      <c r="BC76" s="6305">
        <f>+BC69</f>
        <v>1527.1106666469</v>
      </c>
      <c r="BD76" s="5869"/>
      <c r="BE76" s="5867">
        <f>+BE69</f>
        <v>3022.308269714099</v>
      </c>
    </row>
    <row r="77" spans="2:57" x14ac:dyDescent="0.2">
      <c r="B77" s="3938" t="s">
        <v>2114</v>
      </c>
      <c r="C77" s="3938"/>
      <c r="D77" s="3938"/>
      <c r="E77" s="1923" t="s">
        <v>170</v>
      </c>
      <c r="F77" s="5865"/>
      <c r="G77" s="5866">
        <f>+G72</f>
        <v>0</v>
      </c>
      <c r="H77" s="5865"/>
      <c r="I77" s="5866">
        <f>+I72</f>
        <v>0</v>
      </c>
      <c r="J77" s="5869"/>
      <c r="K77" s="5867">
        <f>+K72</f>
        <v>0</v>
      </c>
      <c r="L77" s="5865"/>
      <c r="M77" s="5866">
        <f>+M72</f>
        <v>0</v>
      </c>
      <c r="N77" s="5871"/>
      <c r="O77" s="6305">
        <f>+O72</f>
        <v>0</v>
      </c>
      <c r="P77" s="5865"/>
      <c r="Q77" s="5866">
        <f>+Q72</f>
        <v>0</v>
      </c>
      <c r="R77" s="5869"/>
      <c r="S77" s="5867">
        <f>+S72</f>
        <v>0</v>
      </c>
      <c r="T77" s="5865"/>
      <c r="U77" s="5866">
        <f>+U72</f>
        <v>0</v>
      </c>
      <c r="V77" s="5869"/>
      <c r="W77" s="5867">
        <f>+W72</f>
        <v>0</v>
      </c>
      <c r="X77" s="5865"/>
      <c r="Y77" s="5866">
        <f>+Y72</f>
        <v>0</v>
      </c>
      <c r="Z77" s="5871"/>
      <c r="AA77" s="6305">
        <f>+AA72</f>
        <v>0</v>
      </c>
      <c r="AB77" s="6645"/>
      <c r="AC77" s="6642">
        <f>+AC72</f>
        <v>0</v>
      </c>
      <c r="AD77" s="5865"/>
      <c r="AE77" s="5866">
        <f>+AE72</f>
        <v>260.22043991999993</v>
      </c>
      <c r="AF77" s="5869"/>
      <c r="AG77" s="5867">
        <f>+AG72</f>
        <v>260.22043991999993</v>
      </c>
      <c r="AH77" s="5865"/>
      <c r="AI77" s="5866">
        <f>+AI72</f>
        <v>292.74070080000001</v>
      </c>
      <c r="AJ77" s="5869"/>
      <c r="AK77" s="5867">
        <f>+AK72</f>
        <v>552.96114072</v>
      </c>
      <c r="AL77" s="5865"/>
      <c r="AM77" s="5866">
        <f>+AM72</f>
        <v>159.53967791999997</v>
      </c>
      <c r="AN77" s="5871"/>
      <c r="AO77" s="6305">
        <f>+AO72</f>
        <v>712.50081864000003</v>
      </c>
      <c r="AP77" s="5869"/>
      <c r="AQ77" s="5867">
        <f>+AQ72</f>
        <v>712.50081864000003</v>
      </c>
      <c r="AR77" s="5865"/>
      <c r="AS77" s="5866">
        <f>+AS72</f>
        <v>212.01953065500001</v>
      </c>
      <c r="AT77" s="5869"/>
      <c r="AU77" s="5867">
        <f>+AU72</f>
        <v>924.52034929500007</v>
      </c>
      <c r="AV77" s="5865"/>
      <c r="AW77" s="5866">
        <f>+AW72</f>
        <v>299.75</v>
      </c>
      <c r="AX77" s="5869"/>
      <c r="AY77" s="5867">
        <f>+AY72</f>
        <v>1224.270349295</v>
      </c>
      <c r="AZ77" s="5865"/>
      <c r="BA77" s="5866">
        <f>+BA72</f>
        <v>176.171964</v>
      </c>
      <c r="BB77" s="5871"/>
      <c r="BC77" s="6305">
        <f>+BC72</f>
        <v>687.94149465500004</v>
      </c>
      <c r="BD77" s="5869"/>
      <c r="BE77" s="5867">
        <f>+BE72</f>
        <v>1400.4423132950001</v>
      </c>
    </row>
    <row r="78" spans="2:57" x14ac:dyDescent="0.2">
      <c r="B78" s="3938" t="s">
        <v>2173</v>
      </c>
      <c r="C78" s="3938"/>
      <c r="D78" s="3938"/>
      <c r="E78" s="1923" t="s">
        <v>170</v>
      </c>
      <c r="F78" s="5865"/>
      <c r="G78" s="5866">
        <f>+G46</f>
        <v>0</v>
      </c>
      <c r="H78" s="5865"/>
      <c r="I78" s="5866">
        <f>+I46</f>
        <v>0</v>
      </c>
      <c r="J78" s="5869"/>
      <c r="K78" s="5867">
        <f>+K46</f>
        <v>0</v>
      </c>
      <c r="L78" s="5865"/>
      <c r="M78" s="5866">
        <f>+M46</f>
        <v>0</v>
      </c>
      <c r="N78" s="5871"/>
      <c r="O78" s="6305">
        <f>+O46</f>
        <v>0</v>
      </c>
      <c r="P78" s="5865"/>
      <c r="Q78" s="5866">
        <f>+Q46</f>
        <v>0</v>
      </c>
      <c r="R78" s="5869"/>
      <c r="S78" s="5867">
        <f>+S46</f>
        <v>0</v>
      </c>
      <c r="T78" s="5865"/>
      <c r="U78" s="5866">
        <f>+U46</f>
        <v>0</v>
      </c>
      <c r="V78" s="5869"/>
      <c r="W78" s="5867">
        <f>+W46</f>
        <v>0</v>
      </c>
      <c r="X78" s="5865"/>
      <c r="Y78" s="5866">
        <f>+Y46</f>
        <v>0</v>
      </c>
      <c r="Z78" s="5871"/>
      <c r="AA78" s="6305">
        <f>+AA46</f>
        <v>0</v>
      </c>
      <c r="AB78" s="6645"/>
      <c r="AC78" s="6642">
        <f>+AC46</f>
        <v>0</v>
      </c>
      <c r="AD78" s="5865"/>
      <c r="AE78" s="5866">
        <f>+AE46</f>
        <v>16462.165640978397</v>
      </c>
      <c r="AF78" s="5869"/>
      <c r="AG78" s="5867">
        <f>+AG46</f>
        <v>16462.165640978397</v>
      </c>
      <c r="AH78" s="5865"/>
      <c r="AI78" s="5866">
        <f>+AI46</f>
        <v>18653.110499716</v>
      </c>
      <c r="AJ78" s="5869"/>
      <c r="AK78" s="5867">
        <f>+AK46</f>
        <v>35115.27614069439</v>
      </c>
      <c r="AL78" s="5865"/>
      <c r="AM78" s="5866">
        <f>+AM46</f>
        <v>10177.080013598399</v>
      </c>
      <c r="AN78" s="5871"/>
      <c r="AO78" s="6305">
        <f>+AO46</f>
        <v>45292.356154292807</v>
      </c>
      <c r="AP78" s="5869"/>
      <c r="AQ78" s="5867">
        <f>+AQ46</f>
        <v>45292.356154292807</v>
      </c>
      <c r="AR78" s="5865"/>
      <c r="AS78" s="5866">
        <f>+AS46</f>
        <v>13495.917984698101</v>
      </c>
      <c r="AT78" s="5869"/>
      <c r="AU78" s="5867">
        <f>+AU46</f>
        <v>58788.274138990906</v>
      </c>
      <c r="AV78" s="5865"/>
      <c r="AW78" s="5866">
        <f>+AW46</f>
        <v>19064.6174623527</v>
      </c>
      <c r="AX78" s="5869"/>
      <c r="AY78" s="5867">
        <f>+AY46</f>
        <v>77852.891601343596</v>
      </c>
      <c r="AZ78" s="5865"/>
      <c r="BA78" s="5866">
        <f>+BA46</f>
        <v>11087.333613000001</v>
      </c>
      <c r="BB78" s="5871"/>
      <c r="BC78" s="6305">
        <f>+BC46</f>
        <v>43647.869060050805</v>
      </c>
      <c r="BD78" s="5869"/>
      <c r="BE78" s="5867">
        <f>+BE46</f>
        <v>88940.225214343605</v>
      </c>
    </row>
    <row r="79" spans="2:57" x14ac:dyDescent="0.2">
      <c r="B79" s="3938" t="s">
        <v>2171</v>
      </c>
      <c r="C79" s="3938"/>
      <c r="D79" s="3938"/>
      <c r="E79" s="1923" t="s">
        <v>170</v>
      </c>
      <c r="F79" s="5865"/>
      <c r="G79" s="5866">
        <f>+G48</f>
        <v>0</v>
      </c>
      <c r="H79" s="5865"/>
      <c r="I79" s="5866">
        <f>+I48</f>
        <v>0</v>
      </c>
      <c r="J79" s="5869"/>
      <c r="K79" s="5867">
        <f>+K48</f>
        <v>0</v>
      </c>
      <c r="L79" s="5865"/>
      <c r="M79" s="5866">
        <f>+M48</f>
        <v>0</v>
      </c>
      <c r="N79" s="5871"/>
      <c r="O79" s="6305">
        <f>+O48</f>
        <v>0</v>
      </c>
      <c r="P79" s="5865"/>
      <c r="Q79" s="5866">
        <f>+Q48</f>
        <v>0</v>
      </c>
      <c r="R79" s="5869"/>
      <c r="S79" s="5867">
        <f>+S48</f>
        <v>0</v>
      </c>
      <c r="T79" s="5865"/>
      <c r="U79" s="5866">
        <f>+U48</f>
        <v>0</v>
      </c>
      <c r="V79" s="5869"/>
      <c r="W79" s="5867">
        <f>+W48</f>
        <v>0</v>
      </c>
      <c r="X79" s="5865"/>
      <c r="Y79" s="5866">
        <f>+Y48</f>
        <v>0</v>
      </c>
      <c r="Z79" s="5871"/>
      <c r="AA79" s="6305">
        <f>+AA48</f>
        <v>0</v>
      </c>
      <c r="AB79" s="6645"/>
      <c r="AC79" s="6642">
        <f>+AC48</f>
        <v>0</v>
      </c>
      <c r="AD79" s="5865"/>
      <c r="AE79" s="5866">
        <f>+AE48</f>
        <v>0</v>
      </c>
      <c r="AF79" s="5869"/>
      <c r="AG79" s="5867">
        <f>+AG48</f>
        <v>0</v>
      </c>
      <c r="AH79" s="5865"/>
      <c r="AI79" s="5866">
        <f>+AI48</f>
        <v>20.013999999999999</v>
      </c>
      <c r="AJ79" s="5869"/>
      <c r="AK79" s="5867">
        <f>+AK48</f>
        <v>20.013999999999999</v>
      </c>
      <c r="AL79" s="5865"/>
      <c r="AM79" s="5866">
        <f>+AM48</f>
        <v>0</v>
      </c>
      <c r="AN79" s="5871"/>
      <c r="AO79" s="6305">
        <f>+AO48</f>
        <v>20.013999999999999</v>
      </c>
      <c r="AP79" s="5869"/>
      <c r="AQ79" s="5867">
        <f>+AQ48</f>
        <v>20.013999999999999</v>
      </c>
      <c r="AR79" s="5865"/>
      <c r="AS79" s="5866">
        <f>+AS48</f>
        <v>32.277999999999999</v>
      </c>
      <c r="AT79" s="5869"/>
      <c r="AU79" s="5867">
        <f>+AU48</f>
        <v>52.292000000000002</v>
      </c>
      <c r="AV79" s="5865"/>
      <c r="AW79" s="5866">
        <f>+AW48</f>
        <v>21.45</v>
      </c>
      <c r="AX79" s="5869"/>
      <c r="AY79" s="5867">
        <f>+AY48</f>
        <v>73.742000000000004</v>
      </c>
      <c r="AZ79" s="5865"/>
      <c r="BA79" s="5866">
        <f>+BA48</f>
        <v>258.99</v>
      </c>
      <c r="BB79" s="5871"/>
      <c r="BC79" s="6305">
        <f>+BC48</f>
        <v>312.71800000000002</v>
      </c>
      <c r="BD79" s="5869"/>
      <c r="BE79" s="5867">
        <f>+BE48</f>
        <v>332.73200000000003</v>
      </c>
    </row>
    <row r="80" spans="2:57" x14ac:dyDescent="0.2">
      <c r="B80" s="3938" t="s">
        <v>2172</v>
      </c>
      <c r="C80" s="3938"/>
      <c r="D80" s="3938"/>
      <c r="E80" s="1923" t="s">
        <v>170</v>
      </c>
      <c r="F80" s="5865"/>
      <c r="G80" s="5866">
        <f>+G78-G79</f>
        <v>0</v>
      </c>
      <c r="H80" s="5865"/>
      <c r="I80" s="5866">
        <f>+I78-I79</f>
        <v>0</v>
      </c>
      <c r="J80" s="5869"/>
      <c r="K80" s="5867">
        <f>+K78-K79</f>
        <v>0</v>
      </c>
      <c r="L80" s="5865"/>
      <c r="M80" s="5866">
        <f>+M78-M79</f>
        <v>0</v>
      </c>
      <c r="N80" s="5871"/>
      <c r="O80" s="6305">
        <f>+O78-O79</f>
        <v>0</v>
      </c>
      <c r="P80" s="5865"/>
      <c r="Q80" s="5866">
        <f>+Q78-Q79</f>
        <v>0</v>
      </c>
      <c r="R80" s="5869"/>
      <c r="S80" s="5867">
        <f>+S78-S79</f>
        <v>0</v>
      </c>
      <c r="T80" s="5865"/>
      <c r="U80" s="5866">
        <f>+U78-U79</f>
        <v>0</v>
      </c>
      <c r="V80" s="5869"/>
      <c r="W80" s="5867">
        <f>+W78-W79</f>
        <v>0</v>
      </c>
      <c r="X80" s="5865"/>
      <c r="Y80" s="5866">
        <f>+Y78-Y79</f>
        <v>0</v>
      </c>
      <c r="Z80" s="5871"/>
      <c r="AA80" s="6305">
        <f>+AA78-AA79</f>
        <v>0</v>
      </c>
      <c r="AB80" s="6645"/>
      <c r="AC80" s="6642">
        <f>+AC78-AC79</f>
        <v>0</v>
      </c>
      <c r="AD80" s="5865"/>
      <c r="AE80" s="5866">
        <f>+AE78-AE79</f>
        <v>16462.165640978397</v>
      </c>
      <c r="AF80" s="5869"/>
      <c r="AG80" s="5867">
        <f>+AG78-AG79</f>
        <v>16462.165640978397</v>
      </c>
      <c r="AH80" s="5865"/>
      <c r="AI80" s="5866">
        <f>+AI78-AI79</f>
        <v>18633.096499716001</v>
      </c>
      <c r="AJ80" s="5869"/>
      <c r="AK80" s="5867">
        <f>+AK78-AK79</f>
        <v>35095.262140694387</v>
      </c>
      <c r="AL80" s="5865"/>
      <c r="AM80" s="5866">
        <f>+AM78-AM79</f>
        <v>10177.080013598399</v>
      </c>
      <c r="AN80" s="5871"/>
      <c r="AO80" s="6305">
        <f>+AO78-AO79</f>
        <v>45272.342154292804</v>
      </c>
      <c r="AP80" s="5869"/>
      <c r="AQ80" s="5867">
        <f>+AQ78-AQ79</f>
        <v>45272.342154292804</v>
      </c>
      <c r="AR80" s="5865"/>
      <c r="AS80" s="5866">
        <f>+AS78-AS79</f>
        <v>13463.6399846981</v>
      </c>
      <c r="AT80" s="5869"/>
      <c r="AU80" s="5867">
        <f>+AU78-AU79</f>
        <v>58735.982138990905</v>
      </c>
      <c r="AV80" s="5865"/>
      <c r="AW80" s="5866">
        <f>+AW78-AW79</f>
        <v>19043.1674623527</v>
      </c>
      <c r="AX80" s="5869"/>
      <c r="AY80" s="5867">
        <f>+AY78-AY79</f>
        <v>77779.149601343597</v>
      </c>
      <c r="AZ80" s="5865"/>
      <c r="BA80" s="5866">
        <f>+BA78-BA79</f>
        <v>10828.343613000001</v>
      </c>
      <c r="BB80" s="5871"/>
      <c r="BC80" s="6305">
        <f>+BC78-BC79</f>
        <v>43335.151060050805</v>
      </c>
      <c r="BD80" s="5869"/>
      <c r="BE80" s="5867">
        <f>+BE78-BE79</f>
        <v>88607.493214343602</v>
      </c>
    </row>
    <row r="81" spans="2:57" s="3380" customFormat="1" x14ac:dyDescent="0.2">
      <c r="F81" s="4408"/>
      <c r="G81" s="3453"/>
      <c r="H81" s="4408"/>
      <c r="I81" s="3453"/>
      <c r="J81" s="4408"/>
      <c r="K81" s="3453"/>
      <c r="L81" s="4408"/>
      <c r="M81" s="3453"/>
      <c r="N81" s="4408"/>
      <c r="O81" s="3453"/>
      <c r="P81" s="4408"/>
      <c r="Q81" s="3453"/>
      <c r="R81" s="4408"/>
      <c r="S81" s="3453"/>
      <c r="T81" s="4408"/>
      <c r="U81" s="3453"/>
      <c r="V81" s="4408"/>
      <c r="W81" s="3453"/>
      <c r="X81" s="4408"/>
      <c r="Y81" s="3453"/>
      <c r="Z81" s="4408"/>
      <c r="AA81" s="3453"/>
      <c r="AB81" s="4408"/>
      <c r="AC81" s="3453"/>
      <c r="AD81" s="4408"/>
      <c r="AE81" s="3453"/>
      <c r="AF81" s="4408"/>
      <c r="AG81" s="3453"/>
      <c r="AH81" s="4408"/>
      <c r="AI81" s="3453"/>
      <c r="AJ81" s="4408"/>
      <c r="AK81" s="3453"/>
      <c r="AL81" s="4408"/>
      <c r="AM81" s="3453"/>
      <c r="AN81" s="4408"/>
      <c r="AO81" s="3453"/>
      <c r="AP81" s="4408"/>
      <c r="AQ81" s="3453"/>
      <c r="AR81" s="4408"/>
      <c r="AS81" s="3453"/>
      <c r="AT81" s="4408"/>
      <c r="AU81" s="3453"/>
      <c r="AV81" s="4408"/>
      <c r="AW81" s="3453"/>
      <c r="AX81" s="4408"/>
      <c r="AY81" s="3453"/>
      <c r="AZ81" s="4408"/>
      <c r="BA81" s="3453"/>
      <c r="BB81" s="4408"/>
      <c r="BC81" s="3453"/>
      <c r="BD81" s="4408"/>
      <c r="BE81" s="3453"/>
    </row>
    <row r="82" spans="2:57" x14ac:dyDescent="0.2">
      <c r="B82" s="3938" t="s">
        <v>2177</v>
      </c>
      <c r="C82" s="3938"/>
      <c r="D82" s="3938"/>
      <c r="E82" s="1923" t="s">
        <v>170</v>
      </c>
      <c r="F82" s="5865"/>
      <c r="G82" s="5866">
        <f>+G75-G76-G77-G78</f>
        <v>0</v>
      </c>
      <c r="H82" s="5865"/>
      <c r="I82" s="5866">
        <f>+I75-I76-I77-I78</f>
        <v>0</v>
      </c>
      <c r="J82" s="5869"/>
      <c r="K82" s="5867">
        <f>+K75-K76-K77-K78</f>
        <v>0</v>
      </c>
      <c r="L82" s="5865"/>
      <c r="M82" s="5866">
        <f>+M75-M76-M77-M78</f>
        <v>0</v>
      </c>
      <c r="N82" s="5871"/>
      <c r="O82" s="6305">
        <f>+O75-O76-O77-O78</f>
        <v>0</v>
      </c>
      <c r="P82" s="5865"/>
      <c r="Q82" s="5866">
        <f>+Q75-Q76-Q77-Q78</f>
        <v>0</v>
      </c>
      <c r="R82" s="5869"/>
      <c r="S82" s="5867">
        <f>+S75-S76-S77-S78</f>
        <v>0</v>
      </c>
      <c r="T82" s="5865"/>
      <c r="U82" s="5866">
        <f>+U75-U76-U77-U78</f>
        <v>0</v>
      </c>
      <c r="V82" s="5869"/>
      <c r="W82" s="5867">
        <f>+W75-W76-W77-W78</f>
        <v>0</v>
      </c>
      <c r="X82" s="5865"/>
      <c r="Y82" s="5866">
        <f>+Y75-Y76-Y77-Y78</f>
        <v>0</v>
      </c>
      <c r="Z82" s="5871"/>
      <c r="AA82" s="6305">
        <f>+AA75-AA76-AA77-AA78</f>
        <v>0</v>
      </c>
      <c r="AB82" s="6645"/>
      <c r="AC82" s="6642">
        <f>+AC75-AC76-AC77-AC78</f>
        <v>0</v>
      </c>
      <c r="AD82" s="5865"/>
      <c r="AE82" s="5866">
        <f>+AE75-AE76-AE77-AE78</f>
        <v>0</v>
      </c>
      <c r="AF82" s="5869"/>
      <c r="AG82" s="5867">
        <f>+AG75-AG76-AG77-AG78</f>
        <v>0</v>
      </c>
      <c r="AH82" s="5865"/>
      <c r="AI82" s="5866">
        <f>+AI75-AI76-AI77-AI78</f>
        <v>0</v>
      </c>
      <c r="AJ82" s="5869"/>
      <c r="AK82" s="5867">
        <f>+AK75-AK76-AK77-AK78</f>
        <v>0</v>
      </c>
      <c r="AL82" s="5865"/>
      <c r="AM82" s="5866">
        <f>+AM75-AM76-AM77-AM78</f>
        <v>0</v>
      </c>
      <c r="AN82" s="5871"/>
      <c r="AO82" s="6305">
        <f>+AO75-AO76-AO77-AO78</f>
        <v>0</v>
      </c>
      <c r="AP82" s="5869"/>
      <c r="AQ82" s="5867">
        <f>+AQ75-AQ76-AQ77-AQ78</f>
        <v>0</v>
      </c>
      <c r="AR82" s="5865"/>
      <c r="AS82" s="5866">
        <f>+AS75-AS76-AS77-AS78</f>
        <v>0</v>
      </c>
      <c r="AT82" s="5869"/>
      <c r="AU82" s="5867">
        <f>+AU75-AU76-AU77-AU78</f>
        <v>0</v>
      </c>
      <c r="AV82" s="5865"/>
      <c r="AW82" s="5866">
        <f>+AW75-AW76-AW77-AW78</f>
        <v>8.7966473038250115E-3</v>
      </c>
      <c r="AX82" s="5869"/>
      <c r="AY82" s="5867">
        <f>+AY75-AY76-AY77-AY78</f>
        <v>8.7966473074629903E-3</v>
      </c>
      <c r="AZ82" s="5865"/>
      <c r="BA82" s="5866">
        <f>+BA75-BA76-BA77-BA78</f>
        <v>1.6180000002350425E-3</v>
      </c>
      <c r="BB82" s="5871"/>
      <c r="BC82" s="6305">
        <f>+BC75-BC76-BC77-BC78</f>
        <v>1.0414647294965107E-2</v>
      </c>
      <c r="BD82" s="5869"/>
      <c r="BE82" s="5867">
        <f>+BE75-BE76-BE77-BE78</f>
        <v>1.0414647287689149E-2</v>
      </c>
    </row>
    <row r="83" spans="2:57" x14ac:dyDescent="0.2">
      <c r="AD83" s="2100"/>
      <c r="AE83" s="2265"/>
      <c r="AF83" s="2100"/>
      <c r="AG83" s="2265"/>
      <c r="AR83" s="8094"/>
      <c r="AS83" s="8094"/>
      <c r="AT83" s="8094"/>
      <c r="AU83" s="8094"/>
    </row>
    <row r="84" spans="2:57" x14ac:dyDescent="0.2">
      <c r="AR84" s="8094"/>
      <c r="AS84" s="8094"/>
      <c r="AT84" s="8094"/>
      <c r="AU84" s="8094"/>
    </row>
    <row r="85" spans="2:57" x14ac:dyDescent="0.2">
      <c r="AR85" s="8094"/>
      <c r="AS85" s="8094"/>
      <c r="AT85" s="8094"/>
      <c r="AU85" s="8094"/>
    </row>
    <row r="86" spans="2:57" x14ac:dyDescent="0.2">
      <c r="AG86" s="1673">
        <f>+AI78+AI76+AI77</f>
        <v>19516.046719999998</v>
      </c>
      <c r="AR86" s="8094"/>
      <c r="AS86" s="8094"/>
      <c r="AT86" s="8094"/>
      <c r="AU86" s="8094"/>
    </row>
    <row r="87" spans="2:57" x14ac:dyDescent="0.2">
      <c r="AR87" s="8094"/>
      <c r="AS87" s="8094"/>
      <c r="AT87" s="8094"/>
      <c r="AU87" s="8094"/>
    </row>
    <row r="88" spans="2:57" x14ac:dyDescent="0.2">
      <c r="AR88" s="8094"/>
      <c r="AS88" s="8094"/>
      <c r="AT88" s="8094"/>
      <c r="AU88" s="8094"/>
    </row>
    <row r="89" spans="2:57" x14ac:dyDescent="0.2">
      <c r="AR89" s="8094"/>
      <c r="AS89" s="8094"/>
      <c r="AT89" s="8094"/>
      <c r="AU89" s="8094"/>
    </row>
    <row r="90" spans="2:57" x14ac:dyDescent="0.2">
      <c r="AR90" s="8094"/>
      <c r="AS90" s="8094"/>
      <c r="AT90" s="8094"/>
      <c r="AU90" s="8094"/>
    </row>
    <row r="91" spans="2:57" x14ac:dyDescent="0.2">
      <c r="AR91" s="8094"/>
      <c r="AS91" s="8094"/>
      <c r="AT91" s="8094"/>
      <c r="AU91" s="8094"/>
    </row>
    <row r="92" spans="2:57" x14ac:dyDescent="0.2">
      <c r="AR92" s="8094"/>
      <c r="AS92" s="8094"/>
      <c r="AT92" s="8094"/>
      <c r="AU92" s="8094"/>
    </row>
    <row r="93" spans="2:57" x14ac:dyDescent="0.2">
      <c r="AR93" s="8094"/>
      <c r="AS93" s="8094"/>
    </row>
    <row r="94" spans="2:57" x14ac:dyDescent="0.2">
      <c r="AR94" s="8094"/>
      <c r="AS94" s="8094"/>
    </row>
    <row r="95" spans="2:57" x14ac:dyDescent="0.2">
      <c r="AR95" s="8094"/>
      <c r="AS95" s="8094"/>
    </row>
    <row r="96" spans="2:57" x14ac:dyDescent="0.2">
      <c r="AR96" s="8094"/>
      <c r="AS96" s="8094"/>
    </row>
  </sheetData>
  <autoFilter ref="C5:C65" xr:uid="{00000000-0009-0000-0000-000013000000}"/>
  <mergeCells count="30">
    <mergeCell ref="B3:B4"/>
    <mergeCell ref="E3:E4"/>
    <mergeCell ref="F3:G3"/>
    <mergeCell ref="H3:I3"/>
    <mergeCell ref="J3:K3"/>
    <mergeCell ref="AR3:AS3"/>
    <mergeCell ref="AT3:AU3"/>
    <mergeCell ref="AF3:AG3"/>
    <mergeCell ref="N3:O3"/>
    <mergeCell ref="P3:Q3"/>
    <mergeCell ref="R3:S3"/>
    <mergeCell ref="T3:U3"/>
    <mergeCell ref="V3:W3"/>
    <mergeCell ref="X3:Y3"/>
    <mergeCell ref="AD3:AE3"/>
    <mergeCell ref="AL3:AM3"/>
    <mergeCell ref="AN3:AO3"/>
    <mergeCell ref="AP3:AQ3"/>
    <mergeCell ref="AH3:AI3"/>
    <mergeCell ref="AJ3:AK3"/>
    <mergeCell ref="L3:M3"/>
    <mergeCell ref="C3:C4"/>
    <mergeCell ref="D3:D4"/>
    <mergeCell ref="Z3:AA3"/>
    <mergeCell ref="AB3:AC3"/>
    <mergeCell ref="AZ3:BA3"/>
    <mergeCell ref="BB3:BC3"/>
    <mergeCell ref="BD3:BE3"/>
    <mergeCell ref="AV3:AW3"/>
    <mergeCell ref="AX3:AY3"/>
  </mergeCells>
  <pageMargins left="0.7" right="0.7" top="0.25" bottom="0.25" header="0.3" footer="0.3"/>
  <pageSetup scale="6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660033"/>
    <pageSetUpPr fitToPage="1"/>
  </sheetPr>
  <dimension ref="A1:BJ134"/>
  <sheetViews>
    <sheetView zoomScale="82" zoomScaleNormal="82" workbookViewId="0">
      <pane xSplit="3" topLeftCell="AI1" activePane="topRight" state="frozen"/>
      <selection pane="topRight" activeCell="BF35" sqref="BF35"/>
    </sheetView>
  </sheetViews>
  <sheetFormatPr baseColWidth="10" defaultColWidth="8.83203125" defaultRowHeight="15" x14ac:dyDescent="0.2"/>
  <cols>
    <col min="2" max="2" width="56.83203125" bestFit="1" customWidth="1"/>
    <col min="3" max="3" width="19.83203125" bestFit="1" customWidth="1"/>
    <col min="4" max="4" width="14.33203125" style="4408" hidden="1" customWidth="1"/>
    <col min="5" max="5" width="12.1640625" style="2265" bestFit="1" customWidth="1"/>
    <col min="6" max="6" width="13.6640625" style="2100" hidden="1" customWidth="1"/>
    <col min="7" max="7" width="11" style="2265" customWidth="1"/>
    <col min="8" max="8" width="10" style="2100" hidden="1" customWidth="1"/>
    <col min="9" max="9" width="13.6640625" style="2265" customWidth="1"/>
    <col min="10" max="10" width="9.83203125" hidden="1" customWidth="1"/>
    <col min="11" max="11" width="12.5" style="2265" customWidth="1"/>
    <col min="12" max="12" width="9.83203125" hidden="1" customWidth="1"/>
    <col min="13" max="13" width="12.5" style="2265" customWidth="1"/>
    <col min="14" max="14" width="10.5" hidden="1" customWidth="1"/>
    <col min="15" max="15" width="12" style="2265" customWidth="1"/>
    <col min="16" max="16" width="11.33203125" style="2100" hidden="1" customWidth="1"/>
    <col min="17" max="17" width="12" style="2265" customWidth="1"/>
    <col min="18" max="18" width="10.1640625" hidden="1" customWidth="1"/>
    <col min="19" max="19" width="10.1640625" bestFit="1" customWidth="1"/>
    <col min="20" max="20" width="10.1640625" hidden="1" customWidth="1"/>
    <col min="21" max="21" width="11.5" bestFit="1" customWidth="1"/>
    <col min="22" max="22" width="8.33203125" hidden="1" customWidth="1"/>
    <col min="23" max="23" width="10.1640625" bestFit="1" customWidth="1"/>
    <col min="24" max="24" width="10.1640625" style="7006" hidden="1" customWidth="1"/>
    <col min="25" max="25" width="11.5" style="7006" bestFit="1" customWidth="1"/>
    <col min="26" max="26" width="10.1640625" hidden="1" customWidth="1"/>
    <col min="27" max="27" width="11.5" bestFit="1" customWidth="1"/>
    <col min="28" max="28" width="7.33203125" hidden="1" customWidth="1"/>
    <col min="29" max="29" width="9.83203125" bestFit="1" customWidth="1"/>
    <col min="30" max="30" width="9.83203125" hidden="1" customWidth="1"/>
    <col min="31" max="31" width="11.33203125" bestFit="1" customWidth="1"/>
    <col min="32" max="32" width="0" hidden="1" customWidth="1"/>
    <col min="33" max="33" width="9.83203125" bestFit="1" customWidth="1"/>
    <col min="34" max="34" width="9.83203125" hidden="1" customWidth="1"/>
    <col min="35" max="35" width="11.33203125" bestFit="1" customWidth="1"/>
    <col min="36" max="36" width="9.1640625" hidden="1" customWidth="1"/>
    <col min="37" max="37" width="12" bestFit="1" customWidth="1"/>
    <col min="38" max="38" width="9.1640625" hidden="1" customWidth="1"/>
    <col min="39" max="39" width="9.83203125" bestFit="1" customWidth="1"/>
    <col min="40" max="40" width="9.83203125" hidden="1" customWidth="1"/>
    <col min="41" max="41" width="11.33203125" bestFit="1" customWidth="1"/>
    <col min="42" max="42" width="7.33203125" hidden="1" customWidth="1"/>
    <col min="43" max="43" width="9.83203125" customWidth="1"/>
    <col min="44" max="44" width="9.83203125" hidden="1" customWidth="1"/>
    <col min="45" max="45" width="11.33203125" bestFit="1" customWidth="1"/>
    <col min="46" max="46" width="13.83203125" hidden="1" customWidth="1"/>
    <col min="47" max="47" width="13.33203125" customWidth="1"/>
    <col min="48" max="48" width="14.1640625" hidden="1" customWidth="1"/>
    <col min="49" max="49" width="14.1640625" customWidth="1"/>
    <col min="50" max="50" width="13.83203125" style="8260" hidden="1" customWidth="1"/>
    <col min="51" max="51" width="13.33203125" style="8260" customWidth="1"/>
    <col min="52" max="52" width="10.1640625" style="8260" hidden="1" customWidth="1"/>
    <col min="53" max="53" width="11.5" style="8260" customWidth="1"/>
    <col min="54" max="54" width="10.1640625" style="8260" hidden="1" customWidth="1"/>
    <col min="55" max="55" width="11.5" style="8260" customWidth="1"/>
    <col min="56" max="56" width="10.1640625" style="8260" hidden="1" customWidth="1"/>
    <col min="57" max="57" width="11.5" style="8260" customWidth="1"/>
    <col min="58" max="63" width="9.1640625" customWidth="1"/>
  </cols>
  <sheetData>
    <row r="1" spans="1:57" ht="23" x14ac:dyDescent="0.25">
      <c r="B1" s="1641" t="s">
        <v>1480</v>
      </c>
      <c r="C1" s="1537"/>
      <c r="D1" s="4517"/>
      <c r="E1" s="1833"/>
      <c r="F1" s="2883"/>
      <c r="G1" s="1833"/>
      <c r="H1" s="2883"/>
      <c r="I1" s="1833"/>
    </row>
    <row r="2" spans="1:57" ht="16" thickBot="1" x14ac:dyDescent="0.25">
      <c r="B2" s="1537"/>
      <c r="C2" s="1537"/>
      <c r="D2" s="3402">
        <v>30</v>
      </c>
      <c r="E2" s="2318">
        <v>30</v>
      </c>
      <c r="F2" s="2842">
        <v>31</v>
      </c>
      <c r="G2" s="2318">
        <v>31</v>
      </c>
      <c r="H2" s="2842">
        <f>+D2+F2</f>
        <v>61</v>
      </c>
      <c r="I2" s="2318">
        <f>+E2+G2</f>
        <v>61</v>
      </c>
      <c r="J2" s="1721">
        <v>30</v>
      </c>
      <c r="K2" s="2318">
        <v>30</v>
      </c>
      <c r="L2" s="1721">
        <f>+H2+J2</f>
        <v>91</v>
      </c>
      <c r="M2" s="2318">
        <f>+I2+K2</f>
        <v>91</v>
      </c>
      <c r="N2" s="1721">
        <v>31</v>
      </c>
      <c r="O2" s="2318">
        <v>31</v>
      </c>
      <c r="P2" s="2842">
        <f>+L2+N2</f>
        <v>122</v>
      </c>
      <c r="Q2" s="2318">
        <f>+M2+O2</f>
        <v>122</v>
      </c>
      <c r="R2" s="1721">
        <v>31</v>
      </c>
      <c r="S2" s="2318">
        <v>31</v>
      </c>
      <c r="T2" s="2842">
        <f>+P2+R2</f>
        <v>153</v>
      </c>
      <c r="U2" s="2318">
        <f>+Q2+S2</f>
        <v>153</v>
      </c>
      <c r="V2" s="1721">
        <v>30</v>
      </c>
      <c r="W2" s="2318">
        <v>30</v>
      </c>
      <c r="X2" s="1721">
        <f>+N2+R2+V2</f>
        <v>92</v>
      </c>
      <c r="Y2" s="1721">
        <f>+O2+S2+W2</f>
        <v>92</v>
      </c>
      <c r="Z2" s="2842">
        <f>+T2+V2</f>
        <v>183</v>
      </c>
      <c r="AA2" s="2318">
        <f>+U2+W2</f>
        <v>183</v>
      </c>
      <c r="AB2" s="1721">
        <v>31</v>
      </c>
      <c r="AC2" s="2318">
        <v>31</v>
      </c>
      <c r="AD2" s="2842">
        <f>+Z2+AB2</f>
        <v>214</v>
      </c>
      <c r="AE2" s="2318">
        <f>+AA2+AC2</f>
        <v>214</v>
      </c>
      <c r="AF2" s="1721">
        <v>30</v>
      </c>
      <c r="AG2" s="2318">
        <v>30</v>
      </c>
      <c r="AH2" s="2842">
        <f>+AD2+AF2</f>
        <v>244</v>
      </c>
      <c r="AI2" s="2318">
        <f>+AE2+AG2</f>
        <v>244</v>
      </c>
      <c r="AJ2" s="1721">
        <v>31</v>
      </c>
      <c r="AK2" s="2318">
        <v>31</v>
      </c>
      <c r="AL2" s="1721">
        <f>+AB2+AF2+AJ2</f>
        <v>92</v>
      </c>
      <c r="AM2" s="1721">
        <f>+AC2+AG2+AK2</f>
        <v>92</v>
      </c>
      <c r="AN2" s="2842">
        <f>+AH2+AJ2</f>
        <v>275</v>
      </c>
      <c r="AO2" s="2318">
        <f>+AI2+AK2</f>
        <v>275</v>
      </c>
      <c r="AP2" s="1721">
        <v>31</v>
      </c>
      <c r="AQ2" s="2318">
        <v>31</v>
      </c>
      <c r="AR2" s="2842">
        <f>+AN2+AP2</f>
        <v>306</v>
      </c>
      <c r="AS2" s="2318">
        <f>+AO2+AQ2</f>
        <v>306</v>
      </c>
      <c r="AT2">
        <v>28</v>
      </c>
      <c r="AU2">
        <v>28</v>
      </c>
      <c r="AV2">
        <f>+AR2+AT2</f>
        <v>334</v>
      </c>
      <c r="AW2">
        <f>+AS2+AU2</f>
        <v>334</v>
      </c>
      <c r="AX2" s="8260">
        <v>31</v>
      </c>
      <c r="AY2" s="8260">
        <v>31</v>
      </c>
      <c r="AZ2" s="1721">
        <f>+AP2+AT2+AX2</f>
        <v>90</v>
      </c>
      <c r="BA2" s="1721">
        <f>+AQ2+AU2+AY2</f>
        <v>90</v>
      </c>
      <c r="BB2" s="1721">
        <f>+AZ2+Y2</f>
        <v>182</v>
      </c>
      <c r="BC2" s="1721">
        <f>+BA2+AM2</f>
        <v>182</v>
      </c>
      <c r="BD2" s="2842">
        <f>+AV2+AX2</f>
        <v>365</v>
      </c>
      <c r="BE2" s="2318">
        <f>+AW2+AY2</f>
        <v>365</v>
      </c>
    </row>
    <row r="3" spans="1:57" ht="17" thickTop="1" thickBot="1" x14ac:dyDescent="0.25">
      <c r="B3" s="8992" t="s">
        <v>657</v>
      </c>
      <c r="C3" s="8997" t="s">
        <v>658</v>
      </c>
      <c r="D3" s="8579" t="s">
        <v>1859</v>
      </c>
      <c r="E3" s="8609"/>
      <c r="F3" s="8579" t="s">
        <v>1862</v>
      </c>
      <c r="G3" s="8579"/>
      <c r="H3" s="8605" t="s">
        <v>52</v>
      </c>
      <c r="I3" s="8606"/>
      <c r="J3" s="8648" t="s">
        <v>1863</v>
      </c>
      <c r="K3" s="8649"/>
      <c r="L3" s="8650" t="s">
        <v>1568</v>
      </c>
      <c r="M3" s="8556"/>
      <c r="N3" s="8579" t="s">
        <v>1864</v>
      </c>
      <c r="O3" s="8579"/>
      <c r="P3" s="8646" t="s">
        <v>62</v>
      </c>
      <c r="Q3" s="8647"/>
      <c r="R3" s="8579" t="s">
        <v>2160</v>
      </c>
      <c r="S3" s="8579"/>
      <c r="T3" s="8646" t="s">
        <v>64</v>
      </c>
      <c r="U3" s="8647"/>
      <c r="V3" s="8579" t="s">
        <v>2227</v>
      </c>
      <c r="W3" s="8579"/>
      <c r="X3" s="8555" t="s">
        <v>1717</v>
      </c>
      <c r="Y3" s="8556"/>
      <c r="Z3" s="8965" t="s">
        <v>1697</v>
      </c>
      <c r="AA3" s="8702"/>
      <c r="AB3" s="8579" t="s">
        <v>2265</v>
      </c>
      <c r="AC3" s="8579"/>
      <c r="AD3" s="8646" t="s">
        <v>101</v>
      </c>
      <c r="AE3" s="8647"/>
      <c r="AF3" s="8579" t="s">
        <v>2423</v>
      </c>
      <c r="AG3" s="8579"/>
      <c r="AH3" s="8646" t="s">
        <v>105</v>
      </c>
      <c r="AI3" s="8647"/>
      <c r="AJ3" s="8579" t="s">
        <v>2449</v>
      </c>
      <c r="AK3" s="8579"/>
      <c r="AL3" s="8555" t="s">
        <v>1756</v>
      </c>
      <c r="AM3" s="8556"/>
      <c r="AN3" s="8646" t="s">
        <v>108</v>
      </c>
      <c r="AO3" s="8647"/>
      <c r="AP3" s="8579" t="s">
        <v>2533</v>
      </c>
      <c r="AQ3" s="8579"/>
      <c r="AR3" s="8646" t="s">
        <v>110</v>
      </c>
      <c r="AS3" s="8647"/>
      <c r="AT3" s="8579" t="s">
        <v>2577</v>
      </c>
      <c r="AU3" s="8579"/>
      <c r="AV3" s="8646" t="s">
        <v>113</v>
      </c>
      <c r="AW3" s="8647"/>
      <c r="AX3" s="8579" t="s">
        <v>2604</v>
      </c>
      <c r="AY3" s="8579"/>
      <c r="AZ3" s="8555" t="s">
        <v>1757</v>
      </c>
      <c r="BA3" s="8556"/>
      <c r="BB3" s="8555" t="s">
        <v>1842</v>
      </c>
      <c r="BC3" s="8556"/>
      <c r="BD3" s="8965" t="s">
        <v>2605</v>
      </c>
      <c r="BE3" s="8702"/>
    </row>
    <row r="4" spans="1:57" ht="16" thickBot="1" x14ac:dyDescent="0.25">
      <c r="B4" s="8993"/>
      <c r="C4" s="8643"/>
      <c r="D4" s="4658" t="s">
        <v>659</v>
      </c>
      <c r="E4" s="3833" t="s">
        <v>660</v>
      </c>
      <c r="F4" s="4473" t="s">
        <v>659</v>
      </c>
      <c r="G4" s="3909" t="s">
        <v>660</v>
      </c>
      <c r="H4" s="3373" t="s">
        <v>659</v>
      </c>
      <c r="I4" s="4498" t="s">
        <v>660</v>
      </c>
      <c r="J4" s="2255" t="s">
        <v>659</v>
      </c>
      <c r="K4" s="3909" t="s">
        <v>660</v>
      </c>
      <c r="L4" s="2314" t="s">
        <v>659</v>
      </c>
      <c r="M4" s="4768" t="s">
        <v>660</v>
      </c>
      <c r="N4" s="1830" t="s">
        <v>659</v>
      </c>
      <c r="O4" s="3909" t="s">
        <v>660</v>
      </c>
      <c r="P4" s="3373" t="s">
        <v>659</v>
      </c>
      <c r="Q4" s="4498" t="s">
        <v>660</v>
      </c>
      <c r="R4" s="6437" t="s">
        <v>659</v>
      </c>
      <c r="S4" s="3909" t="s">
        <v>660</v>
      </c>
      <c r="T4" s="3373" t="s">
        <v>659</v>
      </c>
      <c r="U4" s="4498" t="s">
        <v>660</v>
      </c>
      <c r="V4" s="7010" t="s">
        <v>659</v>
      </c>
      <c r="W4" s="3856" t="s">
        <v>660</v>
      </c>
      <c r="X4" s="7012" t="s">
        <v>659</v>
      </c>
      <c r="Y4" s="3888" t="s">
        <v>660</v>
      </c>
      <c r="Z4" s="6507" t="s">
        <v>659</v>
      </c>
      <c r="AA4" s="7049" t="s">
        <v>660</v>
      </c>
      <c r="AB4" s="7359" t="s">
        <v>659</v>
      </c>
      <c r="AC4" s="3909" t="s">
        <v>660</v>
      </c>
      <c r="AD4" s="3373" t="s">
        <v>659</v>
      </c>
      <c r="AE4" s="4498" t="s">
        <v>660</v>
      </c>
      <c r="AF4" s="7615" t="s">
        <v>659</v>
      </c>
      <c r="AG4" s="3909" t="s">
        <v>660</v>
      </c>
      <c r="AH4" s="3373" t="s">
        <v>659</v>
      </c>
      <c r="AI4" s="4498" t="s">
        <v>660</v>
      </c>
      <c r="AJ4" s="7770" t="s">
        <v>659</v>
      </c>
      <c r="AK4" s="3856" t="s">
        <v>660</v>
      </c>
      <c r="AL4" s="7766" t="s">
        <v>659</v>
      </c>
      <c r="AM4" s="3888" t="s">
        <v>660</v>
      </c>
      <c r="AN4" s="3373" t="s">
        <v>659</v>
      </c>
      <c r="AO4" s="4498" t="s">
        <v>660</v>
      </c>
      <c r="AP4" s="8100" t="s">
        <v>659</v>
      </c>
      <c r="AQ4" s="3856" t="s">
        <v>660</v>
      </c>
      <c r="AR4" s="3373" t="s">
        <v>659</v>
      </c>
      <c r="AS4" s="4498" t="s">
        <v>660</v>
      </c>
      <c r="AT4" s="8150" t="s">
        <v>659</v>
      </c>
      <c r="AU4" s="3856" t="s">
        <v>660</v>
      </c>
      <c r="AV4" s="3373" t="s">
        <v>659</v>
      </c>
      <c r="AW4" s="4498" t="s">
        <v>660</v>
      </c>
      <c r="AX4" s="8269" t="s">
        <v>659</v>
      </c>
      <c r="AY4" s="3856" t="s">
        <v>660</v>
      </c>
      <c r="AZ4" s="8265" t="s">
        <v>659</v>
      </c>
      <c r="BA4" s="3888" t="s">
        <v>660</v>
      </c>
      <c r="BB4" s="8265" t="s">
        <v>659</v>
      </c>
      <c r="BC4" s="3888" t="s">
        <v>660</v>
      </c>
      <c r="BD4" s="8331" t="s">
        <v>659</v>
      </c>
      <c r="BE4" s="7049" t="s">
        <v>660</v>
      </c>
    </row>
    <row r="5" spans="1:57" ht="23" x14ac:dyDescent="0.25">
      <c r="B5" s="1755" t="s">
        <v>1004</v>
      </c>
      <c r="C5" s="1754"/>
      <c r="D5" s="5267"/>
      <c r="E5" s="3142"/>
      <c r="F5" s="4491"/>
      <c r="G5" s="4492"/>
      <c r="H5" s="4490"/>
      <c r="I5" s="3142"/>
      <c r="J5" s="2064"/>
      <c r="K5" s="3142"/>
      <c r="L5" s="2064"/>
      <c r="M5" s="3142"/>
      <c r="N5" s="2064"/>
      <c r="O5" s="3142"/>
      <c r="P5" s="4491"/>
      <c r="Q5" s="3142"/>
      <c r="R5" s="2064"/>
      <c r="S5" s="3142"/>
      <c r="T5" s="4491"/>
      <c r="U5" s="3142"/>
      <c r="V5" s="2064"/>
      <c r="W5" s="3142"/>
      <c r="X5" s="2064"/>
      <c r="Y5" s="3142"/>
      <c r="Z5" s="4491"/>
      <c r="AA5" s="3142"/>
      <c r="AB5" s="2064"/>
      <c r="AC5" s="3142"/>
      <c r="AD5" s="4491"/>
      <c r="AE5" s="3142"/>
      <c r="AF5" s="2064"/>
      <c r="AG5" s="3142"/>
      <c r="AH5" s="4491"/>
      <c r="AI5" s="3142"/>
      <c r="AJ5" s="2064"/>
      <c r="AK5" s="3142"/>
      <c r="AL5" s="2064"/>
      <c r="AM5" s="3142"/>
      <c r="AN5" s="4491"/>
      <c r="AO5" s="3142"/>
      <c r="AP5" s="2064"/>
      <c r="AQ5" s="3142"/>
      <c r="AR5" s="4491"/>
      <c r="AS5" s="3142"/>
      <c r="AT5" s="2064"/>
      <c r="AU5" s="3142"/>
      <c r="AV5" s="4491"/>
      <c r="AW5" s="3142"/>
      <c r="AX5" s="2064"/>
      <c r="AY5" s="3142"/>
      <c r="AZ5" s="2064"/>
      <c r="BA5" s="3142"/>
      <c r="BB5" s="2064"/>
      <c r="BC5" s="3142"/>
      <c r="BD5" s="4491"/>
      <c r="BE5" s="3142"/>
    </row>
    <row r="6" spans="1:57" ht="16" x14ac:dyDescent="0.2">
      <c r="B6" s="1756" t="s">
        <v>1758</v>
      </c>
      <c r="C6" s="1643"/>
      <c r="D6" s="5268"/>
      <c r="E6" s="1643"/>
      <c r="F6" s="1730"/>
      <c r="G6" s="1643"/>
      <c r="H6" s="1730"/>
      <c r="I6" s="1643"/>
      <c r="J6" s="1643"/>
      <c r="K6" s="1643"/>
      <c r="L6" s="1643"/>
      <c r="M6" s="1643"/>
      <c r="N6" s="1643"/>
      <c r="O6" s="1643"/>
      <c r="P6" s="1730"/>
      <c r="Q6" s="1643"/>
      <c r="R6" s="1643"/>
      <c r="S6" s="1643"/>
      <c r="T6" s="1730"/>
      <c r="U6" s="1643"/>
      <c r="V6" s="1643"/>
      <c r="W6" s="1643"/>
      <c r="X6" s="1643"/>
      <c r="Y6" s="1643"/>
      <c r="Z6" s="1730"/>
      <c r="AA6" s="1643"/>
      <c r="AB6" s="1643"/>
      <c r="AC6" s="1643"/>
      <c r="AD6" s="1730"/>
      <c r="AE6" s="1643"/>
      <c r="AF6" s="1643"/>
      <c r="AG6" s="1643"/>
      <c r="AH6" s="1730"/>
      <c r="AI6" s="1643"/>
      <c r="AJ6" s="1643"/>
      <c r="AK6" s="1643"/>
      <c r="AL6" s="1643"/>
      <c r="AM6" s="1643"/>
      <c r="AN6" s="1730"/>
      <c r="AO6" s="1643"/>
      <c r="AP6" s="1643"/>
      <c r="AQ6" s="1643"/>
      <c r="AR6" s="1730"/>
      <c r="AS6" s="1643"/>
      <c r="AT6" s="1643"/>
      <c r="AU6" s="1643"/>
      <c r="AV6" s="1730"/>
      <c r="AW6" s="1643"/>
      <c r="AX6" s="1643"/>
      <c r="AY6" s="1643"/>
      <c r="AZ6" s="1643"/>
      <c r="BA6" s="1643"/>
      <c r="BB6" s="1643"/>
      <c r="BC6" s="1643"/>
      <c r="BD6" s="1730"/>
      <c r="BE6" s="1643"/>
    </row>
    <row r="7" spans="1:57" x14ac:dyDescent="0.2">
      <c r="B7" s="1757" t="s">
        <v>890</v>
      </c>
      <c r="C7" s="1545" t="s">
        <v>909</v>
      </c>
      <c r="D7" s="4888">
        <v>0</v>
      </c>
      <c r="E7" s="4700">
        <v>0</v>
      </c>
      <c r="F7" s="4888">
        <v>0</v>
      </c>
      <c r="G7" s="1902">
        <v>0</v>
      </c>
      <c r="H7" s="4477">
        <f>+D7+F7</f>
        <v>0</v>
      </c>
      <c r="I7" s="4499">
        <f>+E7+G7</f>
        <v>0</v>
      </c>
      <c r="J7" s="4888">
        <v>0</v>
      </c>
      <c r="K7" s="1683">
        <v>0</v>
      </c>
      <c r="L7" s="2396">
        <f>+H7+J7</f>
        <v>0</v>
      </c>
      <c r="M7" s="3070">
        <f>+I7+K7</f>
        <v>0</v>
      </c>
      <c r="N7" s="6450">
        <v>0</v>
      </c>
      <c r="O7" s="1683">
        <v>0</v>
      </c>
      <c r="P7" s="4891">
        <f>+L7+N7</f>
        <v>0</v>
      </c>
      <c r="Q7" s="4503">
        <f>+M7+O7</f>
        <v>0</v>
      </c>
      <c r="R7" s="6450"/>
      <c r="S7" s="1683">
        <v>0</v>
      </c>
      <c r="T7" s="6438">
        <f>+P7+R7</f>
        <v>0</v>
      </c>
      <c r="U7" s="4503">
        <f>+Q7+S7</f>
        <v>0</v>
      </c>
      <c r="V7" s="7025"/>
      <c r="W7" s="1683">
        <v>0</v>
      </c>
      <c r="X7" s="2396">
        <f>+V7+R7+N7</f>
        <v>0</v>
      </c>
      <c r="Y7" s="2396">
        <f>+W7+S7+O7</f>
        <v>0</v>
      </c>
      <c r="Z7" s="7014">
        <f>+T7+V7</f>
        <v>0</v>
      </c>
      <c r="AA7" s="7050">
        <f>+U7+W7</f>
        <v>0</v>
      </c>
      <c r="AB7" s="7377"/>
      <c r="AC7" s="1683">
        <v>0</v>
      </c>
      <c r="AD7" s="7355">
        <f>+Z7+AB7</f>
        <v>0</v>
      </c>
      <c r="AE7" s="4503">
        <f>+AA7+AC7</f>
        <v>0</v>
      </c>
      <c r="AF7" s="7627"/>
      <c r="AG7" s="1683">
        <v>0</v>
      </c>
      <c r="AH7" s="7613">
        <f>+AD7+AF7</f>
        <v>0</v>
      </c>
      <c r="AI7" s="4503">
        <f>+AE7+AG7</f>
        <v>0</v>
      </c>
      <c r="AJ7" s="7788"/>
      <c r="AK7" s="1683">
        <v>0</v>
      </c>
      <c r="AL7" s="2396">
        <f>+AJ7+AF7+AB7</f>
        <v>0</v>
      </c>
      <c r="AM7" s="2396">
        <f>+AK7+AG7+AC7</f>
        <v>0</v>
      </c>
      <c r="AN7" s="7769">
        <f>+AH7+AJ7</f>
        <v>0</v>
      </c>
      <c r="AO7" s="4503">
        <f>+AI7+AK7</f>
        <v>0</v>
      </c>
      <c r="AP7" s="8114"/>
      <c r="AQ7" s="1683">
        <v>0</v>
      </c>
      <c r="AR7" s="8095">
        <f>+AN7+AP7</f>
        <v>0</v>
      </c>
      <c r="AS7" s="4503">
        <f>+AO7+AQ7</f>
        <v>0</v>
      </c>
      <c r="AT7" s="8177">
        <v>0</v>
      </c>
      <c r="AU7" s="1683">
        <v>0</v>
      </c>
      <c r="AV7" s="8149">
        <f>+AR7+AT7</f>
        <v>0</v>
      </c>
      <c r="AW7" s="4503">
        <f>+AS7+AU7</f>
        <v>0</v>
      </c>
      <c r="AX7" s="8335">
        <v>0</v>
      </c>
      <c r="AY7" s="1683">
        <v>0</v>
      </c>
      <c r="AZ7" s="2396">
        <f>+AX7+AT7+AP7</f>
        <v>0</v>
      </c>
      <c r="BA7" s="2396">
        <f>+AY7+AU7+AQ7</f>
        <v>0</v>
      </c>
      <c r="BB7" s="2396"/>
      <c r="BC7" s="2396">
        <f>+AM7+BA7</f>
        <v>0</v>
      </c>
      <c r="BD7" s="8280">
        <f>+AV7+AX7</f>
        <v>0</v>
      </c>
      <c r="BE7" s="7050">
        <f>+AW7+AY7</f>
        <v>0</v>
      </c>
    </row>
    <row r="8" spans="1:57" x14ac:dyDescent="0.2">
      <c r="B8" s="1757" t="s">
        <v>889</v>
      </c>
      <c r="C8" s="1636" t="s">
        <v>909</v>
      </c>
      <c r="D8" s="3174">
        <f>D12*D2*24</f>
        <v>0</v>
      </c>
      <c r="E8" s="2750">
        <v>3137</v>
      </c>
      <c r="F8" s="3174">
        <f>F12*F2*24</f>
        <v>0</v>
      </c>
      <c r="G8" s="1675">
        <v>766</v>
      </c>
      <c r="H8" s="4475">
        <f t="shared" ref="H8:H9" si="0">+D8+F8</f>
        <v>0</v>
      </c>
      <c r="I8" s="4500">
        <f t="shared" ref="I8:I9" si="1">+E8+G8</f>
        <v>3903</v>
      </c>
      <c r="J8" s="3174">
        <f>J12*J2*24</f>
        <v>0</v>
      </c>
      <c r="K8" s="1675">
        <v>2011.7</v>
      </c>
      <c r="L8" s="2002">
        <f t="shared" ref="L8:L9" si="2">+H8+J8</f>
        <v>0</v>
      </c>
      <c r="M8" s="4769">
        <f t="shared" ref="M8:M9" si="3">+I8+K8</f>
        <v>5914.7</v>
      </c>
      <c r="N8" s="3174">
        <f>N12*N2*24</f>
        <v>0</v>
      </c>
      <c r="O8" s="1683">
        <f>4339400/1000</f>
        <v>4339.3999999999996</v>
      </c>
      <c r="P8" s="4809">
        <f t="shared" ref="P8:P9" si="4">+L8+N8</f>
        <v>0</v>
      </c>
      <c r="Q8" s="4501">
        <f t="shared" ref="Q8:Q9" si="5">+M8+O8</f>
        <v>10254.099999999999</v>
      </c>
      <c r="R8" s="3174">
        <f>R12*R2*24</f>
        <v>0</v>
      </c>
      <c r="S8" s="1683">
        <f>5412000/1000</f>
        <v>5412</v>
      </c>
      <c r="T8" s="4809">
        <f t="shared" ref="T8:T9" si="6">+P8+R8</f>
        <v>0</v>
      </c>
      <c r="U8" s="4501">
        <f t="shared" ref="U8:U9" si="7">+Q8+S8</f>
        <v>15666.099999999999</v>
      </c>
      <c r="V8" s="3174">
        <f>V12*V2*24</f>
        <v>0</v>
      </c>
      <c r="W8" s="1683">
        <f>3604300/1000</f>
        <v>3604.3</v>
      </c>
      <c r="X8" s="2396">
        <f t="shared" ref="X8:X9" si="8">+V8+R8+N8</f>
        <v>0</v>
      </c>
      <c r="Y8" s="2396">
        <f t="shared" ref="Y8:Y9" si="9">+W8+S8+O8</f>
        <v>13355.699999999999</v>
      </c>
      <c r="Z8" s="6519">
        <f t="shared" ref="Z8:Z9" si="10">+T8+V8</f>
        <v>0</v>
      </c>
      <c r="AA8" s="7051">
        <f t="shared" ref="AA8:AA9" si="11">+U8+W8</f>
        <v>19270.399999999998</v>
      </c>
      <c r="AB8" s="3174">
        <f>AB12*AB2*24</f>
        <v>0</v>
      </c>
      <c r="AC8" s="1683">
        <f>3606200/1000</f>
        <v>3606.2</v>
      </c>
      <c r="AD8" s="4809">
        <f t="shared" ref="AD8:AD9" si="12">+Z8+AB8</f>
        <v>0</v>
      </c>
      <c r="AE8" s="4501">
        <f t="shared" ref="AE8:AE9" si="13">+AA8+AC8</f>
        <v>22876.6</v>
      </c>
      <c r="AF8" s="3174">
        <f>AF12*AF2*24</f>
        <v>0</v>
      </c>
      <c r="AG8" s="1683">
        <f>2820700/1000</f>
        <v>2820.7</v>
      </c>
      <c r="AH8" s="4809">
        <f t="shared" ref="AH8:AH9" si="14">+AD8+AF8</f>
        <v>0</v>
      </c>
      <c r="AI8" s="4501">
        <f t="shared" ref="AI8:AI9" si="15">+AE8+AG8</f>
        <v>25697.3</v>
      </c>
      <c r="AJ8" s="3174">
        <f>AJ12*AJ2*24</f>
        <v>0</v>
      </c>
      <c r="AK8" s="1683">
        <f>2846000/1000</f>
        <v>2846</v>
      </c>
      <c r="AL8" s="2396">
        <f t="shared" ref="AL8:AL9" si="16">+AJ8+AF8+AB8</f>
        <v>0</v>
      </c>
      <c r="AM8" s="2396">
        <f t="shared" ref="AM8:AM9" si="17">+AK8+AG8+AC8</f>
        <v>9272.9</v>
      </c>
      <c r="AN8" s="4809">
        <f t="shared" ref="AN8:AN9" si="18">+AH8+AJ8</f>
        <v>0</v>
      </c>
      <c r="AO8" s="4501">
        <f t="shared" ref="AO8:AO9" si="19">+AI8+AK8</f>
        <v>28543.3</v>
      </c>
      <c r="AP8" s="3174">
        <f>AP12*AP2*24</f>
        <v>0</v>
      </c>
      <c r="AQ8" s="1683">
        <f>3101500/1000</f>
        <v>3101.5</v>
      </c>
      <c r="AR8" s="4809">
        <f t="shared" ref="AR8:AR9" si="20">+AN8+AP8</f>
        <v>0</v>
      </c>
      <c r="AS8" s="4501">
        <f t="shared" ref="AS8:AS9" si="21">+AO8+AQ8</f>
        <v>31644.799999999999</v>
      </c>
      <c r="AT8" s="3174">
        <f>AT12*AT2*24</f>
        <v>0</v>
      </c>
      <c r="AU8" s="1683">
        <f>2978000/1000</f>
        <v>2978</v>
      </c>
      <c r="AV8" s="4809">
        <f t="shared" ref="AV8:AV9" si="22">+AR8+AT8</f>
        <v>0</v>
      </c>
      <c r="AW8" s="4501">
        <f t="shared" ref="AW8:AW9" si="23">+AS8+AU8</f>
        <v>34622.800000000003</v>
      </c>
      <c r="AX8" s="3174">
        <f>AX12*AX2*24</f>
        <v>0</v>
      </c>
      <c r="AY8" s="1683">
        <f>+'POWER DISTRIBUTION'!BD9/1000</f>
        <v>3594.7</v>
      </c>
      <c r="AZ8" s="2396">
        <f t="shared" ref="AZ8:AZ9" si="24">+AX8+AT8+AP8</f>
        <v>0</v>
      </c>
      <c r="BA8" s="2396">
        <f t="shared" ref="BA8:BA9" si="25">+AY8+AU8+AQ8</f>
        <v>9674.2000000000007</v>
      </c>
      <c r="BB8" s="2396"/>
      <c r="BC8" s="2396">
        <f t="shared" ref="BC8:BC9" si="26">+AM8+BA8</f>
        <v>18947.099999999999</v>
      </c>
      <c r="BD8" s="6519">
        <f t="shared" ref="BD8:BD9" si="27">+AV8+AX8</f>
        <v>0</v>
      </c>
      <c r="BE8" s="7051">
        <f t="shared" ref="BE8:BE9" si="28">+AW8+AY8</f>
        <v>38217.5</v>
      </c>
    </row>
    <row r="9" spans="1:57" ht="16" thickBot="1" x14ac:dyDescent="0.25">
      <c r="B9" s="1758" t="s">
        <v>1362</v>
      </c>
      <c r="C9" s="1637" t="s">
        <v>909</v>
      </c>
      <c r="D9" s="5212"/>
      <c r="E9" s="2816">
        <v>2377.8589999999999</v>
      </c>
      <c r="F9" s="5454"/>
      <c r="G9" s="1676">
        <v>2582.6970000000001</v>
      </c>
      <c r="H9" s="4475">
        <f t="shared" si="0"/>
        <v>0</v>
      </c>
      <c r="I9" s="4501">
        <f t="shared" si="1"/>
        <v>4960.5560000000005</v>
      </c>
      <c r="J9" s="5789"/>
      <c r="K9" s="1676">
        <v>2411.7559999999999</v>
      </c>
      <c r="L9" s="2002">
        <f t="shared" si="2"/>
        <v>0</v>
      </c>
      <c r="M9" s="4769">
        <f t="shared" si="3"/>
        <v>7372.3119999999999</v>
      </c>
      <c r="N9" s="4810"/>
      <c r="O9" s="1683">
        <f>2158961/1000</f>
        <v>2158.9609999999998</v>
      </c>
      <c r="P9" s="4809">
        <f t="shared" si="4"/>
        <v>0</v>
      </c>
      <c r="Q9" s="4501">
        <f t="shared" si="5"/>
        <v>9531.2729999999992</v>
      </c>
      <c r="R9" s="4810"/>
      <c r="S9" s="1683">
        <f>1173182/1000</f>
        <v>1173.182</v>
      </c>
      <c r="T9" s="4809">
        <f t="shared" si="6"/>
        <v>0</v>
      </c>
      <c r="U9" s="4501">
        <f t="shared" si="7"/>
        <v>10704.455</v>
      </c>
      <c r="V9" s="4810"/>
      <c r="W9" s="1683">
        <f>(2387087+5368)/1000</f>
        <v>2392.4549999999999</v>
      </c>
      <c r="X9" s="2396">
        <f t="shared" si="8"/>
        <v>0</v>
      </c>
      <c r="Y9" s="2396">
        <f t="shared" si="9"/>
        <v>5724.598</v>
      </c>
      <c r="Z9" s="6519">
        <f t="shared" si="10"/>
        <v>0</v>
      </c>
      <c r="AA9" s="7051">
        <f t="shared" si="11"/>
        <v>13096.91</v>
      </c>
      <c r="AB9" s="4810"/>
      <c r="AC9" s="1683">
        <f>2666700/1000</f>
        <v>2666.7</v>
      </c>
      <c r="AD9" s="4809">
        <f t="shared" si="12"/>
        <v>0</v>
      </c>
      <c r="AE9" s="4501">
        <f t="shared" si="13"/>
        <v>15763.61</v>
      </c>
      <c r="AF9" s="4810"/>
      <c r="AG9" s="3183">
        <f>2410379/1000</f>
        <v>2410.3789999999999</v>
      </c>
      <c r="AH9" s="4809">
        <f t="shared" si="14"/>
        <v>0</v>
      </c>
      <c r="AI9" s="4501">
        <f t="shared" si="15"/>
        <v>18173.989000000001</v>
      </c>
      <c r="AJ9" s="4810"/>
      <c r="AK9" s="1683">
        <f>2441621/1000</f>
        <v>2441.6210000000001</v>
      </c>
      <c r="AL9" s="2396">
        <f t="shared" si="16"/>
        <v>0</v>
      </c>
      <c r="AM9" s="2396">
        <f t="shared" si="17"/>
        <v>7518.7</v>
      </c>
      <c r="AN9" s="4809">
        <f t="shared" si="18"/>
        <v>0</v>
      </c>
      <c r="AO9" s="4501">
        <f t="shared" si="19"/>
        <v>20615.61</v>
      </c>
      <c r="AP9" s="4810"/>
      <c r="AQ9" s="1683">
        <f>2361524/1000</f>
        <v>2361.5239999999999</v>
      </c>
      <c r="AR9" s="4809">
        <f t="shared" si="20"/>
        <v>0</v>
      </c>
      <c r="AS9" s="4501">
        <f t="shared" si="21"/>
        <v>22977.134000000002</v>
      </c>
      <c r="AT9" s="4810"/>
      <c r="AU9" s="1683">
        <v>2202.5769680000003</v>
      </c>
      <c r="AV9" s="4809">
        <f t="shared" si="22"/>
        <v>0</v>
      </c>
      <c r="AW9" s="4501">
        <f t="shared" si="23"/>
        <v>25179.710968000003</v>
      </c>
      <c r="AX9" s="4810"/>
      <c r="AY9" s="1683">
        <v>2381.8609999999999</v>
      </c>
      <c r="AZ9" s="2396">
        <f t="shared" si="24"/>
        <v>0</v>
      </c>
      <c r="BA9" s="2396">
        <f t="shared" si="25"/>
        <v>6945.9619679999996</v>
      </c>
      <c r="BB9" s="2396"/>
      <c r="BC9" s="2396">
        <f t="shared" si="26"/>
        <v>14464.661968</v>
      </c>
      <c r="BD9" s="6519">
        <f t="shared" si="27"/>
        <v>0</v>
      </c>
      <c r="BE9" s="7051">
        <f t="shared" si="28"/>
        <v>27561.571968000004</v>
      </c>
    </row>
    <row r="10" spans="1:57" ht="17" thickBot="1" x14ac:dyDescent="0.25">
      <c r="B10" s="1759" t="s">
        <v>1003</v>
      </c>
      <c r="C10" s="1903" t="s">
        <v>909</v>
      </c>
      <c r="D10" s="3222">
        <f t="shared" ref="D10:F10" si="29">SUM(D7:D9)</f>
        <v>0</v>
      </c>
      <c r="E10" s="2817">
        <f t="shared" ref="E10:I10" si="30">SUM(E7:E9)</f>
        <v>5514.8590000000004</v>
      </c>
      <c r="F10" s="3222">
        <f t="shared" si="29"/>
        <v>0</v>
      </c>
      <c r="G10" s="1678">
        <f t="shared" si="30"/>
        <v>3348.6970000000001</v>
      </c>
      <c r="H10" s="2784">
        <f t="shared" si="30"/>
        <v>0</v>
      </c>
      <c r="I10" s="4502">
        <f t="shared" si="30"/>
        <v>8863.5560000000005</v>
      </c>
      <c r="J10" s="3222">
        <f t="shared" ref="J10" si="31">SUM(J7:J9)</f>
        <v>0</v>
      </c>
      <c r="K10" s="1678">
        <f t="shared" ref="K10:N10" si="32">SUM(K7:K9)</f>
        <v>4423.4560000000001</v>
      </c>
      <c r="L10" s="2000">
        <f t="shared" si="32"/>
        <v>0</v>
      </c>
      <c r="M10" s="3071">
        <f t="shared" si="32"/>
        <v>13287.011999999999</v>
      </c>
      <c r="N10" s="3222">
        <f t="shared" si="32"/>
        <v>0</v>
      </c>
      <c r="O10" s="1678">
        <f t="shared" ref="O10:R10" si="33">SUM(O7:O9)</f>
        <v>6498.360999999999</v>
      </c>
      <c r="P10" s="2784">
        <f t="shared" si="33"/>
        <v>0</v>
      </c>
      <c r="Q10" s="4502">
        <f t="shared" si="33"/>
        <v>19785.373</v>
      </c>
      <c r="R10" s="3222">
        <f t="shared" si="33"/>
        <v>0</v>
      </c>
      <c r="S10" s="1678">
        <f t="shared" ref="S10:V10" si="34">SUM(S7:S9)</f>
        <v>6585.1819999999998</v>
      </c>
      <c r="T10" s="2784">
        <f t="shared" si="34"/>
        <v>0</v>
      </c>
      <c r="U10" s="4502">
        <f t="shared" si="34"/>
        <v>26370.555</v>
      </c>
      <c r="V10" s="3222">
        <f t="shared" si="34"/>
        <v>0</v>
      </c>
      <c r="W10" s="1678">
        <f t="shared" ref="W10:AJ10" si="35">SUM(W7:W9)</f>
        <v>5996.7550000000001</v>
      </c>
      <c r="X10" s="2000">
        <f t="shared" si="35"/>
        <v>0</v>
      </c>
      <c r="Y10" s="3071">
        <f t="shared" si="35"/>
        <v>19080.297999999999</v>
      </c>
      <c r="Z10" s="6511">
        <f t="shared" si="35"/>
        <v>0</v>
      </c>
      <c r="AA10" s="7052">
        <f t="shared" si="35"/>
        <v>32367.309999999998</v>
      </c>
      <c r="AB10" s="3222">
        <f t="shared" si="35"/>
        <v>0</v>
      </c>
      <c r="AC10" s="1678">
        <f t="shared" si="35"/>
        <v>6272.9</v>
      </c>
      <c r="AD10" s="2784">
        <f t="shared" si="35"/>
        <v>0</v>
      </c>
      <c r="AE10" s="4502">
        <f t="shared" si="35"/>
        <v>38640.21</v>
      </c>
      <c r="AF10" s="3222">
        <f t="shared" si="35"/>
        <v>0</v>
      </c>
      <c r="AG10" s="1678">
        <f t="shared" si="35"/>
        <v>5231.0789999999997</v>
      </c>
      <c r="AH10" s="2784">
        <f t="shared" si="35"/>
        <v>0</v>
      </c>
      <c r="AI10" s="4502">
        <f t="shared" si="35"/>
        <v>43871.289000000004</v>
      </c>
      <c r="AJ10" s="3222">
        <f t="shared" si="35"/>
        <v>0</v>
      </c>
      <c r="AK10" s="1678">
        <f t="shared" ref="AK10:AP10" si="36">SUM(AK7:AK9)</f>
        <v>5287.6210000000001</v>
      </c>
      <c r="AL10" s="2000">
        <f t="shared" si="36"/>
        <v>0</v>
      </c>
      <c r="AM10" s="3071">
        <f t="shared" si="36"/>
        <v>16791.599999999999</v>
      </c>
      <c r="AN10" s="2784">
        <f t="shared" si="36"/>
        <v>0</v>
      </c>
      <c r="AO10" s="4502">
        <f t="shared" si="36"/>
        <v>49158.91</v>
      </c>
      <c r="AP10" s="3222">
        <f t="shared" si="36"/>
        <v>0</v>
      </c>
      <c r="AQ10" s="1678">
        <f t="shared" ref="AQ10:AT10" si="37">SUM(AQ7:AQ9)</f>
        <v>5463.0239999999994</v>
      </c>
      <c r="AR10" s="2784">
        <f t="shared" si="37"/>
        <v>0</v>
      </c>
      <c r="AS10" s="4502">
        <f t="shared" si="37"/>
        <v>54621.934000000001</v>
      </c>
      <c r="AT10" s="3222">
        <f t="shared" si="37"/>
        <v>0</v>
      </c>
      <c r="AU10" s="1678">
        <f t="shared" ref="AU10:AX10" si="38">SUM(AU7:AU9)</f>
        <v>5180.5769680000003</v>
      </c>
      <c r="AV10" s="2784">
        <f t="shared" si="38"/>
        <v>0</v>
      </c>
      <c r="AW10" s="4502">
        <f t="shared" si="38"/>
        <v>59802.510968000002</v>
      </c>
      <c r="AX10" s="3222">
        <f t="shared" si="38"/>
        <v>0</v>
      </c>
      <c r="AY10" s="1678">
        <f t="shared" ref="AY10:BE10" si="39">SUM(AY7:AY9)</f>
        <v>5976.5609999999997</v>
      </c>
      <c r="AZ10" s="2000">
        <f t="shared" si="39"/>
        <v>0</v>
      </c>
      <c r="BA10" s="3071">
        <f t="shared" si="39"/>
        <v>16620.161968</v>
      </c>
      <c r="BB10" s="2000">
        <f t="shared" ref="BB10:BC10" si="40">SUM(BB7:BB9)</f>
        <v>0</v>
      </c>
      <c r="BC10" s="3071">
        <f t="shared" si="40"/>
        <v>33411.761967999999</v>
      </c>
      <c r="BD10" s="6511">
        <f t="shared" si="39"/>
        <v>0</v>
      </c>
      <c r="BE10" s="7052">
        <f t="shared" si="39"/>
        <v>65779.071968000004</v>
      </c>
    </row>
    <row r="11" spans="1:57" x14ac:dyDescent="0.2">
      <c r="B11" s="1757" t="s">
        <v>1006</v>
      </c>
      <c r="C11" s="1639" t="s">
        <v>897</v>
      </c>
      <c r="D11" s="4811">
        <v>0</v>
      </c>
      <c r="E11" s="3834">
        <f>+E7/(E2*24)</f>
        <v>0</v>
      </c>
      <c r="F11" s="4811">
        <v>0</v>
      </c>
      <c r="G11" s="2101">
        <f>+G7/(G2*24)</f>
        <v>0</v>
      </c>
      <c r="H11" s="4476">
        <v>0</v>
      </c>
      <c r="I11" s="4503">
        <f>+I7/(I2*24)</f>
        <v>0</v>
      </c>
      <c r="J11" s="4811">
        <v>0</v>
      </c>
      <c r="K11" s="1683">
        <f>+K7/(K2*24)</f>
        <v>0</v>
      </c>
      <c r="L11" s="2047">
        <v>0</v>
      </c>
      <c r="M11" s="3070">
        <f>+M7/(M2*24)</f>
        <v>0</v>
      </c>
      <c r="N11" s="6450">
        <v>0</v>
      </c>
      <c r="O11" s="1683">
        <f>+O7/(O2*24)</f>
        <v>0</v>
      </c>
      <c r="P11" s="4892">
        <v>0</v>
      </c>
      <c r="Q11" s="4503">
        <f>+Q7/(Q2*24)</f>
        <v>0</v>
      </c>
      <c r="R11" s="6450"/>
      <c r="S11" s="1683">
        <f>+S7/(S2*24)</f>
        <v>0</v>
      </c>
      <c r="T11" s="6446">
        <v>0</v>
      </c>
      <c r="U11" s="4503">
        <f>+U7/(U2*24)</f>
        <v>0</v>
      </c>
      <c r="V11" s="7025"/>
      <c r="W11" s="1683">
        <f>+W7/(W2*24)</f>
        <v>0</v>
      </c>
      <c r="X11" s="7026">
        <v>0</v>
      </c>
      <c r="Y11" s="3070">
        <f>+Y7/(Y2*24)</f>
        <v>0</v>
      </c>
      <c r="Z11" s="6668">
        <v>0</v>
      </c>
      <c r="AA11" s="7050">
        <f>+AA7/(AA2*24)</f>
        <v>0</v>
      </c>
      <c r="AB11" s="7377"/>
      <c r="AC11" s="1683">
        <f>+AC7/(AC2*24)</f>
        <v>0</v>
      </c>
      <c r="AD11" s="7372">
        <v>0</v>
      </c>
      <c r="AE11" s="4503">
        <f>+AE7/(AE2*24)</f>
        <v>0</v>
      </c>
      <c r="AF11" s="7627"/>
      <c r="AG11" s="1683">
        <f>+AG7/(AG2*24)</f>
        <v>0</v>
      </c>
      <c r="AH11" s="7623">
        <v>0</v>
      </c>
      <c r="AI11" s="4503">
        <f>+AI7/(AI2*24)</f>
        <v>0</v>
      </c>
      <c r="AJ11" s="7788"/>
      <c r="AK11" s="1683">
        <f>+AK7/(AK2*24)</f>
        <v>0</v>
      </c>
      <c r="AL11" s="7787">
        <v>0</v>
      </c>
      <c r="AM11" s="3070">
        <f>+AM7/(AM2*24)</f>
        <v>0</v>
      </c>
      <c r="AN11" s="7783">
        <v>0</v>
      </c>
      <c r="AO11" s="4503">
        <f>+AO7/(AO2*24)</f>
        <v>0</v>
      </c>
      <c r="AP11" s="8114"/>
      <c r="AQ11" s="1683">
        <f>+AQ7/(AQ2*24)</f>
        <v>0</v>
      </c>
      <c r="AR11" s="8110">
        <v>0</v>
      </c>
      <c r="AS11" s="4503">
        <f>+AS7/(AS2*24)</f>
        <v>0</v>
      </c>
      <c r="AT11" s="8177"/>
      <c r="AU11" s="1683">
        <f>+AU7/(AU2*24)</f>
        <v>0</v>
      </c>
      <c r="AV11" s="8174">
        <v>0</v>
      </c>
      <c r="AW11" s="4503">
        <f>+AW7/(AW2*24)</f>
        <v>0</v>
      </c>
      <c r="AX11" s="8335"/>
      <c r="AY11" s="1683">
        <f>+AY7/(AY2*24)</f>
        <v>0</v>
      </c>
      <c r="AZ11" s="8334">
        <v>0</v>
      </c>
      <c r="BA11" s="3070">
        <f>+BA7/(BA2*24)</f>
        <v>0</v>
      </c>
      <c r="BB11" s="8334">
        <v>0</v>
      </c>
      <c r="BC11" s="3070">
        <f>+BC7/(BC2*24)</f>
        <v>0</v>
      </c>
      <c r="BD11" s="8332">
        <v>0</v>
      </c>
      <c r="BE11" s="7050">
        <f>+BE7/(BE2*24)</f>
        <v>0</v>
      </c>
    </row>
    <row r="12" spans="1:57" x14ac:dyDescent="0.2">
      <c r="B12" s="1757" t="s">
        <v>1586</v>
      </c>
      <c r="C12" s="1636" t="s">
        <v>897</v>
      </c>
      <c r="D12" s="3224"/>
      <c r="E12" s="3847">
        <f>+E8/(E2*24)</f>
        <v>4.3569444444444443</v>
      </c>
      <c r="F12" s="3224"/>
      <c r="G12" s="2067">
        <f>+G8/(G2*24)</f>
        <v>1.0295698924731183</v>
      </c>
      <c r="H12" s="2783">
        <f>+((D12*D2)+(F12*F2))/H2</f>
        <v>0</v>
      </c>
      <c r="I12" s="4504">
        <f>+I8/(I2*24)</f>
        <v>2.665983606557377</v>
      </c>
      <c r="J12" s="3224"/>
      <c r="K12" s="2339">
        <f>+K8/(K2*24)</f>
        <v>2.794027777777778</v>
      </c>
      <c r="L12" s="2260">
        <f>+((H12*H2)+(J12*J2))/L2</f>
        <v>0</v>
      </c>
      <c r="M12" s="2056">
        <f>+M8/(M2*24)</f>
        <v>2.7081959706959706</v>
      </c>
      <c r="N12" s="3224"/>
      <c r="O12" s="1860">
        <f>+O8/(O2*24)</f>
        <v>5.8325268817204297</v>
      </c>
      <c r="P12" s="2794">
        <f>+((L12*L2)+(N12*N2))/P2</f>
        <v>0</v>
      </c>
      <c r="Q12" s="1871">
        <f>+Q8/(Q2*24)</f>
        <v>3.5020833333333328</v>
      </c>
      <c r="R12" s="3224"/>
      <c r="S12" s="1860">
        <f>+S8/(S2*24)</f>
        <v>7.274193548387097</v>
      </c>
      <c r="T12" s="2794">
        <f>+((P12*P2)+(R12*R2))/T2</f>
        <v>0</v>
      </c>
      <c r="U12" s="1871">
        <f>+U8/(U2*24)</f>
        <v>4.2663671023965142</v>
      </c>
      <c r="V12" s="3224"/>
      <c r="W12" s="1860">
        <f>+W8/(W2*24)</f>
        <v>5.0059722222222227</v>
      </c>
      <c r="X12" s="2260">
        <f>+((N12*N2)+(R12*R2)+(V12*V2))/X2</f>
        <v>0</v>
      </c>
      <c r="Y12" s="2056">
        <f>+Y8/(Y2*24)</f>
        <v>6.0487771739130434</v>
      </c>
      <c r="Z12" s="6612">
        <f>+((T12*T2)+(V12*V2))/Z2</f>
        <v>0</v>
      </c>
      <c r="AA12" s="7053">
        <f>+AA8/(AA2*24)</f>
        <v>4.3876138433515477</v>
      </c>
      <c r="AB12" s="3224"/>
      <c r="AC12" s="1860">
        <f>+AC8/(AC2*24)</f>
        <v>4.8470430107526878</v>
      </c>
      <c r="AD12" s="2794">
        <f>+((Z12*Z2)+(AB12*AB2))/AD2</f>
        <v>0</v>
      </c>
      <c r="AE12" s="1871">
        <f>+AE8/(AE2*24)</f>
        <v>4.4541666666666666</v>
      </c>
      <c r="AF12" s="3224"/>
      <c r="AG12" s="1860">
        <f>+AG8/(AG2*24)</f>
        <v>3.9176388888888884</v>
      </c>
      <c r="AH12" s="2794">
        <f>+((AD12*AD2)+(AF12*AF2))/AH2</f>
        <v>0</v>
      </c>
      <c r="AI12" s="1871">
        <f>+AI8/(AI2*24)</f>
        <v>4.3882001366120216</v>
      </c>
      <c r="AJ12" s="3224"/>
      <c r="AK12" s="1860">
        <f>+AK8/(AK2*24)</f>
        <v>3.825268817204301</v>
      </c>
      <c r="AL12" s="2260">
        <f>+((AB12*AB2)+(AF12*AF2)+(AJ12*AJ2))/AL2</f>
        <v>0</v>
      </c>
      <c r="AM12" s="2056">
        <f>+AM8/(AM2*24)</f>
        <v>4.1996829710144929</v>
      </c>
      <c r="AN12" s="2794">
        <f>+((AH12*AH2)+(AJ12*AJ2))/AN2</f>
        <v>0</v>
      </c>
      <c r="AO12" s="1871">
        <f>+AO8/(AO2*24)</f>
        <v>4.3247424242424239</v>
      </c>
      <c r="AP12" s="3224"/>
      <c r="AQ12" s="1860">
        <f>+AQ8/(AQ2*24)</f>
        <v>4.168682795698925</v>
      </c>
      <c r="AR12" s="2794">
        <f>+((AN12*AN2)+(AP12*AP2))/AR2</f>
        <v>0</v>
      </c>
      <c r="AS12" s="1871">
        <f>+AS8/(AS2*24)</f>
        <v>4.3089324618736384</v>
      </c>
      <c r="AT12" s="3224"/>
      <c r="AU12" s="1860">
        <f>+AU8/(AU2*24)</f>
        <v>4.4315476190476186</v>
      </c>
      <c r="AV12" s="2794">
        <f>+((AR12*AR2)+(AT12*AT2))/AV2</f>
        <v>0</v>
      </c>
      <c r="AW12" s="1871">
        <f>+AW8/(AW2*24)</f>
        <v>4.3192115768463077</v>
      </c>
      <c r="AX12" s="3224"/>
      <c r="AY12" s="1860">
        <f>+AY8/(AY2*24)</f>
        <v>4.8315860215053759</v>
      </c>
      <c r="AZ12" s="2260">
        <f>+((AP12*AP2)+(AT12*AT2)+(AX12*AX2))/AZ2</f>
        <v>0</v>
      </c>
      <c r="BA12" s="2056">
        <f>+BA8/(BA2*24)</f>
        <v>4.4787962962962968</v>
      </c>
      <c r="BB12" s="2260">
        <f>+((AR12*AR2)+(AV12*AV2)+(AZ12*AZ2))/BB2</f>
        <v>0</v>
      </c>
      <c r="BC12" s="2056">
        <f>+BC8/(BC2*24)</f>
        <v>4.337706043956044</v>
      </c>
      <c r="BD12" s="6612">
        <f>+((AV12*AV2)+(AX12*AX2))/BD2</f>
        <v>0</v>
      </c>
      <c r="BE12" s="7053">
        <f>+BE8/(BE2*24)</f>
        <v>4.3627283105022832</v>
      </c>
    </row>
    <row r="13" spans="1:57" ht="16" thickBot="1" x14ac:dyDescent="0.25">
      <c r="B13" s="1758" t="s">
        <v>1363</v>
      </c>
      <c r="C13" s="1637" t="s">
        <v>897</v>
      </c>
      <c r="D13" s="4811"/>
      <c r="E13" s="3837">
        <f>+E9/(E2*24)</f>
        <v>3.3025819444444444</v>
      </c>
      <c r="F13" s="4811"/>
      <c r="G13" s="3181">
        <f>+G9/(G2*24)</f>
        <v>3.471366935483871</v>
      </c>
      <c r="H13" s="2797">
        <f>+H9/(H2*24)</f>
        <v>0</v>
      </c>
      <c r="I13" s="4505">
        <f>+I9/(I2*24)</f>
        <v>3.3883579234972681</v>
      </c>
      <c r="J13" s="4811"/>
      <c r="K13" s="3181">
        <f>+K9/(K2*24)</f>
        <v>3.3496611111111108</v>
      </c>
      <c r="L13" s="2994">
        <f>+L9/(L2*24)</f>
        <v>0</v>
      </c>
      <c r="M13" s="4770">
        <f>+M9/(M2*24)</f>
        <v>3.3756007326007325</v>
      </c>
      <c r="N13" s="6397"/>
      <c r="O13" s="3181">
        <f>+O9/(O2*24)</f>
        <v>2.9018293010752685</v>
      </c>
      <c r="P13" s="2990">
        <f>+P9/(P2*24)</f>
        <v>0</v>
      </c>
      <c r="Q13" s="4784">
        <f>+Q9/(Q2*24)</f>
        <v>3.25521618852459</v>
      </c>
      <c r="R13" s="6397"/>
      <c r="S13" s="3181">
        <f>+S9/(S2*24)</f>
        <v>1.5768575268817204</v>
      </c>
      <c r="T13" s="2990">
        <f>+T9/(T2*24)</f>
        <v>0</v>
      </c>
      <c r="U13" s="4784">
        <f>+U9/(U2*24)</f>
        <v>2.9151565904139431</v>
      </c>
      <c r="V13" s="6397"/>
      <c r="W13" s="3181">
        <f>+W9/(W2*24)</f>
        <v>3.3228541666666667</v>
      </c>
      <c r="X13" s="2994">
        <f>+X9/(X2*24)</f>
        <v>0</v>
      </c>
      <c r="Y13" s="4770">
        <f>+Y9/(Y2*24)</f>
        <v>2.5926621376811596</v>
      </c>
      <c r="Z13" s="6744">
        <f>+Z9/(Z2*24)</f>
        <v>0</v>
      </c>
      <c r="AA13" s="7054">
        <f>+AA9/(AA2*24)</f>
        <v>2.9819922586520948</v>
      </c>
      <c r="AB13" s="6397"/>
      <c r="AC13" s="3181">
        <f>+AC9/(AC2*24)</f>
        <v>3.5842741935483868</v>
      </c>
      <c r="AD13" s="2990">
        <f>+AD9/(AD2*24)</f>
        <v>0</v>
      </c>
      <c r="AE13" s="4784">
        <f>+AE9/(AE2*24)</f>
        <v>3.069238707165109</v>
      </c>
      <c r="AF13" s="6397"/>
      <c r="AG13" s="3181">
        <f>+AG9/(AG2*24)</f>
        <v>3.3477486111111108</v>
      </c>
      <c r="AH13" s="2990">
        <f>+AH9/(AH2*24)</f>
        <v>0</v>
      </c>
      <c r="AI13" s="4784">
        <f>+AI9/(AI2*24)</f>
        <v>3.1034817281420768</v>
      </c>
      <c r="AJ13" s="6397"/>
      <c r="AK13" s="3181">
        <f>+AK9/(AK2*24)</f>
        <v>3.2817486559139786</v>
      </c>
      <c r="AL13" s="2994">
        <f>+AL9/(AL2*24)</f>
        <v>0</v>
      </c>
      <c r="AM13" s="4770">
        <f>+AM9/(AM2*24)</f>
        <v>3.4052083333333334</v>
      </c>
      <c r="AN13" s="2990">
        <f>+AN9/(AN2*24)</f>
        <v>0</v>
      </c>
      <c r="AO13" s="4784">
        <f>+AO9/(AO2*24)</f>
        <v>3.1235772727272728</v>
      </c>
      <c r="AP13" s="6397"/>
      <c r="AQ13" s="3181">
        <f>+AQ9/(AQ2*24)</f>
        <v>3.174091397849462</v>
      </c>
      <c r="AR13" s="2990">
        <f>+AR9/(AR2*24)</f>
        <v>0</v>
      </c>
      <c r="AS13" s="4784">
        <f>+AS9/(AS2*24)</f>
        <v>3.1286947167755992</v>
      </c>
      <c r="AT13" s="6397"/>
      <c r="AU13" s="3181">
        <f>+AU9/(AU2*24)</f>
        <v>3.2776442976190481</v>
      </c>
      <c r="AV13" s="2990">
        <f>+AV9/(AV2*24)</f>
        <v>0</v>
      </c>
      <c r="AW13" s="4784">
        <f>+AW9/(AW2*24)</f>
        <v>3.1411815079840322</v>
      </c>
      <c r="AX13" s="6397"/>
      <c r="AY13" s="3181">
        <f t="shared" ref="AY13:BE13" si="41">+AY9/(AY2*24)</f>
        <v>3.2014260752688171</v>
      </c>
      <c r="AZ13" s="2994">
        <f t="shared" si="41"/>
        <v>0</v>
      </c>
      <c r="BA13" s="4770">
        <f t="shared" si="41"/>
        <v>3.2157231333333334</v>
      </c>
      <c r="BB13" s="2994">
        <f t="shared" si="41"/>
        <v>0</v>
      </c>
      <c r="BC13" s="4770">
        <f t="shared" si="41"/>
        <v>3.3115068608058609</v>
      </c>
      <c r="BD13" s="6744">
        <f t="shared" si="41"/>
        <v>0</v>
      </c>
      <c r="BE13" s="7054">
        <f t="shared" si="41"/>
        <v>3.1462981698630141</v>
      </c>
    </row>
    <row r="14" spans="1:57" ht="17" thickBot="1" x14ac:dyDescent="0.25">
      <c r="B14" s="1759" t="s">
        <v>899</v>
      </c>
      <c r="C14" s="1638" t="s">
        <v>897</v>
      </c>
      <c r="D14" s="3424">
        <f t="shared" ref="D14:F14" si="42">SUM(D11:D13)</f>
        <v>0</v>
      </c>
      <c r="E14" s="3844">
        <f t="shared" ref="E14:I14" si="43">SUM(E11:E13)</f>
        <v>7.6595263888888887</v>
      </c>
      <c r="F14" s="3424">
        <f t="shared" si="42"/>
        <v>0</v>
      </c>
      <c r="G14" s="2436">
        <f t="shared" si="43"/>
        <v>4.5009368279569895</v>
      </c>
      <c r="H14" s="2792">
        <f t="shared" si="43"/>
        <v>0</v>
      </c>
      <c r="I14" s="4506">
        <f t="shared" si="43"/>
        <v>6.0543415300546446</v>
      </c>
      <c r="J14" s="3424">
        <f t="shared" ref="J14" si="44">SUM(J11:J13)</f>
        <v>0</v>
      </c>
      <c r="K14" s="3857">
        <f t="shared" ref="K14:N14" si="45">SUM(K11:K13)</f>
        <v>6.1436888888888888</v>
      </c>
      <c r="L14" s="2955">
        <f t="shared" si="45"/>
        <v>0</v>
      </c>
      <c r="M14" s="4771">
        <f t="shared" si="45"/>
        <v>6.0837967032967031</v>
      </c>
      <c r="N14" s="3424">
        <f t="shared" si="45"/>
        <v>0</v>
      </c>
      <c r="O14" s="2436">
        <f t="shared" ref="O14:R14" si="46">SUM(O11:O13)</f>
        <v>8.7343561827956986</v>
      </c>
      <c r="P14" s="2792">
        <f t="shared" si="46"/>
        <v>0</v>
      </c>
      <c r="Q14" s="4506">
        <f t="shared" si="46"/>
        <v>6.7572995218579228</v>
      </c>
      <c r="R14" s="2685">
        <f t="shared" si="46"/>
        <v>0</v>
      </c>
      <c r="S14" s="2436">
        <f t="shared" ref="S14:V14" si="47">SUM(S11:S13)</f>
        <v>8.851051075268817</v>
      </c>
      <c r="T14" s="2792">
        <f t="shared" si="47"/>
        <v>0</v>
      </c>
      <c r="U14" s="4506">
        <f t="shared" si="47"/>
        <v>7.1815236928104573</v>
      </c>
      <c r="V14" s="2685">
        <f t="shared" si="47"/>
        <v>0</v>
      </c>
      <c r="W14" s="2436">
        <f t="shared" ref="W14:AJ14" si="48">SUM(W11:W13)</f>
        <v>8.3288263888888885</v>
      </c>
      <c r="X14" s="2955">
        <f t="shared" si="48"/>
        <v>0</v>
      </c>
      <c r="Y14" s="4771">
        <f t="shared" si="48"/>
        <v>8.641439311594203</v>
      </c>
      <c r="Z14" s="6605">
        <f t="shared" si="48"/>
        <v>0</v>
      </c>
      <c r="AA14" s="7055">
        <f t="shared" si="48"/>
        <v>7.3696061020036421</v>
      </c>
      <c r="AB14" s="2685">
        <f t="shared" si="48"/>
        <v>0</v>
      </c>
      <c r="AC14" s="2436">
        <f t="shared" si="48"/>
        <v>8.4313172043010738</v>
      </c>
      <c r="AD14" s="2792">
        <f t="shared" si="48"/>
        <v>0</v>
      </c>
      <c r="AE14" s="4506">
        <f t="shared" si="48"/>
        <v>7.5234053738317757</v>
      </c>
      <c r="AF14" s="2685">
        <f t="shared" si="48"/>
        <v>0</v>
      </c>
      <c r="AG14" s="2436">
        <f t="shared" si="48"/>
        <v>7.2653874999999992</v>
      </c>
      <c r="AH14" s="2792">
        <f t="shared" si="48"/>
        <v>0</v>
      </c>
      <c r="AI14" s="4506">
        <f t="shared" si="48"/>
        <v>7.4916818647540984</v>
      </c>
      <c r="AJ14" s="2685">
        <f t="shared" si="48"/>
        <v>0</v>
      </c>
      <c r="AK14" s="2436">
        <f t="shared" ref="AK14:AP14" si="49">SUM(AK11:AK13)</f>
        <v>7.1070174731182796</v>
      </c>
      <c r="AL14" s="2955">
        <f t="shared" si="49"/>
        <v>0</v>
      </c>
      <c r="AM14" s="4771">
        <f t="shared" si="49"/>
        <v>7.6048913043478263</v>
      </c>
      <c r="AN14" s="2792">
        <f t="shared" si="49"/>
        <v>0</v>
      </c>
      <c r="AO14" s="4506">
        <f t="shared" si="49"/>
        <v>7.4483196969696968</v>
      </c>
      <c r="AP14" s="2685">
        <f t="shared" si="49"/>
        <v>0</v>
      </c>
      <c r="AQ14" s="2436">
        <f t="shared" ref="AQ14:AT14" si="50">SUM(AQ11:AQ13)</f>
        <v>7.3427741935483866</v>
      </c>
      <c r="AR14" s="2792">
        <f t="shared" si="50"/>
        <v>0</v>
      </c>
      <c r="AS14" s="4506">
        <f t="shared" si="50"/>
        <v>7.4376271786492376</v>
      </c>
      <c r="AT14" s="2685">
        <f t="shared" si="50"/>
        <v>0</v>
      </c>
      <c r="AU14" s="2436">
        <f t="shared" ref="AU14:AX14" si="51">SUM(AU11:AU13)</f>
        <v>7.7091919166666667</v>
      </c>
      <c r="AV14" s="2792">
        <f t="shared" si="51"/>
        <v>0</v>
      </c>
      <c r="AW14" s="4506">
        <f t="shared" si="51"/>
        <v>7.4603930848303399</v>
      </c>
      <c r="AX14" s="2685">
        <f t="shared" si="51"/>
        <v>0</v>
      </c>
      <c r="AY14" s="2436">
        <f t="shared" ref="AY14:BE14" si="52">SUM(AY11:AY13)</f>
        <v>8.0330120967741934</v>
      </c>
      <c r="AZ14" s="2955">
        <f t="shared" si="52"/>
        <v>0</v>
      </c>
      <c r="BA14" s="4771">
        <f t="shared" si="52"/>
        <v>7.6945194296296302</v>
      </c>
      <c r="BB14" s="2955">
        <f t="shared" ref="BB14:BC14" si="53">SUM(BB11:BB13)</f>
        <v>0</v>
      </c>
      <c r="BC14" s="4771">
        <f t="shared" si="53"/>
        <v>7.6492129047619049</v>
      </c>
      <c r="BD14" s="6605">
        <f t="shared" si="52"/>
        <v>0</v>
      </c>
      <c r="BE14" s="7055">
        <f t="shared" si="52"/>
        <v>7.5090264803652973</v>
      </c>
    </row>
    <row r="15" spans="1:57" ht="16" x14ac:dyDescent="0.2">
      <c r="A15" s="3383" t="s">
        <v>1024</v>
      </c>
      <c r="B15" s="5041" t="s">
        <v>891</v>
      </c>
      <c r="C15" s="1639" t="s">
        <v>215</v>
      </c>
      <c r="D15" s="3217">
        <f>32*D2*24</f>
        <v>23040</v>
      </c>
      <c r="E15" s="3834">
        <f>+E21</f>
        <v>21600</v>
      </c>
      <c r="F15" s="3217">
        <f>32*F2*24</f>
        <v>23808</v>
      </c>
      <c r="G15" s="1680">
        <f>+G21</f>
        <v>21696</v>
      </c>
      <c r="H15" s="4476">
        <f>+D15+F15</f>
        <v>46848</v>
      </c>
      <c r="I15" s="4503">
        <f>+E15+G15</f>
        <v>43296</v>
      </c>
      <c r="J15" s="3217">
        <f>32*J2*24</f>
        <v>23040</v>
      </c>
      <c r="K15" s="1680">
        <f>+K21</f>
        <v>20160</v>
      </c>
      <c r="L15" s="2886">
        <f>+H15+J15</f>
        <v>69888</v>
      </c>
      <c r="M15" s="3070">
        <f>+I15+K15</f>
        <v>63456</v>
      </c>
      <c r="N15" s="3217">
        <f>32*N2*24</f>
        <v>23808</v>
      </c>
      <c r="O15" s="1680">
        <f>+O21</f>
        <v>20064</v>
      </c>
      <c r="P15" s="4755">
        <f>+L15+N15</f>
        <v>93696</v>
      </c>
      <c r="Q15" s="4503">
        <f>+M15+O15</f>
        <v>83520</v>
      </c>
      <c r="R15" s="3217">
        <f>32*R2*24</f>
        <v>23808</v>
      </c>
      <c r="S15" s="1680">
        <f>+S21</f>
        <v>19344</v>
      </c>
      <c r="T15" s="4755">
        <f>+P15+R15</f>
        <v>117504</v>
      </c>
      <c r="U15" s="4503">
        <f>+Q15+S15</f>
        <v>102864</v>
      </c>
      <c r="V15" s="3217">
        <f>32*V2*24</f>
        <v>23040</v>
      </c>
      <c r="W15" s="1680">
        <f>+W21</f>
        <v>18720</v>
      </c>
      <c r="X15" s="2396">
        <f>+V15+R15+N15</f>
        <v>70656</v>
      </c>
      <c r="Y15" s="2396">
        <f>+W15+S15+O15</f>
        <v>58128</v>
      </c>
      <c r="Z15" s="7056">
        <f>+T15+V15</f>
        <v>140544</v>
      </c>
      <c r="AA15" s="7050">
        <f>+U15+W15</f>
        <v>121584</v>
      </c>
      <c r="AB15" s="3217">
        <f>32*AB2*24</f>
        <v>23808</v>
      </c>
      <c r="AC15" s="1680">
        <f>+AC21</f>
        <v>19344</v>
      </c>
      <c r="AD15" s="4755">
        <f>+Z15+AB15</f>
        <v>164352</v>
      </c>
      <c r="AE15" s="4503">
        <f>+AA15+AC15</f>
        <v>140928</v>
      </c>
      <c r="AF15" s="3217">
        <f>32*AF2*24</f>
        <v>23040</v>
      </c>
      <c r="AG15" s="1680">
        <f>+AG21</f>
        <v>18720</v>
      </c>
      <c r="AH15" s="4755">
        <f>+AD15+AF15</f>
        <v>187392</v>
      </c>
      <c r="AI15" s="4503">
        <f>+AE15+AG15</f>
        <v>159648</v>
      </c>
      <c r="AJ15" s="3217">
        <f>32*AJ2*24</f>
        <v>23808</v>
      </c>
      <c r="AK15" s="1680">
        <f>+AK21</f>
        <v>19344</v>
      </c>
      <c r="AL15" s="2396">
        <f>+AJ15+AF15+AB15</f>
        <v>70656</v>
      </c>
      <c r="AM15" s="2396">
        <f>+AK15+AG15+AC15</f>
        <v>57408</v>
      </c>
      <c r="AN15" s="4755">
        <f>+AH15+AJ15</f>
        <v>211200</v>
      </c>
      <c r="AO15" s="4503">
        <f>+AI15+AK15</f>
        <v>178992</v>
      </c>
      <c r="AP15" s="3217">
        <f>32*AP2*24</f>
        <v>23808</v>
      </c>
      <c r="AQ15" s="1680">
        <f>+AQ21</f>
        <v>19344</v>
      </c>
      <c r="AR15" s="4755">
        <f>+AN15+AP15</f>
        <v>235008</v>
      </c>
      <c r="AS15" s="4503">
        <f>+AO15+AQ15</f>
        <v>198336</v>
      </c>
      <c r="AT15" s="3217">
        <f>32*AT2*24</f>
        <v>21504</v>
      </c>
      <c r="AU15" s="1680">
        <f>+AU21</f>
        <v>13872</v>
      </c>
      <c r="AV15" s="4755">
        <f>+AR15+AT15</f>
        <v>256512</v>
      </c>
      <c r="AW15" s="4503">
        <f>+AS15+AU15</f>
        <v>212208</v>
      </c>
      <c r="AX15" s="3217">
        <f>32*AX2*24</f>
        <v>23808</v>
      </c>
      <c r="AY15" s="1680">
        <v>18672</v>
      </c>
      <c r="AZ15" s="2396">
        <f>+AX15+AT15+AP15</f>
        <v>69120</v>
      </c>
      <c r="BA15" s="2396">
        <f>+AY15+AU15+AQ15</f>
        <v>51888</v>
      </c>
      <c r="BB15" s="2396">
        <f>+AZ15+AV15+AR15</f>
        <v>560640</v>
      </c>
      <c r="BC15" s="2396">
        <f>+BA15+AW15+AS15</f>
        <v>462432</v>
      </c>
      <c r="BD15" s="7056">
        <f>+AV15+AX15</f>
        <v>280320</v>
      </c>
      <c r="BE15" s="7050">
        <f>+AW15+AY15</f>
        <v>230880</v>
      </c>
    </row>
    <row r="16" spans="1:57" s="3380" customFormat="1" ht="18" x14ac:dyDescent="0.2">
      <c r="A16" s="3383"/>
      <c r="B16" s="7067" t="s">
        <v>892</v>
      </c>
      <c r="C16" s="7068"/>
      <c r="D16" s="5269"/>
      <c r="E16" s="7069"/>
      <c r="F16" s="5269"/>
      <c r="G16" s="7068"/>
      <c r="H16" s="4937"/>
      <c r="I16" s="7068"/>
      <c r="J16" s="5269"/>
      <c r="K16" s="7068"/>
      <c r="L16" s="5269"/>
      <c r="M16" s="7068"/>
      <c r="N16" s="4937"/>
      <c r="O16" s="7068"/>
      <c r="P16" s="4937"/>
      <c r="Q16" s="7068"/>
      <c r="R16" s="4937"/>
      <c r="S16" s="7068"/>
      <c r="T16" s="4937"/>
      <c r="U16" s="7068"/>
      <c r="V16" s="4937"/>
      <c r="W16" s="7068"/>
      <c r="X16" s="5269"/>
      <c r="Y16" s="7068"/>
      <c r="Z16" s="4937"/>
      <c r="AA16" s="7068"/>
      <c r="AB16" s="4937"/>
      <c r="AC16" s="7068"/>
      <c r="AD16" s="4937"/>
      <c r="AE16" s="7068"/>
      <c r="AF16" s="4937"/>
      <c r="AG16" s="7068"/>
      <c r="AH16" s="4937"/>
      <c r="AI16" s="7068"/>
      <c r="AJ16" s="4937"/>
      <c r="AK16" s="7068"/>
      <c r="AL16" s="5269"/>
      <c r="AM16" s="7068"/>
      <c r="AN16" s="4937"/>
      <c r="AO16" s="7068"/>
      <c r="AP16" s="4937"/>
      <c r="AQ16" s="7068"/>
      <c r="AR16" s="4937"/>
      <c r="AS16" s="7068"/>
      <c r="AT16" s="4937"/>
      <c r="AU16" s="7068"/>
      <c r="AV16" s="4937"/>
      <c r="AW16" s="7068"/>
      <c r="AX16" s="4937"/>
      <c r="AY16" s="7068"/>
      <c r="AZ16" s="5269"/>
      <c r="BA16" s="7068"/>
      <c r="BB16" s="5269"/>
      <c r="BC16" s="7068"/>
      <c r="BD16" s="4937"/>
      <c r="BE16" s="7068"/>
    </row>
    <row r="17" spans="1:57" x14ac:dyDescent="0.2">
      <c r="A17" s="3383" t="s">
        <v>1024</v>
      </c>
      <c r="B17" s="5042" t="s">
        <v>893</v>
      </c>
      <c r="C17" s="1636" t="s">
        <v>215</v>
      </c>
      <c r="D17" s="5211">
        <f>23.4*D2*24</f>
        <v>16848</v>
      </c>
      <c r="E17" s="4406">
        <v>15366</v>
      </c>
      <c r="F17" s="5453">
        <f>23.4*F2*24</f>
        <v>17409.599999999999</v>
      </c>
      <c r="G17" s="3183">
        <v>15291.5</v>
      </c>
      <c r="H17" s="4474">
        <f>+D17+F17</f>
        <v>34257.599999999999</v>
      </c>
      <c r="I17" s="4503">
        <f>+E17+G17</f>
        <v>30657.5</v>
      </c>
      <c r="J17" s="5785">
        <f>23.4*J2*24</f>
        <v>16848</v>
      </c>
      <c r="K17" s="3183">
        <v>14009.8</v>
      </c>
      <c r="L17" s="2396">
        <f>+H17+J17</f>
        <v>51105.599999999999</v>
      </c>
      <c r="M17" s="3070">
        <f>+I17+K17</f>
        <v>44667.3</v>
      </c>
      <c r="N17" s="4935">
        <f>23.4*N2*24</f>
        <v>17409.599999999999</v>
      </c>
      <c r="O17" s="1683">
        <v>13721.9</v>
      </c>
      <c r="P17" s="4891">
        <f>+L17+N17</f>
        <v>68515.199999999997</v>
      </c>
      <c r="Q17" s="4503">
        <f>+M17+O17</f>
        <v>58389.200000000004</v>
      </c>
      <c r="R17" s="6440">
        <f>23.4*R2*24</f>
        <v>17409.599999999999</v>
      </c>
      <c r="S17" s="1683">
        <v>12955</v>
      </c>
      <c r="T17" s="6438">
        <f>+P17+R17</f>
        <v>85924.799999999988</v>
      </c>
      <c r="U17" s="4503">
        <f>+Q17+S17</f>
        <v>71344.200000000012</v>
      </c>
      <c r="V17" s="7009">
        <f>23.4*V2*24</f>
        <v>16848</v>
      </c>
      <c r="W17" s="1683">
        <v>12574.3</v>
      </c>
      <c r="X17" s="2396">
        <f>+V17+R17+N17</f>
        <v>51667.199999999997</v>
      </c>
      <c r="Y17" s="2396">
        <f>+W17+S17+O17</f>
        <v>39251.199999999997</v>
      </c>
      <c r="Z17" s="7014">
        <f>+T17+V17</f>
        <v>102772.79999999999</v>
      </c>
      <c r="AA17" s="7050">
        <f>+U17+W17</f>
        <v>83918.500000000015</v>
      </c>
      <c r="AB17" s="7358">
        <f>23.4*AB2*24</f>
        <v>17409.599999999999</v>
      </c>
      <c r="AC17" s="1683">
        <v>12959.8</v>
      </c>
      <c r="AD17" s="7355">
        <f>+Z17+AB17</f>
        <v>120182.39999999999</v>
      </c>
      <c r="AE17" s="4503">
        <f>+AA17+AC17</f>
        <v>96878.300000000017</v>
      </c>
      <c r="AF17" s="7614">
        <f>23.4*AF2*24</f>
        <v>16848</v>
      </c>
      <c r="AG17" s="1683">
        <v>12636.7</v>
      </c>
      <c r="AH17" s="7613">
        <f>+AD17+AF17</f>
        <v>137030.39999999999</v>
      </c>
      <c r="AI17" s="4503">
        <f>+AE17+AG17</f>
        <v>109515.00000000001</v>
      </c>
      <c r="AJ17" s="7765">
        <f>23.4*AJ2*24</f>
        <v>17409.599999999999</v>
      </c>
      <c r="AK17" s="1683">
        <v>12914.2</v>
      </c>
      <c r="AL17" s="2396">
        <f>+AJ17+AF17+AB17</f>
        <v>51667.199999999997</v>
      </c>
      <c r="AM17" s="2396">
        <f>+AK17+AG17+AC17</f>
        <v>38510.699999999997</v>
      </c>
      <c r="AN17" s="7769">
        <f>+AH17+AJ17</f>
        <v>154440</v>
      </c>
      <c r="AO17" s="4503">
        <f>+AI17+AK17</f>
        <v>122429.20000000001</v>
      </c>
      <c r="AP17" s="8099">
        <f>23.4*AP2*24</f>
        <v>17409.599999999999</v>
      </c>
      <c r="AQ17" s="3183">
        <v>12976.6</v>
      </c>
      <c r="AR17" s="8095">
        <f>+AN17+AP17</f>
        <v>171849.60000000001</v>
      </c>
      <c r="AS17" s="4503">
        <f>+AO17+AQ17</f>
        <v>135405.80000000002</v>
      </c>
      <c r="AT17" s="8147">
        <f>23.4*AT2*24</f>
        <v>15724.8</v>
      </c>
      <c r="AU17" s="3183">
        <v>9332.1</v>
      </c>
      <c r="AV17" s="8149">
        <f>+AR17+AT17</f>
        <v>187574.39999999999</v>
      </c>
      <c r="AW17" s="4503">
        <f>+AS17+AU17</f>
        <v>144737.90000000002</v>
      </c>
      <c r="AX17" s="8264">
        <f>23.4*AX2*24</f>
        <v>17409.599999999999</v>
      </c>
      <c r="AY17" s="3183">
        <v>12665.6</v>
      </c>
      <c r="AZ17" s="2396">
        <f>+AX17+AT17+AP17</f>
        <v>50543.999999999993</v>
      </c>
      <c r="BA17" s="2396">
        <f>+AY17+AU17+AQ17</f>
        <v>34974.300000000003</v>
      </c>
      <c r="BB17" s="2396">
        <f>+AZ17+AV17+AR17</f>
        <v>409968</v>
      </c>
      <c r="BC17" s="2396">
        <f t="shared" ref="BC17:BC20" si="54">+AM17+BA17</f>
        <v>73485</v>
      </c>
      <c r="BD17" s="8280">
        <f>+AV17+AX17</f>
        <v>204984</v>
      </c>
      <c r="BE17" s="7050">
        <f>+AW17+AY17</f>
        <v>157403.50000000003</v>
      </c>
    </row>
    <row r="18" spans="1:57" x14ac:dyDescent="0.2">
      <c r="A18" s="3383" t="s">
        <v>1024</v>
      </c>
      <c r="B18" s="1760" t="s">
        <v>895</v>
      </c>
      <c r="C18" s="1545" t="s">
        <v>215</v>
      </c>
      <c r="D18" s="8594">
        <f>8.6*D2*24</f>
        <v>6192</v>
      </c>
      <c r="E18" s="4406">
        <v>6201.6</v>
      </c>
      <c r="F18" s="8594">
        <f>8.6*F2*24</f>
        <v>6398.4</v>
      </c>
      <c r="G18" s="3184">
        <v>6372</v>
      </c>
      <c r="H18" s="8614">
        <f>+D18+F18</f>
        <v>12590.4</v>
      </c>
      <c r="I18" s="4501">
        <f t="shared" ref="I18:I20" si="55">+E18+G18</f>
        <v>12573.6</v>
      </c>
      <c r="J18" s="8594">
        <f>8.6*J2*24</f>
        <v>6192</v>
      </c>
      <c r="K18" s="3184">
        <v>6120</v>
      </c>
      <c r="L18" s="8966">
        <f>+H18+J18</f>
        <v>18782.400000000001</v>
      </c>
      <c r="M18" s="4769">
        <f t="shared" ref="M18:M20" si="56">+I18+K18</f>
        <v>18693.599999999999</v>
      </c>
      <c r="N18" s="8594">
        <f>8.6*N2*24</f>
        <v>6398.4</v>
      </c>
      <c r="O18" s="1675">
        <v>6312</v>
      </c>
      <c r="P18" s="8614">
        <f>+L18+N18</f>
        <v>25180.800000000003</v>
      </c>
      <c r="Q18" s="4501">
        <f t="shared" ref="Q18:Q20" si="57">+M18+O18</f>
        <v>25005.599999999999</v>
      </c>
      <c r="R18" s="8594">
        <f>8.6*R2*24</f>
        <v>6398.4</v>
      </c>
      <c r="S18" s="1675">
        <v>6360</v>
      </c>
      <c r="T18" s="8614">
        <f>+P18+R18</f>
        <v>31579.200000000004</v>
      </c>
      <c r="U18" s="4501">
        <f t="shared" ref="U18:U20" si="58">+Q18+S18</f>
        <v>31365.599999999999</v>
      </c>
      <c r="V18" s="8594">
        <f>8.6*V2*24</f>
        <v>6192</v>
      </c>
      <c r="W18" s="1675">
        <v>6117.6</v>
      </c>
      <c r="X18" s="8966">
        <f>+V18+R18+N18</f>
        <v>18988.8</v>
      </c>
      <c r="Y18" s="2396">
        <f t="shared" ref="Y18:Y19" si="59">+W18+S18+O18</f>
        <v>18789.599999999999</v>
      </c>
      <c r="Z18" s="8577">
        <f>+T18+V18</f>
        <v>37771.200000000004</v>
      </c>
      <c r="AA18" s="7051">
        <f t="shared" ref="AA18:AA20" si="60">+U18+W18</f>
        <v>37483.199999999997</v>
      </c>
      <c r="AB18" s="8594">
        <f>8.6*AB2*24</f>
        <v>6398.4</v>
      </c>
      <c r="AC18" s="1675">
        <v>6355.2</v>
      </c>
      <c r="AD18" s="8614">
        <f>+Z18+AB18</f>
        <v>44169.600000000006</v>
      </c>
      <c r="AE18" s="4501">
        <f t="shared" ref="AE18:AE20" si="61">+AA18+AC18</f>
        <v>43838.399999999994</v>
      </c>
      <c r="AF18" s="8594">
        <f>8.6*AF2*24</f>
        <v>6192</v>
      </c>
      <c r="AG18" s="1675">
        <v>6055.2</v>
      </c>
      <c r="AH18" s="8614">
        <f>+AD18+AF18</f>
        <v>50361.600000000006</v>
      </c>
      <c r="AI18" s="4501">
        <f t="shared" ref="AI18:AI20" si="62">+AE18+AG18</f>
        <v>49893.599999999991</v>
      </c>
      <c r="AJ18" s="8594">
        <f>8.6*AJ2*24</f>
        <v>6398.4</v>
      </c>
      <c r="AK18" s="1675">
        <v>6400.8</v>
      </c>
      <c r="AL18" s="8966">
        <f>+AJ18+AF18+AB18</f>
        <v>18988.8</v>
      </c>
      <c r="AM18" s="2396">
        <f t="shared" ref="AM18:AM19" si="63">+AK18+AG18+AC18</f>
        <v>18811.2</v>
      </c>
      <c r="AN18" s="8614">
        <f>+AH18+AJ18</f>
        <v>56760.000000000007</v>
      </c>
      <c r="AO18" s="4501">
        <f t="shared" ref="AO18:AO20" si="64">+AI18+AK18</f>
        <v>56294.399999999994</v>
      </c>
      <c r="AP18" s="8594">
        <f>8.6*AP2*24</f>
        <v>6398.4</v>
      </c>
      <c r="AQ18" s="3184">
        <v>6338.4</v>
      </c>
      <c r="AR18" s="8614">
        <f>+AN18+AP18</f>
        <v>63158.400000000009</v>
      </c>
      <c r="AS18" s="4501">
        <f t="shared" ref="AS18:AS20" si="65">+AO18+AQ18</f>
        <v>62632.799999999996</v>
      </c>
      <c r="AT18" s="8594">
        <f>8.6*AT2*24</f>
        <v>5779.2</v>
      </c>
      <c r="AU18" s="3184">
        <v>4423.2</v>
      </c>
      <c r="AV18" s="8614">
        <f>+AR18+AT18</f>
        <v>68937.600000000006</v>
      </c>
      <c r="AW18" s="4501">
        <f t="shared" ref="AW18:AW20" si="66">+AS18+AU18</f>
        <v>67056</v>
      </c>
      <c r="AX18" s="8594">
        <f>8.6*AX2*24</f>
        <v>6398.4</v>
      </c>
      <c r="AY18" s="3184">
        <v>5978.4</v>
      </c>
      <c r="AZ18" s="8966">
        <f>+AX18+AT18+AP18</f>
        <v>18576</v>
      </c>
      <c r="BA18" s="2396">
        <f t="shared" ref="BA18:BA19" si="67">+AY18+AU18+AQ18</f>
        <v>16740</v>
      </c>
      <c r="BB18" s="8966">
        <f>+AZ18+AV18+AR18</f>
        <v>150672</v>
      </c>
      <c r="BC18" s="2396">
        <f t="shared" si="54"/>
        <v>35551.199999999997</v>
      </c>
      <c r="BD18" s="8577">
        <f>+AV18+AX18</f>
        <v>75336</v>
      </c>
      <c r="BE18" s="7051">
        <f t="shared" ref="BE18:BE20" si="68">+AW18+AY18</f>
        <v>73034.399999999994</v>
      </c>
    </row>
    <row r="19" spans="1:57" x14ac:dyDescent="0.2">
      <c r="A19" s="3383" t="s">
        <v>1024</v>
      </c>
      <c r="B19" s="1760" t="s">
        <v>896</v>
      </c>
      <c r="C19" s="1545" t="s">
        <v>215</v>
      </c>
      <c r="D19" s="8596"/>
      <c r="E19" s="4406">
        <v>0</v>
      </c>
      <c r="F19" s="8596"/>
      <c r="G19" s="3184">
        <v>0</v>
      </c>
      <c r="H19" s="8982"/>
      <c r="I19" s="4501">
        <f t="shared" si="55"/>
        <v>0</v>
      </c>
      <c r="J19" s="8596"/>
      <c r="K19" s="3184">
        <v>0</v>
      </c>
      <c r="L19" s="8967"/>
      <c r="M19" s="4769">
        <f t="shared" si="56"/>
        <v>0</v>
      </c>
      <c r="N19" s="8596"/>
      <c r="O19" s="1675">
        <v>0</v>
      </c>
      <c r="P19" s="8982"/>
      <c r="Q19" s="4501">
        <f t="shared" si="57"/>
        <v>0</v>
      </c>
      <c r="R19" s="8596"/>
      <c r="S19" s="1675">
        <v>0</v>
      </c>
      <c r="T19" s="8982"/>
      <c r="U19" s="4501">
        <f t="shared" si="58"/>
        <v>0</v>
      </c>
      <c r="V19" s="8596"/>
      <c r="W19" s="1675">
        <v>0</v>
      </c>
      <c r="X19" s="8967"/>
      <c r="Y19" s="2396">
        <f t="shared" si="59"/>
        <v>0</v>
      </c>
      <c r="Z19" s="8968"/>
      <c r="AA19" s="7051">
        <f t="shared" si="60"/>
        <v>0</v>
      </c>
      <c r="AB19" s="8596"/>
      <c r="AC19" s="1675">
        <v>0</v>
      </c>
      <c r="AD19" s="8982"/>
      <c r="AE19" s="4501">
        <f t="shared" si="61"/>
        <v>0</v>
      </c>
      <c r="AF19" s="8596"/>
      <c r="AG19" s="1675">
        <v>0</v>
      </c>
      <c r="AH19" s="8982"/>
      <c r="AI19" s="4501">
        <f t="shared" si="62"/>
        <v>0</v>
      </c>
      <c r="AJ19" s="8596"/>
      <c r="AK19" s="1675">
        <v>0</v>
      </c>
      <c r="AL19" s="8967"/>
      <c r="AM19" s="2396">
        <f t="shared" si="63"/>
        <v>0</v>
      </c>
      <c r="AN19" s="8982"/>
      <c r="AO19" s="4501">
        <f t="shared" si="64"/>
        <v>0</v>
      </c>
      <c r="AP19" s="8596"/>
      <c r="AQ19" s="3184">
        <v>0</v>
      </c>
      <c r="AR19" s="8982"/>
      <c r="AS19" s="4501">
        <f t="shared" si="65"/>
        <v>0</v>
      </c>
      <c r="AT19" s="8596"/>
      <c r="AU19" s="3184">
        <v>0</v>
      </c>
      <c r="AV19" s="8982"/>
      <c r="AW19" s="4501">
        <f t="shared" si="66"/>
        <v>0</v>
      </c>
      <c r="AX19" s="8596"/>
      <c r="AY19" s="3184">
        <v>0</v>
      </c>
      <c r="AZ19" s="8967"/>
      <c r="BA19" s="2396">
        <f t="shared" si="67"/>
        <v>0</v>
      </c>
      <c r="BB19" s="8967"/>
      <c r="BC19" s="2396">
        <f t="shared" si="54"/>
        <v>0</v>
      </c>
      <c r="BD19" s="8968"/>
      <c r="BE19" s="7051">
        <f t="shared" si="68"/>
        <v>0</v>
      </c>
    </row>
    <row r="20" spans="1:57" ht="16" thickBot="1" x14ac:dyDescent="0.25">
      <c r="B20" s="1761" t="s">
        <v>894</v>
      </c>
      <c r="C20" s="1548" t="s">
        <v>215</v>
      </c>
      <c r="D20" s="5212">
        <v>0</v>
      </c>
      <c r="E20" s="4626">
        <v>32.4</v>
      </c>
      <c r="F20" s="5454">
        <v>0</v>
      </c>
      <c r="G20" s="3185">
        <v>32.5</v>
      </c>
      <c r="H20" s="4478">
        <f>+D20+F20</f>
        <v>0</v>
      </c>
      <c r="I20" s="4501">
        <f t="shared" si="55"/>
        <v>64.900000000000006</v>
      </c>
      <c r="J20" s="5789">
        <v>0</v>
      </c>
      <c r="K20" s="3185">
        <v>30.2</v>
      </c>
      <c r="L20" s="2885">
        <f>+H20+J20</f>
        <v>0</v>
      </c>
      <c r="M20" s="4769">
        <f t="shared" si="56"/>
        <v>95.100000000000009</v>
      </c>
      <c r="N20" s="1788">
        <v>0</v>
      </c>
      <c r="O20" s="1676">
        <v>30.1</v>
      </c>
      <c r="P20" s="4893">
        <f>+L20+N20</f>
        <v>0</v>
      </c>
      <c r="Q20" s="4501">
        <f t="shared" si="57"/>
        <v>125.20000000000002</v>
      </c>
      <c r="R20" s="1788">
        <v>0</v>
      </c>
      <c r="S20" s="1676">
        <v>29</v>
      </c>
      <c r="T20" s="6448">
        <f>+P20+R20</f>
        <v>0</v>
      </c>
      <c r="U20" s="4501">
        <f t="shared" si="58"/>
        <v>154.20000000000002</v>
      </c>
      <c r="V20" s="1788">
        <v>0</v>
      </c>
      <c r="W20" s="1676">
        <v>28.1</v>
      </c>
      <c r="X20" s="2396">
        <f>+V20+R20+N20</f>
        <v>0</v>
      </c>
      <c r="Y20" s="2396">
        <f>+W20+S20+O20</f>
        <v>87.2</v>
      </c>
      <c r="Z20" s="7057">
        <f>+T20+V20</f>
        <v>0</v>
      </c>
      <c r="AA20" s="7051">
        <f t="shared" si="60"/>
        <v>182.3</v>
      </c>
      <c r="AB20" s="1788">
        <v>0</v>
      </c>
      <c r="AC20" s="1676">
        <v>29</v>
      </c>
      <c r="AD20" s="7374">
        <f>+Z20+AB20</f>
        <v>0</v>
      </c>
      <c r="AE20" s="4501">
        <f t="shared" si="61"/>
        <v>211.3</v>
      </c>
      <c r="AF20" s="1788">
        <v>0</v>
      </c>
      <c r="AG20" s="1676">
        <v>28.1</v>
      </c>
      <c r="AH20" s="7622">
        <f>+AD20+AF20</f>
        <v>0</v>
      </c>
      <c r="AI20" s="4501">
        <f t="shared" si="62"/>
        <v>239.4</v>
      </c>
      <c r="AJ20" s="1788">
        <v>0</v>
      </c>
      <c r="AK20" s="1676">
        <v>29</v>
      </c>
      <c r="AL20" s="2396">
        <f>+AJ20+AF20+AB20</f>
        <v>0</v>
      </c>
      <c r="AM20" s="2396">
        <f>+AK20+AG20+AC20</f>
        <v>86.1</v>
      </c>
      <c r="AN20" s="7782">
        <f>+AH20+AJ20</f>
        <v>0</v>
      </c>
      <c r="AO20" s="4501">
        <f t="shared" si="64"/>
        <v>268.39999999999998</v>
      </c>
      <c r="AP20" s="1788">
        <v>0</v>
      </c>
      <c r="AQ20" s="3185">
        <v>29</v>
      </c>
      <c r="AR20" s="8109">
        <f>+AN20+AP20</f>
        <v>0</v>
      </c>
      <c r="AS20" s="4501">
        <f t="shared" si="65"/>
        <v>297.39999999999998</v>
      </c>
      <c r="AT20" s="1788">
        <v>0</v>
      </c>
      <c r="AU20" s="3185">
        <v>116.7</v>
      </c>
      <c r="AV20" s="8173">
        <f>+AR20+AT20</f>
        <v>0</v>
      </c>
      <c r="AW20" s="4501">
        <f t="shared" si="66"/>
        <v>414.09999999999997</v>
      </c>
      <c r="AX20" s="1788">
        <v>0</v>
      </c>
      <c r="AY20" s="3185">
        <v>28</v>
      </c>
      <c r="AZ20" s="2396">
        <f>+AX20+AT20+AP20</f>
        <v>0</v>
      </c>
      <c r="BA20" s="2396">
        <f>+AY20+AU20+AQ20</f>
        <v>173.7</v>
      </c>
      <c r="BB20" s="2396">
        <f>+AZ20+AV20+AR20</f>
        <v>0</v>
      </c>
      <c r="BC20" s="2396">
        <f t="shared" si="54"/>
        <v>259.79999999999995</v>
      </c>
      <c r="BD20" s="8330">
        <f>+AV20+AX20</f>
        <v>0</v>
      </c>
      <c r="BE20" s="7051">
        <f t="shared" si="68"/>
        <v>442.09999999999997</v>
      </c>
    </row>
    <row r="21" spans="1:57" ht="17" thickBot="1" x14ac:dyDescent="0.25">
      <c r="B21" s="1762" t="s">
        <v>15</v>
      </c>
      <c r="C21" s="1562" t="s">
        <v>215</v>
      </c>
      <c r="D21" s="3367">
        <f t="shared" ref="D21:F21" si="69">SUM(D17:D20)</f>
        <v>23040</v>
      </c>
      <c r="E21" s="2817">
        <f t="shared" ref="E21:I21" si="70">SUM(E17:E20)</f>
        <v>21600</v>
      </c>
      <c r="F21" s="3367">
        <f t="shared" si="69"/>
        <v>23808</v>
      </c>
      <c r="G21" s="1678">
        <f t="shared" si="70"/>
        <v>21696</v>
      </c>
      <c r="H21" s="2784">
        <f t="shared" si="70"/>
        <v>46848</v>
      </c>
      <c r="I21" s="4502">
        <f t="shared" si="70"/>
        <v>43296</v>
      </c>
      <c r="J21" s="3367">
        <f t="shared" ref="J21" si="71">SUM(J17:J20)</f>
        <v>23040</v>
      </c>
      <c r="K21" s="1678">
        <f t="shared" ref="K21:N21" si="72">SUM(K17:K20)</f>
        <v>20160</v>
      </c>
      <c r="L21" s="2000">
        <f t="shared" si="72"/>
        <v>69888</v>
      </c>
      <c r="M21" s="3071">
        <f t="shared" si="72"/>
        <v>63456</v>
      </c>
      <c r="N21" s="1750">
        <f t="shared" si="72"/>
        <v>23808</v>
      </c>
      <c r="O21" s="1678">
        <f t="shared" ref="O21:R21" si="73">SUM(O17:O20)</f>
        <v>20064</v>
      </c>
      <c r="P21" s="2784">
        <f t="shared" si="73"/>
        <v>93696</v>
      </c>
      <c r="Q21" s="4502">
        <f t="shared" si="73"/>
        <v>83520</v>
      </c>
      <c r="R21" s="1750">
        <f t="shared" si="73"/>
        <v>23808</v>
      </c>
      <c r="S21" s="1678">
        <f t="shared" ref="S21:V21" si="74">SUM(S17:S20)</f>
        <v>19344</v>
      </c>
      <c r="T21" s="2784">
        <f t="shared" si="74"/>
        <v>117504</v>
      </c>
      <c r="U21" s="4502">
        <f t="shared" si="74"/>
        <v>102864.00000000001</v>
      </c>
      <c r="V21" s="1750">
        <f t="shared" si="74"/>
        <v>23040</v>
      </c>
      <c r="W21" s="1678">
        <f t="shared" ref="W21:AJ21" si="75">SUM(W17:W20)</f>
        <v>18720</v>
      </c>
      <c r="X21" s="2000">
        <f t="shared" si="75"/>
        <v>70656</v>
      </c>
      <c r="Y21" s="3071">
        <f t="shared" si="75"/>
        <v>58127.999999999993</v>
      </c>
      <c r="Z21" s="6511">
        <f t="shared" si="75"/>
        <v>140544</v>
      </c>
      <c r="AA21" s="7052">
        <f t="shared" si="75"/>
        <v>121584.00000000001</v>
      </c>
      <c r="AB21" s="1750">
        <f t="shared" si="75"/>
        <v>23808</v>
      </c>
      <c r="AC21" s="1678">
        <f t="shared" si="75"/>
        <v>19344</v>
      </c>
      <c r="AD21" s="2784">
        <f t="shared" si="75"/>
        <v>164352</v>
      </c>
      <c r="AE21" s="4502">
        <f t="shared" si="75"/>
        <v>140928</v>
      </c>
      <c r="AF21" s="1750">
        <f t="shared" si="75"/>
        <v>23040</v>
      </c>
      <c r="AG21" s="1678">
        <f t="shared" si="75"/>
        <v>18720</v>
      </c>
      <c r="AH21" s="2784">
        <f t="shared" si="75"/>
        <v>187392</v>
      </c>
      <c r="AI21" s="4502">
        <f t="shared" si="75"/>
        <v>159648</v>
      </c>
      <c r="AJ21" s="1750">
        <f t="shared" si="75"/>
        <v>23808</v>
      </c>
      <c r="AK21" s="1678">
        <f t="shared" ref="AK21:AP21" si="76">SUM(AK17:AK20)</f>
        <v>19344</v>
      </c>
      <c r="AL21" s="2000">
        <f t="shared" si="76"/>
        <v>70656</v>
      </c>
      <c r="AM21" s="3071">
        <f t="shared" si="76"/>
        <v>57407.999999999993</v>
      </c>
      <c r="AN21" s="2784">
        <f t="shared" si="76"/>
        <v>211200</v>
      </c>
      <c r="AO21" s="4502">
        <f t="shared" si="76"/>
        <v>178992</v>
      </c>
      <c r="AP21" s="1750">
        <f t="shared" si="76"/>
        <v>23808</v>
      </c>
      <c r="AQ21" s="1678">
        <f t="shared" ref="AQ21:AT21" si="77">SUM(AQ17:AQ20)</f>
        <v>19344</v>
      </c>
      <c r="AR21" s="2784">
        <f t="shared" si="77"/>
        <v>235008</v>
      </c>
      <c r="AS21" s="4502">
        <f t="shared" si="77"/>
        <v>198336</v>
      </c>
      <c r="AT21" s="1750">
        <f t="shared" si="77"/>
        <v>21504</v>
      </c>
      <c r="AU21" s="1678">
        <f t="shared" ref="AU21:AX21" si="78">SUM(AU17:AU20)</f>
        <v>13872</v>
      </c>
      <c r="AV21" s="2784">
        <f t="shared" si="78"/>
        <v>256512</v>
      </c>
      <c r="AW21" s="4502">
        <f t="shared" si="78"/>
        <v>212208.00000000003</v>
      </c>
      <c r="AX21" s="1750">
        <f t="shared" si="78"/>
        <v>23808</v>
      </c>
      <c r="AY21" s="1678">
        <f t="shared" ref="AY21:BE21" si="79">SUM(AY17:AY20)</f>
        <v>18672</v>
      </c>
      <c r="AZ21" s="2000">
        <f t="shared" si="79"/>
        <v>69120</v>
      </c>
      <c r="BA21" s="3071">
        <f t="shared" si="79"/>
        <v>51888</v>
      </c>
      <c r="BB21" s="2000">
        <f t="shared" ref="BB21:BC21" si="80">SUM(BB17:BB20)</f>
        <v>560640</v>
      </c>
      <c r="BC21" s="3071">
        <f t="shared" si="80"/>
        <v>109296</v>
      </c>
      <c r="BD21" s="6511">
        <f t="shared" si="79"/>
        <v>280320</v>
      </c>
      <c r="BE21" s="7052">
        <f t="shared" si="79"/>
        <v>230880.00000000003</v>
      </c>
    </row>
    <row r="22" spans="1:57" s="3380" customFormat="1" ht="16" x14ac:dyDescent="0.2">
      <c r="B22" s="7063" t="s">
        <v>1000</v>
      </c>
      <c r="C22" s="5270"/>
      <c r="D22" s="5270"/>
      <c r="E22" s="7064"/>
      <c r="F22" s="5270"/>
      <c r="G22" s="7065"/>
      <c r="H22" s="7066"/>
      <c r="I22" s="7065"/>
      <c r="J22" s="5270"/>
      <c r="K22" s="7065"/>
      <c r="L22" s="5270"/>
      <c r="M22" s="7065"/>
      <c r="N22" s="7066"/>
      <c r="O22" s="7065"/>
      <c r="P22" s="7066"/>
      <c r="Q22" s="7065"/>
      <c r="R22" s="7066"/>
      <c r="S22" s="7065"/>
      <c r="T22" s="7066"/>
      <c r="U22" s="7065"/>
      <c r="V22" s="7066"/>
      <c r="W22" s="7065"/>
      <c r="X22" s="5270"/>
      <c r="Y22" s="7065"/>
      <c r="Z22" s="7066"/>
      <c r="AA22" s="7065"/>
      <c r="AB22" s="7066"/>
      <c r="AC22" s="7065"/>
      <c r="AD22" s="7066"/>
      <c r="AE22" s="7065"/>
      <c r="AF22" s="7066"/>
      <c r="AG22" s="7065"/>
      <c r="AH22" s="7066"/>
      <c r="AI22" s="7065"/>
      <c r="AJ22" s="7066"/>
      <c r="AK22" s="7065"/>
      <c r="AL22" s="5270"/>
      <c r="AM22" s="7065"/>
      <c r="AN22" s="7066"/>
      <c r="AO22" s="7065"/>
      <c r="AP22" s="7066"/>
      <c r="AQ22" s="7065"/>
      <c r="AR22" s="7066"/>
      <c r="AS22" s="7065"/>
      <c r="AT22" s="7066"/>
      <c r="AU22" s="7065"/>
      <c r="AV22" s="7066"/>
      <c r="AW22" s="7065"/>
      <c r="AX22" s="7066"/>
      <c r="AY22" s="7065"/>
      <c r="AZ22" s="5270"/>
      <c r="BA22" s="7065"/>
      <c r="BB22" s="5270"/>
      <c r="BC22" s="7065"/>
      <c r="BD22" s="7066"/>
      <c r="BE22" s="7065"/>
    </row>
    <row r="23" spans="1:57" x14ac:dyDescent="0.2">
      <c r="B23" s="1764" t="s">
        <v>1230</v>
      </c>
      <c r="C23" s="1545" t="s">
        <v>170</v>
      </c>
      <c r="D23" s="5214"/>
      <c r="E23" s="1965">
        <v>2891</v>
      </c>
      <c r="F23" s="5458"/>
      <c r="G23" s="1965">
        <v>2963</v>
      </c>
      <c r="H23" s="4474">
        <f>+D23+F23</f>
        <v>0</v>
      </c>
      <c r="I23" s="4507">
        <f>+E23+G23</f>
        <v>5854</v>
      </c>
      <c r="J23" s="5791"/>
      <c r="K23" s="2087">
        <v>2836</v>
      </c>
      <c r="L23" s="2396">
        <f>+H23+J23</f>
        <v>0</v>
      </c>
      <c r="M23" s="4772">
        <f>+I23+K23</f>
        <v>8690</v>
      </c>
      <c r="N23" s="4934"/>
      <c r="O23" s="1646">
        <v>2857</v>
      </c>
      <c r="P23" s="4891">
        <f>+L23+N23</f>
        <v>0</v>
      </c>
      <c r="Q23" s="4507">
        <f>+M23+O23</f>
        <v>11547</v>
      </c>
      <c r="R23" s="6449"/>
      <c r="S23" s="1646">
        <v>2841</v>
      </c>
      <c r="T23" s="6438">
        <f>+P23+R23</f>
        <v>0</v>
      </c>
      <c r="U23" s="4507">
        <f>+Q23+S23</f>
        <v>14388</v>
      </c>
      <c r="V23" s="7027"/>
      <c r="W23" s="1646">
        <v>2723</v>
      </c>
      <c r="X23" s="2396">
        <f t="shared" ref="X23:X26" si="81">+V23+R23+N23</f>
        <v>0</v>
      </c>
      <c r="Y23" s="2396">
        <f t="shared" ref="Y23:Y26" si="82">+W23+S23+O23</f>
        <v>8421</v>
      </c>
      <c r="Z23" s="7014">
        <f>+T23+V23</f>
        <v>0</v>
      </c>
      <c r="AA23" s="7058">
        <f>+U23+W23</f>
        <v>17111</v>
      </c>
      <c r="AB23" s="7376"/>
      <c r="AC23" s="1646">
        <v>2806</v>
      </c>
      <c r="AD23" s="7355">
        <f>+Z23+AB23</f>
        <v>0</v>
      </c>
      <c r="AE23" s="4507">
        <f>+AA23+AC23</f>
        <v>19917</v>
      </c>
      <c r="AF23" s="7626"/>
      <c r="AG23" s="1646">
        <v>2712</v>
      </c>
      <c r="AH23" s="7613">
        <f>+AD23+AF23</f>
        <v>0</v>
      </c>
      <c r="AI23" s="4507">
        <f>+AE23+AG23</f>
        <v>22629</v>
      </c>
      <c r="AJ23" s="7786"/>
      <c r="AK23" s="1646">
        <v>2806</v>
      </c>
      <c r="AL23" s="2396">
        <f t="shared" ref="AL23:AL26" si="83">+AJ23+AF23+AB23</f>
        <v>0</v>
      </c>
      <c r="AM23" s="2396">
        <f t="shared" ref="AM23:AM26" si="84">+AK23+AG23+AC23</f>
        <v>8324</v>
      </c>
      <c r="AN23" s="7769">
        <f>+AH23+AJ23</f>
        <v>0</v>
      </c>
      <c r="AO23" s="4507">
        <f>+AI23+AK23</f>
        <v>25435</v>
      </c>
      <c r="AP23" s="8113"/>
      <c r="AQ23" s="1646">
        <v>2806</v>
      </c>
      <c r="AR23" s="8095">
        <f>+AN23+AP23</f>
        <v>0</v>
      </c>
      <c r="AS23" s="4507">
        <f>+AO23+AQ23</f>
        <v>28241</v>
      </c>
      <c r="AT23" s="8176"/>
      <c r="AU23" s="1646">
        <v>2010</v>
      </c>
      <c r="AV23" s="8149">
        <f>+AR23+AT23</f>
        <v>0</v>
      </c>
      <c r="AW23" s="4507">
        <f>+AS23+AU23</f>
        <v>30251</v>
      </c>
      <c r="AX23" s="8333"/>
      <c r="AY23" s="1646">
        <v>2972</v>
      </c>
      <c r="AZ23" s="2396">
        <f t="shared" ref="AZ23:AZ26" si="85">+AX23+AT23+AP23</f>
        <v>0</v>
      </c>
      <c r="BA23" s="2396">
        <f t="shared" ref="BA23:BA26" si="86">+AY23+AU23+AQ23</f>
        <v>7788</v>
      </c>
      <c r="BB23" s="2396">
        <f t="shared" ref="BB23:BB26" si="87">+AZ23+AV23+AR23</f>
        <v>0</v>
      </c>
      <c r="BC23" s="2396">
        <f t="shared" ref="BC23:BC26" si="88">+AM23+BA23</f>
        <v>16112</v>
      </c>
      <c r="BD23" s="8280">
        <f>+AV23+AX23</f>
        <v>0</v>
      </c>
      <c r="BE23" s="7058">
        <f>+AW23+AY23</f>
        <v>33223</v>
      </c>
    </row>
    <row r="24" spans="1:57" x14ac:dyDescent="0.2">
      <c r="A24" s="3383" t="s">
        <v>1024</v>
      </c>
      <c r="B24" s="1765" t="s">
        <v>905</v>
      </c>
      <c r="C24" s="1545" t="s">
        <v>1001</v>
      </c>
      <c r="D24" s="4811"/>
      <c r="E24" s="2750">
        <v>0</v>
      </c>
      <c r="F24" s="4811"/>
      <c r="G24" s="2750">
        <v>0</v>
      </c>
      <c r="H24" s="4475">
        <f t="shared" ref="H24:H26" si="89">+D24+F24</f>
        <v>0</v>
      </c>
      <c r="I24" s="4508">
        <f t="shared" ref="I24:I26" si="90">+E24+G24</f>
        <v>0</v>
      </c>
      <c r="J24" s="4811"/>
      <c r="K24" s="1646">
        <v>0</v>
      </c>
      <c r="L24" s="2002">
        <f t="shared" ref="L24:L26" si="91">+H24+J24</f>
        <v>0</v>
      </c>
      <c r="M24" s="4773">
        <f t="shared" ref="M24:M26" si="92">+I24+K24</f>
        <v>0</v>
      </c>
      <c r="N24" s="4936"/>
      <c r="O24" s="1646">
        <v>0</v>
      </c>
      <c r="P24" s="4809">
        <f t="shared" ref="P24:P26" si="93">+L24+N24</f>
        <v>0</v>
      </c>
      <c r="Q24" s="4508">
        <f t="shared" ref="Q24:Q26" si="94">+M24+O24</f>
        <v>0</v>
      </c>
      <c r="R24" s="6443"/>
      <c r="S24" s="1646">
        <v>0</v>
      </c>
      <c r="T24" s="4809">
        <f t="shared" ref="T24:T26" si="95">+P24+R24</f>
        <v>0</v>
      </c>
      <c r="U24" s="4508">
        <f t="shared" ref="U24:U26" si="96">+Q24+S24</f>
        <v>0</v>
      </c>
      <c r="V24" s="7021"/>
      <c r="W24" s="1646">
        <v>0</v>
      </c>
      <c r="X24" s="2396">
        <f t="shared" si="81"/>
        <v>0</v>
      </c>
      <c r="Y24" s="2396">
        <f t="shared" si="82"/>
        <v>0</v>
      </c>
      <c r="Z24" s="6519">
        <f t="shared" ref="Z24:Z26" si="97">+T24+V24</f>
        <v>0</v>
      </c>
      <c r="AA24" s="7059">
        <f t="shared" ref="AA24:AA26" si="98">+U24+W24</f>
        <v>0</v>
      </c>
      <c r="AB24" s="7366"/>
      <c r="AC24" s="1646">
        <v>0</v>
      </c>
      <c r="AD24" s="4809">
        <f t="shared" ref="AD24:AD26" si="99">+Z24+AB24</f>
        <v>0</v>
      </c>
      <c r="AE24" s="4508">
        <f t="shared" ref="AE24:AE26" si="100">+AA24+AC24</f>
        <v>0</v>
      </c>
      <c r="AF24" s="7621"/>
      <c r="AG24" s="1646">
        <v>0</v>
      </c>
      <c r="AH24" s="4809">
        <f t="shared" ref="AH24:AH26" si="101">+AD24+AF24</f>
        <v>0</v>
      </c>
      <c r="AI24" s="4508">
        <f t="shared" ref="AI24:AI26" si="102">+AE24+AG24</f>
        <v>0</v>
      </c>
      <c r="AJ24" s="7779"/>
      <c r="AK24" s="1646">
        <v>0</v>
      </c>
      <c r="AL24" s="2396">
        <f t="shared" si="83"/>
        <v>0</v>
      </c>
      <c r="AM24" s="2396">
        <f t="shared" si="84"/>
        <v>0</v>
      </c>
      <c r="AN24" s="4809">
        <f t="shared" ref="AN24:AN26" si="103">+AH24+AJ24</f>
        <v>0</v>
      </c>
      <c r="AO24" s="4508">
        <f t="shared" ref="AO24:AO26" si="104">+AI24+AK24</f>
        <v>0</v>
      </c>
      <c r="AP24" s="8107"/>
      <c r="AQ24" s="1646">
        <v>0</v>
      </c>
      <c r="AR24" s="4809">
        <f t="shared" ref="AR24:AR26" si="105">+AN24+AP24</f>
        <v>0</v>
      </c>
      <c r="AS24" s="4508">
        <f t="shared" ref="AS24:AS26" si="106">+AO24+AQ24</f>
        <v>0</v>
      </c>
      <c r="AT24" s="8170"/>
      <c r="AU24" s="1646">
        <v>0</v>
      </c>
      <c r="AV24" s="4809">
        <f t="shared" ref="AV24:AV26" si="107">+AR24+AT24</f>
        <v>0</v>
      </c>
      <c r="AW24" s="4508">
        <f t="shared" ref="AW24:AW26" si="108">+AS24+AU24</f>
        <v>0</v>
      </c>
      <c r="AX24" s="8321"/>
      <c r="AY24" s="1646">
        <v>0</v>
      </c>
      <c r="AZ24" s="2396">
        <f t="shared" si="85"/>
        <v>0</v>
      </c>
      <c r="BA24" s="2396">
        <f t="shared" si="86"/>
        <v>0</v>
      </c>
      <c r="BB24" s="2396">
        <f t="shared" si="87"/>
        <v>0</v>
      </c>
      <c r="BC24" s="2396">
        <f t="shared" si="88"/>
        <v>0</v>
      </c>
      <c r="BD24" s="6519">
        <f t="shared" ref="BD24:BD26" si="109">+AV24+AX24</f>
        <v>0</v>
      </c>
      <c r="BE24" s="7059">
        <f t="shared" ref="BE24:BE26" si="110">+AW24+AY24</f>
        <v>0</v>
      </c>
    </row>
    <row r="25" spans="1:57" x14ac:dyDescent="0.2">
      <c r="A25" s="3383" t="s">
        <v>1024</v>
      </c>
      <c r="B25" s="1765" t="s">
        <v>906</v>
      </c>
      <c r="C25" s="1545" t="s">
        <v>1002</v>
      </c>
      <c r="D25" s="4811">
        <f>3*D2*24</f>
        <v>2160</v>
      </c>
      <c r="E25" s="2750">
        <v>3002.93</v>
      </c>
      <c r="F25" s="4811">
        <f>3*F2*24</f>
        <v>2232</v>
      </c>
      <c r="G25" s="2750">
        <v>3075.1</v>
      </c>
      <c r="H25" s="4475">
        <f t="shared" si="89"/>
        <v>4392</v>
      </c>
      <c r="I25" s="4508">
        <f t="shared" si="90"/>
        <v>6078.03</v>
      </c>
      <c r="J25" s="4811">
        <f>3*J2*24</f>
        <v>2160</v>
      </c>
      <c r="K25" s="1646">
        <v>2777.8</v>
      </c>
      <c r="L25" s="2002">
        <f t="shared" si="91"/>
        <v>6552</v>
      </c>
      <c r="M25" s="4773">
        <f t="shared" si="92"/>
        <v>8855.83</v>
      </c>
      <c r="N25" s="4811">
        <f>3*N2*24</f>
        <v>2232</v>
      </c>
      <c r="O25" s="1646">
        <v>2952.8</v>
      </c>
      <c r="P25" s="4809">
        <f t="shared" si="93"/>
        <v>8784</v>
      </c>
      <c r="Q25" s="4508">
        <f t="shared" si="94"/>
        <v>11808.630000000001</v>
      </c>
      <c r="R25" s="4811">
        <f>3*R2*24</f>
        <v>2232</v>
      </c>
      <c r="S25" s="1646">
        <v>3068.1</v>
      </c>
      <c r="T25" s="4809">
        <f t="shared" si="95"/>
        <v>11016</v>
      </c>
      <c r="U25" s="4508">
        <f t="shared" si="96"/>
        <v>14876.730000000001</v>
      </c>
      <c r="V25" s="4811">
        <f>3*V2*24</f>
        <v>2160</v>
      </c>
      <c r="W25" s="1646">
        <v>2895.35</v>
      </c>
      <c r="X25" s="2396">
        <f t="shared" si="81"/>
        <v>6624</v>
      </c>
      <c r="Y25" s="2396">
        <f t="shared" si="82"/>
        <v>8916.25</v>
      </c>
      <c r="Z25" s="6519">
        <f t="shared" si="97"/>
        <v>13176</v>
      </c>
      <c r="AA25" s="7059">
        <f t="shared" si="98"/>
        <v>17772.080000000002</v>
      </c>
      <c r="AB25" s="4811">
        <f>3*AB2*24</f>
        <v>2232</v>
      </c>
      <c r="AC25" s="1646">
        <v>3001.1</v>
      </c>
      <c r="AD25" s="4809">
        <f t="shared" si="99"/>
        <v>15408</v>
      </c>
      <c r="AE25" s="4508">
        <f t="shared" si="100"/>
        <v>20773.18</v>
      </c>
      <c r="AF25" s="4811">
        <f>3*AF2*24</f>
        <v>2160</v>
      </c>
      <c r="AG25" s="1646">
        <v>2733.7</v>
      </c>
      <c r="AH25" s="4809">
        <f t="shared" si="101"/>
        <v>17568</v>
      </c>
      <c r="AI25" s="4508">
        <f t="shared" si="102"/>
        <v>23506.880000000001</v>
      </c>
      <c r="AJ25" s="4811">
        <f>3*AJ2*24</f>
        <v>2232</v>
      </c>
      <c r="AK25" s="1646">
        <v>2852.64</v>
      </c>
      <c r="AL25" s="2396">
        <f t="shared" si="83"/>
        <v>6624</v>
      </c>
      <c r="AM25" s="2396">
        <f t="shared" si="84"/>
        <v>8587.44</v>
      </c>
      <c r="AN25" s="4809">
        <f t="shared" si="103"/>
        <v>19800</v>
      </c>
      <c r="AO25" s="4508">
        <f t="shared" si="104"/>
        <v>26359.52</v>
      </c>
      <c r="AP25" s="4811">
        <f>3*AP2*24</f>
        <v>2232</v>
      </c>
      <c r="AQ25" s="1646">
        <v>2896.94</v>
      </c>
      <c r="AR25" s="4809">
        <f t="shared" si="105"/>
        <v>22032</v>
      </c>
      <c r="AS25" s="4508">
        <f t="shared" si="106"/>
        <v>29256.46</v>
      </c>
      <c r="AT25" s="4811">
        <f>3*AT2*24</f>
        <v>2016</v>
      </c>
      <c r="AU25" s="1646">
        <v>2172</v>
      </c>
      <c r="AV25" s="4809">
        <f t="shared" si="107"/>
        <v>24048</v>
      </c>
      <c r="AW25" s="4508">
        <f t="shared" si="108"/>
        <v>31428.46</v>
      </c>
      <c r="AX25" s="4811">
        <f>3*AX2*24</f>
        <v>2232</v>
      </c>
      <c r="AY25" s="1646">
        <v>2503</v>
      </c>
      <c r="AZ25" s="2396">
        <f t="shared" si="85"/>
        <v>6480</v>
      </c>
      <c r="BA25" s="2396">
        <f t="shared" si="86"/>
        <v>7571.9400000000005</v>
      </c>
      <c r="BB25" s="2396">
        <f t="shared" si="87"/>
        <v>52560</v>
      </c>
      <c r="BC25" s="2396">
        <f t="shared" si="88"/>
        <v>16159.380000000001</v>
      </c>
      <c r="BD25" s="6519">
        <f t="shared" si="109"/>
        <v>26280</v>
      </c>
      <c r="BE25" s="7059">
        <f t="shared" si="110"/>
        <v>33931.46</v>
      </c>
    </row>
    <row r="26" spans="1:57" ht="16" thickBot="1" x14ac:dyDescent="0.25">
      <c r="A26" s="3383" t="s">
        <v>1024</v>
      </c>
      <c r="B26" s="1765" t="s">
        <v>907</v>
      </c>
      <c r="C26" s="1545" t="s">
        <v>921</v>
      </c>
      <c r="D26" s="3225">
        <v>0</v>
      </c>
      <c r="E26" s="4698">
        <v>0</v>
      </c>
      <c r="F26" s="3225">
        <v>0</v>
      </c>
      <c r="G26" s="2818">
        <v>0</v>
      </c>
      <c r="H26" s="2789">
        <f t="shared" si="89"/>
        <v>0</v>
      </c>
      <c r="I26" s="4509">
        <f t="shared" si="90"/>
        <v>0</v>
      </c>
      <c r="J26" s="3225">
        <v>0</v>
      </c>
      <c r="K26" s="1817">
        <v>0</v>
      </c>
      <c r="L26" s="2025">
        <f t="shared" si="91"/>
        <v>0</v>
      </c>
      <c r="M26" s="4774">
        <f t="shared" si="92"/>
        <v>0</v>
      </c>
      <c r="N26" s="2782">
        <v>0</v>
      </c>
      <c r="O26" s="1817">
        <v>0</v>
      </c>
      <c r="P26" s="2795">
        <f t="shared" si="93"/>
        <v>0</v>
      </c>
      <c r="Q26" s="4509">
        <f t="shared" si="94"/>
        <v>0</v>
      </c>
      <c r="R26" s="2782">
        <v>0</v>
      </c>
      <c r="S26" s="1817">
        <v>0</v>
      </c>
      <c r="T26" s="2795">
        <f t="shared" si="95"/>
        <v>0</v>
      </c>
      <c r="U26" s="4509">
        <f t="shared" si="96"/>
        <v>0</v>
      </c>
      <c r="V26" s="2782">
        <v>0</v>
      </c>
      <c r="W26" s="1817">
        <v>0</v>
      </c>
      <c r="X26" s="2396">
        <f t="shared" si="81"/>
        <v>0</v>
      </c>
      <c r="Y26" s="2396">
        <f t="shared" si="82"/>
        <v>0</v>
      </c>
      <c r="Z26" s="6640">
        <f t="shared" si="97"/>
        <v>0</v>
      </c>
      <c r="AA26" s="7060">
        <f t="shared" si="98"/>
        <v>0</v>
      </c>
      <c r="AB26" s="2782">
        <v>0</v>
      </c>
      <c r="AC26" s="1817">
        <v>0</v>
      </c>
      <c r="AD26" s="2795">
        <f t="shared" si="99"/>
        <v>0</v>
      </c>
      <c r="AE26" s="4509">
        <f t="shared" si="100"/>
        <v>0</v>
      </c>
      <c r="AF26" s="2782">
        <v>0</v>
      </c>
      <c r="AG26" s="1817">
        <v>0</v>
      </c>
      <c r="AH26" s="2795">
        <f t="shared" si="101"/>
        <v>0</v>
      </c>
      <c r="AI26" s="4509">
        <f t="shared" si="102"/>
        <v>0</v>
      </c>
      <c r="AJ26" s="2782">
        <v>0</v>
      </c>
      <c r="AK26" s="1817">
        <v>0</v>
      </c>
      <c r="AL26" s="2396">
        <f t="shared" si="83"/>
        <v>0</v>
      </c>
      <c r="AM26" s="2396">
        <f t="shared" si="84"/>
        <v>0</v>
      </c>
      <c r="AN26" s="2795">
        <f t="shared" si="103"/>
        <v>0</v>
      </c>
      <c r="AO26" s="4509">
        <f t="shared" si="104"/>
        <v>0</v>
      </c>
      <c r="AP26" s="2782">
        <v>0</v>
      </c>
      <c r="AQ26" s="1817">
        <v>0</v>
      </c>
      <c r="AR26" s="2795">
        <f t="shared" si="105"/>
        <v>0</v>
      </c>
      <c r="AS26" s="4509">
        <f t="shared" si="106"/>
        <v>0</v>
      </c>
      <c r="AT26" s="2782">
        <v>0</v>
      </c>
      <c r="AU26" s="1817">
        <v>0</v>
      </c>
      <c r="AV26" s="2795">
        <f t="shared" si="107"/>
        <v>0</v>
      </c>
      <c r="AW26" s="4509">
        <f t="shared" si="108"/>
        <v>0</v>
      </c>
      <c r="AX26" s="2782">
        <v>0</v>
      </c>
      <c r="AY26" s="1817">
        <v>0</v>
      </c>
      <c r="AZ26" s="2396">
        <f t="shared" si="85"/>
        <v>0</v>
      </c>
      <c r="BA26" s="2396">
        <f t="shared" si="86"/>
        <v>0</v>
      </c>
      <c r="BB26" s="2396">
        <f t="shared" si="87"/>
        <v>0</v>
      </c>
      <c r="BC26" s="2396">
        <f t="shared" si="88"/>
        <v>0</v>
      </c>
      <c r="BD26" s="6640">
        <f t="shared" si="109"/>
        <v>0</v>
      </c>
      <c r="BE26" s="7060">
        <f t="shared" si="110"/>
        <v>0</v>
      </c>
    </row>
    <row r="27" spans="1:57" ht="17" thickBot="1" x14ac:dyDescent="0.25">
      <c r="B27" s="1766"/>
      <c r="C27" s="1753"/>
      <c r="D27" s="5271"/>
      <c r="E27" s="4484"/>
      <c r="F27" s="5271"/>
      <c r="G27" s="4493"/>
      <c r="H27" s="3107"/>
      <c r="I27" s="2996"/>
      <c r="J27" s="5271"/>
      <c r="K27" s="2996"/>
      <c r="L27" s="2063"/>
      <c r="M27" s="2996"/>
      <c r="N27" s="3107"/>
      <c r="O27" s="2996"/>
      <c r="P27" s="3107"/>
      <c r="Q27" s="2996"/>
      <c r="R27" s="3107"/>
      <c r="S27" s="2996"/>
      <c r="T27" s="3107"/>
      <c r="U27" s="2996"/>
      <c r="V27" s="3107"/>
      <c r="W27" s="2996"/>
      <c r="X27" s="2063"/>
      <c r="Y27" s="2996"/>
      <c r="Z27" s="3107"/>
      <c r="AA27" s="2996"/>
      <c r="AB27" s="3107"/>
      <c r="AC27" s="2996"/>
      <c r="AD27" s="3107"/>
      <c r="AE27" s="2996"/>
      <c r="AF27" s="3107"/>
      <c r="AG27" s="2996"/>
      <c r="AH27" s="3107"/>
      <c r="AI27" s="2996"/>
      <c r="AJ27" s="3107"/>
      <c r="AK27" s="2996"/>
      <c r="AL27" s="2063"/>
      <c r="AM27" s="2996"/>
      <c r="AN27" s="3107"/>
      <c r="AO27" s="2996"/>
      <c r="AP27" s="3107"/>
      <c r="AQ27" s="2996"/>
      <c r="AR27" s="3107"/>
      <c r="AS27" s="2996"/>
      <c r="AT27" s="3107"/>
      <c r="AU27" s="2996"/>
      <c r="AV27" s="3107"/>
      <c r="AW27" s="2996"/>
      <c r="AX27" s="3107"/>
      <c r="AY27" s="2996"/>
      <c r="AZ27" s="2063"/>
      <c r="BA27" s="2996"/>
      <c r="BB27" s="2063"/>
      <c r="BC27" s="2996"/>
      <c r="BD27" s="3107"/>
      <c r="BE27" s="2996"/>
    </row>
    <row r="28" spans="1:57" ht="16" x14ac:dyDescent="0.2">
      <c r="B28" s="1763" t="s">
        <v>898</v>
      </c>
      <c r="C28" s="1642"/>
      <c r="D28" s="5270"/>
      <c r="E28" s="4483"/>
      <c r="F28" s="5270"/>
      <c r="G28" s="2995"/>
      <c r="H28" s="2882"/>
      <c r="I28" s="2995"/>
      <c r="J28" s="5270"/>
      <c r="K28" s="2995"/>
      <c r="L28" s="1642"/>
      <c r="M28" s="2995"/>
      <c r="N28" s="2882"/>
      <c r="O28" s="2995"/>
      <c r="P28" s="2882"/>
      <c r="Q28" s="2995"/>
      <c r="R28" s="2882"/>
      <c r="S28" s="2995"/>
      <c r="T28" s="2882"/>
      <c r="U28" s="2995"/>
      <c r="V28" s="2882"/>
      <c r="W28" s="2995"/>
      <c r="X28" s="1642"/>
      <c r="Y28" s="2995"/>
      <c r="Z28" s="2882"/>
      <c r="AA28" s="2995"/>
      <c r="AB28" s="2882"/>
      <c r="AC28" s="2995"/>
      <c r="AD28" s="2882"/>
      <c r="AE28" s="2995"/>
      <c r="AF28" s="2882"/>
      <c r="AG28" s="2995"/>
      <c r="AH28" s="2882"/>
      <c r="AI28" s="2995"/>
      <c r="AJ28" s="2882"/>
      <c r="AK28" s="2995"/>
      <c r="AL28" s="1642"/>
      <c r="AM28" s="2995"/>
      <c r="AN28" s="2882"/>
      <c r="AO28" s="2995"/>
      <c r="AP28" s="2882"/>
      <c r="AQ28" s="2995"/>
      <c r="AR28" s="2882"/>
      <c r="AS28" s="2995"/>
      <c r="AT28" s="2882"/>
      <c r="AU28" s="2995"/>
      <c r="AV28" s="2882"/>
      <c r="AW28" s="2995"/>
      <c r="AX28" s="2882"/>
      <c r="AY28" s="2995"/>
      <c r="AZ28" s="1642"/>
      <c r="BA28" s="2995"/>
      <c r="BB28" s="1642"/>
      <c r="BC28" s="2995"/>
      <c r="BD28" s="2882"/>
      <c r="BE28" s="2995"/>
    </row>
    <row r="29" spans="1:57" x14ac:dyDescent="0.2">
      <c r="B29" s="1764" t="s">
        <v>904</v>
      </c>
      <c r="C29" s="1545" t="s">
        <v>900</v>
      </c>
      <c r="D29" s="3785">
        <f t="shared" ref="D29:G29" si="111">+D15/(D2*24)</f>
        <v>32</v>
      </c>
      <c r="E29" s="3849">
        <f t="shared" ref="E29:M29" si="112">+E15/(E2*24)</f>
        <v>30</v>
      </c>
      <c r="F29" s="3785">
        <f t="shared" si="111"/>
        <v>32</v>
      </c>
      <c r="G29" s="3849">
        <f t="shared" si="111"/>
        <v>29.161290322580644</v>
      </c>
      <c r="H29" s="2793">
        <f t="shared" si="112"/>
        <v>32</v>
      </c>
      <c r="I29" s="6279">
        <f t="shared" si="112"/>
        <v>29.57377049180328</v>
      </c>
      <c r="J29" s="3785">
        <f t="shared" si="112"/>
        <v>32</v>
      </c>
      <c r="K29" s="3849">
        <f t="shared" ref="K29" si="113">+K15/(K2*24)</f>
        <v>28</v>
      </c>
      <c r="L29" s="2023">
        <f t="shared" si="112"/>
        <v>32</v>
      </c>
      <c r="M29" s="6280">
        <f t="shared" si="112"/>
        <v>29.054945054945055</v>
      </c>
      <c r="N29" s="2683">
        <f t="shared" ref="N29:O29" si="114">+N15/(N2*24)</f>
        <v>32</v>
      </c>
      <c r="O29" s="3849">
        <f t="shared" si="114"/>
        <v>26.967741935483872</v>
      </c>
      <c r="P29" s="2793">
        <f t="shared" ref="P29:S29" si="115">+P15/(P2*24)</f>
        <v>32</v>
      </c>
      <c r="Q29" s="6279">
        <f t="shared" si="115"/>
        <v>28.524590163934427</v>
      </c>
      <c r="R29" s="2683">
        <f t="shared" si="115"/>
        <v>32</v>
      </c>
      <c r="S29" s="3849">
        <f t="shared" si="115"/>
        <v>26</v>
      </c>
      <c r="T29" s="2793">
        <f t="shared" ref="T29:Y29" si="116">+T15/(T2*24)</f>
        <v>32</v>
      </c>
      <c r="U29" s="6279">
        <f t="shared" si="116"/>
        <v>28.013071895424837</v>
      </c>
      <c r="V29" s="2683">
        <f t="shared" si="116"/>
        <v>32</v>
      </c>
      <c r="W29" s="3849">
        <f t="shared" si="116"/>
        <v>26</v>
      </c>
      <c r="X29" s="2023">
        <f t="shared" si="116"/>
        <v>32</v>
      </c>
      <c r="Y29" s="6280">
        <f t="shared" si="116"/>
        <v>26.326086956521738</v>
      </c>
      <c r="Z29" s="6618">
        <f t="shared" ref="Z29:AM29" si="117">+Z15/(Z2*24)</f>
        <v>32</v>
      </c>
      <c r="AA29" s="7061">
        <f t="shared" si="117"/>
        <v>27.683060109289617</v>
      </c>
      <c r="AB29" s="2683">
        <f t="shared" si="117"/>
        <v>32</v>
      </c>
      <c r="AC29" s="3849">
        <f t="shared" si="117"/>
        <v>26</v>
      </c>
      <c r="AD29" s="2793">
        <f t="shared" si="117"/>
        <v>32</v>
      </c>
      <c r="AE29" s="6279">
        <f t="shared" si="117"/>
        <v>27.439252336448597</v>
      </c>
      <c r="AF29" s="2683">
        <f t="shared" si="117"/>
        <v>32</v>
      </c>
      <c r="AG29" s="3849">
        <f t="shared" si="117"/>
        <v>26</v>
      </c>
      <c r="AH29" s="2793">
        <f t="shared" si="117"/>
        <v>32</v>
      </c>
      <c r="AI29" s="6279">
        <f t="shared" si="117"/>
        <v>27.262295081967213</v>
      </c>
      <c r="AJ29" s="2683">
        <f t="shared" si="117"/>
        <v>32</v>
      </c>
      <c r="AK29" s="3849">
        <f t="shared" si="117"/>
        <v>26</v>
      </c>
      <c r="AL29" s="2023">
        <f t="shared" si="117"/>
        <v>32</v>
      </c>
      <c r="AM29" s="6280">
        <f t="shared" si="117"/>
        <v>26</v>
      </c>
      <c r="AN29" s="2793">
        <f t="shared" ref="AN29:AS29" si="118">+AN15/(AN2*24)</f>
        <v>32</v>
      </c>
      <c r="AO29" s="6279">
        <f t="shared" si="118"/>
        <v>27.12</v>
      </c>
      <c r="AP29" s="2683">
        <f t="shared" si="118"/>
        <v>32</v>
      </c>
      <c r="AQ29" s="3849">
        <f t="shared" si="118"/>
        <v>26</v>
      </c>
      <c r="AR29" s="2793">
        <f t="shared" si="118"/>
        <v>32</v>
      </c>
      <c r="AS29" s="6279">
        <f t="shared" si="118"/>
        <v>27.006535947712418</v>
      </c>
      <c r="AT29" s="2683">
        <f t="shared" ref="AT29:AW29" si="119">+AT15/(AT2*24)</f>
        <v>32</v>
      </c>
      <c r="AU29" s="3849">
        <f t="shared" si="119"/>
        <v>20.642857142857142</v>
      </c>
      <c r="AV29" s="2793">
        <f t="shared" si="119"/>
        <v>32</v>
      </c>
      <c r="AW29" s="6279">
        <f t="shared" si="119"/>
        <v>26.473053892215567</v>
      </c>
      <c r="AX29" s="2683">
        <f t="shared" ref="AX29:BE29" si="120">+AX15/(AX2*24)</f>
        <v>32</v>
      </c>
      <c r="AY29" s="3849">
        <f t="shared" si="120"/>
        <v>25.096774193548388</v>
      </c>
      <c r="AZ29" s="2023">
        <f t="shared" si="120"/>
        <v>32</v>
      </c>
      <c r="BA29" s="6280">
        <f t="shared" si="120"/>
        <v>24.022222222222222</v>
      </c>
      <c r="BB29" s="2023">
        <f t="shared" ref="BB29:BC29" si="121">+BB15/(BB2*24)</f>
        <v>128.35164835164835</v>
      </c>
      <c r="BC29" s="6280">
        <f t="shared" si="121"/>
        <v>105.86813186813187</v>
      </c>
      <c r="BD29" s="6618">
        <f t="shared" si="120"/>
        <v>32</v>
      </c>
      <c r="BE29" s="7061">
        <f t="shared" si="120"/>
        <v>26.356164383561644</v>
      </c>
    </row>
    <row r="30" spans="1:57" x14ac:dyDescent="0.2">
      <c r="B30" s="1765" t="s">
        <v>1230</v>
      </c>
      <c r="C30" s="1545" t="s">
        <v>901</v>
      </c>
      <c r="D30" s="3224">
        <f>+D23/D21*1000</f>
        <v>0</v>
      </c>
      <c r="E30" s="2723">
        <f>+(E23*1000)/E15</f>
        <v>133.84259259259258</v>
      </c>
      <c r="F30" s="3224">
        <f>+F23/F21*1000</f>
        <v>0</v>
      </c>
      <c r="G30" s="2723">
        <f>+(G23*1000)/G15</f>
        <v>136.56895280235989</v>
      </c>
      <c r="H30" s="2794">
        <f>+H23/H$21*1000</f>
        <v>0</v>
      </c>
      <c r="I30" s="5307">
        <f>+(I23*1000)/I15</f>
        <v>135.20879526977089</v>
      </c>
      <c r="J30" s="3224">
        <f>+J23/J21*1000</f>
        <v>0</v>
      </c>
      <c r="K30" s="2723">
        <f>+(K23*1000)/K15</f>
        <v>140.67460317460316</v>
      </c>
      <c r="L30" s="2024">
        <f>+L23/L$21*1000</f>
        <v>0</v>
      </c>
      <c r="M30" s="5709">
        <f>+(M23*1000)/M15</f>
        <v>136.94528492183559</v>
      </c>
      <c r="N30" s="2706">
        <f>+N23/N21*1000</f>
        <v>0</v>
      </c>
      <c r="O30" s="2723">
        <f>+(O23*1000)/O15</f>
        <v>142.39433811802232</v>
      </c>
      <c r="P30" s="2794">
        <f>+P23/P$21*1000</f>
        <v>0</v>
      </c>
      <c r="Q30" s="5307">
        <f>+(Q23*1000)/Q15</f>
        <v>138.25431034482759</v>
      </c>
      <c r="R30" s="2706">
        <f>+R23/R21*1000</f>
        <v>0</v>
      </c>
      <c r="S30" s="2723">
        <f>+(S23*1000)/S15</f>
        <v>146.86724565756825</v>
      </c>
      <c r="T30" s="2794">
        <f>+T23/T$21*1000</f>
        <v>0</v>
      </c>
      <c r="U30" s="5307">
        <f>+(U23*1000)/U15</f>
        <v>139.87400839944004</v>
      </c>
      <c r="V30" s="2706">
        <f>+V23/V21*1000</f>
        <v>0</v>
      </c>
      <c r="W30" s="2723">
        <f>+(W23*1000)/W15</f>
        <v>145.4594017094017</v>
      </c>
      <c r="X30" s="5709">
        <f>+X23/X$21*1000</f>
        <v>0</v>
      </c>
      <c r="Y30" s="5709">
        <f>+(Y23*1000)/Y15</f>
        <v>144.86994219653178</v>
      </c>
      <c r="Z30" s="6617">
        <f>+Z23/Z$21*1000</f>
        <v>0</v>
      </c>
      <c r="AA30" s="6617">
        <f>+(AA23*1000)/AA15</f>
        <v>140.7339781550204</v>
      </c>
      <c r="AB30" s="2706">
        <f>+AB23/AB21*1000</f>
        <v>0</v>
      </c>
      <c r="AC30" s="2723">
        <f>+(AC23*1000)/AC15</f>
        <v>145.05789909015715</v>
      </c>
      <c r="AD30" s="2794">
        <f>+AD23/AD$21*1000</f>
        <v>0</v>
      </c>
      <c r="AE30" s="5307">
        <f>+(AE23*1000)/AE15</f>
        <v>141.3274863760218</v>
      </c>
      <c r="AF30" s="2706">
        <f>+AF23/AF21*1000</f>
        <v>0</v>
      </c>
      <c r="AG30" s="2723">
        <f>+(AG23*1000)/AG15</f>
        <v>144.87179487179486</v>
      </c>
      <c r="AH30" s="2794">
        <f>+AH23/AH$21*1000</f>
        <v>0</v>
      </c>
      <c r="AI30" s="5307">
        <f>+(AI23*1000)/AI15</f>
        <v>141.74308478653037</v>
      </c>
      <c r="AJ30" s="2706">
        <f>+AJ23/AJ21*1000</f>
        <v>0</v>
      </c>
      <c r="AK30" s="2723">
        <f>+(AK23*1000)/AK15</f>
        <v>145.05789909015715</v>
      </c>
      <c r="AL30" s="5709">
        <f>+AL23/AL$21*1000</f>
        <v>0</v>
      </c>
      <c r="AM30" s="5709">
        <f>+(AM23*1000)/AM15</f>
        <v>144.99721293199553</v>
      </c>
      <c r="AN30" s="2794">
        <f>+AN23/AN$21*1000</f>
        <v>0</v>
      </c>
      <c r="AO30" s="5307">
        <f>+(AO23*1000)/AO15</f>
        <v>142.10132296415483</v>
      </c>
      <c r="AP30" s="2706">
        <f>+AP23/AP21*1000</f>
        <v>0</v>
      </c>
      <c r="AQ30" s="2723">
        <f>+(AQ23*1000)/AQ15</f>
        <v>145.05789909015715</v>
      </c>
      <c r="AR30" s="2794">
        <f>+AR23/AR$21*1000</f>
        <v>0</v>
      </c>
      <c r="AS30" s="5307">
        <f>+(AS23*1000)/AS15</f>
        <v>142.38968215553405</v>
      </c>
      <c r="AT30" s="2706">
        <f>+AT23/AT21*1000</f>
        <v>0</v>
      </c>
      <c r="AU30" s="2723">
        <f>+(AU23*1000)/AU15</f>
        <v>144.89619377162629</v>
      </c>
      <c r="AV30" s="2794">
        <f>+AV23/AV$21*1000</f>
        <v>0</v>
      </c>
      <c r="AW30" s="5307">
        <f>+(AW23*1000)/AW15</f>
        <v>142.55353238332202</v>
      </c>
      <c r="AX30" s="2706">
        <f>+AX23/AX21*1000</f>
        <v>0</v>
      </c>
      <c r="AY30" s="2723">
        <f>+(AY23*1000)/AY15</f>
        <v>159.16880891173949</v>
      </c>
      <c r="AZ30" s="5709">
        <f>+AZ23/AZ$21*1000</f>
        <v>0</v>
      </c>
      <c r="BA30" s="5709">
        <f>+(BA23*1000)/BA15</f>
        <v>150.09250693802036</v>
      </c>
      <c r="BB30" s="5709">
        <f>+BB23/BB$21*1000</f>
        <v>0</v>
      </c>
      <c r="BC30" s="5709">
        <f>+(BC23*1000)/BC15</f>
        <v>34.841879454709016</v>
      </c>
      <c r="BD30" s="6617">
        <f>+BD23/BD$21*1000</f>
        <v>0</v>
      </c>
      <c r="BE30" s="6617">
        <f>+(BE23*1000)/BE15</f>
        <v>143.89726264726264</v>
      </c>
    </row>
    <row r="31" spans="1:57" x14ac:dyDescent="0.2">
      <c r="B31" s="1765" t="s">
        <v>905</v>
      </c>
      <c r="C31" s="1545" t="s">
        <v>902</v>
      </c>
      <c r="D31" s="3224">
        <f>+D24/D21*1000</f>
        <v>0</v>
      </c>
      <c r="E31" s="2750">
        <f>+(E24*1000)/E15</f>
        <v>0</v>
      </c>
      <c r="F31" s="3224">
        <f>+F24/F21*1000</f>
        <v>0</v>
      </c>
      <c r="G31" s="2750">
        <f>+(G24*1000)/G15</f>
        <v>0</v>
      </c>
      <c r="H31" s="4475">
        <f>+H24/H$21*1000</f>
        <v>0</v>
      </c>
      <c r="I31" s="3193">
        <f>+(I24*1000)/I15</f>
        <v>0</v>
      </c>
      <c r="J31" s="3224">
        <f>+J24/J21*1000</f>
        <v>0</v>
      </c>
      <c r="K31" s="2750">
        <f>+(K24*1000)/K15</f>
        <v>0</v>
      </c>
      <c r="L31" s="2002">
        <f>+L24/L$21*1000</f>
        <v>0</v>
      </c>
      <c r="M31" s="5029">
        <f>+(M24*1000)/M15</f>
        <v>0</v>
      </c>
      <c r="N31" s="4936">
        <f>+N24/N21*1000</f>
        <v>0</v>
      </c>
      <c r="O31" s="2750">
        <f>+(O24*1000)/O15</f>
        <v>0</v>
      </c>
      <c r="P31" s="4809">
        <f>+P24/P$21*1000</f>
        <v>0</v>
      </c>
      <c r="Q31" s="3193">
        <f>+(Q24*1000)/Q15</f>
        <v>0</v>
      </c>
      <c r="R31" s="6443">
        <f>+R24/R21*1000</f>
        <v>0</v>
      </c>
      <c r="S31" s="2750">
        <f>+(S24*1000)/S15</f>
        <v>0</v>
      </c>
      <c r="T31" s="4809">
        <f>+T24/T$21*1000</f>
        <v>0</v>
      </c>
      <c r="U31" s="3193">
        <f>+(U24*1000)/U15</f>
        <v>0</v>
      </c>
      <c r="V31" s="7021">
        <f>+V24/V21*1000</f>
        <v>0</v>
      </c>
      <c r="W31" s="2750">
        <f>+(W24*1000)/W15</f>
        <v>0</v>
      </c>
      <c r="X31" s="5029">
        <f>+X24/X$21*1000</f>
        <v>0</v>
      </c>
      <c r="Y31" s="5029">
        <f>+(Y24*1000)/Y15</f>
        <v>0</v>
      </c>
      <c r="Z31" s="6615">
        <f>+Z24/Z$21*1000</f>
        <v>0</v>
      </c>
      <c r="AA31" s="6615">
        <f>+(AA24*1000)/AA15</f>
        <v>0</v>
      </c>
      <c r="AB31" s="7366">
        <f>+AB24/AB21*1000</f>
        <v>0</v>
      </c>
      <c r="AC31" s="2750">
        <f>+(AC24*1000)/AC15</f>
        <v>0</v>
      </c>
      <c r="AD31" s="4809">
        <f>+AD24/AD$21*1000</f>
        <v>0</v>
      </c>
      <c r="AE31" s="3193">
        <f>+(AE24*1000)/AE15</f>
        <v>0</v>
      </c>
      <c r="AF31" s="7621">
        <f>+AF24/AF21*1000</f>
        <v>0</v>
      </c>
      <c r="AG31" s="2750">
        <f>+(AG24*1000)/AG15</f>
        <v>0</v>
      </c>
      <c r="AH31" s="4809">
        <f>+AH24/AH$21*1000</f>
        <v>0</v>
      </c>
      <c r="AI31" s="3193">
        <f>+(AI24*1000)/AI15</f>
        <v>0</v>
      </c>
      <c r="AJ31" s="7779">
        <f>+AJ24/AJ21*1000</f>
        <v>0</v>
      </c>
      <c r="AK31" s="2750">
        <f>+(AK24*1000)/AK15</f>
        <v>0</v>
      </c>
      <c r="AL31" s="5029">
        <f>+AL24/AL$21*1000</f>
        <v>0</v>
      </c>
      <c r="AM31" s="5029">
        <f>+(AM24*1000)/AM15</f>
        <v>0</v>
      </c>
      <c r="AN31" s="4809">
        <f>+AN24/AN$21*1000</f>
        <v>0</v>
      </c>
      <c r="AO31" s="3193">
        <f>+(AO24*1000)/AO15</f>
        <v>0</v>
      </c>
      <c r="AP31" s="8107">
        <f>+AP24/AP21*1000</f>
        <v>0</v>
      </c>
      <c r="AQ31" s="2750">
        <f>+(AQ24*1000)/AQ15</f>
        <v>0</v>
      </c>
      <c r="AR31" s="4809">
        <f>+AR24/AR$21*1000</f>
        <v>0</v>
      </c>
      <c r="AS31" s="3193">
        <f>+(AS24*1000)/AS15</f>
        <v>0</v>
      </c>
      <c r="AT31" s="8170">
        <f>+AT24/AT21*1000</f>
        <v>0</v>
      </c>
      <c r="AU31" s="2750">
        <f>+(AU24*1000)/AU15</f>
        <v>0</v>
      </c>
      <c r="AV31" s="4809">
        <f>+AV24/AV$21*1000</f>
        <v>0</v>
      </c>
      <c r="AW31" s="3193">
        <f>+(AW24*1000)/AW15</f>
        <v>0</v>
      </c>
      <c r="AX31" s="8321">
        <f>+AX24/AX21*1000</f>
        <v>0</v>
      </c>
      <c r="AY31" s="2750">
        <f>+(AY24*1000)/AY15</f>
        <v>0</v>
      </c>
      <c r="AZ31" s="5029">
        <f>+AZ24/AZ$21*1000</f>
        <v>0</v>
      </c>
      <c r="BA31" s="5029">
        <f>+(BA24*1000)/BA15</f>
        <v>0</v>
      </c>
      <c r="BB31" s="5029">
        <f>+BB24/BB$21*1000</f>
        <v>0</v>
      </c>
      <c r="BC31" s="5029">
        <f>+(BC24*1000)/BC15</f>
        <v>0</v>
      </c>
      <c r="BD31" s="6615">
        <f>+BD24/BD$21*1000</f>
        <v>0</v>
      </c>
      <c r="BE31" s="6615">
        <f>+(BE24*1000)/BE15</f>
        <v>0</v>
      </c>
    </row>
    <row r="32" spans="1:57" x14ac:dyDescent="0.2">
      <c r="B32" s="1765" t="s">
        <v>906</v>
      </c>
      <c r="C32" s="1545" t="s">
        <v>902</v>
      </c>
      <c r="D32" s="3224">
        <f>+D25/D21*1000</f>
        <v>93.75</v>
      </c>
      <c r="E32" s="2723">
        <f>+(E25*1000)/E15</f>
        <v>139.02453703703705</v>
      </c>
      <c r="F32" s="3224">
        <f>+F25/F21*1000</f>
        <v>93.75</v>
      </c>
      <c r="G32" s="2723">
        <f>+(G25*1000)/G15</f>
        <v>141.73580383480825</v>
      </c>
      <c r="H32" s="2794">
        <f>+H25/H$21*1000</f>
        <v>93.75</v>
      </c>
      <c r="I32" s="5307">
        <f>+(I25*1000)/I15</f>
        <v>140.38317627494456</v>
      </c>
      <c r="J32" s="3224">
        <f>+J25/J21*1000</f>
        <v>93.75</v>
      </c>
      <c r="K32" s="2723">
        <f>+(K25*1000)/K15</f>
        <v>137.7876984126984</v>
      </c>
      <c r="L32" s="2024">
        <f>+L25/L$21*1000</f>
        <v>93.75</v>
      </c>
      <c r="M32" s="5709">
        <f>+(M25*1000)/M15</f>
        <v>139.55859178013111</v>
      </c>
      <c r="N32" s="2706">
        <f>+N25/N21*1000</f>
        <v>93.75</v>
      </c>
      <c r="O32" s="2723">
        <f>+(O25*1000)/O15</f>
        <v>147.16905901116428</v>
      </c>
      <c r="P32" s="2794">
        <f>+P25/P$21*1000</f>
        <v>93.75</v>
      </c>
      <c r="Q32" s="5307">
        <f>+(Q25*1000)/Q15</f>
        <v>141.38685344827587</v>
      </c>
      <c r="R32" s="2706">
        <f>+R25/R21*1000</f>
        <v>93.75</v>
      </c>
      <c r="S32" s="2723">
        <f>+(S25*1000)/S15</f>
        <v>158.60732009925559</v>
      </c>
      <c r="T32" s="2794">
        <f>+T25/T$21*1000</f>
        <v>93.75</v>
      </c>
      <c r="U32" s="5307">
        <f>+(U25*1000)/U15</f>
        <v>144.62523331777882</v>
      </c>
      <c r="V32" s="2706">
        <f>+V25/V21*1000</f>
        <v>93.75</v>
      </c>
      <c r="W32" s="2723">
        <f>+(W25*1000)/W15</f>
        <v>154.66613247863248</v>
      </c>
      <c r="X32" s="5709">
        <f>+X25/X$21*1000</f>
        <v>93.75</v>
      </c>
      <c r="Y32" s="5709">
        <f>+(Y25*1000)/Y15</f>
        <v>153.38993256262043</v>
      </c>
      <c r="Z32" s="6617">
        <f>+Z25/Z$21*1000</f>
        <v>93.75</v>
      </c>
      <c r="AA32" s="6617">
        <f>+(AA25*1000)/AA15</f>
        <v>146.17120673772865</v>
      </c>
      <c r="AB32" s="2706">
        <f>+AB25/AB21*1000</f>
        <v>93.75</v>
      </c>
      <c r="AC32" s="2723">
        <f>+(AC25*1000)/AC15</f>
        <v>155.14371381306864</v>
      </c>
      <c r="AD32" s="2794">
        <f>+AD25/AD$21*1000</f>
        <v>93.75</v>
      </c>
      <c r="AE32" s="5307">
        <f>+(AE25*1000)/AE15</f>
        <v>147.40278723887374</v>
      </c>
      <c r="AF32" s="2706">
        <f>+AF25/AF21*1000</f>
        <v>93.75</v>
      </c>
      <c r="AG32" s="2723">
        <f>+(AG25*1000)/AG15</f>
        <v>146.03098290598291</v>
      </c>
      <c r="AH32" s="2794">
        <f>+AH25/AH$21*1000</f>
        <v>93.75</v>
      </c>
      <c r="AI32" s="5307">
        <f>+(AI25*1000)/AI15</f>
        <v>147.24193225095209</v>
      </c>
      <c r="AJ32" s="2706">
        <f>+AJ25/AJ21*1000</f>
        <v>93.75</v>
      </c>
      <c r="AK32" s="2723">
        <f>+(AK25*1000)/AK15</f>
        <v>147.46898263027296</v>
      </c>
      <c r="AL32" s="5709">
        <f>+AL25/AL$21*1000</f>
        <v>93.75</v>
      </c>
      <c r="AM32" s="5709">
        <f>+(AM25*1000)/AM15</f>
        <v>149.58612040133778</v>
      </c>
      <c r="AN32" s="2794">
        <f>+AN25/AN$21*1000</f>
        <v>93.75</v>
      </c>
      <c r="AO32" s="5307">
        <f>+(AO25*1000)/AO15</f>
        <v>147.26647000983283</v>
      </c>
      <c r="AP32" s="2706">
        <f>+AP25/AP21*1000</f>
        <v>93.75</v>
      </c>
      <c r="AQ32" s="2723">
        <f>+(AQ25*1000)/AQ15</f>
        <v>149.75909842845326</v>
      </c>
      <c r="AR32" s="2794">
        <f>+AR25/AR$21*1000</f>
        <v>93.75</v>
      </c>
      <c r="AS32" s="5307">
        <f>+(AS25*1000)/AS15</f>
        <v>147.50957970313004</v>
      </c>
      <c r="AT32" s="2706">
        <f>+AT25/AT21*1000</f>
        <v>93.75</v>
      </c>
      <c r="AU32" s="2723">
        <f>+(AU25*1000)/AU15</f>
        <v>156.57439446366783</v>
      </c>
      <c r="AV32" s="2794">
        <f>+AV25/AV$21*1000</f>
        <v>93.75</v>
      </c>
      <c r="AW32" s="5307">
        <f>+(AW25*1000)/AW15</f>
        <v>148.10214506521902</v>
      </c>
      <c r="AX32" s="2706">
        <f>+AX25/AX21*1000</f>
        <v>93.75</v>
      </c>
      <c r="AY32" s="2723">
        <f>+(AY25*1000)/AY15</f>
        <v>134.05098543273351</v>
      </c>
      <c r="AZ32" s="5709">
        <f>+AZ25/AZ$21*1000</f>
        <v>93.75</v>
      </c>
      <c r="BA32" s="5709">
        <f>+(BA25*1000)/BA15</f>
        <v>145.92853839037929</v>
      </c>
      <c r="BB32" s="5709">
        <f>+BB25/BB$21*1000</f>
        <v>93.75</v>
      </c>
      <c r="BC32" s="5709">
        <f>+(BC25*1000)/BC15</f>
        <v>34.944337762092594</v>
      </c>
      <c r="BD32" s="6617">
        <f>+BD25/BD$21*1000</f>
        <v>93.75</v>
      </c>
      <c r="BE32" s="6617">
        <f>+(BE25*1000)/BE15</f>
        <v>146.96578309078308</v>
      </c>
    </row>
    <row r="33" spans="1:57" x14ac:dyDescent="0.2">
      <c r="B33" s="1765" t="s">
        <v>907</v>
      </c>
      <c r="C33" s="1545" t="s">
        <v>903</v>
      </c>
      <c r="D33" s="3231">
        <f>+D26/D21*1000</f>
        <v>0</v>
      </c>
      <c r="E33" s="2750">
        <f>+(E26*1000)/E15</f>
        <v>0</v>
      </c>
      <c r="F33" s="3231">
        <f>+F26/F21*1000</f>
        <v>0</v>
      </c>
      <c r="G33" s="2750">
        <f>+(G26*1000)/G15</f>
        <v>0</v>
      </c>
      <c r="H33" s="2796">
        <f>+H26/H$21*1000</f>
        <v>0</v>
      </c>
      <c r="I33" s="3193">
        <f>+(I26*1000)/I15</f>
        <v>0</v>
      </c>
      <c r="J33" s="3231">
        <f>+J26/J21*1000</f>
        <v>0</v>
      </c>
      <c r="K33" s="2750">
        <f>+(K26*1000)/K15</f>
        <v>0</v>
      </c>
      <c r="L33" s="2002">
        <f>+L26/L$21*1000</f>
        <v>0</v>
      </c>
      <c r="M33" s="5029">
        <f>+(M26*1000)/M15</f>
        <v>0</v>
      </c>
      <c r="N33" s="2707">
        <f>+N26/N21*1000</f>
        <v>0</v>
      </c>
      <c r="O33" s="2750">
        <f>+(O26*1000)/O15</f>
        <v>0</v>
      </c>
      <c r="P33" s="2796">
        <f>+P26/P$21*1000</f>
        <v>0</v>
      </c>
      <c r="Q33" s="3193">
        <f>+(Q26*1000)/Q15</f>
        <v>0</v>
      </c>
      <c r="R33" s="2707">
        <f>+R26/R21*1000</f>
        <v>0</v>
      </c>
      <c r="S33" s="2750">
        <f>+(S26*1000)/S15</f>
        <v>0</v>
      </c>
      <c r="T33" s="2796">
        <f>+T26/T$21*1000</f>
        <v>0</v>
      </c>
      <c r="U33" s="3193">
        <f>+(U26*1000)/U15</f>
        <v>0</v>
      </c>
      <c r="V33" s="2707">
        <f>+V26/V21*1000</f>
        <v>0</v>
      </c>
      <c r="W33" s="2750">
        <f>+(W26*1000)/W15</f>
        <v>0</v>
      </c>
      <c r="X33" s="5029">
        <f>+X26/X$21*1000</f>
        <v>0</v>
      </c>
      <c r="Y33" s="5029">
        <f>+(Y26*1000)/Y15</f>
        <v>0</v>
      </c>
      <c r="Z33" s="6615">
        <f>+Z26/Z$21*1000</f>
        <v>0</v>
      </c>
      <c r="AA33" s="6615">
        <f>+(AA26*1000)/AA15</f>
        <v>0</v>
      </c>
      <c r="AB33" s="2707">
        <f>+AB26/AB21*1000</f>
        <v>0</v>
      </c>
      <c r="AC33" s="2750">
        <f>+(AC26*1000)/AC15</f>
        <v>0</v>
      </c>
      <c r="AD33" s="2796">
        <f>+AD26/AD$21*1000</f>
        <v>0</v>
      </c>
      <c r="AE33" s="3193">
        <f>+(AE26*1000)/AE15</f>
        <v>0</v>
      </c>
      <c r="AF33" s="2707">
        <f>+AF26/AF21*1000</f>
        <v>0</v>
      </c>
      <c r="AG33" s="2750">
        <f>+(AG26*1000)/AG15</f>
        <v>0</v>
      </c>
      <c r="AH33" s="2796">
        <f>+AH26/AH$21*1000</f>
        <v>0</v>
      </c>
      <c r="AI33" s="3193">
        <f>+(AI26*1000)/AI15</f>
        <v>0</v>
      </c>
      <c r="AJ33" s="2707">
        <f>+AJ26/AJ21*1000</f>
        <v>0</v>
      </c>
      <c r="AK33" s="2750">
        <f>+(AK26*1000)/AK15</f>
        <v>0</v>
      </c>
      <c r="AL33" s="5029">
        <f>+AL26/AL$21*1000</f>
        <v>0</v>
      </c>
      <c r="AM33" s="5029">
        <f>+(AM26*1000)/AM15</f>
        <v>0</v>
      </c>
      <c r="AN33" s="2796">
        <f>+AN26/AN$21*1000</f>
        <v>0</v>
      </c>
      <c r="AO33" s="3193">
        <f>+(AO26*1000)/AO15</f>
        <v>0</v>
      </c>
      <c r="AP33" s="2707">
        <f>+AP26/AP21*1000</f>
        <v>0</v>
      </c>
      <c r="AQ33" s="2750">
        <f>+(AQ26*1000)/AQ15</f>
        <v>0</v>
      </c>
      <c r="AR33" s="2796">
        <f>+AR26/AR$21*1000</f>
        <v>0</v>
      </c>
      <c r="AS33" s="3193">
        <f>+(AS26*1000)/AS15</f>
        <v>0</v>
      </c>
      <c r="AT33" s="2707">
        <f>+AT26/AT21*1000</f>
        <v>0</v>
      </c>
      <c r="AU33" s="2750">
        <f>+(AU26*1000)/AU15</f>
        <v>0</v>
      </c>
      <c r="AV33" s="2796">
        <f>+AV26/AV$21*1000</f>
        <v>0</v>
      </c>
      <c r="AW33" s="3193">
        <f>+(AW26*1000)/AW15</f>
        <v>0</v>
      </c>
      <c r="AX33" s="2707">
        <f>+AX26/AX21*1000</f>
        <v>0</v>
      </c>
      <c r="AY33" s="2750">
        <f>+(AY26*1000)/AY15</f>
        <v>0</v>
      </c>
      <c r="AZ33" s="5029">
        <f>+AZ26/AZ$21*1000</f>
        <v>0</v>
      </c>
      <c r="BA33" s="5029">
        <f>+(BA26*1000)/BA15</f>
        <v>0</v>
      </c>
      <c r="BB33" s="5029">
        <f>+BB26/BB$21*1000</f>
        <v>0</v>
      </c>
      <c r="BC33" s="5029">
        <f>+(BC26*1000)/BC15</f>
        <v>0</v>
      </c>
      <c r="BD33" s="6615">
        <f>+BD26/BD$21*1000</f>
        <v>0</v>
      </c>
      <c r="BE33" s="6615">
        <f>+(BE26*1000)/BE15</f>
        <v>0</v>
      </c>
    </row>
    <row r="34" spans="1:57" ht="16" thickBot="1" x14ac:dyDescent="0.25">
      <c r="A34" s="3005" t="s">
        <v>1024</v>
      </c>
      <c r="B34" s="1767" t="s">
        <v>908</v>
      </c>
      <c r="C34" s="1768" t="s">
        <v>1222</v>
      </c>
      <c r="D34" s="3788"/>
      <c r="E34" s="4699">
        <v>1058</v>
      </c>
      <c r="F34" s="3788"/>
      <c r="G34" s="5496">
        <v>1078</v>
      </c>
      <c r="H34" s="3790">
        <f>+((D34*D21)+(F34*F21))/H21</f>
        <v>0</v>
      </c>
      <c r="I34" s="1871">
        <f>+((E34*E15)+(G34*G15))/I15</f>
        <v>1068.0221729490022</v>
      </c>
      <c r="J34" s="3788"/>
      <c r="K34" s="4485">
        <v>1080</v>
      </c>
      <c r="L34" s="3791">
        <f>+((H34*H21)+(J34*J21))/L21</f>
        <v>0</v>
      </c>
      <c r="M34" s="2056">
        <f>+((I34*I15)+(K34*K15))/M15</f>
        <v>1071.8275340393343</v>
      </c>
      <c r="N34" s="3789"/>
      <c r="O34" s="4485">
        <v>1126</v>
      </c>
      <c r="P34" s="3790">
        <f>+((L34*L21)+(N34*N21))/P21</f>
        <v>0</v>
      </c>
      <c r="Q34" s="1871">
        <f>+((M34*M15)+(O34*O15))/Q15</f>
        <v>1084.8413793103448</v>
      </c>
      <c r="R34" s="3789"/>
      <c r="S34" s="4485">
        <f>1.19*1000</f>
        <v>1190</v>
      </c>
      <c r="T34" s="3790">
        <f>+((P34*P21)+(R34*R21))/T21</f>
        <v>0</v>
      </c>
      <c r="U34" s="1871">
        <f>+((Q34*Q15)+(S34*S15))/U15</f>
        <v>1104.6168922071861</v>
      </c>
      <c r="V34" s="3789"/>
      <c r="W34" s="2750">
        <f>1.167*1000</f>
        <v>1167</v>
      </c>
      <c r="X34" s="3791">
        <f>+((N34*N21)+(R34*R21)+(V34*V21))/X21</f>
        <v>0</v>
      </c>
      <c r="Y34" s="3791">
        <f>+((O34*O21)+(S34*S21)+(W34*W21))/Y21</f>
        <v>1160.5020644095789</v>
      </c>
      <c r="Z34" s="7062">
        <f>+((T34*T21)+(V34*V21))/Z21</f>
        <v>0</v>
      </c>
      <c r="AA34" s="7053">
        <f>+((U34*U15)+(W34*W15))/AA15</f>
        <v>1114.2218712988551</v>
      </c>
      <c r="AB34" s="3789"/>
      <c r="AC34" s="4485">
        <f>1.166*1000</f>
        <v>1166</v>
      </c>
      <c r="AD34" s="3790">
        <f>+((Z34*Z21)+(AB34*AB21))/AD21</f>
        <v>0</v>
      </c>
      <c r="AE34" s="1871">
        <f>+((AA34*AA15)+(AC34*AC15))/AE15</f>
        <v>1121.3290190735695</v>
      </c>
      <c r="AF34" s="3789"/>
      <c r="AG34" s="4485">
        <f>1.128*1000</f>
        <v>1128</v>
      </c>
      <c r="AH34" s="3790">
        <f>+((AD34*AD21)+(AF34*AF21))/AH21</f>
        <v>0</v>
      </c>
      <c r="AI34" s="1871">
        <f>+((AE34*AE15)+(AG34*AG15))/AI15</f>
        <v>1122.1112447384246</v>
      </c>
      <c r="AJ34" s="3789"/>
      <c r="AK34" s="2750">
        <f>1.135*1000</f>
        <v>1135</v>
      </c>
      <c r="AL34" s="3791">
        <f>+((AB34*AB21)+(AF34*AF21)+(AJ34*AJ21))/AL21</f>
        <v>0</v>
      </c>
      <c r="AM34" s="3791">
        <f>+((AC34*AC21)+(AG34*AG21)+(AK34*AK21))/AM21</f>
        <v>1143.163043478261</v>
      </c>
      <c r="AN34" s="3790">
        <f>+((AH34*AH21)+(AJ34*AJ21))/AN21</f>
        <v>0</v>
      </c>
      <c r="AO34" s="1871">
        <f>+((AI34*AI15)+(AK34*AK15))/AO15</f>
        <v>1123.5041566103514</v>
      </c>
      <c r="AP34" s="3789"/>
      <c r="AQ34" s="2750">
        <f>1.144*1000</f>
        <v>1144</v>
      </c>
      <c r="AR34" s="3790">
        <f>+((AN34*AN21)+(AP34*AP21))/AR21</f>
        <v>0</v>
      </c>
      <c r="AS34" s="1871">
        <f>+((AO34*AO15)+(AQ34*AQ15))/AS15</f>
        <v>1125.503146176186</v>
      </c>
      <c r="AT34" s="3789"/>
      <c r="AU34" s="2750">
        <v>1172</v>
      </c>
      <c r="AV34" s="3790">
        <f>+((AR34*AR21)+(AT34*AT21))/AV21</f>
        <v>0</v>
      </c>
      <c r="AW34" s="1871">
        <f>+((AS34*AS15)+(AU34*AU15))/AW15</f>
        <v>1128.5426374123504</v>
      </c>
      <c r="AX34" s="3789"/>
      <c r="AY34" s="2750">
        <v>1127</v>
      </c>
      <c r="AZ34" s="3791">
        <f>+((AP34*AP21)+(AT34*AT21)+(AX34*AX21))/AZ21</f>
        <v>0</v>
      </c>
      <c r="BA34" s="3791">
        <f>+((AQ34*AQ21)+(AU34*AU21)+(AY34*AY21))/BA21</f>
        <v>1145.368177613321</v>
      </c>
      <c r="BB34" s="3791">
        <f>+((AR34*AR21)+(AV34*AV21)+(AZ34*AZ21))/BB21</f>
        <v>0</v>
      </c>
      <c r="BC34" s="3791">
        <f>+((AS34*AS21)+(AW34*AW21)+(BA34*BA21))/BC21</f>
        <v>4777.3425559947309</v>
      </c>
      <c r="BD34" s="7062">
        <f>+((AV34*AV21)+(AX34*AX21))/BD21</f>
        <v>0</v>
      </c>
      <c r="BE34" s="7053">
        <f>+((AW34*AW15)+(AY34*AY15))/BE15</f>
        <v>1128.4178794178797</v>
      </c>
    </row>
    <row r="35" spans="1:57" ht="24" thickTop="1" x14ac:dyDescent="0.25">
      <c r="B35" s="1769" t="s">
        <v>1005</v>
      </c>
      <c r="C35" s="1770"/>
      <c r="D35" s="5272"/>
      <c r="E35" s="3186"/>
      <c r="F35" s="5272"/>
      <c r="G35" s="3186"/>
      <c r="H35" s="1770"/>
      <c r="I35" s="3186"/>
      <c r="J35" s="5272"/>
      <c r="K35" s="3186"/>
      <c r="L35" s="1770"/>
      <c r="M35" s="3186"/>
      <c r="N35" s="1770"/>
      <c r="O35" s="3186"/>
      <c r="P35" s="1770"/>
      <c r="Q35" s="3186"/>
      <c r="R35" s="1770"/>
      <c r="S35" s="3186"/>
      <c r="T35" s="1770"/>
      <c r="U35" s="3186"/>
      <c r="V35" s="1770"/>
      <c r="W35" s="3186"/>
      <c r="X35" s="1770"/>
      <c r="Y35" s="3186"/>
      <c r="Z35" s="1770"/>
      <c r="AA35" s="3186"/>
      <c r="AB35" s="1770"/>
      <c r="AC35" s="3186"/>
      <c r="AD35" s="1770"/>
      <c r="AE35" s="3186"/>
      <c r="AF35" s="1770"/>
      <c r="AG35" s="3186"/>
      <c r="AH35" s="1770"/>
      <c r="AI35" s="3186"/>
      <c r="AJ35" s="1770"/>
      <c r="AK35" s="3186"/>
      <c r="AL35" s="1770"/>
      <c r="AM35" s="3186"/>
      <c r="AN35" s="1770"/>
      <c r="AO35" s="3186"/>
      <c r="AP35" s="1770"/>
      <c r="AQ35" s="3186"/>
      <c r="AR35" s="1770"/>
      <c r="AS35" s="3186"/>
      <c r="AT35" s="1770"/>
      <c r="AU35" s="3186"/>
      <c r="AV35" s="1770"/>
      <c r="AW35" s="3186"/>
      <c r="AX35" s="1770"/>
      <c r="AY35" s="3186"/>
      <c r="AZ35" s="1770"/>
      <c r="BA35" s="3186"/>
      <c r="BB35" s="1770"/>
      <c r="BC35" s="3186"/>
      <c r="BD35" s="1770"/>
      <c r="BE35" s="3186"/>
    </row>
    <row r="36" spans="1:57" ht="19" thickBot="1" x14ac:dyDescent="0.25">
      <c r="B36" s="1771" t="s">
        <v>917</v>
      </c>
      <c r="C36" s="1608"/>
      <c r="D36" s="3760"/>
      <c r="E36" s="1608"/>
      <c r="F36" s="3760"/>
      <c r="G36" s="1608"/>
      <c r="H36" s="2132"/>
      <c r="I36" s="6254"/>
      <c r="J36" s="3760"/>
      <c r="K36" s="1608"/>
      <c r="L36" s="1608"/>
      <c r="M36" s="6254"/>
      <c r="N36" s="1608"/>
      <c r="O36" s="1608"/>
      <c r="P36" s="2132"/>
      <c r="Q36" s="6254"/>
      <c r="R36" s="1608"/>
      <c r="S36" s="1608"/>
      <c r="T36" s="2132"/>
      <c r="U36" s="6254"/>
      <c r="V36" s="1608"/>
      <c r="W36" s="1608"/>
      <c r="X36" s="1608"/>
      <c r="Y36" s="6254"/>
      <c r="Z36" s="2132"/>
      <c r="AA36" s="6254"/>
      <c r="AB36" s="1608"/>
      <c r="AC36" s="1608"/>
      <c r="AD36" s="2132"/>
      <c r="AE36" s="6254"/>
      <c r="AF36" s="1608"/>
      <c r="AG36" s="1608"/>
      <c r="AH36" s="2132"/>
      <c r="AI36" s="6254"/>
      <c r="AJ36" s="1608"/>
      <c r="AK36" s="1608"/>
      <c r="AL36" s="1608"/>
      <c r="AM36" s="6254"/>
      <c r="AN36" s="2132"/>
      <c r="AO36" s="6254"/>
      <c r="AP36" s="1608"/>
      <c r="AQ36" s="1608"/>
      <c r="AR36" s="2132"/>
      <c r="AS36" s="6254"/>
      <c r="AT36" s="1608"/>
      <c r="AU36" s="1608"/>
      <c r="AV36" s="2132"/>
      <c r="AW36" s="6254"/>
      <c r="AX36" s="1608"/>
      <c r="AY36" s="1608"/>
      <c r="AZ36" s="1608"/>
      <c r="BA36" s="6254"/>
      <c r="BB36" s="1608"/>
      <c r="BC36" s="6254"/>
      <c r="BD36" s="2132"/>
      <c r="BE36" s="6254"/>
    </row>
    <row r="37" spans="1:57" x14ac:dyDescent="0.2">
      <c r="B37" s="8988" t="s">
        <v>910</v>
      </c>
      <c r="C37" s="1646" t="s">
        <v>909</v>
      </c>
      <c r="D37" s="5827"/>
      <c r="E37" s="4406">
        <v>12775.3</v>
      </c>
      <c r="F37" s="9007"/>
      <c r="G37" s="3918">
        <v>12918.4</v>
      </c>
      <c r="H37" s="8983"/>
      <c r="I37" s="6255">
        <f>+E37+G37</f>
        <v>25693.699999999997</v>
      </c>
      <c r="J37" s="9009"/>
      <c r="K37" s="3918">
        <v>12494.1</v>
      </c>
      <c r="L37" s="8969"/>
      <c r="M37" s="6269">
        <f>+I37+K37</f>
        <v>38187.799999999996</v>
      </c>
      <c r="N37" s="8960"/>
      <c r="O37" s="3918">
        <v>12466.9</v>
      </c>
      <c r="P37" s="8983"/>
      <c r="Q37" s="6255">
        <f>+M37+O37</f>
        <v>50654.7</v>
      </c>
      <c r="R37" s="8960"/>
      <c r="S37" s="3918">
        <v>12358.8</v>
      </c>
      <c r="T37" s="8983"/>
      <c r="U37" s="6255">
        <f>+Q37+S37</f>
        <v>63013.5</v>
      </c>
      <c r="V37" s="8960"/>
      <c r="W37" s="3918">
        <v>2537.4</v>
      </c>
      <c r="X37" s="8969"/>
      <c r="Y37" s="2396">
        <f t="shared" ref="Y37" si="122">+W37+S37+O37</f>
        <v>27363.1</v>
      </c>
      <c r="Z37" s="8971"/>
      <c r="AA37" s="7070">
        <f>+U37+W37</f>
        <v>65550.899999999994</v>
      </c>
      <c r="AB37" s="8960"/>
      <c r="AC37" s="3918">
        <v>1885.6</v>
      </c>
      <c r="AD37" s="8983"/>
      <c r="AE37" s="6255">
        <f>+AA37+AC37</f>
        <v>67436.5</v>
      </c>
      <c r="AF37" s="8960"/>
      <c r="AG37" s="3918">
        <v>11412.8</v>
      </c>
      <c r="AH37" s="8983"/>
      <c r="AI37" s="6255">
        <f>+AE37+AG37</f>
        <v>78849.3</v>
      </c>
      <c r="AJ37" s="8960"/>
      <c r="AK37" s="3918">
        <v>13383.1</v>
      </c>
      <c r="AL37" s="8969"/>
      <c r="AM37" s="2396">
        <f t="shared" ref="AM37" si="123">+AK37+AG37+AC37</f>
        <v>26681.5</v>
      </c>
      <c r="AN37" s="8983"/>
      <c r="AO37" s="6255">
        <f>+AI37+AK37</f>
        <v>92232.400000000009</v>
      </c>
      <c r="AP37" s="8960"/>
      <c r="AQ37" s="3918">
        <v>12709.9</v>
      </c>
      <c r="AR37" s="8983"/>
      <c r="AS37" s="6255">
        <f>+AO37+AQ37</f>
        <v>104942.3</v>
      </c>
      <c r="AT37" s="8960"/>
      <c r="AU37" s="3918">
        <v>8248.2000000000007</v>
      </c>
      <c r="AV37" s="8983"/>
      <c r="AW37" s="6255">
        <f>+AS37+AU37</f>
        <v>113190.5</v>
      </c>
      <c r="AX37" s="8960"/>
      <c r="AY37" s="3918">
        <v>6826.9</v>
      </c>
      <c r="AZ37" s="8969"/>
      <c r="BA37" s="2396">
        <f t="shared" ref="BA37" si="124">+AY37+AU37+AQ37</f>
        <v>27785</v>
      </c>
      <c r="BB37" s="8969"/>
      <c r="BC37" s="2396">
        <f>+AM37+BA37</f>
        <v>54466.5</v>
      </c>
      <c r="BD37" s="8971"/>
      <c r="BE37" s="7070">
        <f>+AW37+AY37</f>
        <v>120017.4</v>
      </c>
    </row>
    <row r="38" spans="1:57" x14ac:dyDescent="0.2">
      <c r="B38" s="8988"/>
      <c r="C38" s="1647" t="s">
        <v>897</v>
      </c>
      <c r="D38" s="5828"/>
      <c r="E38" s="6219">
        <f>+E37/E$2/24</f>
        <v>17.74347222222222</v>
      </c>
      <c r="F38" s="9008"/>
      <c r="G38" s="6219">
        <f>+G37/G$2/24</f>
        <v>17.363440860215054</v>
      </c>
      <c r="H38" s="8984"/>
      <c r="I38" s="6256">
        <f>+I37/I$2/24</f>
        <v>17.550341530054641</v>
      </c>
      <c r="J38" s="9010"/>
      <c r="K38" s="6219">
        <f>+K37/K$2/24</f>
        <v>17.352916666666669</v>
      </c>
      <c r="L38" s="8970"/>
      <c r="M38" s="6270">
        <f>+M37/M$2/24</f>
        <v>17.485256410256408</v>
      </c>
      <c r="N38" s="8961"/>
      <c r="O38" s="6219">
        <f>+O37/O$2/24</f>
        <v>16.756586021505374</v>
      </c>
      <c r="P38" s="8984"/>
      <c r="Q38" s="6256">
        <f>+Q37/Q$2/24</f>
        <v>17.30010245901639</v>
      </c>
      <c r="R38" s="8961"/>
      <c r="S38" s="6219">
        <f>+S37/S$2/24</f>
        <v>16.611290322580643</v>
      </c>
      <c r="T38" s="8984"/>
      <c r="U38" s="6256">
        <f>+U37/U$2/24</f>
        <v>17.160539215686274</v>
      </c>
      <c r="V38" s="8961"/>
      <c r="W38" s="6219">
        <f>+W37/W$2/24</f>
        <v>3.5241666666666664</v>
      </c>
      <c r="X38" s="8970"/>
      <c r="Y38" s="6270">
        <f>+Y37/Y$2/24</f>
        <v>12.392708333333333</v>
      </c>
      <c r="Z38" s="8972"/>
      <c r="AA38" s="7071">
        <f>+AA37/AA$2/24</f>
        <v>14.925068306010928</v>
      </c>
      <c r="AB38" s="8961"/>
      <c r="AC38" s="6219">
        <f>+AC37/AC$2/24</f>
        <v>2.5344086021505374</v>
      </c>
      <c r="AD38" s="8984"/>
      <c r="AE38" s="6256">
        <f>+AE37/AE$2/24</f>
        <v>13.130159657320872</v>
      </c>
      <c r="AF38" s="8961"/>
      <c r="AG38" s="6219">
        <f>+AG37/AG$2/24</f>
        <v>15.851111111111109</v>
      </c>
      <c r="AH38" s="8984"/>
      <c r="AI38" s="6256">
        <f>+AI37/AI$2/24</f>
        <v>13.464702868852461</v>
      </c>
      <c r="AJ38" s="8961"/>
      <c r="AK38" s="6219">
        <f>+AK37/AK$2/24</f>
        <v>17.988037634408602</v>
      </c>
      <c r="AL38" s="8970"/>
      <c r="AM38" s="6270">
        <f>+AM37/AM$2/24</f>
        <v>12.08401268115942</v>
      </c>
      <c r="AN38" s="8984"/>
      <c r="AO38" s="6256">
        <f>+AO37/AO$2/24</f>
        <v>13.974606060606062</v>
      </c>
      <c r="AP38" s="8961"/>
      <c r="AQ38" s="6219">
        <f>+AQ37/AQ$2/24</f>
        <v>17.083198924731182</v>
      </c>
      <c r="AR38" s="8984"/>
      <c r="AS38" s="6256">
        <f>+AS37/AS$2/24</f>
        <v>14.289528867102398</v>
      </c>
      <c r="AT38" s="8961"/>
      <c r="AU38" s="6219">
        <f>+AU37/AU$2/24</f>
        <v>12.274107142857146</v>
      </c>
      <c r="AV38" s="8984"/>
      <c r="AW38" s="6256">
        <f>+AW37/AW$2/24</f>
        <v>14.12057135728543</v>
      </c>
      <c r="AX38" s="8961"/>
      <c r="AY38" s="6219">
        <f>+AY37/AY$2/24</f>
        <v>9.1759408602150536</v>
      </c>
      <c r="AZ38" s="8970"/>
      <c r="BA38" s="6270">
        <f>+BA37/BA$2/24</f>
        <v>12.863425925925926</v>
      </c>
      <c r="BB38" s="8970"/>
      <c r="BC38" s="6270">
        <f>+BC37/BC$2/24</f>
        <v>12.469436813186812</v>
      </c>
      <c r="BD38" s="8972"/>
      <c r="BE38" s="7071">
        <f>+BE37/BE$2/24</f>
        <v>13.700616438356164</v>
      </c>
    </row>
    <row r="39" spans="1:57" x14ac:dyDescent="0.2">
      <c r="B39" s="8988" t="s">
        <v>911</v>
      </c>
      <c r="C39" s="1646" t="s">
        <v>909</v>
      </c>
      <c r="D39" s="5828"/>
      <c r="E39" s="4406">
        <v>0</v>
      </c>
      <c r="F39" s="9008"/>
      <c r="G39" s="3918">
        <v>0</v>
      </c>
      <c r="H39" s="8984"/>
      <c r="I39" s="5901">
        <f>+E39+G39</f>
        <v>0</v>
      </c>
      <c r="J39" s="9010"/>
      <c r="K39" s="3918">
        <v>4990.5</v>
      </c>
      <c r="L39" s="8970"/>
      <c r="M39" s="6271">
        <f>+I39+K39</f>
        <v>4990.5</v>
      </c>
      <c r="N39" s="8961"/>
      <c r="O39" s="3918">
        <v>10946.9</v>
      </c>
      <c r="P39" s="8984"/>
      <c r="Q39" s="5901">
        <f>+M39+O39</f>
        <v>15937.4</v>
      </c>
      <c r="R39" s="8961"/>
      <c r="S39" s="3918">
        <v>3484.6</v>
      </c>
      <c r="T39" s="8984"/>
      <c r="U39" s="5901">
        <f>+Q39+S39</f>
        <v>19422</v>
      </c>
      <c r="V39" s="8961"/>
      <c r="W39" s="3918">
        <v>11236.6</v>
      </c>
      <c r="X39" s="8970"/>
      <c r="Y39" s="2396">
        <f t="shared" ref="Y39" si="125">+W39+S39+O39</f>
        <v>25668.1</v>
      </c>
      <c r="Z39" s="8972"/>
      <c r="AA39" s="7072">
        <f>+U39+W39</f>
        <v>30658.6</v>
      </c>
      <c r="AB39" s="8961"/>
      <c r="AC39" s="3918">
        <v>12310.5</v>
      </c>
      <c r="AD39" s="8984"/>
      <c r="AE39" s="5901">
        <f>+AA39+AC39</f>
        <v>42969.1</v>
      </c>
      <c r="AF39" s="8961"/>
      <c r="AG39" s="3918">
        <v>11502.9</v>
      </c>
      <c r="AH39" s="8984"/>
      <c r="AI39" s="5901">
        <f>+AE39+AG39</f>
        <v>54472</v>
      </c>
      <c r="AJ39" s="8961"/>
      <c r="AK39" s="3918">
        <v>2774</v>
      </c>
      <c r="AL39" s="8970"/>
      <c r="AM39" s="2396">
        <f t="shared" ref="AM39" si="126">+AK39+AG39+AC39</f>
        <v>26587.4</v>
      </c>
      <c r="AN39" s="8984"/>
      <c r="AO39" s="5901">
        <f>+AI39+AK39</f>
        <v>57246</v>
      </c>
      <c r="AP39" s="8961"/>
      <c r="AQ39" s="3918">
        <v>4259.3999999999996</v>
      </c>
      <c r="AR39" s="8984"/>
      <c r="AS39" s="5901">
        <f>+AO39+AQ39</f>
        <v>61505.4</v>
      </c>
      <c r="AT39" s="8961"/>
      <c r="AU39" s="3918">
        <v>10812.6</v>
      </c>
      <c r="AV39" s="8984"/>
      <c r="AW39" s="5901">
        <f>+AS39+AU39</f>
        <v>72318</v>
      </c>
      <c r="AX39" s="8961"/>
      <c r="AY39" s="3918">
        <v>12063.8</v>
      </c>
      <c r="AZ39" s="8970"/>
      <c r="BA39" s="2396">
        <f t="shared" ref="BA39" si="127">+AY39+AU39+AQ39</f>
        <v>27135.800000000003</v>
      </c>
      <c r="BB39" s="8970"/>
      <c r="BC39" s="2396">
        <f>+AM39+BA39</f>
        <v>53723.200000000004</v>
      </c>
      <c r="BD39" s="8972"/>
      <c r="BE39" s="7072">
        <f>+AW39+AY39</f>
        <v>84381.8</v>
      </c>
    </row>
    <row r="40" spans="1:57" x14ac:dyDescent="0.2">
      <c r="B40" s="8988"/>
      <c r="C40" s="1647" t="s">
        <v>897</v>
      </c>
      <c r="D40" s="5828"/>
      <c r="E40" s="6219">
        <f>+E39/E$2/24</f>
        <v>0</v>
      </c>
      <c r="F40" s="9008"/>
      <c r="G40" s="6219">
        <f>+G39/G$2/24</f>
        <v>0</v>
      </c>
      <c r="H40" s="8984"/>
      <c r="I40" s="6256">
        <f>+I39/I$2/24</f>
        <v>0</v>
      </c>
      <c r="J40" s="9010"/>
      <c r="K40" s="6219">
        <f>+K39/K$2/24</f>
        <v>6.9312499999999995</v>
      </c>
      <c r="L40" s="8970"/>
      <c r="M40" s="6270">
        <f>+M39/M$2/24</f>
        <v>2.2850274725274726</v>
      </c>
      <c r="N40" s="8961"/>
      <c r="O40" s="6219">
        <f>+O39/O$2/24</f>
        <v>14.713575268817204</v>
      </c>
      <c r="P40" s="8984"/>
      <c r="Q40" s="6256">
        <f>+Q39/Q$2/24</f>
        <v>5.4431010928961747</v>
      </c>
      <c r="R40" s="8961"/>
      <c r="S40" s="6219">
        <f>+S39/S$2/24</f>
        <v>4.6836021505376344</v>
      </c>
      <c r="T40" s="8984"/>
      <c r="U40" s="6256">
        <f>+U39/U$2/24</f>
        <v>5.2892156862745097</v>
      </c>
      <c r="V40" s="8961"/>
      <c r="W40" s="6219">
        <f>+W39/W$2/24</f>
        <v>15.606388888888889</v>
      </c>
      <c r="X40" s="8970"/>
      <c r="Y40" s="6270">
        <f>+Y39/Y$2/24</f>
        <v>11.625045289855072</v>
      </c>
      <c r="Z40" s="8972"/>
      <c r="AA40" s="7071">
        <f>+AA39/AA$2/24</f>
        <v>6.9805555555555552</v>
      </c>
      <c r="AB40" s="8961"/>
      <c r="AC40" s="6219">
        <f>+AC39/AC$2/24</f>
        <v>16.546370967741936</v>
      </c>
      <c r="AD40" s="8984"/>
      <c r="AE40" s="6256">
        <f>+AE39/AE$2/24</f>
        <v>8.3662577881619935</v>
      </c>
      <c r="AF40" s="8961"/>
      <c r="AG40" s="6219">
        <f>+AG39/AG$2/24</f>
        <v>15.97625</v>
      </c>
      <c r="AH40" s="8984"/>
      <c r="AI40" s="6256">
        <f>+AI39/AI$2/24</f>
        <v>9.30191256830601</v>
      </c>
      <c r="AJ40" s="8961"/>
      <c r="AK40" s="6219">
        <f>+AK39/AK$2/24</f>
        <v>3.728494623655914</v>
      </c>
      <c r="AL40" s="8970"/>
      <c r="AM40" s="6270">
        <f>+AM39/AM$2/24</f>
        <v>12.041394927536233</v>
      </c>
      <c r="AN40" s="8984"/>
      <c r="AO40" s="6256">
        <f>+AO39/AO$2/24</f>
        <v>8.6736363636363638</v>
      </c>
      <c r="AP40" s="8961"/>
      <c r="AQ40" s="6219">
        <f>+AQ39/AQ$2/24</f>
        <v>5.7249999999999988</v>
      </c>
      <c r="AR40" s="8984"/>
      <c r="AS40" s="6256">
        <f>+AS39/AS$2/24</f>
        <v>8.3749183006535954</v>
      </c>
      <c r="AT40" s="8961"/>
      <c r="AU40" s="6219">
        <f>+AU39/AU$2/24</f>
        <v>16.09017857142857</v>
      </c>
      <c r="AV40" s="8984"/>
      <c r="AW40" s="6256">
        <f>+AW39/AW$2/24</f>
        <v>9.0217065868263475</v>
      </c>
      <c r="AX40" s="8961"/>
      <c r="AY40" s="6219">
        <f>+AY39/AY$2/24</f>
        <v>16.214784946236559</v>
      </c>
      <c r="AZ40" s="8970"/>
      <c r="BA40" s="6270">
        <f>+BA39/BA$2/24</f>
        <v>12.562870370370371</v>
      </c>
      <c r="BB40" s="8970"/>
      <c r="BC40" s="6270">
        <f>+BC39/BC$2/24</f>
        <v>12.2992673992674</v>
      </c>
      <c r="BD40" s="8972"/>
      <c r="BE40" s="7071">
        <f>+BE39/BE$2/24</f>
        <v>9.6326255707762556</v>
      </c>
    </row>
    <row r="41" spans="1:57" x14ac:dyDescent="0.2">
      <c r="B41" s="8988" t="s">
        <v>912</v>
      </c>
      <c r="C41" s="1646" t="s">
        <v>909</v>
      </c>
      <c r="D41" s="5828"/>
      <c r="E41" s="4406">
        <v>12155.1</v>
      </c>
      <c r="F41" s="9008"/>
      <c r="G41" s="3918">
        <v>11578.4</v>
      </c>
      <c r="H41" s="8984"/>
      <c r="I41" s="5901">
        <f>+E41+G41</f>
        <v>23733.5</v>
      </c>
      <c r="J41" s="9010"/>
      <c r="K41" s="3918">
        <v>5968.8</v>
      </c>
      <c r="L41" s="8970"/>
      <c r="M41" s="6271">
        <f>+I41+K41</f>
        <v>29702.3</v>
      </c>
      <c r="N41" s="8961"/>
      <c r="O41" s="3918">
        <v>913.9</v>
      </c>
      <c r="P41" s="8984"/>
      <c r="Q41" s="5901">
        <f>+M41+O41</f>
        <v>30616.2</v>
      </c>
      <c r="R41" s="8961"/>
      <c r="S41" s="3918">
        <v>8400</v>
      </c>
      <c r="T41" s="8984"/>
      <c r="U41" s="5901">
        <f>+Q41+S41</f>
        <v>39016.199999999997</v>
      </c>
      <c r="V41" s="8961"/>
      <c r="W41" s="3918">
        <v>8043.4</v>
      </c>
      <c r="X41" s="8970"/>
      <c r="Y41" s="2396">
        <f t="shared" ref="Y41" si="128">+W41+S41+O41</f>
        <v>17357.300000000003</v>
      </c>
      <c r="Z41" s="8972"/>
      <c r="AA41" s="7072">
        <f>+U41+W41</f>
        <v>47059.6</v>
      </c>
      <c r="AB41" s="8961"/>
      <c r="AC41" s="3918">
        <v>10008.299999999999</v>
      </c>
      <c r="AD41" s="8984"/>
      <c r="AE41" s="5901">
        <f>+AA41+AC41</f>
        <v>57067.899999999994</v>
      </c>
      <c r="AF41" s="8961"/>
      <c r="AG41" s="3918">
        <v>1544.9</v>
      </c>
      <c r="AH41" s="8984"/>
      <c r="AI41" s="5901">
        <f>+AE41+AG41</f>
        <v>58612.799999999996</v>
      </c>
      <c r="AJ41" s="8961"/>
      <c r="AK41" s="3918">
        <v>9740.1</v>
      </c>
      <c r="AL41" s="8970"/>
      <c r="AM41" s="2396">
        <f t="shared" ref="AM41" si="129">+AK41+AG41+AC41</f>
        <v>21293.3</v>
      </c>
      <c r="AN41" s="8984"/>
      <c r="AO41" s="5901">
        <f>+AI41+AK41</f>
        <v>68352.899999999994</v>
      </c>
      <c r="AP41" s="8961"/>
      <c r="AQ41" s="3918">
        <v>9360.6</v>
      </c>
      <c r="AR41" s="8984"/>
      <c r="AS41" s="5901">
        <f>+AO41+AQ41</f>
        <v>77713.5</v>
      </c>
      <c r="AT41" s="8961"/>
      <c r="AU41" s="3918">
        <v>5475.8</v>
      </c>
      <c r="AV41" s="8984"/>
      <c r="AW41" s="5901">
        <f>+AS41+AU41</f>
        <v>83189.3</v>
      </c>
      <c r="AX41" s="8961"/>
      <c r="AY41" s="3918">
        <v>6150.2</v>
      </c>
      <c r="AZ41" s="8970"/>
      <c r="BA41" s="2396">
        <f t="shared" ref="BA41" si="130">+AY41+AU41+AQ41</f>
        <v>20986.6</v>
      </c>
      <c r="BB41" s="8970"/>
      <c r="BC41" s="2396">
        <f>+AM41+BA41</f>
        <v>42279.899999999994</v>
      </c>
      <c r="BD41" s="8972"/>
      <c r="BE41" s="7072">
        <f>+AW41+AY41</f>
        <v>89339.5</v>
      </c>
    </row>
    <row r="42" spans="1:57" ht="16" thickBot="1" x14ac:dyDescent="0.25">
      <c r="B42" s="8989"/>
      <c r="C42" s="1651" t="s">
        <v>897</v>
      </c>
      <c r="D42" s="5828"/>
      <c r="E42" s="6219">
        <f>+E41/E$2/24</f>
        <v>16.882083333333334</v>
      </c>
      <c r="F42" s="9008"/>
      <c r="G42" s="6219">
        <f>+G41/G$2/24</f>
        <v>15.56236559139785</v>
      </c>
      <c r="H42" s="8984"/>
      <c r="I42" s="6256">
        <f>+I41/I$2/24</f>
        <v>16.211407103825135</v>
      </c>
      <c r="J42" s="9011"/>
      <c r="K42" s="6219">
        <f>+K41/K$2/24</f>
        <v>8.2900000000000009</v>
      </c>
      <c r="L42" s="8970"/>
      <c r="M42" s="6270">
        <f>+M41/M$2/24</f>
        <v>13.599954212454213</v>
      </c>
      <c r="N42" s="8961"/>
      <c r="O42" s="6219">
        <f>+O41/O$2/24</f>
        <v>1.2283602150537634</v>
      </c>
      <c r="P42" s="8984"/>
      <c r="Q42" s="6256">
        <f>+Q41/Q$2/24</f>
        <v>10.456352459016394</v>
      </c>
      <c r="R42" s="8961"/>
      <c r="S42" s="6219">
        <f>+S41/S$2/24</f>
        <v>11.29032258064516</v>
      </c>
      <c r="T42" s="8984"/>
      <c r="U42" s="6256">
        <f>+U41/U$2/24</f>
        <v>10.62532679738562</v>
      </c>
      <c r="V42" s="8961"/>
      <c r="W42" s="6219">
        <f>+W41/W$2/24</f>
        <v>11.17138888888889</v>
      </c>
      <c r="X42" s="8970"/>
      <c r="Y42" s="6270">
        <f>+Y41/Y$2/24</f>
        <v>7.8610960144927553</v>
      </c>
      <c r="Z42" s="8972"/>
      <c r="AA42" s="7071">
        <f>+AA41/AA$2/24</f>
        <v>10.714845173041894</v>
      </c>
      <c r="AB42" s="8961"/>
      <c r="AC42" s="6219">
        <f>+AC41/AC$2/24</f>
        <v>13.452016129032257</v>
      </c>
      <c r="AD42" s="8984"/>
      <c r="AE42" s="6256">
        <f>+AE41/AE$2/24</f>
        <v>11.111351246105919</v>
      </c>
      <c r="AF42" s="8961"/>
      <c r="AG42" s="6219">
        <f>+AG41/AG$2/24</f>
        <v>2.1456944444444446</v>
      </c>
      <c r="AH42" s="8984"/>
      <c r="AI42" s="6256">
        <f>+AI41/AI$2/24</f>
        <v>10.009016393442623</v>
      </c>
      <c r="AJ42" s="8961"/>
      <c r="AK42" s="6219">
        <f>+AK41/AK$2/24</f>
        <v>13.091532258064516</v>
      </c>
      <c r="AL42" s="8970"/>
      <c r="AM42" s="6270">
        <f>+AM41/AM$2/24</f>
        <v>9.6437047101449274</v>
      </c>
      <c r="AN42" s="8984"/>
      <c r="AO42" s="6256">
        <f>+AO41/AO$2/24</f>
        <v>10.356499999999999</v>
      </c>
      <c r="AP42" s="8961"/>
      <c r="AQ42" s="6219">
        <f>+AQ41/AQ$2/24</f>
        <v>12.581451612903225</v>
      </c>
      <c r="AR42" s="8984"/>
      <c r="AS42" s="6256">
        <f>+AS41/AS$2/24</f>
        <v>10.581903594771243</v>
      </c>
      <c r="AT42" s="8961"/>
      <c r="AU42" s="6219">
        <f>+AU41/AU$2/24</f>
        <v>8.1485119047619055</v>
      </c>
      <c r="AV42" s="8984"/>
      <c r="AW42" s="6256">
        <f>+AW41/AW$2/24</f>
        <v>10.377906686626746</v>
      </c>
      <c r="AX42" s="8961"/>
      <c r="AY42" s="6219">
        <f>+AY41/AY$2/24</f>
        <v>8.2663978494623649</v>
      </c>
      <c r="AZ42" s="8970"/>
      <c r="BA42" s="6270">
        <f>+BA41/BA$2/24</f>
        <v>9.7160185185185188</v>
      </c>
      <c r="BB42" s="8970"/>
      <c r="BC42" s="6270">
        <f>+BC41/BC$2/24</f>
        <v>9.6794642857142836</v>
      </c>
      <c r="BD42" s="8972"/>
      <c r="BE42" s="7071">
        <f>+BE41/BE$2/24</f>
        <v>10.198573059360731</v>
      </c>
    </row>
    <row r="43" spans="1:57" ht="18" x14ac:dyDescent="0.2">
      <c r="B43" s="8995" t="s">
        <v>1007</v>
      </c>
      <c r="C43" s="1783" t="s">
        <v>909</v>
      </c>
      <c r="D43" s="4701">
        <f>+D44*D2*24</f>
        <v>0</v>
      </c>
      <c r="E43" s="6168">
        <f>+E37+E39+E41</f>
        <v>24930.400000000001</v>
      </c>
      <c r="F43" s="4701">
        <f>+F44*F2*24</f>
        <v>0</v>
      </c>
      <c r="G43" s="6222">
        <f>+G37+G39+G41</f>
        <v>24496.799999999999</v>
      </c>
      <c r="H43" s="6242">
        <f>+D43+F43</f>
        <v>0</v>
      </c>
      <c r="I43" s="6257">
        <f>+E43+G43</f>
        <v>49427.199999999997</v>
      </c>
      <c r="J43" s="6247">
        <f>+J44*J2*24</f>
        <v>0</v>
      </c>
      <c r="K43" s="6222">
        <f>+K37+K39+K41</f>
        <v>23453.399999999998</v>
      </c>
      <c r="L43" s="6264">
        <f>+H43+J43</f>
        <v>0</v>
      </c>
      <c r="M43" s="6272">
        <f>+I43+K43</f>
        <v>72880.599999999991</v>
      </c>
      <c r="N43" s="2825">
        <f>+N44*N2*24</f>
        <v>25935.516955200001</v>
      </c>
      <c r="O43" s="6222">
        <f>+O37+O39+O41</f>
        <v>24327.7</v>
      </c>
      <c r="P43" s="6242">
        <f>+L43+N43</f>
        <v>25935.516955200001</v>
      </c>
      <c r="Q43" s="6257">
        <f>+M43+O43</f>
        <v>97208.299999999988</v>
      </c>
      <c r="R43" s="2825">
        <f>+R44*R2*24</f>
        <v>0</v>
      </c>
      <c r="S43" s="6222">
        <f>+S37+S39+S41</f>
        <v>24243.4</v>
      </c>
      <c r="T43" s="6242">
        <f>+P43+R43</f>
        <v>25935.516955200001</v>
      </c>
      <c r="U43" s="6257">
        <f>+Q43+S43</f>
        <v>121451.69999999998</v>
      </c>
      <c r="V43" s="2825">
        <f>+V44*V2*24</f>
        <v>0</v>
      </c>
      <c r="W43" s="6222">
        <f>+W37+W39+W41</f>
        <v>21817.4</v>
      </c>
      <c r="X43" s="6264">
        <f>+V43+R43+N43</f>
        <v>25935.516955200001</v>
      </c>
      <c r="Y43" s="6272">
        <f>+O43+S43+W43</f>
        <v>70388.5</v>
      </c>
      <c r="Z43" s="7073">
        <f>+T43+V43</f>
        <v>25935.516955200001</v>
      </c>
      <c r="AA43" s="7074">
        <f>+U43+W43</f>
        <v>143269.09999999998</v>
      </c>
      <c r="AB43" s="2825">
        <f>+AB44*AB2*24</f>
        <v>0</v>
      </c>
      <c r="AC43" s="6222">
        <f>+AC37+AC39+AC41</f>
        <v>24204.400000000001</v>
      </c>
      <c r="AD43" s="6242">
        <f>+Z43+AB43</f>
        <v>25935.516955200001</v>
      </c>
      <c r="AE43" s="6257">
        <f>+AA43+AC43</f>
        <v>167473.49999999997</v>
      </c>
      <c r="AF43" s="2825">
        <f>+AF44*AF2*24</f>
        <v>0</v>
      </c>
      <c r="AG43" s="6222">
        <f>+AG37+AG39+AG41</f>
        <v>24460.6</v>
      </c>
      <c r="AH43" s="6242">
        <f>+AD43+AF43</f>
        <v>25935.516955200001</v>
      </c>
      <c r="AI43" s="6257">
        <f>+AE43+AG43</f>
        <v>191934.09999999998</v>
      </c>
      <c r="AJ43" s="2825">
        <f>+AJ44*AJ2*24</f>
        <v>0</v>
      </c>
      <c r="AK43" s="6222">
        <f>+AK37+AK39+AK41</f>
        <v>25897.200000000001</v>
      </c>
      <c r="AL43" s="6264">
        <f>+AJ43+AF43+AB43</f>
        <v>0</v>
      </c>
      <c r="AM43" s="6272">
        <f>+AC43+AG43+AK43</f>
        <v>74562.2</v>
      </c>
      <c r="AN43" s="6242">
        <f>+AH43+AJ43</f>
        <v>25935.516955200001</v>
      </c>
      <c r="AO43" s="6257">
        <f>+AI43+AK43</f>
        <v>217831.3</v>
      </c>
      <c r="AP43" s="2825">
        <f>+AP44*AP2*24</f>
        <v>0</v>
      </c>
      <c r="AQ43" s="6222">
        <f>+AQ37+AQ39+AQ41</f>
        <v>26329.9</v>
      </c>
      <c r="AR43" s="6242">
        <f>+AN43+AP43</f>
        <v>25935.516955200001</v>
      </c>
      <c r="AS43" s="6257">
        <f>+AO43+AQ43</f>
        <v>244161.19999999998</v>
      </c>
      <c r="AT43" s="2825">
        <f>+AT44*AT2*24</f>
        <v>0</v>
      </c>
      <c r="AU43" s="6222">
        <f>+AU37+AU39+AU41</f>
        <v>24536.600000000002</v>
      </c>
      <c r="AV43" s="6242">
        <f>+AR43+AT43</f>
        <v>25935.516955200001</v>
      </c>
      <c r="AW43" s="6257">
        <f>+AS43+AU43</f>
        <v>268697.8</v>
      </c>
      <c r="AX43" s="2825">
        <f>+AX44*AX2*24</f>
        <v>0</v>
      </c>
      <c r="AY43" s="6222">
        <f>+AY37+AY39+AY41</f>
        <v>25040.899999999998</v>
      </c>
      <c r="AZ43" s="6264">
        <f>+AX43+AT43+AP43</f>
        <v>0</v>
      </c>
      <c r="BA43" s="6272">
        <f>+AQ43+AU43+AY43</f>
        <v>75907.399999999994</v>
      </c>
      <c r="BB43" s="6264">
        <f>+AZ43+AV43+AR43</f>
        <v>51871.033910400001</v>
      </c>
      <c r="BC43" s="6272">
        <f>+AM43+BA43</f>
        <v>150469.59999999998</v>
      </c>
      <c r="BD43" s="7073">
        <f>+AV43+AX43</f>
        <v>25935.516955200001</v>
      </c>
      <c r="BE43" s="7074">
        <f>+AW43+AY43</f>
        <v>293738.7</v>
      </c>
    </row>
    <row r="44" spans="1:57" ht="19" thickBot="1" x14ac:dyDescent="0.25">
      <c r="B44" s="8996"/>
      <c r="C44" s="1652" t="s">
        <v>897</v>
      </c>
      <c r="D44" s="4702"/>
      <c r="E44" s="6220">
        <f>+E43/E$2/24</f>
        <v>34.625555555555557</v>
      </c>
      <c r="F44" s="4702"/>
      <c r="G44" s="6220">
        <f>+G43/G$2/24</f>
        <v>32.925806451612907</v>
      </c>
      <c r="H44" s="6243">
        <f>+H43/(H2*24)</f>
        <v>0</v>
      </c>
      <c r="I44" s="6258">
        <f>+I43/I$2/24</f>
        <v>33.761748633879783</v>
      </c>
      <c r="J44" s="6248"/>
      <c r="K44" s="6220">
        <f>+K43/K$2/24</f>
        <v>32.574166666666663</v>
      </c>
      <c r="L44" s="6265">
        <f>+L43/(L2*24)</f>
        <v>0</v>
      </c>
      <c r="M44" s="6273">
        <f>+M43/M$2/24</f>
        <v>33.370238095238093</v>
      </c>
      <c r="N44" s="3466">
        <v>34.859565799999999</v>
      </c>
      <c r="O44" s="6220">
        <f>+O43/O$2/24</f>
        <v>32.698521505376341</v>
      </c>
      <c r="P44" s="6243">
        <f>+P43/(P2*24)</f>
        <v>8.8577585229508191</v>
      </c>
      <c r="Q44" s="6258">
        <f>+Q43/Q$2/24</f>
        <v>33.199556010928958</v>
      </c>
      <c r="R44" s="3466"/>
      <c r="S44" s="6220">
        <f>+S43/S$2/24</f>
        <v>32.585215053763442</v>
      </c>
      <c r="T44" s="6243">
        <f>+T43/(T2*24)</f>
        <v>7.0630492797385624</v>
      </c>
      <c r="U44" s="6258">
        <f>+U43/U$2/24</f>
        <v>33.075081699346399</v>
      </c>
      <c r="V44" s="3466"/>
      <c r="W44" s="6220">
        <f>+W43/W$2/24</f>
        <v>30.301944444444445</v>
      </c>
      <c r="X44" s="6265">
        <f>+X43/(X2*24)</f>
        <v>11.746158041304348</v>
      </c>
      <c r="Y44" s="6273">
        <f>+Y43/Y$2/24</f>
        <v>31.87884963768116</v>
      </c>
      <c r="Z44" s="7075">
        <f>+Z43/(Z2*24)</f>
        <v>5.9051723486338803</v>
      </c>
      <c r="AA44" s="7076">
        <f>+AA43/AA$2/24</f>
        <v>32.620469034608369</v>
      </c>
      <c r="AB44" s="3466"/>
      <c r="AC44" s="6220">
        <f>+AC43/AC$2/24</f>
        <v>32.532795698924737</v>
      </c>
      <c r="AD44" s="6243">
        <f>+AD43/(AD2*24)</f>
        <v>5.049750185981309</v>
      </c>
      <c r="AE44" s="6258">
        <f>+AE43/AE$2/24</f>
        <v>32.607768691588781</v>
      </c>
      <c r="AF44" s="3466"/>
      <c r="AG44" s="6220">
        <f>+AG43/AG$2/24</f>
        <v>33.973055555555554</v>
      </c>
      <c r="AH44" s="6243">
        <f>+AH43/(AH2*24)</f>
        <v>4.4288792614754096</v>
      </c>
      <c r="AI44" s="6258">
        <f>+AI43/AI$2/24</f>
        <v>32.775631830601093</v>
      </c>
      <c r="AJ44" s="3466"/>
      <c r="AK44" s="6220">
        <f>+AK43/AK$2/24</f>
        <v>34.808064516129029</v>
      </c>
      <c r="AL44" s="6265">
        <f>+AL43/(AL2*24)</f>
        <v>0</v>
      </c>
      <c r="AM44" s="6273">
        <f>+AM43/AM$2/24</f>
        <v>33.769112318840577</v>
      </c>
      <c r="AN44" s="6243">
        <f>+AN43/(AN2*24)</f>
        <v>3.9296237810909092</v>
      </c>
      <c r="AO44" s="6258">
        <f>+AO43/AO$2/24</f>
        <v>33.004742424242423</v>
      </c>
      <c r="AP44" s="3466"/>
      <c r="AQ44" s="6220">
        <f>+AQ43/AQ$2/24</f>
        <v>35.389650537634409</v>
      </c>
      <c r="AR44" s="6243">
        <f>+AR43/(AR2*24)</f>
        <v>3.5315246398692812</v>
      </c>
      <c r="AS44" s="6258">
        <f>+AS43/AS$2/24</f>
        <v>33.246350762527229</v>
      </c>
      <c r="AT44" s="3466"/>
      <c r="AU44" s="6220">
        <f>+AU43/AU$2/24</f>
        <v>36.512797619047625</v>
      </c>
      <c r="AV44" s="6243">
        <f>+AV43/(AV2*24)</f>
        <v>3.2354686820359282</v>
      </c>
      <c r="AW44" s="6258">
        <f>+AW43/AW$2/24</f>
        <v>33.52018463073852</v>
      </c>
      <c r="AX44" s="3466"/>
      <c r="AY44" s="6220">
        <f>+AY43/AY$2/24</f>
        <v>33.657123655913978</v>
      </c>
      <c r="AZ44" s="6265">
        <f>+AZ43/(AZ2*24)</f>
        <v>0</v>
      </c>
      <c r="BA44" s="6273">
        <f>+BA43/BA$2/24</f>
        <v>35.14231481481481</v>
      </c>
      <c r="BB44" s="6265">
        <f>+BB43/(BB2*24)</f>
        <v>11.875236701098901</v>
      </c>
      <c r="BC44" s="6273">
        <f>+BC43/BC$2/24</f>
        <v>34.448168498168492</v>
      </c>
      <c r="BD44" s="7075">
        <f>+BD43/(BD2*24)</f>
        <v>2.9606754515068494</v>
      </c>
      <c r="BE44" s="7076">
        <f>+BE43/BE$2/24</f>
        <v>33.531815068493152</v>
      </c>
    </row>
    <row r="45" spans="1:57" x14ac:dyDescent="0.2">
      <c r="B45" s="8994" t="s">
        <v>913</v>
      </c>
      <c r="C45" s="1680" t="s">
        <v>909</v>
      </c>
      <c r="D45" s="4703">
        <f>+D46*D2*24</f>
        <v>0</v>
      </c>
      <c r="E45" s="5245">
        <v>0</v>
      </c>
      <c r="F45" s="4703">
        <f>+F46*F2*24</f>
        <v>0</v>
      </c>
      <c r="G45" s="6223">
        <v>0</v>
      </c>
      <c r="H45" s="4366">
        <f>+D45+F45</f>
        <v>0</v>
      </c>
      <c r="I45" s="5901">
        <f>+E45+G45</f>
        <v>0</v>
      </c>
      <c r="J45" s="4209">
        <f>+J46*J2*24</f>
        <v>0</v>
      </c>
      <c r="K45" s="6223">
        <v>0</v>
      </c>
      <c r="L45" s="6068">
        <f>+H45+J45</f>
        <v>0</v>
      </c>
      <c r="M45" s="6271">
        <f>+I45+K45</f>
        <v>0</v>
      </c>
      <c r="N45" s="2812">
        <f>+N46*N2*24</f>
        <v>0</v>
      </c>
      <c r="O45" s="6223">
        <v>0</v>
      </c>
      <c r="P45" s="4366">
        <f>+L45+N45</f>
        <v>0</v>
      </c>
      <c r="Q45" s="5901">
        <f>+M45+O45</f>
        <v>0</v>
      </c>
      <c r="R45" s="2812">
        <f>+R46*R2*24</f>
        <v>0</v>
      </c>
      <c r="S45" s="6223">
        <v>0</v>
      </c>
      <c r="T45" s="4366">
        <f>+P45+R45</f>
        <v>0</v>
      </c>
      <c r="U45" s="5901">
        <f>+Q45+S45</f>
        <v>0</v>
      </c>
      <c r="V45" s="2812">
        <f>+V46*V2*24</f>
        <v>0</v>
      </c>
      <c r="W45" s="6223">
        <v>0</v>
      </c>
      <c r="X45" s="2396">
        <f t="shared" ref="X45" si="131">+V45+R45+N45</f>
        <v>0</v>
      </c>
      <c r="Y45" s="2396">
        <f t="shared" ref="Y45" si="132">+W45+S45+O45</f>
        <v>0</v>
      </c>
      <c r="Z45" s="6691">
        <f>+T45+V45</f>
        <v>0</v>
      </c>
      <c r="AA45" s="7072">
        <f>+U45+W45</f>
        <v>0</v>
      </c>
      <c r="AB45" s="2812">
        <f>+AB46*AB2*24</f>
        <v>0</v>
      </c>
      <c r="AC45" s="6223">
        <v>0</v>
      </c>
      <c r="AD45" s="4366">
        <f>+Z45+AB45</f>
        <v>0</v>
      </c>
      <c r="AE45" s="5901">
        <f>+AA45+AC45</f>
        <v>0</v>
      </c>
      <c r="AF45" s="2812">
        <f>+AF46*AF2*24</f>
        <v>0</v>
      </c>
      <c r="AG45" s="6223">
        <v>0</v>
      </c>
      <c r="AH45" s="4366">
        <f>+AD45+AF45</f>
        <v>0</v>
      </c>
      <c r="AI45" s="5901">
        <f>+AE45+AG45</f>
        <v>0</v>
      </c>
      <c r="AJ45" s="2812">
        <f>+AJ46*AJ2*24</f>
        <v>0</v>
      </c>
      <c r="AK45" s="6223">
        <v>0</v>
      </c>
      <c r="AL45" s="2396">
        <f t="shared" ref="AL45" si="133">+AJ45+AF45+AB45</f>
        <v>0</v>
      </c>
      <c r="AM45" s="2396">
        <f t="shared" ref="AM45" si="134">+AK45+AG45+AC45</f>
        <v>0</v>
      </c>
      <c r="AN45" s="4366">
        <f>+AH45+AJ45</f>
        <v>0</v>
      </c>
      <c r="AO45" s="5901">
        <f>+AI45+AK45</f>
        <v>0</v>
      </c>
      <c r="AP45" s="2812">
        <f>+AP46*AP2*24</f>
        <v>0</v>
      </c>
      <c r="AQ45" s="6223">
        <v>0</v>
      </c>
      <c r="AR45" s="4366">
        <f>+AN45+AP45</f>
        <v>0</v>
      </c>
      <c r="AS45" s="5901">
        <f>+AO45+AQ45</f>
        <v>0</v>
      </c>
      <c r="AT45" s="2812">
        <f>+AT46*AT2*24</f>
        <v>0</v>
      </c>
      <c r="AU45" s="6223">
        <v>0</v>
      </c>
      <c r="AV45" s="4366">
        <f>+AR45+AT45</f>
        <v>0</v>
      </c>
      <c r="AW45" s="5901">
        <f>+AS45+AU45</f>
        <v>0</v>
      </c>
      <c r="AX45" s="2812">
        <f>+AX46*AX2*24</f>
        <v>0</v>
      </c>
      <c r="AY45" s="6223">
        <v>0</v>
      </c>
      <c r="AZ45" s="2396">
        <f t="shared" ref="AZ45" si="135">+AX45+AT45+AP45</f>
        <v>0</v>
      </c>
      <c r="BA45" s="2396">
        <f t="shared" ref="BA45" si="136">+AY45+AU45+AQ45</f>
        <v>0</v>
      </c>
      <c r="BB45" s="2396">
        <f t="shared" ref="BB45" si="137">+AZ45+AV45+AR45</f>
        <v>0</v>
      </c>
      <c r="BC45" s="2396">
        <f t="shared" ref="BC45" si="138">+BA45+AW45+AS45</f>
        <v>0</v>
      </c>
      <c r="BD45" s="6691">
        <f>+AV45+AX45</f>
        <v>0</v>
      </c>
      <c r="BE45" s="7072">
        <f>+AW45+AY45</f>
        <v>0</v>
      </c>
    </row>
    <row r="46" spans="1:57" x14ac:dyDescent="0.2">
      <c r="B46" s="8988"/>
      <c r="C46" s="1647" t="s">
        <v>897</v>
      </c>
      <c r="D46" s="4704"/>
      <c r="E46" s="4459">
        <f>+E45/E$2/24</f>
        <v>0</v>
      </c>
      <c r="F46" s="6236"/>
      <c r="G46" s="4459">
        <f>+G45/G$2/24</f>
        <v>0</v>
      </c>
      <c r="H46" s="6244">
        <f>+H45/(H$2*24)</f>
        <v>0</v>
      </c>
      <c r="I46" s="6259">
        <f>+I45/I$2/24</f>
        <v>0</v>
      </c>
      <c r="J46" s="6249"/>
      <c r="K46" s="4459">
        <f>+K45/K$2/24</f>
        <v>0</v>
      </c>
      <c r="L46" s="6266">
        <f>+L45/(L$2*24)</f>
        <v>0</v>
      </c>
      <c r="M46" s="6274">
        <f>+M45/M$2/24</f>
        <v>0</v>
      </c>
      <c r="N46" s="6237">
        <v>0</v>
      </c>
      <c r="O46" s="4459">
        <f>+O45/O$2/24</f>
        <v>0</v>
      </c>
      <c r="P46" s="6244">
        <f>+P45/(P$2*24)</f>
        <v>0</v>
      </c>
      <c r="Q46" s="6259">
        <f>+Q45/Q$2/24</f>
        <v>0</v>
      </c>
      <c r="R46" s="6237"/>
      <c r="S46" s="4459">
        <f>+S45/S$2/24</f>
        <v>0</v>
      </c>
      <c r="T46" s="6244">
        <f>+T45/(T$2*24)</f>
        <v>0</v>
      </c>
      <c r="U46" s="6259">
        <f>+U45/U$2/24</f>
        <v>0</v>
      </c>
      <c r="V46" s="6237"/>
      <c r="W46" s="4459">
        <f>+W45/W$2/24</f>
        <v>0</v>
      </c>
      <c r="X46" s="6266">
        <f>+X45/(X$2*24)</f>
        <v>0</v>
      </c>
      <c r="Y46" s="6274">
        <f>+Y45/Y$2/24</f>
        <v>0</v>
      </c>
      <c r="Z46" s="7077">
        <f>+Z45/(Z$2*24)</f>
        <v>0</v>
      </c>
      <c r="AA46" s="7078">
        <f>+AA45/AA$2/24</f>
        <v>0</v>
      </c>
      <c r="AB46" s="6237"/>
      <c r="AC46" s="4459">
        <f>+AC45/AC$2/24</f>
        <v>0</v>
      </c>
      <c r="AD46" s="6244">
        <f>+AD45/(AD$2*24)</f>
        <v>0</v>
      </c>
      <c r="AE46" s="6259">
        <f>+AE45/AE$2/24</f>
        <v>0</v>
      </c>
      <c r="AF46" s="6237"/>
      <c r="AG46" s="4459">
        <f>+AG45/AG$2/24</f>
        <v>0</v>
      </c>
      <c r="AH46" s="6244">
        <f>+AH45/(AH$2*24)</f>
        <v>0</v>
      </c>
      <c r="AI46" s="6259">
        <f>+AI45/AI$2/24</f>
        <v>0</v>
      </c>
      <c r="AJ46" s="6237"/>
      <c r="AK46" s="4459">
        <f>+AK45/AK$2/24</f>
        <v>0</v>
      </c>
      <c r="AL46" s="6266">
        <f>+AL45/(AL$2*24)</f>
        <v>0</v>
      </c>
      <c r="AM46" s="6274">
        <f>+AM45/AM$2/24</f>
        <v>0</v>
      </c>
      <c r="AN46" s="6244">
        <f>+AN45/(AN$2*24)</f>
        <v>0</v>
      </c>
      <c r="AO46" s="6259">
        <f>+AO45/AO$2/24</f>
        <v>0</v>
      </c>
      <c r="AP46" s="6237"/>
      <c r="AQ46" s="4459">
        <f>+AQ45/AQ$2/24</f>
        <v>0</v>
      </c>
      <c r="AR46" s="6244">
        <f>+AR45/(AR$2*24)</f>
        <v>0</v>
      </c>
      <c r="AS46" s="6259">
        <f>+AS45/AS$2/24</f>
        <v>0</v>
      </c>
      <c r="AT46" s="6237"/>
      <c r="AU46" s="4459">
        <f>+AU45/AU$2/24</f>
        <v>0</v>
      </c>
      <c r="AV46" s="6244">
        <f>+AV45/(AV$2*24)</f>
        <v>0</v>
      </c>
      <c r="AW46" s="6259">
        <f>+AW45/AW$2/24</f>
        <v>0</v>
      </c>
      <c r="AX46" s="6237"/>
      <c r="AY46" s="4459">
        <f>+AY45/AY$2/24</f>
        <v>0</v>
      </c>
      <c r="AZ46" s="6266">
        <f>+AZ45/(AZ$2*24)</f>
        <v>0</v>
      </c>
      <c r="BA46" s="6274">
        <f>+BA45/BA$2/24</f>
        <v>0</v>
      </c>
      <c r="BB46" s="6266">
        <f>+BB45/(BB$2*24)</f>
        <v>0</v>
      </c>
      <c r="BC46" s="6274">
        <f>+BC45/BC$2/24</f>
        <v>0</v>
      </c>
      <c r="BD46" s="7077">
        <f>+BD45/(BD$2*24)</f>
        <v>0</v>
      </c>
      <c r="BE46" s="7078">
        <f>+BE45/BE$2/24</f>
        <v>0</v>
      </c>
    </row>
    <row r="47" spans="1:57" x14ac:dyDescent="0.2">
      <c r="B47" s="8988" t="s">
        <v>914</v>
      </c>
      <c r="C47" s="1646" t="s">
        <v>909</v>
      </c>
      <c r="D47" s="4705">
        <f>+D48*D2*24</f>
        <v>0</v>
      </c>
      <c r="E47" s="4406">
        <v>4360.1000000000004</v>
      </c>
      <c r="F47" s="4705">
        <f>+F48*F2*24</f>
        <v>0</v>
      </c>
      <c r="G47" s="4957">
        <v>4513.7</v>
      </c>
      <c r="H47" s="4366">
        <f>+D47+F47</f>
        <v>0</v>
      </c>
      <c r="I47" s="5901">
        <f>+E47+G47</f>
        <v>8873.7999999999993</v>
      </c>
      <c r="J47" s="4709">
        <f>+J48*J2*24</f>
        <v>0</v>
      </c>
      <c r="K47" s="4957">
        <v>6266.6</v>
      </c>
      <c r="L47" s="6068">
        <f>+H47+J47</f>
        <v>0</v>
      </c>
      <c r="M47" s="6271">
        <f>+I47+K47</f>
        <v>15140.4</v>
      </c>
      <c r="N47" s="2720">
        <f>+N48*N2*24</f>
        <v>9015.6266832000001</v>
      </c>
      <c r="O47" s="6223">
        <v>7810.6</v>
      </c>
      <c r="P47" s="4366">
        <f>+L47+N47</f>
        <v>9015.6266832000001</v>
      </c>
      <c r="Q47" s="5901">
        <f>+M47+O47</f>
        <v>22951</v>
      </c>
      <c r="R47" s="2720">
        <f>+R48*R2*24</f>
        <v>0</v>
      </c>
      <c r="S47" s="4957">
        <v>7791.1</v>
      </c>
      <c r="T47" s="4366">
        <f>+P47+R47</f>
        <v>9015.6266832000001</v>
      </c>
      <c r="U47" s="5901">
        <f>+Q47+S47</f>
        <v>30742.1</v>
      </c>
      <c r="V47" s="2720">
        <f>+V48*V2*24</f>
        <v>0</v>
      </c>
      <c r="W47" s="4957">
        <v>3583</v>
      </c>
      <c r="X47" s="2396">
        <f t="shared" ref="X47" si="139">+V47+R47+N47</f>
        <v>9015.6266832000001</v>
      </c>
      <c r="Y47" s="2396">
        <f t="shared" ref="Y47" si="140">+W47+S47+O47</f>
        <v>19184.7</v>
      </c>
      <c r="Z47" s="6691">
        <f>+T47+V47</f>
        <v>9015.6266832000001</v>
      </c>
      <c r="AA47" s="7072">
        <f>+U47+W47</f>
        <v>34325.1</v>
      </c>
      <c r="AB47" s="2720">
        <f>+AB48*AB2*24</f>
        <v>0</v>
      </c>
      <c r="AC47" s="4957">
        <v>4632.3999999999996</v>
      </c>
      <c r="AD47" s="4366">
        <f>+Z47+AB47</f>
        <v>9015.6266832000001</v>
      </c>
      <c r="AE47" s="5901">
        <f>+AA47+AC47</f>
        <v>38957.5</v>
      </c>
      <c r="AF47" s="2720">
        <f>+AF48*AF2*24</f>
        <v>0</v>
      </c>
      <c r="AG47" s="4957">
        <v>6613.9</v>
      </c>
      <c r="AH47" s="4366">
        <f>+AD47+AF47</f>
        <v>9015.6266832000001</v>
      </c>
      <c r="AI47" s="5901">
        <f>+AE47+AG47</f>
        <v>45571.4</v>
      </c>
      <c r="AJ47" s="2720">
        <f>+AJ48*AJ2*24</f>
        <v>0</v>
      </c>
      <c r="AK47" s="3918">
        <v>8393.2999999999993</v>
      </c>
      <c r="AL47" s="2396">
        <f t="shared" ref="AL47" si="141">+AJ47+AF47+AB47</f>
        <v>0</v>
      </c>
      <c r="AM47" s="2396">
        <f t="shared" ref="AM47" si="142">+AK47+AG47+AC47</f>
        <v>19639.599999999999</v>
      </c>
      <c r="AN47" s="4366">
        <f>+AH47+AJ47</f>
        <v>9015.6266832000001</v>
      </c>
      <c r="AO47" s="5901">
        <f>+AI47+AK47</f>
        <v>53964.7</v>
      </c>
      <c r="AP47" s="2720">
        <f>+AP48*AP2*24</f>
        <v>0</v>
      </c>
      <c r="AQ47" s="3918">
        <v>8993.4</v>
      </c>
      <c r="AR47" s="4366">
        <f>+AN47+AP47</f>
        <v>9015.6266832000001</v>
      </c>
      <c r="AS47" s="5901">
        <f>+AO47+AQ47</f>
        <v>62958.1</v>
      </c>
      <c r="AT47" s="2720">
        <f>+AT48*AT2*24</f>
        <v>0</v>
      </c>
      <c r="AU47" s="3918">
        <v>8196.6</v>
      </c>
      <c r="AV47" s="4366">
        <f>+AR47+AT47</f>
        <v>9015.6266832000001</v>
      </c>
      <c r="AW47" s="5901">
        <f>+AS47+AU47</f>
        <v>71154.7</v>
      </c>
      <c r="AX47" s="2720">
        <f>+AX48*AX2*24</f>
        <v>0</v>
      </c>
      <c r="AY47" s="3918">
        <v>9769.5</v>
      </c>
      <c r="AZ47" s="2396">
        <f t="shared" ref="AZ47" si="143">+AX47+AT47+AP47</f>
        <v>0</v>
      </c>
      <c r="BA47" s="2396">
        <f t="shared" ref="BA47" si="144">+AY47+AU47+AQ47</f>
        <v>26959.5</v>
      </c>
      <c r="BB47" s="2396">
        <f t="shared" ref="BB47" si="145">+AZ47+AV47+AR47</f>
        <v>18031.2533664</v>
      </c>
      <c r="BC47" s="2396">
        <f>+AM47+BA47</f>
        <v>46599.1</v>
      </c>
      <c r="BD47" s="6691">
        <f>+AV47+AX47</f>
        <v>9015.6266832000001</v>
      </c>
      <c r="BE47" s="7072">
        <f>+AW47+AY47</f>
        <v>80924.2</v>
      </c>
    </row>
    <row r="48" spans="1:57" ht="16" thickBot="1" x14ac:dyDescent="0.25">
      <c r="B48" s="8989"/>
      <c r="C48" s="1651" t="s">
        <v>897</v>
      </c>
      <c r="D48" s="4706"/>
      <c r="E48" s="4459">
        <f>+E47/E$2/24</f>
        <v>6.0556944444444447</v>
      </c>
      <c r="F48" s="6234"/>
      <c r="G48" s="4459">
        <f>+G47/G$2/24</f>
        <v>6.0668010752688168</v>
      </c>
      <c r="H48" s="6244">
        <f>+H47/(H$2*24)</f>
        <v>0</v>
      </c>
      <c r="I48" s="6259">
        <f>+I47/I$2/24</f>
        <v>6.0613387978142077</v>
      </c>
      <c r="J48" s="6250"/>
      <c r="K48" s="4459">
        <f>+K47/K$2/24</f>
        <v>8.7036111111111119</v>
      </c>
      <c r="L48" s="6266">
        <f>+L47/(L$2*24)</f>
        <v>0</v>
      </c>
      <c r="M48" s="6274">
        <f>+M47/M$2/24</f>
        <v>6.9324175824175818</v>
      </c>
      <c r="N48" s="6235">
        <v>12.117777800000001</v>
      </c>
      <c r="O48" s="4459">
        <f>+O47/O$2/24</f>
        <v>10.498118279569892</v>
      </c>
      <c r="P48" s="6244">
        <f>+P47/(P$2*24)</f>
        <v>3.0791074737704918</v>
      </c>
      <c r="Q48" s="6259">
        <f>+Q47/Q$2/24</f>
        <v>7.838456284153005</v>
      </c>
      <c r="R48" s="6235"/>
      <c r="S48" s="4459">
        <f>+S47/S$2/24</f>
        <v>10.471908602150538</v>
      </c>
      <c r="T48" s="6244">
        <f>+T47/(T$2*24)</f>
        <v>2.4552360248366014</v>
      </c>
      <c r="U48" s="6259">
        <f>+U47/U$2/24</f>
        <v>8.3720315904139433</v>
      </c>
      <c r="V48" s="6235"/>
      <c r="W48" s="4459">
        <f>+W47/W$2/24</f>
        <v>4.9763888888888888</v>
      </c>
      <c r="X48" s="6266">
        <f>+X47/(X$2*24)</f>
        <v>4.0831642586956525</v>
      </c>
      <c r="Y48" s="6274">
        <f>+Y47/Y$2/24</f>
        <v>8.6887228260869573</v>
      </c>
      <c r="Z48" s="7077">
        <f>+Z47/(Z$2*24)</f>
        <v>2.0527383158469945</v>
      </c>
      <c r="AA48" s="7078">
        <f>+AA47/AA$2/24</f>
        <v>7.8153688524590166</v>
      </c>
      <c r="AB48" s="6235"/>
      <c r="AC48" s="4459">
        <f>+AC47/AC$2/24</f>
        <v>6.2263440860215047</v>
      </c>
      <c r="AD48" s="6244">
        <f>+AD47/(AD$2*24)</f>
        <v>1.7553790271028038</v>
      </c>
      <c r="AE48" s="6259">
        <f>+AE47/AE$2/24</f>
        <v>7.585183021806853</v>
      </c>
      <c r="AF48" s="6235"/>
      <c r="AG48" s="4459">
        <f>+AG47/AG$2/24</f>
        <v>9.1859722222222207</v>
      </c>
      <c r="AH48" s="6244">
        <f>+AH47/(AH$2*24)</f>
        <v>1.5395537368852459</v>
      </c>
      <c r="AI48" s="6259">
        <f>+AI47/AI$2/24</f>
        <v>7.7820013661202188</v>
      </c>
      <c r="AJ48" s="6235"/>
      <c r="AK48" s="4459">
        <f>+AK47/AK$2/24</f>
        <v>11.281317204301075</v>
      </c>
      <c r="AL48" s="6266">
        <f>+AL47/(AL$2*24)</f>
        <v>0</v>
      </c>
      <c r="AM48" s="6274">
        <f>+AM47/AM$2/24</f>
        <v>8.8947463768115931</v>
      </c>
      <c r="AN48" s="6244">
        <f>+AN47/(AN$2*24)</f>
        <v>1.3660040429090909</v>
      </c>
      <c r="AO48" s="6259">
        <f>+AO47/AO$2/24</f>
        <v>8.1764696969696971</v>
      </c>
      <c r="AP48" s="6235"/>
      <c r="AQ48" s="4459">
        <f>+AQ47/AQ$2/24</f>
        <v>12.087903225806452</v>
      </c>
      <c r="AR48" s="6244">
        <f>+AR47/(AR$2*24)</f>
        <v>1.2276180124183007</v>
      </c>
      <c r="AS48" s="6259">
        <f>+AS47/AS$2/24</f>
        <v>8.5727260348583876</v>
      </c>
      <c r="AT48" s="6235"/>
      <c r="AU48" s="4459">
        <f>+AU47/AU$2/24</f>
        <v>12.19732142857143</v>
      </c>
      <c r="AV48" s="6244">
        <f>+AV47/(AV$2*24)</f>
        <v>1.1247039275449102</v>
      </c>
      <c r="AW48" s="6259">
        <f>+AW47/AW$2/24</f>
        <v>8.8765843313373249</v>
      </c>
      <c r="AX48" s="6235"/>
      <c r="AY48" s="4459">
        <f>+AY47/AY$2/24</f>
        <v>13.131048387096774</v>
      </c>
      <c r="AZ48" s="6266">
        <f>+AZ47/(AZ$2*24)</f>
        <v>0</v>
      </c>
      <c r="BA48" s="6274">
        <f>+BA47/BA$2/24</f>
        <v>12.481250000000001</v>
      </c>
      <c r="BB48" s="6266">
        <f>+BB47/(BB$2*24)</f>
        <v>4.1280341956043953</v>
      </c>
      <c r="BC48" s="6274">
        <f>+BC47/BC$2/24</f>
        <v>10.668292124542125</v>
      </c>
      <c r="BD48" s="7077">
        <f>+BD47/(BD$2*24)</f>
        <v>1.0291811282191781</v>
      </c>
      <c r="BE48" s="7078">
        <f>+BE47/BE$2/24</f>
        <v>9.2379223744292229</v>
      </c>
    </row>
    <row r="49" spans="1:57" ht="16" x14ac:dyDescent="0.2">
      <c r="B49" s="8986" t="s">
        <v>918</v>
      </c>
      <c r="C49" s="3145" t="s">
        <v>909</v>
      </c>
      <c r="D49" s="4707">
        <f t="shared" ref="D49:S50" si="146">+D43+D45+D47</f>
        <v>0</v>
      </c>
      <c r="E49" s="4707">
        <f t="shared" si="146"/>
        <v>29290.5</v>
      </c>
      <c r="F49" s="4707">
        <f t="shared" si="146"/>
        <v>0</v>
      </c>
      <c r="G49" s="4707">
        <f t="shared" si="146"/>
        <v>29010.5</v>
      </c>
      <c r="H49" s="4707">
        <f t="shared" si="146"/>
        <v>0</v>
      </c>
      <c r="I49" s="4707">
        <f t="shared" si="146"/>
        <v>58301</v>
      </c>
      <c r="J49" s="4707">
        <f t="shared" si="146"/>
        <v>0</v>
      </c>
      <c r="K49" s="4707">
        <f t="shared" si="146"/>
        <v>29720</v>
      </c>
      <c r="L49" s="4707">
        <f t="shared" si="146"/>
        <v>0</v>
      </c>
      <c r="M49" s="4707">
        <f t="shared" si="146"/>
        <v>88020.999999999985</v>
      </c>
      <c r="N49" s="4707">
        <f t="shared" si="146"/>
        <v>34951.143638399997</v>
      </c>
      <c r="O49" s="4707">
        <f t="shared" si="146"/>
        <v>32138.300000000003</v>
      </c>
      <c r="P49" s="4707">
        <f t="shared" si="146"/>
        <v>34951.143638399997</v>
      </c>
      <c r="Q49" s="4707">
        <f t="shared" si="146"/>
        <v>120159.29999999999</v>
      </c>
      <c r="R49" s="4707">
        <f t="shared" si="146"/>
        <v>0</v>
      </c>
      <c r="S49" s="4707">
        <f t="shared" si="146"/>
        <v>32034.5</v>
      </c>
      <c r="T49" s="4707">
        <f t="shared" ref="T49:AC50" si="147">+T43+T45+T47</f>
        <v>34951.143638399997</v>
      </c>
      <c r="U49" s="4707">
        <f t="shared" si="147"/>
        <v>152193.79999999999</v>
      </c>
      <c r="V49" s="4707">
        <f t="shared" si="147"/>
        <v>0</v>
      </c>
      <c r="W49" s="4707">
        <f t="shared" si="147"/>
        <v>25400.400000000001</v>
      </c>
      <c r="X49" s="4707">
        <f t="shared" si="147"/>
        <v>34951.143638399997</v>
      </c>
      <c r="Y49" s="4707">
        <f t="shared" si="147"/>
        <v>89573.2</v>
      </c>
      <c r="Z49" s="4707">
        <f t="shared" si="147"/>
        <v>34951.143638399997</v>
      </c>
      <c r="AA49" s="4707">
        <f t="shared" si="147"/>
        <v>177594.19999999998</v>
      </c>
      <c r="AB49" s="4707">
        <f t="shared" si="147"/>
        <v>0</v>
      </c>
      <c r="AC49" s="4707">
        <f t="shared" si="147"/>
        <v>28836.800000000003</v>
      </c>
      <c r="AD49" s="4707">
        <f t="shared" ref="AD49:AO50" si="148">+AD43+AD45+AD47</f>
        <v>34951.143638399997</v>
      </c>
      <c r="AE49" s="4707">
        <f t="shared" si="148"/>
        <v>206430.99999999997</v>
      </c>
      <c r="AF49" s="4707">
        <f t="shared" si="148"/>
        <v>0</v>
      </c>
      <c r="AG49" s="4707">
        <f t="shared" si="148"/>
        <v>31074.5</v>
      </c>
      <c r="AH49" s="4707">
        <f t="shared" si="148"/>
        <v>34951.143638399997</v>
      </c>
      <c r="AI49" s="4707">
        <f t="shared" si="148"/>
        <v>237505.49999999997</v>
      </c>
      <c r="AJ49" s="4707">
        <f t="shared" si="148"/>
        <v>0</v>
      </c>
      <c r="AK49" s="4707">
        <f t="shared" si="148"/>
        <v>34290.5</v>
      </c>
      <c r="AL49" s="4707">
        <f t="shared" si="148"/>
        <v>0</v>
      </c>
      <c r="AM49" s="4707">
        <f t="shared" si="148"/>
        <v>94201.799999999988</v>
      </c>
      <c r="AN49" s="4707">
        <f t="shared" si="148"/>
        <v>34951.143638399997</v>
      </c>
      <c r="AO49" s="4707">
        <f t="shared" si="148"/>
        <v>271796</v>
      </c>
      <c r="AP49" s="4707">
        <f t="shared" ref="AP49:AS50" si="149">+AP43+AP45+AP47</f>
        <v>0</v>
      </c>
      <c r="AQ49" s="4707">
        <f t="shared" si="149"/>
        <v>35323.300000000003</v>
      </c>
      <c r="AR49" s="4707">
        <f t="shared" si="149"/>
        <v>34951.143638399997</v>
      </c>
      <c r="AS49" s="4707">
        <f t="shared" si="149"/>
        <v>307119.3</v>
      </c>
      <c r="AT49" s="4707">
        <f t="shared" ref="AT49:AW50" si="150">+AT43+AT45+AT47</f>
        <v>0</v>
      </c>
      <c r="AU49" s="4707">
        <f t="shared" si="150"/>
        <v>32733.200000000004</v>
      </c>
      <c r="AV49" s="4707">
        <f t="shared" si="150"/>
        <v>34951.143638399997</v>
      </c>
      <c r="AW49" s="4707">
        <f t="shared" si="150"/>
        <v>339852.5</v>
      </c>
      <c r="AX49" s="4707">
        <f t="shared" ref="AX49:BE50" si="151">+AX43+AX45+AX47</f>
        <v>0</v>
      </c>
      <c r="AY49" s="4707">
        <f t="shared" si="151"/>
        <v>34810.399999999994</v>
      </c>
      <c r="AZ49" s="4707">
        <f t="shared" si="151"/>
        <v>0</v>
      </c>
      <c r="BA49" s="4707">
        <f t="shared" si="151"/>
        <v>102866.9</v>
      </c>
      <c r="BB49" s="4707">
        <f t="shared" ref="BB49:BC49" si="152">+BB43+BB45+BB47</f>
        <v>69902.287276799994</v>
      </c>
      <c r="BC49" s="4707">
        <f t="shared" si="152"/>
        <v>197068.69999999998</v>
      </c>
      <c r="BD49" s="4707">
        <f t="shared" si="151"/>
        <v>34951.143638399997</v>
      </c>
      <c r="BE49" s="4707">
        <f t="shared" si="151"/>
        <v>374662.9</v>
      </c>
    </row>
    <row r="50" spans="1:57" ht="17" thickBot="1" x14ac:dyDescent="0.25">
      <c r="B50" s="8987"/>
      <c r="C50" s="6225" t="s">
        <v>897</v>
      </c>
      <c r="D50" s="4708">
        <f t="shared" si="146"/>
        <v>0</v>
      </c>
      <c r="E50" s="6238">
        <f>+E49/E$2/24</f>
        <v>40.681249999999999</v>
      </c>
      <c r="F50" s="6239">
        <f t="shared" ref="F50" si="153">+F44+F46+F48</f>
        <v>0</v>
      </c>
      <c r="G50" s="6238">
        <f>+G49/G$2/24</f>
        <v>38.99260752688172</v>
      </c>
      <c r="H50" s="6245">
        <f t="shared" si="146"/>
        <v>0</v>
      </c>
      <c r="I50" s="6260">
        <f>+I49/I$2/24</f>
        <v>39.823087431693985</v>
      </c>
      <c r="J50" s="6251">
        <f t="shared" ref="J50" si="154">+J44+J46+J48</f>
        <v>0</v>
      </c>
      <c r="K50" s="6238">
        <f>+K49/K$2/24</f>
        <v>41.277777777777779</v>
      </c>
      <c r="L50" s="6267">
        <f t="shared" ref="L50" si="155">+L44+L46+L48</f>
        <v>0</v>
      </c>
      <c r="M50" s="6275">
        <f>+M49/M$2/24</f>
        <v>40.302655677655672</v>
      </c>
      <c r="N50" s="6240">
        <f t="shared" ref="N50:P50" si="156">+N44+N46+N48</f>
        <v>46.977343599999998</v>
      </c>
      <c r="O50" s="6238">
        <f>+O49/O$2/24</f>
        <v>43.196639784946235</v>
      </c>
      <c r="P50" s="6245">
        <f t="shared" si="156"/>
        <v>11.936865996721311</v>
      </c>
      <c r="Q50" s="6260">
        <f>+Q49/Q$2/24</f>
        <v>41.038012295081963</v>
      </c>
      <c r="R50" s="6240">
        <f t="shared" ref="R50" si="157">+R44+R46+R48</f>
        <v>0</v>
      </c>
      <c r="S50" s="6238">
        <f>+S49/S$2/24</f>
        <v>43.057123655913976</v>
      </c>
      <c r="T50" s="6245">
        <f t="shared" ref="T50" si="158">+T44+T46+T48</f>
        <v>9.5182853045751639</v>
      </c>
      <c r="U50" s="6260">
        <f>+U49/U$2/24</f>
        <v>41.447113289760345</v>
      </c>
      <c r="V50" s="6240">
        <f t="shared" ref="V50:Z50" si="159">+V44+V46+V48</f>
        <v>0</v>
      </c>
      <c r="W50" s="6238">
        <f>+W49/W$2/24</f>
        <v>35.278333333333336</v>
      </c>
      <c r="X50" s="6267">
        <f t="shared" si="159"/>
        <v>15.829322300000001</v>
      </c>
      <c r="Y50" s="6275">
        <f>+Y49/Y$2/24</f>
        <v>40.567572463768116</v>
      </c>
      <c r="Z50" s="7079">
        <f t="shared" si="159"/>
        <v>7.9579106644808748</v>
      </c>
      <c r="AA50" s="7080">
        <f>+AA49/AA$2/24</f>
        <v>40.435837887067393</v>
      </c>
      <c r="AB50" s="6240">
        <f t="shared" si="147"/>
        <v>0</v>
      </c>
      <c r="AC50" s="6238">
        <f>+AC49/AC$2/24</f>
        <v>38.759139784946242</v>
      </c>
      <c r="AD50" s="6245">
        <f t="shared" si="148"/>
        <v>6.805129213084113</v>
      </c>
      <c r="AE50" s="6260">
        <f>+AE49/AE$2/24</f>
        <v>40.192951713395637</v>
      </c>
      <c r="AF50" s="6240">
        <f t="shared" si="148"/>
        <v>0</v>
      </c>
      <c r="AG50" s="6238">
        <f>+AG49/AG$2/24</f>
        <v>43.159027777777773</v>
      </c>
      <c r="AH50" s="6245">
        <f t="shared" si="148"/>
        <v>5.9684329983606554</v>
      </c>
      <c r="AI50" s="6260">
        <f>+AI49/AI$2/24</f>
        <v>40.557633196721305</v>
      </c>
      <c r="AJ50" s="6240">
        <f t="shared" ref="AJ50" si="160">+AJ44+AJ46+AJ48</f>
        <v>0</v>
      </c>
      <c r="AK50" s="6238">
        <f>+AK49/AK$2/24</f>
        <v>46.089381720430111</v>
      </c>
      <c r="AL50" s="6267">
        <f t="shared" ref="AL50" si="161">+AL44+AL46+AL48</f>
        <v>0</v>
      </c>
      <c r="AM50" s="6275">
        <f>+AM49/AM$2/24</f>
        <v>42.663858695652166</v>
      </c>
      <c r="AN50" s="6245">
        <f t="shared" ref="AN50" si="162">+AN44+AN46+AN48</f>
        <v>5.2956278240000003</v>
      </c>
      <c r="AO50" s="6260">
        <f>+AO49/AO$2/24</f>
        <v>41.18121212121212</v>
      </c>
      <c r="AP50" s="6240">
        <f t="shared" si="149"/>
        <v>0</v>
      </c>
      <c r="AQ50" s="6238">
        <f>+AQ49/AQ$2/24</f>
        <v>47.477553763440859</v>
      </c>
      <c r="AR50" s="6245">
        <f t="shared" ref="AR50" si="163">+AR44+AR46+AR48</f>
        <v>4.7591426522875819</v>
      </c>
      <c r="AS50" s="6260">
        <f>+AS49/AS$2/24</f>
        <v>41.81907679738562</v>
      </c>
      <c r="AT50" s="6240">
        <f t="shared" ref="AT50" si="164">+AT44+AT46+AT48</f>
        <v>0</v>
      </c>
      <c r="AU50" s="8257">
        <f>+AU49/AU$2/24</f>
        <v>48.710119047619052</v>
      </c>
      <c r="AV50" s="6245">
        <f t="shared" si="150"/>
        <v>4.3601726095808386</v>
      </c>
      <c r="AW50" s="6260">
        <f>+AW49/AW$2/24</f>
        <v>42.396768962075846</v>
      </c>
      <c r="AX50" s="6240">
        <f t="shared" si="151"/>
        <v>0</v>
      </c>
      <c r="AY50" s="8257">
        <f>+AY49/AY$2/24</f>
        <v>46.788172043010746</v>
      </c>
      <c r="AZ50" s="6267">
        <f t="shared" ref="AZ50" si="165">+AZ44+AZ46+AZ48</f>
        <v>0</v>
      </c>
      <c r="BA50" s="6275">
        <f>+BA49/BA$2/24</f>
        <v>47.623564814814813</v>
      </c>
      <c r="BB50" s="6267">
        <f t="shared" ref="BB50" si="166">+BB44+BB46+BB48</f>
        <v>16.003270896703295</v>
      </c>
      <c r="BC50" s="6275">
        <f>+BC49/BC$2/24</f>
        <v>45.116460622710612</v>
      </c>
      <c r="BD50" s="7079">
        <f t="shared" ref="BD50" si="167">+BD44+BD46+BD48</f>
        <v>3.9898565797260277</v>
      </c>
      <c r="BE50" s="7080">
        <f>+BE49/BE$2/24</f>
        <v>42.769737442922377</v>
      </c>
    </row>
    <row r="51" spans="1:57" ht="16" x14ac:dyDescent="0.2">
      <c r="B51" s="6226" t="s">
        <v>915</v>
      </c>
      <c r="C51" s="4494" t="s">
        <v>909</v>
      </c>
      <c r="D51" s="5273">
        <f>+D52*D2*24</f>
        <v>80992.404746641609</v>
      </c>
      <c r="E51" s="6221">
        <v>56402</v>
      </c>
      <c r="F51" s="5273">
        <f>+F52*F2*24</f>
        <v>0</v>
      </c>
      <c r="G51" s="6224">
        <v>65310</v>
      </c>
      <c r="H51" s="4366">
        <f>+D51+F51</f>
        <v>80992.404746641609</v>
      </c>
      <c r="I51" s="6261">
        <f>+E51+G51</f>
        <v>121712</v>
      </c>
      <c r="J51" s="6252">
        <f>+J52*J2*24</f>
        <v>80992.404746641609</v>
      </c>
      <c r="K51" s="6224">
        <v>65253</v>
      </c>
      <c r="L51" s="3046">
        <f>+H51+J51</f>
        <v>161984.80949328322</v>
      </c>
      <c r="M51" s="6276">
        <f>+I51+K51</f>
        <v>186965</v>
      </c>
      <c r="N51" s="2721">
        <f>+N52*N2*24</f>
        <v>67815.600000000006</v>
      </c>
      <c r="O51" s="6224">
        <f>65633000/1000</f>
        <v>65633</v>
      </c>
      <c r="P51" s="4366">
        <f>+L51+N51</f>
        <v>229800.40949328322</v>
      </c>
      <c r="Q51" s="6261">
        <f>+M51+O51</f>
        <v>252598</v>
      </c>
      <c r="R51" s="2721">
        <f>+R52*R2*24</f>
        <v>0</v>
      </c>
      <c r="S51" s="6224">
        <f>67532000/1000</f>
        <v>67532</v>
      </c>
      <c r="T51" s="4366">
        <f>+P51+R51</f>
        <v>229800.40949328322</v>
      </c>
      <c r="U51" s="6261">
        <f>+Q51+S51</f>
        <v>320130</v>
      </c>
      <c r="V51" s="2721">
        <f>+V52*V2*24</f>
        <v>0</v>
      </c>
      <c r="W51" s="6224">
        <f>63356000/1000</f>
        <v>63356</v>
      </c>
      <c r="X51" s="2396">
        <f t="shared" ref="X51" si="168">+V51+R51+N51</f>
        <v>67815.600000000006</v>
      </c>
      <c r="Y51" s="2396">
        <f t="shared" ref="Y51" si="169">+W51+S51+O51</f>
        <v>196521</v>
      </c>
      <c r="Z51" s="6691">
        <f>+T51+V51</f>
        <v>229800.40949328322</v>
      </c>
      <c r="AA51" s="7081">
        <f>+U51+W51</f>
        <v>383486</v>
      </c>
      <c r="AB51" s="2721">
        <f>+AB52*AB2*24</f>
        <v>0</v>
      </c>
      <c r="AC51" s="6224">
        <f>65854000/1000</f>
        <v>65854</v>
      </c>
      <c r="AD51" s="4366">
        <f>+Z51+AB51</f>
        <v>229800.40949328322</v>
      </c>
      <c r="AE51" s="6261">
        <f>+AA51+AC51</f>
        <v>449340</v>
      </c>
      <c r="AF51" s="2721">
        <f>+AF52*AF2*24</f>
        <v>0</v>
      </c>
      <c r="AG51" s="6224">
        <f>64940000/1000</f>
        <v>64940</v>
      </c>
      <c r="AH51" s="4366">
        <f>+AD51+AF51</f>
        <v>229800.40949328322</v>
      </c>
      <c r="AI51" s="6261">
        <f>+AE51+AG51</f>
        <v>514280</v>
      </c>
      <c r="AJ51" s="2721">
        <f>+AJ52*AJ2*24</f>
        <v>0</v>
      </c>
      <c r="AK51" s="6224">
        <f>65777000/1000</f>
        <v>65777</v>
      </c>
      <c r="AL51" s="2396">
        <f t="shared" ref="AL51" si="170">+AJ51+AF51+AB51</f>
        <v>0</v>
      </c>
      <c r="AM51" s="2396">
        <f t="shared" ref="AM51" si="171">+AK51+AG51+AC51</f>
        <v>196571</v>
      </c>
      <c r="AN51" s="4366">
        <f>+AH51+AJ51</f>
        <v>229800.40949328322</v>
      </c>
      <c r="AO51" s="6261">
        <f>+AI51+AK51</f>
        <v>580057</v>
      </c>
      <c r="AP51" s="2721">
        <f>+AP52*AP2*24</f>
        <v>0</v>
      </c>
      <c r="AQ51" s="6224">
        <f>67796000/1000</f>
        <v>67796</v>
      </c>
      <c r="AR51" s="4366">
        <f>+AN51+AP51</f>
        <v>229800.40949328322</v>
      </c>
      <c r="AS51" s="6261">
        <f>+AO51+AQ51</f>
        <v>647853</v>
      </c>
      <c r="AT51" s="2721">
        <f>+AT52*AT2*24</f>
        <v>0</v>
      </c>
      <c r="AU51" s="6224">
        <f>62383000/1000</f>
        <v>62383</v>
      </c>
      <c r="AV51" s="4366">
        <f>+AR51+AT51</f>
        <v>229800.40949328322</v>
      </c>
      <c r="AW51" s="6261">
        <f>+AS51+AU51</f>
        <v>710236</v>
      </c>
      <c r="AX51" s="2721">
        <f>+AX52*AX2*24</f>
        <v>0</v>
      </c>
      <c r="AY51" s="6224">
        <f>+'POWER DISTRIBUTION'!BD10/1000</f>
        <v>71504</v>
      </c>
      <c r="AZ51" s="2396">
        <f t="shared" ref="AZ51" si="172">+AX51+AT51+AP51</f>
        <v>0</v>
      </c>
      <c r="BA51" s="2396">
        <f t="shared" ref="BA51" si="173">+AY51+AU51+AQ51</f>
        <v>201683</v>
      </c>
      <c r="BB51" s="2396">
        <f t="shared" ref="BB51" si="174">+AZ51+AV51+AR51</f>
        <v>459600.81898656645</v>
      </c>
      <c r="BC51" s="2396">
        <f>+AM51+BA51</f>
        <v>398254</v>
      </c>
      <c r="BD51" s="6691">
        <f>+AV51+AX51</f>
        <v>229800.40949328322</v>
      </c>
      <c r="BE51" s="7081">
        <f>+AW51+AY51</f>
        <v>781740</v>
      </c>
    </row>
    <row r="52" spans="1:57" ht="17" thickBot="1" x14ac:dyDescent="0.25">
      <c r="B52" s="6227" t="s">
        <v>916</v>
      </c>
      <c r="C52" s="6228" t="s">
        <v>897</v>
      </c>
      <c r="D52" s="4711">
        <v>112.48945103700223</v>
      </c>
      <c r="E52" s="5850">
        <f>+E51/E$2/24</f>
        <v>78.336111111111109</v>
      </c>
      <c r="F52" s="5278"/>
      <c r="G52" s="5850">
        <f>+G51/G$2/24</f>
        <v>87.782258064516142</v>
      </c>
      <c r="H52" s="6262">
        <f>+H51/H$2/24</f>
        <v>55.322680837869946</v>
      </c>
      <c r="I52" s="6262">
        <f>+I51/I$2/24</f>
        <v>83.136612021857914</v>
      </c>
      <c r="J52" s="6233">
        <v>112.48945103700223</v>
      </c>
      <c r="K52" s="5850">
        <f>+K51/K$2/24</f>
        <v>90.629166666666663</v>
      </c>
      <c r="L52" s="6277">
        <f>+L51/L$2/24</f>
        <v>74.168868815605876</v>
      </c>
      <c r="M52" s="6277">
        <f>+M51/M$2/24</f>
        <v>85.606684981684978</v>
      </c>
      <c r="N52" s="6233">
        <v>91.15</v>
      </c>
      <c r="O52" s="5850">
        <f>+O51/O$2/24</f>
        <v>88.216397849462354</v>
      </c>
      <c r="P52" s="6262">
        <f>+P51/P$2/24</f>
        <v>78.483746411640439</v>
      </c>
      <c r="Q52" s="6262">
        <f>+Q51/Q$2/24</f>
        <v>86.269808743169392</v>
      </c>
      <c r="R52" s="6233"/>
      <c r="S52" s="5850">
        <f>+S51/S$2/24</f>
        <v>90.768817204301072</v>
      </c>
      <c r="T52" s="6262">
        <f>+T51/T$2/24</f>
        <v>62.581810864183886</v>
      </c>
      <c r="U52" s="6262">
        <f>+U51/U$2/24</f>
        <v>87.181372549019613</v>
      </c>
      <c r="V52" s="6233"/>
      <c r="W52" s="5850">
        <f>+W51/W$2/24</f>
        <v>87.994444444444454</v>
      </c>
      <c r="X52" s="6277">
        <f>+X51/X$2/24</f>
        <v>30.713586956521741</v>
      </c>
      <c r="Y52" s="6277">
        <f>+Y51/Y$2/24</f>
        <v>89.004076086956516</v>
      </c>
      <c r="Z52" s="7082">
        <f>+Z51/Z$2/24</f>
        <v>52.32249760776029</v>
      </c>
      <c r="AA52" s="7082">
        <f>+AA51/AA$2/24</f>
        <v>87.314663023679415</v>
      </c>
      <c r="AB52" s="6233"/>
      <c r="AC52" s="5850">
        <f>+AC51/AC$2/24</f>
        <v>88.513440860215056</v>
      </c>
      <c r="AD52" s="6262">
        <f>+AD51/AD$2/24</f>
        <v>44.743070384206241</v>
      </c>
      <c r="AE52" s="6262">
        <f>+AE51/AE$2/24</f>
        <v>87.488317757009341</v>
      </c>
      <c r="AF52" s="6233"/>
      <c r="AG52" s="5850">
        <f>+AG51/AG$2/24</f>
        <v>90.194444444444443</v>
      </c>
      <c r="AH52" s="6262">
        <f>+AH51/AH$2/24</f>
        <v>39.24187320582022</v>
      </c>
      <c r="AI52" s="6262">
        <f>+AI51/AI$2/24</f>
        <v>87.821038251366119</v>
      </c>
      <c r="AJ52" s="6233"/>
      <c r="AK52" s="5850">
        <f>+AK51/AK$2/24</f>
        <v>88.409946236559151</v>
      </c>
      <c r="AL52" s="6277">
        <f>+AL51/AL$2/24</f>
        <v>0</v>
      </c>
      <c r="AM52" s="6277">
        <f>+AM51/AM$2/24</f>
        <v>89.02672101449275</v>
      </c>
      <c r="AN52" s="6262">
        <f>+AN51/AN$2/24</f>
        <v>34.818243862618672</v>
      </c>
      <c r="AO52" s="6262">
        <f>+AO51/AO$2/24</f>
        <v>87.887424242424245</v>
      </c>
      <c r="AP52" s="6233"/>
      <c r="AQ52" s="5850">
        <f>+AQ51/AQ$2/24</f>
        <v>91.123655913978496</v>
      </c>
      <c r="AR52" s="6262">
        <f>+AR51/AR$2/24</f>
        <v>31.290905432091943</v>
      </c>
      <c r="AS52" s="6262">
        <f>+AS51/AS$2/24</f>
        <v>88.215277777777771</v>
      </c>
      <c r="AT52" s="6233"/>
      <c r="AU52" s="5850">
        <f>+AU51/AU$2/24</f>
        <v>92.831845238095241</v>
      </c>
      <c r="AV52" s="6262">
        <f>+AV51/AV$2/24</f>
        <v>28.667715755150102</v>
      </c>
      <c r="AW52" s="6262">
        <f>+AW51/AW$2/24</f>
        <v>88.602295409181636</v>
      </c>
      <c r="AX52" s="6233"/>
      <c r="AY52" s="5850">
        <f t="shared" ref="AY52:BE52" si="175">+AY51/AY$2/24</f>
        <v>96.107526881720432</v>
      </c>
      <c r="AZ52" s="6277">
        <f t="shared" si="175"/>
        <v>0</v>
      </c>
      <c r="BA52" s="6277">
        <f t="shared" si="175"/>
        <v>93.371759259259264</v>
      </c>
      <c r="BB52" s="6277">
        <f t="shared" si="175"/>
        <v>105.21996771670477</v>
      </c>
      <c r="BC52" s="6277">
        <f t="shared" si="175"/>
        <v>91.175366300366306</v>
      </c>
      <c r="BD52" s="7082">
        <f t="shared" si="175"/>
        <v>26.232923458137353</v>
      </c>
      <c r="BE52" s="7082">
        <f t="shared" si="175"/>
        <v>89.239726027397253</v>
      </c>
    </row>
    <row r="53" spans="1:57" ht="18" x14ac:dyDescent="0.2">
      <c r="B53" s="6229" t="s">
        <v>1009</v>
      </c>
      <c r="C53" s="3144" t="s">
        <v>909</v>
      </c>
      <c r="D53" s="5274">
        <f>+D49+D51</f>
        <v>80992.404746641609</v>
      </c>
      <c r="E53" s="5274">
        <f t="shared" ref="E53:AA53" si="176">+E49+E51</f>
        <v>85692.5</v>
      </c>
      <c r="F53" s="5274">
        <f t="shared" si="176"/>
        <v>0</v>
      </c>
      <c r="G53" s="5274">
        <f t="shared" si="176"/>
        <v>94320.5</v>
      </c>
      <c r="H53" s="5274">
        <f t="shared" si="176"/>
        <v>80992.404746641609</v>
      </c>
      <c r="I53" s="5274">
        <f t="shared" si="176"/>
        <v>180013</v>
      </c>
      <c r="J53" s="5274">
        <f t="shared" si="176"/>
        <v>80992.404746641609</v>
      </c>
      <c r="K53" s="5274">
        <f t="shared" si="176"/>
        <v>94973</v>
      </c>
      <c r="L53" s="5274">
        <f t="shared" si="176"/>
        <v>161984.80949328322</v>
      </c>
      <c r="M53" s="5274">
        <f t="shared" si="176"/>
        <v>274986</v>
      </c>
      <c r="N53" s="5274">
        <f t="shared" si="176"/>
        <v>102766.7436384</v>
      </c>
      <c r="O53" s="5274">
        <f t="shared" si="176"/>
        <v>97771.3</v>
      </c>
      <c r="P53" s="5274">
        <f t="shared" si="176"/>
        <v>264751.55313168321</v>
      </c>
      <c r="Q53" s="5274">
        <f t="shared" si="176"/>
        <v>372757.3</v>
      </c>
      <c r="R53" s="5274">
        <f t="shared" si="176"/>
        <v>0</v>
      </c>
      <c r="S53" s="5274">
        <f t="shared" si="176"/>
        <v>99566.5</v>
      </c>
      <c r="T53" s="5274">
        <f t="shared" si="176"/>
        <v>264751.55313168321</v>
      </c>
      <c r="U53" s="5274">
        <f t="shared" si="176"/>
        <v>472323.8</v>
      </c>
      <c r="V53" s="5274">
        <f t="shared" si="176"/>
        <v>0</v>
      </c>
      <c r="W53" s="5274">
        <f t="shared" si="176"/>
        <v>88756.4</v>
      </c>
      <c r="X53" s="5274">
        <f t="shared" si="176"/>
        <v>102766.7436384</v>
      </c>
      <c r="Y53" s="5274">
        <f t="shared" si="176"/>
        <v>286094.2</v>
      </c>
      <c r="Z53" s="5274">
        <f t="shared" si="176"/>
        <v>264751.55313168321</v>
      </c>
      <c r="AA53" s="5274">
        <f t="shared" si="176"/>
        <v>561080.19999999995</v>
      </c>
      <c r="AB53" s="5274">
        <f t="shared" ref="AB53:AO54" si="177">+AB49+AB51</f>
        <v>0</v>
      </c>
      <c r="AC53" s="5274">
        <f t="shared" si="177"/>
        <v>94690.8</v>
      </c>
      <c r="AD53" s="5274">
        <f t="shared" si="177"/>
        <v>264751.55313168321</v>
      </c>
      <c r="AE53" s="5274">
        <f t="shared" si="177"/>
        <v>655771</v>
      </c>
      <c r="AF53" s="5274">
        <f t="shared" si="177"/>
        <v>0</v>
      </c>
      <c r="AG53" s="5274">
        <f t="shared" si="177"/>
        <v>96014.5</v>
      </c>
      <c r="AH53" s="5274">
        <f t="shared" si="177"/>
        <v>264751.55313168321</v>
      </c>
      <c r="AI53" s="5274">
        <f t="shared" si="177"/>
        <v>751785.5</v>
      </c>
      <c r="AJ53" s="5274">
        <f t="shared" si="177"/>
        <v>0</v>
      </c>
      <c r="AK53" s="5274">
        <f t="shared" si="177"/>
        <v>100067.5</v>
      </c>
      <c r="AL53" s="5274">
        <f t="shared" si="177"/>
        <v>0</v>
      </c>
      <c r="AM53" s="5274">
        <f t="shared" si="177"/>
        <v>290772.8</v>
      </c>
      <c r="AN53" s="5274">
        <f t="shared" si="177"/>
        <v>264751.55313168321</v>
      </c>
      <c r="AO53" s="5274">
        <f t="shared" si="177"/>
        <v>851853</v>
      </c>
      <c r="AP53" s="5274">
        <f t="shared" ref="AP53:AS54" si="178">+AP49+AP51</f>
        <v>0</v>
      </c>
      <c r="AQ53" s="5274">
        <f t="shared" si="178"/>
        <v>103119.3</v>
      </c>
      <c r="AR53" s="5274">
        <f t="shared" si="178"/>
        <v>264751.55313168321</v>
      </c>
      <c r="AS53" s="5274">
        <f t="shared" si="178"/>
        <v>954972.3</v>
      </c>
      <c r="AT53" s="5274">
        <f t="shared" ref="AT53:AW54" si="179">+AT49+AT51</f>
        <v>0</v>
      </c>
      <c r="AU53" s="5274">
        <f t="shared" si="179"/>
        <v>95116.200000000012</v>
      </c>
      <c r="AV53" s="5274">
        <f t="shared" si="179"/>
        <v>264751.55313168321</v>
      </c>
      <c r="AW53" s="5274">
        <f t="shared" si="179"/>
        <v>1050088.5</v>
      </c>
      <c r="AX53" s="5274">
        <f t="shared" ref="AX53:BE54" si="180">+AX49+AX51</f>
        <v>0</v>
      </c>
      <c r="AY53" s="5274">
        <f t="shared" si="180"/>
        <v>106314.4</v>
      </c>
      <c r="AZ53" s="5274">
        <f t="shared" si="180"/>
        <v>0</v>
      </c>
      <c r="BA53" s="5274">
        <f t="shared" si="180"/>
        <v>304549.90000000002</v>
      </c>
      <c r="BB53" s="5274">
        <f t="shared" ref="BB53:BC53" si="181">+BB49+BB51</f>
        <v>529503.10626336641</v>
      </c>
      <c r="BC53" s="5274">
        <f t="shared" si="181"/>
        <v>595322.69999999995</v>
      </c>
      <c r="BD53" s="5274">
        <f t="shared" si="180"/>
        <v>264751.55313168321</v>
      </c>
      <c r="BE53" s="5274">
        <f t="shared" si="180"/>
        <v>1156402.8999999999</v>
      </c>
    </row>
    <row r="54" spans="1:57" ht="19" thickBot="1" x14ac:dyDescent="0.25">
      <c r="B54" s="6230" t="s">
        <v>1010</v>
      </c>
      <c r="C54" s="1652" t="s">
        <v>897</v>
      </c>
      <c r="D54" s="5275">
        <f t="shared" ref="D54:H54" si="182">+D50+D52</f>
        <v>112.48945103700223</v>
      </c>
      <c r="E54" s="4856">
        <f>+E53/E$2/24</f>
        <v>119.0173611111111</v>
      </c>
      <c r="F54" s="5275">
        <f t="shared" ref="F54" si="183">+F50+F52</f>
        <v>0</v>
      </c>
      <c r="G54" s="4856">
        <f>+G53/G$2/24</f>
        <v>126.77486559139784</v>
      </c>
      <c r="H54" s="6246">
        <f t="shared" si="182"/>
        <v>55.322680837869946</v>
      </c>
      <c r="I54" s="6263">
        <f>+I53/I$2/24</f>
        <v>122.95969945355192</v>
      </c>
      <c r="J54" s="6253">
        <f t="shared" ref="J54" si="184">+J50+J52</f>
        <v>112.48945103700223</v>
      </c>
      <c r="K54" s="4856">
        <f>+K53/K$2/24</f>
        <v>131.90694444444446</v>
      </c>
      <c r="L54" s="6268">
        <f t="shared" ref="L54" si="185">+L50+L52</f>
        <v>74.168868815605876</v>
      </c>
      <c r="M54" s="6278">
        <f>+M53/M$2/24</f>
        <v>125.90934065934066</v>
      </c>
      <c r="N54" s="2722">
        <f t="shared" ref="N54:P54" si="186">+N50+N52</f>
        <v>138.12734360000002</v>
      </c>
      <c r="O54" s="4856">
        <f>+O53/O$2/24</f>
        <v>131.4130376344086</v>
      </c>
      <c r="P54" s="6246">
        <f t="shared" si="186"/>
        <v>90.420612408361748</v>
      </c>
      <c r="Q54" s="6263">
        <f>+Q53/Q$2/24</f>
        <v>127.30782103825136</v>
      </c>
      <c r="R54" s="2722">
        <f t="shared" ref="R54" si="187">+R50+R52</f>
        <v>0</v>
      </c>
      <c r="S54" s="4856">
        <f>+S53/S$2/24</f>
        <v>133.82594086021507</v>
      </c>
      <c r="T54" s="6246">
        <f t="shared" ref="T54" si="188">+T50+T52</f>
        <v>72.100096168759052</v>
      </c>
      <c r="U54" s="6263">
        <f>+U53/U$2/24</f>
        <v>128.62848583877994</v>
      </c>
      <c r="V54" s="2722">
        <f t="shared" ref="V54:Z54" si="189">+V50+V52</f>
        <v>0</v>
      </c>
      <c r="W54" s="4856">
        <f>+W53/W$2/24</f>
        <v>123.27277777777778</v>
      </c>
      <c r="X54" s="6268">
        <f t="shared" si="189"/>
        <v>46.542909256521739</v>
      </c>
      <c r="Y54" s="6278">
        <f>+Y53/Y$2/24</f>
        <v>129.57164855072463</v>
      </c>
      <c r="Z54" s="7083">
        <f t="shared" si="189"/>
        <v>60.280408272241168</v>
      </c>
      <c r="AA54" s="7084">
        <f>+AA53/AA$2/24</f>
        <v>127.75050091074679</v>
      </c>
      <c r="AB54" s="2722">
        <f t="shared" si="177"/>
        <v>0</v>
      </c>
      <c r="AC54" s="4856">
        <f>+AC53/AC$2/24</f>
        <v>127.27258064516128</v>
      </c>
      <c r="AD54" s="6246">
        <f t="shared" si="177"/>
        <v>51.548199597290356</v>
      </c>
      <c r="AE54" s="6263">
        <f>+AE53/AE$2/24</f>
        <v>127.68126947040498</v>
      </c>
      <c r="AF54" s="2722">
        <f t="shared" si="177"/>
        <v>0</v>
      </c>
      <c r="AG54" s="4856">
        <f>+AG53/AG$2/24</f>
        <v>133.35347222222222</v>
      </c>
      <c r="AH54" s="6246">
        <f t="shared" si="177"/>
        <v>45.210306204180874</v>
      </c>
      <c r="AI54" s="6263">
        <f>+AI53/AI$2/24</f>
        <v>128.37867144808743</v>
      </c>
      <c r="AJ54" s="2722">
        <f t="shared" ref="AJ54" si="190">+AJ50+AJ52</f>
        <v>0</v>
      </c>
      <c r="AK54" s="4856">
        <f>+AK53/AK$2/24</f>
        <v>134.49932795698925</v>
      </c>
      <c r="AL54" s="6268">
        <f t="shared" ref="AL54" si="191">+AL50+AL52</f>
        <v>0</v>
      </c>
      <c r="AM54" s="6278">
        <f>+AM53/AM$2/24</f>
        <v>131.69057971014493</v>
      </c>
      <c r="AN54" s="6246">
        <f t="shared" ref="AN54" si="192">+AN50+AN52</f>
        <v>40.113871686618673</v>
      </c>
      <c r="AO54" s="6263">
        <f>+AO53/AO$2/24</f>
        <v>129.06863636363636</v>
      </c>
      <c r="AP54" s="2722">
        <f t="shared" si="178"/>
        <v>0</v>
      </c>
      <c r="AQ54" s="4856">
        <f>+AQ53/AQ$2/24</f>
        <v>138.60120967741935</v>
      </c>
      <c r="AR54" s="6246">
        <f t="shared" ref="AR54" si="193">+AR50+AR52</f>
        <v>36.050048084379526</v>
      </c>
      <c r="AS54" s="6263">
        <f>+AS53/AS$2/24</f>
        <v>130.03435457516341</v>
      </c>
      <c r="AT54" s="2722">
        <f t="shared" ref="AT54" si="194">+AT50+AT52</f>
        <v>0</v>
      </c>
      <c r="AU54" s="4856">
        <f>+AU53/AU$2/24</f>
        <v>141.5419642857143</v>
      </c>
      <c r="AV54" s="6246">
        <f t="shared" si="179"/>
        <v>33.027888364730941</v>
      </c>
      <c r="AW54" s="6263">
        <f>+AW53/AW$2/24</f>
        <v>130.9990643712575</v>
      </c>
      <c r="AX54" s="2722">
        <f t="shared" si="180"/>
        <v>0</v>
      </c>
      <c r="AY54" s="4856">
        <f>+AY53/AY$2/24</f>
        <v>142.89569892473119</v>
      </c>
      <c r="AZ54" s="6268">
        <f t="shared" ref="AZ54" si="195">+AZ50+AZ52</f>
        <v>0</v>
      </c>
      <c r="BA54" s="6278">
        <f>+BA53/BA$2/24</f>
        <v>140.99532407407409</v>
      </c>
      <c r="BB54" s="6268">
        <f t="shared" ref="BB54" si="196">+BB50+BB52</f>
        <v>121.22323861340807</v>
      </c>
      <c r="BC54" s="6278">
        <f>+BC53/BC$2/24</f>
        <v>136.29182692307691</v>
      </c>
      <c r="BD54" s="7083">
        <f t="shared" ref="BD54" si="197">+BD50+BD52</f>
        <v>30.22278003786338</v>
      </c>
      <c r="BE54" s="7084">
        <f>+BE53/BE$2/24</f>
        <v>132.00946347031962</v>
      </c>
    </row>
    <row r="55" spans="1:57" x14ac:dyDescent="0.2">
      <c r="B55" s="1789" t="s">
        <v>919</v>
      </c>
      <c r="C55" s="1596"/>
      <c r="D55" s="5276"/>
      <c r="E55" s="1596"/>
      <c r="F55" s="5276"/>
      <c r="G55" s="1596"/>
      <c r="H55" s="2978"/>
      <c r="I55" s="1596"/>
      <c r="J55" s="5276"/>
      <c r="K55" s="1596"/>
      <c r="L55" s="1596"/>
      <c r="M55" s="1596"/>
      <c r="N55" s="1596"/>
      <c r="O55" s="1596"/>
      <c r="P55" s="2978"/>
      <c r="Q55" s="1596"/>
      <c r="R55" s="1596"/>
      <c r="S55" s="1596"/>
      <c r="T55" s="2978"/>
      <c r="U55" s="1596"/>
      <c r="V55" s="1596"/>
      <c r="W55" s="1596"/>
      <c r="X55" s="1596"/>
      <c r="Y55" s="1596"/>
      <c r="Z55" s="2978"/>
      <c r="AA55" s="1596"/>
      <c r="AB55" s="1596"/>
      <c r="AC55" s="1596"/>
      <c r="AD55" s="2978"/>
      <c r="AE55" s="1596"/>
      <c r="AF55" s="1596"/>
      <c r="AG55" s="1596"/>
      <c r="AH55" s="2978"/>
      <c r="AI55" s="1596"/>
      <c r="AJ55" s="1596"/>
      <c r="AK55" s="1596"/>
      <c r="AL55" s="1596"/>
      <c r="AM55" s="1596"/>
      <c r="AN55" s="2978"/>
      <c r="AO55" s="1596"/>
      <c r="AP55" s="1596"/>
      <c r="AQ55" s="1596"/>
      <c r="AR55" s="2978"/>
      <c r="AS55" s="1596"/>
      <c r="AT55" s="1596"/>
      <c r="AU55" s="1596"/>
      <c r="AV55" s="2978"/>
      <c r="AW55" s="1596"/>
      <c r="AX55" s="1596"/>
      <c r="AY55" s="1596"/>
      <c r="AZ55" s="1596"/>
      <c r="BA55" s="1596"/>
      <c r="BB55" s="1596"/>
      <c r="BC55" s="1596"/>
      <c r="BD55" s="2978"/>
      <c r="BE55" s="1596"/>
    </row>
    <row r="56" spans="1:57" x14ac:dyDescent="0.2">
      <c r="B56" s="1772" t="s">
        <v>210</v>
      </c>
      <c r="C56" s="1636" t="s">
        <v>215</v>
      </c>
      <c r="D56" s="3174">
        <f>D64*D2*24</f>
        <v>0</v>
      </c>
      <c r="E56" s="2750">
        <v>169171</v>
      </c>
      <c r="F56" s="3174">
        <f>F64*F2*24</f>
        <v>0</v>
      </c>
      <c r="G56" s="1646">
        <v>181094.2</v>
      </c>
      <c r="H56" s="4475">
        <f>+D56+F56</f>
        <v>0</v>
      </c>
      <c r="I56" s="4501">
        <f>+E56+G56</f>
        <v>350265.2</v>
      </c>
      <c r="J56" s="3174">
        <f>J64*J2*24</f>
        <v>0</v>
      </c>
      <c r="K56" s="1646">
        <v>177755.36</v>
      </c>
      <c r="L56" s="2002">
        <f>+H56+J56</f>
        <v>0</v>
      </c>
      <c r="M56" s="4769">
        <f>+I56+K56</f>
        <v>528020.56000000006</v>
      </c>
      <c r="N56" s="2674">
        <f>N64*N2*24</f>
        <v>238513.70587200002</v>
      </c>
      <c r="O56" s="3918">
        <v>186313.92</v>
      </c>
      <c r="P56" s="4809">
        <f>+L56+N56</f>
        <v>238513.70587200002</v>
      </c>
      <c r="Q56" s="4501">
        <f>+M56+O56</f>
        <v>714334.4800000001</v>
      </c>
      <c r="R56" s="6443">
        <f>R64*R2*24</f>
        <v>0</v>
      </c>
      <c r="S56" s="3918">
        <v>190672.88</v>
      </c>
      <c r="T56" s="4809">
        <f>+P56+R56</f>
        <v>238513.70587200002</v>
      </c>
      <c r="U56" s="4501">
        <f>+Q56+S56</f>
        <v>905007.3600000001</v>
      </c>
      <c r="V56" s="7021">
        <f>V64*V2*24</f>
        <v>0</v>
      </c>
      <c r="W56" s="3918">
        <v>162379.6</v>
      </c>
      <c r="X56" s="2396">
        <f t="shared" ref="X56:X57" si="198">+V56+R56+N56</f>
        <v>238513.70587200002</v>
      </c>
      <c r="Y56" s="2396">
        <f t="shared" ref="Y56:Y57" si="199">+W56+S56+O56</f>
        <v>539366.40000000002</v>
      </c>
      <c r="Z56" s="6519">
        <f>+T56+V56</f>
        <v>238513.70587200002</v>
      </c>
      <c r="AA56" s="7051">
        <f>+U56+W56</f>
        <v>1067386.9600000002</v>
      </c>
      <c r="AB56" s="7366">
        <f>AB64*AB2*24</f>
        <v>0</v>
      </c>
      <c r="AC56" s="3918">
        <v>176728</v>
      </c>
      <c r="AD56" s="4809">
        <f>+Z56+AB56</f>
        <v>238513.70587200002</v>
      </c>
      <c r="AE56" s="4501">
        <f>+AA56+AC56</f>
        <v>1244114.9600000002</v>
      </c>
      <c r="AF56" s="7621">
        <f>AF64*AF2*24</f>
        <v>0</v>
      </c>
      <c r="AG56" s="3918">
        <v>170471.6</v>
      </c>
      <c r="AH56" s="4809">
        <f>+AD56+AF56</f>
        <v>238513.70587200002</v>
      </c>
      <c r="AI56" s="4501">
        <f>+AE56+AG56</f>
        <v>1414586.5600000003</v>
      </c>
      <c r="AJ56" s="7779">
        <f>AJ64*AJ2*24</f>
        <v>0</v>
      </c>
      <c r="AK56" s="3918">
        <v>186421.68</v>
      </c>
      <c r="AL56" s="2396">
        <f t="shared" ref="AL56:AL57" si="200">+AJ56+AF56+AB56</f>
        <v>0</v>
      </c>
      <c r="AM56" s="2396">
        <f t="shared" ref="AM56:AM57" si="201">+AK56+AG56+AC56</f>
        <v>533621.28</v>
      </c>
      <c r="AN56" s="4809">
        <f>+AH56+AJ56</f>
        <v>238513.70587200002</v>
      </c>
      <c r="AO56" s="4501">
        <f>+AI56+AK56</f>
        <v>1601008.2400000002</v>
      </c>
      <c r="AP56" s="8107">
        <f>AP64*AP2*24</f>
        <v>0</v>
      </c>
      <c r="AQ56" s="3918">
        <v>199741.33999999997</v>
      </c>
      <c r="AR56" s="4809">
        <f>+AN56+AP56</f>
        <v>238513.70587200002</v>
      </c>
      <c r="AS56" s="4501">
        <f>+AO56+AQ56</f>
        <v>1800749.58</v>
      </c>
      <c r="AT56" s="8170">
        <f>AT64*AT2*24</f>
        <v>0</v>
      </c>
      <c r="AU56" s="3918">
        <v>190015.92</v>
      </c>
      <c r="AV56" s="4809">
        <f>+AR56+AT56</f>
        <v>238513.70587200002</v>
      </c>
      <c r="AW56" s="4501">
        <f>+AS56+AU56</f>
        <v>1990765.5</v>
      </c>
      <c r="AX56" s="8321">
        <f>AX64*AX2*24</f>
        <v>0</v>
      </c>
      <c r="AY56" s="3918">
        <v>203834.7</v>
      </c>
      <c r="AZ56" s="2396">
        <f t="shared" ref="AZ56:AZ57" si="202">+AX56+AT56+AP56</f>
        <v>0</v>
      </c>
      <c r="BA56" s="2396">
        <f t="shared" ref="BA56:BA57" si="203">+AY56+AU56+AQ56</f>
        <v>593591.96</v>
      </c>
      <c r="BB56" s="2396">
        <f t="shared" ref="BB56:BB57" si="204">+AZ56+AV56+AR56</f>
        <v>477027.41174400004</v>
      </c>
      <c r="BC56" s="2396">
        <f t="shared" ref="BC56:BC57" si="205">+AM56+BA56</f>
        <v>1127213.24</v>
      </c>
      <c r="BD56" s="6519">
        <f>+AV56+AX56</f>
        <v>238513.70587200002</v>
      </c>
      <c r="BE56" s="7051">
        <f>+AW56+AY56</f>
        <v>2194600.2000000002</v>
      </c>
    </row>
    <row r="57" spans="1:57" ht="16" thickBot="1" x14ac:dyDescent="0.25">
      <c r="B57" s="1773" t="s">
        <v>190</v>
      </c>
      <c r="C57" s="1637" t="s">
        <v>215</v>
      </c>
      <c r="D57" s="5209">
        <f>D65*D2*24</f>
        <v>0</v>
      </c>
      <c r="E57" s="2818">
        <v>38128.800000000003</v>
      </c>
      <c r="F57" s="5445">
        <f>F65*F2*24</f>
        <v>0</v>
      </c>
      <c r="G57" s="1646">
        <v>36049.199999999997</v>
      </c>
      <c r="H57" s="4475">
        <f>+D57+F57</f>
        <v>0</v>
      </c>
      <c r="I57" s="4501">
        <f>+E57+G57</f>
        <v>74178</v>
      </c>
      <c r="J57" s="5774">
        <f>J65*J2*24</f>
        <v>0</v>
      </c>
      <c r="K57" s="1646">
        <v>38927.839999999997</v>
      </c>
      <c r="L57" s="2002">
        <f>+H57+J57</f>
        <v>0</v>
      </c>
      <c r="M57" s="4769">
        <f>+I57+K57</f>
        <v>113105.84</v>
      </c>
      <c r="N57" s="2675">
        <f>N65*N2*24</f>
        <v>38688</v>
      </c>
      <c r="O57" s="3918">
        <v>43837.279999999999</v>
      </c>
      <c r="P57" s="4809">
        <f>+L57+N57</f>
        <v>38688</v>
      </c>
      <c r="Q57" s="4501">
        <f>+M57+O57</f>
        <v>156943.12</v>
      </c>
      <c r="R57" s="6441">
        <f>R65*R2*24</f>
        <v>0</v>
      </c>
      <c r="S57" s="3918">
        <v>44640</v>
      </c>
      <c r="T57" s="4809">
        <f>+P57+R57</f>
        <v>38688</v>
      </c>
      <c r="U57" s="4501">
        <f>+Q57+S57</f>
        <v>201583.12</v>
      </c>
      <c r="V57" s="7019">
        <f>V65*V2*24</f>
        <v>0</v>
      </c>
      <c r="W57" s="3918">
        <v>40023.279999999999</v>
      </c>
      <c r="X57" s="2396">
        <f t="shared" si="198"/>
        <v>38688</v>
      </c>
      <c r="Y57" s="2396">
        <f t="shared" si="199"/>
        <v>128500.56</v>
      </c>
      <c r="Z57" s="6519">
        <f>+T57+V57</f>
        <v>38688</v>
      </c>
      <c r="AA57" s="7051">
        <f>+U57+W57</f>
        <v>241606.39999999999</v>
      </c>
      <c r="AB57" s="7364">
        <f>AB65*AB2*24</f>
        <v>0</v>
      </c>
      <c r="AC57" s="3918">
        <v>45181.440000000002</v>
      </c>
      <c r="AD57" s="4809">
        <f>+Z57+AB57</f>
        <v>38688</v>
      </c>
      <c r="AE57" s="4501">
        <f>+AA57+AC57</f>
        <v>286787.83999999997</v>
      </c>
      <c r="AF57" s="7364">
        <f>AF65*AF2*24</f>
        <v>0</v>
      </c>
      <c r="AG57" s="3918">
        <v>43063.68</v>
      </c>
      <c r="AH57" s="4809">
        <f>+AD57+AF57</f>
        <v>38688</v>
      </c>
      <c r="AI57" s="4501">
        <f>+AE57+AG57</f>
        <v>329851.51999999996</v>
      </c>
      <c r="AJ57" s="7364">
        <f>AJ65*AJ2*24</f>
        <v>0</v>
      </c>
      <c r="AK57" s="3918">
        <v>45349.440000000002</v>
      </c>
      <c r="AL57" s="2396">
        <f t="shared" si="200"/>
        <v>0</v>
      </c>
      <c r="AM57" s="2396">
        <f t="shared" si="201"/>
        <v>133594.56</v>
      </c>
      <c r="AN57" s="4809">
        <f>+AH57+AJ57</f>
        <v>38688</v>
      </c>
      <c r="AO57" s="4501">
        <f>+AI57+AK57</f>
        <v>375200.95999999996</v>
      </c>
      <c r="AP57" s="7364">
        <f>AP65*AP2*24</f>
        <v>0</v>
      </c>
      <c r="AQ57" s="3918">
        <v>45854</v>
      </c>
      <c r="AR57" s="4809">
        <f>+AN57+AP57</f>
        <v>38688</v>
      </c>
      <c r="AS57" s="4501">
        <f>+AO57+AQ57</f>
        <v>421054.95999999996</v>
      </c>
      <c r="AT57" s="7364">
        <f>AT65*AT2*24</f>
        <v>0</v>
      </c>
      <c r="AU57" s="3918">
        <v>40978.559999999998</v>
      </c>
      <c r="AV57" s="4809">
        <f>+AR57+AT57</f>
        <v>38688</v>
      </c>
      <c r="AW57" s="4501">
        <f>+AS57+AU57</f>
        <v>462033.51999999996</v>
      </c>
      <c r="AX57" s="7364">
        <f>AX65*AX2*24</f>
        <v>0</v>
      </c>
      <c r="AY57" s="3918">
        <v>45376.6</v>
      </c>
      <c r="AZ57" s="2396">
        <f t="shared" si="202"/>
        <v>0</v>
      </c>
      <c r="BA57" s="2396">
        <f t="shared" si="203"/>
        <v>132209.16</v>
      </c>
      <c r="BB57" s="2396">
        <f t="shared" si="204"/>
        <v>77376</v>
      </c>
      <c r="BC57" s="2396">
        <f t="shared" si="205"/>
        <v>265803.71999999997</v>
      </c>
      <c r="BD57" s="6519">
        <f>+AV57+AX57</f>
        <v>38688</v>
      </c>
      <c r="BE57" s="7051">
        <f>+AW57+AY57</f>
        <v>507410.11999999994</v>
      </c>
    </row>
    <row r="58" spans="1:57" ht="16" x14ac:dyDescent="0.2">
      <c r="B58" s="8990" t="s">
        <v>15</v>
      </c>
      <c r="C58" s="1791" t="s">
        <v>215</v>
      </c>
      <c r="D58" s="5277">
        <f t="shared" ref="D58:I58" si="206">SUM(D56:D57)</f>
        <v>0</v>
      </c>
      <c r="E58" s="4416">
        <f t="shared" si="206"/>
        <v>207299.8</v>
      </c>
      <c r="F58" s="5277">
        <f t="shared" ref="F58" si="207">SUM(F56:F57)</f>
        <v>0</v>
      </c>
      <c r="G58" s="3145">
        <f t="shared" si="206"/>
        <v>217143.40000000002</v>
      </c>
      <c r="H58" s="3103">
        <f t="shared" si="206"/>
        <v>0</v>
      </c>
      <c r="I58" s="4510">
        <f t="shared" si="206"/>
        <v>424443.2</v>
      </c>
      <c r="J58" s="5277">
        <f t="shared" ref="J58" si="208">SUM(J56:J57)</f>
        <v>0</v>
      </c>
      <c r="K58" s="3145">
        <f t="shared" ref="K58:M58" si="209">SUM(K56:K57)</f>
        <v>216683.19999999998</v>
      </c>
      <c r="L58" s="2051">
        <f t="shared" si="209"/>
        <v>0</v>
      </c>
      <c r="M58" s="4776">
        <f t="shared" si="209"/>
        <v>641126.40000000002</v>
      </c>
      <c r="N58" s="2803">
        <f t="shared" ref="N58:Q58" si="210">SUM(N56:N57)</f>
        <v>277201.70587200002</v>
      </c>
      <c r="O58" s="3145">
        <f t="shared" si="210"/>
        <v>230151.2</v>
      </c>
      <c r="P58" s="3103">
        <f t="shared" si="210"/>
        <v>277201.70587200002</v>
      </c>
      <c r="Q58" s="4510">
        <f t="shared" si="210"/>
        <v>871277.60000000009</v>
      </c>
      <c r="R58" s="2803">
        <f t="shared" ref="R58:U58" si="211">SUM(R56:R57)</f>
        <v>0</v>
      </c>
      <c r="S58" s="3145">
        <f t="shared" si="211"/>
        <v>235312.88</v>
      </c>
      <c r="T58" s="3103">
        <f t="shared" si="211"/>
        <v>277201.70587200002</v>
      </c>
      <c r="U58" s="4510">
        <f t="shared" si="211"/>
        <v>1106590.48</v>
      </c>
      <c r="V58" s="2803">
        <f t="shared" ref="V58:AI58" si="212">SUM(V56:V57)</f>
        <v>0</v>
      </c>
      <c r="W58" s="3145">
        <f t="shared" si="212"/>
        <v>202402.88</v>
      </c>
      <c r="X58" s="2051">
        <f t="shared" si="212"/>
        <v>277201.70587200002</v>
      </c>
      <c r="Y58" s="4776">
        <f t="shared" si="212"/>
        <v>667866.96</v>
      </c>
      <c r="Z58" s="7085">
        <f t="shared" si="212"/>
        <v>277201.70587200002</v>
      </c>
      <c r="AA58" s="7086">
        <f t="shared" si="212"/>
        <v>1308993.3600000001</v>
      </c>
      <c r="AB58" s="2803">
        <f t="shared" si="212"/>
        <v>0</v>
      </c>
      <c r="AC58" s="3145">
        <f t="shared" si="212"/>
        <v>221909.44</v>
      </c>
      <c r="AD58" s="3103">
        <f t="shared" si="212"/>
        <v>277201.70587200002</v>
      </c>
      <c r="AE58" s="4510">
        <f t="shared" si="212"/>
        <v>1530902.8000000003</v>
      </c>
      <c r="AF58" s="2803">
        <f t="shared" si="212"/>
        <v>0</v>
      </c>
      <c r="AG58" s="3145">
        <f t="shared" si="212"/>
        <v>213535.28</v>
      </c>
      <c r="AH58" s="3103">
        <f t="shared" si="212"/>
        <v>277201.70587200002</v>
      </c>
      <c r="AI58" s="4510">
        <f t="shared" si="212"/>
        <v>1744438.0800000003</v>
      </c>
      <c r="AJ58" s="2803">
        <f t="shared" ref="AJ58:AO58" si="213">SUM(AJ56:AJ57)</f>
        <v>0</v>
      </c>
      <c r="AK58" s="3145">
        <f t="shared" si="213"/>
        <v>231771.12</v>
      </c>
      <c r="AL58" s="2051">
        <f t="shared" si="213"/>
        <v>0</v>
      </c>
      <c r="AM58" s="4776">
        <f t="shared" si="213"/>
        <v>667215.84000000008</v>
      </c>
      <c r="AN58" s="3103">
        <f t="shared" si="213"/>
        <v>277201.70587200002</v>
      </c>
      <c r="AO58" s="4510">
        <f t="shared" si="213"/>
        <v>1976209.2000000002</v>
      </c>
      <c r="AP58" s="2803">
        <f t="shared" ref="AP58:AS58" si="214">SUM(AP56:AP57)</f>
        <v>0</v>
      </c>
      <c r="AQ58" s="3145">
        <f t="shared" si="214"/>
        <v>245595.33999999997</v>
      </c>
      <c r="AR58" s="3103">
        <f t="shared" si="214"/>
        <v>277201.70587200002</v>
      </c>
      <c r="AS58" s="4510">
        <f t="shared" si="214"/>
        <v>2221804.54</v>
      </c>
      <c r="AT58" s="2803">
        <f t="shared" ref="AT58:AW58" si="215">SUM(AT56:AT57)</f>
        <v>0</v>
      </c>
      <c r="AU58" s="3145">
        <f t="shared" si="215"/>
        <v>230994.48</v>
      </c>
      <c r="AV58" s="3103">
        <f t="shared" si="215"/>
        <v>277201.70587200002</v>
      </c>
      <c r="AW58" s="4510">
        <f t="shared" si="215"/>
        <v>2452799.02</v>
      </c>
      <c r="AX58" s="2803">
        <f t="shared" ref="AX58:BE58" si="216">SUM(AX56:AX57)</f>
        <v>0</v>
      </c>
      <c r="AY58" s="3145">
        <f t="shared" si="216"/>
        <v>249211.30000000002</v>
      </c>
      <c r="AZ58" s="2051">
        <f t="shared" si="216"/>
        <v>0</v>
      </c>
      <c r="BA58" s="4776">
        <f t="shared" si="216"/>
        <v>725801.12</v>
      </c>
      <c r="BB58" s="2051">
        <f t="shared" ref="BB58:BC58" si="217">SUM(BB56:BB57)</f>
        <v>554403.41174400004</v>
      </c>
      <c r="BC58" s="4776">
        <f t="shared" si="217"/>
        <v>1393016.96</v>
      </c>
      <c r="BD58" s="7085">
        <f t="shared" si="216"/>
        <v>277201.70587200002</v>
      </c>
      <c r="BE58" s="7086">
        <f t="shared" si="216"/>
        <v>2702010.3200000003</v>
      </c>
    </row>
    <row r="59" spans="1:57" ht="17" thickBot="1" x14ac:dyDescent="0.25">
      <c r="B59" s="8991"/>
      <c r="C59" s="1790" t="s">
        <v>1008</v>
      </c>
      <c r="D59" s="5278">
        <f t="shared" ref="D59:M59" si="218">+D58/(D2*24)</f>
        <v>0</v>
      </c>
      <c r="E59" s="3146">
        <f t="shared" si="218"/>
        <v>287.91638888888889</v>
      </c>
      <c r="F59" s="5278">
        <f t="shared" ref="F59" si="219">+F58/(F2*24)</f>
        <v>0</v>
      </c>
      <c r="G59" s="3146">
        <f t="shared" si="218"/>
        <v>291.85940860215055</v>
      </c>
      <c r="H59" s="1820">
        <f t="shared" si="218"/>
        <v>0</v>
      </c>
      <c r="I59" s="4511">
        <f t="shared" si="218"/>
        <v>289.92021857923498</v>
      </c>
      <c r="J59" s="5278">
        <f t="shared" ref="J59" si="220">+J58/(J2*24)</f>
        <v>0</v>
      </c>
      <c r="K59" s="3146">
        <f t="shared" si="218"/>
        <v>300.94888888888886</v>
      </c>
      <c r="L59" s="2052">
        <f t="shared" si="218"/>
        <v>0</v>
      </c>
      <c r="M59" s="4777">
        <f t="shared" si="218"/>
        <v>293.55604395604399</v>
      </c>
      <c r="N59" s="2968">
        <f t="shared" ref="N59:Q59" si="221">+N58/(N2*24)</f>
        <v>372.58293800000001</v>
      </c>
      <c r="O59" s="3146">
        <f t="shared" si="221"/>
        <v>309.3430107526882</v>
      </c>
      <c r="P59" s="1820">
        <f t="shared" si="221"/>
        <v>94.672713754098368</v>
      </c>
      <c r="Q59" s="4511">
        <f t="shared" si="221"/>
        <v>297.56748633879783</v>
      </c>
      <c r="R59" s="5095">
        <f t="shared" ref="R59:U59" si="222">+R58/(R2*24)</f>
        <v>0</v>
      </c>
      <c r="S59" s="3146">
        <f t="shared" si="222"/>
        <v>316.28075268817207</v>
      </c>
      <c r="T59" s="1820">
        <f t="shared" si="222"/>
        <v>75.490660640522876</v>
      </c>
      <c r="U59" s="4511">
        <f t="shared" si="222"/>
        <v>301.35906318082789</v>
      </c>
      <c r="V59" s="5095">
        <f t="shared" ref="V59:AI59" si="223">+V58/(V2*24)</f>
        <v>0</v>
      </c>
      <c r="W59" s="3146">
        <f t="shared" si="223"/>
        <v>281.1151111111111</v>
      </c>
      <c r="X59" s="2052">
        <f t="shared" si="223"/>
        <v>125.54425084782609</v>
      </c>
      <c r="Y59" s="4777">
        <f t="shared" si="223"/>
        <v>302.47597826086957</v>
      </c>
      <c r="Z59" s="7087">
        <f t="shared" si="223"/>
        <v>63.115142502732247</v>
      </c>
      <c r="AA59" s="7088">
        <f t="shared" si="223"/>
        <v>298.0403825136612</v>
      </c>
      <c r="AB59" s="5095">
        <f t="shared" si="223"/>
        <v>0</v>
      </c>
      <c r="AC59" s="3146">
        <f t="shared" si="223"/>
        <v>298.26537634408601</v>
      </c>
      <c r="AD59" s="1820">
        <f t="shared" si="223"/>
        <v>53.972294757009351</v>
      </c>
      <c r="AE59" s="4511">
        <f t="shared" si="223"/>
        <v>298.07297507788167</v>
      </c>
      <c r="AF59" s="5095">
        <f t="shared" si="223"/>
        <v>0</v>
      </c>
      <c r="AG59" s="3146">
        <f t="shared" si="223"/>
        <v>296.57677777777775</v>
      </c>
      <c r="AH59" s="1820">
        <f t="shared" si="223"/>
        <v>47.336356877049184</v>
      </c>
      <c r="AI59" s="4511">
        <f t="shared" si="223"/>
        <v>297.88901639344266</v>
      </c>
      <c r="AJ59" s="5095">
        <f t="shared" ref="AJ59:AO59" si="224">+AJ58/(AJ2*24)</f>
        <v>0</v>
      </c>
      <c r="AK59" s="3146">
        <f t="shared" si="224"/>
        <v>311.52032258064514</v>
      </c>
      <c r="AL59" s="2052">
        <f t="shared" si="224"/>
        <v>0</v>
      </c>
      <c r="AM59" s="4777">
        <f t="shared" si="224"/>
        <v>302.18108695652177</v>
      </c>
      <c r="AN59" s="1820">
        <f t="shared" si="224"/>
        <v>42.00025846545455</v>
      </c>
      <c r="AO59" s="4511">
        <f t="shared" si="224"/>
        <v>299.42563636363639</v>
      </c>
      <c r="AP59" s="5095">
        <f t="shared" ref="AP59:AS59" si="225">+AP58/(AP2*24)</f>
        <v>0</v>
      </c>
      <c r="AQ59" s="3146">
        <f t="shared" si="225"/>
        <v>330.10126344086018</v>
      </c>
      <c r="AR59" s="1820">
        <f t="shared" si="225"/>
        <v>37.745330320261438</v>
      </c>
      <c r="AS59" s="4511">
        <f t="shared" si="225"/>
        <v>302.53329793028325</v>
      </c>
      <c r="AT59" s="5095">
        <f t="shared" ref="AT59:AW59" si="226">+AT58/(AT2*24)</f>
        <v>0</v>
      </c>
      <c r="AU59" s="3146">
        <f t="shared" si="226"/>
        <v>343.74178571428575</v>
      </c>
      <c r="AV59" s="1820">
        <f t="shared" si="226"/>
        <v>34.58105113173653</v>
      </c>
      <c r="AW59" s="4511">
        <f t="shared" si="226"/>
        <v>305.9879016966068</v>
      </c>
      <c r="AX59" s="5095">
        <f t="shared" ref="AX59:BE59" si="227">+AX58/(AX2*24)</f>
        <v>0</v>
      </c>
      <c r="AY59" s="3146">
        <f t="shared" si="227"/>
        <v>334.96142473118283</v>
      </c>
      <c r="AZ59" s="2052">
        <f t="shared" si="227"/>
        <v>0</v>
      </c>
      <c r="BA59" s="4777">
        <f t="shared" si="227"/>
        <v>336.01903703703704</v>
      </c>
      <c r="BB59" s="2052">
        <f t="shared" ref="BB59:BC59" si="228">+BB58/(BB2*24)</f>
        <v>126.92385800000001</v>
      </c>
      <c r="BC59" s="4777">
        <f t="shared" si="228"/>
        <v>318.91413919413918</v>
      </c>
      <c r="BD59" s="7087">
        <f t="shared" si="227"/>
        <v>31.644030350684933</v>
      </c>
      <c r="BE59" s="7088">
        <f t="shared" si="227"/>
        <v>308.44866666666672</v>
      </c>
    </row>
    <row r="60" spans="1:57" ht="17" thickBot="1" x14ac:dyDescent="0.25">
      <c r="B60" s="1774" t="s">
        <v>211</v>
      </c>
      <c r="C60" s="1638" t="s">
        <v>215</v>
      </c>
      <c r="D60" s="3288">
        <f>+D67*D2*24</f>
        <v>0</v>
      </c>
      <c r="E60" s="4710">
        <v>636.27999999999884</v>
      </c>
      <c r="F60" s="3288">
        <f>+F67*F2*24</f>
        <v>0</v>
      </c>
      <c r="G60" s="1682">
        <v>442.98000000001048</v>
      </c>
      <c r="H60" s="2784">
        <f>+D60+F60</f>
        <v>0</v>
      </c>
      <c r="I60" s="4502">
        <f>+E60+G60</f>
        <v>1079.2600000000093</v>
      </c>
      <c r="J60" s="3288">
        <f>+J67*J2*24</f>
        <v>0</v>
      </c>
      <c r="K60" s="1682">
        <v>521.59999999997672</v>
      </c>
      <c r="L60" s="2000">
        <f>+H60+J60</f>
        <v>0</v>
      </c>
      <c r="M60" s="3071">
        <f>+I60+K60</f>
        <v>1600.859999999986</v>
      </c>
      <c r="N60" s="1750">
        <v>0</v>
      </c>
      <c r="O60" s="6092">
        <v>412.92000000001281</v>
      </c>
      <c r="P60" s="2784">
        <f>+L60+N60</f>
        <v>0</v>
      </c>
      <c r="Q60" s="4502">
        <f>+M60+O60</f>
        <v>2013.7799999999988</v>
      </c>
      <c r="R60" s="1750">
        <v>0</v>
      </c>
      <c r="S60" s="6092">
        <v>252.53999999994994</v>
      </c>
      <c r="T60" s="2784">
        <f>+P60+R60</f>
        <v>0</v>
      </c>
      <c r="U60" s="4502">
        <f>+Q60+S60</f>
        <v>2266.3199999999488</v>
      </c>
      <c r="V60" s="1750">
        <v>0</v>
      </c>
      <c r="W60" s="6092">
        <v>79.180000000022119</v>
      </c>
      <c r="X60" s="7103">
        <f t="shared" ref="X60" si="229">+V60+R60+N60</f>
        <v>0</v>
      </c>
      <c r="Y60" s="7103">
        <f t="shared" ref="Y60" si="230">+W60+S60+O60</f>
        <v>744.63999999998487</v>
      </c>
      <c r="Z60" s="6511">
        <f>+T60+V60</f>
        <v>0</v>
      </c>
      <c r="AA60" s="7052">
        <f>+U60+W60</f>
        <v>2345.4999999999709</v>
      </c>
      <c r="AB60" s="1750">
        <v>0</v>
      </c>
      <c r="AC60" s="6092">
        <v>696.55999999999767</v>
      </c>
      <c r="AD60" s="2784">
        <f>+Z60+AB60</f>
        <v>0</v>
      </c>
      <c r="AE60" s="4502">
        <f>+AA60+AC60</f>
        <v>3042.0599999999686</v>
      </c>
      <c r="AF60" s="1750">
        <v>0</v>
      </c>
      <c r="AG60" s="6092">
        <v>656.75999999998021</v>
      </c>
      <c r="AH60" s="2784">
        <f>+AD60+AF60</f>
        <v>0</v>
      </c>
      <c r="AI60" s="4502">
        <f>+AE60+AG60</f>
        <v>3698.8199999999488</v>
      </c>
      <c r="AJ60" s="1750">
        <v>0</v>
      </c>
      <c r="AK60" s="6092">
        <v>647.32000000003609</v>
      </c>
      <c r="AL60" s="7103">
        <f t="shared" ref="AL60" si="231">+AJ60+AF60+AB60</f>
        <v>0</v>
      </c>
      <c r="AM60" s="7103">
        <f t="shared" ref="AM60" si="232">+AK60+AG60+AC60</f>
        <v>2000.640000000014</v>
      </c>
      <c r="AN60" s="2784">
        <f>+AH60+AJ60</f>
        <v>0</v>
      </c>
      <c r="AO60" s="4502">
        <f>+AI60+AK60</f>
        <v>4346.1399999999849</v>
      </c>
      <c r="AP60" s="1750">
        <v>0</v>
      </c>
      <c r="AQ60" s="6092">
        <v>667.95999999993364</v>
      </c>
      <c r="AR60" s="2784">
        <f>+AN60+AP60</f>
        <v>0</v>
      </c>
      <c r="AS60" s="4502">
        <f>+AO60+AQ60</f>
        <v>5014.0999999999185</v>
      </c>
      <c r="AT60" s="1750">
        <v>0</v>
      </c>
      <c r="AU60" s="6092">
        <v>29.46</v>
      </c>
      <c r="AV60" s="2784">
        <f>+AR60+AT60</f>
        <v>0</v>
      </c>
      <c r="AW60" s="4502">
        <f>+AS60+AU60</f>
        <v>5043.5599999999185</v>
      </c>
      <c r="AX60" s="1750">
        <v>0</v>
      </c>
      <c r="AY60" s="6092">
        <v>721.6</v>
      </c>
      <c r="AZ60" s="7103">
        <f t="shared" ref="AZ60" si="233">+AX60+AT60+AP60</f>
        <v>0</v>
      </c>
      <c r="BA60" s="7103">
        <f t="shared" ref="BA60" si="234">+AY60+AU60+AQ60</f>
        <v>1419.0199999999336</v>
      </c>
      <c r="BB60" s="7103">
        <f t="shared" ref="BB60" si="235">+AZ60+AV60+AR60</f>
        <v>0</v>
      </c>
      <c r="BC60" s="7103">
        <f>+AM60+BA60</f>
        <v>3419.6599999999476</v>
      </c>
      <c r="BD60" s="6511">
        <f>+AV60+AX60</f>
        <v>0</v>
      </c>
      <c r="BE60" s="7052">
        <f>+AW60+AY60</f>
        <v>5765.1599999999189</v>
      </c>
    </row>
    <row r="61" spans="1:57" ht="20" thickBot="1" x14ac:dyDescent="0.25">
      <c r="B61" s="1775" t="s">
        <v>212</v>
      </c>
      <c r="C61" s="1653" t="s">
        <v>215</v>
      </c>
      <c r="D61" s="5026">
        <f t="shared" ref="D61:I61" si="236">+D58-D60</f>
        <v>0</v>
      </c>
      <c r="E61" s="1792">
        <f t="shared" si="236"/>
        <v>206663.52</v>
      </c>
      <c r="F61" s="5026">
        <f t="shared" ref="F61" si="237">+F58-F60</f>
        <v>0</v>
      </c>
      <c r="G61" s="1792">
        <f t="shared" si="236"/>
        <v>216700.42</v>
      </c>
      <c r="H61" s="3104">
        <f t="shared" si="236"/>
        <v>0</v>
      </c>
      <c r="I61" s="1855">
        <f t="shared" si="236"/>
        <v>423363.94</v>
      </c>
      <c r="J61" s="5026">
        <f t="shared" ref="J61" si="238">+J58-J60</f>
        <v>0</v>
      </c>
      <c r="K61" s="1792">
        <f t="shared" ref="K61:M61" si="239">+K58-K60</f>
        <v>216161.6</v>
      </c>
      <c r="L61" s="2053">
        <f t="shared" si="239"/>
        <v>0</v>
      </c>
      <c r="M61" s="2054">
        <f t="shared" si="239"/>
        <v>639525.54</v>
      </c>
      <c r="N61" s="2826">
        <f t="shared" ref="N61:Q61" si="240">+N58-N60</f>
        <v>277201.70587200002</v>
      </c>
      <c r="O61" s="1792">
        <f t="shared" si="240"/>
        <v>229738.28</v>
      </c>
      <c r="P61" s="3104">
        <f t="shared" si="240"/>
        <v>277201.70587200002</v>
      </c>
      <c r="Q61" s="1855">
        <f t="shared" si="240"/>
        <v>869263.82000000007</v>
      </c>
      <c r="R61" s="2826">
        <f t="shared" ref="R61:U61" si="241">+R58-R60</f>
        <v>0</v>
      </c>
      <c r="S61" s="1792">
        <f t="shared" si="241"/>
        <v>235060.34000000005</v>
      </c>
      <c r="T61" s="3104">
        <f t="shared" si="241"/>
        <v>277201.70587200002</v>
      </c>
      <c r="U61" s="1855">
        <f t="shared" si="241"/>
        <v>1104324.1600000001</v>
      </c>
      <c r="V61" s="2826">
        <f t="shared" ref="V61:AI61" si="242">+V58-V60</f>
        <v>0</v>
      </c>
      <c r="W61" s="1792">
        <f t="shared" si="242"/>
        <v>202323.69999999998</v>
      </c>
      <c r="X61" s="2053">
        <f t="shared" si="242"/>
        <v>277201.70587200002</v>
      </c>
      <c r="Y61" s="2054">
        <f t="shared" si="242"/>
        <v>667122.31999999995</v>
      </c>
      <c r="Z61" s="7089">
        <f t="shared" si="242"/>
        <v>277201.70587200002</v>
      </c>
      <c r="AA61" s="7090">
        <f t="shared" si="242"/>
        <v>1306647.8600000001</v>
      </c>
      <c r="AB61" s="2826">
        <f t="shared" si="242"/>
        <v>0</v>
      </c>
      <c r="AC61" s="1792">
        <f t="shared" si="242"/>
        <v>221212.88</v>
      </c>
      <c r="AD61" s="3104">
        <f t="shared" si="242"/>
        <v>277201.70587200002</v>
      </c>
      <c r="AE61" s="1855">
        <f t="shared" si="242"/>
        <v>1527860.7400000002</v>
      </c>
      <c r="AF61" s="2826">
        <f t="shared" si="242"/>
        <v>0</v>
      </c>
      <c r="AG61" s="1792">
        <f t="shared" si="242"/>
        <v>212878.52000000002</v>
      </c>
      <c r="AH61" s="3104">
        <f t="shared" si="242"/>
        <v>277201.70587200002</v>
      </c>
      <c r="AI61" s="1855">
        <f t="shared" si="242"/>
        <v>1740739.2600000002</v>
      </c>
      <c r="AJ61" s="2826">
        <f t="shared" ref="AJ61:AO61" si="243">+AJ58-AJ60</f>
        <v>0</v>
      </c>
      <c r="AK61" s="1792">
        <f t="shared" si="243"/>
        <v>231123.79999999996</v>
      </c>
      <c r="AL61" s="2053">
        <f t="shared" si="243"/>
        <v>0</v>
      </c>
      <c r="AM61" s="2054">
        <f t="shared" si="243"/>
        <v>665215.20000000007</v>
      </c>
      <c r="AN61" s="3104">
        <f t="shared" si="243"/>
        <v>277201.70587200002</v>
      </c>
      <c r="AO61" s="1855">
        <f t="shared" si="243"/>
        <v>1971863.0600000003</v>
      </c>
      <c r="AP61" s="2826">
        <f t="shared" ref="AP61:AS61" si="244">+AP58-AP60</f>
        <v>0</v>
      </c>
      <c r="AQ61" s="1792">
        <f t="shared" si="244"/>
        <v>244927.38000000003</v>
      </c>
      <c r="AR61" s="3104">
        <f t="shared" si="244"/>
        <v>277201.70587200002</v>
      </c>
      <c r="AS61" s="1855">
        <f t="shared" si="244"/>
        <v>2216790.44</v>
      </c>
      <c r="AT61" s="2826">
        <f t="shared" ref="AT61:AW61" si="245">+AT58-AT60</f>
        <v>0</v>
      </c>
      <c r="AU61" s="1792">
        <f t="shared" si="245"/>
        <v>230965.02000000002</v>
      </c>
      <c r="AV61" s="3104">
        <f t="shared" si="245"/>
        <v>277201.70587200002</v>
      </c>
      <c r="AW61" s="1855">
        <f t="shared" si="245"/>
        <v>2447755.46</v>
      </c>
      <c r="AX61" s="2826">
        <f t="shared" ref="AX61:BE61" si="246">+AX58-AX60</f>
        <v>0</v>
      </c>
      <c r="AY61" s="1792">
        <f t="shared" si="246"/>
        <v>248489.7</v>
      </c>
      <c r="AZ61" s="2053">
        <f t="shared" si="246"/>
        <v>0</v>
      </c>
      <c r="BA61" s="2054">
        <f t="shared" si="246"/>
        <v>724382.10000000009</v>
      </c>
      <c r="BB61" s="2053">
        <f t="shared" ref="BB61:BC61" si="247">+BB58-BB60</f>
        <v>554403.41174400004</v>
      </c>
      <c r="BC61" s="2054">
        <f t="shared" si="247"/>
        <v>1389597.3</v>
      </c>
      <c r="BD61" s="7089">
        <f t="shared" si="246"/>
        <v>277201.70587200002</v>
      </c>
      <c r="BE61" s="7090">
        <f t="shared" si="246"/>
        <v>2696245.16</v>
      </c>
    </row>
    <row r="62" spans="1:57" ht="20" x14ac:dyDescent="0.2">
      <c r="A62" s="8985"/>
      <c r="B62" s="1868" t="s">
        <v>1039</v>
      </c>
      <c r="C62" s="1858"/>
      <c r="D62" s="5279"/>
      <c r="E62" s="1858"/>
      <c r="F62" s="5279"/>
      <c r="G62" s="1858"/>
      <c r="H62" s="1595"/>
      <c r="I62" s="1858"/>
      <c r="J62" s="5279"/>
      <c r="K62" s="1858"/>
      <c r="L62" s="1858"/>
      <c r="M62" s="1858"/>
      <c r="N62" s="1858"/>
      <c r="O62" s="1858"/>
      <c r="P62" s="1595"/>
      <c r="Q62" s="1858"/>
      <c r="R62" s="1858"/>
      <c r="S62" s="1858"/>
      <c r="T62" s="1595"/>
      <c r="U62" s="1858"/>
      <c r="V62" s="1858"/>
      <c r="W62" s="1858"/>
      <c r="X62" s="1858"/>
      <c r="Y62" s="1858"/>
      <c r="Z62" s="1595"/>
      <c r="AA62" s="1858"/>
      <c r="AB62" s="1858"/>
      <c r="AC62" s="1858"/>
      <c r="AD62" s="1595"/>
      <c r="AE62" s="1858"/>
      <c r="AF62" s="1858"/>
      <c r="AG62" s="1858"/>
      <c r="AH62" s="1595"/>
      <c r="AI62" s="1858"/>
      <c r="AJ62" s="1858"/>
      <c r="AK62" s="1858"/>
      <c r="AL62" s="1858"/>
      <c r="AM62" s="1858"/>
      <c r="AN62" s="1595"/>
      <c r="AO62" s="1858"/>
      <c r="AP62" s="1858"/>
      <c r="AQ62" s="1858"/>
      <c r="AR62" s="1595"/>
      <c r="AS62" s="1858"/>
      <c r="AT62" s="1858"/>
      <c r="AU62" s="1858"/>
      <c r="AV62" s="1595"/>
      <c r="AW62" s="1858"/>
      <c r="AX62" s="1858"/>
      <c r="AY62" s="1858"/>
      <c r="AZ62" s="1858"/>
      <c r="BA62" s="1858"/>
      <c r="BB62" s="1858"/>
      <c r="BC62" s="1858"/>
      <c r="BD62" s="1595"/>
      <c r="BE62" s="1858"/>
    </row>
    <row r="63" spans="1:57" ht="15.75" customHeight="1" x14ac:dyDescent="0.2">
      <c r="A63" s="8985"/>
      <c r="B63" s="1869" t="s">
        <v>891</v>
      </c>
      <c r="C63" s="1846"/>
      <c r="D63" s="4922"/>
      <c r="E63" s="2909"/>
      <c r="F63" s="4922"/>
      <c r="G63" s="2909"/>
      <c r="H63" s="3047"/>
      <c r="I63" s="1846"/>
      <c r="J63" s="4922"/>
      <c r="K63" s="1846"/>
      <c r="L63" s="1846"/>
      <c r="M63" s="1846"/>
      <c r="N63" s="1846"/>
      <c r="O63" s="1846"/>
      <c r="P63" s="3047"/>
      <c r="Q63" s="1846"/>
      <c r="R63" s="1846"/>
      <c r="S63" s="1846"/>
      <c r="T63" s="3047"/>
      <c r="U63" s="1846"/>
      <c r="V63" s="1846"/>
      <c r="W63" s="1846"/>
      <c r="X63" s="1846"/>
      <c r="Y63" s="1846"/>
      <c r="Z63" s="3047"/>
      <c r="AA63" s="1846"/>
      <c r="AB63" s="1846"/>
      <c r="AC63" s="1846"/>
      <c r="AD63" s="3047"/>
      <c r="AE63" s="1846"/>
      <c r="AF63" s="1846"/>
      <c r="AG63" s="1846"/>
      <c r="AH63" s="3047"/>
      <c r="AI63" s="1846"/>
      <c r="AJ63" s="1846"/>
      <c r="AK63" s="1846"/>
      <c r="AL63" s="1846"/>
      <c r="AM63" s="1846"/>
      <c r="AN63" s="3047"/>
      <c r="AO63" s="1846"/>
      <c r="AP63" s="1846"/>
      <c r="AQ63" s="1846"/>
      <c r="AR63" s="3047"/>
      <c r="AS63" s="1846"/>
      <c r="AT63" s="1846"/>
      <c r="AU63" s="1846"/>
      <c r="AV63" s="3047"/>
      <c r="AW63" s="1846"/>
      <c r="AX63" s="1846"/>
      <c r="AY63" s="1846"/>
      <c r="AZ63" s="1846"/>
      <c r="BA63" s="1846"/>
      <c r="BB63" s="1846"/>
      <c r="BC63" s="1846"/>
      <c r="BD63" s="3047"/>
      <c r="BE63" s="1846"/>
    </row>
    <row r="64" spans="1:57" ht="16" x14ac:dyDescent="0.2">
      <c r="A64" s="8985"/>
      <c r="B64" s="1870" t="s">
        <v>1027</v>
      </c>
      <c r="C64" s="1848" t="s">
        <v>1040</v>
      </c>
      <c r="D64" s="3220"/>
      <c r="E64" s="4146">
        <v>234.96</v>
      </c>
      <c r="F64" s="3220"/>
      <c r="G64" s="1860">
        <v>243.40618279569895</v>
      </c>
      <c r="H64" s="2794">
        <f>+((D64*$D$2)+(F64*$F$2))/$H$2</f>
        <v>0</v>
      </c>
      <c r="I64" s="1871">
        <f>+((E64*E$2)+(G$2*G64))/I$2</f>
        <v>239.25232240437157</v>
      </c>
      <c r="J64" s="3220"/>
      <c r="K64" s="1860">
        <v>246.88244444444442</v>
      </c>
      <c r="L64" s="2055">
        <f>+((H64*$H$2)+(J64*$J$2))/$L$2</f>
        <v>0</v>
      </c>
      <c r="M64" s="2056">
        <f>+((I64*I$2)+(K$2*K64))/M$2</f>
        <v>241.76774725274723</v>
      </c>
      <c r="N64" s="3224">
        <v>320.58293800000001</v>
      </c>
      <c r="O64" s="6049">
        <v>250.42193548387098</v>
      </c>
      <c r="P64" s="2794">
        <f>+((L64*$L$2)+(N64*$N$2))/$P$2</f>
        <v>81.459599000000011</v>
      </c>
      <c r="Q64" s="1871">
        <f>+((M64*M$2)+(O$2*O64))/Q$2</f>
        <v>243.96676229508196</v>
      </c>
      <c r="R64" s="3224"/>
      <c r="S64" s="6049">
        <v>256.28075268817207</v>
      </c>
      <c r="T64" s="2794">
        <f>+((P64*$L$2)+(R64*$N$2))/$P$2</f>
        <v>60.760848434426237</v>
      </c>
      <c r="U64" s="1871">
        <f>+((Q64*Q$2)+(S$2*S64))/U$2</f>
        <v>246.46175381263615</v>
      </c>
      <c r="V64" s="3224"/>
      <c r="W64" s="6049">
        <v>225.52722222222224</v>
      </c>
      <c r="X64" s="2056">
        <f>+((N64*N$2)+(R64*R$2)+(V$2*V64))/X$2</f>
        <v>108.02251171739131</v>
      </c>
      <c r="Y64" s="2056">
        <f>+((O64*O$2)+(S64*S$2)+(W$2*W64))/Y$2</f>
        <v>244.27826086956523</v>
      </c>
      <c r="Z64" s="7053">
        <f>+((T64*T$2)+(V$2*V64))/Z$2</f>
        <v>50.800053609110456</v>
      </c>
      <c r="AA64" s="7053">
        <f>+((U64*U$2)+(W$2*W64))/AA$2</f>
        <v>243.02986338797811</v>
      </c>
      <c r="AB64" s="3224"/>
      <c r="AC64" s="6049">
        <v>237.53763440860214</v>
      </c>
      <c r="AD64" s="2794">
        <f>+((Z64*$L$2)+(AB64*$N$2))/$P$2</f>
        <v>37.891843265811893</v>
      </c>
      <c r="AE64" s="1871">
        <f>+((AA64*AA$2)+(AC$2*AC64))/AE$2</f>
        <v>242.23426012461056</v>
      </c>
      <c r="AF64" s="3224"/>
      <c r="AG64" s="6049">
        <v>236.76611111111112</v>
      </c>
      <c r="AH64" s="2794">
        <f>+((AD64*$L$2)+(AF64*$N$2))/$P$2</f>
        <v>28.263588009744939</v>
      </c>
      <c r="AI64" s="1871">
        <f>+((AE64*AE$2)+(AG$2*AG64))/AI$2</f>
        <v>241.56194672131144</v>
      </c>
      <c r="AJ64" s="3224"/>
      <c r="AK64" s="6049">
        <v>250.56677419354838</v>
      </c>
      <c r="AL64" s="2056">
        <f>+((AB64*AB$2)+(AF64*AF$2)+(AJ$2*AJ64))/AL$2</f>
        <v>0</v>
      </c>
      <c r="AM64" s="2056">
        <f>+((AC64*AC$2)+(AG64*AG$2)+(AK$2*AK64))/AM$2</f>
        <v>241.67630434782609</v>
      </c>
      <c r="AN64" s="2794">
        <f>+((AH64*AH$2)+(AJ$2*AJ64))/AN$2</f>
        <v>25.077510815919144</v>
      </c>
      <c r="AO64" s="1871">
        <f>+((AI64*AI$2)+(AK$2*AK64))/AO$2</f>
        <v>242.57703636363635</v>
      </c>
      <c r="AP64" s="3224"/>
      <c r="AQ64" s="6049">
        <v>268.46954301075266</v>
      </c>
      <c r="AR64" s="2794">
        <f>+((AN64*$L$2)+(AP64*$N$2))/$P$2</f>
        <v>18.70535642826756</v>
      </c>
      <c r="AS64" s="1871">
        <f>+((AO64*AO$2)+(AQ$2*AQ64))/AS$2</f>
        <v>245.20013344226578</v>
      </c>
      <c r="AT64" s="3224"/>
      <c r="AU64" s="6049">
        <f>190015.9/(24*28)</f>
        <v>282.76175595238095</v>
      </c>
      <c r="AV64" s="2794">
        <f>+((AR64*$L$2)+(AT64*$N$2))/$P$2</f>
        <v>13.952356024363509</v>
      </c>
      <c r="AW64" s="1871">
        <f>+((AS64*AS$2)+(AU$2*AU64))/AW$2</f>
        <v>248.34901197604788</v>
      </c>
      <c r="AX64" s="3224"/>
      <c r="AY64" s="6049">
        <f>+AY56/(24*31)</f>
        <v>273.97137096774196</v>
      </c>
      <c r="AZ64" s="2056">
        <f>+((AP64*AP$2)+(AT64*AT$2)+(AX$2*AX64))/AZ$2</f>
        <v>0</v>
      </c>
      <c r="BA64" s="2056">
        <f>+((AQ64*AQ$2)+(AU64*AU$2)+(AY$2*AY64))/BA$2</f>
        <v>274.81108333333333</v>
      </c>
      <c r="BB64" s="2056">
        <f>+((AR64*AR$2)+(AV64*AV$2)+(AZ$2*AZ64))/BB$2</f>
        <v>57.054538347182891</v>
      </c>
      <c r="BC64" s="2056">
        <f>+((AM64*AM$2)+(BA$2*BA64))/BC$2</f>
        <v>258.06163461538461</v>
      </c>
      <c r="BD64" s="7053">
        <f>+((AV64*AV$2)+(AX$2*AX64))/BD$2</f>
        <v>12.767361403116196</v>
      </c>
      <c r="BE64" s="7053">
        <f>+((AW64*AW$2)+(AY$2*AY64))/BE$2</f>
        <v>250.52515753424657</v>
      </c>
    </row>
    <row r="65" spans="1:62" ht="17" thickBot="1" x14ac:dyDescent="0.25">
      <c r="A65" s="8985"/>
      <c r="B65" s="1872" t="s">
        <v>190</v>
      </c>
      <c r="C65" s="1849" t="s">
        <v>1040</v>
      </c>
      <c r="D65" s="5213"/>
      <c r="E65" s="4146">
        <v>52.96</v>
      </c>
      <c r="F65" s="5455"/>
      <c r="G65" s="1860">
        <v>48.453225806451606</v>
      </c>
      <c r="H65" s="2794">
        <f>+((D65*$D$2)+(F65*$F$2))/$H$2</f>
        <v>0</v>
      </c>
      <c r="I65" s="1871">
        <f>+((E65*E$2)+(G$2*G65))/I$2</f>
        <v>50.669672131147529</v>
      </c>
      <c r="J65" s="5790"/>
      <c r="K65" s="1860">
        <v>54.066444444444443</v>
      </c>
      <c r="L65" s="2055">
        <f>+((H65*$H$2)+(J65*$J$2))/$L$2</f>
        <v>0</v>
      </c>
      <c r="M65" s="2056">
        <f>+((I65*I$2)+(K$2*K65))/M$2</f>
        <v>51.789487179487168</v>
      </c>
      <c r="N65" s="3232">
        <v>52</v>
      </c>
      <c r="O65" s="6049">
        <v>58.921075268817205</v>
      </c>
      <c r="P65" s="2794">
        <f>+((L65*$L$2)+(N65*$N$2))/$P$2</f>
        <v>13.21311475409836</v>
      </c>
      <c r="Q65" s="1871">
        <f>+((M65*M$2)+(O$2*O65))/Q$2</f>
        <v>53.601612021857918</v>
      </c>
      <c r="R65" s="3232"/>
      <c r="S65" s="6049">
        <v>60</v>
      </c>
      <c r="T65" s="2794">
        <f>+((P65*$L$2)+(R65*$N$2))/$P$2</f>
        <v>9.8556839559258247</v>
      </c>
      <c r="U65" s="1871">
        <f>+((Q65*Q$2)+(S$2*S65))/U$2</f>
        <v>54.898017429193892</v>
      </c>
      <c r="V65" s="3232"/>
      <c r="W65" s="6049">
        <v>55.587888888888884</v>
      </c>
      <c r="X65" s="2056">
        <f>+((N65*N$2)+(R64*R$2)+(V$2*V65))/X$2</f>
        <v>17.521739130434781</v>
      </c>
      <c r="Y65" s="2056">
        <f>+((O65*O$2)+(S64*S$2)+(W$2*W65))/Y$2</f>
        <v>124.3357971014493</v>
      </c>
      <c r="Z65" s="7053">
        <f>+((T65*T$2)+(V$2*V65))/Z$2</f>
        <v>8.2399980615117556</v>
      </c>
      <c r="AA65" s="7053">
        <f>+((U65*U$2)+(W$2*W65))/AA$2</f>
        <v>55.011111111111106</v>
      </c>
      <c r="AB65" s="3232"/>
      <c r="AC65" s="6049">
        <v>60.727741935483877</v>
      </c>
      <c r="AD65" s="2794">
        <f>+((Z65*$L$2)+(AB65*$N$2))/$P$2</f>
        <v>6.1462280622751617</v>
      </c>
      <c r="AE65" s="1871">
        <f>+((AA65*AA$2)+(AC$2*AC65))/AE$2</f>
        <v>55.839221183800618</v>
      </c>
      <c r="AF65" s="3232"/>
      <c r="AG65" s="6049">
        <v>59.81066666666667</v>
      </c>
      <c r="AH65" s="2794">
        <f>+((AD65*$L$2)+(AF65*$N$2))/$P$2</f>
        <v>4.5844815874347518</v>
      </c>
      <c r="AI65" s="1871">
        <f>+((AE65*AE$2)+(AG$2*AG65))/AI$2</f>
        <v>56.327513661202183</v>
      </c>
      <c r="AJ65" s="3232"/>
      <c r="AK65" s="6049">
        <v>60.953548387096774</v>
      </c>
      <c r="AL65" s="2056">
        <f>+((AB65*AB$2)+(AF64*AF$2)+(AJ$2*AJ65))/AL$2</f>
        <v>0</v>
      </c>
      <c r="AM65" s="2056">
        <f>+((AC65*AC$2)+(AG64*AG$2)+(AK$2*AK65))/AM$2</f>
        <v>118.20764492753622</v>
      </c>
      <c r="AN65" s="2794">
        <f>+((AH65*AH$2)+(AJ$2*AJ65))/AN$2</f>
        <v>4.0676854812148342</v>
      </c>
      <c r="AO65" s="1871">
        <f>+((AI65*AI$2)+(AK$2*AK65))/AO$2</f>
        <v>56.848993939393935</v>
      </c>
      <c r="AP65" s="3232"/>
      <c r="AQ65" s="6049">
        <v>61.631720430107528</v>
      </c>
      <c r="AR65" s="2794">
        <f>+((AN65*$L$2)+(AP65*$N$2))/$P$2</f>
        <v>3.0340932687749991</v>
      </c>
      <c r="AS65" s="1871">
        <f>+((AO65*AO$2)+(AQ$2*AQ65))/AS$2</f>
        <v>57.33351851851851</v>
      </c>
      <c r="AT65" s="3232"/>
      <c r="AU65" s="6049">
        <f>40978.6/(24*28)</f>
        <v>60.980059523809523</v>
      </c>
      <c r="AV65" s="2794">
        <f>+((AR65*$L$2)+(AT65*$N$2))/$P$2</f>
        <v>2.2631351431026632</v>
      </c>
      <c r="AW65" s="1871">
        <f>+((AS65*AS$2)+(AU$2*AU65))/AW$2</f>
        <v>57.639216566866253</v>
      </c>
      <c r="AX65" s="3232"/>
      <c r="AY65" s="6049">
        <f>+AY57/(24*31)</f>
        <v>60.990053763440855</v>
      </c>
      <c r="AZ65" s="2056">
        <f>+((AP65*AP$2)+(AT64*AT$2)+(AX$2*AX65))/AZ$2</f>
        <v>0</v>
      </c>
      <c r="BA65" s="2056">
        <f>+((AQ65*AQ$2)+(AU64*AU$2)+(AY$2*AY65))/BA$2</f>
        <v>130.20671296296297</v>
      </c>
      <c r="BB65" s="2056">
        <f>+((AR65*AR$2)+(AV64*AV$2)+(AZ$2*AZ65))/BB$2</f>
        <v>30.706150837266819</v>
      </c>
      <c r="BC65" s="2056">
        <f>+((AM65*AM$2)+(BA$2*BA65))/BC$2</f>
        <v>124.14125</v>
      </c>
      <c r="BD65" s="7053">
        <f>+((AV65*AV$2)+(AX$2*AX65))/BD$2</f>
        <v>2.0709236651953136</v>
      </c>
      <c r="BE65" s="7053">
        <f>+((AW65*AW$2)+(AY$2*AY65))/BE$2</f>
        <v>57.923808219178071</v>
      </c>
    </row>
    <row r="66" spans="1:62" ht="19" thickBot="1" x14ac:dyDescent="0.25">
      <c r="A66" s="8985"/>
      <c r="B66" s="1873" t="s">
        <v>1037</v>
      </c>
      <c r="C66" s="1850" t="s">
        <v>1040</v>
      </c>
      <c r="D66" s="5280">
        <f t="shared" ref="D66:I66" si="248">SUM(D64:D65)</f>
        <v>0</v>
      </c>
      <c r="E66" s="2724">
        <f t="shared" si="248"/>
        <v>287.92</v>
      </c>
      <c r="F66" s="5280">
        <f t="shared" ref="F66" si="249">SUM(F64:F65)</f>
        <v>0</v>
      </c>
      <c r="G66" s="1865">
        <f t="shared" si="248"/>
        <v>291.85940860215055</v>
      </c>
      <c r="H66" s="2937">
        <f t="shared" si="248"/>
        <v>0</v>
      </c>
      <c r="I66" s="1874">
        <f t="shared" si="248"/>
        <v>289.9219945355191</v>
      </c>
      <c r="J66" s="5280">
        <f t="shared" ref="J66" si="250">SUM(J64:J65)</f>
        <v>0</v>
      </c>
      <c r="K66" s="1865">
        <f t="shared" ref="K66:M66" si="251">SUM(K64:K65)</f>
        <v>300.94888888888886</v>
      </c>
      <c r="L66" s="2057">
        <f t="shared" si="251"/>
        <v>0</v>
      </c>
      <c r="M66" s="2058">
        <f t="shared" si="251"/>
        <v>293.5572344322344</v>
      </c>
      <c r="N66" s="2827">
        <f t="shared" ref="N66:Q66" si="252">SUM(N64:N65)</f>
        <v>372.58293800000001</v>
      </c>
      <c r="O66" s="1865">
        <f t="shared" si="252"/>
        <v>309.3430107526882</v>
      </c>
      <c r="P66" s="2937">
        <f t="shared" si="252"/>
        <v>94.672713754098368</v>
      </c>
      <c r="Q66" s="1874">
        <f t="shared" si="252"/>
        <v>297.56837431693987</v>
      </c>
      <c r="R66" s="2827">
        <f t="shared" ref="R66:U66" si="253">SUM(R64:R65)</f>
        <v>0</v>
      </c>
      <c r="S66" s="1865">
        <f t="shared" si="253"/>
        <v>316.28075268817207</v>
      </c>
      <c r="T66" s="2937">
        <f t="shared" si="253"/>
        <v>70.616532390352063</v>
      </c>
      <c r="U66" s="1874">
        <f t="shared" si="253"/>
        <v>301.35977124183006</v>
      </c>
      <c r="V66" s="2827">
        <f t="shared" ref="V66:AI66" si="254">SUM(V64:V65)</f>
        <v>0</v>
      </c>
      <c r="W66" s="1865">
        <f t="shared" si="254"/>
        <v>281.1151111111111</v>
      </c>
      <c r="X66" s="2057">
        <f t="shared" si="254"/>
        <v>125.54425084782609</v>
      </c>
      <c r="Y66" s="2058">
        <f t="shared" si="254"/>
        <v>368.61405797101452</v>
      </c>
      <c r="Z66" s="6538">
        <f t="shared" si="254"/>
        <v>59.040051670622212</v>
      </c>
      <c r="AA66" s="7091">
        <f t="shared" si="254"/>
        <v>298.0409744990892</v>
      </c>
      <c r="AB66" s="2827">
        <f t="shared" si="254"/>
        <v>0</v>
      </c>
      <c r="AC66" s="1865">
        <f t="shared" si="254"/>
        <v>298.26537634408601</v>
      </c>
      <c r="AD66" s="2937">
        <f t="shared" si="254"/>
        <v>44.038071328087057</v>
      </c>
      <c r="AE66" s="1874">
        <f t="shared" si="254"/>
        <v>298.07348130841115</v>
      </c>
      <c r="AF66" s="2827">
        <f t="shared" si="254"/>
        <v>0</v>
      </c>
      <c r="AG66" s="1865">
        <f t="shared" si="254"/>
        <v>296.57677777777781</v>
      </c>
      <c r="AH66" s="2937">
        <f t="shared" si="254"/>
        <v>32.848069597179688</v>
      </c>
      <c r="AI66" s="1874">
        <f t="shared" si="254"/>
        <v>297.88946038251362</v>
      </c>
      <c r="AJ66" s="2827">
        <f t="shared" ref="AJ66:AO66" si="255">SUM(AJ64:AJ65)</f>
        <v>0</v>
      </c>
      <c r="AK66" s="1865">
        <f t="shared" si="255"/>
        <v>311.52032258064514</v>
      </c>
      <c r="AL66" s="2057">
        <f t="shared" si="255"/>
        <v>0</v>
      </c>
      <c r="AM66" s="2058">
        <f t="shared" si="255"/>
        <v>359.88394927536228</v>
      </c>
      <c r="AN66" s="2937">
        <f t="shared" si="255"/>
        <v>29.145196297133978</v>
      </c>
      <c r="AO66" s="1874">
        <f t="shared" si="255"/>
        <v>299.4260303030303</v>
      </c>
      <c r="AP66" s="2827">
        <f t="shared" ref="AP66:AS66" si="256">SUM(AP64:AP65)</f>
        <v>0</v>
      </c>
      <c r="AQ66" s="1865">
        <f t="shared" si="256"/>
        <v>330.10126344086018</v>
      </c>
      <c r="AR66" s="2937">
        <f t="shared" si="256"/>
        <v>21.739449697042559</v>
      </c>
      <c r="AS66" s="1874">
        <f t="shared" si="256"/>
        <v>302.53365196078431</v>
      </c>
      <c r="AT66" s="2827">
        <f t="shared" ref="AT66:AW66" si="257">SUM(AT64:AT65)</f>
        <v>0</v>
      </c>
      <c r="AU66" s="1865">
        <f t="shared" si="257"/>
        <v>343.74181547619048</v>
      </c>
      <c r="AV66" s="2937">
        <f t="shared" si="257"/>
        <v>16.215491167466173</v>
      </c>
      <c r="AW66" s="1874">
        <f t="shared" si="257"/>
        <v>305.98822854291416</v>
      </c>
      <c r="AX66" s="2827">
        <f t="shared" ref="AX66:BE66" si="258">SUM(AX64:AX65)</f>
        <v>0</v>
      </c>
      <c r="AY66" s="1865">
        <f t="shared" si="258"/>
        <v>334.96142473118283</v>
      </c>
      <c r="AZ66" s="2057">
        <f t="shared" si="258"/>
        <v>0</v>
      </c>
      <c r="BA66" s="2058">
        <f t="shared" si="258"/>
        <v>405.0177962962963</v>
      </c>
      <c r="BB66" s="2057">
        <f t="shared" ref="BB66:BC66" si="259">SUM(BB64:BB65)</f>
        <v>87.760689184449717</v>
      </c>
      <c r="BC66" s="2058">
        <f t="shared" si="259"/>
        <v>382.20288461538462</v>
      </c>
      <c r="BD66" s="6538">
        <f t="shared" si="258"/>
        <v>14.83828506831151</v>
      </c>
      <c r="BE66" s="7091">
        <f t="shared" si="258"/>
        <v>308.44896575342466</v>
      </c>
    </row>
    <row r="67" spans="1:62" ht="16" x14ac:dyDescent="0.2">
      <c r="A67" s="8985"/>
      <c r="B67" s="1875" t="s">
        <v>1032</v>
      </c>
      <c r="C67" s="1851" t="s">
        <v>1040</v>
      </c>
      <c r="D67" s="5211"/>
      <c r="E67" s="2725">
        <v>0.88372222222222063</v>
      </c>
      <c r="F67" s="5453"/>
      <c r="G67" s="1862">
        <v>0.59540322580646565</v>
      </c>
      <c r="H67" s="2793">
        <v>0</v>
      </c>
      <c r="I67" s="1871">
        <f>+((E67*E$2)+(G$2*G67))/I$2</f>
        <v>0.73719945355191896</v>
      </c>
      <c r="J67" s="5785"/>
      <c r="K67" s="1862">
        <v>0.72444444444441214</v>
      </c>
      <c r="L67" s="2250">
        <v>0</v>
      </c>
      <c r="M67" s="2056">
        <f>+((I67*I$2)+(K$2*K67))/M$2</f>
        <v>0.73299450549449907</v>
      </c>
      <c r="N67" s="2695">
        <v>0</v>
      </c>
      <c r="O67" s="6050">
        <v>0.55500000000001726</v>
      </c>
      <c r="P67" s="4891">
        <v>0</v>
      </c>
      <c r="Q67" s="1871">
        <f>+((M67*M$2)+(O$2*O67))/Q$2</f>
        <v>0.68776639344262258</v>
      </c>
      <c r="R67" s="6442"/>
      <c r="S67" s="6050">
        <v>0.33943548387090045</v>
      </c>
      <c r="T67" s="6438">
        <v>0</v>
      </c>
      <c r="U67" s="1871">
        <f>+((Q67*Q$2)+(S$2*S67))/U$2</f>
        <v>0.61718954248364621</v>
      </c>
      <c r="V67" s="7020"/>
      <c r="W67" s="6050">
        <v>0.10997222222225295</v>
      </c>
      <c r="X67" s="2250"/>
      <c r="Y67" s="2056">
        <f>+((O67*O$2)+(S67*S$2)+(W$2*W67))/Y$2</f>
        <v>0.33724637681158737</v>
      </c>
      <c r="Z67" s="7014">
        <v>0</v>
      </c>
      <c r="AA67" s="7053">
        <f>+((U67*U$2)+(W$2*W67))/AA$2</f>
        <v>0.53403916211292601</v>
      </c>
      <c r="AB67" s="7365"/>
      <c r="AC67" s="6050">
        <v>0.93623655913978177</v>
      </c>
      <c r="AD67" s="7355">
        <v>0</v>
      </c>
      <c r="AE67" s="1871">
        <f>+((AA67*AA$2)+(AC$2*AC67))/AE$2</f>
        <v>0.59230140186915281</v>
      </c>
      <c r="AF67" s="7365"/>
      <c r="AG67" s="6050">
        <v>0.91216666666663915</v>
      </c>
      <c r="AH67" s="7613">
        <v>0</v>
      </c>
      <c r="AI67" s="1871">
        <f>+((AE67*AE$2)+(AG$2*AG67))/AI$2</f>
        <v>0.63162909836064707</v>
      </c>
      <c r="AJ67" s="7365"/>
      <c r="AK67" s="6050">
        <v>0.87005376344090868</v>
      </c>
      <c r="AL67" s="2250"/>
      <c r="AM67" s="2056">
        <f>+((AC67*AC$2)+(AG67*AG$2)+(AK$2*AK67))/AM$2</f>
        <v>0.90608695652174542</v>
      </c>
      <c r="AN67" s="7769">
        <v>0</v>
      </c>
      <c r="AO67" s="1871">
        <f>+((AI67*AI$2)+(AK$2*AK67))/AO$2</f>
        <v>0.65850606060605832</v>
      </c>
      <c r="AP67" s="7365"/>
      <c r="AQ67" s="6050">
        <v>0.99398809523799647</v>
      </c>
      <c r="AR67" s="8095">
        <v>0</v>
      </c>
      <c r="AS67" s="1871">
        <f>+((AO67*AO$2)+(AQ$2*AQ67))/AS$2</f>
        <v>0.69249280267661417</v>
      </c>
      <c r="AT67" s="7365"/>
      <c r="AU67" s="6050">
        <v>0.04</v>
      </c>
      <c r="AV67" s="8149">
        <v>0</v>
      </c>
      <c r="AW67" s="1871">
        <f>+((AS67*AS$2)+(AU$2*AU67))/AW$2</f>
        <v>0.63779280724264653</v>
      </c>
      <c r="AX67" s="7365"/>
      <c r="AY67" s="6050">
        <f>+AY60/(31*24)</f>
        <v>0.96989247311827964</v>
      </c>
      <c r="AZ67" s="2250"/>
      <c r="BA67" s="2056">
        <f>+((AQ67*AQ$2)+(AU67*AU$2)+(AY$2*AY67))/BA$2</f>
        <v>0.68889219576716176</v>
      </c>
      <c r="BB67" s="2250"/>
      <c r="BC67" s="2056">
        <f>+((AM67*AM$2)+(BA$2*BA67))/BC$2</f>
        <v>0.79868295395079736</v>
      </c>
      <c r="BD67" s="8280">
        <v>0</v>
      </c>
      <c r="BE67" s="7053">
        <f>+((AW67*AW$2)+(AY$2*AY67))/BE$2</f>
        <v>0.66599853228961803</v>
      </c>
    </row>
    <row r="68" spans="1:62" ht="18" x14ac:dyDescent="0.2">
      <c r="A68" s="8985"/>
      <c r="B68" s="1876" t="s">
        <v>1038</v>
      </c>
      <c r="C68" s="1852" t="s">
        <v>1040</v>
      </c>
      <c r="D68" s="5281">
        <f t="shared" ref="D68:I68" si="260">+D66-D67</f>
        <v>0</v>
      </c>
      <c r="E68" s="3396">
        <f t="shared" si="260"/>
        <v>287.0362777777778</v>
      </c>
      <c r="F68" s="5281">
        <f t="shared" ref="F68" si="261">+F66-F67</f>
        <v>0</v>
      </c>
      <c r="G68" s="1866">
        <f t="shared" si="260"/>
        <v>291.26400537634407</v>
      </c>
      <c r="H68" s="3106">
        <f t="shared" si="260"/>
        <v>0</v>
      </c>
      <c r="I68" s="1877">
        <f t="shared" si="260"/>
        <v>289.1847950819672</v>
      </c>
      <c r="J68" s="5281">
        <f t="shared" ref="J68" si="262">+J66-J67</f>
        <v>0</v>
      </c>
      <c r="K68" s="1866">
        <f t="shared" ref="K68:M68" si="263">+K66-K67</f>
        <v>300.22444444444443</v>
      </c>
      <c r="L68" s="2059">
        <f t="shared" si="263"/>
        <v>0</v>
      </c>
      <c r="M68" s="2060">
        <f t="shared" si="263"/>
        <v>292.82423992673989</v>
      </c>
      <c r="N68" s="2828">
        <f t="shared" ref="N68:Q68" si="264">+N66-N67</f>
        <v>372.58293800000001</v>
      </c>
      <c r="O68" s="1866">
        <f t="shared" si="264"/>
        <v>308.78801075268819</v>
      </c>
      <c r="P68" s="3106">
        <f t="shared" si="264"/>
        <v>94.672713754098368</v>
      </c>
      <c r="Q68" s="1877">
        <f t="shared" si="264"/>
        <v>296.88060792349722</v>
      </c>
      <c r="R68" s="2828">
        <f t="shared" ref="R68:U68" si="265">+R66-R67</f>
        <v>0</v>
      </c>
      <c r="S68" s="1866">
        <f t="shared" si="265"/>
        <v>315.94131720430119</v>
      </c>
      <c r="T68" s="3106">
        <f t="shared" si="265"/>
        <v>70.616532390352063</v>
      </c>
      <c r="U68" s="1877">
        <f t="shared" si="265"/>
        <v>300.74258169934643</v>
      </c>
      <c r="V68" s="2828">
        <f t="shared" ref="V68:AI68" si="266">+V66-V67</f>
        <v>0</v>
      </c>
      <c r="W68" s="1866">
        <f t="shared" si="266"/>
        <v>281.00513888888884</v>
      </c>
      <c r="X68" s="2059">
        <f t="shared" si="266"/>
        <v>125.54425084782609</v>
      </c>
      <c r="Y68" s="2060">
        <f t="shared" si="266"/>
        <v>368.27681159420291</v>
      </c>
      <c r="Z68" s="7092">
        <f t="shared" si="266"/>
        <v>59.040051670622212</v>
      </c>
      <c r="AA68" s="7093">
        <f t="shared" si="266"/>
        <v>297.50693533697626</v>
      </c>
      <c r="AB68" s="2828">
        <f t="shared" si="266"/>
        <v>0</v>
      </c>
      <c r="AC68" s="1866">
        <f t="shared" si="266"/>
        <v>297.32913978494622</v>
      </c>
      <c r="AD68" s="3106">
        <f t="shared" si="266"/>
        <v>44.038071328087057</v>
      </c>
      <c r="AE68" s="1877">
        <f t="shared" si="266"/>
        <v>297.48117990654197</v>
      </c>
      <c r="AF68" s="2828">
        <f t="shared" si="266"/>
        <v>0</v>
      </c>
      <c r="AG68" s="1866">
        <f t="shared" si="266"/>
        <v>295.66461111111118</v>
      </c>
      <c r="AH68" s="3106">
        <f t="shared" si="266"/>
        <v>32.848069597179688</v>
      </c>
      <c r="AI68" s="1877">
        <f t="shared" si="266"/>
        <v>297.25783128415299</v>
      </c>
      <c r="AJ68" s="2828">
        <f t="shared" ref="AJ68:AO68" si="267">+AJ66-AJ67</f>
        <v>0</v>
      </c>
      <c r="AK68" s="1866">
        <f t="shared" si="267"/>
        <v>310.65026881720422</v>
      </c>
      <c r="AL68" s="2059">
        <f t="shared" si="267"/>
        <v>0</v>
      </c>
      <c r="AM68" s="2060">
        <f t="shared" si="267"/>
        <v>358.97786231884055</v>
      </c>
      <c r="AN68" s="3106">
        <f t="shared" si="267"/>
        <v>29.145196297133978</v>
      </c>
      <c r="AO68" s="1877">
        <f t="shared" si="267"/>
        <v>298.76752424242426</v>
      </c>
      <c r="AP68" s="2828">
        <f t="shared" ref="AP68:AS68" si="268">+AP66-AP67</f>
        <v>0</v>
      </c>
      <c r="AQ68" s="1866">
        <f t="shared" si="268"/>
        <v>329.10727534562216</v>
      </c>
      <c r="AR68" s="3106">
        <f t="shared" si="268"/>
        <v>21.739449697042559</v>
      </c>
      <c r="AS68" s="1877">
        <f t="shared" si="268"/>
        <v>301.8411591581077</v>
      </c>
      <c r="AT68" s="2828">
        <f t="shared" ref="AT68:AW68" si="269">+AT66-AT67</f>
        <v>0</v>
      </c>
      <c r="AU68" s="1866">
        <f t="shared" si="269"/>
        <v>343.70181547619046</v>
      </c>
      <c r="AV68" s="3106">
        <f t="shared" si="269"/>
        <v>16.215491167466173</v>
      </c>
      <c r="AW68" s="1877">
        <f t="shared" si="269"/>
        <v>305.35043573567151</v>
      </c>
      <c r="AX68" s="2828">
        <f t="shared" ref="AX68:BE68" si="270">+AX66-AX67</f>
        <v>0</v>
      </c>
      <c r="AY68" s="1866">
        <f t="shared" si="270"/>
        <v>333.99153225806452</v>
      </c>
      <c r="AZ68" s="2059">
        <f t="shared" si="270"/>
        <v>0</v>
      </c>
      <c r="BA68" s="2060">
        <f t="shared" si="270"/>
        <v>404.32890410052914</v>
      </c>
      <c r="BB68" s="2059">
        <f t="shared" ref="BB68:BC68" si="271">+BB66-BB67</f>
        <v>87.760689184449717</v>
      </c>
      <c r="BC68" s="2060">
        <f t="shared" si="271"/>
        <v>381.40420166143383</v>
      </c>
      <c r="BD68" s="7092">
        <f t="shared" si="270"/>
        <v>14.83828506831151</v>
      </c>
      <c r="BE68" s="7093">
        <f t="shared" si="270"/>
        <v>307.78296722113504</v>
      </c>
    </row>
    <row r="69" spans="1:62" ht="18" x14ac:dyDescent="0.2">
      <c r="A69" s="8985"/>
      <c r="B69" s="1878" t="s">
        <v>1036</v>
      </c>
      <c r="C69" s="1847"/>
      <c r="D69" s="5282"/>
      <c r="E69" s="5149"/>
      <c r="F69" s="5282"/>
      <c r="G69" s="5148"/>
      <c r="H69" s="5148"/>
      <c r="I69" s="5148"/>
      <c r="J69" s="5282"/>
      <c r="K69" s="5148"/>
      <c r="L69" s="5148"/>
      <c r="M69" s="5148"/>
      <c r="N69" s="5148"/>
      <c r="O69" s="5148"/>
      <c r="P69" s="5148"/>
      <c r="Q69" s="5148"/>
      <c r="R69" s="5148"/>
      <c r="S69" s="5148"/>
      <c r="T69" s="5148"/>
      <c r="U69" s="5148"/>
      <c r="V69" s="5148"/>
      <c r="W69" s="5148"/>
      <c r="X69" s="5148"/>
      <c r="Y69" s="5148"/>
      <c r="Z69" s="5148"/>
      <c r="AA69" s="5148"/>
      <c r="AB69" s="5148"/>
      <c r="AC69" s="5148"/>
      <c r="AD69" s="5148"/>
      <c r="AE69" s="5148"/>
      <c r="AF69" s="5148"/>
      <c r="AG69" s="5148"/>
      <c r="AH69" s="5148"/>
      <c r="AI69" s="5148"/>
      <c r="AJ69" s="5148"/>
      <c r="AK69" s="5148"/>
      <c r="AL69" s="5148"/>
      <c r="AM69" s="5148"/>
      <c r="AN69" s="5148"/>
      <c r="AO69" s="5148"/>
      <c r="AP69" s="5148"/>
      <c r="AQ69" s="5148"/>
      <c r="AR69" s="5148"/>
      <c r="AS69" s="5148"/>
      <c r="AT69" s="5148"/>
      <c r="AU69" s="5148"/>
      <c r="AV69" s="5148"/>
      <c r="AW69" s="5148"/>
      <c r="AX69" s="5148"/>
      <c r="AY69" s="5148"/>
      <c r="AZ69" s="5148"/>
      <c r="BA69" s="5148"/>
      <c r="BB69" s="5148"/>
      <c r="BC69" s="5148"/>
      <c r="BD69" s="5148"/>
      <c r="BE69" s="5148"/>
    </row>
    <row r="70" spans="1:62" ht="16" x14ac:dyDescent="0.2">
      <c r="A70" s="8985"/>
      <c r="B70" s="1870" t="s">
        <v>1449</v>
      </c>
      <c r="C70" s="1848" t="s">
        <v>1040</v>
      </c>
      <c r="D70" s="3220"/>
      <c r="E70" s="4146">
        <v>25.447500000000002</v>
      </c>
      <c r="F70" s="3220"/>
      <c r="G70" s="1860">
        <v>26.989247311827956</v>
      </c>
      <c r="H70" s="2794">
        <f t="shared" ref="H70:H76" si="272">+((D70*$D$2)+(F70*$F$2))/$H$2</f>
        <v>0</v>
      </c>
      <c r="I70" s="1871">
        <f t="shared" ref="I70:I76" si="273">+((E70*E$2)+(G$2*G70))/I$2</f>
        <v>26.231010928961748</v>
      </c>
      <c r="J70" s="3220"/>
      <c r="K70" s="1860">
        <v>25.688833333333331</v>
      </c>
      <c r="L70" s="2055">
        <f>+((H70*$H$2)+(J70*$J$2))/$L$2</f>
        <v>0</v>
      </c>
      <c r="M70" s="2056">
        <f t="shared" ref="M70:M76" si="274">+((I70*I$2)+(K$2*K70))/M$2</f>
        <v>26.05227106227106</v>
      </c>
      <c r="N70" s="3224">
        <v>30</v>
      </c>
      <c r="O70" s="6049">
        <v>23.56451612903226</v>
      </c>
      <c r="P70" s="2794">
        <f>+((L70*$L$2)+(N70*$N$2))/$P$2</f>
        <v>7.6229508196721314</v>
      </c>
      <c r="Q70" s="1871">
        <f t="shared" ref="Q70:Q76" si="275">+((M70*M$2)+(O$2*O70))/Q$2</f>
        <v>25.420136612021857</v>
      </c>
      <c r="R70" s="3224"/>
      <c r="S70" s="6049">
        <v>25.444193548387098</v>
      </c>
      <c r="T70" s="2794">
        <f>+((P70*$L$2)+(R70*$N$2))/$P$2</f>
        <v>5.6859715130341311</v>
      </c>
      <c r="U70" s="1871">
        <f t="shared" ref="U70:U76" si="276">+((Q70*Q$2)+(S$2*S70))/U$2</f>
        <v>25.425010893246188</v>
      </c>
      <c r="V70" s="3224"/>
      <c r="W70" s="6049">
        <v>20.745833333333334</v>
      </c>
      <c r="X70" s="2056">
        <f t="shared" ref="X70:X76" si="277">+((N70*N$2)+(R70*R$2)+(V$2*V70))/X$2</f>
        <v>10.108695652173912</v>
      </c>
      <c r="Y70" s="2056">
        <f t="shared" ref="Y70:Y76" si="278">+((O70*O$2)+(S70*S$2)+(W$2*W70))/Y$2</f>
        <v>23.278749999999999</v>
      </c>
      <c r="Z70" s="6612">
        <f>+((T70*$L$2)+(V70*$N$2))/$P$2</f>
        <v>4.2411754728369342</v>
      </c>
      <c r="AA70" s="7053">
        <f t="shared" ref="AA70:AA76" si="279">+((U70*U$2)+(W$2*W70))/AA$2</f>
        <v>24.657932604735883</v>
      </c>
      <c r="AB70" s="3224"/>
      <c r="AC70" s="6049">
        <v>20.599462365591396</v>
      </c>
      <c r="AD70" s="2794">
        <f>+((Z70*$L$2)+(AB70*$N$2))/$P$2</f>
        <v>3.1634997379357457</v>
      </c>
      <c r="AE70" s="1871">
        <f t="shared" ref="AE70:AE76" si="280">+((AA70*AA$2)+(AC$2*AC70))/AE$2</f>
        <v>24.07002336448598</v>
      </c>
      <c r="AF70" s="3224"/>
      <c r="AG70" s="6049">
        <v>20.61</v>
      </c>
      <c r="AH70" s="2794">
        <f>+((AD70*$L$2)+(AF70*$N$2))/$P$2</f>
        <v>2.359659640591417</v>
      </c>
      <c r="AI70" s="1871">
        <f t="shared" ref="AI70:AI76" si="281">+((AE70*AE$2)+(AG$2*AG70))/AI$2</f>
        <v>23.644610655737704</v>
      </c>
      <c r="AJ70" s="3224"/>
      <c r="AK70" s="6049">
        <v>24.649193548387096</v>
      </c>
      <c r="AL70" s="2056">
        <f t="shared" ref="AL70:AL76" si="282">+((AB70*AB$2)+(AF70*AF$2)+(AJ$2*AJ70))/AL$2</f>
        <v>0</v>
      </c>
      <c r="AM70" s="2056">
        <f t="shared" ref="AM70:AM76" si="283">+((AC70*AC$2)+(AG70*AG$2)+(AK$2*AK70))/AM$2</f>
        <v>21.967481884057971</v>
      </c>
      <c r="AN70" s="2794">
        <f>+((AH70*$L$2)+(AJ70*$N$2))/$P$2</f>
        <v>1.7600739942116308</v>
      </c>
      <c r="AO70" s="1871">
        <f t="shared" ref="AO70:AO76" si="284">+((AI70*AI$2)+(AK$2*AK70))/AO$2</f>
        <v>23.757854545454546</v>
      </c>
      <c r="AP70" s="3224"/>
      <c r="AQ70" s="6049">
        <v>25.013978494623657</v>
      </c>
      <c r="AR70" s="2794">
        <f>+((AN70*$L$2)+(AP70*$N$2))/$P$2</f>
        <v>1.312842077649659</v>
      </c>
      <c r="AS70" s="1871">
        <f t="shared" ref="AS70:AS76" si="285">+((AO70*AO$2)+(AQ$2*AQ70))/AS$2</f>
        <v>23.885108932461872</v>
      </c>
      <c r="AT70" s="3224"/>
      <c r="AU70" s="6049">
        <v>24.01</v>
      </c>
      <c r="AV70" s="2794">
        <f>+((AR70*$L$2)+(AT70*$N$2))/$P$2</f>
        <v>0.97925105791900791</v>
      </c>
      <c r="AW70" s="1871">
        <f t="shared" ref="AW70:AW76" si="286">+((AS70*AS$2)+(AU$2*AU70))/AW$2</f>
        <v>23.89557884231537</v>
      </c>
      <c r="AX70" s="3224"/>
      <c r="AY70" s="6049">
        <v>25.048387096774199</v>
      </c>
      <c r="AZ70" s="2056">
        <f t="shared" ref="AZ70:AZ76" si="287">+((AP70*AP$2)+(AT70*AT$2)+(AX$2*AX70))/AZ$2</f>
        <v>0</v>
      </c>
      <c r="BA70" s="2056">
        <f t="shared" ref="BA70:BA76" si="288">+((AQ70*AQ$2)+(AU70*AU$2)+(AY$2*AY70))/BA$2</f>
        <v>24.713481481481491</v>
      </c>
      <c r="BB70" s="2056">
        <f t="shared" ref="BB70:BB76" si="289">+((AR70*AR$2)+(AV70*AV$2)+(AZ$2*AZ70))/BB$2</f>
        <v>4.0043930170645297</v>
      </c>
      <c r="BC70" s="2056">
        <f>+((AM70*AM$2)+(BA$2*BA70))/BC$2</f>
        <v>23.325393772893776</v>
      </c>
      <c r="BD70" s="6612">
        <f>+((AV70*$L$2)+(AX70*$N$2))/$P$2</f>
        <v>0.73042496943139112</v>
      </c>
      <c r="BE70" s="7053">
        <f t="shared" ref="BE70:BE76" si="290">+((AW70*AW$2)+(AY$2*AY70))/BE$2</f>
        <v>23.993488584474889</v>
      </c>
    </row>
    <row r="71" spans="1:62" ht="16" x14ac:dyDescent="0.2">
      <c r="A71" s="8985"/>
      <c r="B71" s="1870" t="s">
        <v>1450</v>
      </c>
      <c r="C71" s="1848" t="s">
        <v>1040</v>
      </c>
      <c r="D71" s="3220"/>
      <c r="E71" s="4146">
        <v>0</v>
      </c>
      <c r="F71" s="3220"/>
      <c r="G71" s="1860">
        <v>0</v>
      </c>
      <c r="H71" s="2794">
        <f t="shared" ref="H71" si="291">+((D71*$D$2)+(F71*$F$2))/$H$2</f>
        <v>0</v>
      </c>
      <c r="I71" s="1871">
        <f t="shared" si="273"/>
        <v>0</v>
      </c>
      <c r="J71" s="3220"/>
      <c r="K71" s="1860">
        <v>0</v>
      </c>
      <c r="L71" s="2055">
        <f>+((H71*$H$2)+(J71*$J$2))/$L$2</f>
        <v>0</v>
      </c>
      <c r="M71" s="2056">
        <f t="shared" si="274"/>
        <v>0</v>
      </c>
      <c r="N71" s="3224">
        <v>0</v>
      </c>
      <c r="O71" s="6049">
        <v>0</v>
      </c>
      <c r="P71" s="2794">
        <f>+((L71*$L$2)+(N71*$N$2))/$P$2</f>
        <v>0</v>
      </c>
      <c r="Q71" s="1871">
        <f t="shared" si="275"/>
        <v>0</v>
      </c>
      <c r="R71" s="3224"/>
      <c r="S71" s="6049">
        <v>0</v>
      </c>
      <c r="T71" s="2794">
        <f>+((P71*$L$2)+(R71*$N$2))/$P$2</f>
        <v>0</v>
      </c>
      <c r="U71" s="1871">
        <f t="shared" si="276"/>
        <v>0</v>
      </c>
      <c r="V71" s="3224"/>
      <c r="W71" s="6049">
        <v>0</v>
      </c>
      <c r="X71" s="2056">
        <f t="shared" si="277"/>
        <v>0</v>
      </c>
      <c r="Y71" s="2056">
        <f t="shared" si="278"/>
        <v>0</v>
      </c>
      <c r="Z71" s="6612">
        <f>+((T71*$L$2)+(V71*$N$2))/$P$2</f>
        <v>0</v>
      </c>
      <c r="AA71" s="7053">
        <f t="shared" si="279"/>
        <v>0</v>
      </c>
      <c r="AB71" s="3224"/>
      <c r="AC71" s="6049">
        <v>0</v>
      </c>
      <c r="AD71" s="2794">
        <f>+((Z71*$L$2)+(AB71*$N$2))/$P$2</f>
        <v>0</v>
      </c>
      <c r="AE71" s="1871">
        <f t="shared" si="280"/>
        <v>0</v>
      </c>
      <c r="AF71" s="3224"/>
      <c r="AG71" s="6049">
        <v>0</v>
      </c>
      <c r="AH71" s="2794">
        <f>+((AD71*$L$2)+(AF71*$N$2))/$P$2</f>
        <v>0</v>
      </c>
      <c r="AI71" s="1871">
        <f t="shared" si="281"/>
        <v>0</v>
      </c>
      <c r="AJ71" s="3224"/>
      <c r="AK71" s="6049">
        <v>0</v>
      </c>
      <c r="AL71" s="2056">
        <f t="shared" si="282"/>
        <v>0</v>
      </c>
      <c r="AM71" s="2056">
        <f t="shared" si="283"/>
        <v>0</v>
      </c>
      <c r="AN71" s="2794">
        <f>+((AH71*$L$2)+(AJ71*$N$2))/$P$2</f>
        <v>0</v>
      </c>
      <c r="AO71" s="1871">
        <f t="shared" si="284"/>
        <v>0</v>
      </c>
      <c r="AP71" s="3224"/>
      <c r="AQ71" s="6049">
        <v>0</v>
      </c>
      <c r="AR71" s="2794">
        <f>+((AN71*$L$2)+(AP71*$N$2))/$P$2</f>
        <v>0</v>
      </c>
      <c r="AS71" s="1871">
        <f t="shared" si="285"/>
        <v>0</v>
      </c>
      <c r="AT71" s="3224"/>
      <c r="AU71" s="6049">
        <v>0</v>
      </c>
      <c r="AV71" s="2794">
        <f>+((AR71*$L$2)+(AT71*$N$2))/$P$2</f>
        <v>0</v>
      </c>
      <c r="AW71" s="1871">
        <f t="shared" si="286"/>
        <v>0</v>
      </c>
      <c r="AX71" s="3224"/>
      <c r="AY71" s="6049">
        <v>0</v>
      </c>
      <c r="AZ71" s="2056">
        <f t="shared" si="287"/>
        <v>0</v>
      </c>
      <c r="BA71" s="2056">
        <f t="shared" si="288"/>
        <v>0</v>
      </c>
      <c r="BB71" s="2056">
        <f t="shared" si="289"/>
        <v>0</v>
      </c>
      <c r="BC71" s="2056">
        <f t="shared" ref="BC71:BC76" si="292">+((AM71*AM$2)+(BA$2*BA71))/BC$2</f>
        <v>0</v>
      </c>
      <c r="BD71" s="6612">
        <f>+((AV71*$L$2)+(AX71*$N$2))/$P$2</f>
        <v>0</v>
      </c>
      <c r="BE71" s="7053">
        <f t="shared" si="290"/>
        <v>0</v>
      </c>
    </row>
    <row r="72" spans="1:62" ht="16" x14ac:dyDescent="0.2">
      <c r="A72" s="8985"/>
      <c r="B72" s="1870" t="s">
        <v>1238</v>
      </c>
      <c r="C72" s="1848" t="s">
        <v>1040</v>
      </c>
      <c r="D72" s="3220"/>
      <c r="E72" s="4146">
        <v>8.0658333333333321</v>
      </c>
      <c r="F72" s="3220"/>
      <c r="G72" s="1860">
        <v>9.450940860215054</v>
      </c>
      <c r="H72" s="2794">
        <f t="shared" si="272"/>
        <v>0</v>
      </c>
      <c r="I72" s="1871">
        <f t="shared" si="273"/>
        <v>8.76974043715847</v>
      </c>
      <c r="J72" s="3220"/>
      <c r="K72" s="1860">
        <v>9.0697222222222216</v>
      </c>
      <c r="L72" s="2055">
        <f t="shared" ref="L72:L76" si="293">+((H72*$H$2)+(J72*$J$2))/$L$2</f>
        <v>0</v>
      </c>
      <c r="M72" s="2056">
        <f t="shared" si="274"/>
        <v>8.8686355311355314</v>
      </c>
      <c r="N72" s="3224">
        <v>13</v>
      </c>
      <c r="O72" s="6049">
        <v>7.1354838709677422</v>
      </c>
      <c r="P72" s="2794">
        <f t="shared" ref="P72:P76" si="294">+((L72*$L$2)+(N72*$N$2))/$P$2</f>
        <v>3.3032786885245899</v>
      </c>
      <c r="Q72" s="1871">
        <f t="shared" si="275"/>
        <v>8.4282445355191253</v>
      </c>
      <c r="R72" s="3224"/>
      <c r="S72" s="6049">
        <v>9.24</v>
      </c>
      <c r="T72" s="2794">
        <f t="shared" ref="T72:T76" si="295">+((P72*$L$2)+(R72*$N$2))/$P$2</f>
        <v>2.4639209889814562</v>
      </c>
      <c r="U72" s="1871">
        <f t="shared" si="276"/>
        <v>8.5927178649237472</v>
      </c>
      <c r="V72" s="3224"/>
      <c r="W72" s="6049">
        <v>13.30736111111111</v>
      </c>
      <c r="X72" s="2056">
        <f t="shared" si="277"/>
        <v>4.3804347826086953</v>
      </c>
      <c r="Y72" s="2056">
        <f t="shared" si="278"/>
        <v>9.8571829710144918</v>
      </c>
      <c r="Z72" s="6612">
        <f t="shared" ref="Z72:Z76" si="296">+((T72*$L$2)+(V72*$N$2))/$P$2</f>
        <v>1.8378427048960042</v>
      </c>
      <c r="AA72" s="7053">
        <f t="shared" si="279"/>
        <v>9.3656102003642978</v>
      </c>
      <c r="AB72" s="3224"/>
      <c r="AC72" s="6049">
        <v>13.13978494623656</v>
      </c>
      <c r="AD72" s="2794">
        <f t="shared" ref="AD72:AD76" si="297">+((Z72*$L$2)+(AB72*$N$2))/$P$2</f>
        <v>1.3708498864388228</v>
      </c>
      <c r="AE72" s="1871">
        <f t="shared" si="280"/>
        <v>9.9123364485981291</v>
      </c>
      <c r="AF72" s="3224"/>
      <c r="AG72" s="6049">
        <v>8.2527777777777782</v>
      </c>
      <c r="AH72" s="2794">
        <f t="shared" ref="AH72:AH76" si="298">+((AD72*$L$2)+(AF72*$N$2))/$P$2</f>
        <v>1.0225191775896136</v>
      </c>
      <c r="AI72" s="1871">
        <f t="shared" si="281"/>
        <v>9.7082923497267757</v>
      </c>
      <c r="AJ72" s="3224"/>
      <c r="AK72" s="6049">
        <v>5.9997311827956992</v>
      </c>
      <c r="AL72" s="2056">
        <f t="shared" si="282"/>
        <v>0</v>
      </c>
      <c r="AM72" s="2056">
        <f t="shared" si="283"/>
        <v>9.1403079710144937</v>
      </c>
      <c r="AN72" s="2794">
        <f t="shared" ref="AN72:AN76" si="299">+((AH72*$L$2)+(AJ72*$N$2))/$P$2</f>
        <v>0.76269873082503958</v>
      </c>
      <c r="AO72" s="1871">
        <f t="shared" si="284"/>
        <v>9.2902363636363638</v>
      </c>
      <c r="AP72" s="3224"/>
      <c r="AQ72" s="6049">
        <v>8.3158602150537639</v>
      </c>
      <c r="AR72" s="2794">
        <f t="shared" ref="AR72:AR76" si="300">+((AN72*$L$2)+(AP72*$N$2))/$P$2</f>
        <v>0.56889823364818526</v>
      </c>
      <c r="AS72" s="1871">
        <f t="shared" si="285"/>
        <v>9.191525054466231</v>
      </c>
      <c r="AT72" s="3224"/>
      <c r="AU72" s="6049">
        <v>7.83</v>
      </c>
      <c r="AV72" s="2794">
        <f t="shared" ref="AV72:AV76" si="301">+((AR72*$L$2)+(AT72*$N$2))/$P$2</f>
        <v>0.42434212509823654</v>
      </c>
      <c r="AW72" s="1871">
        <f t="shared" si="286"/>
        <v>9.0773852295409174</v>
      </c>
      <c r="AX72" s="3224"/>
      <c r="AY72" s="6049">
        <v>9.3735483870967702</v>
      </c>
      <c r="AZ72" s="2056">
        <f t="shared" si="287"/>
        <v>0</v>
      </c>
      <c r="BA72" s="2056">
        <f t="shared" si="288"/>
        <v>8.5290185185185177</v>
      </c>
      <c r="BB72" s="2056">
        <f t="shared" si="289"/>
        <v>1.7352369740612952</v>
      </c>
      <c r="BC72" s="2056">
        <f t="shared" si="292"/>
        <v>8.8380219780219775</v>
      </c>
      <c r="BD72" s="6612">
        <f t="shared" ref="BD72:BD76" si="302">+((AV72*$L$2)+(AX72*$N$2))/$P$2</f>
        <v>0.31651748675360264</v>
      </c>
      <c r="BE72" s="7053">
        <f t="shared" si="290"/>
        <v>9.1025388127853866</v>
      </c>
    </row>
    <row r="73" spans="1:62" ht="16" x14ac:dyDescent="0.2">
      <c r="A73" s="8985"/>
      <c r="B73" s="1870" t="s">
        <v>1239</v>
      </c>
      <c r="C73" s="1848" t="s">
        <v>1040</v>
      </c>
      <c r="D73" s="3220"/>
      <c r="E73" s="4146">
        <v>4.822222222222222</v>
      </c>
      <c r="F73" s="3220"/>
      <c r="G73" s="1860">
        <v>4.827956989247312</v>
      </c>
      <c r="H73" s="2794">
        <f t="shared" si="272"/>
        <v>0</v>
      </c>
      <c r="I73" s="1871">
        <f t="shared" si="273"/>
        <v>4.8251366120218586</v>
      </c>
      <c r="J73" s="3220"/>
      <c r="K73" s="1860">
        <v>5.4111111111111114</v>
      </c>
      <c r="L73" s="2055">
        <f t="shared" si="293"/>
        <v>0</v>
      </c>
      <c r="M73" s="2056">
        <f t="shared" si="274"/>
        <v>5.0183150183150191</v>
      </c>
      <c r="N73" s="3224">
        <v>10</v>
      </c>
      <c r="O73" s="6049">
        <v>5.790322580645161</v>
      </c>
      <c r="P73" s="2794">
        <f t="shared" si="294"/>
        <v>2.540983606557377</v>
      </c>
      <c r="Q73" s="1871">
        <f t="shared" si="275"/>
        <v>5.2144808743169406</v>
      </c>
      <c r="R73" s="3224"/>
      <c r="S73" s="6049">
        <v>6.155913978494624</v>
      </c>
      <c r="T73" s="2794">
        <f t="shared" si="295"/>
        <v>1.8953238376780435</v>
      </c>
      <c r="U73" s="1871">
        <f t="shared" si="276"/>
        <v>5.405228758169935</v>
      </c>
      <c r="V73" s="3224"/>
      <c r="W73" s="6049">
        <v>3.0444444444444443</v>
      </c>
      <c r="X73" s="2056">
        <f t="shared" si="277"/>
        <v>3.3695652173913042</v>
      </c>
      <c r="Y73" s="2056">
        <f t="shared" si="278"/>
        <v>5.0181159420289854</v>
      </c>
      <c r="Z73" s="6612">
        <f t="shared" si="296"/>
        <v>1.4137251576123111</v>
      </c>
      <c r="AA73" s="7053">
        <f t="shared" si="279"/>
        <v>5.0182149362477233</v>
      </c>
      <c r="AB73" s="3224"/>
      <c r="AC73" s="6049">
        <v>3.5483870967741935</v>
      </c>
      <c r="AD73" s="2794">
        <f t="shared" si="297"/>
        <v>1.0544999126452486</v>
      </c>
      <c r="AE73" s="1871">
        <f t="shared" si="280"/>
        <v>4.8052959501557639</v>
      </c>
      <c r="AF73" s="3224"/>
      <c r="AG73" s="6049">
        <v>5.15</v>
      </c>
      <c r="AH73" s="2794">
        <f t="shared" si="298"/>
        <v>0.78655321353047225</v>
      </c>
      <c r="AI73" s="1871">
        <f t="shared" si="281"/>
        <v>4.8476775956284159</v>
      </c>
      <c r="AJ73" s="3224"/>
      <c r="AK73" s="6049">
        <v>6.053763440860215</v>
      </c>
      <c r="AL73" s="2056">
        <f t="shared" si="282"/>
        <v>0</v>
      </c>
      <c r="AM73" s="2056">
        <f t="shared" si="283"/>
        <v>4.9148550724637676</v>
      </c>
      <c r="AN73" s="2794">
        <f t="shared" si="299"/>
        <v>0.58669133140387686</v>
      </c>
      <c r="AO73" s="1871">
        <f t="shared" si="284"/>
        <v>4.9836363636363643</v>
      </c>
      <c r="AP73" s="3224"/>
      <c r="AQ73" s="6049">
        <v>7.220430107526882</v>
      </c>
      <c r="AR73" s="2794">
        <f t="shared" si="300"/>
        <v>0.43761402588321963</v>
      </c>
      <c r="AS73" s="1871">
        <f t="shared" si="285"/>
        <v>5.2102396514161224</v>
      </c>
      <c r="AT73" s="3224"/>
      <c r="AU73" s="6049">
        <v>7.48</v>
      </c>
      <c r="AV73" s="2794">
        <f t="shared" si="301"/>
        <v>0.32641701930633593</v>
      </c>
      <c r="AW73" s="1871">
        <f t="shared" si="286"/>
        <v>5.4005189620758491</v>
      </c>
      <c r="AX73" s="3224"/>
      <c r="AY73" s="6049">
        <v>7.93010752688172</v>
      </c>
      <c r="AZ73" s="2056">
        <f t="shared" si="287"/>
        <v>0</v>
      </c>
      <c r="BA73" s="2056">
        <f t="shared" si="288"/>
        <v>7.5456296296296284</v>
      </c>
      <c r="BB73" s="2056">
        <f t="shared" si="289"/>
        <v>1.3347976723548429</v>
      </c>
      <c r="BC73" s="2056">
        <f t="shared" si="292"/>
        <v>6.2157875457875447</v>
      </c>
      <c r="BD73" s="6612">
        <f t="shared" si="302"/>
        <v>0.2434749898104637</v>
      </c>
      <c r="BE73" s="7053">
        <f t="shared" si="290"/>
        <v>5.6153607305936086</v>
      </c>
    </row>
    <row r="74" spans="1:62" ht="16" x14ac:dyDescent="0.2">
      <c r="A74" s="8985"/>
      <c r="B74" s="1870" t="s">
        <v>1414</v>
      </c>
      <c r="C74" s="1848" t="s">
        <v>1040</v>
      </c>
      <c r="D74" s="3220"/>
      <c r="E74" s="4146">
        <v>15.138833333333332</v>
      </c>
      <c r="F74" s="3220"/>
      <c r="G74" s="1860">
        <v>14.71021505376344</v>
      </c>
      <c r="H74" s="2794">
        <f t="shared" si="272"/>
        <v>0</v>
      </c>
      <c r="I74" s="1871">
        <f t="shared" si="273"/>
        <v>14.921010928961747</v>
      </c>
      <c r="J74" s="3220"/>
      <c r="K74" s="1860">
        <v>14.146333333333335</v>
      </c>
      <c r="L74" s="2055">
        <f t="shared" si="293"/>
        <v>0</v>
      </c>
      <c r="M74" s="2056">
        <f t="shared" si="274"/>
        <v>14.665622710622712</v>
      </c>
      <c r="N74" s="3224">
        <v>17</v>
      </c>
      <c r="O74" s="6049">
        <v>14.522258064516128</v>
      </c>
      <c r="P74" s="2794">
        <f t="shared" si="294"/>
        <v>4.3196721311475406</v>
      </c>
      <c r="Q74" s="1871">
        <f t="shared" si="275"/>
        <v>14.629193989071039</v>
      </c>
      <c r="R74" s="3224"/>
      <c r="S74" s="6049">
        <v>13.679354838709678</v>
      </c>
      <c r="T74" s="2794">
        <f t="shared" si="295"/>
        <v>3.2220505240526736</v>
      </c>
      <c r="U74" s="1871">
        <f t="shared" si="276"/>
        <v>14.436742919389978</v>
      </c>
      <c r="V74" s="3224"/>
      <c r="W74" s="6049">
        <v>11.270999999999999</v>
      </c>
      <c r="X74" s="2056">
        <f t="shared" si="277"/>
        <v>5.7282608695652177</v>
      </c>
      <c r="Y74" s="2056">
        <f t="shared" si="278"/>
        <v>13.178043478260872</v>
      </c>
      <c r="Z74" s="6612">
        <f t="shared" si="296"/>
        <v>2.4033327679409284</v>
      </c>
      <c r="AA74" s="7053">
        <f t="shared" si="279"/>
        <v>13.917768670309655</v>
      </c>
      <c r="AB74" s="3224"/>
      <c r="AC74" s="6049">
        <v>13.83532258064516</v>
      </c>
      <c r="AD74" s="2794">
        <f t="shared" si="297"/>
        <v>1.792649851496922</v>
      </c>
      <c r="AE74" s="1871">
        <f t="shared" si="280"/>
        <v>13.905825545171341</v>
      </c>
      <c r="AF74" s="3224"/>
      <c r="AG74" s="6049">
        <v>13.633333333333333</v>
      </c>
      <c r="AH74" s="2794">
        <f t="shared" si="298"/>
        <v>1.3371404630018024</v>
      </c>
      <c r="AI74" s="1871">
        <f t="shared" si="281"/>
        <v>13.872322404371586</v>
      </c>
      <c r="AJ74" s="3224"/>
      <c r="AK74" s="6049">
        <v>12.43483870967742</v>
      </c>
      <c r="AL74" s="2056">
        <f t="shared" si="282"/>
        <v>0</v>
      </c>
      <c r="AM74" s="2056">
        <f t="shared" si="283"/>
        <v>13.297554347826088</v>
      </c>
      <c r="AN74" s="2794">
        <f t="shared" si="299"/>
        <v>0.99737526338659033</v>
      </c>
      <c r="AO74" s="1871">
        <f t="shared" si="284"/>
        <v>13.710278787878789</v>
      </c>
      <c r="AP74" s="3224"/>
      <c r="AQ74" s="6049">
        <v>13</v>
      </c>
      <c r="AR74" s="2794">
        <f t="shared" si="300"/>
        <v>0.74394384400147318</v>
      </c>
      <c r="AS74" s="1871">
        <f t="shared" si="285"/>
        <v>13.638322440087146</v>
      </c>
      <c r="AT74" s="3224"/>
      <c r="AU74" s="6049">
        <v>12.37</v>
      </c>
      <c r="AV74" s="2794">
        <f t="shared" si="301"/>
        <v>0.55490893282077092</v>
      </c>
      <c r="AW74" s="1871">
        <f t="shared" si="286"/>
        <v>13.531996007984031</v>
      </c>
      <c r="AX74" s="3224"/>
      <c r="AY74" s="6049">
        <v>12.546129032258101</v>
      </c>
      <c r="AZ74" s="2056">
        <f t="shared" si="287"/>
        <v>0</v>
      </c>
      <c r="BA74" s="2056">
        <f t="shared" si="288"/>
        <v>12.647666666666678</v>
      </c>
      <c r="BB74" s="2056">
        <f t="shared" si="289"/>
        <v>2.2691560430032323</v>
      </c>
      <c r="BC74" s="2056">
        <f t="shared" si="292"/>
        <v>12.976181318681324</v>
      </c>
      <c r="BD74" s="6612">
        <f t="shared" si="302"/>
        <v>0.41390748267778815</v>
      </c>
      <c r="BE74" s="7053">
        <f t="shared" si="290"/>
        <v>13.448264840182651</v>
      </c>
    </row>
    <row r="75" spans="1:62" ht="16" x14ac:dyDescent="0.2">
      <c r="A75" s="8985"/>
      <c r="B75" s="1870" t="s">
        <v>1030</v>
      </c>
      <c r="C75" s="1848" t="s">
        <v>1040</v>
      </c>
      <c r="D75" s="3220"/>
      <c r="E75" s="4146">
        <v>69.817499999999995</v>
      </c>
      <c r="F75" s="3220"/>
      <c r="G75" s="1860">
        <v>73.28618279569892</v>
      </c>
      <c r="H75" s="2794">
        <f t="shared" si="272"/>
        <v>0</v>
      </c>
      <c r="I75" s="1871">
        <f t="shared" si="273"/>
        <v>71.580273224043694</v>
      </c>
      <c r="J75" s="3220"/>
      <c r="K75" s="1860">
        <v>84.454277777777776</v>
      </c>
      <c r="L75" s="2055">
        <f t="shared" si="293"/>
        <v>0</v>
      </c>
      <c r="M75" s="2056">
        <f t="shared" si="274"/>
        <v>75.824450549450532</v>
      </c>
      <c r="N75" s="3224">
        <v>123</v>
      </c>
      <c r="O75" s="6049">
        <v>93.462795698924737</v>
      </c>
      <c r="P75" s="2794">
        <f t="shared" si="294"/>
        <v>31.254098360655739</v>
      </c>
      <c r="Q75" s="1871">
        <f t="shared" si="275"/>
        <v>80.306325136612017</v>
      </c>
      <c r="R75" s="3224"/>
      <c r="S75" s="6049">
        <v>98.575483870967744</v>
      </c>
      <c r="T75" s="2794">
        <f t="shared" si="295"/>
        <v>23.312483203439935</v>
      </c>
      <c r="U75" s="1871">
        <f t="shared" si="276"/>
        <v>84.007919389978213</v>
      </c>
      <c r="V75" s="3224"/>
      <c r="W75" s="6049">
        <v>76.932333333333332</v>
      </c>
      <c r="X75" s="2056">
        <f t="shared" si="277"/>
        <v>41.445652173913047</v>
      </c>
      <c r="Y75" s="2056">
        <f t="shared" si="278"/>
        <v>89.795181159420281</v>
      </c>
      <c r="Z75" s="6612">
        <f t="shared" si="296"/>
        <v>17.388819438631426</v>
      </c>
      <c r="AA75" s="7053">
        <f t="shared" si="279"/>
        <v>82.847987249544616</v>
      </c>
      <c r="AB75" s="3224"/>
      <c r="AC75" s="6049">
        <v>83.377688172043008</v>
      </c>
      <c r="AD75" s="2794">
        <f t="shared" si="297"/>
        <v>12.970348925536555</v>
      </c>
      <c r="AE75" s="1871">
        <f t="shared" si="280"/>
        <v>82.924719626168226</v>
      </c>
      <c r="AF75" s="3224"/>
      <c r="AG75" s="6049">
        <v>84.589333333333329</v>
      </c>
      <c r="AH75" s="2794">
        <f t="shared" si="298"/>
        <v>9.6746045264248082</v>
      </c>
      <c r="AI75" s="1871">
        <f t="shared" si="281"/>
        <v>83.129385245901645</v>
      </c>
      <c r="AJ75" s="3224"/>
      <c r="AK75" s="6049">
        <v>96.546774193548387</v>
      </c>
      <c r="AL75" s="2056">
        <f t="shared" si="282"/>
        <v>0</v>
      </c>
      <c r="AM75" s="2056">
        <f t="shared" si="283"/>
        <v>88.210199275362314</v>
      </c>
      <c r="AN75" s="2794">
        <f t="shared" si="299"/>
        <v>7.2163033762676845</v>
      </c>
      <c r="AO75" s="1871">
        <f t="shared" si="284"/>
        <v>84.641890909090904</v>
      </c>
      <c r="AP75" s="3224"/>
      <c r="AQ75" s="6049">
        <v>103.59591397849461</v>
      </c>
      <c r="AR75" s="2794">
        <f t="shared" si="300"/>
        <v>5.3826525183636003</v>
      </c>
      <c r="AS75" s="1871">
        <f t="shared" si="285"/>
        <v>86.562069716775582</v>
      </c>
      <c r="AT75" s="3224"/>
      <c r="AU75" s="6049">
        <v>106.86</v>
      </c>
      <c r="AV75" s="2794">
        <f t="shared" si="301"/>
        <v>4.0149293374679313</v>
      </c>
      <c r="AW75" s="1871">
        <f t="shared" si="286"/>
        <v>88.263692614770434</v>
      </c>
      <c r="AX75" s="3224"/>
      <c r="AY75" s="6049">
        <v>111.78870967741901</v>
      </c>
      <c r="AZ75" s="2056">
        <f t="shared" si="287"/>
        <v>0</v>
      </c>
      <c r="BA75" s="2056">
        <f t="shared" si="288"/>
        <v>107.43337037037026</v>
      </c>
      <c r="BB75" s="2056">
        <f t="shared" si="289"/>
        <v>16.418011369964567</v>
      </c>
      <c r="BC75" s="2056">
        <f t="shared" si="292"/>
        <v>97.716163003662942</v>
      </c>
      <c r="BD75" s="6612">
        <f t="shared" si="302"/>
        <v>2.9947423746687027</v>
      </c>
      <c r="BE75" s="7053">
        <f t="shared" si="290"/>
        <v>90.261707762557037</v>
      </c>
    </row>
    <row r="76" spans="1:62" ht="17" thickBot="1" x14ac:dyDescent="0.25">
      <c r="A76" s="8985"/>
      <c r="B76" s="1872" t="s">
        <v>1031</v>
      </c>
      <c r="C76" s="1849" t="s">
        <v>1040</v>
      </c>
      <c r="D76" s="5213"/>
      <c r="E76" s="4146">
        <v>6.1856666666666662</v>
      </c>
      <c r="F76" s="5455"/>
      <c r="G76" s="1860">
        <v>6.2940860215053762</v>
      </c>
      <c r="H76" s="2794">
        <f t="shared" si="272"/>
        <v>0</v>
      </c>
      <c r="I76" s="1871">
        <f t="shared" si="273"/>
        <v>6.2407650273224045</v>
      </c>
      <c r="J76" s="5790"/>
      <c r="K76" s="1860">
        <v>7.9988888888888887</v>
      </c>
      <c r="L76" s="2055">
        <f t="shared" si="293"/>
        <v>0</v>
      </c>
      <c r="M76" s="2056">
        <f t="shared" si="274"/>
        <v>6.8203663003662998</v>
      </c>
      <c r="N76" s="3232">
        <v>14</v>
      </c>
      <c r="O76" s="6049">
        <v>8.0784946236559136</v>
      </c>
      <c r="P76" s="2794">
        <f t="shared" si="294"/>
        <v>3.557377049180328</v>
      </c>
      <c r="Q76" s="1871">
        <f t="shared" si="275"/>
        <v>7.1400546448087425</v>
      </c>
      <c r="R76" s="3232"/>
      <c r="S76" s="6049">
        <v>8.5086021505376337</v>
      </c>
      <c r="T76" s="2794">
        <f t="shared" si="295"/>
        <v>2.6534533727492611</v>
      </c>
      <c r="U76" s="1871">
        <f t="shared" si="276"/>
        <v>7.4173420479302825</v>
      </c>
      <c r="V76" s="3232"/>
      <c r="W76" s="6049">
        <v>10.272222222222222</v>
      </c>
      <c r="X76" s="2056">
        <f t="shared" si="277"/>
        <v>4.7173913043478262</v>
      </c>
      <c r="Y76" s="2056">
        <f t="shared" si="278"/>
        <v>8.9387681159420307</v>
      </c>
      <c r="Z76" s="6612">
        <f t="shared" si="296"/>
        <v>1.9792152206572355</v>
      </c>
      <c r="AA76" s="7053">
        <f t="shared" si="279"/>
        <v>7.8853551912568305</v>
      </c>
      <c r="AB76" s="3232"/>
      <c r="AC76" s="6049">
        <v>7.5677419354838715</v>
      </c>
      <c r="AD76" s="2794">
        <f t="shared" si="297"/>
        <v>1.4762998777033478</v>
      </c>
      <c r="AE76" s="1871">
        <f t="shared" si="280"/>
        <v>7.8393457943925231</v>
      </c>
      <c r="AF76" s="3232"/>
      <c r="AG76" s="6049">
        <v>7.4222222222222225</v>
      </c>
      <c r="AH76" s="2794">
        <f t="shared" si="298"/>
        <v>1.1011744989426611</v>
      </c>
      <c r="AI76" s="1871">
        <f t="shared" si="281"/>
        <v>7.7880601092896171</v>
      </c>
      <c r="AJ76" s="3232"/>
      <c r="AK76" s="6049">
        <v>7.446881720430107</v>
      </c>
      <c r="AL76" s="2056">
        <f t="shared" si="282"/>
        <v>0</v>
      </c>
      <c r="AM76" s="2056">
        <f t="shared" si="283"/>
        <v>7.4795652173913041</v>
      </c>
      <c r="AN76" s="2794">
        <f t="shared" si="299"/>
        <v>0.82136786396542749</v>
      </c>
      <c r="AO76" s="1871">
        <f t="shared" si="284"/>
        <v>7.7495999999999992</v>
      </c>
      <c r="AP76" s="3232"/>
      <c r="AQ76" s="6049">
        <v>7.5247311827956995</v>
      </c>
      <c r="AR76" s="2794">
        <f t="shared" si="300"/>
        <v>0.61265963623650743</v>
      </c>
      <c r="AS76" s="1871">
        <f t="shared" si="285"/>
        <v>7.7268191721132897</v>
      </c>
      <c r="AT76" s="3232"/>
      <c r="AU76" s="6049">
        <v>7.9</v>
      </c>
      <c r="AV76" s="2794">
        <f t="shared" si="301"/>
        <v>0.4569838270288703</v>
      </c>
      <c r="AW76" s="1871">
        <f t="shared" si="286"/>
        <v>7.741337325349301</v>
      </c>
      <c r="AX76" s="3232"/>
      <c r="AY76" s="6049">
        <v>9.2655913978494606</v>
      </c>
      <c r="AZ76" s="2056">
        <f t="shared" si="287"/>
        <v>0</v>
      </c>
      <c r="BA76" s="2056">
        <f t="shared" si="288"/>
        <v>8.2411111111111115</v>
      </c>
      <c r="BB76" s="2056">
        <f t="shared" si="289"/>
        <v>1.86871674129678</v>
      </c>
      <c r="BC76" s="2056">
        <f t="shared" si="292"/>
        <v>7.8561538461538474</v>
      </c>
      <c r="BD76" s="6612">
        <f t="shared" si="302"/>
        <v>0.34086498573464913</v>
      </c>
      <c r="BE76" s="7053">
        <f t="shared" si="290"/>
        <v>7.8707945205479444</v>
      </c>
    </row>
    <row r="77" spans="1:62" ht="19" thickBot="1" x14ac:dyDescent="0.25">
      <c r="B77" s="1879" t="s">
        <v>15</v>
      </c>
      <c r="C77" s="1850" t="s">
        <v>1040</v>
      </c>
      <c r="D77" s="5280">
        <f t="shared" ref="D77:I77" si="303">SUM(D70:D76)</f>
        <v>0</v>
      </c>
      <c r="E77" s="2724">
        <f t="shared" si="303"/>
        <v>129.47755555555554</v>
      </c>
      <c r="F77" s="5280">
        <f t="shared" ref="F77" si="304">SUM(F70:F76)</f>
        <v>0</v>
      </c>
      <c r="G77" s="1865">
        <f t="shared" si="303"/>
        <v>135.55862903225804</v>
      </c>
      <c r="H77" s="2937">
        <f t="shared" si="303"/>
        <v>0</v>
      </c>
      <c r="I77" s="1874">
        <f t="shared" si="303"/>
        <v>132.56793715846993</v>
      </c>
      <c r="J77" s="5280">
        <f t="shared" ref="J77" si="305">SUM(J70:J76)</f>
        <v>0</v>
      </c>
      <c r="K77" s="1865">
        <f t="shared" ref="K77:M77" si="306">SUM(K70:K76)</f>
        <v>146.76916666666668</v>
      </c>
      <c r="L77" s="2057">
        <f t="shared" si="306"/>
        <v>0</v>
      </c>
      <c r="M77" s="2058">
        <f t="shared" si="306"/>
        <v>137.24966117216115</v>
      </c>
      <c r="N77" s="2827">
        <f t="shared" ref="N77:Q77" si="307">SUM(N70:N76)</f>
        <v>207</v>
      </c>
      <c r="O77" s="6241">
        <f t="shared" si="307"/>
        <v>152.55387096774194</v>
      </c>
      <c r="P77" s="2937">
        <f t="shared" si="307"/>
        <v>52.598360655737707</v>
      </c>
      <c r="Q77" s="1874">
        <f t="shared" si="307"/>
        <v>141.13843579234972</v>
      </c>
      <c r="R77" s="2827">
        <f t="shared" ref="R77:U77" si="308">SUM(R70:R76)</f>
        <v>0</v>
      </c>
      <c r="S77" s="6241">
        <f t="shared" si="308"/>
        <v>161.60354838709677</v>
      </c>
      <c r="T77" s="2937">
        <f t="shared" si="308"/>
        <v>39.233203439935501</v>
      </c>
      <c r="U77" s="1874">
        <f t="shared" si="308"/>
        <v>145.28496187363834</v>
      </c>
      <c r="V77" s="2827">
        <f t="shared" ref="V77:AI77" si="309">SUM(V70:V76)</f>
        <v>0</v>
      </c>
      <c r="W77" s="6241">
        <f t="shared" si="309"/>
        <v>135.57319444444443</v>
      </c>
      <c r="X77" s="2057">
        <f t="shared" si="309"/>
        <v>69.75</v>
      </c>
      <c r="Y77" s="2058">
        <f t="shared" si="309"/>
        <v>150.06604166666665</v>
      </c>
      <c r="Z77" s="6538">
        <f t="shared" si="309"/>
        <v>29.264110762574838</v>
      </c>
      <c r="AA77" s="7091">
        <f t="shared" si="309"/>
        <v>143.69286885245899</v>
      </c>
      <c r="AB77" s="2827">
        <f t="shared" si="309"/>
        <v>0</v>
      </c>
      <c r="AC77" s="6241">
        <f t="shared" si="309"/>
        <v>142.06838709677419</v>
      </c>
      <c r="AD77" s="2937">
        <f t="shared" si="309"/>
        <v>21.82814819175664</v>
      </c>
      <c r="AE77" s="1874">
        <f t="shared" si="309"/>
        <v>143.45754672897198</v>
      </c>
      <c r="AF77" s="2827">
        <f t="shared" si="309"/>
        <v>0</v>
      </c>
      <c r="AG77" s="6241">
        <f t="shared" si="309"/>
        <v>139.65766666666667</v>
      </c>
      <c r="AH77" s="2937">
        <f t="shared" si="309"/>
        <v>16.281651520080775</v>
      </c>
      <c r="AI77" s="1874">
        <f t="shared" si="309"/>
        <v>142.99034836065573</v>
      </c>
      <c r="AJ77" s="2827">
        <f t="shared" ref="AJ77:AO77" si="310">SUM(AJ70:AJ76)</f>
        <v>0</v>
      </c>
      <c r="AK77" s="6241">
        <f t="shared" si="310"/>
        <v>153.13118279569892</v>
      </c>
      <c r="AL77" s="2057">
        <f t="shared" si="310"/>
        <v>0</v>
      </c>
      <c r="AM77" s="2058">
        <f t="shared" si="310"/>
        <v>145.00996376811594</v>
      </c>
      <c r="AN77" s="2937">
        <f t="shared" si="310"/>
        <v>12.144510560060251</v>
      </c>
      <c r="AO77" s="1874">
        <f t="shared" si="310"/>
        <v>144.13349696969695</v>
      </c>
      <c r="AP77" s="2827">
        <f t="shared" ref="AP77:AS77" si="311">SUM(AP70:AP76)</f>
        <v>0</v>
      </c>
      <c r="AQ77" s="6241">
        <f t="shared" si="311"/>
        <v>164.67091397849461</v>
      </c>
      <c r="AR77" s="2937">
        <f t="shared" si="311"/>
        <v>9.058610335782646</v>
      </c>
      <c r="AS77" s="1874">
        <f t="shared" si="311"/>
        <v>146.21408496732025</v>
      </c>
      <c r="AT77" s="2827">
        <f t="shared" ref="AT77:AW77" si="312">SUM(AT70:AT76)</f>
        <v>0</v>
      </c>
      <c r="AU77" s="6241">
        <f t="shared" si="312"/>
        <v>166.45000000000002</v>
      </c>
      <c r="AV77" s="2937">
        <f t="shared" si="312"/>
        <v>6.756832299641153</v>
      </c>
      <c r="AW77" s="1874">
        <f t="shared" si="312"/>
        <v>147.91050898203591</v>
      </c>
      <c r="AX77" s="2827">
        <f t="shared" ref="AX77:BE77" si="313">SUM(AX70:AX76)</f>
        <v>0</v>
      </c>
      <c r="AY77" s="6241">
        <f t="shared" si="313"/>
        <v>175.95247311827924</v>
      </c>
      <c r="AZ77" s="2057">
        <f t="shared" si="313"/>
        <v>0</v>
      </c>
      <c r="BA77" s="2058">
        <f t="shared" si="313"/>
        <v>169.11027777777767</v>
      </c>
      <c r="BB77" s="2057">
        <f t="shared" ref="BB77:BC77" si="314">SUM(BB70:BB76)</f>
        <v>27.630311817745245</v>
      </c>
      <c r="BC77" s="2058">
        <f t="shared" si="314"/>
        <v>156.92770146520144</v>
      </c>
      <c r="BD77" s="6538">
        <f t="shared" si="313"/>
        <v>5.0399322890765976</v>
      </c>
      <c r="BE77" s="7091">
        <f t="shared" si="313"/>
        <v>150.29215525114151</v>
      </c>
      <c r="BJ77" s="7808"/>
    </row>
    <row r="78" spans="1:62" ht="18" x14ac:dyDescent="0.2">
      <c r="B78" s="1880" t="s">
        <v>1035</v>
      </c>
      <c r="C78" s="1864"/>
      <c r="D78" s="5150"/>
      <c r="E78" s="5150"/>
      <c r="F78" s="5150"/>
      <c r="G78" s="5150"/>
      <c r="H78" s="5150"/>
      <c r="I78" s="5150"/>
      <c r="J78" s="5150"/>
      <c r="K78" s="5150"/>
      <c r="L78" s="5150"/>
      <c r="M78" s="5150"/>
      <c r="N78" s="5150"/>
      <c r="O78" s="5150"/>
      <c r="P78" s="5150"/>
      <c r="Q78" s="5150"/>
      <c r="R78" s="5150"/>
      <c r="S78" s="5150"/>
      <c r="T78" s="5150"/>
      <c r="U78" s="5150"/>
      <c r="V78" s="5150"/>
      <c r="W78" s="5150"/>
      <c r="X78" s="5150"/>
      <c r="Y78" s="5150"/>
      <c r="Z78" s="5150"/>
      <c r="AA78" s="5150"/>
      <c r="AB78" s="5150"/>
      <c r="AC78" s="5150"/>
      <c r="AD78" s="5150"/>
      <c r="AE78" s="5150"/>
      <c r="AF78" s="5150"/>
      <c r="AG78" s="5150"/>
      <c r="AH78" s="5150"/>
      <c r="AI78" s="5150"/>
      <c r="AJ78" s="5150"/>
      <c r="AK78" s="5150"/>
      <c r="AL78" s="5150"/>
      <c r="AM78" s="5150"/>
      <c r="AN78" s="5150"/>
      <c r="AO78" s="5150"/>
      <c r="AP78" s="5150"/>
      <c r="AQ78" s="5150"/>
      <c r="AR78" s="5150"/>
      <c r="AS78" s="5150"/>
      <c r="AT78" s="5150"/>
      <c r="AU78" s="5150"/>
      <c r="AV78" s="5150"/>
      <c r="AW78" s="5150"/>
      <c r="AX78" s="5150"/>
      <c r="AY78" s="5150"/>
      <c r="AZ78" s="5150"/>
      <c r="BA78" s="5150"/>
      <c r="BB78" s="5150"/>
      <c r="BC78" s="5150"/>
      <c r="BD78" s="5150"/>
      <c r="BE78" s="5150"/>
    </row>
    <row r="79" spans="1:62" ht="16" x14ac:dyDescent="0.2">
      <c r="B79" s="1870" t="s">
        <v>1413</v>
      </c>
      <c r="C79" s="1848" t="s">
        <v>1040</v>
      </c>
      <c r="D79" s="3220"/>
      <c r="E79" s="2723">
        <v>0</v>
      </c>
      <c r="F79" s="3220"/>
      <c r="G79" s="2339">
        <v>0</v>
      </c>
      <c r="H79" s="2794">
        <f t="shared" ref="H79:H80" si="315">+((D79*$D$2)+(F79*$F$2))/$H$2</f>
        <v>0</v>
      </c>
      <c r="I79" s="1871">
        <f t="shared" ref="I79:I80" si="316">+((E79*E$2)+(G$2*G79))/I$2</f>
        <v>0</v>
      </c>
      <c r="J79" s="3220"/>
      <c r="K79" s="2339">
        <v>0</v>
      </c>
      <c r="L79" s="2055">
        <f>+((H79*$H$2)+(J79*$J$2))/$L$2</f>
        <v>0</v>
      </c>
      <c r="M79" s="2056">
        <f t="shared" ref="M79:M80" si="317">+((I79*I$2)+(K$2*K79))/M$2</f>
        <v>0</v>
      </c>
      <c r="N79" s="2706">
        <v>0</v>
      </c>
      <c r="O79" s="6049">
        <v>0</v>
      </c>
      <c r="P79" s="2794">
        <f>+((L79*$L$2)+(N79*$N$2))/$P$2</f>
        <v>0</v>
      </c>
      <c r="Q79" s="1871">
        <f t="shared" ref="Q79:Q80" si="318">+((M79*M$2)+(O$2*O79))/Q$2</f>
        <v>0</v>
      </c>
      <c r="R79" s="2706"/>
      <c r="S79" s="6049">
        <v>0</v>
      </c>
      <c r="T79" s="2794">
        <f>+((P79*$L$2)+(R79*$N$2))/$P$2</f>
        <v>0</v>
      </c>
      <c r="U79" s="1871">
        <f t="shared" ref="U79:U80" si="319">+((Q79*Q$2)+(S$2*S79))/U$2</f>
        <v>0</v>
      </c>
      <c r="V79" s="2706"/>
      <c r="W79" s="6049">
        <v>0</v>
      </c>
      <c r="X79" s="2055">
        <f>+((T79*$H$2)+(V79*$J$2))/$L$2</f>
        <v>0</v>
      </c>
      <c r="Y79" s="2056">
        <f t="shared" ref="Y79:Y80" si="320">+((O79*O$2)+(S79*S$2)+(W$2*W79))/Y$2</f>
        <v>0</v>
      </c>
      <c r="Z79" s="6612">
        <f>+((T79*$L$2)+(V79*$N$2))/$P$2</f>
        <v>0</v>
      </c>
      <c r="AA79" s="7053">
        <f t="shared" ref="AA79:AA80" si="321">+((U79*U$2)+(W$2*W79))/AA$2</f>
        <v>0</v>
      </c>
      <c r="AB79" s="2706"/>
      <c r="AC79" s="6049">
        <v>0</v>
      </c>
      <c r="AD79" s="2794">
        <f>+((Z79*$L$2)+(AB79*$N$2))/$P$2</f>
        <v>0</v>
      </c>
      <c r="AE79" s="1871">
        <f t="shared" ref="AE79:AE80" si="322">+((AA79*AA$2)+(AC$2*AC79))/AE$2</f>
        <v>0</v>
      </c>
      <c r="AF79" s="2706"/>
      <c r="AG79" s="6049">
        <v>0</v>
      </c>
      <c r="AH79" s="2794">
        <f>+((AD79*$L$2)+(AF79*$N$2))/$P$2</f>
        <v>0</v>
      </c>
      <c r="AI79" s="1871">
        <f t="shared" ref="AI79:AI80" si="323">+((AE79*AE$2)+(AG$2*AG79))/AI$2</f>
        <v>0</v>
      </c>
      <c r="AJ79" s="2706"/>
      <c r="AK79" s="6049">
        <v>0</v>
      </c>
      <c r="AL79" s="2055">
        <f>+((AH79*$H$2)+(AJ79*$J$2))/$L$2</f>
        <v>0</v>
      </c>
      <c r="AM79" s="2056">
        <f t="shared" ref="AM79:AM80" si="324">+((AC79*AC$2)+(AG79*AG$2)+(AK$2*AK79))/AM$2</f>
        <v>0</v>
      </c>
      <c r="AN79" s="2794">
        <f>+((AH79*$L$2)+(AJ79*$N$2))/$P$2</f>
        <v>0</v>
      </c>
      <c r="AO79" s="1871">
        <f t="shared" ref="AO79:AO80" si="325">+((AI79*AI$2)+(AK$2*AK79))/AO$2</f>
        <v>0</v>
      </c>
      <c r="AP79" s="2706"/>
      <c r="AQ79" s="6049">
        <v>0</v>
      </c>
      <c r="AR79" s="2794">
        <f>+((AN79*$L$2)+(AP79*$N$2))/$P$2</f>
        <v>0</v>
      </c>
      <c r="AS79" s="1871">
        <f t="shared" ref="AS79:AS80" si="326">+((AO79*AO$2)+(AQ$2*AQ79))/AS$2</f>
        <v>0</v>
      </c>
      <c r="AT79" s="2706"/>
      <c r="AU79" s="6049">
        <v>0</v>
      </c>
      <c r="AV79" s="2794">
        <f>+((AR79*$L$2)+(AT79*$N$2))/$P$2</f>
        <v>0</v>
      </c>
      <c r="AW79" s="1871">
        <f t="shared" ref="AW79:AW80" si="327">+((AS79*AS$2)+(AU$2*AU79))/AW$2</f>
        <v>0</v>
      </c>
      <c r="AX79" s="2706"/>
      <c r="AY79" s="6049">
        <v>0</v>
      </c>
      <c r="AZ79" s="2055">
        <f>+((AV79*$H$2)+(AX79*$J$2))/$L$2</f>
        <v>0</v>
      </c>
      <c r="BA79" s="2056">
        <f t="shared" ref="BA79:BA80" si="328">+((AQ79*AQ$2)+(AU79*AU$2)+(AY$2*AY79))/BA$2</f>
        <v>0</v>
      </c>
      <c r="BB79" s="2055">
        <f>+((AX79*$H$2)+(AZ79*$J$2))/$L$2</f>
        <v>0</v>
      </c>
      <c r="BC79" s="2056">
        <f t="shared" ref="BC79:BC80" si="329">+((AM79*AM$2)+(BA$2*BA79))/BC$2</f>
        <v>0</v>
      </c>
      <c r="BD79" s="6612">
        <f>+((AV79*$L$2)+(AX79*$N$2))/$P$2</f>
        <v>0</v>
      </c>
      <c r="BE79" s="7053">
        <f t="shared" ref="BE79:BE80" si="330">+((AW79*AW$2)+(AY$2*AY79))/BE$2</f>
        <v>0</v>
      </c>
    </row>
    <row r="80" spans="1:62" ht="17" thickBot="1" x14ac:dyDescent="0.25">
      <c r="B80" s="1872" t="s">
        <v>1034</v>
      </c>
      <c r="C80" s="1849" t="s">
        <v>1040</v>
      </c>
      <c r="D80" s="5213"/>
      <c r="E80" s="2723">
        <v>157.5551111111111</v>
      </c>
      <c r="F80" s="5455"/>
      <c r="G80" s="1860">
        <v>155.70537634408603</v>
      </c>
      <c r="H80" s="2794">
        <f t="shared" si="315"/>
        <v>0</v>
      </c>
      <c r="I80" s="1871">
        <f t="shared" si="316"/>
        <v>156.61508196721311</v>
      </c>
      <c r="J80" s="5790"/>
      <c r="K80" s="1860">
        <v>153.45527777777778</v>
      </c>
      <c r="L80" s="2055">
        <f>+((H80*$H$2)+(J80*$J$2))/$L$2</f>
        <v>0</v>
      </c>
      <c r="M80" s="2056">
        <f t="shared" si="317"/>
        <v>155.57338827838828</v>
      </c>
      <c r="N80" s="3232">
        <v>165.58294000000001</v>
      </c>
      <c r="O80" s="6049">
        <v>156.23413978494622</v>
      </c>
      <c r="P80" s="2794">
        <f>+((L80*$L$2)+(N80*$N$2))/$P$2</f>
        <v>42.074353606557381</v>
      </c>
      <c r="Q80" s="1871">
        <f t="shared" si="318"/>
        <v>155.74128415300547</v>
      </c>
      <c r="R80" s="3232"/>
      <c r="S80" s="6049">
        <v>154.33776881720431</v>
      </c>
      <c r="T80" s="2794">
        <f>+((P80*$L$2)+(R80*$N$2))/$P$2</f>
        <v>31.383329329481327</v>
      </c>
      <c r="U80" s="1871">
        <f t="shared" si="319"/>
        <v>155.45691176470589</v>
      </c>
      <c r="V80" s="3232"/>
      <c r="W80" s="6049">
        <v>145.43194444444444</v>
      </c>
      <c r="X80" s="2055">
        <f>+((T80*$H$2)+(V80*$J$2))/$L$2</f>
        <v>21.03717680327869</v>
      </c>
      <c r="Y80" s="2056">
        <f t="shared" si="320"/>
        <v>152.07269021739131</v>
      </c>
      <c r="Z80" s="6612">
        <f>+((T80*$L$2)+(V80*$N$2))/$P$2</f>
        <v>23.408876794940991</v>
      </c>
      <c r="AA80" s="7053">
        <f t="shared" si="321"/>
        <v>153.81347449908927</v>
      </c>
      <c r="AB80" s="3232"/>
      <c r="AC80" s="6049">
        <v>155.26075268817203</v>
      </c>
      <c r="AD80" s="2794">
        <f>+((Z80*$L$2)+(AB80*$N$2))/$P$2</f>
        <v>17.460719576554343</v>
      </c>
      <c r="AE80" s="1871">
        <f t="shared" si="322"/>
        <v>154.02312694704054</v>
      </c>
      <c r="AF80" s="3232"/>
      <c r="AG80" s="6049">
        <v>156.00694444444446</v>
      </c>
      <c r="AH80" s="2794">
        <f>+((AD80*$L$2)+(AF80*$N$2))/$P$2</f>
        <v>13.023979356282338</v>
      </c>
      <c r="AI80" s="1871">
        <f t="shared" si="323"/>
        <v>154.26703893442627</v>
      </c>
      <c r="AJ80" s="3232"/>
      <c r="AK80" s="6049">
        <v>157.51908602150536</v>
      </c>
      <c r="AL80" s="2055">
        <f>+((AH80*$H$2)+(AJ80*$J$2))/$L$2</f>
        <v>8.7303597882771715</v>
      </c>
      <c r="AM80" s="2056">
        <f t="shared" si="324"/>
        <v>156.26503623188407</v>
      </c>
      <c r="AN80" s="2794">
        <f>+((AH80*$L$2)+(AJ80*$N$2))/$P$2</f>
        <v>9.7146075526368261</v>
      </c>
      <c r="AO80" s="1871">
        <f t="shared" si="325"/>
        <v>154.63363333333336</v>
      </c>
      <c r="AP80" s="3232"/>
      <c r="AQ80" s="6049">
        <v>164.53255376344089</v>
      </c>
      <c r="AR80" s="2794">
        <f>+((AN80*$L$2)+(AP80*$N$2))/$P$2</f>
        <v>7.2461416990979606</v>
      </c>
      <c r="AS80" s="1871">
        <f t="shared" si="326"/>
        <v>155.63646514161223</v>
      </c>
      <c r="AT80" s="3232"/>
      <c r="AU80" s="6049">
        <v>177.25</v>
      </c>
      <c r="AV80" s="2794">
        <f>+((AR80*$L$2)+(AT80*$N$2))/$P$2</f>
        <v>5.4049089722779868</v>
      </c>
      <c r="AW80" s="1871">
        <f t="shared" si="327"/>
        <v>157.44837824351302</v>
      </c>
      <c r="AX80" s="3232"/>
      <c r="AY80" s="6049">
        <v>158.03903225806499</v>
      </c>
      <c r="AZ80" s="2055">
        <f>+((AV80*$H$2)+(AX80*$J$2))/$L$2</f>
        <v>3.6230708495489803</v>
      </c>
      <c r="BA80" s="2056">
        <f t="shared" si="328"/>
        <v>166.25243518518533</v>
      </c>
      <c r="BB80" s="2055">
        <f>+((AX80*$H$2)+(AZ80*$J$2))/$L$2</f>
        <v>1.1944189613897738</v>
      </c>
      <c r="BC80" s="2056">
        <f t="shared" si="329"/>
        <v>161.20385989010998</v>
      </c>
      <c r="BD80" s="6612">
        <f>+((AV80*$L$2)+(AX80*$N$2))/$P$2</f>
        <v>4.0315304629286626</v>
      </c>
      <c r="BE80" s="7053">
        <f t="shared" si="330"/>
        <v>157.49854337899549</v>
      </c>
    </row>
    <row r="81" spans="1:61" ht="19" thickBot="1" x14ac:dyDescent="0.25">
      <c r="A81" s="3380"/>
      <c r="B81" s="1881" t="s">
        <v>15</v>
      </c>
      <c r="C81" s="1867" t="s">
        <v>1040</v>
      </c>
      <c r="D81" s="5280">
        <f t="shared" ref="D81:I81" si="331">SUM(D79:D80)</f>
        <v>0</v>
      </c>
      <c r="E81" s="2724">
        <f t="shared" si="331"/>
        <v>157.5551111111111</v>
      </c>
      <c r="F81" s="5280">
        <f t="shared" ref="F81" si="332">SUM(F79:F80)</f>
        <v>0</v>
      </c>
      <c r="G81" s="1865">
        <f t="shared" si="331"/>
        <v>155.70537634408603</v>
      </c>
      <c r="H81" s="2937">
        <f t="shared" si="331"/>
        <v>0</v>
      </c>
      <c r="I81" s="1874">
        <f t="shared" si="331"/>
        <v>156.61508196721311</v>
      </c>
      <c r="J81" s="5280">
        <f t="shared" ref="J81" si="333">SUM(J79:J80)</f>
        <v>0</v>
      </c>
      <c r="K81" s="1865">
        <f t="shared" ref="K81:M81" si="334">SUM(K79:K80)</f>
        <v>153.45527777777778</v>
      </c>
      <c r="L81" s="2057">
        <f t="shared" si="334"/>
        <v>0</v>
      </c>
      <c r="M81" s="2058">
        <f t="shared" si="334"/>
        <v>155.57338827838828</v>
      </c>
      <c r="N81" s="2827">
        <f t="shared" ref="N81:Q81" si="335">SUM(N79:N80)</f>
        <v>165.58294000000001</v>
      </c>
      <c r="O81" s="1865">
        <f t="shared" si="335"/>
        <v>156.23413978494622</v>
      </c>
      <c r="P81" s="2937">
        <f t="shared" si="335"/>
        <v>42.074353606557381</v>
      </c>
      <c r="Q81" s="1874">
        <f t="shared" si="335"/>
        <v>155.74128415300547</v>
      </c>
      <c r="R81" s="2827">
        <f t="shared" ref="R81:U81" si="336">SUM(R79:R80)</f>
        <v>0</v>
      </c>
      <c r="S81" s="1865">
        <f t="shared" si="336"/>
        <v>154.33776881720431</v>
      </c>
      <c r="T81" s="2937">
        <f t="shared" si="336"/>
        <v>31.383329329481327</v>
      </c>
      <c r="U81" s="1874">
        <f t="shared" si="336"/>
        <v>155.45691176470589</v>
      </c>
      <c r="V81" s="2827">
        <f t="shared" ref="V81:AI81" si="337">SUM(V79:V80)</f>
        <v>0</v>
      </c>
      <c r="W81" s="1865">
        <f t="shared" si="337"/>
        <v>145.43194444444444</v>
      </c>
      <c r="X81" s="2057">
        <f t="shared" si="337"/>
        <v>21.03717680327869</v>
      </c>
      <c r="Y81" s="2058">
        <f t="shared" si="337"/>
        <v>152.07269021739131</v>
      </c>
      <c r="Z81" s="6538">
        <f t="shared" si="337"/>
        <v>23.408876794940991</v>
      </c>
      <c r="AA81" s="7091">
        <f t="shared" si="337"/>
        <v>153.81347449908927</v>
      </c>
      <c r="AB81" s="2827">
        <f t="shared" si="337"/>
        <v>0</v>
      </c>
      <c r="AC81" s="1865">
        <f t="shared" si="337"/>
        <v>155.26075268817203</v>
      </c>
      <c r="AD81" s="2937">
        <f t="shared" si="337"/>
        <v>17.460719576554343</v>
      </c>
      <c r="AE81" s="1874">
        <f t="shared" si="337"/>
        <v>154.02312694704054</v>
      </c>
      <c r="AF81" s="2827">
        <f t="shared" si="337"/>
        <v>0</v>
      </c>
      <c r="AG81" s="1865">
        <f t="shared" si="337"/>
        <v>156.00694444444446</v>
      </c>
      <c r="AH81" s="2937">
        <f t="shared" si="337"/>
        <v>13.023979356282338</v>
      </c>
      <c r="AI81" s="1874">
        <f t="shared" si="337"/>
        <v>154.26703893442627</v>
      </c>
      <c r="AJ81" s="2827">
        <f t="shared" ref="AJ81:AO81" si="338">SUM(AJ79:AJ80)</f>
        <v>0</v>
      </c>
      <c r="AK81" s="1865">
        <f t="shared" si="338"/>
        <v>157.51908602150536</v>
      </c>
      <c r="AL81" s="2057">
        <f t="shared" si="338"/>
        <v>8.7303597882771715</v>
      </c>
      <c r="AM81" s="2058">
        <f t="shared" si="338"/>
        <v>156.26503623188407</v>
      </c>
      <c r="AN81" s="2937">
        <f t="shared" si="338"/>
        <v>9.7146075526368261</v>
      </c>
      <c r="AO81" s="1874">
        <f t="shared" si="338"/>
        <v>154.63363333333336</v>
      </c>
      <c r="AP81" s="2827">
        <f t="shared" ref="AP81:AS81" si="339">SUM(AP79:AP80)</f>
        <v>0</v>
      </c>
      <c r="AQ81" s="1865">
        <f t="shared" si="339"/>
        <v>164.53255376344089</v>
      </c>
      <c r="AR81" s="2937">
        <f t="shared" si="339"/>
        <v>7.2461416990979606</v>
      </c>
      <c r="AS81" s="1874">
        <f t="shared" si="339"/>
        <v>155.63646514161223</v>
      </c>
      <c r="AT81" s="2827">
        <f t="shared" ref="AT81:AW81" si="340">SUM(AT79:AT80)</f>
        <v>0</v>
      </c>
      <c r="AU81" s="1865">
        <f t="shared" si="340"/>
        <v>177.25</v>
      </c>
      <c r="AV81" s="2937">
        <f t="shared" si="340"/>
        <v>5.4049089722779868</v>
      </c>
      <c r="AW81" s="1874">
        <f t="shared" si="340"/>
        <v>157.44837824351302</v>
      </c>
      <c r="AX81" s="2827">
        <f t="shared" ref="AX81:BE81" si="341">SUM(AX79:AX80)</f>
        <v>0</v>
      </c>
      <c r="AY81" s="1865">
        <f t="shared" si="341"/>
        <v>158.03903225806499</v>
      </c>
      <c r="AZ81" s="2057">
        <f t="shared" si="341"/>
        <v>3.6230708495489803</v>
      </c>
      <c r="BA81" s="2058">
        <f t="shared" si="341"/>
        <v>166.25243518518533</v>
      </c>
      <c r="BB81" s="2057">
        <f t="shared" ref="BB81:BC81" si="342">SUM(BB79:BB80)</f>
        <v>1.1944189613897738</v>
      </c>
      <c r="BC81" s="2058">
        <f t="shared" si="342"/>
        <v>161.20385989010998</v>
      </c>
      <c r="BD81" s="6538">
        <f t="shared" si="341"/>
        <v>4.0315304629286626</v>
      </c>
      <c r="BE81" s="7091">
        <f t="shared" si="341"/>
        <v>157.49854337899549</v>
      </c>
      <c r="BI81" s="7808"/>
    </row>
    <row r="82" spans="1:61" x14ac:dyDescent="0.2">
      <c r="A82" s="3380"/>
      <c r="B82" s="1776" t="s">
        <v>224</v>
      </c>
      <c r="C82" s="1639" t="s">
        <v>797</v>
      </c>
      <c r="D82" s="3238"/>
      <c r="E82" s="5818">
        <f>+(9583)/24/E$2</f>
        <v>13.309722222222224</v>
      </c>
      <c r="F82" s="3238"/>
      <c r="G82" s="5818">
        <f>+(10243)/24/G$2</f>
        <v>13.76747311827957</v>
      </c>
      <c r="H82" s="2975">
        <f>+((D82*$D$2)+(F82*$F$2))/$H$2</f>
        <v>0</v>
      </c>
      <c r="I82" s="1871">
        <f t="shared" ref="I82:I85" si="343">+((E82*E$2)+(G$2*G82))/I$2</f>
        <v>13.542349726775956</v>
      </c>
      <c r="J82" s="3238"/>
      <c r="K82" s="5818">
        <f>+(10738)/24/K$2</f>
        <v>14.91388888888889</v>
      </c>
      <c r="L82" s="2028">
        <f>+((H82*$H$2)+(J82*$J$2))/$L$2</f>
        <v>0</v>
      </c>
      <c r="M82" s="2056">
        <f t="shared" ref="M82:M85" si="344">+((I82*I$2)+(K$2*K82))/M$2</f>
        <v>13.994505494505495</v>
      </c>
      <c r="N82" s="3442">
        <v>16.926845632101092</v>
      </c>
      <c r="O82" s="5818">
        <f>+(12069.28)/24/O$2</f>
        <v>16.222150537634409</v>
      </c>
      <c r="P82" s="2975">
        <f>+((L82*$L$2)+(N82*$N$2))/$P$2</f>
        <v>4.3010837261896224</v>
      </c>
      <c r="Q82" s="1871">
        <f t="shared" ref="Q82:Q85" si="345">+((M82*M$2)+(O$2*O82))/Q$2</f>
        <v>14.560546448087432</v>
      </c>
      <c r="R82" s="3442"/>
      <c r="S82" s="5818">
        <f>+(12387.38)/24/S$2</f>
        <v>16.649704301075268</v>
      </c>
      <c r="T82" s="2975">
        <f>+((P82*$L$2)+(R82*$N$2))/$P$2</f>
        <v>3.2081854023217677</v>
      </c>
      <c r="U82" s="1871">
        <f t="shared" ref="U82:U85" si="346">+((Q82*Q$2)+(S$2*S82))/U$2</f>
        <v>14.983839869281047</v>
      </c>
      <c r="V82" s="3442"/>
      <c r="W82" s="5818">
        <f>+(10434.96)/24/W$2</f>
        <v>14.492999999999999</v>
      </c>
      <c r="X82" s="2028">
        <f>+((T82*$H$2)+(V82*$J$2))/$L$2</f>
        <v>2.1505418630948112</v>
      </c>
      <c r="Y82" s="2056">
        <f t="shared" ref="Y82:Y85" si="347">+((O82*O$2)+(S82*S$2)+(W$2*W82))/Y$2</f>
        <v>15.802364130434782</v>
      </c>
      <c r="Z82" s="6687">
        <f>+((T82*$L$2)+(V82*$N$2))/$P$2</f>
        <v>2.392990750912138</v>
      </c>
      <c r="AA82" s="7053">
        <f t="shared" ref="AA82:AA85" si="348">+((U82*U$2)+(W$2*W82))/AA$2</f>
        <v>14.903374316939891</v>
      </c>
      <c r="AB82" s="3442"/>
      <c r="AC82" s="5818">
        <f>+(11634)/24/AC$2</f>
        <v>15.637096774193548</v>
      </c>
      <c r="AD82" s="2975">
        <f>+((Z82*$L$2)+(AB82*$N$2))/$P$2</f>
        <v>1.7849357240410209</v>
      </c>
      <c r="AE82" s="1871">
        <f t="shared" ref="AE82:AE85" si="349">+((AA82*AA$2)+(AC$2*AC82))/AE$2</f>
        <v>15.009661214953271</v>
      </c>
      <c r="AF82" s="3442"/>
      <c r="AG82" s="5818">
        <f>+(11474.88)/24/AG$2</f>
        <v>15.937333333333331</v>
      </c>
      <c r="AH82" s="2975">
        <f>+((AD82*$L$2)+(AF82*$N$2))/$P$2</f>
        <v>1.3313864826863353</v>
      </c>
      <c r="AI82" s="1871">
        <f t="shared" ref="AI82:AI85" si="350">+((AE82*AE$2)+(AG$2*AG82))/AI$2</f>
        <v>15.123719262295081</v>
      </c>
      <c r="AJ82" s="3442"/>
      <c r="AK82" s="5818">
        <f>+(11845.53)/24/AK$2</f>
        <v>15.921411290322581</v>
      </c>
      <c r="AL82" s="2028">
        <f>+((AH82*$H$2)+(AJ82*$J$2))/$L$2</f>
        <v>0.89246786202051043</v>
      </c>
      <c r="AM82" s="2056">
        <f t="shared" ref="AM82:AM85" si="351">+((AC82*AC$2)+(AG82*AG$2)+(AK$2*AK82))/AM$2</f>
        <v>15.830801630434781</v>
      </c>
      <c r="AN82" s="2975">
        <f>+((AH82*$L$2)+(AJ82*$N$2))/$P$2</f>
        <v>0.99308336003652875</v>
      </c>
      <c r="AO82" s="1871">
        <f t="shared" ref="AO82:AO85" si="352">+((AI82*AI$2)+(AK$2*AK82))/AO$2</f>
        <v>15.213640909090911</v>
      </c>
      <c r="AP82" s="3442"/>
      <c r="AQ82" s="5818">
        <f>+(11789.24)/24/AQ$2</f>
        <v>15.845752688172043</v>
      </c>
      <c r="AR82" s="2975">
        <f>+((AN82*$L$2)+(AP82*$N$2))/$P$2</f>
        <v>0.74074250625675508</v>
      </c>
      <c r="AS82" s="1871">
        <f t="shared" ref="AS82:AS85" si="353">+((AO82*AO$2)+(AQ$2*AQ82))/AS$2</f>
        <v>15.277678376906319</v>
      </c>
      <c r="AT82" s="3442"/>
      <c r="AU82" s="5818">
        <f>+EMD!AU25/(24*PBS!$AU$2)</f>
        <v>15.325892857142858</v>
      </c>
      <c r="AV82" s="2975">
        <f>+((AR82*$L$2)+(AT82*$N$2))/$P$2</f>
        <v>0.55252104974889105</v>
      </c>
      <c r="AW82" s="1871">
        <f t="shared" ref="AW82:AW85" si="354">+((AS82*AS$2)+(AU$2*AU82))/AW$2</f>
        <v>15.281720309381239</v>
      </c>
      <c r="AX82" s="3442"/>
      <c r="AY82" s="5818">
        <f>+EMD!AY25/(24*PBS!$AU$2)</f>
        <v>16.672470238095237</v>
      </c>
      <c r="AZ82" s="2028">
        <f>+((AV82*$H$2)+(AX82*$J$2))/$L$2</f>
        <v>0.37037125312837754</v>
      </c>
      <c r="BA82" s="2056">
        <f t="shared" ref="BA82:BA85" si="355">+((AQ82*AQ$2)+(AU82*AU$2)+(AY$2*AY82))/BA$2</f>
        <v>15.968776785714285</v>
      </c>
      <c r="BB82" s="2028">
        <f>+((AX82*$H$2)+(AZ82*$J$2))/$L$2</f>
        <v>0.12210041311924534</v>
      </c>
      <c r="BC82" s="2056">
        <f>+((AM82*AM$2)+(BA$2*BA82))/BC$2</f>
        <v>15.899031102825745</v>
      </c>
      <c r="BD82" s="6687">
        <f>+((AV82*$L$2)+(AX82*$N$2))/$P$2</f>
        <v>0.4121263567799105</v>
      </c>
      <c r="BE82" s="7053">
        <f t="shared" ref="BE82:BE85" si="356">+((AW82*AW$2)+(AY$2*AY82))/BE$2</f>
        <v>15.399838796477495</v>
      </c>
    </row>
    <row r="83" spans="1:61" x14ac:dyDescent="0.2">
      <c r="A83" s="3380"/>
      <c r="B83" s="1777" t="s">
        <v>338</v>
      </c>
      <c r="C83" s="1639" t="s">
        <v>797</v>
      </c>
      <c r="D83" s="3221"/>
      <c r="E83" s="5818">
        <f>+(104388)/24/E$2</f>
        <v>144.98333333333332</v>
      </c>
      <c r="F83" s="3221"/>
      <c r="G83" s="5818">
        <f>+(110130)/24/G$2</f>
        <v>148.0241935483871</v>
      </c>
      <c r="H83" s="2975">
        <f>+((D83*$D$2)+(F83*$F$2))/$H$2</f>
        <v>0</v>
      </c>
      <c r="I83" s="1871">
        <f t="shared" si="343"/>
        <v>146.52868852459017</v>
      </c>
      <c r="J83" s="3221"/>
      <c r="K83" s="5818">
        <f>+(104236)/24/K$2</f>
        <v>144.77222222222224</v>
      </c>
      <c r="L83" s="2028">
        <f t="shared" ref="L83:L85" si="357">+((H83*$H$2)+(J83*$J$2))/$L$2</f>
        <v>0</v>
      </c>
      <c r="M83" s="2056">
        <f t="shared" si="344"/>
        <v>145.94963369963372</v>
      </c>
      <c r="N83" s="3231">
        <v>178.48841262082661</v>
      </c>
      <c r="O83" s="5818">
        <f>+(115255.68)/24/O$2</f>
        <v>154.91354838709677</v>
      </c>
      <c r="P83" s="2975">
        <f t="shared" ref="P83:P85" si="358">+((L83*$L$2)+(N83*$N$2))/$P$2</f>
        <v>45.353613042996926</v>
      </c>
      <c r="Q83" s="1871">
        <f t="shared" si="345"/>
        <v>148.22734972677597</v>
      </c>
      <c r="R83" s="3231"/>
      <c r="S83" s="5818">
        <f>+(118014)/24/S$2</f>
        <v>158.62096774193549</v>
      </c>
      <c r="T83" s="2975">
        <f t="shared" ref="T83:T85" si="359">+((P83*$L$2)+(R83*$N$2))/$P$2</f>
        <v>33.829334318956725</v>
      </c>
      <c r="U83" s="1871">
        <f t="shared" si="346"/>
        <v>150.33324618736384</v>
      </c>
      <c r="V83" s="3231"/>
      <c r="W83" s="5818">
        <f>+(86597.28)/24/W$2</f>
        <v>120.27399999999999</v>
      </c>
      <c r="X83" s="2028">
        <f t="shared" ref="X83:X85" si="360">+((T83*$H$2)+(V83*$J$2))/$L$2</f>
        <v>22.676806521498463</v>
      </c>
      <c r="Y83" s="2056">
        <f t="shared" si="347"/>
        <v>144.86728260869563</v>
      </c>
      <c r="Z83" s="6687">
        <f t="shared" ref="Z83:Z85" si="361">+((T83*$L$2)+(V83*$N$2))/$P$2</f>
        <v>25.233355926434935</v>
      </c>
      <c r="AA83" s="7053">
        <f t="shared" si="348"/>
        <v>145.40550091074684</v>
      </c>
      <c r="AB83" s="3231"/>
      <c r="AC83" s="5818">
        <f>+(106905.36)/24/AC$2</f>
        <v>143.69</v>
      </c>
      <c r="AD83" s="2975">
        <f t="shared" ref="AD83:AD85" si="362">+((Z83*$L$2)+(AB83*$N$2))/$P$2</f>
        <v>18.821601551685077</v>
      </c>
      <c r="AE83" s="1871">
        <f t="shared" si="349"/>
        <v>145.15699376947043</v>
      </c>
      <c r="AF83" s="3231"/>
      <c r="AG83" s="5818">
        <f>+(100917.12)/24/AG$2</f>
        <v>140.16266666666667</v>
      </c>
      <c r="AH83" s="2975">
        <f t="shared" ref="AH83:AH85" si="363">+((AD83*$L$2)+(AF83*$N$2))/$P$2</f>
        <v>14.03906345248641</v>
      </c>
      <c r="AI83" s="1871">
        <f t="shared" si="350"/>
        <v>144.54293715846995</v>
      </c>
      <c r="AJ83" s="3231"/>
      <c r="AK83" s="5818">
        <f>+(113621.04)/24/AK$2</f>
        <v>152.71645161290323</v>
      </c>
      <c r="AL83" s="2028">
        <f t="shared" ref="AL83:AL85" si="364">+((AH83*$H$2)+(AJ83*$J$2))/$L$2</f>
        <v>9.4108007758425387</v>
      </c>
      <c r="AM83" s="2056">
        <f t="shared" si="351"/>
        <v>145.58130434782609</v>
      </c>
      <c r="AN83" s="2975">
        <f t="shared" ref="AN83:AN85" si="365">+((AH83*$L$2)+(AJ83*$N$2))/$P$2</f>
        <v>10.471760444067732</v>
      </c>
      <c r="AO83" s="1871">
        <f t="shared" si="352"/>
        <v>145.46431515151517</v>
      </c>
      <c r="AP83" s="3231"/>
      <c r="AQ83" s="5818">
        <f>+(129039.6)/24/AQ$2</f>
        <v>173.44032258064519</v>
      </c>
      <c r="AR83" s="2975">
        <f t="shared" ref="AR83:AR85" si="366">+((AN83*$L$2)+(AP83*$N$2))/$P$2</f>
        <v>7.8109032820505213</v>
      </c>
      <c r="AS83" s="1871">
        <f t="shared" si="353"/>
        <v>148.29848583877995</v>
      </c>
      <c r="AT83" s="3231"/>
      <c r="AU83" s="5818">
        <f>117270/(24*PBS!$AU$2)</f>
        <v>174.50892857142858</v>
      </c>
      <c r="AV83" s="2975">
        <f t="shared" ref="AV83:AV85" si="367">+((AR83*$L$2)+(AT83*$N$2))/$P$2</f>
        <v>5.8261655628409628</v>
      </c>
      <c r="AW83" s="1871">
        <f t="shared" si="354"/>
        <v>150.49576846307383</v>
      </c>
      <c r="AX83" s="3231"/>
      <c r="AY83" s="5818">
        <f>117270/(24*PBS!$AU$2)</f>
        <v>174.50892857142858</v>
      </c>
      <c r="AZ83" s="2028">
        <f t="shared" ref="AZ83:AZ85" si="368">+((AV83*$H$2)+(AX83*$J$2))/$L$2</f>
        <v>3.9054516410252607</v>
      </c>
      <c r="BA83" s="2056">
        <f t="shared" si="355"/>
        <v>174.14085317460319</v>
      </c>
      <c r="BB83" s="2028">
        <f t="shared" ref="BB83:BB85" si="369">+((AX83*$H$2)+(AZ83*$J$2))/$L$2</f>
        <v>1.2875115300083277</v>
      </c>
      <c r="BC83" s="2056">
        <f>+((AM83*AM$2)+(BA$2*BA83))/BC$2</f>
        <v>159.7041581632653</v>
      </c>
      <c r="BD83" s="6687">
        <f t="shared" ref="BD83:BD85" si="370">+((AV83*$L$2)+(AX83*$N$2))/$P$2</f>
        <v>4.3457464444141607</v>
      </c>
      <c r="BE83" s="7053">
        <f t="shared" si="356"/>
        <v>152.53524233529026</v>
      </c>
    </row>
    <row r="84" spans="1:61" x14ac:dyDescent="0.2">
      <c r="A84" s="3380"/>
      <c r="B84" s="1777" t="s">
        <v>1012</v>
      </c>
      <c r="C84" s="1639" t="s">
        <v>797</v>
      </c>
      <c r="D84" s="3221"/>
      <c r="E84" s="5818">
        <f>+(5810)/24/E$2</f>
        <v>8.0694444444444446</v>
      </c>
      <c r="F84" s="3221"/>
      <c r="G84" s="5818">
        <f>+(6176)/24/G$2</f>
        <v>8.301075268817204</v>
      </c>
      <c r="H84" s="2975">
        <f>+((D84*$D$2)+(F84*$F$2))/$H$2</f>
        <v>0</v>
      </c>
      <c r="I84" s="1871">
        <f t="shared" si="343"/>
        <v>8.1871584699453539</v>
      </c>
      <c r="J84" s="3221"/>
      <c r="K84" s="5818">
        <f>+(9928)/24/K$2</f>
        <v>13.78888888888889</v>
      </c>
      <c r="L84" s="2028">
        <f t="shared" si="357"/>
        <v>0</v>
      </c>
      <c r="M84" s="2056">
        <f t="shared" si="344"/>
        <v>10.033882783882783</v>
      </c>
      <c r="N84" s="3231">
        <v>18.158602150537632</v>
      </c>
      <c r="O84" s="5818">
        <f>+(11361.2)/24/O$2</f>
        <v>15.270430107526883</v>
      </c>
      <c r="P84" s="2975">
        <f t="shared" si="358"/>
        <v>4.6140710382513657</v>
      </c>
      <c r="Q84" s="1871">
        <f t="shared" si="345"/>
        <v>11.364480874316941</v>
      </c>
      <c r="R84" s="3231"/>
      <c r="S84" s="5818">
        <f>+(10402.1)/24/S$2</f>
        <v>13.981317204301076</v>
      </c>
      <c r="T84" s="2975">
        <f t="shared" si="359"/>
        <v>3.4416431514825758</v>
      </c>
      <c r="U84" s="1871">
        <f t="shared" si="346"/>
        <v>11.894689542483661</v>
      </c>
      <c r="V84" s="3231"/>
      <c r="W84" s="5818">
        <f>+(5210)/24/W$2</f>
        <v>7.2361111111111116</v>
      </c>
      <c r="X84" s="2028">
        <f t="shared" si="360"/>
        <v>2.3070355191256828</v>
      </c>
      <c r="Y84" s="2056">
        <f t="shared" si="347"/>
        <v>12.216168478260871</v>
      </c>
      <c r="Z84" s="6687">
        <f t="shared" si="361"/>
        <v>2.5671272687288065</v>
      </c>
      <c r="AA84" s="7053">
        <f t="shared" si="348"/>
        <v>11.130988160291441</v>
      </c>
      <c r="AB84" s="3231"/>
      <c r="AC84" s="5818">
        <f>+(5325.9)/24/AC$2</f>
        <v>7.1584677419354836</v>
      </c>
      <c r="AD84" s="2975">
        <f t="shared" si="362"/>
        <v>1.9148244381501753</v>
      </c>
      <c r="AE84" s="1871">
        <f t="shared" si="349"/>
        <v>10.555529595015578</v>
      </c>
      <c r="AF84" s="3231"/>
      <c r="AG84" s="5818">
        <f>+(6735.8)/24/AG$2</f>
        <v>9.3552777777777791</v>
      </c>
      <c r="AH84" s="2975">
        <f t="shared" si="363"/>
        <v>1.4282706874726718</v>
      </c>
      <c r="AI84" s="1871">
        <f t="shared" si="350"/>
        <v>10.407957650273225</v>
      </c>
      <c r="AJ84" s="3231"/>
      <c r="AK84" s="5818">
        <f>+(8930.3)/24/AK$2</f>
        <v>12.003091397849461</v>
      </c>
      <c r="AL84" s="2028">
        <f t="shared" si="364"/>
        <v>0.95741221907508778</v>
      </c>
      <c r="AM84" s="2056">
        <f t="shared" si="351"/>
        <v>9.5072463768115938</v>
      </c>
      <c r="AN84" s="2975">
        <f t="shared" si="365"/>
        <v>1.0653494472132223</v>
      </c>
      <c r="AO84" s="1871">
        <f t="shared" si="352"/>
        <v>10.587772727272728</v>
      </c>
      <c r="AP84" s="3231"/>
      <c r="AQ84" s="5818">
        <f>+(10104.8)/24/AQ$2</f>
        <v>13.581720430107525</v>
      </c>
      <c r="AR84" s="2975">
        <f t="shared" si="366"/>
        <v>0.79464589915084616</v>
      </c>
      <c r="AS84" s="1871">
        <f t="shared" si="353"/>
        <v>10.891081154684096</v>
      </c>
      <c r="AT84" s="3231"/>
      <c r="AU84" s="5818">
        <f>9111/(24*PBS!$AU$2)</f>
        <v>13.558035714285714</v>
      </c>
      <c r="AV84" s="2975">
        <f t="shared" si="367"/>
        <v>0.59272767887481148</v>
      </c>
      <c r="AW84" s="1871">
        <f t="shared" si="354"/>
        <v>11.114658183632736</v>
      </c>
      <c r="AX84" s="3231"/>
      <c r="AY84" s="5818">
        <f>9111/(24*PBS!$AU$2)</f>
        <v>13.558035714285714</v>
      </c>
      <c r="AZ84" s="2028">
        <f t="shared" si="368"/>
        <v>0.39732294957542308</v>
      </c>
      <c r="BA84" s="2056">
        <f t="shared" si="355"/>
        <v>13.566193783068782</v>
      </c>
      <c r="BB84" s="2028">
        <f t="shared" si="369"/>
        <v>0.1309855877721175</v>
      </c>
      <c r="BC84" s="2056">
        <f>+((AM84*AM$2)+(BA$2*BA84))/BC$2</f>
        <v>11.514418171114599</v>
      </c>
      <c r="BD84" s="6687">
        <f t="shared" si="370"/>
        <v>0.44211654735744133</v>
      </c>
      <c r="BE84" s="7053">
        <f t="shared" si="356"/>
        <v>11.322177919112853</v>
      </c>
    </row>
    <row r="85" spans="1:61" x14ac:dyDescent="0.2">
      <c r="A85" s="3380"/>
      <c r="B85" s="1778" t="s">
        <v>391</v>
      </c>
      <c r="C85" s="1648" t="s">
        <v>1011</v>
      </c>
      <c r="D85" s="3221"/>
      <c r="E85" s="5818">
        <f>+(2334)/24/E$2</f>
        <v>3.2416666666666667</v>
      </c>
      <c r="F85" s="3221"/>
      <c r="G85" s="5818">
        <f>+(664)/24/G$2</f>
        <v>0.89247311827956988</v>
      </c>
      <c r="H85" s="2975">
        <f>+((D85*$D$2)+(F85*$F$2))/$H$2</f>
        <v>0</v>
      </c>
      <c r="I85" s="1871">
        <f t="shared" si="343"/>
        <v>2.0478142076502732</v>
      </c>
      <c r="J85" s="3221"/>
      <c r="K85" s="5818">
        <f>+(939)/24/K$2</f>
        <v>1.3041666666666667</v>
      </c>
      <c r="L85" s="2028">
        <f t="shared" si="357"/>
        <v>0</v>
      </c>
      <c r="M85" s="2056">
        <f t="shared" si="344"/>
        <v>1.8026556776556779</v>
      </c>
      <c r="N85" s="2707">
        <v>0</v>
      </c>
      <c r="O85" s="5818">
        <f>+(1234.352)/24/O$2</f>
        <v>1.6590752688172044</v>
      </c>
      <c r="P85" s="2975">
        <f t="shared" si="358"/>
        <v>0</v>
      </c>
      <c r="Q85" s="1871">
        <f t="shared" si="345"/>
        <v>1.7661721311475411</v>
      </c>
      <c r="R85" s="2707"/>
      <c r="S85" s="5818">
        <f>+(1491.844)/24/S$2</f>
        <v>2.0051666666666668</v>
      </c>
      <c r="T85" s="2975">
        <f t="shared" si="359"/>
        <v>0</v>
      </c>
      <c r="U85" s="1871">
        <f t="shared" si="346"/>
        <v>1.8145958605664489</v>
      </c>
      <c r="V85" s="2707"/>
      <c r="W85" s="5818">
        <f>+(2382.916)/24/W$2</f>
        <v>3.3096055555555557</v>
      </c>
      <c r="X85" s="2028">
        <f t="shared" si="360"/>
        <v>0</v>
      </c>
      <c r="Y85" s="2056">
        <f t="shared" si="347"/>
        <v>2.3139094202898547</v>
      </c>
      <c r="Z85" s="6687">
        <f t="shared" si="361"/>
        <v>0</v>
      </c>
      <c r="AA85" s="7053">
        <f t="shared" si="348"/>
        <v>2.0596794171220401</v>
      </c>
      <c r="AB85" s="2707"/>
      <c r="AC85" s="5818">
        <f>+(1798.412)/24/AC$2</f>
        <v>2.4172204301075273</v>
      </c>
      <c r="AD85" s="2975">
        <f t="shared" si="362"/>
        <v>0</v>
      </c>
      <c r="AE85" s="1871">
        <f t="shared" si="349"/>
        <v>2.1114727414330217</v>
      </c>
      <c r="AF85" s="2707"/>
      <c r="AG85" s="5818">
        <f>+(1435.222)/24/AG$2</f>
        <v>1.9933638888888889</v>
      </c>
      <c r="AH85" s="2975">
        <f t="shared" si="363"/>
        <v>0</v>
      </c>
      <c r="AI85" s="1871">
        <f t="shared" si="350"/>
        <v>2.0969511612021856</v>
      </c>
      <c r="AJ85" s="2707"/>
      <c r="AK85" s="5818">
        <f>+(1747.951)/24/AK$2</f>
        <v>2.3493965053763444</v>
      </c>
      <c r="AL85" s="2028">
        <f t="shared" si="364"/>
        <v>0</v>
      </c>
      <c r="AM85" s="2056">
        <f t="shared" si="351"/>
        <v>2.2561526268115948</v>
      </c>
      <c r="AN85" s="2975">
        <f t="shared" si="365"/>
        <v>0</v>
      </c>
      <c r="AO85" s="1871">
        <f t="shared" si="352"/>
        <v>2.1254086363636362</v>
      </c>
      <c r="AP85" s="2707"/>
      <c r="AQ85" s="5818">
        <f>+(1239.585)/24/AQ$2</f>
        <v>1.6661088709677419</v>
      </c>
      <c r="AR85" s="2975">
        <f t="shared" si="366"/>
        <v>0</v>
      </c>
      <c r="AS85" s="1871">
        <f t="shared" si="353"/>
        <v>2.078878267973856</v>
      </c>
      <c r="AT85" s="2707"/>
      <c r="AU85" s="5818">
        <f>669/(24*PBS!$AU$2)</f>
        <v>0.9955357142857143</v>
      </c>
      <c r="AV85" s="2975">
        <f t="shared" si="367"/>
        <v>0</v>
      </c>
      <c r="AW85" s="1871">
        <f t="shared" si="354"/>
        <v>1.9880591317365266</v>
      </c>
      <c r="AX85" s="2707"/>
      <c r="AY85" s="5818">
        <f>391.3/(24*PBS!$AU$2)</f>
        <v>0.58229166666666665</v>
      </c>
      <c r="AZ85" s="2028">
        <f t="shared" si="368"/>
        <v>0</v>
      </c>
      <c r="BA85" s="2056">
        <f t="shared" si="355"/>
        <v>1.0841712962962962</v>
      </c>
      <c r="BB85" s="2028">
        <f t="shared" si="369"/>
        <v>0</v>
      </c>
      <c r="BC85" s="2056">
        <f>+((AM85*AM$2)++(BA$2*BA85))/BC$2</f>
        <v>1.6766014194139198</v>
      </c>
      <c r="BD85" s="6687">
        <f t="shared" si="370"/>
        <v>0</v>
      </c>
      <c r="BE85" s="7053">
        <f t="shared" si="356"/>
        <v>1.8686651826484018</v>
      </c>
    </row>
    <row r="86" spans="1:61" x14ac:dyDescent="0.2">
      <c r="A86" s="3380"/>
      <c r="B86" s="1779" t="s">
        <v>924</v>
      </c>
      <c r="C86" s="1649" t="s">
        <v>922</v>
      </c>
      <c r="D86" s="3174"/>
      <c r="E86" s="4406">
        <v>8027.98</v>
      </c>
      <c r="F86" s="3174"/>
      <c r="G86" s="1646">
        <v>8028</v>
      </c>
      <c r="H86" s="1787">
        <v>8000</v>
      </c>
      <c r="I86" s="4501">
        <f>+((E86*(E85*E2*24))+(G86*(G85*24*G2)))/(I85*24*I2)</f>
        <v>8027.9844296197462</v>
      </c>
      <c r="J86" s="3174"/>
      <c r="K86" s="1646">
        <v>8028</v>
      </c>
      <c r="L86" s="2020">
        <v>8000</v>
      </c>
      <c r="M86" s="4769">
        <f>+((I86*(I85*I2*24))+(K86*(K85*24*K2)))/(M85*24*M2)</f>
        <v>8027.9881432562861</v>
      </c>
      <c r="N86" s="1786">
        <v>8000</v>
      </c>
      <c r="O86" s="3918">
        <v>8028</v>
      </c>
      <c r="P86" s="1787">
        <v>8000</v>
      </c>
      <c r="Q86" s="4501">
        <f>+((M86*(M85*M2*24))+(O86*(O85*24*O2)))/(Q85*24*Q2)</f>
        <v>8027.9909733470076</v>
      </c>
      <c r="R86" s="1786"/>
      <c r="S86" s="3918">
        <v>8028</v>
      </c>
      <c r="T86" s="1787">
        <v>8000</v>
      </c>
      <c r="U86" s="4501">
        <f>+((Q86*(Q85*Q2*24))+(S86*(S85*24*S2)))/(U85*24*U2)</f>
        <v>8027.9929943528587</v>
      </c>
      <c r="V86" s="1786"/>
      <c r="W86" s="3918">
        <v>8028</v>
      </c>
      <c r="X86" s="2020">
        <v>8000</v>
      </c>
      <c r="Y86" s="4769">
        <f>+((O86*(O85*O2*24))+(S86*(S85*S2*24))+(W86*(W85*24*W2)))/(Y85*24*Y2)</f>
        <v>8028.0000000000009</v>
      </c>
      <c r="Z86" s="6670">
        <v>8000</v>
      </c>
      <c r="AA86" s="7051">
        <f>+((U86*(U85*U2*24))+(W86*(W85*24*W2)))/(AA85*24*AA2)</f>
        <v>8027.9948397720473</v>
      </c>
      <c r="AB86" s="1786"/>
      <c r="AC86" s="3918">
        <v>8028</v>
      </c>
      <c r="AD86" s="1787">
        <v>8000</v>
      </c>
      <c r="AE86" s="4501">
        <f>+((AA86*(AA85*AA2*24))+(AC86*(AC85*24*AC2)))/(AE85*24*AE2)</f>
        <v>8027.9956955233811</v>
      </c>
      <c r="AF86" s="1786"/>
      <c r="AG86" s="3918">
        <v>8028</v>
      </c>
      <c r="AH86" s="1787">
        <v>8000</v>
      </c>
      <c r="AI86" s="4501">
        <f>+((AE86*(AE85*AE2*24))+(AG86*(AG85*24*AG2)))/(AI85*24*AI2)</f>
        <v>8027.9961986184417</v>
      </c>
      <c r="AJ86" s="1786"/>
      <c r="AK86" s="3918">
        <v>8028</v>
      </c>
      <c r="AL86" s="2020">
        <v>8000</v>
      </c>
      <c r="AM86" s="4769">
        <f>+((AC86*(AC85*AC2*24))+(AG86*(AG85*AG2*24))+(AK86*(AK85*24*AK2)))/(AM85*24*AM2)</f>
        <v>8028.0000000000009</v>
      </c>
      <c r="AN86" s="1787">
        <v>8000</v>
      </c>
      <c r="AO86" s="4501">
        <f>+((AI86*(AI85*AI2*24))+(AK86*(AK85*24*AK2)))/(AO85*24*AO2)</f>
        <v>8027.9966722976696</v>
      </c>
      <c r="AP86" s="1786"/>
      <c r="AQ86" s="3918">
        <v>8028</v>
      </c>
      <c r="AR86" s="1787">
        <v>8000</v>
      </c>
      <c r="AS86" s="4501">
        <f>+((AO86*(AO85*AO2*24))+(AQ86*(AQ85*24*AQ2)))/(AS85*24*AS2)</f>
        <v>8027.9969424813135</v>
      </c>
      <c r="AT86" s="1786"/>
      <c r="AU86" s="5818">
        <v>8028</v>
      </c>
      <c r="AV86" s="1787">
        <v>8000</v>
      </c>
      <c r="AW86" s="4501">
        <f>+((AS86*(AS85*AS2*24))+(AU86*(AU85*24*AU2)))/(AW85*24*AW2)</f>
        <v>8027.9970708349665</v>
      </c>
      <c r="AX86" s="1786"/>
      <c r="AY86" s="5818">
        <v>8028</v>
      </c>
      <c r="AZ86" s="2020">
        <v>8000</v>
      </c>
      <c r="BA86" s="4769">
        <f>+((AQ86*(AQ85*AQ2*24))+(AU86*(AU85*AU2*24))+(AY86*(AY85*24*AY2)))/(BA85*24*BA2)</f>
        <v>8028.0000000000018</v>
      </c>
      <c r="BB86" s="2020">
        <v>8000</v>
      </c>
      <c r="BC86" s="4769">
        <v>8028</v>
      </c>
      <c r="BD86" s="6670">
        <v>8000</v>
      </c>
      <c r="BE86" s="7051">
        <f>+((AW86*(AW85*AW2*24))+(AY86*(AY85*24*AY2)))/(BE85*24*BE2)</f>
        <v>8027.9971483563895</v>
      </c>
    </row>
    <row r="87" spans="1:61" x14ac:dyDescent="0.2">
      <c r="A87" s="3380"/>
      <c r="B87" s="1778" t="s">
        <v>920</v>
      </c>
      <c r="C87" s="1648" t="s">
        <v>921</v>
      </c>
      <c r="D87" s="3221"/>
      <c r="E87" s="3847">
        <v>8.74</v>
      </c>
      <c r="F87" s="3221"/>
      <c r="G87" s="2067">
        <v>12</v>
      </c>
      <c r="H87" s="2796">
        <f>+D87+F87</f>
        <v>0</v>
      </c>
      <c r="I87" s="4504">
        <f>+E87+G87</f>
        <v>20.740000000000002</v>
      </c>
      <c r="J87" s="3221"/>
      <c r="K87" s="2067">
        <v>17.3</v>
      </c>
      <c r="L87" s="2043">
        <f>+H87+J87</f>
        <v>0</v>
      </c>
      <c r="M87" s="2056">
        <f>+I87+K87</f>
        <v>38.040000000000006</v>
      </c>
      <c r="N87" s="2908">
        <f>0.01*31*24</f>
        <v>7.4399999999999995</v>
      </c>
      <c r="O87" s="3861">
        <v>23.96</v>
      </c>
      <c r="P87" s="2796">
        <f>+L87+N87</f>
        <v>7.4399999999999995</v>
      </c>
      <c r="Q87" s="4504">
        <f>+M87+O87</f>
        <v>62.000000000000007</v>
      </c>
      <c r="R87" s="2908"/>
      <c r="S87" s="3861">
        <v>47.49</v>
      </c>
      <c r="T87" s="2796">
        <f>+P87+R87</f>
        <v>7.4399999999999995</v>
      </c>
      <c r="U87" s="4504">
        <f>+Q87+S87</f>
        <v>109.49000000000001</v>
      </c>
      <c r="V87" s="2908"/>
      <c r="W87" s="3861">
        <v>55.76</v>
      </c>
      <c r="X87" s="2043">
        <f>+T87+V87</f>
        <v>7.4399999999999995</v>
      </c>
      <c r="Y87" s="2056">
        <f>+W87+S87+O87</f>
        <v>127.21000000000001</v>
      </c>
      <c r="Z87" s="6638">
        <f>+T87+V87</f>
        <v>7.4399999999999995</v>
      </c>
      <c r="AA87" s="7094">
        <f>+U87+W87</f>
        <v>165.25</v>
      </c>
      <c r="AB87" s="2908"/>
      <c r="AC87" s="3861">
        <v>1.45</v>
      </c>
      <c r="AD87" s="2796">
        <f>+Z87+AB87</f>
        <v>7.4399999999999995</v>
      </c>
      <c r="AE87" s="4504">
        <f>+AA87+AC87</f>
        <v>166.7</v>
      </c>
      <c r="AF87" s="2908"/>
      <c r="AG87" s="3861">
        <v>0</v>
      </c>
      <c r="AH87" s="2796">
        <f>+AD87+AF87</f>
        <v>7.4399999999999995</v>
      </c>
      <c r="AI87" s="4504">
        <f>+AE87+AG87</f>
        <v>166.7</v>
      </c>
      <c r="AJ87" s="2908"/>
      <c r="AK87" s="3861">
        <v>7.63</v>
      </c>
      <c r="AL87" s="2043">
        <f>+AH87+AJ87</f>
        <v>7.4399999999999995</v>
      </c>
      <c r="AM87" s="2056">
        <f>+AK87+AG87+AC87</f>
        <v>9.08</v>
      </c>
      <c r="AN87" s="2796">
        <f>+AH87+AJ87</f>
        <v>7.4399999999999995</v>
      </c>
      <c r="AO87" s="4504">
        <f>+AI87+AK87</f>
        <v>174.32999999999998</v>
      </c>
      <c r="AP87" s="2908"/>
      <c r="AQ87" s="3861">
        <v>11.18</v>
      </c>
      <c r="AR87" s="2796">
        <f>+AN87+AP87</f>
        <v>7.4399999999999995</v>
      </c>
      <c r="AS87" s="4504">
        <f>+AO87+AQ87</f>
        <v>185.51</v>
      </c>
      <c r="AT87" s="2908"/>
      <c r="AU87" s="5818">
        <v>0</v>
      </c>
      <c r="AV87" s="2796">
        <f>+AR87+AT87</f>
        <v>7.4399999999999995</v>
      </c>
      <c r="AW87" s="4504">
        <f>+AS87+AU87</f>
        <v>185.51</v>
      </c>
      <c r="AX87" s="2908"/>
      <c r="AY87" s="5818">
        <v>0</v>
      </c>
      <c r="AZ87" s="2043">
        <f>+AV87+AX87</f>
        <v>7.4399999999999995</v>
      </c>
      <c r="BA87" s="2056">
        <f>+AY87+AU87+AQ87</f>
        <v>11.18</v>
      </c>
      <c r="BB87" s="2043">
        <f>+AX87+AZ87</f>
        <v>7.4399999999999995</v>
      </c>
      <c r="BC87" s="2056">
        <f t="shared" ref="BC87" si="371">+AM87+BA87</f>
        <v>20.259999999999998</v>
      </c>
      <c r="BD87" s="6638">
        <f>+AV87+AX87</f>
        <v>7.4399999999999995</v>
      </c>
      <c r="BE87" s="7094">
        <f>+AW87+AY87</f>
        <v>185.51</v>
      </c>
    </row>
    <row r="88" spans="1:61" x14ac:dyDescent="0.2">
      <c r="A88" s="3380"/>
      <c r="B88" s="1779" t="s">
        <v>925</v>
      </c>
      <c r="C88" s="1649" t="s">
        <v>926</v>
      </c>
      <c r="D88" s="3174"/>
      <c r="E88" s="2750">
        <v>9135</v>
      </c>
      <c r="F88" s="3174"/>
      <c r="G88" s="1646">
        <v>9135</v>
      </c>
      <c r="H88" s="1787">
        <v>9135</v>
      </c>
      <c r="I88" s="4501">
        <f>+AVERAGE(E88,G88)</f>
        <v>9135</v>
      </c>
      <c r="J88" s="3174"/>
      <c r="K88" s="1646">
        <v>9135</v>
      </c>
      <c r="L88" s="2020">
        <v>9135</v>
      </c>
      <c r="M88" s="4769">
        <f>+AVERAGE(E88,G88,K88)</f>
        <v>9135</v>
      </c>
      <c r="N88" s="1786">
        <v>9135</v>
      </c>
      <c r="O88" s="3918">
        <v>9135</v>
      </c>
      <c r="P88" s="1787">
        <v>9135</v>
      </c>
      <c r="Q88" s="4501">
        <f>+AVERAGE(E88,G88,K88,O88)</f>
        <v>9135</v>
      </c>
      <c r="R88" s="1786"/>
      <c r="S88" s="3918">
        <v>9135</v>
      </c>
      <c r="T88" s="1787">
        <v>9135</v>
      </c>
      <c r="U88" s="4501">
        <f>+AVERAGE(I88,K88,O88,S88)</f>
        <v>9135</v>
      </c>
      <c r="V88" s="1786"/>
      <c r="W88" s="3918">
        <v>9135</v>
      </c>
      <c r="X88" s="2020">
        <v>9135</v>
      </c>
      <c r="Y88" s="4769">
        <f>+AVERAGE(O88,S88,W88)</f>
        <v>9135</v>
      </c>
      <c r="Z88" s="6670">
        <v>9135</v>
      </c>
      <c r="AA88" s="7051">
        <f>+AVERAGE(E88,G88,K88,O88,S88,W88)</f>
        <v>9135</v>
      </c>
      <c r="AB88" s="1786"/>
      <c r="AC88" s="3918">
        <v>9135</v>
      </c>
      <c r="AD88" s="1787">
        <v>9135</v>
      </c>
      <c r="AE88" s="4501">
        <f>+AVERAGE(E88,G88,K88,O88,S88,W88,AC88)</f>
        <v>9135</v>
      </c>
      <c r="AF88" s="1786"/>
      <c r="AG88" s="3918">
        <v>9135</v>
      </c>
      <c r="AH88" s="1787">
        <v>9135</v>
      </c>
      <c r="AI88" s="4501">
        <f>+AVERAGE(W88,Y88,AC88,AG88)</f>
        <v>9135</v>
      </c>
      <c r="AJ88" s="1786"/>
      <c r="AK88" s="3918">
        <v>9135</v>
      </c>
      <c r="AL88" s="2020">
        <v>9135</v>
      </c>
      <c r="AM88" s="4769">
        <f>+AVERAGE(AC88,AG88,AK88)</f>
        <v>9135</v>
      </c>
      <c r="AN88" s="1787">
        <v>9135</v>
      </c>
      <c r="AO88" s="4501">
        <f>+AVERAGE(S88,U88,Y88,AC88,AG88,AK88)</f>
        <v>9135</v>
      </c>
      <c r="AP88" s="1786"/>
      <c r="AQ88" s="3918">
        <v>9135</v>
      </c>
      <c r="AR88" s="1787">
        <v>9135</v>
      </c>
      <c r="AS88" s="4501">
        <f>+AVERAGE(AG88,AI88,AM88,AQ88)</f>
        <v>9135</v>
      </c>
      <c r="AT88" s="1786"/>
      <c r="AU88" s="5818">
        <v>9135</v>
      </c>
      <c r="AV88" s="1787">
        <v>9135</v>
      </c>
      <c r="AW88" s="4501">
        <f>+AVERAGE(AK88,AM88,AQ88,AU88)</f>
        <v>9135</v>
      </c>
      <c r="AX88" s="1786"/>
      <c r="AY88" s="5818">
        <v>9135</v>
      </c>
      <c r="AZ88" s="2020">
        <v>9135</v>
      </c>
      <c r="BA88" s="4769">
        <f>+AVERAGE(AQ88,AU88,AY88)</f>
        <v>9135</v>
      </c>
      <c r="BB88" s="2020">
        <v>9135</v>
      </c>
      <c r="BC88" s="4769">
        <f>+AVERAGE(AS88,AW88,BA88)</f>
        <v>9135</v>
      </c>
      <c r="BD88" s="6670">
        <v>9135</v>
      </c>
      <c r="BE88" s="7051">
        <f>+AVERAGE(AG88,AI88,AM88,AQ88,AU88,AY88)</f>
        <v>9135</v>
      </c>
    </row>
    <row r="89" spans="1:61" x14ac:dyDescent="0.2">
      <c r="B89" s="1780" t="s">
        <v>923</v>
      </c>
      <c r="C89" s="1649" t="s">
        <v>1116</v>
      </c>
      <c r="D89" s="3227"/>
      <c r="E89" s="3913">
        <v>0.96199999999999997</v>
      </c>
      <c r="F89" s="3227"/>
      <c r="G89" s="3134">
        <v>0.874</v>
      </c>
      <c r="H89" s="2992">
        <f>+((D89*D2)+(F2*F89))/H2</f>
        <v>0</v>
      </c>
      <c r="I89" s="4512">
        <f>+((E89*E58)+(G58*G89))/I58</f>
        <v>0.91697956098719446</v>
      </c>
      <c r="J89" s="3227"/>
      <c r="K89" s="3134">
        <v>0.92900000000000005</v>
      </c>
      <c r="L89" s="2044" t="e">
        <f>+((H89*H58)+(J89*J58))/L58</f>
        <v>#DIV/0!</v>
      </c>
      <c r="M89" s="4778">
        <f>+((I89*I58)+(K58*K89))/M58</f>
        <v>0.92104214083213543</v>
      </c>
      <c r="N89" s="3228">
        <v>0.83123698000000001</v>
      </c>
      <c r="O89" s="6087">
        <v>1.0089999999999999</v>
      </c>
      <c r="P89" s="2992" t="e">
        <f>+((L89*L58)+(N89*N58))/P58</f>
        <v>#DIV/0!</v>
      </c>
      <c r="Q89" s="4512">
        <f>+((M89*M58)+(O58*O89))/Q58</f>
        <v>0.94427653459701011</v>
      </c>
      <c r="R89" s="3228"/>
      <c r="S89" s="6087">
        <v>1.0009999999999999</v>
      </c>
      <c r="T89" s="2992" t="e">
        <f>+((P89*P58)+(R89*R58))/T58</f>
        <v>#DIV/0!</v>
      </c>
      <c r="U89" s="4512">
        <f>+((Q89*Q58)+(S58*S89))/U58</f>
        <v>0.95633859571971025</v>
      </c>
      <c r="V89" s="3228"/>
      <c r="W89" s="6087">
        <v>0.94199999999999995</v>
      </c>
      <c r="X89" s="2044" t="e">
        <f>+((T89*T58)+(V89*V58))/X58</f>
        <v>#DIV/0!</v>
      </c>
      <c r="Y89" s="4778">
        <f>+((O89*O58)+(S89*S58)+(W58*W89))/Y58</f>
        <v>0.98587638867477434</v>
      </c>
      <c r="Z89" s="6636" t="e">
        <f>+((T89*T58)+(V89*V58))/Z58</f>
        <v>#DIV/0!</v>
      </c>
      <c r="AA89" s="7095">
        <f>+((U89*U58)+(W58*W89))/AA58</f>
        <v>0.95412149274767899</v>
      </c>
      <c r="AB89" s="3228"/>
      <c r="AC89" s="6087">
        <v>0.96899999999999997</v>
      </c>
      <c r="AD89" s="2992" t="e">
        <f>+((Z89*Z58)+(AB89*AB58))/AD58</f>
        <v>#DIV/0!</v>
      </c>
      <c r="AE89" s="4512">
        <f>+((AA89*AA58)+(AC58*AC89))/AE58</f>
        <v>0.95627818173694612</v>
      </c>
      <c r="AF89" s="3228"/>
      <c r="AG89" s="6087">
        <v>0.96899999999999997</v>
      </c>
      <c r="AH89" s="2992" t="e">
        <f>+((AD89*AD58)+(AF89*AF58))/AH58</f>
        <v>#DIV/0!</v>
      </c>
      <c r="AI89" s="4512">
        <f>+((AE89*AE58)+(AG58*AG89))/AI58</f>
        <v>0.95783544940729537</v>
      </c>
      <c r="AJ89" s="3228"/>
      <c r="AK89" s="6087">
        <v>0.99099999999999999</v>
      </c>
      <c r="AL89" s="2044" t="e">
        <f>+((AH89*AH58)+(AJ89*AJ58))/AL58</f>
        <v>#DIV/0!</v>
      </c>
      <c r="AM89" s="4778">
        <f>+((AC89*AC58)+(AG89*AG58)+(AK58*AK89))/AM58</f>
        <v>0.97664215166114754</v>
      </c>
      <c r="AN89" s="2992" t="e">
        <f>+((AH89*AH58)+(AJ89*AJ58))/AN58</f>
        <v>#DIV/0!</v>
      </c>
      <c r="AO89" s="4512">
        <f>+((AI89*AI58)+(AK58*AK89))/AO58</f>
        <v>0.9617250098015937</v>
      </c>
      <c r="AP89" s="3228"/>
      <c r="AQ89" s="6087">
        <v>0.98399999999999999</v>
      </c>
      <c r="AR89" s="2992" t="e">
        <f>+((AN89*AN58)+(AP89*AP58))/AR58</f>
        <v>#DIV/0!</v>
      </c>
      <c r="AS89" s="4512">
        <f>+((AO89*AO58)+(AQ58*AQ89))/AS58</f>
        <v>0.96418725780441505</v>
      </c>
      <c r="AT89" s="3228"/>
      <c r="AU89" s="5818">
        <v>0.91400000000000003</v>
      </c>
      <c r="AV89" s="2992" t="e">
        <f>+((AR89*AR58)+(AT89*AT58))/AV58</f>
        <v>#DIV/0!</v>
      </c>
      <c r="AW89" s="4512">
        <f>+((AS89*AS58)+(AU58*AU89))/AW58</f>
        <v>0.95946082917140085</v>
      </c>
      <c r="AX89" s="3228"/>
      <c r="AY89" s="5818">
        <v>1.0049999999999999</v>
      </c>
      <c r="AZ89" s="2044" t="e">
        <f>+((AV89*AV58)+(AX89*AX58))/AZ58</f>
        <v>#DIV/0!</v>
      </c>
      <c r="BA89" s="4778">
        <f>+((AQ89*AQ58)+(AU89*AU58)+(AY58*AY89))/BA58</f>
        <v>0.96893226863579385</v>
      </c>
      <c r="BB89" s="2044" t="e">
        <f>+((AX89*AX58)+(AZ89*AZ58))/BB58</f>
        <v>#DIV/0!</v>
      </c>
      <c r="BC89" s="4778">
        <f>+((AM89*AM58)+(BA58*BA89))/BC58</f>
        <v>0.97262508518202118</v>
      </c>
      <c r="BD89" s="6636" t="e">
        <f>+((AV89*AV58)+(AX89*AX58))/BD58</f>
        <v>#DIV/0!</v>
      </c>
      <c r="BE89" s="7095">
        <f>+((AW89*AW58)+(AY58*AY89))/BE58</f>
        <v>0.96366098928149135</v>
      </c>
    </row>
    <row r="90" spans="1:61" s="3380" customFormat="1" x14ac:dyDescent="0.2">
      <c r="B90" s="6231" t="s">
        <v>209</v>
      </c>
      <c r="C90" s="6232"/>
      <c r="D90" s="5283"/>
      <c r="E90" s="6232"/>
      <c r="F90" s="5283"/>
      <c r="G90" s="6232"/>
      <c r="H90" s="5283"/>
      <c r="I90" s="6232"/>
      <c r="J90" s="5283"/>
      <c r="K90" s="6232"/>
      <c r="L90" s="6232"/>
      <c r="M90" s="6232"/>
      <c r="N90" s="6232"/>
      <c r="O90" s="6232"/>
      <c r="P90" s="5283"/>
      <c r="Q90" s="6232"/>
      <c r="R90" s="6232"/>
      <c r="S90" s="6232"/>
      <c r="T90" s="5283"/>
      <c r="U90" s="6232"/>
      <c r="V90" s="6232"/>
      <c r="W90" s="6232"/>
      <c r="X90" s="6232"/>
      <c r="Y90" s="6232"/>
      <c r="Z90" s="5283"/>
      <c r="AA90" s="6232"/>
      <c r="AB90" s="6232"/>
      <c r="AC90" s="6232"/>
      <c r="AD90" s="5283"/>
      <c r="AE90" s="6232"/>
      <c r="AF90" s="6232"/>
      <c r="AG90" s="6232"/>
      <c r="AH90" s="5283"/>
      <c r="AI90" s="6232"/>
      <c r="AJ90" s="6232"/>
      <c r="AK90" s="6232"/>
      <c r="AL90" s="6232"/>
      <c r="AM90" s="6232"/>
      <c r="AN90" s="5283"/>
      <c r="AO90" s="6232"/>
      <c r="AP90" s="6232"/>
      <c r="AQ90" s="6232"/>
      <c r="AR90" s="5283"/>
      <c r="AS90" s="6232"/>
      <c r="AT90" s="6232"/>
      <c r="AU90" s="6232"/>
      <c r="AV90" s="5283"/>
      <c r="AW90" s="6232"/>
      <c r="AX90" s="6232"/>
      <c r="AY90" s="6232"/>
      <c r="AZ90" s="6232"/>
      <c r="BA90" s="6232"/>
      <c r="BB90" s="6232"/>
      <c r="BC90" s="6232"/>
      <c r="BD90" s="5283"/>
      <c r="BE90" s="6232"/>
    </row>
    <row r="91" spans="1:61" x14ac:dyDescent="0.2">
      <c r="B91" s="1777" t="s">
        <v>928</v>
      </c>
      <c r="C91" s="1650" t="s">
        <v>170</v>
      </c>
      <c r="D91" s="5829"/>
      <c r="E91" s="3835">
        <v>58.1</v>
      </c>
      <c r="F91" s="8998"/>
      <c r="G91" s="2559">
        <v>61.9</v>
      </c>
      <c r="H91" s="8979"/>
      <c r="I91" s="4500">
        <f>+E91+G91</f>
        <v>120</v>
      </c>
      <c r="J91" s="5829"/>
      <c r="K91" s="2559">
        <v>50.7</v>
      </c>
      <c r="L91" s="8973"/>
      <c r="M91" s="4769">
        <f>+I91+K91</f>
        <v>170.7</v>
      </c>
      <c r="N91" s="8962"/>
      <c r="O91" s="3918">
        <v>52.8</v>
      </c>
      <c r="P91" s="8979"/>
      <c r="Q91" s="4501">
        <f>+M91+O91</f>
        <v>223.5</v>
      </c>
      <c r="R91" s="8962"/>
      <c r="S91" s="3918">
        <v>55.1</v>
      </c>
      <c r="T91" s="8979"/>
      <c r="U91" s="4501">
        <f>+Q91+S91</f>
        <v>278.60000000000002</v>
      </c>
      <c r="V91" s="8962"/>
      <c r="W91" s="3918">
        <v>56.3</v>
      </c>
      <c r="X91" s="8973"/>
      <c r="Y91" s="4769">
        <f>+O91+S91+W91</f>
        <v>164.2</v>
      </c>
      <c r="Z91" s="8976"/>
      <c r="AA91" s="7051">
        <f>+U91+W91</f>
        <v>334.90000000000003</v>
      </c>
      <c r="AB91" s="8962"/>
      <c r="AC91" s="3918">
        <v>45.9</v>
      </c>
      <c r="AD91" s="8979"/>
      <c r="AE91" s="4501">
        <f>+AA91+AC91</f>
        <v>380.8</v>
      </c>
      <c r="AF91" s="8962"/>
      <c r="AG91" s="3918">
        <v>55.2</v>
      </c>
      <c r="AH91" s="8979"/>
      <c r="AI91" s="4501">
        <f>+AE91+AG91</f>
        <v>436</v>
      </c>
      <c r="AJ91" s="8962"/>
      <c r="AK91" s="3918">
        <v>78.599999999999994</v>
      </c>
      <c r="AL91" s="8973"/>
      <c r="AM91" s="4769">
        <f>+AC91+AG91+AK91</f>
        <v>179.7</v>
      </c>
      <c r="AN91" s="8979"/>
      <c r="AO91" s="4501">
        <f>+AI91+AK91</f>
        <v>514.6</v>
      </c>
      <c r="AP91" s="8962"/>
      <c r="AQ91" s="3918">
        <v>84.64</v>
      </c>
      <c r="AR91" s="8979"/>
      <c r="AS91" s="4501">
        <f>+AO91+AQ91</f>
        <v>599.24</v>
      </c>
      <c r="AT91" s="8962"/>
      <c r="AU91" s="3918">
        <v>83.683999999999997</v>
      </c>
      <c r="AV91" s="8979"/>
      <c r="AW91" s="4501">
        <f>+AS91+AU91</f>
        <v>682.92399999999998</v>
      </c>
      <c r="AX91" s="8962"/>
      <c r="AY91" s="3918">
        <v>89.122</v>
      </c>
      <c r="AZ91" s="8973"/>
      <c r="BA91" s="4769">
        <f>+AQ91+AU91+AY91</f>
        <v>257.44600000000003</v>
      </c>
      <c r="BB91" s="8973"/>
      <c r="BC91" s="4769">
        <f t="shared" ref="BC91:BC108" si="372">+AM91+BA91</f>
        <v>437.14600000000002</v>
      </c>
      <c r="BD91" s="8976"/>
      <c r="BE91" s="7051">
        <f>+AW91+AY91</f>
        <v>772.04599999999994</v>
      </c>
    </row>
    <row r="92" spans="1:61" x14ac:dyDescent="0.2">
      <c r="B92" s="1777" t="s">
        <v>929</v>
      </c>
      <c r="C92" s="1650" t="s">
        <v>170</v>
      </c>
      <c r="D92" s="5830"/>
      <c r="E92" s="2750">
        <v>28.728000000000002</v>
      </c>
      <c r="F92" s="8999"/>
      <c r="G92" s="1646">
        <v>33.192</v>
      </c>
      <c r="H92" s="8980"/>
      <c r="I92" s="4500">
        <f t="shared" ref="I92:I108" si="373">+E92+G92</f>
        <v>61.92</v>
      </c>
      <c r="J92" s="5830"/>
      <c r="K92" s="1646">
        <v>29.376000000000001</v>
      </c>
      <c r="L92" s="8974"/>
      <c r="M92" s="4769">
        <f t="shared" ref="M92:M108" si="374">+I92+K92</f>
        <v>91.296000000000006</v>
      </c>
      <c r="N92" s="8963"/>
      <c r="O92" s="3918">
        <v>31.32</v>
      </c>
      <c r="P92" s="8980"/>
      <c r="Q92" s="4501">
        <f t="shared" ref="Q92:Q108" si="375">+M92+O92</f>
        <v>122.61600000000001</v>
      </c>
      <c r="R92" s="8963"/>
      <c r="S92" s="3918">
        <v>31.248000000000001</v>
      </c>
      <c r="T92" s="8980"/>
      <c r="U92" s="4501">
        <f t="shared" ref="U92:U108" si="376">+Q92+S92</f>
        <v>153.864</v>
      </c>
      <c r="V92" s="8963"/>
      <c r="W92" s="3918">
        <v>33.624000000000002</v>
      </c>
      <c r="X92" s="8974"/>
      <c r="Y92" s="4769">
        <f t="shared" ref="Y92:Y108" si="377">+O92+S92+W92</f>
        <v>96.192000000000007</v>
      </c>
      <c r="Z92" s="8977"/>
      <c r="AA92" s="7051">
        <f t="shared" ref="AA92:AA108" si="378">+U92+W92</f>
        <v>187.488</v>
      </c>
      <c r="AB92" s="8963"/>
      <c r="AC92" s="3918">
        <v>27</v>
      </c>
      <c r="AD92" s="8980"/>
      <c r="AE92" s="4501">
        <f t="shared" ref="AE92:AE108" si="379">+AA92+AC92</f>
        <v>214.488</v>
      </c>
      <c r="AF92" s="8963"/>
      <c r="AG92" s="3918">
        <v>30.312000000000001</v>
      </c>
      <c r="AH92" s="8980"/>
      <c r="AI92" s="4501">
        <f t="shared" ref="AI92:AI108" si="380">+AE92+AG92</f>
        <v>244.8</v>
      </c>
      <c r="AJ92" s="8963"/>
      <c r="AK92" s="3918">
        <v>39.311999999999998</v>
      </c>
      <c r="AL92" s="8974"/>
      <c r="AM92" s="4769">
        <f t="shared" ref="AM92:AM108" si="381">+AC92+AG92+AK92</f>
        <v>96.623999999999995</v>
      </c>
      <c r="AN92" s="8980"/>
      <c r="AO92" s="4501">
        <f t="shared" ref="AO92:AO108" si="382">+AI92+AK92</f>
        <v>284.11200000000002</v>
      </c>
      <c r="AP92" s="8963"/>
      <c r="AQ92" s="3918">
        <v>57.67</v>
      </c>
      <c r="AR92" s="8980"/>
      <c r="AS92" s="4501">
        <f t="shared" ref="AS92:AS108" si="383">+AO92+AQ92</f>
        <v>341.78200000000004</v>
      </c>
      <c r="AT92" s="8963"/>
      <c r="AU92" s="3918">
        <v>70.847999999999999</v>
      </c>
      <c r="AV92" s="8980"/>
      <c r="AW92" s="4501">
        <f t="shared" ref="AW92:AW108" si="384">+AS92+AU92</f>
        <v>412.63000000000005</v>
      </c>
      <c r="AX92" s="8963"/>
      <c r="AY92" s="3918">
        <v>75.096000000000004</v>
      </c>
      <c r="AZ92" s="8974"/>
      <c r="BA92" s="4769">
        <f t="shared" ref="BA92:BA108" si="385">+AQ92+AU92+AY92</f>
        <v>203.614</v>
      </c>
      <c r="BB92" s="8974"/>
      <c r="BC92" s="4769">
        <f t="shared" si="372"/>
        <v>300.238</v>
      </c>
      <c r="BD92" s="8977"/>
      <c r="BE92" s="7051">
        <f t="shared" ref="BE92:BE108" si="386">+AW92+AY92</f>
        <v>487.72600000000006</v>
      </c>
    </row>
    <row r="93" spans="1:61" x14ac:dyDescent="0.2">
      <c r="B93" s="1778" t="s">
        <v>930</v>
      </c>
      <c r="C93" s="1650" t="s">
        <v>927</v>
      </c>
      <c r="D93" s="5830"/>
      <c r="E93" s="3835">
        <v>446</v>
      </c>
      <c r="F93" s="8999"/>
      <c r="G93" s="1636">
        <v>465</v>
      </c>
      <c r="H93" s="8980"/>
      <c r="I93" s="4500">
        <f t="shared" si="373"/>
        <v>911</v>
      </c>
      <c r="J93" s="5830"/>
      <c r="K93" s="1646">
        <v>450</v>
      </c>
      <c r="L93" s="8974"/>
      <c r="M93" s="4769">
        <f t="shared" si="374"/>
        <v>1361</v>
      </c>
      <c r="N93" s="8963"/>
      <c r="O93" s="3918">
        <v>460</v>
      </c>
      <c r="P93" s="8980"/>
      <c r="Q93" s="4501">
        <f t="shared" si="375"/>
        <v>1821</v>
      </c>
      <c r="R93" s="8963"/>
      <c r="S93" s="3918">
        <v>470</v>
      </c>
      <c r="T93" s="8980"/>
      <c r="U93" s="4501">
        <f t="shared" si="376"/>
        <v>2291</v>
      </c>
      <c r="V93" s="8963"/>
      <c r="W93" s="3918">
        <v>450</v>
      </c>
      <c r="X93" s="8974"/>
      <c r="Y93" s="4769">
        <f t="shared" si="377"/>
        <v>1380</v>
      </c>
      <c r="Z93" s="8977"/>
      <c r="AA93" s="7051">
        <f t="shared" si="378"/>
        <v>2741</v>
      </c>
      <c r="AB93" s="8963"/>
      <c r="AC93" s="3918">
        <v>465</v>
      </c>
      <c r="AD93" s="8980"/>
      <c r="AE93" s="4501">
        <f t="shared" si="379"/>
        <v>3206</v>
      </c>
      <c r="AF93" s="8963"/>
      <c r="AG93" s="3918">
        <v>450</v>
      </c>
      <c r="AH93" s="8980"/>
      <c r="AI93" s="4501">
        <f t="shared" si="380"/>
        <v>3656</v>
      </c>
      <c r="AJ93" s="8963"/>
      <c r="AK93" s="3918">
        <v>465</v>
      </c>
      <c r="AL93" s="8974"/>
      <c r="AM93" s="4769">
        <f t="shared" si="381"/>
        <v>1380</v>
      </c>
      <c r="AN93" s="8980"/>
      <c r="AO93" s="4501">
        <f t="shared" si="382"/>
        <v>4121</v>
      </c>
      <c r="AP93" s="8963"/>
      <c r="AQ93" s="3918">
        <v>460</v>
      </c>
      <c r="AR93" s="8980"/>
      <c r="AS93" s="4501">
        <f t="shared" si="383"/>
        <v>4581</v>
      </c>
      <c r="AT93" s="8963"/>
      <c r="AU93" s="3918">
        <v>420</v>
      </c>
      <c r="AV93" s="8980"/>
      <c r="AW93" s="4501">
        <f t="shared" si="384"/>
        <v>5001</v>
      </c>
      <c r="AX93" s="8963"/>
      <c r="AY93" s="3918">
        <v>465</v>
      </c>
      <c r="AZ93" s="8974"/>
      <c r="BA93" s="4769">
        <f t="shared" si="385"/>
        <v>1345</v>
      </c>
      <c r="BB93" s="8974"/>
      <c r="BC93" s="4769">
        <f t="shared" si="372"/>
        <v>2725</v>
      </c>
      <c r="BD93" s="8977"/>
      <c r="BE93" s="7051">
        <f t="shared" si="386"/>
        <v>5466</v>
      </c>
    </row>
    <row r="94" spans="1:61" x14ac:dyDescent="0.2">
      <c r="B94" s="1778" t="s">
        <v>931</v>
      </c>
      <c r="C94" s="1650" t="s">
        <v>927</v>
      </c>
      <c r="D94" s="5830"/>
      <c r="E94" s="3835">
        <v>945</v>
      </c>
      <c r="F94" s="8999"/>
      <c r="G94" s="1636">
        <v>965</v>
      </c>
      <c r="H94" s="8980"/>
      <c r="I94" s="4500">
        <f t="shared" si="373"/>
        <v>1910</v>
      </c>
      <c r="J94" s="5830"/>
      <c r="K94" s="1646">
        <v>940</v>
      </c>
      <c r="L94" s="8974"/>
      <c r="M94" s="4769">
        <f t="shared" si="374"/>
        <v>2850</v>
      </c>
      <c r="N94" s="8963"/>
      <c r="O94" s="3918">
        <v>930</v>
      </c>
      <c r="P94" s="8980"/>
      <c r="Q94" s="4501">
        <f t="shared" si="375"/>
        <v>3780</v>
      </c>
      <c r="R94" s="8963"/>
      <c r="S94" s="3918">
        <v>885</v>
      </c>
      <c r="T94" s="8980"/>
      <c r="U94" s="4501">
        <f t="shared" si="376"/>
        <v>4665</v>
      </c>
      <c r="V94" s="8963"/>
      <c r="W94" s="3918">
        <v>670</v>
      </c>
      <c r="X94" s="8974"/>
      <c r="Y94" s="4769">
        <f t="shared" si="377"/>
        <v>2485</v>
      </c>
      <c r="Z94" s="8977"/>
      <c r="AA94" s="7051">
        <f t="shared" si="378"/>
        <v>5335</v>
      </c>
      <c r="AB94" s="8963"/>
      <c r="AC94" s="3918">
        <v>700</v>
      </c>
      <c r="AD94" s="8980"/>
      <c r="AE94" s="4501">
        <f t="shared" si="379"/>
        <v>6035</v>
      </c>
      <c r="AF94" s="8963"/>
      <c r="AG94" s="3918">
        <v>810</v>
      </c>
      <c r="AH94" s="8980"/>
      <c r="AI94" s="4501">
        <f t="shared" si="380"/>
        <v>6845</v>
      </c>
      <c r="AJ94" s="8963"/>
      <c r="AK94" s="3918">
        <v>820</v>
      </c>
      <c r="AL94" s="8974"/>
      <c r="AM94" s="4769">
        <f t="shared" si="381"/>
        <v>2330</v>
      </c>
      <c r="AN94" s="8980"/>
      <c r="AO94" s="4501">
        <f t="shared" si="382"/>
        <v>7665</v>
      </c>
      <c r="AP94" s="8963"/>
      <c r="AQ94" s="3918">
        <v>860</v>
      </c>
      <c r="AR94" s="8980"/>
      <c r="AS94" s="4501">
        <f t="shared" si="383"/>
        <v>8525</v>
      </c>
      <c r="AT94" s="8963"/>
      <c r="AU94" s="3918">
        <v>670</v>
      </c>
      <c r="AV94" s="8980"/>
      <c r="AW94" s="4501">
        <f t="shared" si="384"/>
        <v>9195</v>
      </c>
      <c r="AX94" s="8963"/>
      <c r="AY94" s="3918">
        <v>645</v>
      </c>
      <c r="AZ94" s="8974"/>
      <c r="BA94" s="4769">
        <f t="shared" si="385"/>
        <v>2175</v>
      </c>
      <c r="BB94" s="8974"/>
      <c r="BC94" s="4769">
        <f t="shared" si="372"/>
        <v>4505</v>
      </c>
      <c r="BD94" s="8977"/>
      <c r="BE94" s="7051">
        <f t="shared" si="386"/>
        <v>9840</v>
      </c>
    </row>
    <row r="95" spans="1:61" x14ac:dyDescent="0.2">
      <c r="B95" s="1778" t="s">
        <v>932</v>
      </c>
      <c r="C95" s="1650" t="s">
        <v>927</v>
      </c>
      <c r="D95" s="5830"/>
      <c r="E95" s="3835">
        <v>316</v>
      </c>
      <c r="F95" s="8999"/>
      <c r="G95" s="1636">
        <v>157</v>
      </c>
      <c r="H95" s="8980"/>
      <c r="I95" s="4500">
        <f t="shared" si="373"/>
        <v>473</v>
      </c>
      <c r="J95" s="5830"/>
      <c r="K95" s="1646">
        <v>133</v>
      </c>
      <c r="L95" s="8974"/>
      <c r="M95" s="4769">
        <f t="shared" si="374"/>
        <v>606</v>
      </c>
      <c r="N95" s="8963"/>
      <c r="O95" s="3918">
        <v>94</v>
      </c>
      <c r="P95" s="8980"/>
      <c r="Q95" s="4501">
        <f t="shared" si="375"/>
        <v>700</v>
      </c>
      <c r="R95" s="8963"/>
      <c r="S95" s="3918">
        <v>188.5</v>
      </c>
      <c r="T95" s="8980"/>
      <c r="U95" s="4501">
        <f t="shared" si="376"/>
        <v>888.5</v>
      </c>
      <c r="V95" s="8963"/>
      <c r="W95" s="3918">
        <v>95</v>
      </c>
      <c r="X95" s="8974"/>
      <c r="Y95" s="4769">
        <f t="shared" si="377"/>
        <v>377.5</v>
      </c>
      <c r="Z95" s="8977"/>
      <c r="AA95" s="7051">
        <f t="shared" si="378"/>
        <v>983.5</v>
      </c>
      <c r="AB95" s="8963"/>
      <c r="AC95" s="3918">
        <v>72</v>
      </c>
      <c r="AD95" s="8980"/>
      <c r="AE95" s="4501">
        <f t="shared" si="379"/>
        <v>1055.5</v>
      </c>
      <c r="AF95" s="8963"/>
      <c r="AG95" s="3918">
        <v>141</v>
      </c>
      <c r="AH95" s="8980"/>
      <c r="AI95" s="4501">
        <f t="shared" si="380"/>
        <v>1196.5</v>
      </c>
      <c r="AJ95" s="8963"/>
      <c r="AK95" s="3918">
        <v>199</v>
      </c>
      <c r="AL95" s="8974"/>
      <c r="AM95" s="4769">
        <f t="shared" si="381"/>
        <v>412</v>
      </c>
      <c r="AN95" s="8980"/>
      <c r="AO95" s="4501">
        <f t="shared" si="382"/>
        <v>1395.5</v>
      </c>
      <c r="AP95" s="8963"/>
      <c r="AQ95" s="3918">
        <v>166.5</v>
      </c>
      <c r="AR95" s="8980"/>
      <c r="AS95" s="4501">
        <f t="shared" si="383"/>
        <v>1562</v>
      </c>
      <c r="AT95" s="8963"/>
      <c r="AU95" s="3918">
        <v>114</v>
      </c>
      <c r="AV95" s="8980"/>
      <c r="AW95" s="4501">
        <f t="shared" si="384"/>
        <v>1676</v>
      </c>
      <c r="AX95" s="8963"/>
      <c r="AY95" s="3918">
        <v>34</v>
      </c>
      <c r="AZ95" s="8974"/>
      <c r="BA95" s="4769">
        <f t="shared" si="385"/>
        <v>314.5</v>
      </c>
      <c r="BB95" s="8974"/>
      <c r="BC95" s="4769">
        <f t="shared" si="372"/>
        <v>726.5</v>
      </c>
      <c r="BD95" s="8977"/>
      <c r="BE95" s="7051">
        <f t="shared" si="386"/>
        <v>1710</v>
      </c>
    </row>
    <row r="96" spans="1:61" x14ac:dyDescent="0.2">
      <c r="B96" s="1778" t="s">
        <v>933</v>
      </c>
      <c r="C96" s="1650" t="s">
        <v>927</v>
      </c>
      <c r="D96" s="5830"/>
      <c r="E96" s="3835">
        <v>117</v>
      </c>
      <c r="F96" s="8999"/>
      <c r="G96" s="1636">
        <v>111</v>
      </c>
      <c r="H96" s="8980"/>
      <c r="I96" s="4500">
        <f t="shared" si="373"/>
        <v>228</v>
      </c>
      <c r="J96" s="5830"/>
      <c r="K96" s="1646">
        <v>89</v>
      </c>
      <c r="L96" s="8974"/>
      <c r="M96" s="4769">
        <f t="shared" si="374"/>
        <v>317</v>
      </c>
      <c r="N96" s="8963"/>
      <c r="O96" s="3918">
        <v>112</v>
      </c>
      <c r="P96" s="8980"/>
      <c r="Q96" s="4501">
        <f t="shared" si="375"/>
        <v>429</v>
      </c>
      <c r="R96" s="8963"/>
      <c r="S96" s="3918">
        <v>76</v>
      </c>
      <c r="T96" s="8980"/>
      <c r="U96" s="4501">
        <f t="shared" si="376"/>
        <v>505</v>
      </c>
      <c r="V96" s="8963"/>
      <c r="W96" s="3918">
        <v>82</v>
      </c>
      <c r="X96" s="8974"/>
      <c r="Y96" s="4769">
        <f t="shared" si="377"/>
        <v>270</v>
      </c>
      <c r="Z96" s="8977"/>
      <c r="AA96" s="7051">
        <f t="shared" si="378"/>
        <v>587</v>
      </c>
      <c r="AB96" s="8963"/>
      <c r="AC96" s="3918">
        <v>93</v>
      </c>
      <c r="AD96" s="8980"/>
      <c r="AE96" s="4501">
        <f t="shared" si="379"/>
        <v>680</v>
      </c>
      <c r="AF96" s="8963"/>
      <c r="AG96" s="3918">
        <v>130</v>
      </c>
      <c r="AH96" s="8980"/>
      <c r="AI96" s="4501">
        <f t="shared" si="380"/>
        <v>810</v>
      </c>
      <c r="AJ96" s="8963"/>
      <c r="AK96" s="3918">
        <v>107</v>
      </c>
      <c r="AL96" s="8974"/>
      <c r="AM96" s="4769">
        <f t="shared" si="381"/>
        <v>330</v>
      </c>
      <c r="AN96" s="8980"/>
      <c r="AO96" s="4501">
        <f t="shared" si="382"/>
        <v>917</v>
      </c>
      <c r="AP96" s="8963"/>
      <c r="AQ96" s="3918">
        <v>104</v>
      </c>
      <c r="AR96" s="8980"/>
      <c r="AS96" s="4501">
        <f t="shared" si="383"/>
        <v>1021</v>
      </c>
      <c r="AT96" s="8963"/>
      <c r="AU96" s="3918">
        <v>121</v>
      </c>
      <c r="AV96" s="8980"/>
      <c r="AW96" s="4501">
        <f t="shared" si="384"/>
        <v>1142</v>
      </c>
      <c r="AX96" s="8963"/>
      <c r="AY96" s="3918">
        <v>68</v>
      </c>
      <c r="AZ96" s="8974"/>
      <c r="BA96" s="4769">
        <f t="shared" si="385"/>
        <v>293</v>
      </c>
      <c r="BB96" s="8974"/>
      <c r="BC96" s="4769">
        <f t="shared" si="372"/>
        <v>623</v>
      </c>
      <c r="BD96" s="8977"/>
      <c r="BE96" s="7051">
        <f t="shared" si="386"/>
        <v>1210</v>
      </c>
    </row>
    <row r="97" spans="2:57" s="3380" customFormat="1" x14ac:dyDescent="0.2">
      <c r="B97" s="5265" t="s">
        <v>934</v>
      </c>
      <c r="C97" s="5266" t="s">
        <v>927</v>
      </c>
      <c r="D97" s="5830"/>
      <c r="E97" s="4419">
        <v>145</v>
      </c>
      <c r="F97" s="8999"/>
      <c r="G97" s="4620">
        <v>209</v>
      </c>
      <c r="H97" s="8980"/>
      <c r="I97" s="4500">
        <f t="shared" si="373"/>
        <v>354</v>
      </c>
      <c r="J97" s="5830"/>
      <c r="K97" s="3918">
        <v>254</v>
      </c>
      <c r="L97" s="8974"/>
      <c r="M97" s="4769">
        <f t="shared" si="374"/>
        <v>608</v>
      </c>
      <c r="N97" s="8963"/>
      <c r="O97" s="3918">
        <v>165</v>
      </c>
      <c r="P97" s="8980"/>
      <c r="Q97" s="4501">
        <f t="shared" si="375"/>
        <v>773</v>
      </c>
      <c r="R97" s="8963"/>
      <c r="S97" s="3918">
        <v>143</v>
      </c>
      <c r="T97" s="8980"/>
      <c r="U97" s="4501">
        <f t="shared" si="376"/>
        <v>916</v>
      </c>
      <c r="V97" s="8963"/>
      <c r="W97" s="3918">
        <v>131</v>
      </c>
      <c r="X97" s="8974"/>
      <c r="Y97" s="4769">
        <f t="shared" si="377"/>
        <v>439</v>
      </c>
      <c r="Z97" s="8977"/>
      <c r="AA97" s="7051">
        <f t="shared" si="378"/>
        <v>1047</v>
      </c>
      <c r="AB97" s="8963"/>
      <c r="AC97" s="3918">
        <v>116</v>
      </c>
      <c r="AD97" s="8980"/>
      <c r="AE97" s="4501">
        <f t="shared" si="379"/>
        <v>1163</v>
      </c>
      <c r="AF97" s="8963"/>
      <c r="AG97" s="3918">
        <v>170</v>
      </c>
      <c r="AH97" s="8980"/>
      <c r="AI97" s="4501">
        <f t="shared" si="380"/>
        <v>1333</v>
      </c>
      <c r="AJ97" s="8963"/>
      <c r="AK97" s="3918">
        <v>62</v>
      </c>
      <c r="AL97" s="8974"/>
      <c r="AM97" s="4769">
        <f t="shared" si="381"/>
        <v>348</v>
      </c>
      <c r="AN97" s="8980"/>
      <c r="AO97" s="4501">
        <f t="shared" si="382"/>
        <v>1395</v>
      </c>
      <c r="AP97" s="8963"/>
      <c r="AQ97" s="3918">
        <v>1</v>
      </c>
      <c r="AR97" s="8980"/>
      <c r="AS97" s="4501">
        <f t="shared" si="383"/>
        <v>1396</v>
      </c>
      <c r="AT97" s="8963"/>
      <c r="AU97" s="3918">
        <v>0</v>
      </c>
      <c r="AV97" s="8980"/>
      <c r="AW97" s="4501">
        <f t="shared" si="384"/>
        <v>1396</v>
      </c>
      <c r="AX97" s="8963"/>
      <c r="AY97" s="3918">
        <v>0</v>
      </c>
      <c r="AZ97" s="8974"/>
      <c r="BA97" s="4769">
        <f t="shared" si="385"/>
        <v>1</v>
      </c>
      <c r="BB97" s="8974"/>
      <c r="BC97" s="4769">
        <f t="shared" si="372"/>
        <v>349</v>
      </c>
      <c r="BD97" s="8977"/>
      <c r="BE97" s="7051">
        <f t="shared" si="386"/>
        <v>1396</v>
      </c>
    </row>
    <row r="98" spans="2:57" s="3380" customFormat="1" x14ac:dyDescent="0.2">
      <c r="B98" s="5265" t="s">
        <v>935</v>
      </c>
      <c r="C98" s="5266" t="s">
        <v>927</v>
      </c>
      <c r="D98" s="5830"/>
      <c r="E98" s="4419">
        <v>4430</v>
      </c>
      <c r="F98" s="8999"/>
      <c r="G98" s="4620">
        <v>4470</v>
      </c>
      <c r="H98" s="8980"/>
      <c r="I98" s="4500">
        <f t="shared" si="373"/>
        <v>8900</v>
      </c>
      <c r="J98" s="5830"/>
      <c r="K98" s="3918">
        <v>4580</v>
      </c>
      <c r="L98" s="8974"/>
      <c r="M98" s="4769">
        <f t="shared" si="374"/>
        <v>13480</v>
      </c>
      <c r="N98" s="8963"/>
      <c r="O98" s="3918">
        <v>4570</v>
      </c>
      <c r="P98" s="8980"/>
      <c r="Q98" s="4501">
        <f t="shared" si="375"/>
        <v>18050</v>
      </c>
      <c r="R98" s="8963"/>
      <c r="S98" s="3918">
        <v>3490</v>
      </c>
      <c r="T98" s="8980"/>
      <c r="U98" s="4501">
        <f t="shared" si="376"/>
        <v>21540</v>
      </c>
      <c r="V98" s="8963"/>
      <c r="W98" s="3918">
        <v>4250</v>
      </c>
      <c r="X98" s="8974"/>
      <c r="Y98" s="4769">
        <f t="shared" si="377"/>
        <v>12310</v>
      </c>
      <c r="Z98" s="8977"/>
      <c r="AA98" s="7051">
        <f t="shared" si="378"/>
        <v>25790</v>
      </c>
      <c r="AB98" s="8963"/>
      <c r="AC98" s="3918">
        <v>4470</v>
      </c>
      <c r="AD98" s="8980"/>
      <c r="AE98" s="4501">
        <f t="shared" si="379"/>
        <v>30260</v>
      </c>
      <c r="AF98" s="8963"/>
      <c r="AG98" s="3918">
        <v>4400</v>
      </c>
      <c r="AH98" s="8980"/>
      <c r="AI98" s="4501">
        <f t="shared" si="380"/>
        <v>34660</v>
      </c>
      <c r="AJ98" s="8963"/>
      <c r="AK98" s="3918">
        <v>4410</v>
      </c>
      <c r="AL98" s="8974"/>
      <c r="AM98" s="4769">
        <f t="shared" si="381"/>
        <v>13280</v>
      </c>
      <c r="AN98" s="8980"/>
      <c r="AO98" s="4501">
        <f t="shared" si="382"/>
        <v>39070</v>
      </c>
      <c r="AP98" s="8963"/>
      <c r="AQ98" s="3918">
        <v>4190</v>
      </c>
      <c r="AR98" s="8980"/>
      <c r="AS98" s="4501">
        <f t="shared" si="383"/>
        <v>43260</v>
      </c>
      <c r="AT98" s="8963"/>
      <c r="AU98" s="3918">
        <v>3821</v>
      </c>
      <c r="AV98" s="8980"/>
      <c r="AW98" s="4501">
        <f t="shared" si="384"/>
        <v>47081</v>
      </c>
      <c r="AX98" s="8963"/>
      <c r="AY98" s="3918">
        <v>2330</v>
      </c>
      <c r="AZ98" s="8974"/>
      <c r="BA98" s="4769">
        <f t="shared" si="385"/>
        <v>10341</v>
      </c>
      <c r="BB98" s="8974"/>
      <c r="BC98" s="4769">
        <f t="shared" si="372"/>
        <v>23621</v>
      </c>
      <c r="BD98" s="8977"/>
      <c r="BE98" s="7051">
        <f t="shared" si="386"/>
        <v>49411</v>
      </c>
    </row>
    <row r="99" spans="2:57" s="3380" customFormat="1" x14ac:dyDescent="0.2">
      <c r="B99" s="5265" t="s">
        <v>936</v>
      </c>
      <c r="C99" s="5266" t="s">
        <v>927</v>
      </c>
      <c r="D99" s="5830"/>
      <c r="E99" s="4419">
        <v>52</v>
      </c>
      <c r="F99" s="8999"/>
      <c r="G99" s="4620">
        <v>58</v>
      </c>
      <c r="H99" s="8980"/>
      <c r="I99" s="4500">
        <f t="shared" si="373"/>
        <v>110</v>
      </c>
      <c r="J99" s="5830"/>
      <c r="K99" s="3918">
        <v>38</v>
      </c>
      <c r="L99" s="8974"/>
      <c r="M99" s="4769">
        <f t="shared" si="374"/>
        <v>148</v>
      </c>
      <c r="N99" s="8963"/>
      <c r="O99" s="3918">
        <v>35</v>
      </c>
      <c r="P99" s="8980"/>
      <c r="Q99" s="4501">
        <f t="shared" si="375"/>
        <v>183</v>
      </c>
      <c r="R99" s="8963"/>
      <c r="S99" s="3918">
        <v>29</v>
      </c>
      <c r="T99" s="8980"/>
      <c r="U99" s="4501">
        <f t="shared" si="376"/>
        <v>212</v>
      </c>
      <c r="V99" s="8963"/>
      <c r="W99" s="3918">
        <v>46</v>
      </c>
      <c r="X99" s="8974"/>
      <c r="Y99" s="4769">
        <f t="shared" si="377"/>
        <v>110</v>
      </c>
      <c r="Z99" s="8977"/>
      <c r="AA99" s="7051">
        <f t="shared" si="378"/>
        <v>258</v>
      </c>
      <c r="AB99" s="8963"/>
      <c r="AC99" s="3918">
        <v>34</v>
      </c>
      <c r="AD99" s="8980"/>
      <c r="AE99" s="4501">
        <f t="shared" si="379"/>
        <v>292</v>
      </c>
      <c r="AF99" s="8963"/>
      <c r="AG99" s="3918">
        <v>37</v>
      </c>
      <c r="AH99" s="8980"/>
      <c r="AI99" s="4501">
        <f t="shared" si="380"/>
        <v>329</v>
      </c>
      <c r="AJ99" s="8963"/>
      <c r="AK99" s="3918">
        <v>37</v>
      </c>
      <c r="AL99" s="8974"/>
      <c r="AM99" s="4769">
        <f t="shared" si="381"/>
        <v>108</v>
      </c>
      <c r="AN99" s="8980"/>
      <c r="AO99" s="4501">
        <f t="shared" si="382"/>
        <v>366</v>
      </c>
      <c r="AP99" s="8963"/>
      <c r="AQ99" s="3918">
        <v>42</v>
      </c>
      <c r="AR99" s="8980"/>
      <c r="AS99" s="4501">
        <f t="shared" si="383"/>
        <v>408</v>
      </c>
      <c r="AT99" s="8963"/>
      <c r="AU99" s="3918">
        <v>32</v>
      </c>
      <c r="AV99" s="8980"/>
      <c r="AW99" s="4501">
        <f t="shared" si="384"/>
        <v>440</v>
      </c>
      <c r="AX99" s="8963"/>
      <c r="AY99" s="3918">
        <v>20</v>
      </c>
      <c r="AZ99" s="8974"/>
      <c r="BA99" s="4769">
        <f t="shared" si="385"/>
        <v>94</v>
      </c>
      <c r="BB99" s="8974"/>
      <c r="BC99" s="4769">
        <f t="shared" si="372"/>
        <v>202</v>
      </c>
      <c r="BD99" s="8977"/>
      <c r="BE99" s="7051">
        <f t="shared" si="386"/>
        <v>460</v>
      </c>
    </row>
    <row r="100" spans="2:57" s="3380" customFormat="1" x14ac:dyDescent="0.2">
      <c r="B100" s="5265" t="s">
        <v>937</v>
      </c>
      <c r="C100" s="5266" t="s">
        <v>927</v>
      </c>
      <c r="D100" s="5830"/>
      <c r="E100" s="4419">
        <v>530</v>
      </c>
      <c r="F100" s="8999"/>
      <c r="G100" s="4620">
        <v>585</v>
      </c>
      <c r="H100" s="8980"/>
      <c r="I100" s="4500">
        <f t="shared" si="373"/>
        <v>1115</v>
      </c>
      <c r="J100" s="5830"/>
      <c r="K100" s="3918">
        <v>530</v>
      </c>
      <c r="L100" s="8974"/>
      <c r="M100" s="4769">
        <f t="shared" si="374"/>
        <v>1645</v>
      </c>
      <c r="N100" s="8963"/>
      <c r="O100" s="3918">
        <v>540</v>
      </c>
      <c r="P100" s="8980"/>
      <c r="Q100" s="4501">
        <f t="shared" si="375"/>
        <v>2185</v>
      </c>
      <c r="R100" s="8963"/>
      <c r="S100" s="3918">
        <v>425</v>
      </c>
      <c r="T100" s="8980"/>
      <c r="U100" s="4501">
        <f t="shared" si="376"/>
        <v>2610</v>
      </c>
      <c r="V100" s="8963"/>
      <c r="W100" s="3918">
        <v>635</v>
      </c>
      <c r="X100" s="8974"/>
      <c r="Y100" s="4769">
        <f t="shared" si="377"/>
        <v>1600</v>
      </c>
      <c r="Z100" s="8977"/>
      <c r="AA100" s="7051">
        <f t="shared" si="378"/>
        <v>3245</v>
      </c>
      <c r="AB100" s="8963"/>
      <c r="AC100" s="3918">
        <v>625</v>
      </c>
      <c r="AD100" s="8980"/>
      <c r="AE100" s="4501">
        <f t="shared" si="379"/>
        <v>3870</v>
      </c>
      <c r="AF100" s="8963"/>
      <c r="AG100" s="3918">
        <v>620</v>
      </c>
      <c r="AH100" s="8980"/>
      <c r="AI100" s="4501">
        <f t="shared" si="380"/>
        <v>4490</v>
      </c>
      <c r="AJ100" s="8963"/>
      <c r="AK100" s="3918">
        <v>570</v>
      </c>
      <c r="AL100" s="8974"/>
      <c r="AM100" s="4769">
        <f t="shared" si="381"/>
        <v>1815</v>
      </c>
      <c r="AN100" s="8980"/>
      <c r="AO100" s="4501">
        <f t="shared" si="382"/>
        <v>5060</v>
      </c>
      <c r="AP100" s="8963"/>
      <c r="AQ100" s="3918">
        <v>565</v>
      </c>
      <c r="AR100" s="8980"/>
      <c r="AS100" s="4501">
        <f t="shared" si="383"/>
        <v>5625</v>
      </c>
      <c r="AT100" s="8963"/>
      <c r="AU100" s="3918">
        <v>530</v>
      </c>
      <c r="AV100" s="8980"/>
      <c r="AW100" s="4501">
        <f t="shared" si="384"/>
        <v>6155</v>
      </c>
      <c r="AX100" s="8963"/>
      <c r="AY100" s="3918">
        <v>310</v>
      </c>
      <c r="AZ100" s="8974"/>
      <c r="BA100" s="4769">
        <f t="shared" si="385"/>
        <v>1405</v>
      </c>
      <c r="BB100" s="8974"/>
      <c r="BC100" s="4769">
        <f t="shared" si="372"/>
        <v>3220</v>
      </c>
      <c r="BD100" s="8977"/>
      <c r="BE100" s="7051">
        <f t="shared" si="386"/>
        <v>6465</v>
      </c>
    </row>
    <row r="101" spans="2:57" s="3380" customFormat="1" x14ac:dyDescent="0.2">
      <c r="B101" s="5265" t="s">
        <v>938</v>
      </c>
      <c r="C101" s="5266" t="s">
        <v>927</v>
      </c>
      <c r="D101" s="5830"/>
      <c r="E101" s="4419">
        <v>47.25</v>
      </c>
      <c r="F101" s="8999"/>
      <c r="G101" s="4620">
        <v>53</v>
      </c>
      <c r="H101" s="8980"/>
      <c r="I101" s="4500">
        <f t="shared" si="373"/>
        <v>100.25</v>
      </c>
      <c r="J101" s="5830"/>
      <c r="K101" s="3918">
        <v>49</v>
      </c>
      <c r="L101" s="8974"/>
      <c r="M101" s="4769">
        <f t="shared" si="374"/>
        <v>149.25</v>
      </c>
      <c r="N101" s="8963"/>
      <c r="O101" s="3918">
        <v>47.5</v>
      </c>
      <c r="P101" s="8980"/>
      <c r="Q101" s="4501">
        <f t="shared" si="375"/>
        <v>196.75</v>
      </c>
      <c r="R101" s="8963"/>
      <c r="S101" s="3918">
        <v>27</v>
      </c>
      <c r="T101" s="8980"/>
      <c r="U101" s="4501">
        <f t="shared" si="376"/>
        <v>223.75</v>
      </c>
      <c r="V101" s="8963"/>
      <c r="W101" s="3918">
        <v>42</v>
      </c>
      <c r="X101" s="8974"/>
      <c r="Y101" s="4769">
        <f t="shared" si="377"/>
        <v>116.5</v>
      </c>
      <c r="Z101" s="8977"/>
      <c r="AA101" s="7051">
        <f t="shared" si="378"/>
        <v>265.75</v>
      </c>
      <c r="AB101" s="8963"/>
      <c r="AC101" s="3918">
        <v>52</v>
      </c>
      <c r="AD101" s="8980"/>
      <c r="AE101" s="4501">
        <f t="shared" si="379"/>
        <v>317.75</v>
      </c>
      <c r="AF101" s="8963"/>
      <c r="AG101" s="3918">
        <v>38.5</v>
      </c>
      <c r="AH101" s="8980"/>
      <c r="AI101" s="4501">
        <f t="shared" si="380"/>
        <v>356.25</v>
      </c>
      <c r="AJ101" s="8963"/>
      <c r="AK101" s="3918">
        <v>42</v>
      </c>
      <c r="AL101" s="8974"/>
      <c r="AM101" s="4769">
        <f t="shared" si="381"/>
        <v>132.5</v>
      </c>
      <c r="AN101" s="8980"/>
      <c r="AO101" s="4501">
        <f t="shared" si="382"/>
        <v>398.25</v>
      </c>
      <c r="AP101" s="8963"/>
      <c r="AQ101" s="3918">
        <v>40</v>
      </c>
      <c r="AR101" s="8980"/>
      <c r="AS101" s="4501">
        <f t="shared" si="383"/>
        <v>438.25</v>
      </c>
      <c r="AT101" s="8963"/>
      <c r="AU101" s="3918">
        <v>44</v>
      </c>
      <c r="AV101" s="8980"/>
      <c r="AW101" s="4501">
        <f t="shared" si="384"/>
        <v>482.25</v>
      </c>
      <c r="AX101" s="8963"/>
      <c r="AY101" s="3918">
        <v>26</v>
      </c>
      <c r="AZ101" s="8974"/>
      <c r="BA101" s="4769">
        <f t="shared" si="385"/>
        <v>110</v>
      </c>
      <c r="BB101" s="8974"/>
      <c r="BC101" s="4769">
        <f t="shared" si="372"/>
        <v>242.5</v>
      </c>
      <c r="BD101" s="8977"/>
      <c r="BE101" s="7051">
        <f t="shared" si="386"/>
        <v>508.25</v>
      </c>
    </row>
    <row r="102" spans="2:57" s="3380" customFormat="1" x14ac:dyDescent="0.2">
      <c r="B102" s="5265" t="s">
        <v>939</v>
      </c>
      <c r="C102" s="5266" t="s">
        <v>927</v>
      </c>
      <c r="D102" s="5830"/>
      <c r="E102" s="4419">
        <v>0</v>
      </c>
      <c r="F102" s="8999"/>
      <c r="G102" s="4620">
        <v>0</v>
      </c>
      <c r="H102" s="8980"/>
      <c r="I102" s="4500">
        <f t="shared" si="373"/>
        <v>0</v>
      </c>
      <c r="J102" s="5830"/>
      <c r="K102" s="3918">
        <v>0</v>
      </c>
      <c r="L102" s="8974"/>
      <c r="M102" s="4769">
        <f t="shared" si="374"/>
        <v>0</v>
      </c>
      <c r="N102" s="8963"/>
      <c r="O102" s="3918">
        <v>0</v>
      </c>
      <c r="P102" s="8980"/>
      <c r="Q102" s="4501">
        <f t="shared" si="375"/>
        <v>0</v>
      </c>
      <c r="R102" s="8963"/>
      <c r="S102" s="3918">
        <v>0</v>
      </c>
      <c r="T102" s="8980"/>
      <c r="U102" s="4501">
        <f t="shared" si="376"/>
        <v>0</v>
      </c>
      <c r="V102" s="8963"/>
      <c r="W102" s="3918">
        <v>0</v>
      </c>
      <c r="X102" s="8974"/>
      <c r="Y102" s="4769">
        <f t="shared" si="377"/>
        <v>0</v>
      </c>
      <c r="Z102" s="8977"/>
      <c r="AA102" s="7051">
        <f t="shared" si="378"/>
        <v>0</v>
      </c>
      <c r="AB102" s="8963"/>
      <c r="AC102" s="3918">
        <v>0</v>
      </c>
      <c r="AD102" s="8980"/>
      <c r="AE102" s="4501">
        <f t="shared" si="379"/>
        <v>0</v>
      </c>
      <c r="AF102" s="8963"/>
      <c r="AG102" s="3918">
        <v>0</v>
      </c>
      <c r="AH102" s="8980"/>
      <c r="AI102" s="4501">
        <f t="shared" si="380"/>
        <v>0</v>
      </c>
      <c r="AJ102" s="8963"/>
      <c r="AK102" s="3918">
        <v>0</v>
      </c>
      <c r="AL102" s="8974"/>
      <c r="AM102" s="4769">
        <f t="shared" si="381"/>
        <v>0</v>
      </c>
      <c r="AN102" s="8980"/>
      <c r="AO102" s="4501">
        <f t="shared" si="382"/>
        <v>0</v>
      </c>
      <c r="AP102" s="8963"/>
      <c r="AQ102" s="3918">
        <v>0</v>
      </c>
      <c r="AR102" s="8980"/>
      <c r="AS102" s="4501">
        <f t="shared" si="383"/>
        <v>0</v>
      </c>
      <c r="AT102" s="8963"/>
      <c r="AU102" s="3918">
        <v>0</v>
      </c>
      <c r="AV102" s="8980"/>
      <c r="AW102" s="4501">
        <f t="shared" si="384"/>
        <v>0</v>
      </c>
      <c r="AX102" s="8963"/>
      <c r="AY102" s="3918">
        <v>0</v>
      </c>
      <c r="AZ102" s="8974"/>
      <c r="BA102" s="4769">
        <f t="shared" si="385"/>
        <v>0</v>
      </c>
      <c r="BB102" s="8974"/>
      <c r="BC102" s="4769">
        <f t="shared" si="372"/>
        <v>0</v>
      </c>
      <c r="BD102" s="8977"/>
      <c r="BE102" s="7051">
        <f t="shared" si="386"/>
        <v>0</v>
      </c>
    </row>
    <row r="103" spans="2:57" s="3380" customFormat="1" x14ac:dyDescent="0.2">
      <c r="B103" s="5265" t="s">
        <v>940</v>
      </c>
      <c r="C103" s="5266" t="s">
        <v>927</v>
      </c>
      <c r="D103" s="5830"/>
      <c r="E103" s="4419">
        <v>0</v>
      </c>
      <c r="F103" s="8999"/>
      <c r="G103" s="4620">
        <v>0</v>
      </c>
      <c r="H103" s="8980"/>
      <c r="I103" s="4500">
        <f t="shared" si="373"/>
        <v>0</v>
      </c>
      <c r="J103" s="5830"/>
      <c r="K103" s="3918">
        <v>0</v>
      </c>
      <c r="L103" s="8974"/>
      <c r="M103" s="4769">
        <f t="shared" si="374"/>
        <v>0</v>
      </c>
      <c r="N103" s="8963"/>
      <c r="O103" s="3918">
        <v>0</v>
      </c>
      <c r="P103" s="8980"/>
      <c r="Q103" s="4501">
        <f t="shared" si="375"/>
        <v>0</v>
      </c>
      <c r="R103" s="8963"/>
      <c r="S103" s="3918">
        <v>0</v>
      </c>
      <c r="T103" s="8980"/>
      <c r="U103" s="4501">
        <f t="shared" si="376"/>
        <v>0</v>
      </c>
      <c r="V103" s="8963"/>
      <c r="W103" s="3918">
        <v>0</v>
      </c>
      <c r="X103" s="8974"/>
      <c r="Y103" s="4769">
        <f t="shared" si="377"/>
        <v>0</v>
      </c>
      <c r="Z103" s="8977"/>
      <c r="AA103" s="7051">
        <f t="shared" si="378"/>
        <v>0</v>
      </c>
      <c r="AB103" s="8963"/>
      <c r="AC103" s="3918">
        <v>0</v>
      </c>
      <c r="AD103" s="8980"/>
      <c r="AE103" s="4501">
        <f t="shared" si="379"/>
        <v>0</v>
      </c>
      <c r="AF103" s="8963"/>
      <c r="AG103" s="3918">
        <v>0</v>
      </c>
      <c r="AH103" s="8980"/>
      <c r="AI103" s="4501">
        <f t="shared" si="380"/>
        <v>0</v>
      </c>
      <c r="AJ103" s="8963"/>
      <c r="AK103" s="3918">
        <v>0</v>
      </c>
      <c r="AL103" s="8974"/>
      <c r="AM103" s="4769">
        <f t="shared" si="381"/>
        <v>0</v>
      </c>
      <c r="AN103" s="8980"/>
      <c r="AO103" s="4501">
        <f t="shared" si="382"/>
        <v>0</v>
      </c>
      <c r="AP103" s="8963"/>
      <c r="AQ103" s="3918">
        <v>0</v>
      </c>
      <c r="AR103" s="8980"/>
      <c r="AS103" s="4501">
        <f t="shared" si="383"/>
        <v>0</v>
      </c>
      <c r="AT103" s="8963"/>
      <c r="AU103" s="3918">
        <v>0</v>
      </c>
      <c r="AV103" s="8980"/>
      <c r="AW103" s="4501">
        <f t="shared" si="384"/>
        <v>0</v>
      </c>
      <c r="AX103" s="8963"/>
      <c r="AY103" s="3918">
        <v>0</v>
      </c>
      <c r="AZ103" s="8974"/>
      <c r="BA103" s="4769">
        <f t="shared" si="385"/>
        <v>0</v>
      </c>
      <c r="BB103" s="8974"/>
      <c r="BC103" s="4769">
        <f t="shared" si="372"/>
        <v>0</v>
      </c>
      <c r="BD103" s="8977"/>
      <c r="BE103" s="7051">
        <f t="shared" si="386"/>
        <v>0</v>
      </c>
    </row>
    <row r="104" spans="2:57" s="3380" customFormat="1" x14ac:dyDescent="0.2">
      <c r="B104" s="5265" t="s">
        <v>941</v>
      </c>
      <c r="C104" s="5266" t="s">
        <v>927</v>
      </c>
      <c r="D104" s="5830"/>
      <c r="E104" s="4419">
        <v>0</v>
      </c>
      <c r="F104" s="8999"/>
      <c r="G104" s="4620">
        <v>0</v>
      </c>
      <c r="H104" s="8980"/>
      <c r="I104" s="4500">
        <f t="shared" si="373"/>
        <v>0</v>
      </c>
      <c r="J104" s="5830"/>
      <c r="K104" s="3918">
        <v>0</v>
      </c>
      <c r="L104" s="8974"/>
      <c r="M104" s="4769">
        <f t="shared" si="374"/>
        <v>0</v>
      </c>
      <c r="N104" s="8963"/>
      <c r="O104" s="3918">
        <v>0</v>
      </c>
      <c r="P104" s="8980"/>
      <c r="Q104" s="4501">
        <f t="shared" si="375"/>
        <v>0</v>
      </c>
      <c r="R104" s="8963"/>
      <c r="S104" s="3918">
        <v>0</v>
      </c>
      <c r="T104" s="8980"/>
      <c r="U104" s="4501">
        <f t="shared" si="376"/>
        <v>0</v>
      </c>
      <c r="V104" s="8963"/>
      <c r="W104" s="3918">
        <v>0</v>
      </c>
      <c r="X104" s="8974"/>
      <c r="Y104" s="4769">
        <f t="shared" si="377"/>
        <v>0</v>
      </c>
      <c r="Z104" s="8977"/>
      <c r="AA104" s="7051">
        <f t="shared" si="378"/>
        <v>0</v>
      </c>
      <c r="AB104" s="8963"/>
      <c r="AC104" s="3918">
        <v>0</v>
      </c>
      <c r="AD104" s="8980"/>
      <c r="AE104" s="4501">
        <f t="shared" si="379"/>
        <v>0</v>
      </c>
      <c r="AF104" s="8963"/>
      <c r="AG104" s="3918">
        <v>0</v>
      </c>
      <c r="AH104" s="8980"/>
      <c r="AI104" s="4501">
        <f t="shared" si="380"/>
        <v>0</v>
      </c>
      <c r="AJ104" s="8963"/>
      <c r="AK104" s="3918">
        <v>0</v>
      </c>
      <c r="AL104" s="8974"/>
      <c r="AM104" s="4769">
        <f t="shared" si="381"/>
        <v>0</v>
      </c>
      <c r="AN104" s="8980"/>
      <c r="AO104" s="4501">
        <f t="shared" si="382"/>
        <v>0</v>
      </c>
      <c r="AP104" s="8963"/>
      <c r="AQ104" s="3918">
        <v>0</v>
      </c>
      <c r="AR104" s="8980"/>
      <c r="AS104" s="4501">
        <f t="shared" si="383"/>
        <v>0</v>
      </c>
      <c r="AT104" s="8963"/>
      <c r="AU104" s="3918">
        <v>0</v>
      </c>
      <c r="AV104" s="8980"/>
      <c r="AW104" s="4501">
        <f t="shared" si="384"/>
        <v>0</v>
      </c>
      <c r="AX104" s="8963"/>
      <c r="AY104" s="3918">
        <v>0</v>
      </c>
      <c r="AZ104" s="8974"/>
      <c r="BA104" s="4769">
        <f t="shared" si="385"/>
        <v>0</v>
      </c>
      <c r="BB104" s="8974"/>
      <c r="BC104" s="4769">
        <f t="shared" si="372"/>
        <v>0</v>
      </c>
      <c r="BD104" s="8977"/>
      <c r="BE104" s="7051">
        <f t="shared" si="386"/>
        <v>0</v>
      </c>
    </row>
    <row r="105" spans="2:57" x14ac:dyDescent="0.2">
      <c r="B105" s="1778" t="s">
        <v>942</v>
      </c>
      <c r="C105" s="1650" t="s">
        <v>927</v>
      </c>
      <c r="D105" s="5830"/>
      <c r="E105" s="3835">
        <v>0</v>
      </c>
      <c r="F105" s="8999"/>
      <c r="G105" s="1636">
        <v>0</v>
      </c>
      <c r="H105" s="8980"/>
      <c r="I105" s="4500">
        <f t="shared" si="373"/>
        <v>0</v>
      </c>
      <c r="J105" s="5830"/>
      <c r="K105" s="1646">
        <v>0</v>
      </c>
      <c r="L105" s="8974"/>
      <c r="M105" s="4769">
        <f t="shared" si="374"/>
        <v>0</v>
      </c>
      <c r="N105" s="8963"/>
      <c r="O105" s="3918">
        <v>0</v>
      </c>
      <c r="P105" s="8980"/>
      <c r="Q105" s="4501">
        <f t="shared" si="375"/>
        <v>0</v>
      </c>
      <c r="R105" s="8963"/>
      <c r="S105" s="3918">
        <v>0</v>
      </c>
      <c r="T105" s="8980"/>
      <c r="U105" s="4501">
        <f t="shared" si="376"/>
        <v>0</v>
      </c>
      <c r="V105" s="8963"/>
      <c r="W105" s="3918">
        <v>0</v>
      </c>
      <c r="X105" s="8974"/>
      <c r="Y105" s="4769">
        <f t="shared" si="377"/>
        <v>0</v>
      </c>
      <c r="Z105" s="8977"/>
      <c r="AA105" s="7051">
        <f t="shared" si="378"/>
        <v>0</v>
      </c>
      <c r="AB105" s="8963"/>
      <c r="AC105" s="3918">
        <v>0</v>
      </c>
      <c r="AD105" s="8980"/>
      <c r="AE105" s="4501">
        <f t="shared" si="379"/>
        <v>0</v>
      </c>
      <c r="AF105" s="8963"/>
      <c r="AG105" s="3918">
        <v>0</v>
      </c>
      <c r="AH105" s="8980"/>
      <c r="AI105" s="4501">
        <f t="shared" si="380"/>
        <v>0</v>
      </c>
      <c r="AJ105" s="8963"/>
      <c r="AK105" s="3918">
        <v>0</v>
      </c>
      <c r="AL105" s="8974"/>
      <c r="AM105" s="4769">
        <f t="shared" si="381"/>
        <v>0</v>
      </c>
      <c r="AN105" s="8980"/>
      <c r="AO105" s="4501">
        <f t="shared" si="382"/>
        <v>0</v>
      </c>
      <c r="AP105" s="8963"/>
      <c r="AQ105" s="3918">
        <v>0</v>
      </c>
      <c r="AR105" s="8980"/>
      <c r="AS105" s="4501">
        <f t="shared" si="383"/>
        <v>0</v>
      </c>
      <c r="AT105" s="8963"/>
      <c r="AU105" s="3918">
        <v>0</v>
      </c>
      <c r="AV105" s="8980"/>
      <c r="AW105" s="4501">
        <f t="shared" si="384"/>
        <v>0</v>
      </c>
      <c r="AX105" s="8963"/>
      <c r="AY105" s="3918">
        <v>0</v>
      </c>
      <c r="AZ105" s="8974"/>
      <c r="BA105" s="4769">
        <f t="shared" si="385"/>
        <v>0</v>
      </c>
      <c r="BB105" s="8974"/>
      <c r="BC105" s="4769">
        <f t="shared" si="372"/>
        <v>0</v>
      </c>
      <c r="BD105" s="8977"/>
      <c r="BE105" s="7051">
        <f t="shared" si="386"/>
        <v>0</v>
      </c>
    </row>
    <row r="106" spans="2:57" x14ac:dyDescent="0.2">
      <c r="B106" s="1778" t="s">
        <v>943</v>
      </c>
      <c r="C106" s="1650" t="s">
        <v>927</v>
      </c>
      <c r="D106" s="5830"/>
      <c r="E106" s="3835">
        <v>0</v>
      </c>
      <c r="F106" s="8999"/>
      <c r="G106" s="1636">
        <v>0</v>
      </c>
      <c r="H106" s="8980"/>
      <c r="I106" s="4500">
        <f t="shared" si="373"/>
        <v>0</v>
      </c>
      <c r="J106" s="5830"/>
      <c r="K106" s="1646">
        <v>0</v>
      </c>
      <c r="L106" s="8974"/>
      <c r="M106" s="4779">
        <f t="shared" si="374"/>
        <v>0</v>
      </c>
      <c r="N106" s="8963"/>
      <c r="O106" s="3918">
        <v>0</v>
      </c>
      <c r="P106" s="8980"/>
      <c r="Q106" s="4500">
        <f t="shared" si="375"/>
        <v>0</v>
      </c>
      <c r="R106" s="8963"/>
      <c r="S106" s="3918">
        <v>0</v>
      </c>
      <c r="T106" s="8980"/>
      <c r="U106" s="4500">
        <f t="shared" si="376"/>
        <v>0</v>
      </c>
      <c r="V106" s="8963"/>
      <c r="W106" s="3918">
        <v>0</v>
      </c>
      <c r="X106" s="8974"/>
      <c r="Y106" s="4769">
        <f t="shared" si="377"/>
        <v>0</v>
      </c>
      <c r="Z106" s="8977"/>
      <c r="AA106" s="7096">
        <f t="shared" si="378"/>
        <v>0</v>
      </c>
      <c r="AB106" s="8963"/>
      <c r="AC106" s="3918">
        <v>0</v>
      </c>
      <c r="AD106" s="8980"/>
      <c r="AE106" s="4500">
        <f t="shared" si="379"/>
        <v>0</v>
      </c>
      <c r="AF106" s="8963"/>
      <c r="AG106" s="3918">
        <v>0</v>
      </c>
      <c r="AH106" s="8980"/>
      <c r="AI106" s="4500">
        <f t="shared" si="380"/>
        <v>0</v>
      </c>
      <c r="AJ106" s="8963"/>
      <c r="AK106" s="3918">
        <v>0</v>
      </c>
      <c r="AL106" s="8974"/>
      <c r="AM106" s="4769">
        <f t="shared" si="381"/>
        <v>0</v>
      </c>
      <c r="AN106" s="8980"/>
      <c r="AO106" s="4500">
        <f t="shared" si="382"/>
        <v>0</v>
      </c>
      <c r="AP106" s="8963"/>
      <c r="AQ106" s="3918">
        <v>0</v>
      </c>
      <c r="AR106" s="8980"/>
      <c r="AS106" s="4500">
        <f t="shared" si="383"/>
        <v>0</v>
      </c>
      <c r="AT106" s="8963"/>
      <c r="AU106" s="3918">
        <v>0</v>
      </c>
      <c r="AV106" s="8980"/>
      <c r="AW106" s="4500">
        <f t="shared" si="384"/>
        <v>0</v>
      </c>
      <c r="AX106" s="8963"/>
      <c r="AY106" s="3918">
        <v>0</v>
      </c>
      <c r="AZ106" s="8974"/>
      <c r="BA106" s="4769">
        <f t="shared" si="385"/>
        <v>0</v>
      </c>
      <c r="BB106" s="8974"/>
      <c r="BC106" s="4769">
        <f t="shared" si="372"/>
        <v>0</v>
      </c>
      <c r="BD106" s="8977"/>
      <c r="BE106" s="7096">
        <f t="shared" si="386"/>
        <v>0</v>
      </c>
    </row>
    <row r="107" spans="2:57" x14ac:dyDescent="0.2">
      <c r="B107" s="1778" t="s">
        <v>1145</v>
      </c>
      <c r="C107" s="1650" t="s">
        <v>927</v>
      </c>
      <c r="D107" s="5830"/>
      <c r="E107" s="3835">
        <v>0</v>
      </c>
      <c r="F107" s="8999"/>
      <c r="G107" s="1636">
        <v>0</v>
      </c>
      <c r="H107" s="8980"/>
      <c r="I107" s="4500">
        <f t="shared" si="373"/>
        <v>0</v>
      </c>
      <c r="J107" s="5830"/>
      <c r="K107" s="1646">
        <v>0</v>
      </c>
      <c r="L107" s="8974"/>
      <c r="M107" s="4779">
        <f t="shared" si="374"/>
        <v>0</v>
      </c>
      <c r="N107" s="8963"/>
      <c r="O107" s="3918">
        <v>0</v>
      </c>
      <c r="P107" s="8980"/>
      <c r="Q107" s="4500">
        <f t="shared" si="375"/>
        <v>0</v>
      </c>
      <c r="R107" s="8963"/>
      <c r="S107" s="3918">
        <v>0</v>
      </c>
      <c r="T107" s="8980"/>
      <c r="U107" s="4500">
        <f t="shared" si="376"/>
        <v>0</v>
      </c>
      <c r="V107" s="8963"/>
      <c r="W107" s="3918">
        <v>0</v>
      </c>
      <c r="X107" s="8974"/>
      <c r="Y107" s="4769">
        <f t="shared" si="377"/>
        <v>0</v>
      </c>
      <c r="Z107" s="8977"/>
      <c r="AA107" s="7096">
        <f t="shared" si="378"/>
        <v>0</v>
      </c>
      <c r="AB107" s="8963"/>
      <c r="AC107" s="3918">
        <v>0</v>
      </c>
      <c r="AD107" s="8980"/>
      <c r="AE107" s="4500">
        <f t="shared" si="379"/>
        <v>0</v>
      </c>
      <c r="AF107" s="8963"/>
      <c r="AG107" s="3918">
        <v>0</v>
      </c>
      <c r="AH107" s="8980"/>
      <c r="AI107" s="4500">
        <f t="shared" si="380"/>
        <v>0</v>
      </c>
      <c r="AJ107" s="8963"/>
      <c r="AK107" s="3918">
        <v>0</v>
      </c>
      <c r="AL107" s="8974"/>
      <c r="AM107" s="4769">
        <f t="shared" si="381"/>
        <v>0</v>
      </c>
      <c r="AN107" s="8980"/>
      <c r="AO107" s="4500">
        <f t="shared" si="382"/>
        <v>0</v>
      </c>
      <c r="AP107" s="8963"/>
      <c r="AQ107" s="3918">
        <v>0</v>
      </c>
      <c r="AR107" s="8980"/>
      <c r="AS107" s="4500">
        <f t="shared" si="383"/>
        <v>0</v>
      </c>
      <c r="AT107" s="8963"/>
      <c r="AU107" s="3918">
        <v>0</v>
      </c>
      <c r="AV107" s="8980"/>
      <c r="AW107" s="4500">
        <f t="shared" si="384"/>
        <v>0</v>
      </c>
      <c r="AX107" s="8963"/>
      <c r="AY107" s="3918">
        <v>0</v>
      </c>
      <c r="AZ107" s="8974"/>
      <c r="BA107" s="4769">
        <f t="shared" si="385"/>
        <v>0</v>
      </c>
      <c r="BB107" s="8974"/>
      <c r="BC107" s="4769">
        <f t="shared" si="372"/>
        <v>0</v>
      </c>
      <c r="BD107" s="8977"/>
      <c r="BE107" s="7096">
        <f t="shared" si="386"/>
        <v>0</v>
      </c>
    </row>
    <row r="108" spans="2:57" ht="16" thickBot="1" x14ac:dyDescent="0.25">
      <c r="B108" s="2322" t="s">
        <v>1146</v>
      </c>
      <c r="C108" s="1650" t="s">
        <v>927</v>
      </c>
      <c r="D108" s="5831"/>
      <c r="E108" s="3835">
        <v>0</v>
      </c>
      <c r="F108" s="9000"/>
      <c r="G108" s="1636">
        <v>0</v>
      </c>
      <c r="H108" s="8981"/>
      <c r="I108" s="4500">
        <f t="shared" si="373"/>
        <v>0</v>
      </c>
      <c r="J108" s="5831"/>
      <c r="K108" s="1646">
        <v>0</v>
      </c>
      <c r="L108" s="8975"/>
      <c r="M108" s="4779">
        <f t="shared" si="374"/>
        <v>0</v>
      </c>
      <c r="N108" s="8964"/>
      <c r="O108" s="3918">
        <v>0</v>
      </c>
      <c r="P108" s="8981"/>
      <c r="Q108" s="4500">
        <f t="shared" si="375"/>
        <v>0</v>
      </c>
      <c r="R108" s="8964"/>
      <c r="S108" s="3918">
        <v>0</v>
      </c>
      <c r="T108" s="8981"/>
      <c r="U108" s="4500">
        <f t="shared" si="376"/>
        <v>0</v>
      </c>
      <c r="V108" s="8964"/>
      <c r="W108" s="3918">
        <v>0</v>
      </c>
      <c r="X108" s="8975"/>
      <c r="Y108" s="4769">
        <f t="shared" si="377"/>
        <v>0</v>
      </c>
      <c r="Z108" s="8978"/>
      <c r="AA108" s="7096">
        <f t="shared" si="378"/>
        <v>0</v>
      </c>
      <c r="AB108" s="8964"/>
      <c r="AC108" s="3918">
        <v>0</v>
      </c>
      <c r="AD108" s="8981"/>
      <c r="AE108" s="4500">
        <f t="shared" si="379"/>
        <v>0</v>
      </c>
      <c r="AF108" s="8964"/>
      <c r="AG108" s="3918">
        <v>0</v>
      </c>
      <c r="AH108" s="8981"/>
      <c r="AI108" s="4500">
        <f t="shared" si="380"/>
        <v>0</v>
      </c>
      <c r="AJ108" s="8964"/>
      <c r="AK108" s="3918">
        <v>0</v>
      </c>
      <c r="AL108" s="8975"/>
      <c r="AM108" s="4769">
        <f t="shared" si="381"/>
        <v>0</v>
      </c>
      <c r="AN108" s="8981"/>
      <c r="AO108" s="4500">
        <f t="shared" si="382"/>
        <v>0</v>
      </c>
      <c r="AP108" s="8964"/>
      <c r="AQ108" s="3918">
        <v>0</v>
      </c>
      <c r="AR108" s="8981"/>
      <c r="AS108" s="4500">
        <f t="shared" si="383"/>
        <v>0</v>
      </c>
      <c r="AT108" s="8964"/>
      <c r="AU108" s="3918">
        <v>0</v>
      </c>
      <c r="AV108" s="8981"/>
      <c r="AW108" s="4500">
        <f t="shared" si="384"/>
        <v>0</v>
      </c>
      <c r="AX108" s="8964"/>
      <c r="AY108" s="3918">
        <v>0</v>
      </c>
      <c r="AZ108" s="8975"/>
      <c r="BA108" s="4769">
        <f t="shared" si="385"/>
        <v>0</v>
      </c>
      <c r="BB108" s="8975"/>
      <c r="BC108" s="4769">
        <f t="shared" si="372"/>
        <v>0</v>
      </c>
      <c r="BD108" s="8978"/>
      <c r="BE108" s="7096">
        <f t="shared" si="386"/>
        <v>0</v>
      </c>
    </row>
    <row r="109" spans="2:57" ht="25" thickTop="1" thickBot="1" x14ac:dyDescent="0.3">
      <c r="B109" s="1781" t="s">
        <v>944</v>
      </c>
      <c r="C109" s="1782"/>
      <c r="D109" s="5284"/>
      <c r="E109" s="3187"/>
      <c r="F109" s="5284"/>
      <c r="G109" s="3187"/>
      <c r="H109" s="1782"/>
      <c r="I109" s="5832"/>
      <c r="J109" s="5284"/>
      <c r="K109" s="5832"/>
      <c r="L109" s="1782"/>
      <c r="M109" s="3187"/>
      <c r="N109" s="1782"/>
      <c r="O109" s="3187"/>
      <c r="P109" s="1782"/>
      <c r="Q109" s="3187"/>
      <c r="R109" s="1782"/>
      <c r="S109" s="3187"/>
      <c r="T109" s="1782"/>
      <c r="U109" s="3187"/>
      <c r="V109" s="1782"/>
      <c r="W109" s="3187"/>
      <c r="X109" s="1782"/>
      <c r="Y109" s="3187"/>
      <c r="Z109" s="1782"/>
      <c r="AA109" s="3187"/>
      <c r="AB109" s="1782"/>
      <c r="AC109" s="3187"/>
      <c r="AD109" s="1782"/>
      <c r="AE109" s="3187"/>
      <c r="AF109" s="1782"/>
      <c r="AG109" s="3187"/>
      <c r="AH109" s="1782"/>
      <c r="AI109" s="3187"/>
      <c r="AJ109" s="1782"/>
      <c r="AK109" s="3187"/>
      <c r="AL109" s="1782"/>
      <c r="AM109" s="3187"/>
      <c r="AN109" s="1782"/>
      <c r="AO109" s="3187"/>
      <c r="AP109" s="1782"/>
      <c r="AQ109" s="3187"/>
      <c r="AR109" s="1782"/>
      <c r="AS109" s="3187"/>
      <c r="AT109" s="1782"/>
      <c r="AU109" s="3187"/>
      <c r="AV109" s="1782"/>
      <c r="AW109" s="3187"/>
      <c r="AX109" s="1782"/>
      <c r="AY109" s="3187"/>
      <c r="AZ109" s="1782"/>
      <c r="BA109" s="3187"/>
      <c r="BB109" s="1782"/>
      <c r="BC109" s="3187"/>
      <c r="BD109" s="1782"/>
      <c r="BE109" s="3187"/>
    </row>
    <row r="110" spans="2:57" x14ac:dyDescent="0.2">
      <c r="B110" s="9003" t="s">
        <v>890</v>
      </c>
      <c r="C110" s="1554" t="s">
        <v>909</v>
      </c>
      <c r="D110" s="3289">
        <f>+D7+D49</f>
        <v>0</v>
      </c>
      <c r="E110" s="2065">
        <f t="shared" ref="E110:M110" si="387">+E7+E49</f>
        <v>29290.5</v>
      </c>
      <c r="F110" s="3289">
        <f>+F7+F49</f>
        <v>0</v>
      </c>
      <c r="G110" s="3845">
        <f t="shared" si="387"/>
        <v>29010.5</v>
      </c>
      <c r="H110" s="2785">
        <f t="shared" si="387"/>
        <v>0</v>
      </c>
      <c r="I110" s="4513">
        <f t="shared" si="387"/>
        <v>58301</v>
      </c>
      <c r="J110" s="3289">
        <f>+J7+J49</f>
        <v>0</v>
      </c>
      <c r="K110" s="3845">
        <f t="shared" si="387"/>
        <v>29720</v>
      </c>
      <c r="L110" s="2001">
        <f t="shared" si="387"/>
        <v>0</v>
      </c>
      <c r="M110" s="4780">
        <f t="shared" si="387"/>
        <v>88020.999999999985</v>
      </c>
      <c r="N110" s="2256">
        <f t="shared" ref="N110:Q110" si="388">+N7+N49</f>
        <v>34951.143638399997</v>
      </c>
      <c r="O110" s="3845">
        <f t="shared" si="388"/>
        <v>32138.300000000003</v>
      </c>
      <c r="P110" s="2785">
        <f t="shared" si="388"/>
        <v>34951.143638399997</v>
      </c>
      <c r="Q110" s="4513">
        <f t="shared" si="388"/>
        <v>120159.29999999999</v>
      </c>
      <c r="R110" s="2256">
        <f t="shared" ref="R110:U110" si="389">+R7+R49</f>
        <v>0</v>
      </c>
      <c r="S110" s="3845">
        <f t="shared" si="389"/>
        <v>32034.5</v>
      </c>
      <c r="T110" s="2785">
        <f t="shared" si="389"/>
        <v>34951.143638399997</v>
      </c>
      <c r="U110" s="4513">
        <f t="shared" si="389"/>
        <v>152193.79999999999</v>
      </c>
      <c r="V110" s="2256">
        <f t="shared" ref="V110:AI110" si="390">+V7+V49</f>
        <v>0</v>
      </c>
      <c r="W110" s="3845">
        <f t="shared" si="390"/>
        <v>25400.400000000001</v>
      </c>
      <c r="X110" s="2001">
        <f t="shared" si="390"/>
        <v>34951.143638399997</v>
      </c>
      <c r="Y110" s="4780">
        <f t="shared" si="390"/>
        <v>89573.2</v>
      </c>
      <c r="Z110" s="6518">
        <f t="shared" si="390"/>
        <v>34951.143638399997</v>
      </c>
      <c r="AA110" s="7097">
        <f t="shared" si="390"/>
        <v>177594.19999999998</v>
      </c>
      <c r="AB110" s="2256">
        <f t="shared" si="390"/>
        <v>0</v>
      </c>
      <c r="AC110" s="3845">
        <f t="shared" si="390"/>
        <v>28836.800000000003</v>
      </c>
      <c r="AD110" s="2785">
        <f t="shared" si="390"/>
        <v>34951.143638399997</v>
      </c>
      <c r="AE110" s="4513">
        <f t="shared" si="390"/>
        <v>206430.99999999997</v>
      </c>
      <c r="AF110" s="2256">
        <f t="shared" si="390"/>
        <v>0</v>
      </c>
      <c r="AG110" s="3845">
        <f t="shared" si="390"/>
        <v>31074.5</v>
      </c>
      <c r="AH110" s="2785">
        <f t="shared" si="390"/>
        <v>34951.143638399997</v>
      </c>
      <c r="AI110" s="4513">
        <f t="shared" si="390"/>
        <v>237505.49999999997</v>
      </c>
      <c r="AJ110" s="2256">
        <f t="shared" ref="AJ110:AO110" si="391">+AJ7+AJ49</f>
        <v>0</v>
      </c>
      <c r="AK110" s="3845">
        <f t="shared" si="391"/>
        <v>34290.5</v>
      </c>
      <c r="AL110" s="2001">
        <f t="shared" si="391"/>
        <v>0</v>
      </c>
      <c r="AM110" s="4780">
        <f t="shared" si="391"/>
        <v>94201.799999999988</v>
      </c>
      <c r="AN110" s="2785">
        <f t="shared" si="391"/>
        <v>34951.143638399997</v>
      </c>
      <c r="AO110" s="4513">
        <f t="shared" si="391"/>
        <v>271796</v>
      </c>
      <c r="AP110" s="2256">
        <f t="shared" ref="AP110:AS110" si="392">+AP7+AP49</f>
        <v>0</v>
      </c>
      <c r="AQ110" s="3845">
        <f t="shared" si="392"/>
        <v>35323.300000000003</v>
      </c>
      <c r="AR110" s="2785">
        <f t="shared" si="392"/>
        <v>34951.143638399997</v>
      </c>
      <c r="AS110" s="4513">
        <f t="shared" si="392"/>
        <v>307119.3</v>
      </c>
      <c r="AT110" s="2256">
        <f t="shared" ref="AT110:AW110" si="393">+AT7+AT49</f>
        <v>0</v>
      </c>
      <c r="AU110" s="3845">
        <f t="shared" si="393"/>
        <v>32733.200000000004</v>
      </c>
      <c r="AV110" s="2785">
        <f t="shared" si="393"/>
        <v>34951.143638399997</v>
      </c>
      <c r="AW110" s="4513">
        <f t="shared" si="393"/>
        <v>339852.5</v>
      </c>
      <c r="AX110" s="2256">
        <f t="shared" ref="AX110:BE110" si="394">+AX7+AX49</f>
        <v>0</v>
      </c>
      <c r="AY110" s="3845">
        <f t="shared" si="394"/>
        <v>34810.399999999994</v>
      </c>
      <c r="AZ110" s="2001">
        <f t="shared" si="394"/>
        <v>0</v>
      </c>
      <c r="BA110" s="4780">
        <f t="shared" si="394"/>
        <v>102866.9</v>
      </c>
      <c r="BB110" s="2001">
        <f t="shared" ref="BB110:BC110" si="395">+BB7+BB49</f>
        <v>69902.287276799994</v>
      </c>
      <c r="BC110" s="4780">
        <f t="shared" si="395"/>
        <v>197068.69999999998</v>
      </c>
      <c r="BD110" s="6518">
        <f t="shared" si="394"/>
        <v>34951.143638399997</v>
      </c>
      <c r="BE110" s="7097">
        <f t="shared" si="394"/>
        <v>374662.9</v>
      </c>
    </row>
    <row r="111" spans="2:57" ht="16" thickBot="1" x14ac:dyDescent="0.25">
      <c r="B111" s="9004"/>
      <c r="C111" s="1577" t="s">
        <v>897</v>
      </c>
      <c r="D111" s="5285">
        <f t="shared" ref="D111:M111" si="396">+D11+D50</f>
        <v>0</v>
      </c>
      <c r="E111" s="4487">
        <f t="shared" si="396"/>
        <v>40.681249999999999</v>
      </c>
      <c r="F111" s="5285">
        <f t="shared" ref="F111" si="397">+F11+F50</f>
        <v>0</v>
      </c>
      <c r="G111" s="4495">
        <f>+G11+G50</f>
        <v>38.99260752688172</v>
      </c>
      <c r="H111" s="2982">
        <f t="shared" si="396"/>
        <v>0</v>
      </c>
      <c r="I111" s="4514">
        <f t="shared" si="396"/>
        <v>39.823087431693985</v>
      </c>
      <c r="J111" s="5285">
        <f t="shared" ref="J111" si="398">+J11+J50</f>
        <v>0</v>
      </c>
      <c r="K111" s="4495">
        <f t="shared" si="396"/>
        <v>41.277777777777779</v>
      </c>
      <c r="L111" s="2041">
        <f t="shared" si="396"/>
        <v>0</v>
      </c>
      <c r="M111" s="4781">
        <f t="shared" si="396"/>
        <v>40.302655677655672</v>
      </c>
      <c r="N111" s="2257">
        <f t="shared" ref="N111:Q111" si="399">+N11+N50</f>
        <v>46.977343599999998</v>
      </c>
      <c r="O111" s="4495">
        <f t="shared" si="399"/>
        <v>43.196639784946235</v>
      </c>
      <c r="P111" s="2982">
        <f t="shared" si="399"/>
        <v>11.936865996721311</v>
      </c>
      <c r="Q111" s="4514">
        <f t="shared" si="399"/>
        <v>41.038012295081963</v>
      </c>
      <c r="R111" s="2257">
        <f t="shared" ref="R111:U111" si="400">+R11+R50</f>
        <v>0</v>
      </c>
      <c r="S111" s="4495">
        <f t="shared" si="400"/>
        <v>43.057123655913976</v>
      </c>
      <c r="T111" s="2982">
        <f t="shared" si="400"/>
        <v>9.5182853045751639</v>
      </c>
      <c r="U111" s="4514">
        <f t="shared" si="400"/>
        <v>41.447113289760345</v>
      </c>
      <c r="V111" s="2257">
        <f t="shared" ref="V111:AI111" si="401">+V11+V50</f>
        <v>0</v>
      </c>
      <c r="W111" s="4495">
        <f t="shared" si="401"/>
        <v>35.278333333333336</v>
      </c>
      <c r="X111" s="2041">
        <f t="shared" si="401"/>
        <v>15.829322300000001</v>
      </c>
      <c r="Y111" s="4781">
        <f t="shared" si="401"/>
        <v>40.567572463768116</v>
      </c>
      <c r="Z111" s="6689">
        <f t="shared" si="401"/>
        <v>7.9579106644808748</v>
      </c>
      <c r="AA111" s="7098">
        <f t="shared" si="401"/>
        <v>40.435837887067393</v>
      </c>
      <c r="AB111" s="2257">
        <f t="shared" si="401"/>
        <v>0</v>
      </c>
      <c r="AC111" s="4495">
        <f t="shared" si="401"/>
        <v>38.759139784946242</v>
      </c>
      <c r="AD111" s="2982">
        <f t="shared" si="401"/>
        <v>6.805129213084113</v>
      </c>
      <c r="AE111" s="4514">
        <f t="shared" si="401"/>
        <v>40.192951713395637</v>
      </c>
      <c r="AF111" s="2257">
        <f t="shared" si="401"/>
        <v>0</v>
      </c>
      <c r="AG111" s="4495">
        <f t="shared" si="401"/>
        <v>43.159027777777773</v>
      </c>
      <c r="AH111" s="2982">
        <f t="shared" si="401"/>
        <v>5.9684329983606554</v>
      </c>
      <c r="AI111" s="4514">
        <f t="shared" si="401"/>
        <v>40.557633196721305</v>
      </c>
      <c r="AJ111" s="2257">
        <f t="shared" ref="AJ111:AO111" si="402">+AJ11+AJ50</f>
        <v>0</v>
      </c>
      <c r="AK111" s="4495">
        <f t="shared" si="402"/>
        <v>46.089381720430111</v>
      </c>
      <c r="AL111" s="2041">
        <f t="shared" si="402"/>
        <v>0</v>
      </c>
      <c r="AM111" s="4781">
        <f t="shared" si="402"/>
        <v>42.663858695652166</v>
      </c>
      <c r="AN111" s="2982">
        <f t="shared" si="402"/>
        <v>5.2956278240000003</v>
      </c>
      <c r="AO111" s="4514">
        <f t="shared" si="402"/>
        <v>41.18121212121212</v>
      </c>
      <c r="AP111" s="2257">
        <f t="shared" ref="AP111:AS111" si="403">+AP11+AP50</f>
        <v>0</v>
      </c>
      <c r="AQ111" s="4495">
        <f t="shared" si="403"/>
        <v>47.477553763440859</v>
      </c>
      <c r="AR111" s="2982">
        <f t="shared" si="403"/>
        <v>4.7591426522875819</v>
      </c>
      <c r="AS111" s="4514">
        <f t="shared" si="403"/>
        <v>41.81907679738562</v>
      </c>
      <c r="AT111" s="2257">
        <f t="shared" ref="AT111:AW111" si="404">+AT11+AT50</f>
        <v>0</v>
      </c>
      <c r="AU111" s="4495">
        <f t="shared" si="404"/>
        <v>48.710119047619052</v>
      </c>
      <c r="AV111" s="2982">
        <f t="shared" si="404"/>
        <v>4.3601726095808386</v>
      </c>
      <c r="AW111" s="4514">
        <f t="shared" si="404"/>
        <v>42.396768962075846</v>
      </c>
      <c r="AX111" s="2257">
        <f t="shared" ref="AX111:BE111" si="405">+AX11+AX50</f>
        <v>0</v>
      </c>
      <c r="AY111" s="4495">
        <f t="shared" si="405"/>
        <v>46.788172043010746</v>
      </c>
      <c r="AZ111" s="2041">
        <f t="shared" si="405"/>
        <v>0</v>
      </c>
      <c r="BA111" s="4781">
        <f t="shared" si="405"/>
        <v>47.623564814814813</v>
      </c>
      <c r="BB111" s="2041">
        <f t="shared" ref="BB111:BC111" si="406">+BB11+BB50</f>
        <v>16.003270896703295</v>
      </c>
      <c r="BC111" s="4781">
        <f t="shared" si="406"/>
        <v>45.116460622710612</v>
      </c>
      <c r="BD111" s="6689">
        <f t="shared" si="405"/>
        <v>3.9898565797260277</v>
      </c>
      <c r="BE111" s="7098">
        <f t="shared" si="405"/>
        <v>42.769737442922377</v>
      </c>
    </row>
    <row r="112" spans="2:57" ht="15.75" customHeight="1" x14ac:dyDescent="0.2">
      <c r="B112" s="9005" t="s">
        <v>915</v>
      </c>
      <c r="C112" s="1554" t="s">
        <v>909</v>
      </c>
      <c r="D112" s="3289">
        <f>+D8+D51</f>
        <v>80992.404746641609</v>
      </c>
      <c r="E112" s="2065">
        <f t="shared" ref="E112:M112" si="407">+E8+E51</f>
        <v>59539</v>
      </c>
      <c r="F112" s="3289">
        <f>+F8+F51</f>
        <v>0</v>
      </c>
      <c r="G112" s="3845">
        <f t="shared" si="407"/>
        <v>66076</v>
      </c>
      <c r="H112" s="2785">
        <f t="shared" si="407"/>
        <v>80992.404746641609</v>
      </c>
      <c r="I112" s="4513">
        <f t="shared" si="407"/>
        <v>125615</v>
      </c>
      <c r="J112" s="3289">
        <f>+J8+J51</f>
        <v>80992.404746641609</v>
      </c>
      <c r="K112" s="3845">
        <f t="shared" si="407"/>
        <v>67264.7</v>
      </c>
      <c r="L112" s="2001">
        <f t="shared" si="407"/>
        <v>161984.80949328322</v>
      </c>
      <c r="M112" s="4780">
        <f t="shared" si="407"/>
        <v>192879.7</v>
      </c>
      <c r="N112" s="2256">
        <f t="shared" ref="N112:Q112" si="408">+N8+N51</f>
        <v>67815.600000000006</v>
      </c>
      <c r="O112" s="3845">
        <f t="shared" si="408"/>
        <v>69972.399999999994</v>
      </c>
      <c r="P112" s="2785">
        <f t="shared" si="408"/>
        <v>229800.40949328322</v>
      </c>
      <c r="Q112" s="4513">
        <f t="shared" si="408"/>
        <v>262852.09999999998</v>
      </c>
      <c r="R112" s="2256">
        <f t="shared" ref="R112:U112" si="409">+R8+R51</f>
        <v>0</v>
      </c>
      <c r="S112" s="3845">
        <f t="shared" si="409"/>
        <v>72944</v>
      </c>
      <c r="T112" s="2785">
        <f t="shared" si="409"/>
        <v>229800.40949328322</v>
      </c>
      <c r="U112" s="4513">
        <f t="shared" si="409"/>
        <v>335796.1</v>
      </c>
      <c r="V112" s="2256">
        <f t="shared" ref="V112:AI112" si="410">+V8+V51</f>
        <v>0</v>
      </c>
      <c r="W112" s="3845">
        <f t="shared" si="410"/>
        <v>66960.3</v>
      </c>
      <c r="X112" s="2001">
        <f t="shared" si="410"/>
        <v>67815.600000000006</v>
      </c>
      <c r="Y112" s="4780">
        <f t="shared" si="410"/>
        <v>209876.7</v>
      </c>
      <c r="Z112" s="6518">
        <f t="shared" si="410"/>
        <v>229800.40949328322</v>
      </c>
      <c r="AA112" s="7097">
        <f t="shared" si="410"/>
        <v>402756.4</v>
      </c>
      <c r="AB112" s="2256">
        <f t="shared" si="410"/>
        <v>0</v>
      </c>
      <c r="AC112" s="3845">
        <f t="shared" si="410"/>
        <v>69460.2</v>
      </c>
      <c r="AD112" s="2785">
        <f t="shared" si="410"/>
        <v>229800.40949328322</v>
      </c>
      <c r="AE112" s="4513">
        <f t="shared" si="410"/>
        <v>472216.6</v>
      </c>
      <c r="AF112" s="2256">
        <f t="shared" si="410"/>
        <v>0</v>
      </c>
      <c r="AG112" s="3845">
        <f t="shared" si="410"/>
        <v>67760.7</v>
      </c>
      <c r="AH112" s="2785">
        <f t="shared" si="410"/>
        <v>229800.40949328322</v>
      </c>
      <c r="AI112" s="4513">
        <f t="shared" si="410"/>
        <v>539977.30000000005</v>
      </c>
      <c r="AJ112" s="2256">
        <f t="shared" ref="AJ112:AO112" si="411">+AJ8+AJ51</f>
        <v>0</v>
      </c>
      <c r="AK112" s="3845">
        <f t="shared" si="411"/>
        <v>68623</v>
      </c>
      <c r="AL112" s="2001">
        <f t="shared" si="411"/>
        <v>0</v>
      </c>
      <c r="AM112" s="4780">
        <f t="shared" si="411"/>
        <v>205843.9</v>
      </c>
      <c r="AN112" s="2785">
        <f t="shared" si="411"/>
        <v>229800.40949328322</v>
      </c>
      <c r="AO112" s="4513">
        <f t="shared" si="411"/>
        <v>608600.30000000005</v>
      </c>
      <c r="AP112" s="2256">
        <f t="shared" ref="AP112:AS112" si="412">+AP8+AP51</f>
        <v>0</v>
      </c>
      <c r="AQ112" s="3845">
        <f t="shared" si="412"/>
        <v>70897.5</v>
      </c>
      <c r="AR112" s="2785">
        <f t="shared" si="412"/>
        <v>229800.40949328322</v>
      </c>
      <c r="AS112" s="4513">
        <f t="shared" si="412"/>
        <v>679497.8</v>
      </c>
      <c r="AT112" s="2256">
        <f t="shared" ref="AT112:AW112" si="413">+AT8+AT51</f>
        <v>0</v>
      </c>
      <c r="AU112" s="3845">
        <f t="shared" si="413"/>
        <v>65361</v>
      </c>
      <c r="AV112" s="2785">
        <f t="shared" si="413"/>
        <v>229800.40949328322</v>
      </c>
      <c r="AW112" s="4513">
        <f t="shared" si="413"/>
        <v>744858.8</v>
      </c>
      <c r="AX112" s="2256">
        <f t="shared" ref="AX112:BE112" si="414">+AX8+AX51</f>
        <v>0</v>
      </c>
      <c r="AY112" s="3845">
        <f t="shared" si="414"/>
        <v>75098.7</v>
      </c>
      <c r="AZ112" s="2001">
        <f t="shared" si="414"/>
        <v>0</v>
      </c>
      <c r="BA112" s="4780">
        <f t="shared" si="414"/>
        <v>211357.2</v>
      </c>
      <c r="BB112" s="2001">
        <f t="shared" ref="BB112:BC112" si="415">+BB8+BB51</f>
        <v>459600.81898656645</v>
      </c>
      <c r="BC112" s="4780">
        <f t="shared" si="415"/>
        <v>417201.1</v>
      </c>
      <c r="BD112" s="6518">
        <f t="shared" si="414"/>
        <v>229800.40949328322</v>
      </c>
      <c r="BE112" s="7097">
        <f t="shared" si="414"/>
        <v>819957.5</v>
      </c>
    </row>
    <row r="113" spans="2:57" ht="16" thickBot="1" x14ac:dyDescent="0.25">
      <c r="B113" s="9006"/>
      <c r="C113" s="1577" t="s">
        <v>897</v>
      </c>
      <c r="D113" s="5285">
        <f>+D12+D52</f>
        <v>112.48945103700223</v>
      </c>
      <c r="E113" s="4487">
        <f t="shared" ref="E113:M113" si="416">+E12+E52</f>
        <v>82.69305555555556</v>
      </c>
      <c r="F113" s="5285">
        <f>+F12+F52</f>
        <v>0</v>
      </c>
      <c r="G113" s="4495">
        <f t="shared" si="416"/>
        <v>88.811827956989262</v>
      </c>
      <c r="H113" s="2982">
        <f t="shared" si="416"/>
        <v>55.322680837869946</v>
      </c>
      <c r="I113" s="4514">
        <f t="shared" si="416"/>
        <v>85.80259562841529</v>
      </c>
      <c r="J113" s="5285">
        <f>+J12+J52</f>
        <v>112.48945103700223</v>
      </c>
      <c r="K113" s="4495">
        <f t="shared" si="416"/>
        <v>93.423194444444448</v>
      </c>
      <c r="L113" s="2041">
        <f t="shared" si="416"/>
        <v>74.168868815605876</v>
      </c>
      <c r="M113" s="4781">
        <f t="shared" si="416"/>
        <v>88.314880952380946</v>
      </c>
      <c r="N113" s="2257">
        <f t="shared" ref="N113:Q113" si="417">+N12+N52</f>
        <v>91.15</v>
      </c>
      <c r="O113" s="4495">
        <f t="shared" si="417"/>
        <v>94.04892473118278</v>
      </c>
      <c r="P113" s="2982">
        <f t="shared" si="417"/>
        <v>78.483746411640439</v>
      </c>
      <c r="Q113" s="4514">
        <f t="shared" si="417"/>
        <v>89.771892076502724</v>
      </c>
      <c r="R113" s="2257">
        <f t="shared" ref="R113:U113" si="418">+R12+R52</f>
        <v>0</v>
      </c>
      <c r="S113" s="4495">
        <f t="shared" si="418"/>
        <v>98.043010752688176</v>
      </c>
      <c r="T113" s="2982">
        <f t="shared" si="418"/>
        <v>62.581810864183886</v>
      </c>
      <c r="U113" s="4514">
        <f t="shared" si="418"/>
        <v>91.447739651416128</v>
      </c>
      <c r="V113" s="2257">
        <f t="shared" ref="V113:AI113" si="419">+V12+V52</f>
        <v>0</v>
      </c>
      <c r="W113" s="4495">
        <f t="shared" si="419"/>
        <v>93.00041666666668</v>
      </c>
      <c r="X113" s="2041">
        <f t="shared" si="419"/>
        <v>30.713586956521741</v>
      </c>
      <c r="Y113" s="4781">
        <f t="shared" si="419"/>
        <v>95.052853260869554</v>
      </c>
      <c r="Z113" s="6689">
        <f t="shared" si="419"/>
        <v>52.32249760776029</v>
      </c>
      <c r="AA113" s="7098">
        <f t="shared" si="419"/>
        <v>91.70227686703096</v>
      </c>
      <c r="AB113" s="2257">
        <f t="shared" si="419"/>
        <v>0</v>
      </c>
      <c r="AC113" s="4495">
        <f t="shared" si="419"/>
        <v>93.360483870967741</v>
      </c>
      <c r="AD113" s="2982">
        <f t="shared" si="419"/>
        <v>44.743070384206241</v>
      </c>
      <c r="AE113" s="4514">
        <f t="shared" si="419"/>
        <v>91.942484423676007</v>
      </c>
      <c r="AF113" s="2257">
        <f t="shared" si="419"/>
        <v>0</v>
      </c>
      <c r="AG113" s="4495">
        <f t="shared" si="419"/>
        <v>94.112083333333331</v>
      </c>
      <c r="AH113" s="2982">
        <f t="shared" si="419"/>
        <v>39.24187320582022</v>
      </c>
      <c r="AI113" s="4514">
        <f t="shared" si="419"/>
        <v>92.209238387978147</v>
      </c>
      <c r="AJ113" s="2257">
        <f t="shared" ref="AJ113:AO113" si="420">+AJ12+AJ52</f>
        <v>0</v>
      </c>
      <c r="AK113" s="4495">
        <f t="shared" si="420"/>
        <v>92.235215053763454</v>
      </c>
      <c r="AL113" s="2041">
        <f t="shared" si="420"/>
        <v>0</v>
      </c>
      <c r="AM113" s="4781">
        <f t="shared" si="420"/>
        <v>93.226403985507247</v>
      </c>
      <c r="AN113" s="2982">
        <f t="shared" si="420"/>
        <v>34.818243862618672</v>
      </c>
      <c r="AO113" s="4514">
        <f t="shared" si="420"/>
        <v>92.212166666666675</v>
      </c>
      <c r="AP113" s="2257">
        <f t="shared" ref="AP113:AS113" si="421">+AP12+AP52</f>
        <v>0</v>
      </c>
      <c r="AQ113" s="4495">
        <f t="shared" si="421"/>
        <v>95.292338709677423</v>
      </c>
      <c r="AR113" s="2982">
        <f t="shared" si="421"/>
        <v>31.290905432091943</v>
      </c>
      <c r="AS113" s="4514">
        <f t="shared" si="421"/>
        <v>92.52421023965141</v>
      </c>
      <c r="AT113" s="2257">
        <f t="shared" ref="AT113:AW113" si="422">+AT12+AT52</f>
        <v>0</v>
      </c>
      <c r="AU113" s="4495">
        <f t="shared" si="422"/>
        <v>97.263392857142861</v>
      </c>
      <c r="AV113" s="2982">
        <f t="shared" si="422"/>
        <v>28.667715755150102</v>
      </c>
      <c r="AW113" s="4514">
        <f t="shared" si="422"/>
        <v>92.92150698602795</v>
      </c>
      <c r="AX113" s="2257">
        <f t="shared" ref="AX113:BE113" si="423">+AX12+AX52</f>
        <v>0</v>
      </c>
      <c r="AY113" s="4495">
        <f t="shared" si="423"/>
        <v>100.9391129032258</v>
      </c>
      <c r="AZ113" s="2041">
        <f t="shared" si="423"/>
        <v>0</v>
      </c>
      <c r="BA113" s="4781">
        <f t="shared" si="423"/>
        <v>97.850555555555559</v>
      </c>
      <c r="BB113" s="2041">
        <f t="shared" ref="BB113:BC113" si="424">+BB12+BB52</f>
        <v>105.21996771670477</v>
      </c>
      <c r="BC113" s="4781">
        <f t="shared" si="424"/>
        <v>95.513072344322353</v>
      </c>
      <c r="BD113" s="6689">
        <f t="shared" si="423"/>
        <v>26.232923458137353</v>
      </c>
      <c r="BE113" s="7098">
        <f t="shared" si="423"/>
        <v>93.60245433789953</v>
      </c>
    </row>
    <row r="114" spans="2:57" ht="18.75" customHeight="1" x14ac:dyDescent="0.2">
      <c r="B114" s="9001" t="s">
        <v>1009</v>
      </c>
      <c r="C114" s="1736" t="s">
        <v>909</v>
      </c>
      <c r="D114" s="5286">
        <f t="shared" ref="D114:I115" si="425">+D110+D112</f>
        <v>80992.404746641609</v>
      </c>
      <c r="E114" s="4488">
        <f t="shared" si="425"/>
        <v>88829.5</v>
      </c>
      <c r="F114" s="5286">
        <f t="shared" ref="F114" si="426">+F110+F112</f>
        <v>0</v>
      </c>
      <c r="G114" s="4496">
        <f t="shared" si="425"/>
        <v>95086.5</v>
      </c>
      <c r="H114" s="1856">
        <f t="shared" si="425"/>
        <v>80992.404746641609</v>
      </c>
      <c r="I114" s="4515">
        <f t="shared" si="425"/>
        <v>183916</v>
      </c>
      <c r="J114" s="5286">
        <f t="shared" ref="J114" si="427">+J110+J112</f>
        <v>80992.404746641609</v>
      </c>
      <c r="K114" s="4496">
        <f t="shared" ref="K114:M114" si="428">+K110+K112</f>
        <v>96984.7</v>
      </c>
      <c r="L114" s="2061">
        <f t="shared" si="428"/>
        <v>161984.80949328322</v>
      </c>
      <c r="M114" s="4782">
        <f t="shared" si="428"/>
        <v>280900.7</v>
      </c>
      <c r="N114" s="2258">
        <f t="shared" ref="N114:Q114" si="429">+N110+N112</f>
        <v>102766.7436384</v>
      </c>
      <c r="O114" s="4496">
        <f t="shared" si="429"/>
        <v>102110.7</v>
      </c>
      <c r="P114" s="4890">
        <f t="shared" si="429"/>
        <v>264751.55313168321</v>
      </c>
      <c r="Q114" s="4515">
        <f t="shared" si="429"/>
        <v>383011.39999999997</v>
      </c>
      <c r="R114" s="2258">
        <f t="shared" ref="R114:U114" si="430">+R110+R112</f>
        <v>0</v>
      </c>
      <c r="S114" s="4496">
        <f t="shared" si="430"/>
        <v>104978.5</v>
      </c>
      <c r="T114" s="6439">
        <f t="shared" si="430"/>
        <v>264751.55313168321</v>
      </c>
      <c r="U114" s="4515">
        <f t="shared" si="430"/>
        <v>487989.89999999997</v>
      </c>
      <c r="V114" s="2258">
        <f t="shared" ref="V114:AI114" si="431">+V110+V112</f>
        <v>0</v>
      </c>
      <c r="W114" s="4496">
        <f t="shared" si="431"/>
        <v>92360.700000000012</v>
      </c>
      <c r="X114" s="7018">
        <f t="shared" si="431"/>
        <v>102766.7436384</v>
      </c>
      <c r="Y114" s="4782">
        <f t="shared" si="431"/>
        <v>299449.90000000002</v>
      </c>
      <c r="Z114" s="7099">
        <f t="shared" si="431"/>
        <v>264751.55313168321</v>
      </c>
      <c r="AA114" s="7100">
        <f t="shared" si="431"/>
        <v>580350.6</v>
      </c>
      <c r="AB114" s="2258">
        <f t="shared" si="431"/>
        <v>0</v>
      </c>
      <c r="AC114" s="4496">
        <f t="shared" si="431"/>
        <v>98297</v>
      </c>
      <c r="AD114" s="7363">
        <f t="shared" si="431"/>
        <v>264751.55313168321</v>
      </c>
      <c r="AE114" s="4515">
        <f t="shared" si="431"/>
        <v>678647.6</v>
      </c>
      <c r="AF114" s="2258">
        <f t="shared" si="431"/>
        <v>0</v>
      </c>
      <c r="AG114" s="4496">
        <f t="shared" si="431"/>
        <v>98835.199999999997</v>
      </c>
      <c r="AH114" s="7620">
        <f t="shared" si="431"/>
        <v>264751.55313168321</v>
      </c>
      <c r="AI114" s="4515">
        <f t="shared" si="431"/>
        <v>777482.8</v>
      </c>
      <c r="AJ114" s="2258">
        <f t="shared" ref="AJ114:AO114" si="432">+AJ110+AJ112</f>
        <v>0</v>
      </c>
      <c r="AK114" s="4496">
        <f t="shared" si="432"/>
        <v>102913.5</v>
      </c>
      <c r="AL114" s="7775">
        <f t="shared" si="432"/>
        <v>0</v>
      </c>
      <c r="AM114" s="4782">
        <f t="shared" si="432"/>
        <v>300045.69999999995</v>
      </c>
      <c r="AN114" s="7776">
        <f t="shared" si="432"/>
        <v>264751.55313168321</v>
      </c>
      <c r="AO114" s="4515">
        <f t="shared" si="432"/>
        <v>880396.3</v>
      </c>
      <c r="AP114" s="2258">
        <f t="shared" ref="AP114:AS114" si="433">+AP110+AP112</f>
        <v>0</v>
      </c>
      <c r="AQ114" s="4496">
        <f t="shared" si="433"/>
        <v>106220.8</v>
      </c>
      <c r="AR114" s="8104">
        <f t="shared" si="433"/>
        <v>264751.55313168321</v>
      </c>
      <c r="AS114" s="4515">
        <f t="shared" si="433"/>
        <v>986617.10000000009</v>
      </c>
      <c r="AT114" s="2258">
        <f t="shared" ref="AT114:AW114" si="434">+AT110+AT112</f>
        <v>0</v>
      </c>
      <c r="AU114" s="4496">
        <f t="shared" si="434"/>
        <v>98094.200000000012</v>
      </c>
      <c r="AV114" s="8163">
        <f t="shared" si="434"/>
        <v>264751.55313168321</v>
      </c>
      <c r="AW114" s="4515">
        <f t="shared" si="434"/>
        <v>1084711.3</v>
      </c>
      <c r="AX114" s="2258">
        <f t="shared" ref="AX114:BE114" si="435">+AX110+AX112</f>
        <v>0</v>
      </c>
      <c r="AY114" s="4496">
        <f t="shared" si="435"/>
        <v>109909.09999999999</v>
      </c>
      <c r="AZ114" s="8301">
        <f t="shared" si="435"/>
        <v>0</v>
      </c>
      <c r="BA114" s="4782">
        <f t="shared" si="435"/>
        <v>314224.09999999998</v>
      </c>
      <c r="BB114" s="8301">
        <f t="shared" ref="BB114:BC114" si="436">+BB110+BB112</f>
        <v>529503.10626336641</v>
      </c>
      <c r="BC114" s="4782">
        <f t="shared" si="436"/>
        <v>614269.79999999993</v>
      </c>
      <c r="BD114" s="8312">
        <f t="shared" si="435"/>
        <v>264751.55313168321</v>
      </c>
      <c r="BE114" s="7100">
        <f t="shared" si="435"/>
        <v>1194620.3999999999</v>
      </c>
    </row>
    <row r="115" spans="2:57" ht="19" thickBot="1" x14ac:dyDescent="0.25">
      <c r="B115" s="9002"/>
      <c r="C115" s="1793" t="s">
        <v>897</v>
      </c>
      <c r="D115" s="5275">
        <f t="shared" si="425"/>
        <v>112.48945103700223</v>
      </c>
      <c r="E115" s="4489">
        <f t="shared" si="425"/>
        <v>123.37430555555557</v>
      </c>
      <c r="F115" s="5275">
        <f t="shared" ref="F115" si="437">+F111+F113</f>
        <v>0</v>
      </c>
      <c r="G115" s="4497">
        <f t="shared" si="425"/>
        <v>127.80443548387098</v>
      </c>
      <c r="H115" s="1857">
        <f t="shared" si="425"/>
        <v>55.322680837869946</v>
      </c>
      <c r="I115" s="4516">
        <f t="shared" si="425"/>
        <v>125.62568306010928</v>
      </c>
      <c r="J115" s="5275">
        <f t="shared" ref="J115" si="438">+J111+J113</f>
        <v>112.48945103700223</v>
      </c>
      <c r="K115" s="4497">
        <f t="shared" ref="K115:M115" si="439">+K111+K113</f>
        <v>134.70097222222222</v>
      </c>
      <c r="L115" s="2062">
        <f t="shared" si="439"/>
        <v>74.168868815605876</v>
      </c>
      <c r="M115" s="4783">
        <f t="shared" si="439"/>
        <v>128.61753663003662</v>
      </c>
      <c r="N115" s="2259">
        <f t="shared" ref="N115:Q115" si="440">+N111+N113</f>
        <v>138.12734360000002</v>
      </c>
      <c r="O115" s="4497">
        <f t="shared" si="440"/>
        <v>137.24556451612901</v>
      </c>
      <c r="P115" s="1857">
        <f t="shared" si="440"/>
        <v>90.420612408361748</v>
      </c>
      <c r="Q115" s="4516">
        <f t="shared" si="440"/>
        <v>130.80990437158468</v>
      </c>
      <c r="R115" s="2259">
        <f t="shared" ref="R115:U115" si="441">+R111+R113</f>
        <v>0</v>
      </c>
      <c r="S115" s="4497">
        <f t="shared" si="441"/>
        <v>141.10013440860214</v>
      </c>
      <c r="T115" s="1857">
        <f t="shared" si="441"/>
        <v>72.100096168759052</v>
      </c>
      <c r="U115" s="4516">
        <f t="shared" si="441"/>
        <v>132.89485294117648</v>
      </c>
      <c r="V115" s="2259">
        <f t="shared" ref="V115:AI115" si="442">+V111+V113</f>
        <v>0</v>
      </c>
      <c r="W115" s="4497">
        <f t="shared" si="442"/>
        <v>128.27875</v>
      </c>
      <c r="X115" s="2062">
        <f t="shared" si="442"/>
        <v>46.542909256521739</v>
      </c>
      <c r="Y115" s="4783">
        <f t="shared" si="442"/>
        <v>135.62042572463767</v>
      </c>
      <c r="Z115" s="7101">
        <f t="shared" si="442"/>
        <v>60.280408272241168</v>
      </c>
      <c r="AA115" s="7102">
        <f t="shared" si="442"/>
        <v>132.13811475409835</v>
      </c>
      <c r="AB115" s="2259">
        <f t="shared" si="442"/>
        <v>0</v>
      </c>
      <c r="AC115" s="4497">
        <f t="shared" si="442"/>
        <v>132.11962365591398</v>
      </c>
      <c r="AD115" s="1857">
        <f t="shared" si="442"/>
        <v>51.548199597290356</v>
      </c>
      <c r="AE115" s="4516">
        <f t="shared" si="442"/>
        <v>132.13543613707165</v>
      </c>
      <c r="AF115" s="2259">
        <f t="shared" si="442"/>
        <v>0</v>
      </c>
      <c r="AG115" s="4497">
        <f t="shared" si="442"/>
        <v>137.27111111111111</v>
      </c>
      <c r="AH115" s="1857">
        <f t="shared" si="442"/>
        <v>45.210306204180874</v>
      </c>
      <c r="AI115" s="4516">
        <f t="shared" si="442"/>
        <v>132.76687158469946</v>
      </c>
      <c r="AJ115" s="2259">
        <f t="shared" ref="AJ115:AO115" si="443">+AJ111+AJ113</f>
        <v>0</v>
      </c>
      <c r="AK115" s="4497">
        <f t="shared" si="443"/>
        <v>138.32459677419357</v>
      </c>
      <c r="AL115" s="2062">
        <f t="shared" si="443"/>
        <v>0</v>
      </c>
      <c r="AM115" s="4783">
        <f t="shared" si="443"/>
        <v>135.89026268115941</v>
      </c>
      <c r="AN115" s="1857">
        <f t="shared" si="443"/>
        <v>40.113871686618673</v>
      </c>
      <c r="AO115" s="4516">
        <f t="shared" si="443"/>
        <v>133.39337878787879</v>
      </c>
      <c r="AP115" s="2259">
        <f t="shared" ref="AP115:AS115" si="444">+AP111+AP113</f>
        <v>0</v>
      </c>
      <c r="AQ115" s="4497">
        <f t="shared" si="444"/>
        <v>142.76989247311829</v>
      </c>
      <c r="AR115" s="1857">
        <f t="shared" si="444"/>
        <v>36.050048084379526</v>
      </c>
      <c r="AS115" s="4516">
        <f t="shared" si="444"/>
        <v>134.34328703703704</v>
      </c>
      <c r="AT115" s="2259">
        <f t="shared" ref="AT115:AW115" si="445">+AT111+AT113</f>
        <v>0</v>
      </c>
      <c r="AU115" s="4497">
        <f t="shared" si="445"/>
        <v>145.97351190476192</v>
      </c>
      <c r="AV115" s="1857">
        <f t="shared" si="445"/>
        <v>33.027888364730941</v>
      </c>
      <c r="AW115" s="4516">
        <f t="shared" si="445"/>
        <v>135.3182759481038</v>
      </c>
      <c r="AX115" s="2259">
        <f t="shared" ref="AX115:BE115" si="446">+AX111+AX113</f>
        <v>0</v>
      </c>
      <c r="AY115" s="4497">
        <f t="shared" si="446"/>
        <v>147.72728494623655</v>
      </c>
      <c r="AZ115" s="2062">
        <f t="shared" si="446"/>
        <v>0</v>
      </c>
      <c r="BA115" s="4783">
        <f t="shared" si="446"/>
        <v>145.47412037037037</v>
      </c>
      <c r="BB115" s="2062">
        <f t="shared" ref="BB115:BC115" si="447">+BB111+BB113</f>
        <v>121.22323861340807</v>
      </c>
      <c r="BC115" s="4783">
        <f t="shared" si="447"/>
        <v>140.62953296703296</v>
      </c>
      <c r="BD115" s="7101">
        <f t="shared" si="446"/>
        <v>30.22278003786338</v>
      </c>
      <c r="BE115" s="7102">
        <f t="shared" si="446"/>
        <v>136.37219178082191</v>
      </c>
    </row>
    <row r="116" spans="2:57" ht="16" thickTop="1" x14ac:dyDescent="0.2">
      <c r="AP116" s="8094"/>
      <c r="AQ116" s="8094"/>
      <c r="AR116" s="8094"/>
      <c r="AS116" s="8094"/>
    </row>
    <row r="117" spans="2:57" x14ac:dyDescent="0.2">
      <c r="AP117" s="8094"/>
      <c r="AQ117" s="8094"/>
      <c r="AR117" s="8094"/>
      <c r="AS117" s="8094"/>
    </row>
    <row r="118" spans="2:57" ht="18" x14ac:dyDescent="0.2">
      <c r="B118" s="1838"/>
      <c r="AP118" s="8094"/>
      <c r="AQ118" s="8094"/>
      <c r="AR118" s="8094"/>
      <c r="AS118" s="8094"/>
    </row>
    <row r="119" spans="2:57" x14ac:dyDescent="0.2">
      <c r="B119" s="1537"/>
      <c r="C119" s="1537"/>
      <c r="D119" s="4517"/>
      <c r="E119" s="1833"/>
      <c r="F119" s="2883"/>
      <c r="G119" s="1833"/>
      <c r="H119" s="2883"/>
      <c r="I119" s="1833"/>
      <c r="AP119" s="8094"/>
      <c r="AQ119" s="8094"/>
      <c r="AR119" s="8094"/>
      <c r="AS119" s="8094"/>
    </row>
    <row r="120" spans="2:57" x14ac:dyDescent="0.2">
      <c r="B120" s="1537"/>
      <c r="C120" s="1537"/>
      <c r="D120" s="4517"/>
      <c r="E120" s="1833"/>
      <c r="F120" s="2883"/>
      <c r="G120" s="1833"/>
      <c r="H120" s="2883"/>
      <c r="I120" s="1833"/>
      <c r="AP120" s="8094"/>
      <c r="AQ120" s="8094"/>
      <c r="AR120" s="8094"/>
      <c r="AS120" s="8094"/>
    </row>
    <row r="121" spans="2:57" ht="18" x14ac:dyDescent="0.2">
      <c r="B121" s="1838"/>
      <c r="C121" s="1537"/>
      <c r="D121" s="4517"/>
      <c r="E121" s="1833"/>
      <c r="F121" s="2883"/>
      <c r="G121" s="1833"/>
      <c r="H121" s="2883"/>
      <c r="I121" s="1833"/>
      <c r="AP121" s="8094"/>
      <c r="AQ121" s="8094"/>
      <c r="AR121" s="8094"/>
      <c r="AS121" s="8094"/>
    </row>
    <row r="122" spans="2:57" ht="16" x14ac:dyDescent="0.2">
      <c r="B122" s="1837"/>
      <c r="C122" s="1537"/>
      <c r="D122" s="4517"/>
      <c r="E122" s="1833"/>
      <c r="F122" s="2883"/>
      <c r="G122" s="1833"/>
      <c r="H122" s="2883"/>
      <c r="I122" s="1833"/>
      <c r="AP122" s="8094"/>
      <c r="AQ122" s="8094"/>
      <c r="AR122" s="8094"/>
      <c r="AS122" s="8094"/>
    </row>
    <row r="123" spans="2:57" ht="18" x14ac:dyDescent="0.2">
      <c r="B123" s="1838"/>
      <c r="C123" s="1537"/>
      <c r="D123" s="4517"/>
      <c r="E123" s="1833"/>
      <c r="F123" s="2883"/>
      <c r="G123" s="1833"/>
      <c r="H123" s="2883"/>
      <c r="I123" s="1833"/>
      <c r="AP123" s="8094"/>
      <c r="AQ123" s="8094"/>
    </row>
    <row r="124" spans="2:57" x14ac:dyDescent="0.2">
      <c r="B124" s="1537"/>
      <c r="C124" s="1537"/>
      <c r="D124" s="4517"/>
      <c r="E124" s="1833"/>
      <c r="F124" s="2883"/>
      <c r="G124" s="1833"/>
      <c r="H124" s="2883"/>
      <c r="I124" s="1833"/>
      <c r="AP124" s="8094"/>
      <c r="AQ124" s="8094"/>
    </row>
    <row r="125" spans="2:57" x14ac:dyDescent="0.2">
      <c r="B125" s="1537"/>
      <c r="C125" s="1537"/>
      <c r="D125" s="4517"/>
      <c r="E125" s="1833"/>
      <c r="F125" s="2883"/>
      <c r="G125" s="1833"/>
      <c r="H125" s="2883"/>
      <c r="I125" s="1833"/>
      <c r="AP125" s="8094"/>
      <c r="AQ125" s="8094"/>
    </row>
    <row r="126" spans="2:57" x14ac:dyDescent="0.2">
      <c r="B126" s="1537"/>
      <c r="C126" s="1537"/>
      <c r="D126" s="4517"/>
      <c r="E126" s="1833"/>
      <c r="F126" s="2883"/>
      <c r="G126" s="1833"/>
      <c r="H126" s="2883"/>
      <c r="I126" s="1833"/>
      <c r="AP126" s="8094"/>
      <c r="AQ126" s="8094"/>
    </row>
    <row r="127" spans="2:57" x14ac:dyDescent="0.2">
      <c r="B127" s="1537"/>
      <c r="C127" s="1537"/>
      <c r="D127" s="4517"/>
      <c r="E127" s="1833"/>
      <c r="F127" s="2883"/>
      <c r="G127" s="1833"/>
      <c r="H127" s="2883"/>
      <c r="I127" s="1833"/>
      <c r="AP127" s="8094"/>
      <c r="AQ127" s="8094"/>
    </row>
    <row r="128" spans="2:57" x14ac:dyDescent="0.2">
      <c r="B128" s="1537"/>
      <c r="C128" s="1537"/>
      <c r="D128" s="4517"/>
      <c r="E128" s="1833"/>
      <c r="F128" s="2883"/>
      <c r="G128" s="1833"/>
      <c r="H128" s="2883"/>
      <c r="I128" s="1833"/>
      <c r="AP128" s="8094"/>
      <c r="AQ128" s="8094"/>
    </row>
    <row r="129" spans="2:9" x14ac:dyDescent="0.2">
      <c r="B129" s="1537"/>
      <c r="C129" s="1537"/>
      <c r="D129" s="4517"/>
      <c r="E129" s="1833"/>
      <c r="F129" s="2883"/>
      <c r="G129" s="1833"/>
      <c r="H129" s="2883"/>
      <c r="I129" s="1833"/>
    </row>
    <row r="130" spans="2:9" ht="16" x14ac:dyDescent="0.2">
      <c r="B130" s="1837"/>
      <c r="C130" s="1537"/>
      <c r="D130" s="4517"/>
      <c r="E130" s="1833"/>
      <c r="F130" s="2883"/>
      <c r="G130" s="1833"/>
      <c r="H130" s="2883"/>
      <c r="I130" s="1833"/>
    </row>
    <row r="131" spans="2:9" ht="18" x14ac:dyDescent="0.2">
      <c r="B131" s="1838"/>
      <c r="C131" s="1537"/>
      <c r="D131" s="4517"/>
      <c r="E131" s="1833"/>
      <c r="F131" s="2883"/>
      <c r="G131" s="1833"/>
      <c r="H131" s="2883"/>
      <c r="I131" s="1833"/>
    </row>
    <row r="132" spans="2:9" x14ac:dyDescent="0.2">
      <c r="B132" s="1537"/>
      <c r="C132" s="1537"/>
      <c r="D132" s="4517"/>
      <c r="E132" s="1833"/>
      <c r="F132" s="2883"/>
      <c r="G132" s="1833"/>
      <c r="H132" s="2883"/>
      <c r="I132" s="1833"/>
    </row>
    <row r="133" spans="2:9" x14ac:dyDescent="0.2">
      <c r="B133" s="1537"/>
      <c r="C133" s="1537"/>
      <c r="D133" s="4517"/>
      <c r="E133" s="1833"/>
      <c r="F133" s="2883"/>
      <c r="G133" s="1833"/>
      <c r="H133" s="2883"/>
      <c r="I133" s="1833"/>
    </row>
    <row r="134" spans="2:9" ht="16" x14ac:dyDescent="0.2">
      <c r="B134" s="1837"/>
      <c r="C134" s="1537"/>
      <c r="D134" s="4517"/>
      <c r="E134" s="1833"/>
      <c r="F134" s="2883"/>
      <c r="G134" s="1833"/>
      <c r="H134" s="2883"/>
      <c r="I134" s="1833"/>
    </row>
  </sheetData>
  <mergeCells count="119">
    <mergeCell ref="AH91:AH108"/>
    <mergeCell ref="AF3:AG3"/>
    <mergeCell ref="AH3:AI3"/>
    <mergeCell ref="AF18:AF19"/>
    <mergeCell ref="AH18:AH19"/>
    <mergeCell ref="AF37:AF42"/>
    <mergeCell ref="AH37:AH42"/>
    <mergeCell ref="AP3:AQ3"/>
    <mergeCell ref="AP18:AP19"/>
    <mergeCell ref="AP37:AP42"/>
    <mergeCell ref="AP91:AP108"/>
    <mergeCell ref="AB91:AB108"/>
    <mergeCell ref="AD91:AD108"/>
    <mergeCell ref="AB3:AC3"/>
    <mergeCell ref="AD3:AE3"/>
    <mergeCell ref="AB18:AB19"/>
    <mergeCell ref="AD18:AD19"/>
    <mergeCell ref="AB37:AB42"/>
    <mergeCell ref="AD37:AD42"/>
    <mergeCell ref="AF91:AF108"/>
    <mergeCell ref="B114:B115"/>
    <mergeCell ref="B110:B111"/>
    <mergeCell ref="B112:B113"/>
    <mergeCell ref="D18:D19"/>
    <mergeCell ref="F18:F19"/>
    <mergeCell ref="H18:H19"/>
    <mergeCell ref="F37:F42"/>
    <mergeCell ref="H37:H42"/>
    <mergeCell ref="L18:L19"/>
    <mergeCell ref="J37:J42"/>
    <mergeCell ref="L37:L42"/>
    <mergeCell ref="T91:T108"/>
    <mergeCell ref="H91:H108"/>
    <mergeCell ref="C3:C4"/>
    <mergeCell ref="D3:E3"/>
    <mergeCell ref="F3:G3"/>
    <mergeCell ref="F91:F108"/>
    <mergeCell ref="L91:L108"/>
    <mergeCell ref="N91:N108"/>
    <mergeCell ref="P91:P108"/>
    <mergeCell ref="T3:U3"/>
    <mergeCell ref="T18:T19"/>
    <mergeCell ref="P37:P42"/>
    <mergeCell ref="R37:R42"/>
    <mergeCell ref="T37:T42"/>
    <mergeCell ref="H3:I3"/>
    <mergeCell ref="R3:S3"/>
    <mergeCell ref="R18:R19"/>
    <mergeCell ref="R91:R108"/>
    <mergeCell ref="N18:N19"/>
    <mergeCell ref="P18:P19"/>
    <mergeCell ref="J3:K3"/>
    <mergeCell ref="A62:A76"/>
    <mergeCell ref="B49:B50"/>
    <mergeCell ref="N3:O3"/>
    <mergeCell ref="P3:Q3"/>
    <mergeCell ref="B47:B48"/>
    <mergeCell ref="B58:B59"/>
    <mergeCell ref="B3:B4"/>
    <mergeCell ref="B37:B38"/>
    <mergeCell ref="B39:B40"/>
    <mergeCell ref="B41:B42"/>
    <mergeCell ref="B45:B46"/>
    <mergeCell ref="B43:B44"/>
    <mergeCell ref="L3:M3"/>
    <mergeCell ref="J18:J19"/>
    <mergeCell ref="N37:N42"/>
    <mergeCell ref="V91:V108"/>
    <mergeCell ref="Z91:Z108"/>
    <mergeCell ref="X3:Y3"/>
    <mergeCell ref="X18:X19"/>
    <mergeCell ref="X37:X42"/>
    <mergeCell ref="X91:X108"/>
    <mergeCell ref="V3:W3"/>
    <mergeCell ref="Z3:AA3"/>
    <mergeCell ref="V18:V19"/>
    <mergeCell ref="Z18:Z19"/>
    <mergeCell ref="V37:V42"/>
    <mergeCell ref="Z37:Z42"/>
    <mergeCell ref="AT91:AT108"/>
    <mergeCell ref="AV91:AV108"/>
    <mergeCell ref="AT3:AU3"/>
    <mergeCell ref="AV3:AW3"/>
    <mergeCell ref="AT18:AT19"/>
    <mergeCell ref="AV18:AV19"/>
    <mergeCell ref="AT37:AT42"/>
    <mergeCell ref="AV37:AV42"/>
    <mergeCell ref="AJ37:AJ42"/>
    <mergeCell ref="AL37:AL42"/>
    <mergeCell ref="AN37:AN42"/>
    <mergeCell ref="AJ91:AJ108"/>
    <mergeCell ref="AL91:AL108"/>
    <mergeCell ref="AN91:AN108"/>
    <mergeCell ref="AJ3:AK3"/>
    <mergeCell ref="AL3:AM3"/>
    <mergeCell ref="AN3:AO3"/>
    <mergeCell ref="AJ18:AJ19"/>
    <mergeCell ref="AL18:AL19"/>
    <mergeCell ref="AN18:AN19"/>
    <mergeCell ref="AR3:AS3"/>
    <mergeCell ref="AR18:AR19"/>
    <mergeCell ref="AR37:AR42"/>
    <mergeCell ref="AR91:AR108"/>
    <mergeCell ref="AX3:AY3"/>
    <mergeCell ref="AX18:AX19"/>
    <mergeCell ref="AX37:AX42"/>
    <mergeCell ref="AX91:AX108"/>
    <mergeCell ref="AZ3:BA3"/>
    <mergeCell ref="BD3:BE3"/>
    <mergeCell ref="AZ18:AZ19"/>
    <mergeCell ref="BD18:BD19"/>
    <mergeCell ref="AZ37:AZ42"/>
    <mergeCell ref="BD37:BD42"/>
    <mergeCell ref="AZ91:AZ108"/>
    <mergeCell ref="BD91:BD108"/>
    <mergeCell ref="BB3:BC3"/>
    <mergeCell ref="BB18:BB19"/>
    <mergeCell ref="BB37:BB42"/>
    <mergeCell ref="BB91:BB108"/>
  </mergeCells>
  <pageMargins left="1.2" right="0.7" top="0.25" bottom="0.25" header="0.3" footer="0.3"/>
  <pageSetup scale="7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96633"/>
    <pageSetUpPr fitToPage="1"/>
  </sheetPr>
  <dimension ref="A1:BJ126"/>
  <sheetViews>
    <sheetView topLeftCell="F1" zoomScale="115" zoomScaleNormal="115" workbookViewId="0">
      <pane xSplit="3" topLeftCell="BF1" activePane="topRight" state="frozen"/>
      <selection activeCell="F1" sqref="F1"/>
      <selection pane="topRight" activeCell="BC36" sqref="BC36"/>
    </sheetView>
  </sheetViews>
  <sheetFormatPr baseColWidth="10" defaultColWidth="9.1640625" defaultRowHeight="15" x14ac:dyDescent="0.2"/>
  <cols>
    <col min="1" max="1" width="16.83203125" style="5447" hidden="1" customWidth="1"/>
    <col min="2" max="2" width="56.6640625" style="5444" hidden="1" customWidth="1"/>
    <col min="3" max="3" width="6.1640625" style="5448" hidden="1" customWidth="1"/>
    <col min="4" max="4" width="11.1640625" style="5498" hidden="1" customWidth="1"/>
    <col min="5" max="5" width="13.33203125" style="5444" hidden="1" customWidth="1"/>
    <col min="6" max="6" width="13.33203125" style="5444" customWidth="1"/>
    <col min="7" max="7" width="8.5" style="5215" bestFit="1" customWidth="1"/>
    <col min="8" max="8" width="55" style="5444" bestFit="1" customWidth="1"/>
    <col min="9" max="9" width="14" style="5444" customWidth="1"/>
    <col min="10" max="11" width="17.5" style="5444" customWidth="1"/>
    <col min="12" max="13" width="12.6640625" style="5444" customWidth="1"/>
    <col min="14" max="14" width="11.33203125" style="5444" customWidth="1"/>
    <col min="15" max="15" width="13.5" style="5444" customWidth="1"/>
    <col min="16" max="16" width="10.1640625" style="5444" customWidth="1"/>
    <col min="17" max="17" width="13.6640625" style="5444" customWidth="1"/>
    <col min="18" max="18" width="11.33203125" style="5444" customWidth="1"/>
    <col min="19" max="19" width="13.5" style="5444" customWidth="1"/>
    <col min="20" max="20" width="11.33203125" style="5444" customWidth="1"/>
    <col min="21" max="21" width="13.6640625" style="5444" customWidth="1"/>
    <col min="22" max="26" width="11.33203125" style="5444" customWidth="1"/>
    <col min="27" max="27" width="11.33203125" style="5444" bestFit="1" customWidth="1"/>
    <col min="28" max="28" width="11.33203125" style="5444" customWidth="1"/>
    <col min="29" max="30" width="11.33203125" style="6821" customWidth="1"/>
    <col min="31" max="32" width="11.33203125" style="5444" customWidth="1"/>
    <col min="33" max="42" width="11.33203125" style="5444" bestFit="1" customWidth="1"/>
    <col min="43" max="44" width="13.5" style="5444" bestFit="1" customWidth="1"/>
    <col min="45" max="48" width="11.33203125" style="5444" bestFit="1" customWidth="1"/>
    <col min="49" max="49" width="12.5" style="5444" bestFit="1" customWidth="1"/>
    <col min="50" max="50" width="11.33203125" style="5444" bestFit="1" customWidth="1"/>
    <col min="51" max="51" width="13.6640625" style="4686" customWidth="1"/>
    <col min="52" max="52" width="11.33203125" style="5444" bestFit="1" customWidth="1"/>
    <col min="53" max="54" width="12.5" style="5444" bestFit="1" customWidth="1"/>
    <col min="55" max="55" width="13.6640625" style="4686" customWidth="1"/>
    <col min="56" max="56" width="11.33203125" style="8338" bestFit="1" customWidth="1"/>
    <col min="57" max="58" width="11.33203125" style="8338" customWidth="1"/>
    <col min="59" max="59" width="13.5" style="8338" bestFit="1" customWidth="1"/>
    <col min="60" max="60" width="11.33203125" style="8338" customWidth="1"/>
    <col min="61" max="62" width="12.5" style="8338" bestFit="1" customWidth="1"/>
    <col min="63" max="16384" width="9.1640625" style="5444"/>
  </cols>
  <sheetData>
    <row r="1" spans="1:62" ht="23" x14ac:dyDescent="0.25">
      <c r="B1" s="1641" t="s">
        <v>1076</v>
      </c>
      <c r="C1" s="5497"/>
      <c r="H1" s="1641" t="s">
        <v>1076</v>
      </c>
      <c r="I1" s="1641"/>
      <c r="J1" s="5499"/>
      <c r="K1" s="5499"/>
      <c r="L1" s="5499"/>
      <c r="M1" s="5499"/>
      <c r="AV1" s="1673">
        <f>+AV17/('Maj Prod Summ'!AQ35+0.25*'Maj Prod Summ'!AQ24)</f>
        <v>498.13860191643261</v>
      </c>
    </row>
    <row r="2" spans="1:62" x14ac:dyDescent="0.2">
      <c r="B2" s="1537"/>
      <c r="C2" s="5497"/>
      <c r="H2" s="1537"/>
      <c r="I2" s="1537"/>
      <c r="J2" s="5499"/>
      <c r="K2" s="5499"/>
      <c r="L2" s="5499"/>
      <c r="M2" s="5499"/>
    </row>
    <row r="3" spans="1:62" ht="16" thickBot="1" x14ac:dyDescent="0.25">
      <c r="B3" s="1659"/>
      <c r="C3" s="1660"/>
      <c r="D3" s="5500">
        <f>[2]PPC!E4</f>
        <v>30</v>
      </c>
      <c r="E3" s="5500">
        <f>[2]PPC!F4</f>
        <v>31</v>
      </c>
      <c r="H3" s="1659"/>
      <c r="I3" s="5597">
        <v>30</v>
      </c>
      <c r="J3" s="5598">
        <v>30</v>
      </c>
      <c r="K3" s="5598">
        <v>31</v>
      </c>
      <c r="L3" s="5598">
        <v>31</v>
      </c>
      <c r="M3" s="5448">
        <f>+I3+K3</f>
        <v>61</v>
      </c>
      <c r="N3" s="5448">
        <f>+J3+L3</f>
        <v>61</v>
      </c>
      <c r="O3" s="5597">
        <v>30</v>
      </c>
      <c r="P3" s="5598">
        <v>30</v>
      </c>
      <c r="Q3" s="5780">
        <f>+M3+O3</f>
        <v>91</v>
      </c>
      <c r="R3" s="5780">
        <f>+N3+P3</f>
        <v>91</v>
      </c>
      <c r="S3" s="5598">
        <v>31</v>
      </c>
      <c r="T3" s="5598">
        <v>31</v>
      </c>
      <c r="U3" s="5962">
        <f>+Q3+S3</f>
        <v>122</v>
      </c>
      <c r="V3" s="5962">
        <f>+R3+T3</f>
        <v>122</v>
      </c>
      <c r="W3" s="5598">
        <v>31</v>
      </c>
      <c r="X3" s="5598">
        <v>31</v>
      </c>
      <c r="Y3" s="5962">
        <f>+U3+W3</f>
        <v>153</v>
      </c>
      <c r="Z3" s="5962">
        <f>+V3+X3</f>
        <v>153</v>
      </c>
      <c r="AA3" s="5598">
        <v>30</v>
      </c>
      <c r="AB3" s="5598">
        <v>30</v>
      </c>
      <c r="AC3" s="5780">
        <f>+AA3+W3+S3</f>
        <v>92</v>
      </c>
      <c r="AD3" s="5780">
        <f>+AB3+X3+T3</f>
        <v>92</v>
      </c>
      <c r="AE3" s="5962">
        <f>+Y3+AA3</f>
        <v>183</v>
      </c>
      <c r="AF3" s="5962">
        <f>+Z3+AB3</f>
        <v>183</v>
      </c>
      <c r="AG3" s="5598">
        <v>31</v>
      </c>
      <c r="AH3" s="5598">
        <v>31</v>
      </c>
      <c r="AI3" s="5962">
        <f>+AE3+AG3</f>
        <v>214</v>
      </c>
      <c r="AJ3" s="5962">
        <f>+AF3+AH3</f>
        <v>214</v>
      </c>
      <c r="AK3" s="5598">
        <v>30</v>
      </c>
      <c r="AL3" s="5598">
        <v>30</v>
      </c>
      <c r="AM3" s="5962">
        <f>+AI3+AK3</f>
        <v>244</v>
      </c>
      <c r="AN3" s="5962">
        <f>+AJ3+AL3</f>
        <v>244</v>
      </c>
      <c r="AO3" s="5598">
        <v>31</v>
      </c>
      <c r="AP3" s="5598">
        <v>31</v>
      </c>
      <c r="AQ3" s="5780">
        <f>+AO3+AK3+AG3</f>
        <v>92</v>
      </c>
      <c r="AR3" s="5780">
        <f>+AP3+AL3+AH3</f>
        <v>92</v>
      </c>
      <c r="AS3" s="5962">
        <f>+AM3+AO3</f>
        <v>275</v>
      </c>
      <c r="AT3" s="5962">
        <f>+AN3+AP3</f>
        <v>275</v>
      </c>
      <c r="AU3" s="5598">
        <v>31</v>
      </c>
      <c r="AV3" s="5598">
        <v>31</v>
      </c>
      <c r="AW3" s="5962">
        <f>+AS3+AU3</f>
        <v>306</v>
      </c>
      <c r="AX3" s="5962">
        <f>+AT3+AV3</f>
        <v>306</v>
      </c>
      <c r="AY3" s="4686">
        <v>28</v>
      </c>
      <c r="AZ3" s="5444">
        <v>28</v>
      </c>
      <c r="BA3" s="5444">
        <f>+AW3+AY3</f>
        <v>334</v>
      </c>
      <c r="BB3" s="5444">
        <f>+AX3+AZ3</f>
        <v>334</v>
      </c>
      <c r="BC3" s="4686">
        <v>31</v>
      </c>
      <c r="BD3" s="8338">
        <v>31</v>
      </c>
      <c r="BE3" s="5780">
        <f>+BC3+AY3+AU3</f>
        <v>90</v>
      </c>
      <c r="BF3" s="5780">
        <f>+BD3+AZ3+AV3</f>
        <v>90</v>
      </c>
      <c r="BG3" s="5780">
        <f>+BE3+AQ3</f>
        <v>182</v>
      </c>
      <c r="BH3" s="5780">
        <f>+BF3+AR3</f>
        <v>182</v>
      </c>
      <c r="BI3" s="5962">
        <f>+BA3+BC3</f>
        <v>365</v>
      </c>
      <c r="BJ3" s="5962">
        <f>+BB3+BD3</f>
        <v>365</v>
      </c>
    </row>
    <row r="4" spans="1:62" ht="20.25" customHeight="1" thickBot="1" x14ac:dyDescent="0.25">
      <c r="B4" s="5501" t="s">
        <v>583</v>
      </c>
      <c r="C4" s="8642" t="s">
        <v>658</v>
      </c>
      <c r="D4" s="5502" t="s">
        <v>1859</v>
      </c>
      <c r="E4" s="5503" t="s">
        <v>1862</v>
      </c>
      <c r="G4" s="5504"/>
      <c r="H4" s="5505" t="s">
        <v>583</v>
      </c>
      <c r="I4" s="9012" t="s">
        <v>1859</v>
      </c>
      <c r="J4" s="8588"/>
      <c r="K4" s="9012" t="s">
        <v>1862</v>
      </c>
      <c r="L4" s="9013"/>
      <c r="M4" s="9014" t="s">
        <v>52</v>
      </c>
      <c r="N4" s="9015"/>
      <c r="O4" s="9012" t="s">
        <v>1863</v>
      </c>
      <c r="P4" s="8588"/>
      <c r="Q4" s="9024" t="s">
        <v>2104</v>
      </c>
      <c r="R4" s="9025"/>
      <c r="S4" s="9012" t="s">
        <v>1864</v>
      </c>
      <c r="T4" s="9013"/>
      <c r="U4" s="9014" t="s">
        <v>62</v>
      </c>
      <c r="V4" s="9015"/>
      <c r="W4" s="9012" t="s">
        <v>2160</v>
      </c>
      <c r="X4" s="9013"/>
      <c r="Y4" s="9014" t="s">
        <v>64</v>
      </c>
      <c r="Z4" s="9015"/>
      <c r="AA4" s="9012" t="s">
        <v>2227</v>
      </c>
      <c r="AB4" s="9013"/>
      <c r="AC4" s="9024" t="s">
        <v>2228</v>
      </c>
      <c r="AD4" s="9025"/>
      <c r="AE4" s="9020" t="s">
        <v>1697</v>
      </c>
      <c r="AF4" s="9021"/>
      <c r="AG4" s="8644" t="s">
        <v>2265</v>
      </c>
      <c r="AH4" s="8644"/>
      <c r="AI4" s="8646" t="s">
        <v>101</v>
      </c>
      <c r="AJ4" s="8647"/>
      <c r="AK4" s="9012" t="s">
        <v>2423</v>
      </c>
      <c r="AL4" s="9013"/>
      <c r="AM4" s="9014" t="s">
        <v>105</v>
      </c>
      <c r="AN4" s="9015"/>
      <c r="AO4" s="9012" t="s">
        <v>2449</v>
      </c>
      <c r="AP4" s="9013"/>
      <c r="AQ4" s="9024" t="s">
        <v>2447</v>
      </c>
      <c r="AR4" s="9025"/>
      <c r="AS4" s="9014" t="s">
        <v>2448</v>
      </c>
      <c r="AT4" s="9015"/>
      <c r="AU4" s="9012" t="s">
        <v>2533</v>
      </c>
      <c r="AV4" s="9013"/>
      <c r="AW4" s="9014" t="s">
        <v>110</v>
      </c>
      <c r="AX4" s="9015"/>
      <c r="AY4" s="9012" t="s">
        <v>2577</v>
      </c>
      <c r="AZ4" s="9013"/>
      <c r="BA4" s="9014" t="s">
        <v>113</v>
      </c>
      <c r="BB4" s="9015"/>
      <c r="BC4" s="9012" t="s">
        <v>2600</v>
      </c>
      <c r="BD4" s="9013"/>
      <c r="BE4" s="9024" t="s">
        <v>2601</v>
      </c>
      <c r="BF4" s="9025"/>
      <c r="BG4" s="9024" t="s">
        <v>1842</v>
      </c>
      <c r="BH4" s="9025"/>
      <c r="BI4" s="9020" t="s">
        <v>1865</v>
      </c>
      <c r="BJ4" s="9021"/>
    </row>
    <row r="5" spans="1:62" ht="15.75" customHeight="1" thickBot="1" x14ac:dyDescent="0.25">
      <c r="A5" s="5416" t="s">
        <v>1979</v>
      </c>
      <c r="B5" s="5506" t="s">
        <v>945</v>
      </c>
      <c r="C5" s="8643"/>
      <c r="D5" s="5502" t="s">
        <v>660</v>
      </c>
      <c r="E5" s="5503" t="s">
        <v>660</v>
      </c>
      <c r="G5" s="5507"/>
      <c r="H5" s="3938"/>
      <c r="I5" s="4105" t="s">
        <v>659</v>
      </c>
      <c r="J5" s="4105" t="s">
        <v>660</v>
      </c>
      <c r="K5" s="4105" t="s">
        <v>659</v>
      </c>
      <c r="L5" s="1579" t="s">
        <v>660</v>
      </c>
      <c r="M5" s="4109" t="s">
        <v>659</v>
      </c>
      <c r="N5" s="5570" t="s">
        <v>660</v>
      </c>
      <c r="O5" s="4105" t="s">
        <v>659</v>
      </c>
      <c r="P5" s="4105" t="s">
        <v>660</v>
      </c>
      <c r="Q5" s="4113" t="s">
        <v>659</v>
      </c>
      <c r="R5" s="5801" t="s">
        <v>660</v>
      </c>
      <c r="S5" s="4105" t="s">
        <v>659</v>
      </c>
      <c r="T5" s="1579" t="s">
        <v>660</v>
      </c>
      <c r="U5" s="4109" t="s">
        <v>659</v>
      </c>
      <c r="V5" s="5570" t="s">
        <v>660</v>
      </c>
      <c r="W5" s="4105" t="s">
        <v>659</v>
      </c>
      <c r="X5" s="1579" t="s">
        <v>660</v>
      </c>
      <c r="Y5" s="4109" t="s">
        <v>659</v>
      </c>
      <c r="Z5" s="5570" t="s">
        <v>660</v>
      </c>
      <c r="AA5" s="4105" t="s">
        <v>659</v>
      </c>
      <c r="AB5" s="1579" t="s">
        <v>660</v>
      </c>
      <c r="AC5" s="4113" t="s">
        <v>659</v>
      </c>
      <c r="AD5" s="5801" t="s">
        <v>660</v>
      </c>
      <c r="AE5" s="6900" t="s">
        <v>659</v>
      </c>
      <c r="AF5" s="6901" t="s">
        <v>660</v>
      </c>
      <c r="AG5" s="4105" t="s">
        <v>659</v>
      </c>
      <c r="AH5" s="1579" t="s">
        <v>660</v>
      </c>
      <c r="AI5" s="4109" t="s">
        <v>659</v>
      </c>
      <c r="AJ5" s="5570" t="s">
        <v>660</v>
      </c>
      <c r="AK5" s="7579" t="s">
        <v>659</v>
      </c>
      <c r="AL5" s="1579" t="s">
        <v>660</v>
      </c>
      <c r="AM5" s="4109" t="s">
        <v>659</v>
      </c>
      <c r="AN5" s="5570" t="s">
        <v>660</v>
      </c>
      <c r="AO5" s="7777" t="s">
        <v>659</v>
      </c>
      <c r="AP5" s="1579" t="s">
        <v>660</v>
      </c>
      <c r="AQ5" s="4113" t="s">
        <v>659</v>
      </c>
      <c r="AR5" s="5801" t="s">
        <v>660</v>
      </c>
      <c r="AS5" s="4109" t="s">
        <v>659</v>
      </c>
      <c r="AT5" s="5570" t="s">
        <v>660</v>
      </c>
      <c r="AU5" s="8105" t="s">
        <v>659</v>
      </c>
      <c r="AV5" s="1579" t="s">
        <v>660</v>
      </c>
      <c r="AW5" s="4109" t="s">
        <v>659</v>
      </c>
      <c r="AX5" s="5570" t="s">
        <v>660</v>
      </c>
      <c r="AY5" s="8195" t="s">
        <v>659</v>
      </c>
      <c r="AZ5" s="1579" t="s">
        <v>660</v>
      </c>
      <c r="BA5" s="4109" t="s">
        <v>659</v>
      </c>
      <c r="BB5" s="5570" t="s">
        <v>660</v>
      </c>
      <c r="BC5" s="8195" t="s">
        <v>659</v>
      </c>
      <c r="BD5" s="1579" t="s">
        <v>660</v>
      </c>
      <c r="BE5" s="4113" t="s">
        <v>659</v>
      </c>
      <c r="BF5" s="5801" t="s">
        <v>660</v>
      </c>
      <c r="BG5" s="8368" t="s">
        <v>659</v>
      </c>
      <c r="BH5" s="8368" t="s">
        <v>660</v>
      </c>
      <c r="BI5" s="6900" t="s">
        <v>659</v>
      </c>
      <c r="BJ5" s="6901" t="s">
        <v>660</v>
      </c>
    </row>
    <row r="6" spans="1:62" ht="15" customHeight="1" x14ac:dyDescent="0.2">
      <c r="A6" s="5416">
        <v>1</v>
      </c>
      <c r="B6" s="5508" t="s">
        <v>1042</v>
      </c>
      <c r="C6" s="1639" t="s">
        <v>703</v>
      </c>
      <c r="D6" s="5509">
        <v>0</v>
      </c>
      <c r="E6" s="5510">
        <v>0</v>
      </c>
      <c r="G6" s="5511">
        <v>1</v>
      </c>
      <c r="H6" s="5512" t="s">
        <v>1980</v>
      </c>
      <c r="I6" s="5553">
        <f>SUM(I7:I11)</f>
        <v>89343889.999999925</v>
      </c>
      <c r="J6" s="5547">
        <f>SUM(J7:J11)</f>
        <v>89343889.99999997</v>
      </c>
      <c r="K6" s="5553">
        <f>SUM(K7:K11)</f>
        <v>95603959.999999896</v>
      </c>
      <c r="L6" s="5548">
        <f>SUM(L7:L11)</f>
        <v>95603960</v>
      </c>
      <c r="M6" s="5571">
        <f>+I6+K6</f>
        <v>184947849.99999982</v>
      </c>
      <c r="N6" s="5571">
        <f>+J6+L6</f>
        <v>184947849.99999997</v>
      </c>
      <c r="O6" s="5553">
        <f>SUM(O7:O11)</f>
        <v>98895484.666000009</v>
      </c>
      <c r="P6" s="5547">
        <f>SUM(P7:P11)</f>
        <v>97503090</v>
      </c>
      <c r="Q6" s="5805">
        <f>+M6+O6</f>
        <v>283843334.66599983</v>
      </c>
      <c r="R6" s="5802">
        <f>+N6+P6</f>
        <v>282450940</v>
      </c>
      <c r="S6" s="5553">
        <f>SUM(S7:S11)</f>
        <v>110740526.67524719</v>
      </c>
      <c r="T6" s="5548">
        <f>SUM(T7:T11)</f>
        <v>102678840.00000007</v>
      </c>
      <c r="U6" s="5574">
        <f>+Q6+S6</f>
        <v>394583861.34124702</v>
      </c>
      <c r="V6" s="5571">
        <f>+R6+T6</f>
        <v>385129780.00000006</v>
      </c>
      <c r="W6" s="5553">
        <f>SUM(W7:W11)</f>
        <v>110222743.41678497</v>
      </c>
      <c r="X6" s="5548">
        <f>SUM(X7:X11)</f>
        <v>105529749.99999994</v>
      </c>
      <c r="Y6" s="5574">
        <f>+U6+W6</f>
        <v>504806604.75803196</v>
      </c>
      <c r="Z6" s="5571">
        <f>+V6+X6</f>
        <v>490659530</v>
      </c>
      <c r="AA6" s="5553">
        <f>SUM(AA7:AA11)</f>
        <v>107838684.89059088</v>
      </c>
      <c r="AB6" s="5548">
        <f>SUM(AB7:AB11)</f>
        <v>92893350</v>
      </c>
      <c r="AC6" s="5805">
        <f>+S6+W6+AA6</f>
        <v>328801954.98262304</v>
      </c>
      <c r="AD6" s="5805">
        <f>+T6+X6+AB6</f>
        <v>301101940</v>
      </c>
      <c r="AE6" s="6902">
        <f>+Y6+AA6</f>
        <v>612645289.64862287</v>
      </c>
      <c r="AF6" s="6903">
        <f>+Z6+AB6</f>
        <v>583552880</v>
      </c>
      <c r="AG6" s="5553">
        <f>SUM(AG7:AG11)</f>
        <v>90343122.369390756</v>
      </c>
      <c r="AH6" s="5548">
        <f>SUM(AH7:AH11)</f>
        <v>98850960.000000015</v>
      </c>
      <c r="AI6" s="5574">
        <f>+AE6+AG6</f>
        <v>702988412.0180136</v>
      </c>
      <c r="AJ6" s="5571">
        <f>+AF6+AH6</f>
        <v>682403840</v>
      </c>
      <c r="AK6" s="5553">
        <f>SUM(AK7:AK11)</f>
        <v>113781451.23991022</v>
      </c>
      <c r="AL6" s="5548">
        <f>SUM(AL7:AL11)</f>
        <v>99349460</v>
      </c>
      <c r="AM6" s="5574">
        <f>+AI6+AK6</f>
        <v>816769863.25792384</v>
      </c>
      <c r="AN6" s="5571">
        <f>+AJ6+AL6</f>
        <v>781753300</v>
      </c>
      <c r="AO6" s="5553">
        <f>SUM(AO7:AO11)</f>
        <v>116844616.00920285</v>
      </c>
      <c r="AP6" s="5548">
        <f>SUM(AP7:AP11)</f>
        <v>103484389.99999997</v>
      </c>
      <c r="AQ6" s="5805">
        <f>+AG6+AK6+AO6</f>
        <v>320969189.61850381</v>
      </c>
      <c r="AR6" s="5805">
        <f>+AH6+AL6+AP6</f>
        <v>301684810</v>
      </c>
      <c r="AS6" s="5574">
        <f>+AM6+AO6</f>
        <v>933614479.26712668</v>
      </c>
      <c r="AT6" s="5571">
        <f>+AN6+AP6</f>
        <v>885237690</v>
      </c>
      <c r="AU6" s="5553">
        <f>SUM(AU7:AU11)</f>
        <v>116728503.38418582</v>
      </c>
      <c r="AV6" s="5548">
        <f>SUM(AV7:AV11)</f>
        <v>106787330.00000001</v>
      </c>
      <c r="AW6" s="5574">
        <f>+AS6+AU6</f>
        <v>1050342982.6513125</v>
      </c>
      <c r="AX6" s="5571">
        <f>+AT6+AV6</f>
        <v>992025020</v>
      </c>
      <c r="AY6" s="8196">
        <f>SUM(AY7:AY11)</f>
        <v>106568149.32684478</v>
      </c>
      <c r="AZ6" s="5548">
        <f>SUM(AZ7:AZ11)</f>
        <v>98602000</v>
      </c>
      <c r="BA6" s="5574">
        <f>+AW6+AY6</f>
        <v>1156911131.9781573</v>
      </c>
      <c r="BB6" s="5571">
        <f>+AX6+AZ6</f>
        <v>1090627020</v>
      </c>
      <c r="BC6" s="8196">
        <f>SUM(BC7:BC11)</f>
        <v>118618614.154944</v>
      </c>
      <c r="BD6" s="5548">
        <f>SUM(BD7:BD11)</f>
        <v>110469809.99999991</v>
      </c>
      <c r="BE6" s="5805">
        <f>+AU6+AY6+BC6</f>
        <v>341915266.86597461</v>
      </c>
      <c r="BF6" s="5805">
        <f>+AV6+AZ6+BD6</f>
        <v>315859139.99999988</v>
      </c>
      <c r="BG6" s="5805">
        <f t="shared" ref="BG6:BG32" si="0">+BE6+AQ6</f>
        <v>662884456.48447847</v>
      </c>
      <c r="BH6" s="5805">
        <f t="shared" ref="BH6:BH32" si="1">+BF6+AR6</f>
        <v>617543949.99999988</v>
      </c>
      <c r="BI6" s="6902">
        <f>+BA6+BC6</f>
        <v>1275529746.1331012</v>
      </c>
      <c r="BJ6" s="6903">
        <f>+BB6+BD6</f>
        <v>1201096830</v>
      </c>
    </row>
    <row r="7" spans="1:62" ht="15" customHeight="1" x14ac:dyDescent="0.2">
      <c r="A7" s="5416">
        <v>2</v>
      </c>
      <c r="B7" s="5513" t="s">
        <v>1309</v>
      </c>
      <c r="C7" s="1636" t="s">
        <v>703</v>
      </c>
      <c r="D7" s="5514">
        <f>[2]PPC!E7</f>
        <v>29290499.99999997</v>
      </c>
      <c r="E7" s="5515">
        <f>[2]PPC!F7</f>
        <v>29010500</v>
      </c>
      <c r="G7" s="5507">
        <v>1.1000000000000001</v>
      </c>
      <c r="H7" s="3938" t="s">
        <v>1042</v>
      </c>
      <c r="I7" s="5549">
        <f>+I55*I$3*24*1000</f>
        <v>0</v>
      </c>
      <c r="J7" s="5549">
        <v>0</v>
      </c>
      <c r="K7" s="5549">
        <f>+K55*K$3*24*1000</f>
        <v>0</v>
      </c>
      <c r="L7" s="5550">
        <v>0</v>
      </c>
      <c r="M7" s="5572">
        <f t="shared" ref="M7:N46" si="2">+I7+K7</f>
        <v>0</v>
      </c>
      <c r="N7" s="5572">
        <f t="shared" si="2"/>
        <v>0</v>
      </c>
      <c r="O7" s="5549">
        <f>+O55*O$3*24*1000</f>
        <v>0</v>
      </c>
      <c r="P7" s="5549">
        <v>0</v>
      </c>
      <c r="Q7" s="5803">
        <f t="shared" ref="Q7:Q32" si="3">+M7+O7</f>
        <v>0</v>
      </c>
      <c r="R7" s="5803">
        <f t="shared" ref="R7:R32" si="4">+N7+P7</f>
        <v>0</v>
      </c>
      <c r="S7" s="5963">
        <f>+S55*S$3*24*1000</f>
        <v>0</v>
      </c>
      <c r="T7" s="5550">
        <v>0</v>
      </c>
      <c r="U7" s="5572">
        <f t="shared" ref="U7:U32" si="5">+Q7+S7</f>
        <v>0</v>
      </c>
      <c r="V7" s="5572">
        <f t="shared" ref="V7:V32" si="6">+R7+T7</f>
        <v>0</v>
      </c>
      <c r="W7" s="6424">
        <f>+W55*W$3*24*1000</f>
        <v>0</v>
      </c>
      <c r="X7" s="5550">
        <v>0</v>
      </c>
      <c r="Y7" s="5572">
        <f t="shared" ref="Y7:Y32" si="7">+U7+W7</f>
        <v>0</v>
      </c>
      <c r="Z7" s="5572">
        <f t="shared" ref="Z7:Z32" si="8">+V7+X7</f>
        <v>0</v>
      </c>
      <c r="AA7" s="6424">
        <f>+AA55*AA$3*24*1000</f>
        <v>0</v>
      </c>
      <c r="AB7" s="5550">
        <v>0</v>
      </c>
      <c r="AC7" s="5803">
        <f>+S7+W7+AA7</f>
        <v>0</v>
      </c>
      <c r="AD7" s="5803">
        <f>+T7+X7+AB7</f>
        <v>0</v>
      </c>
      <c r="AE7" s="6904">
        <f t="shared" ref="AE7:AE32" si="9">+Y7+AA7</f>
        <v>0</v>
      </c>
      <c r="AF7" s="6904">
        <f t="shared" ref="AF7:AF32" si="10">+Z7+AB7</f>
        <v>0</v>
      </c>
      <c r="AG7" s="6424">
        <f>+AG55*AG$3*24*1000</f>
        <v>0</v>
      </c>
      <c r="AH7" s="5550">
        <v>0</v>
      </c>
      <c r="AI7" s="5572">
        <f t="shared" ref="AI7:AI32" si="11">+AE7+AG7</f>
        <v>0</v>
      </c>
      <c r="AJ7" s="5572">
        <f t="shared" ref="AJ7:AJ32" si="12">+AF7+AH7</f>
        <v>0</v>
      </c>
      <c r="AK7" s="6424">
        <f>+AK55*AK$3*24*1000</f>
        <v>0</v>
      </c>
      <c r="AL7" s="5550">
        <v>0</v>
      </c>
      <c r="AM7" s="5572">
        <f t="shared" ref="AM7:AM32" si="13">+AI7+AK7</f>
        <v>0</v>
      </c>
      <c r="AN7" s="5572">
        <f t="shared" ref="AN7:AN32" si="14">+AJ7+AL7</f>
        <v>0</v>
      </c>
      <c r="AO7" s="6424">
        <f>+AO55*AO$3*24*1000</f>
        <v>0</v>
      </c>
      <c r="AP7" s="5550">
        <v>0</v>
      </c>
      <c r="AQ7" s="5803">
        <f>+AG7+AK7+AO7</f>
        <v>0</v>
      </c>
      <c r="AR7" s="5803">
        <f>+AH7+AL7+AP7</f>
        <v>0</v>
      </c>
      <c r="AS7" s="5572">
        <f t="shared" ref="AS7:AS32" si="15">+AM7+AO7</f>
        <v>0</v>
      </c>
      <c r="AT7" s="5572">
        <f t="shared" ref="AT7:AT32" si="16">+AN7+AP7</f>
        <v>0</v>
      </c>
      <c r="AU7" s="6424">
        <f>+AU55*AU$3*24*1000</f>
        <v>0</v>
      </c>
      <c r="AV7" s="5550">
        <v>0</v>
      </c>
      <c r="AW7" s="5572">
        <f t="shared" ref="AW7:AW32" si="17">+AS7+AU7</f>
        <v>0</v>
      </c>
      <c r="AX7" s="5572">
        <f t="shared" ref="AX7:AX32" si="18">+AT7+AV7</f>
        <v>0</v>
      </c>
      <c r="AY7" s="8197">
        <f>+AY55*AY$3*24*1000</f>
        <v>0</v>
      </c>
      <c r="AZ7" s="5550">
        <v>0</v>
      </c>
      <c r="BA7" s="5572">
        <f t="shared" ref="BA7:BA32" si="19">+AW7+AY7</f>
        <v>0</v>
      </c>
      <c r="BB7" s="5572">
        <f t="shared" ref="BB7:BB32" si="20">+AX7+AZ7</f>
        <v>0</v>
      </c>
      <c r="BC7" s="8197">
        <f>+BC55*BC$3*24*1000</f>
        <v>0</v>
      </c>
      <c r="BD7" s="5550">
        <v>0</v>
      </c>
      <c r="BE7" s="5803">
        <f>+AU7+AY7+BC7</f>
        <v>0</v>
      </c>
      <c r="BF7" s="5803">
        <f>+AV7+AZ7+BD7</f>
        <v>0</v>
      </c>
      <c r="BG7" s="5803">
        <f t="shared" si="0"/>
        <v>0</v>
      </c>
      <c r="BH7" s="5803">
        <f t="shared" si="1"/>
        <v>0</v>
      </c>
      <c r="BI7" s="6904">
        <f t="shared" ref="BI7:BI32" si="21">+BA7+BC7</f>
        <v>0</v>
      </c>
      <c r="BJ7" s="6904">
        <f t="shared" ref="BJ7:BJ32" si="22">+BB7+BD7</f>
        <v>0</v>
      </c>
    </row>
    <row r="8" spans="1:62" ht="15" customHeight="1" x14ac:dyDescent="0.2">
      <c r="A8" s="5416">
        <v>3</v>
      </c>
      <c r="B8" s="5516" t="s">
        <v>1043</v>
      </c>
      <c r="C8" s="1636" t="s">
        <v>703</v>
      </c>
      <c r="D8" s="5514">
        <f>[2]PPC!E9</f>
        <v>3137000</v>
      </c>
      <c r="E8" s="5515">
        <f>[2]PPC!F9</f>
        <v>766000</v>
      </c>
      <c r="G8" s="5507">
        <v>1.2</v>
      </c>
      <c r="H8" s="3938" t="s">
        <v>1309</v>
      </c>
      <c r="I8" s="5549">
        <f t="shared" ref="I8:K14" si="23">+I56*I$3*24*1000</f>
        <v>29290500</v>
      </c>
      <c r="J8" s="5551">
        <v>29290499.99999997</v>
      </c>
      <c r="K8" s="5549">
        <f t="shared" si="23"/>
        <v>29010499.999999981</v>
      </c>
      <c r="L8" s="5552">
        <v>29010500</v>
      </c>
      <c r="M8" s="5573">
        <f t="shared" si="2"/>
        <v>58300999.999999985</v>
      </c>
      <c r="N8" s="5573">
        <f t="shared" si="2"/>
        <v>58300999.99999997</v>
      </c>
      <c r="O8" s="5549">
        <f t="shared" ref="O8" si="24">+O56*O$3*24*1000</f>
        <v>30240000</v>
      </c>
      <c r="P8" s="5551">
        <v>29720000</v>
      </c>
      <c r="Q8" s="5804">
        <f t="shared" si="3"/>
        <v>88540999.999999985</v>
      </c>
      <c r="R8" s="5804">
        <f t="shared" si="4"/>
        <v>88020999.99999997</v>
      </c>
      <c r="S8" s="5551">
        <f t="shared" ref="S8" si="25">+S56*S$3*24*1000</f>
        <v>35377907.813436024</v>
      </c>
      <c r="T8" s="5552">
        <v>32138300.000000075</v>
      </c>
      <c r="U8" s="5573">
        <f t="shared" si="5"/>
        <v>123918907.813436</v>
      </c>
      <c r="V8" s="5573">
        <f t="shared" si="6"/>
        <v>120159300.00000004</v>
      </c>
      <c r="W8" s="5551">
        <f t="shared" ref="W8:W11" si="26">+W56*W$3*24*1000</f>
        <v>35878711.111111112</v>
      </c>
      <c r="X8" s="5552">
        <v>32034499.99999994</v>
      </c>
      <c r="Y8" s="5573">
        <f t="shared" si="7"/>
        <v>159797618.92454711</v>
      </c>
      <c r="Z8" s="5573">
        <f t="shared" si="8"/>
        <v>152193800</v>
      </c>
      <c r="AA8" s="5551">
        <f t="shared" ref="AA8:AA11" si="27">+AA56*AA$3*24*1000</f>
        <v>34718938.125802308</v>
      </c>
      <c r="AB8" s="5552">
        <v>25400399.999999993</v>
      </c>
      <c r="AC8" s="5803">
        <f t="shared" ref="AC8:AC11" si="28">+S8+W8+AA8</f>
        <v>105975557.05034944</v>
      </c>
      <c r="AD8" s="5803">
        <f t="shared" ref="AD8:AD11" si="29">+T8+X8+AB8</f>
        <v>89573200</v>
      </c>
      <c r="AE8" s="6905">
        <f t="shared" si="9"/>
        <v>194516557.05034941</v>
      </c>
      <c r="AF8" s="6905">
        <f t="shared" si="10"/>
        <v>177594200</v>
      </c>
      <c r="AG8" s="5551">
        <f t="shared" ref="AG8:AG11" si="30">+AG56*AG$3*24*1000</f>
        <v>23064000</v>
      </c>
      <c r="AH8" s="5552">
        <v>28836800.000000019</v>
      </c>
      <c r="AI8" s="5573">
        <f t="shared" si="11"/>
        <v>217580557.05034941</v>
      </c>
      <c r="AJ8" s="5573">
        <f t="shared" si="12"/>
        <v>206431000.00000003</v>
      </c>
      <c r="AK8" s="5551">
        <f t="shared" ref="AK8:AK11" si="31">+AK56*AK$3*24*1000</f>
        <v>32019481.728712022</v>
      </c>
      <c r="AL8" s="5552">
        <v>31074500</v>
      </c>
      <c r="AM8" s="5573">
        <f t="shared" si="13"/>
        <v>249600038.77906144</v>
      </c>
      <c r="AN8" s="5573">
        <f t="shared" si="14"/>
        <v>237505500.00000003</v>
      </c>
      <c r="AO8" s="5551">
        <f t="shared" ref="AO8:AO11" si="32">+AO56*AO$3*24*1000</f>
        <v>35813228.640707456</v>
      </c>
      <c r="AP8" s="5552">
        <v>34290499.99999997</v>
      </c>
      <c r="AQ8" s="5804">
        <f t="shared" ref="AQ8:AQ11" si="33">+AG8+AK8+AO8</f>
        <v>90896710.369419485</v>
      </c>
      <c r="AR8" s="5803">
        <f t="shared" ref="AR8:AR11" si="34">+AH8+AL8+AP8</f>
        <v>94201799.999999985</v>
      </c>
      <c r="AS8" s="5573">
        <f t="shared" si="15"/>
        <v>285413267.41976887</v>
      </c>
      <c r="AT8" s="5573">
        <f t="shared" si="16"/>
        <v>271796000</v>
      </c>
      <c r="AU8" s="5551">
        <f t="shared" ref="AU8:AU11" si="35">+AU56*AU$3*24*1000</f>
        <v>34667460.50492084</v>
      </c>
      <c r="AV8" s="5552">
        <v>35323300.000000015</v>
      </c>
      <c r="AW8" s="5573">
        <f t="shared" si="17"/>
        <v>320080727.92468971</v>
      </c>
      <c r="AX8" s="5573">
        <f t="shared" si="18"/>
        <v>307119300</v>
      </c>
      <c r="AY8" s="8198">
        <f t="shared" ref="AY8:AY11" si="36">+AY56*AY$3*24*1000</f>
        <v>31651988.520902399</v>
      </c>
      <c r="AZ8" s="5552">
        <v>32733200</v>
      </c>
      <c r="BA8" s="5573">
        <f t="shared" si="19"/>
        <v>351732716.44559211</v>
      </c>
      <c r="BB8" s="5573">
        <f t="shared" si="20"/>
        <v>339852500</v>
      </c>
      <c r="BC8" s="8198">
        <f t="shared" ref="BC8:BC11" si="37">+BC56*BC$3*24*1000</f>
        <v>34507647.125927992</v>
      </c>
      <c r="BD8" s="5552">
        <v>34810399.999999903</v>
      </c>
      <c r="BE8" s="5803">
        <f t="shared" ref="BE8:BE11" si="38">+AU8+AY8+BC8</f>
        <v>100827096.15175122</v>
      </c>
      <c r="BF8" s="5803">
        <f t="shared" ref="BF8:BF11" si="39">+AV8+AZ8+BD8</f>
        <v>102866899.99999991</v>
      </c>
      <c r="BG8" s="5803">
        <f t="shared" si="0"/>
        <v>191723806.52117071</v>
      </c>
      <c r="BH8" s="5803">
        <f t="shared" si="1"/>
        <v>197068699.99999988</v>
      </c>
      <c r="BI8" s="6905">
        <f t="shared" si="21"/>
        <v>386240363.57152009</v>
      </c>
      <c r="BJ8" s="6905">
        <f t="shared" si="22"/>
        <v>374662899.99999988</v>
      </c>
    </row>
    <row r="9" spans="1:62" ht="15" customHeight="1" x14ac:dyDescent="0.2">
      <c r="A9" s="5416">
        <v>4</v>
      </c>
      <c r="B9" s="5516" t="s">
        <v>1044</v>
      </c>
      <c r="C9" s="1636" t="s">
        <v>703</v>
      </c>
      <c r="D9" s="5514">
        <f>[2]PPC!E8</f>
        <v>56402000</v>
      </c>
      <c r="E9" s="5515">
        <f>[2]PPC!F8</f>
        <v>65310000</v>
      </c>
      <c r="G9" s="5507">
        <v>1.3</v>
      </c>
      <c r="H9" s="3938" t="s">
        <v>1043</v>
      </c>
      <c r="I9" s="5549">
        <f t="shared" si="23"/>
        <v>3137000.0000000405</v>
      </c>
      <c r="J9" s="5551">
        <v>3137000</v>
      </c>
      <c r="K9" s="5549">
        <f t="shared" si="23"/>
        <v>3241566.666666708</v>
      </c>
      <c r="L9" s="5552">
        <v>766000</v>
      </c>
      <c r="M9" s="5573">
        <f t="shared" si="2"/>
        <v>6378566.666666748</v>
      </c>
      <c r="N9" s="5573">
        <f t="shared" si="2"/>
        <v>3903000</v>
      </c>
      <c r="O9" s="5549">
        <f t="shared" ref="O9" si="40">+O57*O$3*24*1000</f>
        <v>3137000.0000000405</v>
      </c>
      <c r="P9" s="5551">
        <v>2011700</v>
      </c>
      <c r="Q9" s="5804">
        <f t="shared" si="3"/>
        <v>9515566.666666789</v>
      </c>
      <c r="R9" s="5804">
        <f t="shared" si="4"/>
        <v>5914700</v>
      </c>
      <c r="S9" s="5551">
        <f t="shared" ref="S9" si="41">+S57*S$3*24*1000</f>
        <v>3241566.666666708</v>
      </c>
      <c r="T9" s="5552">
        <v>4339400</v>
      </c>
      <c r="U9" s="5573">
        <f t="shared" si="5"/>
        <v>12757133.333333496</v>
      </c>
      <c r="V9" s="5573">
        <f t="shared" si="6"/>
        <v>10254100</v>
      </c>
      <c r="W9" s="5551">
        <f t="shared" si="26"/>
        <v>3241566.666666708</v>
      </c>
      <c r="X9" s="5552">
        <v>5412000</v>
      </c>
      <c r="Y9" s="5573">
        <f t="shared" si="7"/>
        <v>15998700.000000205</v>
      </c>
      <c r="Z9" s="5573">
        <f t="shared" si="8"/>
        <v>15666100</v>
      </c>
      <c r="AA9" s="5551">
        <f t="shared" si="27"/>
        <v>3137000.0000000405</v>
      </c>
      <c r="AB9" s="5552">
        <v>3604300</v>
      </c>
      <c r="AC9" s="5804">
        <f t="shared" si="28"/>
        <v>9620133.3333334569</v>
      </c>
      <c r="AD9" s="5803">
        <f t="shared" si="29"/>
        <v>13355700</v>
      </c>
      <c r="AE9" s="6905">
        <f t="shared" si="9"/>
        <v>19135700.000000246</v>
      </c>
      <c r="AF9" s="6905">
        <f t="shared" si="10"/>
        <v>19270400</v>
      </c>
      <c r="AG9" s="5551">
        <f t="shared" si="30"/>
        <v>3241566.666666708</v>
      </c>
      <c r="AH9" s="5552">
        <v>3606200</v>
      </c>
      <c r="AI9" s="5573">
        <f t="shared" si="11"/>
        <v>22377266.666666955</v>
      </c>
      <c r="AJ9" s="5573">
        <f t="shared" si="12"/>
        <v>22876600</v>
      </c>
      <c r="AK9" s="5551">
        <f t="shared" si="31"/>
        <v>3137000.0000000405</v>
      </c>
      <c r="AL9" s="5552">
        <v>2820700</v>
      </c>
      <c r="AM9" s="5573">
        <f t="shared" si="13"/>
        <v>25514266.666666996</v>
      </c>
      <c r="AN9" s="5573">
        <f t="shared" si="14"/>
        <v>25697300</v>
      </c>
      <c r="AO9" s="5551">
        <f t="shared" si="32"/>
        <v>3241566.666666708</v>
      </c>
      <c r="AP9" s="5552">
        <v>2846000</v>
      </c>
      <c r="AQ9" s="5804">
        <f t="shared" si="33"/>
        <v>9620133.333333455</v>
      </c>
      <c r="AR9" s="5803">
        <f t="shared" si="34"/>
        <v>9272900</v>
      </c>
      <c r="AS9" s="5573">
        <f t="shared" si="15"/>
        <v>28755833.333333705</v>
      </c>
      <c r="AT9" s="5573">
        <f t="shared" si="16"/>
        <v>28543300</v>
      </c>
      <c r="AU9" s="5551">
        <f t="shared" si="35"/>
        <v>3241566.666666708</v>
      </c>
      <c r="AV9" s="5552">
        <v>3101500</v>
      </c>
      <c r="AW9" s="5573">
        <f t="shared" si="17"/>
        <v>31997400.000000414</v>
      </c>
      <c r="AX9" s="5573">
        <f t="shared" si="18"/>
        <v>31644800</v>
      </c>
      <c r="AY9" s="8198">
        <f t="shared" si="36"/>
        <v>2927866.6666367999</v>
      </c>
      <c r="AZ9" s="5552">
        <v>2978000</v>
      </c>
      <c r="BA9" s="5573">
        <f t="shared" si="19"/>
        <v>34925266.666637212</v>
      </c>
      <c r="BB9" s="5573">
        <f t="shared" si="20"/>
        <v>34622800</v>
      </c>
      <c r="BC9" s="8198">
        <f t="shared" si="37"/>
        <v>3241566.666336</v>
      </c>
      <c r="BD9" s="5552">
        <v>3594700</v>
      </c>
      <c r="BE9" s="5804">
        <f t="shared" si="38"/>
        <v>9410999.9996395074</v>
      </c>
      <c r="BF9" s="5803">
        <f t="shared" si="39"/>
        <v>9674200</v>
      </c>
      <c r="BG9" s="5803">
        <f t="shared" si="0"/>
        <v>19031133.332972962</v>
      </c>
      <c r="BH9" s="5803">
        <f t="shared" si="1"/>
        <v>18947100</v>
      </c>
      <c r="BI9" s="6905">
        <f t="shared" si="21"/>
        <v>38166833.332973212</v>
      </c>
      <c r="BJ9" s="6905">
        <f t="shared" si="22"/>
        <v>38217500</v>
      </c>
    </row>
    <row r="10" spans="1:62" ht="15.75" customHeight="1" thickBot="1" x14ac:dyDescent="0.25">
      <c r="A10" s="5416">
        <v>5</v>
      </c>
      <c r="B10" s="5517" t="s">
        <v>1045</v>
      </c>
      <c r="C10" s="1637" t="s">
        <v>703</v>
      </c>
      <c r="D10" s="5514">
        <f>[2]PPC!E10</f>
        <v>514390</v>
      </c>
      <c r="E10" s="5515">
        <f>[2]PPC!F10</f>
        <v>517460.00000000029</v>
      </c>
      <c r="G10" s="5507">
        <v>1.4</v>
      </c>
      <c r="H10" s="3938" t="s">
        <v>1044</v>
      </c>
      <c r="I10" s="5551">
        <f t="shared" si="23"/>
        <v>56401999.999999858</v>
      </c>
      <c r="J10" s="5551">
        <v>56402000</v>
      </c>
      <c r="K10" s="5549">
        <f t="shared" si="23"/>
        <v>62834433.333333187</v>
      </c>
      <c r="L10" s="5552">
        <v>65310000</v>
      </c>
      <c r="M10" s="5573">
        <f t="shared" si="2"/>
        <v>119236433.33333305</v>
      </c>
      <c r="N10" s="5573">
        <f t="shared" si="2"/>
        <v>121712000</v>
      </c>
      <c r="O10" s="5551">
        <f t="shared" ref="O10" si="42">+O58*O$3*24*1000</f>
        <v>64978484.665999971</v>
      </c>
      <c r="P10" s="5551">
        <v>65253000</v>
      </c>
      <c r="Q10" s="5804">
        <f t="shared" si="3"/>
        <v>184214917.99933302</v>
      </c>
      <c r="R10" s="5804">
        <f t="shared" si="4"/>
        <v>186965000</v>
      </c>
      <c r="S10" s="5551">
        <f t="shared" ref="S10" si="43">+S58*S$3*24*1000</f>
        <v>71563052.19514446</v>
      </c>
      <c r="T10" s="5552">
        <v>65633000</v>
      </c>
      <c r="U10" s="5573">
        <f t="shared" si="5"/>
        <v>255777970.1944775</v>
      </c>
      <c r="V10" s="5573">
        <f t="shared" si="6"/>
        <v>252598000</v>
      </c>
      <c r="W10" s="5551">
        <f t="shared" si="26"/>
        <v>70544465.639007151</v>
      </c>
      <c r="X10" s="5552">
        <v>67532000</v>
      </c>
      <c r="Y10" s="5573">
        <f t="shared" si="7"/>
        <v>326322435.83348465</v>
      </c>
      <c r="Z10" s="5573">
        <f t="shared" si="8"/>
        <v>320130000</v>
      </c>
      <c r="AA10" s="5551">
        <f t="shared" si="27"/>
        <v>69442746.764788523</v>
      </c>
      <c r="AB10" s="5552">
        <v>63356000</v>
      </c>
      <c r="AC10" s="5803">
        <f t="shared" si="28"/>
        <v>211550264.59894013</v>
      </c>
      <c r="AD10" s="5803">
        <f t="shared" si="29"/>
        <v>196521000</v>
      </c>
      <c r="AE10" s="6905">
        <f t="shared" si="9"/>
        <v>395765182.59827316</v>
      </c>
      <c r="AF10" s="6905">
        <f t="shared" si="10"/>
        <v>383486000</v>
      </c>
      <c r="AG10" s="5551">
        <f t="shared" si="30"/>
        <v>63479555.702724054</v>
      </c>
      <c r="AH10" s="5552">
        <v>65854000</v>
      </c>
      <c r="AI10" s="5573">
        <f t="shared" si="11"/>
        <v>459244738.3009972</v>
      </c>
      <c r="AJ10" s="5573">
        <f t="shared" si="12"/>
        <v>449340000</v>
      </c>
      <c r="AK10" s="5551">
        <f t="shared" si="31"/>
        <v>78084969.511198148</v>
      </c>
      <c r="AL10" s="5552">
        <v>64940000</v>
      </c>
      <c r="AM10" s="5573">
        <f t="shared" si="13"/>
        <v>537329707.8121953</v>
      </c>
      <c r="AN10" s="5573">
        <f t="shared" si="14"/>
        <v>514280000</v>
      </c>
      <c r="AO10" s="5551">
        <f t="shared" si="32"/>
        <v>77231820.701828688</v>
      </c>
      <c r="AP10" s="5552">
        <v>65777000</v>
      </c>
      <c r="AQ10" s="5804">
        <f t="shared" si="33"/>
        <v>218796345.91575089</v>
      </c>
      <c r="AR10" s="5803">
        <f t="shared" si="34"/>
        <v>196571000</v>
      </c>
      <c r="AS10" s="5573">
        <f t="shared" si="15"/>
        <v>614561528.51402402</v>
      </c>
      <c r="AT10" s="5573">
        <f t="shared" si="16"/>
        <v>580057000</v>
      </c>
      <c r="AU10" s="5551">
        <f t="shared" si="35"/>
        <v>78261476.212598264</v>
      </c>
      <c r="AV10" s="5552">
        <v>67796000</v>
      </c>
      <c r="AW10" s="5573">
        <f t="shared" si="17"/>
        <v>692823004.72662234</v>
      </c>
      <c r="AX10" s="5573">
        <f t="shared" si="18"/>
        <v>647853000</v>
      </c>
      <c r="AY10" s="8198">
        <f t="shared" si="36"/>
        <v>71484294.139305592</v>
      </c>
      <c r="AZ10" s="5552">
        <v>62383000</v>
      </c>
      <c r="BA10" s="5573">
        <f t="shared" si="19"/>
        <v>764307298.86592793</v>
      </c>
      <c r="BB10" s="5573">
        <f t="shared" si="20"/>
        <v>710236000</v>
      </c>
      <c r="BC10" s="8198">
        <f t="shared" si="37"/>
        <v>80311400.362680018</v>
      </c>
      <c r="BD10" s="5552">
        <v>71504000</v>
      </c>
      <c r="BE10" s="5803">
        <f t="shared" si="38"/>
        <v>230057170.71458387</v>
      </c>
      <c r="BF10" s="5803">
        <f t="shared" si="39"/>
        <v>201683000</v>
      </c>
      <c r="BG10" s="5803">
        <f t="shared" si="0"/>
        <v>448853516.63033473</v>
      </c>
      <c r="BH10" s="5803">
        <f t="shared" si="1"/>
        <v>398254000</v>
      </c>
      <c r="BI10" s="6905">
        <f t="shared" si="21"/>
        <v>844618699.22860789</v>
      </c>
      <c r="BJ10" s="6905">
        <f t="shared" si="22"/>
        <v>781740000</v>
      </c>
    </row>
    <row r="11" spans="1:62" ht="15.75" customHeight="1" thickBot="1" x14ac:dyDescent="0.25">
      <c r="A11" s="5416">
        <v>6</v>
      </c>
      <c r="B11" s="5518" t="s">
        <v>1046</v>
      </c>
      <c r="C11" s="1638" t="s">
        <v>703</v>
      </c>
      <c r="D11" s="5519">
        <f t="shared" ref="D11:E11" si="44">SUM(D6:D10)</f>
        <v>89343889.99999997</v>
      </c>
      <c r="E11" s="5520">
        <f t="shared" si="44"/>
        <v>95603960</v>
      </c>
      <c r="G11" s="5507">
        <v>1.5</v>
      </c>
      <c r="H11" s="3938" t="s">
        <v>1045</v>
      </c>
      <c r="I11" s="5549">
        <f t="shared" si="23"/>
        <v>514390.00000003196</v>
      </c>
      <c r="J11" s="5551">
        <v>514390</v>
      </c>
      <c r="K11" s="5549">
        <f t="shared" si="23"/>
        <v>517460.00000002072</v>
      </c>
      <c r="L11" s="5552">
        <v>517460.00000000029</v>
      </c>
      <c r="M11" s="5573">
        <f t="shared" si="2"/>
        <v>1031850.0000000526</v>
      </c>
      <c r="N11" s="5573">
        <f t="shared" si="2"/>
        <v>1031850.0000000002</v>
      </c>
      <c r="O11" s="5549">
        <f t="shared" ref="O11" si="45">+O59*O$3*24*1000</f>
        <v>540000</v>
      </c>
      <c r="P11" s="5551">
        <v>518389.99999999942</v>
      </c>
      <c r="Q11" s="5804">
        <f t="shared" si="3"/>
        <v>1571850.0000000526</v>
      </c>
      <c r="R11" s="5804">
        <f t="shared" si="4"/>
        <v>1550239.9999999995</v>
      </c>
      <c r="S11" s="5963">
        <f t="shared" ref="S11" si="46">+S59*S$3*24*1000</f>
        <v>558000</v>
      </c>
      <c r="T11" s="5552">
        <v>568140.00000000035</v>
      </c>
      <c r="U11" s="5573">
        <f t="shared" si="5"/>
        <v>2129850.0000000526</v>
      </c>
      <c r="V11" s="5573">
        <f t="shared" si="6"/>
        <v>2118380</v>
      </c>
      <c r="W11" s="6424">
        <f t="shared" si="26"/>
        <v>558000</v>
      </c>
      <c r="X11" s="5552">
        <v>551250</v>
      </c>
      <c r="Y11" s="5573">
        <f t="shared" si="7"/>
        <v>2687850.0000000526</v>
      </c>
      <c r="Z11" s="5573">
        <f t="shared" si="8"/>
        <v>2669630</v>
      </c>
      <c r="AA11" s="6424">
        <f t="shared" si="27"/>
        <v>540000</v>
      </c>
      <c r="AB11" s="5552">
        <v>532650.00000000012</v>
      </c>
      <c r="AC11" s="5803">
        <f t="shared" si="28"/>
        <v>1656000</v>
      </c>
      <c r="AD11" s="5803">
        <f t="shared" si="29"/>
        <v>1652040.0000000005</v>
      </c>
      <c r="AE11" s="6905">
        <f t="shared" si="9"/>
        <v>3227850.0000000526</v>
      </c>
      <c r="AF11" s="6905">
        <f t="shared" si="10"/>
        <v>3202280</v>
      </c>
      <c r="AG11" s="6424">
        <f t="shared" si="30"/>
        <v>558000</v>
      </c>
      <c r="AH11" s="5552">
        <v>553959.99999999907</v>
      </c>
      <c r="AI11" s="5573">
        <f t="shared" si="11"/>
        <v>3785850.0000000526</v>
      </c>
      <c r="AJ11" s="5573">
        <f t="shared" si="12"/>
        <v>3756239.9999999991</v>
      </c>
      <c r="AK11" s="6424">
        <f t="shared" si="31"/>
        <v>540000</v>
      </c>
      <c r="AL11" s="5552">
        <v>514260.00000000093</v>
      </c>
      <c r="AM11" s="5573">
        <f t="shared" si="13"/>
        <v>4325850.0000000522</v>
      </c>
      <c r="AN11" s="5573">
        <f t="shared" si="14"/>
        <v>4270500</v>
      </c>
      <c r="AO11" s="6424">
        <f t="shared" si="32"/>
        <v>558000</v>
      </c>
      <c r="AP11" s="5552">
        <v>570889.99999999965</v>
      </c>
      <c r="AQ11" s="5803">
        <f t="shared" si="33"/>
        <v>1656000</v>
      </c>
      <c r="AR11" s="5803">
        <f t="shared" si="34"/>
        <v>1639109.9999999995</v>
      </c>
      <c r="AS11" s="5573">
        <f t="shared" si="15"/>
        <v>4883850.0000000522</v>
      </c>
      <c r="AT11" s="5573">
        <f t="shared" si="16"/>
        <v>4841390</v>
      </c>
      <c r="AU11" s="6424">
        <f t="shared" si="35"/>
        <v>558000</v>
      </c>
      <c r="AV11" s="5552">
        <v>566530.00000000023</v>
      </c>
      <c r="AW11" s="5573">
        <f t="shared" si="17"/>
        <v>5441850.0000000522</v>
      </c>
      <c r="AX11" s="5573">
        <f t="shared" si="18"/>
        <v>5407920</v>
      </c>
      <c r="AY11" s="8197">
        <f t="shared" si="36"/>
        <v>504000</v>
      </c>
      <c r="AZ11" s="5552">
        <v>507800</v>
      </c>
      <c r="BA11" s="5573">
        <f t="shared" si="19"/>
        <v>5945850.0000000522</v>
      </c>
      <c r="BB11" s="5573">
        <f t="shared" si="20"/>
        <v>5915720</v>
      </c>
      <c r="BC11" s="8197">
        <f t="shared" si="37"/>
        <v>558000</v>
      </c>
      <c r="BD11" s="5552">
        <v>560710.00000000105</v>
      </c>
      <c r="BE11" s="5803">
        <f t="shared" si="38"/>
        <v>1620000</v>
      </c>
      <c r="BF11" s="5803">
        <f t="shared" si="39"/>
        <v>1635040.0000000014</v>
      </c>
      <c r="BG11" s="5803">
        <f t="shared" si="0"/>
        <v>3276000</v>
      </c>
      <c r="BH11" s="5803">
        <f t="shared" si="1"/>
        <v>3274150.0000000009</v>
      </c>
      <c r="BI11" s="6905">
        <f t="shared" si="21"/>
        <v>6503850.0000000522</v>
      </c>
      <c r="BJ11" s="6905">
        <f t="shared" si="22"/>
        <v>6476430.0000000009</v>
      </c>
    </row>
    <row r="12" spans="1:62" ht="15.75" customHeight="1" x14ac:dyDescent="0.2">
      <c r="A12" s="5416">
        <v>7</v>
      </c>
      <c r="B12" s="5508" t="s">
        <v>1052</v>
      </c>
      <c r="C12" s="1639" t="s">
        <v>703</v>
      </c>
      <c r="D12" s="5514">
        <f>[2]PPC!E73</f>
        <v>261981.80799999906</v>
      </c>
      <c r="E12" s="5515">
        <f>[2]PPC!F73</f>
        <v>317978.65699999966</v>
      </c>
      <c r="G12" s="5511">
        <v>2</v>
      </c>
      <c r="H12" s="5512" t="s">
        <v>1981</v>
      </c>
      <c r="I12" s="5553">
        <f>SUM(I13:I14)</f>
        <v>1282175.807999976</v>
      </c>
      <c r="J12" s="5553">
        <f>SUM(J13:J14)</f>
        <v>1282175.8079999543</v>
      </c>
      <c r="K12" s="5553">
        <f>SUM(K13:K14)</f>
        <v>2093433.957000084</v>
      </c>
      <c r="L12" s="5554">
        <f>SUM(L13:L14)</f>
        <v>2093433.9570000116</v>
      </c>
      <c r="M12" s="5574">
        <f t="shared" si="2"/>
        <v>3375609.7650000602</v>
      </c>
      <c r="N12" s="5574">
        <f t="shared" si="2"/>
        <v>3375609.7649999661</v>
      </c>
      <c r="O12" s="5553">
        <f>SUM(O13:O14)</f>
        <v>3672000</v>
      </c>
      <c r="P12" s="5553">
        <f>SUM(P13:P14)</f>
        <v>2279605.3339999858</v>
      </c>
      <c r="Q12" s="5805">
        <f t="shared" si="3"/>
        <v>7047609.7650000602</v>
      </c>
      <c r="R12" s="5805">
        <f t="shared" si="4"/>
        <v>5655215.098999952</v>
      </c>
      <c r="S12" s="5553">
        <f>SUM(S13:S14)</f>
        <v>3794400.0000000005</v>
      </c>
      <c r="T12" s="5554">
        <f>SUM(T13:T14)</f>
        <v>1965582.9900000873</v>
      </c>
      <c r="U12" s="5574">
        <f t="shared" si="5"/>
        <v>10842009.76500006</v>
      </c>
      <c r="V12" s="5574">
        <f t="shared" si="6"/>
        <v>7620798.0890000388</v>
      </c>
      <c r="W12" s="5553">
        <f>SUM(W13:W14)</f>
        <v>3794400.0000000005</v>
      </c>
      <c r="X12" s="5554">
        <f>SUM(X13:X14)</f>
        <v>1809980.4189999553</v>
      </c>
      <c r="Y12" s="5574">
        <f t="shared" si="7"/>
        <v>14636409.76500006</v>
      </c>
      <c r="Z12" s="5574">
        <f t="shared" si="8"/>
        <v>9430778.5079999939</v>
      </c>
      <c r="AA12" s="5553">
        <f>SUM(AA13:AA14)</f>
        <v>3672000</v>
      </c>
      <c r="AB12" s="5554">
        <f>SUM(AB13:AB14)</f>
        <v>1777499.5770000033</v>
      </c>
      <c r="AC12" s="5805">
        <f>+S12+W12+AA12</f>
        <v>11260800</v>
      </c>
      <c r="AD12" s="5805">
        <f>+T12+X12+AB12</f>
        <v>5553062.9860000461</v>
      </c>
      <c r="AE12" s="6902">
        <f t="shared" si="9"/>
        <v>18308409.76500006</v>
      </c>
      <c r="AF12" s="6902">
        <f t="shared" si="10"/>
        <v>11208278.084999997</v>
      </c>
      <c r="AG12" s="5553">
        <f>SUM(AG13:AG14)</f>
        <v>3794400.0000000005</v>
      </c>
      <c r="AH12" s="5554">
        <f>SUM(AH13:AH14)</f>
        <v>1578126.1960000168</v>
      </c>
      <c r="AI12" s="5574">
        <f t="shared" si="11"/>
        <v>22102809.76500006</v>
      </c>
      <c r="AJ12" s="5574">
        <f t="shared" si="12"/>
        <v>12786404.281000014</v>
      </c>
      <c r="AK12" s="5553">
        <f>SUM(AK13:AK14)</f>
        <v>3672000</v>
      </c>
      <c r="AL12" s="5554">
        <f>SUM(AL13:AL14)</f>
        <v>1657531.6249999676</v>
      </c>
      <c r="AM12" s="5574">
        <f t="shared" si="13"/>
        <v>25774809.76500006</v>
      </c>
      <c r="AN12" s="5574">
        <f t="shared" si="14"/>
        <v>14443935.905999983</v>
      </c>
      <c r="AO12" s="5553">
        <f>SUM(AO13:AO14)</f>
        <v>3794400.0000000005</v>
      </c>
      <c r="AP12" s="5554">
        <f>SUM(AP13:AP14)</f>
        <v>1341705.192999986</v>
      </c>
      <c r="AQ12" s="5805">
        <f>+AG12+AK12+AO12</f>
        <v>11260800</v>
      </c>
      <c r="AR12" s="5805">
        <f>+AH12+AL12+AP12</f>
        <v>4577363.0139999706</v>
      </c>
      <c r="AS12" s="5574">
        <f t="shared" si="15"/>
        <v>29569209.76500006</v>
      </c>
      <c r="AT12" s="5574">
        <f t="shared" si="16"/>
        <v>15785641.09899997</v>
      </c>
      <c r="AU12" s="5553">
        <f>SUM(AU13:AU14)</f>
        <v>3794400.0000000005</v>
      </c>
      <c r="AV12" s="5554">
        <f>SUM(AV13:AV14)</f>
        <v>1975047.5909999837</v>
      </c>
      <c r="AW12" s="5574">
        <f t="shared" si="17"/>
        <v>33363609.76500006</v>
      </c>
      <c r="AX12" s="5574">
        <f t="shared" si="18"/>
        <v>17760688.689999953</v>
      </c>
      <c r="AY12" s="8196">
        <f>SUM(AY13:AY14)</f>
        <v>3427200</v>
      </c>
      <c r="AZ12" s="5554">
        <f>SUM(AZ13:AZ14)</f>
        <v>1238170.9040000001</v>
      </c>
      <c r="BA12" s="5574">
        <f t="shared" si="19"/>
        <v>36790809.76500006</v>
      </c>
      <c r="BB12" s="5574">
        <f t="shared" si="20"/>
        <v>18998859.593999952</v>
      </c>
      <c r="BC12" s="8196">
        <f>SUM(BC13:BC14)</f>
        <v>3794400.0000000005</v>
      </c>
      <c r="BD12" s="5554">
        <f>SUM(BD13:BD14)</f>
        <v>1705929.423999998</v>
      </c>
      <c r="BE12" s="5805">
        <f>+AU12+AY12+BC12</f>
        <v>11016000</v>
      </c>
      <c r="BF12" s="5805">
        <f>+AV12+AZ12+BD12</f>
        <v>4919147.9189999821</v>
      </c>
      <c r="BG12" s="5805">
        <f t="shared" si="0"/>
        <v>22276800</v>
      </c>
      <c r="BH12" s="5805">
        <f t="shared" si="1"/>
        <v>9496510.9329999536</v>
      </c>
      <c r="BI12" s="6902">
        <f t="shared" si="21"/>
        <v>40585209.76500006</v>
      </c>
      <c r="BJ12" s="6902">
        <f t="shared" si="22"/>
        <v>20704789.017999951</v>
      </c>
    </row>
    <row r="13" spans="1:62" ht="15" customHeight="1" thickBot="1" x14ac:dyDescent="0.25">
      <c r="A13" s="5416">
        <v>8</v>
      </c>
      <c r="B13" s="5521" t="s">
        <v>1053</v>
      </c>
      <c r="C13" s="1637" t="s">
        <v>703</v>
      </c>
      <c r="D13" s="5514">
        <f>[2]PPC!E61</f>
        <v>1020193.9999999553</v>
      </c>
      <c r="E13" s="5515">
        <f>[2]PPC!F61</f>
        <v>1775455.3000000119</v>
      </c>
      <c r="G13" s="5507">
        <v>2.1</v>
      </c>
      <c r="H13" s="3938" t="s">
        <v>1052</v>
      </c>
      <c r="I13" s="5549">
        <f t="shared" si="23"/>
        <v>261981.80799998398</v>
      </c>
      <c r="J13" s="5551">
        <v>261981.80799999906</v>
      </c>
      <c r="K13" s="5549">
        <f t="shared" si="23"/>
        <v>317978.65700003522</v>
      </c>
      <c r="L13" s="5552">
        <v>317978.65699999966</v>
      </c>
      <c r="M13" s="5573">
        <f t="shared" si="2"/>
        <v>579960.46500001918</v>
      </c>
      <c r="N13" s="5573">
        <f t="shared" si="2"/>
        <v>579960.46499999869</v>
      </c>
      <c r="O13" s="5549">
        <f t="shared" ref="O13" si="47">+O61*O$3*24*1000</f>
        <v>504000</v>
      </c>
      <c r="P13" s="5551">
        <v>354575.33400000096</v>
      </c>
      <c r="Q13" s="5804">
        <f t="shared" si="3"/>
        <v>1083960.4650000192</v>
      </c>
      <c r="R13" s="5804">
        <f t="shared" si="4"/>
        <v>934535.79899999965</v>
      </c>
      <c r="S13" s="5963">
        <f t="shared" ref="S13" si="48">+S61*S$3*24*1000</f>
        <v>520799.99999999994</v>
      </c>
      <c r="T13" s="5552">
        <v>360607.69000000093</v>
      </c>
      <c r="U13" s="5573">
        <f t="shared" si="5"/>
        <v>1604760.4650000192</v>
      </c>
      <c r="V13" s="5573">
        <f t="shared" si="6"/>
        <v>1295143.4890000005</v>
      </c>
      <c r="W13" s="6424">
        <f t="shared" ref="W13:W14" si="49">+W61*W$3*24*1000</f>
        <v>520799.99999999994</v>
      </c>
      <c r="X13" s="5552">
        <v>253072.41900000002</v>
      </c>
      <c r="Y13" s="5573">
        <f t="shared" si="7"/>
        <v>2125560.4650000189</v>
      </c>
      <c r="Z13" s="5573">
        <f t="shared" si="8"/>
        <v>1548215.9080000005</v>
      </c>
      <c r="AA13" s="6424">
        <f t="shared" ref="AA13:AA14" si="50">+AA61*AA$3*24*1000</f>
        <v>504000</v>
      </c>
      <c r="AB13" s="5552">
        <v>288622.67699999723</v>
      </c>
      <c r="AC13" s="5803">
        <f t="shared" ref="AC13:AC14" si="51">+S13+W13+AA13</f>
        <v>1545600</v>
      </c>
      <c r="AD13" s="5803">
        <f t="shared" ref="AD13:AD14" si="52">+T13+X13+AB13</f>
        <v>902302.78599999822</v>
      </c>
      <c r="AE13" s="6905">
        <f t="shared" si="9"/>
        <v>2629560.4650000189</v>
      </c>
      <c r="AF13" s="6905">
        <f t="shared" si="10"/>
        <v>1836838.5849999976</v>
      </c>
      <c r="AG13" s="6424">
        <f t="shared" ref="AG13:AG14" si="53">+AG61*AG$3*24*1000</f>
        <v>520799.99999999994</v>
      </c>
      <c r="AH13" s="5552">
        <v>251466.19600000186</v>
      </c>
      <c r="AI13" s="5573">
        <f t="shared" si="11"/>
        <v>3150360.4650000189</v>
      </c>
      <c r="AJ13" s="5573">
        <f t="shared" si="12"/>
        <v>2088304.7809999995</v>
      </c>
      <c r="AK13" s="6424">
        <f t="shared" ref="AK13:AK14" si="54">+AK61*AK$3*24*1000</f>
        <v>504000</v>
      </c>
      <c r="AL13" s="5552">
        <v>268325.62499999738</v>
      </c>
      <c r="AM13" s="5573">
        <f t="shared" si="13"/>
        <v>3654360.4650000189</v>
      </c>
      <c r="AN13" s="5573">
        <f t="shared" si="14"/>
        <v>2356630.4059999967</v>
      </c>
      <c r="AO13" s="6424">
        <f t="shared" ref="AO13:AO14" si="55">+AO61*AO$3*24*1000</f>
        <v>520799.99999999994</v>
      </c>
      <c r="AP13" s="5552">
        <v>249308.19300000093</v>
      </c>
      <c r="AQ13" s="5803">
        <f t="shared" ref="AQ13:AQ17" si="56">+AG13+AK13+AO13</f>
        <v>1545600</v>
      </c>
      <c r="AR13" s="5803">
        <f t="shared" ref="AR13:AR17" si="57">+AH13+AL13+AP13</f>
        <v>769100.0140000002</v>
      </c>
      <c r="AS13" s="5573">
        <f t="shared" si="15"/>
        <v>4175160.4650000189</v>
      </c>
      <c r="AT13" s="5573">
        <f t="shared" si="16"/>
        <v>2605938.5989999976</v>
      </c>
      <c r="AU13" s="6424">
        <f t="shared" ref="AU13:AU14" si="58">+AU61*AU$3*24*1000</f>
        <v>520799.99999999994</v>
      </c>
      <c r="AV13" s="5552">
        <v>251384.59099999862</v>
      </c>
      <c r="AW13" s="5573">
        <f t="shared" si="17"/>
        <v>4695960.4650000185</v>
      </c>
      <c r="AX13" s="5573">
        <f t="shared" si="18"/>
        <v>2857323.1899999962</v>
      </c>
      <c r="AY13" s="8197">
        <f t="shared" ref="AY13:AY14" si="59">+AY61*AY$3*24*1000</f>
        <v>470400</v>
      </c>
      <c r="AZ13" s="5552">
        <v>150182.90400000001</v>
      </c>
      <c r="BA13" s="5573">
        <f t="shared" si="19"/>
        <v>5166360.4650000185</v>
      </c>
      <c r="BB13" s="5573">
        <f t="shared" si="20"/>
        <v>3007506.0939999963</v>
      </c>
      <c r="BC13" s="8197">
        <f t="shared" ref="BC13:BC14" si="60">+BC61*BC$3*24*1000</f>
        <v>520799.99999999994</v>
      </c>
      <c r="BD13" s="5552">
        <v>215868.42399999799</v>
      </c>
      <c r="BE13" s="5803">
        <f t="shared" ref="BE13:BE17" si="61">+AU13+AY13+BC13</f>
        <v>1512000</v>
      </c>
      <c r="BF13" s="5803">
        <f t="shared" ref="BF13:BF17" si="62">+AV13+AZ13+BD13</f>
        <v>617435.91899999662</v>
      </c>
      <c r="BG13" s="5803">
        <f t="shared" si="0"/>
        <v>3057600</v>
      </c>
      <c r="BH13" s="5803">
        <f t="shared" si="1"/>
        <v>1386535.9329999969</v>
      </c>
      <c r="BI13" s="6905">
        <f t="shared" si="21"/>
        <v>5687160.4650000185</v>
      </c>
      <c r="BJ13" s="6905">
        <f t="shared" si="22"/>
        <v>3223374.5179999941</v>
      </c>
    </row>
    <row r="14" spans="1:62" ht="15" customHeight="1" thickBot="1" x14ac:dyDescent="0.25">
      <c r="A14" s="5416">
        <v>9</v>
      </c>
      <c r="B14" s="5518" t="s">
        <v>1054</v>
      </c>
      <c r="C14" s="1638" t="s">
        <v>703</v>
      </c>
      <c r="D14" s="5519">
        <f>SUM(D12:D13)</f>
        <v>1282175.8079999543</v>
      </c>
      <c r="E14" s="5520">
        <f>SUM(E12:E13)</f>
        <v>2093433.9570000116</v>
      </c>
      <c r="G14" s="5507">
        <v>2.2000000000000002</v>
      </c>
      <c r="H14" s="3938" t="s">
        <v>1053</v>
      </c>
      <c r="I14" s="5549">
        <f t="shared" si="23"/>
        <v>1020193.9999999921</v>
      </c>
      <c r="J14" s="5551">
        <v>1020193.9999999553</v>
      </c>
      <c r="K14" s="5549">
        <f t="shared" si="23"/>
        <v>1775455.3000000487</v>
      </c>
      <c r="L14" s="5552">
        <v>1775455.3000000119</v>
      </c>
      <c r="M14" s="5573">
        <f t="shared" si="2"/>
        <v>2795649.3000000408</v>
      </c>
      <c r="N14" s="5573">
        <f t="shared" si="2"/>
        <v>2795649.2999999672</v>
      </c>
      <c r="O14" s="5549">
        <f t="shared" ref="O14" si="63">+O62*O$3*24*1000</f>
        <v>3168000</v>
      </c>
      <c r="P14" s="5551">
        <v>1925029.9999999851</v>
      </c>
      <c r="Q14" s="5804">
        <f t="shared" si="3"/>
        <v>5963649.3000000408</v>
      </c>
      <c r="R14" s="5804">
        <f t="shared" si="4"/>
        <v>4720679.2999999523</v>
      </c>
      <c r="S14" s="5963">
        <f t="shared" ref="S14" si="64">+S62*S$3*24*1000</f>
        <v>3273600.0000000005</v>
      </c>
      <c r="T14" s="5552">
        <v>1604975.3000000864</v>
      </c>
      <c r="U14" s="5573">
        <f t="shared" si="5"/>
        <v>9237249.3000000417</v>
      </c>
      <c r="V14" s="5573">
        <f t="shared" si="6"/>
        <v>6325654.6000000387</v>
      </c>
      <c r="W14" s="6424">
        <f t="shared" si="49"/>
        <v>3273600.0000000005</v>
      </c>
      <c r="X14" s="5552">
        <v>1556907.9999999553</v>
      </c>
      <c r="Y14" s="5573">
        <f t="shared" si="7"/>
        <v>12510849.300000042</v>
      </c>
      <c r="Z14" s="5573">
        <f t="shared" si="8"/>
        <v>7882562.599999994</v>
      </c>
      <c r="AA14" s="6424">
        <f t="shared" si="50"/>
        <v>3168000</v>
      </c>
      <c r="AB14" s="5552">
        <v>1488876.900000006</v>
      </c>
      <c r="AC14" s="5803">
        <f t="shared" si="51"/>
        <v>9715200</v>
      </c>
      <c r="AD14" s="5803">
        <f t="shared" si="52"/>
        <v>4650760.2000000477</v>
      </c>
      <c r="AE14" s="6905">
        <f t="shared" si="9"/>
        <v>15678849.300000042</v>
      </c>
      <c r="AF14" s="6905">
        <f t="shared" si="10"/>
        <v>9371439.5</v>
      </c>
      <c r="AG14" s="6424">
        <f t="shared" si="53"/>
        <v>3273600.0000000005</v>
      </c>
      <c r="AH14" s="5552">
        <v>1326660.0000000149</v>
      </c>
      <c r="AI14" s="5573">
        <f t="shared" si="11"/>
        <v>18952449.300000042</v>
      </c>
      <c r="AJ14" s="5573">
        <f t="shared" si="12"/>
        <v>10698099.500000015</v>
      </c>
      <c r="AK14" s="6424">
        <f t="shared" si="54"/>
        <v>3168000</v>
      </c>
      <c r="AL14" s="5552">
        <v>1389205.9999999702</v>
      </c>
      <c r="AM14" s="5573">
        <f t="shared" si="13"/>
        <v>22120449.300000042</v>
      </c>
      <c r="AN14" s="5573">
        <f t="shared" si="14"/>
        <v>12087305.499999985</v>
      </c>
      <c r="AO14" s="6424">
        <f t="shared" si="55"/>
        <v>3273600.0000000005</v>
      </c>
      <c r="AP14" s="5552">
        <v>1092396.9999999851</v>
      </c>
      <c r="AQ14" s="5803">
        <f t="shared" si="56"/>
        <v>9715200</v>
      </c>
      <c r="AR14" s="5803">
        <f t="shared" si="57"/>
        <v>3808262.9999999702</v>
      </c>
      <c r="AS14" s="5573">
        <f t="shared" si="15"/>
        <v>25394049.300000042</v>
      </c>
      <c r="AT14" s="5573">
        <f t="shared" si="16"/>
        <v>13179702.49999997</v>
      </c>
      <c r="AU14" s="6424">
        <f t="shared" si="58"/>
        <v>3273600.0000000005</v>
      </c>
      <c r="AV14" s="5552">
        <v>1723662.9999999851</v>
      </c>
      <c r="AW14" s="5573">
        <f t="shared" si="17"/>
        <v>28667649.300000042</v>
      </c>
      <c r="AX14" s="5573">
        <f t="shared" si="18"/>
        <v>14903365.499999955</v>
      </c>
      <c r="AY14" s="8197">
        <f t="shared" si="59"/>
        <v>2956800</v>
      </c>
      <c r="AZ14" s="5552">
        <v>1087988</v>
      </c>
      <c r="BA14" s="5573">
        <f t="shared" si="19"/>
        <v>31624449.300000042</v>
      </c>
      <c r="BB14" s="5573">
        <f t="shared" si="20"/>
        <v>15991353.499999955</v>
      </c>
      <c r="BC14" s="8197">
        <f t="shared" si="60"/>
        <v>3273600.0000000005</v>
      </c>
      <c r="BD14" s="5552">
        <v>1490061</v>
      </c>
      <c r="BE14" s="5803">
        <f t="shared" si="61"/>
        <v>9504000</v>
      </c>
      <c r="BF14" s="5803">
        <f t="shared" si="62"/>
        <v>4301711.9999999851</v>
      </c>
      <c r="BG14" s="5803">
        <f t="shared" si="0"/>
        <v>19219200</v>
      </c>
      <c r="BH14" s="5803">
        <f t="shared" si="1"/>
        <v>8109974.9999999553</v>
      </c>
      <c r="BI14" s="6905">
        <f t="shared" si="21"/>
        <v>34898049.300000042</v>
      </c>
      <c r="BJ14" s="6905">
        <f t="shared" si="22"/>
        <v>17481414.499999955</v>
      </c>
    </row>
    <row r="15" spans="1:62" ht="18.75" customHeight="1" thickBot="1" x14ac:dyDescent="0.25">
      <c r="A15" s="5416">
        <v>10</v>
      </c>
      <c r="B15" s="5522" t="s">
        <v>526</v>
      </c>
      <c r="C15" s="1638" t="s">
        <v>703</v>
      </c>
      <c r="D15" s="5523">
        <f t="shared" ref="D15:E15" si="65">+D11-D14</f>
        <v>88061714.192000017</v>
      </c>
      <c r="E15" s="5524">
        <f t="shared" si="65"/>
        <v>93510526.042999983</v>
      </c>
      <c r="G15" s="5511">
        <v>3</v>
      </c>
      <c r="H15" s="5512" t="s">
        <v>1982</v>
      </c>
      <c r="I15" s="5553">
        <f>I6-I12</f>
        <v>88061714.191999942</v>
      </c>
      <c r="J15" s="5553">
        <f>J6-J12</f>
        <v>88061714.192000017</v>
      </c>
      <c r="K15" s="5553">
        <f>K6-K12</f>
        <v>93510526.042999819</v>
      </c>
      <c r="L15" s="5820">
        <f>L6-L12</f>
        <v>93510526.042999983</v>
      </c>
      <c r="M15" s="5574">
        <f t="shared" si="2"/>
        <v>181572240.23499978</v>
      </c>
      <c r="N15" s="5574">
        <f t="shared" si="2"/>
        <v>181572240.23500001</v>
      </c>
      <c r="O15" s="5553">
        <f>O6-O12</f>
        <v>95223484.666000009</v>
      </c>
      <c r="P15" s="5553">
        <f>P6-P12</f>
        <v>95223484.666000009</v>
      </c>
      <c r="Q15" s="5805">
        <f t="shared" si="3"/>
        <v>276795724.90099978</v>
      </c>
      <c r="R15" s="5805">
        <f t="shared" si="4"/>
        <v>276795724.90100002</v>
      </c>
      <c r="S15" s="5553">
        <f>S6-S12</f>
        <v>106946126.67524719</v>
      </c>
      <c r="T15" s="5820">
        <f>T6-T12</f>
        <v>100713257.00999999</v>
      </c>
      <c r="U15" s="5574">
        <f t="shared" si="5"/>
        <v>383741851.57624698</v>
      </c>
      <c r="V15" s="5574">
        <f t="shared" si="6"/>
        <v>377508981.91100001</v>
      </c>
      <c r="W15" s="5553">
        <f>W6-W12</f>
        <v>106428343.41678497</v>
      </c>
      <c r="X15" s="5820">
        <f>X6-X12</f>
        <v>103719769.58099999</v>
      </c>
      <c r="Y15" s="5574">
        <f t="shared" si="7"/>
        <v>490170194.99303198</v>
      </c>
      <c r="Z15" s="5574">
        <f t="shared" si="8"/>
        <v>481228751.49199998</v>
      </c>
      <c r="AA15" s="5553">
        <f>AA6-AA12</f>
        <v>104166684.89059088</v>
      </c>
      <c r="AB15" s="5820">
        <f>AB6-AB12</f>
        <v>91115850.422999993</v>
      </c>
      <c r="AC15" s="5805">
        <f t="shared" ref="AC15:AC16" si="66">+S15+W15+AA15</f>
        <v>317541154.98262304</v>
      </c>
      <c r="AD15" s="5805">
        <f t="shared" ref="AD15:AD16" si="67">+T15+X15+AB15</f>
        <v>295548877.01399994</v>
      </c>
      <c r="AE15" s="6902">
        <f t="shared" si="9"/>
        <v>594336879.88362288</v>
      </c>
      <c r="AF15" s="6902">
        <f t="shared" si="10"/>
        <v>572344601.91499996</v>
      </c>
      <c r="AG15" s="5553">
        <f>AG6-AG12</f>
        <v>86548722.369390756</v>
      </c>
      <c r="AH15" s="5820">
        <f>AH6-AH12</f>
        <v>97272833.804000005</v>
      </c>
      <c r="AI15" s="5574">
        <f t="shared" si="11"/>
        <v>680885602.25301361</v>
      </c>
      <c r="AJ15" s="5574">
        <f t="shared" si="12"/>
        <v>669617435.71899998</v>
      </c>
      <c r="AK15" s="5553">
        <f>AK6-AK12</f>
        <v>110109451.23991022</v>
      </c>
      <c r="AL15" s="5820">
        <f>AL6-AL12</f>
        <v>97691928.37500003</v>
      </c>
      <c r="AM15" s="5574">
        <f t="shared" si="13"/>
        <v>790995053.49292386</v>
      </c>
      <c r="AN15" s="5574">
        <f t="shared" si="14"/>
        <v>767309364.09399998</v>
      </c>
      <c r="AO15" s="5553">
        <f>AO6-AO12</f>
        <v>113050216.00920285</v>
      </c>
      <c r="AP15" s="5820">
        <f>AP6-AP12</f>
        <v>102142684.80699998</v>
      </c>
      <c r="AQ15" s="5805">
        <f t="shared" si="56"/>
        <v>309708389.61850381</v>
      </c>
      <c r="AR15" s="5805">
        <f t="shared" si="57"/>
        <v>297107446.986</v>
      </c>
      <c r="AS15" s="5574">
        <f t="shared" si="15"/>
        <v>904045269.50212669</v>
      </c>
      <c r="AT15" s="5574">
        <f t="shared" si="16"/>
        <v>869452048.90100002</v>
      </c>
      <c r="AU15" s="5553">
        <f>AU6-AU12</f>
        <v>112934103.38418582</v>
      </c>
      <c r="AV15" s="5820">
        <f>AV6-AV12</f>
        <v>104812282.40900002</v>
      </c>
      <c r="AW15" s="5574">
        <f t="shared" si="17"/>
        <v>1016979372.8863125</v>
      </c>
      <c r="AX15" s="5574">
        <f t="shared" si="18"/>
        <v>974264331.31000006</v>
      </c>
      <c r="AY15" s="8196">
        <f>AY6-AY12</f>
        <v>103140949.32684478</v>
      </c>
      <c r="AZ15" s="5820">
        <f>AZ6-AZ12</f>
        <v>97363829.096000001</v>
      </c>
      <c r="BA15" s="5574">
        <f t="shared" si="19"/>
        <v>1120120322.2131572</v>
      </c>
      <c r="BB15" s="5574">
        <f t="shared" si="20"/>
        <v>1071628160.406</v>
      </c>
      <c r="BC15" s="8196">
        <f>BC6-BC12</f>
        <v>114824214.154944</v>
      </c>
      <c r="BD15" s="5820">
        <f>BD6-BD12</f>
        <v>108763880.57599992</v>
      </c>
      <c r="BE15" s="5805">
        <f t="shared" si="61"/>
        <v>330899266.86597461</v>
      </c>
      <c r="BF15" s="5805">
        <f t="shared" si="62"/>
        <v>310939992.08099997</v>
      </c>
      <c r="BG15" s="5805">
        <f t="shared" si="0"/>
        <v>640607656.48447847</v>
      </c>
      <c r="BH15" s="5805">
        <f t="shared" si="1"/>
        <v>608047439.06699991</v>
      </c>
      <c r="BI15" s="6902">
        <f t="shared" si="21"/>
        <v>1234944536.3681011</v>
      </c>
      <c r="BJ15" s="6902">
        <f t="shared" si="22"/>
        <v>1180392040.9819999</v>
      </c>
    </row>
    <row r="16" spans="1:62" ht="15" customHeight="1" x14ac:dyDescent="0.2">
      <c r="A16" s="5416">
        <v>11</v>
      </c>
      <c r="B16" s="5513" t="s">
        <v>1961</v>
      </c>
      <c r="C16" s="1636" t="s">
        <v>703</v>
      </c>
      <c r="D16" s="5514">
        <f>[2]PPC!E65</f>
        <v>1093290</v>
      </c>
      <c r="E16" s="5515">
        <f>[2]PPC!F65</f>
        <v>1171532.8</v>
      </c>
      <c r="G16" s="5511">
        <v>4</v>
      </c>
      <c r="H16" s="5512" t="s">
        <v>1983</v>
      </c>
      <c r="I16" s="5553">
        <f>I17+I39</f>
        <v>88061714.192000076</v>
      </c>
      <c r="J16" s="5553">
        <f>J17+J39</f>
        <v>88061714.192000017</v>
      </c>
      <c r="K16" s="5553">
        <f>K17+K39</f>
        <v>93510655.739000008</v>
      </c>
      <c r="L16" s="5820">
        <f>L17+L39</f>
        <v>93510526.179999977</v>
      </c>
      <c r="M16" s="5574">
        <f t="shared" si="2"/>
        <v>181572369.93100008</v>
      </c>
      <c r="N16" s="5574">
        <f t="shared" si="2"/>
        <v>181572240.37199998</v>
      </c>
      <c r="O16" s="5553">
        <f>O17+O39</f>
        <v>95223484.666000038</v>
      </c>
      <c r="P16" s="5553">
        <f>P17+P39</f>
        <v>95223484.666000023</v>
      </c>
      <c r="Q16" s="5805">
        <f t="shared" si="3"/>
        <v>276795854.59700012</v>
      </c>
      <c r="R16" s="5805">
        <f t="shared" si="4"/>
        <v>276795725.03799999</v>
      </c>
      <c r="S16" s="5553">
        <f>S17+S39</f>
        <v>106946126.67524718</v>
      </c>
      <c r="T16" s="5820">
        <f>T17+T39</f>
        <v>100713257.00999998</v>
      </c>
      <c r="U16" s="5574">
        <f t="shared" si="5"/>
        <v>383741981.27224731</v>
      </c>
      <c r="V16" s="5574">
        <f t="shared" si="6"/>
        <v>377508982.04799998</v>
      </c>
      <c r="W16" s="5553">
        <f>W17+W39</f>
        <v>106428343.41678496</v>
      </c>
      <c r="X16" s="5820">
        <f>X17+X39</f>
        <v>103719769.581</v>
      </c>
      <c r="Y16" s="5574">
        <f t="shared" si="7"/>
        <v>490170324.68903226</v>
      </c>
      <c r="Z16" s="5574">
        <f t="shared" si="8"/>
        <v>481228751.62899995</v>
      </c>
      <c r="AA16" s="5553">
        <f>AA17+AA39</f>
        <v>104166684.89059083</v>
      </c>
      <c r="AB16" s="5820">
        <f>AB17+AB39</f>
        <v>91115850.423000008</v>
      </c>
      <c r="AC16" s="5805">
        <f t="shared" si="66"/>
        <v>317541154.98262298</v>
      </c>
      <c r="AD16" s="5805">
        <f t="shared" si="67"/>
        <v>295548877.01399994</v>
      </c>
      <c r="AE16" s="6902">
        <f t="shared" si="9"/>
        <v>594337009.5796231</v>
      </c>
      <c r="AF16" s="6902">
        <f t="shared" si="10"/>
        <v>572344602.05199993</v>
      </c>
      <c r="AG16" s="5553">
        <f>AG17+AG39</f>
        <v>86548722.369390771</v>
      </c>
      <c r="AH16" s="5820">
        <f>AH17+AH39</f>
        <v>97272833.804000005</v>
      </c>
      <c r="AI16" s="5574">
        <f t="shared" si="11"/>
        <v>680885731.94901383</v>
      </c>
      <c r="AJ16" s="5574">
        <f t="shared" si="12"/>
        <v>669617435.85599995</v>
      </c>
      <c r="AK16" s="5553">
        <f>AK17+AK39</f>
        <v>110109451.2399102</v>
      </c>
      <c r="AL16" s="5820">
        <f>AL17+AL39</f>
        <v>97691928.375000045</v>
      </c>
      <c r="AM16" s="5574">
        <f t="shared" si="13"/>
        <v>790995183.18892407</v>
      </c>
      <c r="AN16" s="5574">
        <f t="shared" si="14"/>
        <v>767309364.23099995</v>
      </c>
      <c r="AO16" s="5553">
        <f>AO17+AO39</f>
        <v>113050216.00920285</v>
      </c>
      <c r="AP16" s="5820">
        <f>AP17+AP39</f>
        <v>102142685.80699998</v>
      </c>
      <c r="AQ16" s="5805">
        <f t="shared" si="56"/>
        <v>309708389.61850381</v>
      </c>
      <c r="AR16" s="5805">
        <f t="shared" si="57"/>
        <v>297107447.98600006</v>
      </c>
      <c r="AS16" s="5574">
        <f t="shared" si="15"/>
        <v>904045399.19812691</v>
      </c>
      <c r="AT16" s="5574">
        <f t="shared" si="16"/>
        <v>869452050.03799987</v>
      </c>
      <c r="AU16" s="5553">
        <f>AU17+AU39</f>
        <v>112934103.38418579</v>
      </c>
      <c r="AV16" s="5820">
        <f>AV17+AV39</f>
        <v>104812282.40900002</v>
      </c>
      <c r="AW16" s="5574">
        <f t="shared" si="17"/>
        <v>1016979502.5823127</v>
      </c>
      <c r="AX16" s="5574">
        <f t="shared" si="18"/>
        <v>974264332.44699991</v>
      </c>
      <c r="AY16" s="8196">
        <f>AY17+AY39</f>
        <v>103140949.3268448</v>
      </c>
      <c r="AZ16" s="5820">
        <f>AZ17+AZ39</f>
        <v>97363829.096000016</v>
      </c>
      <c r="BA16" s="5574">
        <f t="shared" si="19"/>
        <v>1120120451.9091575</v>
      </c>
      <c r="BB16" s="5574">
        <f t="shared" si="20"/>
        <v>1071628161.543</v>
      </c>
      <c r="BC16" s="8196">
        <f>BC17+BC39</f>
        <v>114824214.154944</v>
      </c>
      <c r="BD16" s="5820">
        <f>BD17+BD39</f>
        <v>108763881.69799992</v>
      </c>
      <c r="BE16" s="5805">
        <f t="shared" si="61"/>
        <v>330899266.86597461</v>
      </c>
      <c r="BF16" s="5805">
        <f t="shared" si="62"/>
        <v>310939993.20299995</v>
      </c>
      <c r="BG16" s="5805">
        <f t="shared" si="0"/>
        <v>640607656.48447847</v>
      </c>
      <c r="BH16" s="5805">
        <f t="shared" si="1"/>
        <v>608047441.18900001</v>
      </c>
      <c r="BI16" s="6902">
        <f t="shared" si="21"/>
        <v>1234944666.0641015</v>
      </c>
      <c r="BJ16" s="6902">
        <f t="shared" si="22"/>
        <v>1180392043.2409999</v>
      </c>
    </row>
    <row r="17" spans="1:62" ht="15" customHeight="1" x14ac:dyDescent="0.2">
      <c r="A17" s="5416">
        <v>12</v>
      </c>
      <c r="B17" s="5513" t="s">
        <v>1953</v>
      </c>
      <c r="C17" s="1636" t="s">
        <v>703</v>
      </c>
      <c r="D17" s="5514">
        <f>SUM([2]PPC!E46:E49)</f>
        <v>5090630.0000000047</v>
      </c>
      <c r="E17" s="5515">
        <f>SUM([2]PPC!F46:F49)</f>
        <v>4892460.0000000009</v>
      </c>
      <c r="G17" s="5525">
        <v>4.0999999999999996</v>
      </c>
      <c r="H17" s="5526" t="s">
        <v>1973</v>
      </c>
      <c r="I17" s="5452">
        <f>I18+I34</f>
        <v>79406183.556600079</v>
      </c>
      <c r="J17" s="5452">
        <f>J18+J34</f>
        <v>79406183.556600019</v>
      </c>
      <c r="K17" s="5452">
        <f>K18+K34</f>
        <v>84399504.886400014</v>
      </c>
      <c r="L17" s="5555">
        <f>L18+L34</f>
        <v>84399504.886399984</v>
      </c>
      <c r="M17" s="4754">
        <f t="shared" si="2"/>
        <v>163805688.44300008</v>
      </c>
      <c r="N17" s="4754">
        <f t="shared" si="2"/>
        <v>163805688.44300002</v>
      </c>
      <c r="O17" s="5728">
        <f>O18+O34</f>
        <v>86091770.345600039</v>
      </c>
      <c r="P17" s="5728">
        <f>P18+P34</f>
        <v>86091770.345600024</v>
      </c>
      <c r="Q17" s="5806">
        <f t="shared" si="3"/>
        <v>249897458.78860012</v>
      </c>
      <c r="R17" s="5806">
        <f t="shared" si="4"/>
        <v>249897458.78860003</v>
      </c>
      <c r="S17" s="5964">
        <f>S18+S34</f>
        <v>97032326.675247177</v>
      </c>
      <c r="T17" s="5555">
        <f>T18+T34</f>
        <v>91223008.457999974</v>
      </c>
      <c r="U17" s="4754">
        <f t="shared" si="5"/>
        <v>346929785.46384728</v>
      </c>
      <c r="V17" s="4754">
        <f t="shared" si="6"/>
        <v>341120467.24660003</v>
      </c>
      <c r="W17" s="5964">
        <f>W18+W34</f>
        <v>96514543.416784957</v>
      </c>
      <c r="X17" s="5555">
        <f>X18+X34</f>
        <v>94003656.071999997</v>
      </c>
      <c r="Y17" s="4754">
        <f t="shared" si="7"/>
        <v>443444328.88063222</v>
      </c>
      <c r="Z17" s="4754">
        <f t="shared" si="8"/>
        <v>435124123.31860006</v>
      </c>
      <c r="AA17" s="5964">
        <f>AA18+AA34</f>
        <v>94572684.890590832</v>
      </c>
      <c r="AB17" s="5555">
        <f>AB18+AB34</f>
        <v>82113343.371199995</v>
      </c>
      <c r="AC17" s="6914">
        <f t="shared" ref="AC17" si="68">+S17+W17+AA17</f>
        <v>288119554.98262298</v>
      </c>
      <c r="AD17" s="6914">
        <f t="shared" ref="AD17" si="69">+T17+X17+AB17</f>
        <v>267340007.90119997</v>
      </c>
      <c r="AE17" s="6906">
        <f t="shared" si="9"/>
        <v>538017013.77122307</v>
      </c>
      <c r="AF17" s="6906">
        <f t="shared" si="10"/>
        <v>517237466.68980002</v>
      </c>
      <c r="AG17" s="5964">
        <f>AG18+AG34</f>
        <v>76634922.369390771</v>
      </c>
      <c r="AH17" s="5555">
        <f>AH18+AH34</f>
        <v>87900691.104000002</v>
      </c>
      <c r="AI17" s="4754">
        <f t="shared" si="11"/>
        <v>614651936.14061379</v>
      </c>
      <c r="AJ17" s="4754">
        <f t="shared" si="12"/>
        <v>605138157.7938</v>
      </c>
      <c r="AK17" s="5964">
        <f>AK18+AK34</f>
        <v>100515451.2399102</v>
      </c>
      <c r="AL17" s="5555">
        <f>AL18+AL34</f>
        <v>89443367.201200038</v>
      </c>
      <c r="AM17" s="4754">
        <f t="shared" si="13"/>
        <v>715167387.38052404</v>
      </c>
      <c r="AN17" s="4754">
        <f t="shared" si="14"/>
        <v>694581524.995</v>
      </c>
      <c r="AO17" s="5964">
        <f>AO18+AO34</f>
        <v>103136416.00920285</v>
      </c>
      <c r="AP17" s="5555">
        <f>AP18+AP34</f>
        <v>93592937.972799987</v>
      </c>
      <c r="AQ17" s="6914">
        <f t="shared" si="56"/>
        <v>280286789.61850381</v>
      </c>
      <c r="AR17" s="6914">
        <f t="shared" si="57"/>
        <v>270936996.278</v>
      </c>
      <c r="AS17" s="4754">
        <f t="shared" si="15"/>
        <v>818303803.38972688</v>
      </c>
      <c r="AT17" s="4754">
        <f t="shared" si="16"/>
        <v>788174462.96780002</v>
      </c>
      <c r="AU17" s="5964">
        <f>AU18+AU34</f>
        <v>103020303.38418579</v>
      </c>
      <c r="AV17" s="5555">
        <f>AV18+AV34</f>
        <v>95854672.152000025</v>
      </c>
      <c r="AW17" s="4754">
        <f t="shared" si="17"/>
        <v>921324106.77391267</v>
      </c>
      <c r="AX17" s="4754">
        <f t="shared" si="18"/>
        <v>884029135.11980009</v>
      </c>
      <c r="AY17" s="8199">
        <f>AY18+AY34</f>
        <v>94186549.326844797</v>
      </c>
      <c r="AZ17" s="5555">
        <f>AZ18+AZ34</f>
        <v>88771820.614000008</v>
      </c>
      <c r="BA17" s="4754">
        <f t="shared" si="19"/>
        <v>1015510656.1007575</v>
      </c>
      <c r="BB17" s="4754">
        <f t="shared" si="20"/>
        <v>972800955.73380005</v>
      </c>
      <c r="BC17" s="8199">
        <f>BC18+BC34</f>
        <v>104910414.154944</v>
      </c>
      <c r="BD17" s="5555">
        <f>BD18+BD34</f>
        <v>99109732.899999917</v>
      </c>
      <c r="BE17" s="6914">
        <f t="shared" si="61"/>
        <v>302117266.86597461</v>
      </c>
      <c r="BF17" s="6914">
        <f t="shared" si="62"/>
        <v>283736225.66599995</v>
      </c>
      <c r="BG17" s="6914">
        <f t="shared" si="0"/>
        <v>582404056.48447847</v>
      </c>
      <c r="BH17" s="6914">
        <f t="shared" si="1"/>
        <v>554673221.94400001</v>
      </c>
      <c r="BI17" s="6906">
        <f t="shared" si="21"/>
        <v>1120421070.2557015</v>
      </c>
      <c r="BJ17" s="6906">
        <f t="shared" si="22"/>
        <v>1071910688.6338</v>
      </c>
    </row>
    <row r="18" spans="1:62" ht="15" customHeight="1" x14ac:dyDescent="0.2">
      <c r="A18" s="5416">
        <v>13</v>
      </c>
      <c r="B18" s="5513" t="s">
        <v>1497</v>
      </c>
      <c r="C18" s="1636" t="s">
        <v>703</v>
      </c>
      <c r="D18" s="5514">
        <f>[2]PPC!E45</f>
        <v>1555939.9999999995</v>
      </c>
      <c r="E18" s="5515">
        <f>[2]PPC!F45</f>
        <v>1505040</v>
      </c>
      <c r="G18" s="5527" t="s">
        <v>1984</v>
      </c>
      <c r="H18" s="5528" t="s">
        <v>1952</v>
      </c>
      <c r="I18" s="5556">
        <f>SUM(I19:I32)</f>
        <v>77399973.200000077</v>
      </c>
      <c r="J18" s="5556">
        <f>SUM(J19:J32)</f>
        <v>77399973.200000018</v>
      </c>
      <c r="K18" s="5556">
        <f>SUM(K19:K32)</f>
        <v>82288425.700000018</v>
      </c>
      <c r="L18" s="5557">
        <f>SUM(L19:L32)</f>
        <v>82288425.699999988</v>
      </c>
      <c r="M18" s="5575">
        <f t="shared" si="2"/>
        <v>159688398.9000001</v>
      </c>
      <c r="N18" s="5575">
        <f t="shared" si="2"/>
        <v>159688398.90000001</v>
      </c>
      <c r="O18" s="5556">
        <f>SUM(O19:O32)</f>
        <v>83874154.00000003</v>
      </c>
      <c r="P18" s="5556">
        <f>SUM(P19:P32)</f>
        <v>83874154.00000003</v>
      </c>
      <c r="Q18" s="5807">
        <f t="shared" si="3"/>
        <v>243562552.90000013</v>
      </c>
      <c r="R18" s="5807">
        <f t="shared" si="4"/>
        <v>243562552.90000004</v>
      </c>
      <c r="S18" s="5556">
        <f>SUM(S19:S32)</f>
        <v>94284437.447247177</v>
      </c>
      <c r="T18" s="5557">
        <f>SUM(T19:T32)</f>
        <v>88938263.699999973</v>
      </c>
      <c r="U18" s="5575">
        <f t="shared" si="5"/>
        <v>337846990.3472473</v>
      </c>
      <c r="V18" s="5575">
        <f t="shared" si="6"/>
        <v>332500816.60000002</v>
      </c>
      <c r="W18" s="5556">
        <f>SUM(W19:W32)</f>
        <v>93766654.188784957</v>
      </c>
      <c r="X18" s="5557">
        <f>SUM(X19:X32)</f>
        <v>91678324.5</v>
      </c>
      <c r="Y18" s="5575">
        <f t="shared" si="7"/>
        <v>431613644.53603226</v>
      </c>
      <c r="Z18" s="5575">
        <f t="shared" si="8"/>
        <v>424179141.10000002</v>
      </c>
      <c r="AA18" s="5556">
        <f>SUM(AA19:AA32)</f>
        <v>91913437.250590831</v>
      </c>
      <c r="AB18" s="5557">
        <f>SUM(AB19:AB32)</f>
        <v>79845783</v>
      </c>
      <c r="AC18" s="5805">
        <f>+S18+W18+AA18</f>
        <v>279964528.88662297</v>
      </c>
      <c r="AD18" s="5805">
        <f>+T18+X18+AB18</f>
        <v>260462371.19999999</v>
      </c>
      <c r="AE18" s="6907">
        <f t="shared" si="9"/>
        <v>523527081.78662312</v>
      </c>
      <c r="AF18" s="6907">
        <f t="shared" si="10"/>
        <v>504024924.10000002</v>
      </c>
      <c r="AG18" s="5556">
        <f>SUM(AG19:AG32)</f>
        <v>73887033.141390771</v>
      </c>
      <c r="AH18" s="5557">
        <f>SUM(AH19:AH32)</f>
        <v>85539972.5</v>
      </c>
      <c r="AI18" s="5575">
        <f t="shared" si="11"/>
        <v>597414114.92801392</v>
      </c>
      <c r="AJ18" s="5575">
        <f t="shared" si="12"/>
        <v>589564896.60000002</v>
      </c>
      <c r="AK18" s="5556">
        <f>SUM(AK19:AK32)</f>
        <v>97856203.5999102</v>
      </c>
      <c r="AL18" s="5557">
        <f>SUM(AL19:AL32)</f>
        <v>87316109.400000036</v>
      </c>
      <c r="AM18" s="5575">
        <f t="shared" si="13"/>
        <v>695270318.52792406</v>
      </c>
      <c r="AN18" s="5575">
        <f t="shared" si="14"/>
        <v>676881006</v>
      </c>
      <c r="AO18" s="5556">
        <f>SUM(AO19:AO32)</f>
        <v>100388526.78120285</v>
      </c>
      <c r="AP18" s="5557">
        <f>SUM(AP19:AP32)</f>
        <v>91410564.999999985</v>
      </c>
      <c r="AQ18" s="5805">
        <f>+AG18+AK18+AO18</f>
        <v>272131763.52250385</v>
      </c>
      <c r="AR18" s="5805">
        <f>+AH18+AL18+AP18</f>
        <v>264266646.90000004</v>
      </c>
      <c r="AS18" s="5575">
        <f t="shared" si="15"/>
        <v>795658845.30912685</v>
      </c>
      <c r="AT18" s="5575">
        <f t="shared" si="16"/>
        <v>768291571</v>
      </c>
      <c r="AU18" s="5556">
        <f>SUM(AU19:AU32)</f>
        <v>100272414.15618579</v>
      </c>
      <c r="AV18" s="5557">
        <f>SUM(AV19:AV32)</f>
        <v>93666231.400000021</v>
      </c>
      <c r="AW18" s="5575">
        <f t="shared" si="17"/>
        <v>895931259.4653126</v>
      </c>
      <c r="AX18" s="5575">
        <f t="shared" si="18"/>
        <v>861957802.39999998</v>
      </c>
      <c r="AY18" s="8200">
        <f>SUM(AY19:AY32)</f>
        <v>91704584.862844795</v>
      </c>
      <c r="AZ18" s="5557">
        <f>SUM(AZ19:AZ32)</f>
        <v>87062033.900000006</v>
      </c>
      <c r="BA18" s="5575">
        <f t="shared" si="19"/>
        <v>987635844.32815742</v>
      </c>
      <c r="BB18" s="5575">
        <f t="shared" si="20"/>
        <v>949019836.29999995</v>
      </c>
      <c r="BC18" s="8200">
        <f>SUM(BC19:BC32)</f>
        <v>102162524.926944</v>
      </c>
      <c r="BD18" s="5557">
        <f>SUM(BD19:BD32)</f>
        <v>97027610.899999917</v>
      </c>
      <c r="BE18" s="5805">
        <f>+AU18+AY18+BC18</f>
        <v>294139523.94597459</v>
      </c>
      <c r="BF18" s="5805">
        <f>+AV18+AZ18+BD18</f>
        <v>277755876.19999993</v>
      </c>
      <c r="BG18" s="5805">
        <f t="shared" si="0"/>
        <v>566271287.46847844</v>
      </c>
      <c r="BH18" s="5805">
        <f t="shared" si="1"/>
        <v>542022523.0999999</v>
      </c>
      <c r="BI18" s="6907">
        <f t="shared" si="21"/>
        <v>1089798369.2551014</v>
      </c>
      <c r="BJ18" s="6907">
        <f t="shared" si="22"/>
        <v>1046047447.1999998</v>
      </c>
    </row>
    <row r="19" spans="1:62" ht="15" customHeight="1" x14ac:dyDescent="0.2">
      <c r="A19" s="5416">
        <v>14</v>
      </c>
      <c r="B19" s="5513" t="s">
        <v>1047</v>
      </c>
      <c r="C19" s="1636" t="s">
        <v>703</v>
      </c>
      <c r="D19" s="5514">
        <f>[2]PPC!E54</f>
        <v>7954979.9999999814</v>
      </c>
      <c r="E19" s="5515">
        <f>[2]PPC!F54</f>
        <v>8018420.0000000149</v>
      </c>
      <c r="G19" s="5507" t="s">
        <v>1985</v>
      </c>
      <c r="H19" s="3938" t="s">
        <v>1953</v>
      </c>
      <c r="I19" s="5549">
        <f t="shared" ref="I19:K32" si="70">+I67*I$3*24*1000</f>
        <v>5090630.000000041</v>
      </c>
      <c r="J19" s="5551">
        <v>5090630.0000000047</v>
      </c>
      <c r="K19" s="5549">
        <f t="shared" si="70"/>
        <v>4892460.0000000047</v>
      </c>
      <c r="L19" s="5552">
        <v>4892460.0000000009</v>
      </c>
      <c r="M19" s="5573">
        <f t="shared" si="2"/>
        <v>9983090.0000000447</v>
      </c>
      <c r="N19" s="5573">
        <f t="shared" si="2"/>
        <v>9983090.0000000056</v>
      </c>
      <c r="O19" s="5551">
        <f t="shared" ref="O19" si="71">+O67*O$3*24*1000</f>
        <v>5035560.0000000047</v>
      </c>
      <c r="P19" s="5551">
        <v>5035560.0000000056</v>
      </c>
      <c r="Q19" s="5804">
        <f t="shared" si="3"/>
        <v>15018650.000000048</v>
      </c>
      <c r="R19" s="5804">
        <f t="shared" si="4"/>
        <v>15018650.000000011</v>
      </c>
      <c r="S19" s="5551">
        <f t="shared" ref="S19" si="72">+S67*S$3*24*1000</f>
        <v>5296434.165000001</v>
      </c>
      <c r="T19" s="5552">
        <v>5399159.999999986</v>
      </c>
      <c r="U19" s="5573">
        <f t="shared" si="5"/>
        <v>20315084.165000051</v>
      </c>
      <c r="V19" s="5573">
        <f t="shared" si="6"/>
        <v>20417809.999999996</v>
      </c>
      <c r="W19" s="5551">
        <f t="shared" ref="W19:W32" si="73">+W67*W$3*24*1000</f>
        <v>5296434.165000001</v>
      </c>
      <c r="X19" s="5552">
        <v>5242000.0000000075</v>
      </c>
      <c r="Y19" s="5573">
        <f t="shared" si="7"/>
        <v>25611518.33000005</v>
      </c>
      <c r="Z19" s="5573">
        <f t="shared" si="8"/>
        <v>25659810.000000004</v>
      </c>
      <c r="AA19" s="5551">
        <f t="shared" ref="AA19:AA32" si="74">+AA67*AA$3*24*1000</f>
        <v>5125581.45</v>
      </c>
      <c r="AB19" s="5552">
        <v>4729610.0000000037</v>
      </c>
      <c r="AC19" s="5803">
        <f t="shared" ref="AC19:AC32" si="75">+S19+W19+AA19</f>
        <v>15718449.780000001</v>
      </c>
      <c r="AD19" s="5803">
        <f t="shared" ref="AD19:AD32" si="76">+T19+X19+AB19</f>
        <v>15370769.999999996</v>
      </c>
      <c r="AE19" s="6905">
        <f t="shared" si="9"/>
        <v>30737099.78000005</v>
      </c>
      <c r="AF19" s="6905">
        <f t="shared" si="10"/>
        <v>30389420.000000007</v>
      </c>
      <c r="AG19" s="5551">
        <f t="shared" ref="AG19:AG32" si="77">+AG67*AG$3*24*1000</f>
        <v>5296434.165000001</v>
      </c>
      <c r="AH19" s="5552">
        <v>4898889.9999999963</v>
      </c>
      <c r="AI19" s="5573">
        <f t="shared" si="11"/>
        <v>36033533.945000052</v>
      </c>
      <c r="AJ19" s="5573">
        <f t="shared" si="12"/>
        <v>35288310</v>
      </c>
      <c r="AK19" s="5551">
        <f t="shared" ref="AK19:AK32" si="78">+AK67*AK$3*24*1000</f>
        <v>5125581.45</v>
      </c>
      <c r="AL19" s="5552">
        <v>4508890.0000000093</v>
      </c>
      <c r="AM19" s="5573">
        <f t="shared" si="13"/>
        <v>41159115.395000055</v>
      </c>
      <c r="AN19" s="5573">
        <f t="shared" si="14"/>
        <v>39797200.000000007</v>
      </c>
      <c r="AO19" s="5551">
        <f t="shared" ref="AO19:AO32" si="79">+AO67*AO$3*24*1000</f>
        <v>5296434.165000001</v>
      </c>
      <c r="AP19" s="5552">
        <v>4775869.9999999944</v>
      </c>
      <c r="AQ19" s="5803">
        <f t="shared" ref="AQ19:AQ32" si="80">+AG19+AK19+AO19</f>
        <v>15718449.780000003</v>
      </c>
      <c r="AR19" s="5803">
        <f t="shared" ref="AR19:AR32" si="81">+AH19+AL19+AP19</f>
        <v>14183650</v>
      </c>
      <c r="AS19" s="5573">
        <f t="shared" si="15"/>
        <v>46455549.560000055</v>
      </c>
      <c r="AT19" s="5573">
        <f t="shared" si="16"/>
        <v>44573070</v>
      </c>
      <c r="AU19" s="5551">
        <f t="shared" ref="AU19:AU32" si="82">+AU67*AU$3*24*1000</f>
        <v>5296434.165000001</v>
      </c>
      <c r="AV19" s="5552">
        <v>4791760.0000000047</v>
      </c>
      <c r="AW19" s="5573">
        <f t="shared" si="17"/>
        <v>51751983.725000054</v>
      </c>
      <c r="AX19" s="5573">
        <f t="shared" si="18"/>
        <v>49364830.000000007</v>
      </c>
      <c r="AY19" s="8198">
        <f t="shared" ref="AY19:AY32" si="83">+AY67*AY$3*24*1000</f>
        <v>4783876.0199999996</v>
      </c>
      <c r="AZ19" s="5552">
        <v>4475130</v>
      </c>
      <c r="BA19" s="5573">
        <f t="shared" si="19"/>
        <v>56535859.745000049</v>
      </c>
      <c r="BB19" s="5573">
        <f t="shared" si="20"/>
        <v>53839960.000000007</v>
      </c>
      <c r="BC19" s="8198">
        <f t="shared" ref="BC19:BC32" si="84">+BC67*BC$3*24*1000</f>
        <v>5296434.165000001</v>
      </c>
      <c r="BD19" s="5552">
        <v>4903080</v>
      </c>
      <c r="BE19" s="5803">
        <f t="shared" ref="BE19:BE32" si="85">+AU19+AY19+BC19</f>
        <v>15376744.350000001</v>
      </c>
      <c r="BF19" s="5803">
        <f t="shared" ref="BF19:BF32" si="86">+AV19+AZ19+BD19</f>
        <v>14169970.000000004</v>
      </c>
      <c r="BG19" s="5803">
        <f t="shared" si="0"/>
        <v>31095194.130000003</v>
      </c>
      <c r="BH19" s="5803">
        <f t="shared" si="1"/>
        <v>28353620.000000004</v>
      </c>
      <c r="BI19" s="6905">
        <f t="shared" si="21"/>
        <v>61832293.910000049</v>
      </c>
      <c r="BJ19" s="6905">
        <f t="shared" si="22"/>
        <v>58743040.000000007</v>
      </c>
    </row>
    <row r="20" spans="1:62" ht="15" customHeight="1" x14ac:dyDescent="0.2">
      <c r="A20" s="5416">
        <v>15</v>
      </c>
      <c r="B20" s="5513" t="s">
        <v>1954</v>
      </c>
      <c r="C20" s="1636" t="s">
        <v>703</v>
      </c>
      <c r="D20" s="5514">
        <f>SUM([2]PPC!E50:E53)</f>
        <v>9405013.9999999981</v>
      </c>
      <c r="E20" s="5515">
        <f>SUM([2]PPC!F50:F53)</f>
        <v>9828956</v>
      </c>
      <c r="G20" s="5507" t="s">
        <v>1986</v>
      </c>
      <c r="H20" s="3938" t="s">
        <v>1497</v>
      </c>
      <c r="I20" s="5549">
        <f t="shared" si="70"/>
        <v>1555940.0000000161</v>
      </c>
      <c r="J20" s="5551">
        <v>1555939.9999999995</v>
      </c>
      <c r="K20" s="5549">
        <f t="shared" si="70"/>
        <v>1505040.0000000359</v>
      </c>
      <c r="L20" s="5552">
        <v>1505040</v>
      </c>
      <c r="M20" s="5573">
        <f t="shared" si="2"/>
        <v>3060980.0000000522</v>
      </c>
      <c r="N20" s="5573">
        <f t="shared" si="2"/>
        <v>3060979.9999999995</v>
      </c>
      <c r="O20" s="5549">
        <f t="shared" ref="O20" si="87">+O68*O$3*24*1000</f>
        <v>1709660.0000000016</v>
      </c>
      <c r="P20" s="5551">
        <v>1709659.9999999991</v>
      </c>
      <c r="Q20" s="5804">
        <f t="shared" si="3"/>
        <v>4770640.000000054</v>
      </c>
      <c r="R20" s="5804">
        <f t="shared" si="4"/>
        <v>4770639.9999999981</v>
      </c>
      <c r="S20" s="5551">
        <f t="shared" ref="S20" si="88">+S68*S$3*24*1000</f>
        <v>2157600</v>
      </c>
      <c r="T20" s="5552">
        <v>2056150.0000000012</v>
      </c>
      <c r="U20" s="5573">
        <f t="shared" si="5"/>
        <v>6928240.000000054</v>
      </c>
      <c r="V20" s="5573">
        <f t="shared" si="6"/>
        <v>6826789.9999999991</v>
      </c>
      <c r="W20" s="5551">
        <f t="shared" si="73"/>
        <v>2157600</v>
      </c>
      <c r="X20" s="5552">
        <v>2057579.9999999995</v>
      </c>
      <c r="Y20" s="5573">
        <f t="shared" si="7"/>
        <v>9085840.000000054</v>
      </c>
      <c r="Z20" s="5573">
        <f t="shared" si="8"/>
        <v>8884369.9999999981</v>
      </c>
      <c r="AA20" s="5551">
        <f t="shared" si="74"/>
        <v>2088000</v>
      </c>
      <c r="AB20" s="5552">
        <v>1862699.9999999988</v>
      </c>
      <c r="AC20" s="5803">
        <f t="shared" si="75"/>
        <v>6403200</v>
      </c>
      <c r="AD20" s="5803">
        <f t="shared" si="76"/>
        <v>5976430</v>
      </c>
      <c r="AE20" s="6905">
        <f t="shared" si="9"/>
        <v>11173840.000000054</v>
      </c>
      <c r="AF20" s="6905">
        <f t="shared" si="10"/>
        <v>10747069.999999996</v>
      </c>
      <c r="AG20" s="5551">
        <f t="shared" si="77"/>
        <v>2157600</v>
      </c>
      <c r="AH20" s="5552">
        <v>1827410.0000000026</v>
      </c>
      <c r="AI20" s="5573">
        <f t="shared" si="11"/>
        <v>13331440.000000054</v>
      </c>
      <c r="AJ20" s="5573">
        <f t="shared" si="12"/>
        <v>12574479.999999998</v>
      </c>
      <c r="AK20" s="5551">
        <f t="shared" si="78"/>
        <v>2088000</v>
      </c>
      <c r="AL20" s="5552">
        <v>1945669.9999999986</v>
      </c>
      <c r="AM20" s="5573">
        <f t="shared" si="13"/>
        <v>15419440.000000054</v>
      </c>
      <c r="AN20" s="5573">
        <f t="shared" si="14"/>
        <v>14520149.999999996</v>
      </c>
      <c r="AO20" s="5551">
        <f t="shared" si="79"/>
        <v>2157600</v>
      </c>
      <c r="AP20" s="5552">
        <v>2119109.9999999991</v>
      </c>
      <c r="AQ20" s="5803">
        <f t="shared" si="80"/>
        <v>6403200</v>
      </c>
      <c r="AR20" s="5803">
        <f t="shared" si="81"/>
        <v>5892190</v>
      </c>
      <c r="AS20" s="5573">
        <f t="shared" si="15"/>
        <v>17577040.000000052</v>
      </c>
      <c r="AT20" s="5573">
        <f t="shared" si="16"/>
        <v>16639259.999999996</v>
      </c>
      <c r="AU20" s="5551">
        <f t="shared" si="82"/>
        <v>2157600</v>
      </c>
      <c r="AV20" s="5552">
        <v>2227490.0000000009</v>
      </c>
      <c r="AW20" s="5573">
        <f t="shared" si="17"/>
        <v>19734640.000000052</v>
      </c>
      <c r="AX20" s="5573">
        <f t="shared" si="18"/>
        <v>18866749.999999996</v>
      </c>
      <c r="AY20" s="8198">
        <f t="shared" si="83"/>
        <v>1948800.0000000002</v>
      </c>
      <c r="AZ20" s="5552">
        <v>1996610</v>
      </c>
      <c r="BA20" s="5573">
        <f t="shared" si="19"/>
        <v>21683440.000000052</v>
      </c>
      <c r="BB20" s="5573">
        <f t="shared" si="20"/>
        <v>20863359.999999996</v>
      </c>
      <c r="BC20" s="8198">
        <f t="shared" si="84"/>
        <v>2157600</v>
      </c>
      <c r="BD20" s="5552">
        <v>2213210</v>
      </c>
      <c r="BE20" s="5803">
        <f t="shared" si="85"/>
        <v>6264000</v>
      </c>
      <c r="BF20" s="5803">
        <f t="shared" si="86"/>
        <v>6437310.0000000009</v>
      </c>
      <c r="BG20" s="5803">
        <f t="shared" si="0"/>
        <v>12667200</v>
      </c>
      <c r="BH20" s="5803">
        <f t="shared" si="1"/>
        <v>12329500</v>
      </c>
      <c r="BI20" s="6905">
        <f t="shared" si="21"/>
        <v>23841040.000000052</v>
      </c>
      <c r="BJ20" s="6905">
        <f t="shared" si="22"/>
        <v>23076569.999999996</v>
      </c>
    </row>
    <row r="21" spans="1:62" ht="15" customHeight="1" x14ac:dyDescent="0.2">
      <c r="A21" s="5416">
        <v>16</v>
      </c>
      <c r="B21" s="5513" t="s">
        <v>1955</v>
      </c>
      <c r="C21" s="1636" t="s">
        <v>703</v>
      </c>
      <c r="D21" s="5514">
        <f>SUM([2]PPC!E37:E39)</f>
        <v>16006660.000000006</v>
      </c>
      <c r="E21" s="5515">
        <f>SUM([2]PPC!F37:F39)</f>
        <v>16895070</v>
      </c>
      <c r="G21" s="5507" t="s">
        <v>1987</v>
      </c>
      <c r="H21" s="3938" t="s">
        <v>1047</v>
      </c>
      <c r="I21" s="5549">
        <f t="shared" si="70"/>
        <v>7954979.9999999749</v>
      </c>
      <c r="J21" s="5551">
        <v>7954979.9999999814</v>
      </c>
      <c r="K21" s="5549">
        <f t="shared" si="70"/>
        <v>8018420.0000000456</v>
      </c>
      <c r="L21" s="5552">
        <v>8018420.0000000149</v>
      </c>
      <c r="M21" s="5573">
        <f t="shared" si="2"/>
        <v>15973400.00000002</v>
      </c>
      <c r="N21" s="5573">
        <f t="shared" si="2"/>
        <v>15973399.999999996</v>
      </c>
      <c r="O21" s="5549">
        <f t="shared" ref="O21" si="89">+O69*O$3*24*1000</f>
        <v>8878109.9999999776</v>
      </c>
      <c r="P21" s="5551">
        <v>8878109.9999999907</v>
      </c>
      <c r="Q21" s="5804">
        <f t="shared" si="3"/>
        <v>24851510</v>
      </c>
      <c r="R21" s="5804">
        <f t="shared" si="4"/>
        <v>24851509.999999985</v>
      </c>
      <c r="S21" s="5551">
        <f t="shared" ref="S21" si="90">+S69*S$3*24*1000</f>
        <v>10820318.990594806</v>
      </c>
      <c r="T21" s="5984">
        <v>10499980.000000007</v>
      </c>
      <c r="U21" s="5573">
        <f t="shared" si="5"/>
        <v>35671828.990594804</v>
      </c>
      <c r="V21" s="5573">
        <f t="shared" si="6"/>
        <v>35351489.999999993</v>
      </c>
      <c r="W21" s="5551">
        <f t="shared" si="73"/>
        <v>10757256.018656703</v>
      </c>
      <c r="X21" s="5984">
        <v>9773870.0000000037</v>
      </c>
      <c r="Y21" s="5573">
        <f t="shared" si="7"/>
        <v>46429085.009251505</v>
      </c>
      <c r="Z21" s="5573">
        <f t="shared" si="8"/>
        <v>45125360</v>
      </c>
      <c r="AA21" s="5551">
        <f t="shared" si="74"/>
        <v>10615686.081619274</v>
      </c>
      <c r="AB21" s="5984">
        <v>8057179.999999987</v>
      </c>
      <c r="AC21" s="5803">
        <f t="shared" si="75"/>
        <v>32193261.090870783</v>
      </c>
      <c r="AD21" s="5803">
        <f t="shared" si="76"/>
        <v>28331030</v>
      </c>
      <c r="AE21" s="6905">
        <f t="shared" si="9"/>
        <v>57044771.090870783</v>
      </c>
      <c r="AF21" s="6905">
        <f t="shared" si="10"/>
        <v>53182539.999999985</v>
      </c>
      <c r="AG21" s="5551">
        <f t="shared" si="77"/>
        <v>5624187.5</v>
      </c>
      <c r="AH21" s="5984">
        <v>10019140.000000006</v>
      </c>
      <c r="AI21" s="5573">
        <f t="shared" si="11"/>
        <v>62668958.590870783</v>
      </c>
      <c r="AJ21" s="5573">
        <f t="shared" si="12"/>
        <v>63201679.999999993</v>
      </c>
      <c r="AK21" s="5551">
        <f t="shared" si="78"/>
        <v>10438492.000000002</v>
      </c>
      <c r="AL21" s="5984">
        <v>9818794.9999999907</v>
      </c>
      <c r="AM21" s="5573">
        <f t="shared" si="13"/>
        <v>73107450.590870783</v>
      </c>
      <c r="AN21" s="5573">
        <f t="shared" si="14"/>
        <v>73020474.999999985</v>
      </c>
      <c r="AO21" s="5551">
        <f t="shared" si="79"/>
        <v>10978414</v>
      </c>
      <c r="AP21" s="5984">
        <v>10478515.000000004</v>
      </c>
      <c r="AQ21" s="5803">
        <f t="shared" si="80"/>
        <v>27041093.5</v>
      </c>
      <c r="AR21" s="5803">
        <f t="shared" si="81"/>
        <v>30316450</v>
      </c>
      <c r="AS21" s="5573">
        <f t="shared" si="15"/>
        <v>84085864.590870783</v>
      </c>
      <c r="AT21" s="5573">
        <f t="shared" si="16"/>
        <v>83498989.999999985</v>
      </c>
      <c r="AU21" s="5551">
        <f t="shared" si="82"/>
        <v>10798440</v>
      </c>
      <c r="AV21" s="5984">
        <v>10621300.000000009</v>
      </c>
      <c r="AW21" s="5573">
        <f t="shared" si="17"/>
        <v>94884304.590870783</v>
      </c>
      <c r="AX21" s="5573">
        <f t="shared" si="18"/>
        <v>94120290</v>
      </c>
      <c r="AY21" s="8198">
        <f t="shared" si="83"/>
        <v>9898570.0000320002</v>
      </c>
      <c r="AZ21" s="5984">
        <v>9821270</v>
      </c>
      <c r="BA21" s="5573">
        <f t="shared" si="19"/>
        <v>104782874.59090278</v>
      </c>
      <c r="BB21" s="5573">
        <f t="shared" si="20"/>
        <v>103941560</v>
      </c>
      <c r="BC21" s="8198">
        <f t="shared" si="84"/>
        <v>10978414.000223998</v>
      </c>
      <c r="BD21" s="5984">
        <v>11340320</v>
      </c>
      <c r="BE21" s="5803">
        <f t="shared" si="85"/>
        <v>31675424.000255998</v>
      </c>
      <c r="BF21" s="5803">
        <f t="shared" si="86"/>
        <v>31782890.000000007</v>
      </c>
      <c r="BG21" s="5803">
        <f t="shared" si="0"/>
        <v>58716517.500256002</v>
      </c>
      <c r="BH21" s="5803">
        <f t="shared" si="1"/>
        <v>62099340.000000007</v>
      </c>
      <c r="BI21" s="6905">
        <f t="shared" si="21"/>
        <v>115761288.59112677</v>
      </c>
      <c r="BJ21" s="6905">
        <f t="shared" si="22"/>
        <v>115281880</v>
      </c>
    </row>
    <row r="22" spans="1:62" ht="15.75" customHeight="1" x14ac:dyDescent="0.2">
      <c r="A22" s="5416">
        <v>17</v>
      </c>
      <c r="B22" s="5513" t="s">
        <v>287</v>
      </c>
      <c r="C22" s="1636" t="s">
        <v>703</v>
      </c>
      <c r="D22" s="5514">
        <f>[2]PPC!E44</f>
        <v>961360.0000000014</v>
      </c>
      <c r="E22" s="5515">
        <f>[2]PPC!F44</f>
        <v>1006979.9999999992</v>
      </c>
      <c r="G22" s="5507" t="s">
        <v>1988</v>
      </c>
      <c r="H22" s="3938" t="s">
        <v>1954</v>
      </c>
      <c r="I22" s="5549">
        <f t="shared" si="70"/>
        <v>9405013.9999999665</v>
      </c>
      <c r="J22" s="5551">
        <v>9405013.9999999981</v>
      </c>
      <c r="K22" s="5549">
        <f t="shared" si="70"/>
        <v>9828956.0000000019</v>
      </c>
      <c r="L22" s="5552">
        <v>9828956</v>
      </c>
      <c r="M22" s="5573">
        <f t="shared" si="2"/>
        <v>19233969.99999997</v>
      </c>
      <c r="N22" s="5573">
        <f t="shared" si="2"/>
        <v>19233970</v>
      </c>
      <c r="O22" s="5549">
        <f t="shared" ref="O22" si="91">+O70*O$3*24*1000</f>
        <v>10241878.000000034</v>
      </c>
      <c r="P22" s="5551">
        <v>10241878.000000015</v>
      </c>
      <c r="Q22" s="5804">
        <f t="shared" si="3"/>
        <v>29475848.000000004</v>
      </c>
      <c r="R22" s="5804">
        <f t="shared" si="4"/>
        <v>29475848.000000015</v>
      </c>
      <c r="S22" s="5551">
        <f t="shared" ref="S22" si="92">+S70*S$3*24*1000</f>
        <v>11447146.453428</v>
      </c>
      <c r="T22" s="5552">
        <v>10517248.000000002</v>
      </c>
      <c r="U22" s="5573">
        <f t="shared" si="5"/>
        <v>40922994.453428</v>
      </c>
      <c r="V22" s="5573">
        <f t="shared" si="6"/>
        <v>39993096.000000015</v>
      </c>
      <c r="W22" s="5551">
        <f t="shared" si="73"/>
        <v>11380430.206320001</v>
      </c>
      <c r="X22" s="5552">
        <v>11308657.999999981</v>
      </c>
      <c r="Y22" s="5573">
        <f t="shared" si="7"/>
        <v>52303424.659748003</v>
      </c>
      <c r="Z22" s="5573">
        <f t="shared" si="8"/>
        <v>51301754</v>
      </c>
      <c r="AA22" s="5551">
        <f t="shared" si="74"/>
        <v>11230659.039307401</v>
      </c>
      <c r="AB22" s="5552">
        <v>9782484.0000000056</v>
      </c>
      <c r="AC22" s="5803">
        <f t="shared" si="75"/>
        <v>34058235.699055403</v>
      </c>
      <c r="AD22" s="5803">
        <f t="shared" si="76"/>
        <v>31608389.999999993</v>
      </c>
      <c r="AE22" s="6905">
        <f t="shared" si="9"/>
        <v>63534083.699055403</v>
      </c>
      <c r="AF22" s="6905">
        <f t="shared" si="10"/>
        <v>61084238.000000007</v>
      </c>
      <c r="AG22" s="5551">
        <f t="shared" si="77"/>
        <v>5950000</v>
      </c>
      <c r="AH22" s="5552">
        <v>10688897.999999993</v>
      </c>
      <c r="AI22" s="5573">
        <f t="shared" si="11"/>
        <v>69484083.699055403</v>
      </c>
      <c r="AJ22" s="5573">
        <f t="shared" si="12"/>
        <v>71773136</v>
      </c>
      <c r="AK22" s="5551">
        <f t="shared" si="78"/>
        <v>11043200</v>
      </c>
      <c r="AL22" s="5552">
        <v>10340104.000000004</v>
      </c>
      <c r="AM22" s="5573">
        <f t="shared" si="13"/>
        <v>80527283.699055403</v>
      </c>
      <c r="AN22" s="5573">
        <f t="shared" si="14"/>
        <v>82113240</v>
      </c>
      <c r="AO22" s="5551">
        <f t="shared" si="79"/>
        <v>11614400</v>
      </c>
      <c r="AP22" s="5552">
        <v>11046908</v>
      </c>
      <c r="AQ22" s="5803">
        <f t="shared" si="80"/>
        <v>28607600</v>
      </c>
      <c r="AR22" s="5803">
        <f t="shared" si="81"/>
        <v>32075909.999999996</v>
      </c>
      <c r="AS22" s="5573">
        <f t="shared" si="15"/>
        <v>92141683.699055403</v>
      </c>
      <c r="AT22" s="5573">
        <f t="shared" si="16"/>
        <v>93160148</v>
      </c>
      <c r="AU22" s="5551">
        <f t="shared" si="82"/>
        <v>11424000</v>
      </c>
      <c r="AV22" s="5552">
        <v>11278839.999999996</v>
      </c>
      <c r="AW22" s="5573">
        <f t="shared" si="17"/>
        <v>103565683.6990554</v>
      </c>
      <c r="AX22" s="5573">
        <f t="shared" si="18"/>
        <v>104438988</v>
      </c>
      <c r="AY22" s="8198">
        <f t="shared" si="83"/>
        <v>10471999.999977602</v>
      </c>
      <c r="AZ22" s="5552">
        <v>10500842</v>
      </c>
      <c r="BA22" s="5573">
        <f t="shared" si="19"/>
        <v>114037683.69903301</v>
      </c>
      <c r="BB22" s="5573">
        <f t="shared" si="20"/>
        <v>114939830</v>
      </c>
      <c r="BC22" s="8198">
        <f t="shared" si="84"/>
        <v>11614399.999871999</v>
      </c>
      <c r="BD22" s="5552">
        <v>11696644</v>
      </c>
      <c r="BE22" s="5803">
        <f t="shared" si="85"/>
        <v>33510399.999849603</v>
      </c>
      <c r="BF22" s="5803">
        <f t="shared" si="86"/>
        <v>33476325.999999996</v>
      </c>
      <c r="BG22" s="5803">
        <f t="shared" si="0"/>
        <v>62117999.999849603</v>
      </c>
      <c r="BH22" s="5803">
        <f t="shared" si="1"/>
        <v>65552235.999999993</v>
      </c>
      <c r="BI22" s="6905">
        <f t="shared" si="21"/>
        <v>125652083.69890501</v>
      </c>
      <c r="BJ22" s="6905">
        <f t="shared" si="22"/>
        <v>126636474</v>
      </c>
    </row>
    <row r="23" spans="1:62" ht="15.75" customHeight="1" x14ac:dyDescent="0.2">
      <c r="A23" s="5416">
        <v>18</v>
      </c>
      <c r="B23" s="5513" t="s">
        <v>1048</v>
      </c>
      <c r="C23" s="1636" t="s">
        <v>703</v>
      </c>
      <c r="D23" s="5514">
        <f>[2]PPC!E40</f>
        <v>3675250.0000000093</v>
      </c>
      <c r="E23" s="5515">
        <f>[2]PPC!F40</f>
        <v>4377139.9999999879</v>
      </c>
      <c r="G23" s="5507" t="s">
        <v>1989</v>
      </c>
      <c r="H23" s="3938" t="s">
        <v>1955</v>
      </c>
      <c r="I23" s="5549">
        <f t="shared" si="70"/>
        <v>16006659.999999985</v>
      </c>
      <c r="J23" s="5551">
        <v>16006660.000000006</v>
      </c>
      <c r="K23" s="5549">
        <f t="shared" si="70"/>
        <v>16895069.99999997</v>
      </c>
      <c r="L23" s="5552">
        <v>16895070</v>
      </c>
      <c r="M23" s="5573">
        <f t="shared" si="2"/>
        <v>32901729.999999955</v>
      </c>
      <c r="N23" s="5573">
        <f t="shared" si="2"/>
        <v>32901730.000000007</v>
      </c>
      <c r="O23" s="5549">
        <f t="shared" ref="O23" si="93">+O71*O$3*24*1000</f>
        <v>16837500.000000026</v>
      </c>
      <c r="P23" s="5551">
        <v>16837500</v>
      </c>
      <c r="Q23" s="5804">
        <f t="shared" si="3"/>
        <v>49739229.999999985</v>
      </c>
      <c r="R23" s="5804">
        <f t="shared" si="4"/>
        <v>49739230.000000007</v>
      </c>
      <c r="S23" s="5551">
        <f t="shared" ref="S23" si="94">+S71*S$3*24*1000</f>
        <v>20591458.289999999</v>
      </c>
      <c r="T23" s="5552">
        <v>18504889.999999996</v>
      </c>
      <c r="U23" s="5573">
        <f t="shared" si="5"/>
        <v>70330688.289999992</v>
      </c>
      <c r="V23" s="5573">
        <f t="shared" si="6"/>
        <v>68244120</v>
      </c>
      <c r="W23" s="5551">
        <f t="shared" si="73"/>
        <v>20471491.059999999</v>
      </c>
      <c r="X23" s="5552">
        <v>19930650.000000004</v>
      </c>
      <c r="Y23" s="5573">
        <f t="shared" si="7"/>
        <v>90802179.349999994</v>
      </c>
      <c r="Z23" s="5573">
        <f t="shared" si="8"/>
        <v>88174770</v>
      </c>
      <c r="AA23" s="5551">
        <f t="shared" si="74"/>
        <v>20202053.41</v>
      </c>
      <c r="AB23" s="5552">
        <v>13962619.999999994</v>
      </c>
      <c r="AC23" s="5803">
        <f t="shared" si="75"/>
        <v>61265002.75999999</v>
      </c>
      <c r="AD23" s="5803">
        <f t="shared" si="76"/>
        <v>52398159.999999993</v>
      </c>
      <c r="AE23" s="6905">
        <f t="shared" si="9"/>
        <v>111004232.75999999</v>
      </c>
      <c r="AF23" s="6905">
        <f t="shared" si="10"/>
        <v>102137390</v>
      </c>
      <c r="AG23" s="5551">
        <f t="shared" si="77"/>
        <v>10624405.85</v>
      </c>
      <c r="AH23" s="5552">
        <v>14859900</v>
      </c>
      <c r="AI23" s="5573">
        <f t="shared" si="11"/>
        <v>121628638.60999998</v>
      </c>
      <c r="AJ23" s="5573">
        <f t="shared" si="12"/>
        <v>116997290</v>
      </c>
      <c r="AK23" s="5551">
        <f t="shared" si="78"/>
        <v>20098931.850000001</v>
      </c>
      <c r="AL23" s="5552">
        <v>16813760</v>
      </c>
      <c r="AM23" s="5573">
        <f t="shared" si="13"/>
        <v>141727570.45999998</v>
      </c>
      <c r="AN23" s="5573">
        <f t="shared" si="14"/>
        <v>133811050</v>
      </c>
      <c r="AO23" s="5551">
        <f t="shared" si="79"/>
        <v>21088731.299999997</v>
      </c>
      <c r="AP23" s="5552">
        <v>17612370</v>
      </c>
      <c r="AQ23" s="5803">
        <f t="shared" si="80"/>
        <v>51812069</v>
      </c>
      <c r="AR23" s="5803">
        <f t="shared" si="81"/>
        <v>49286030</v>
      </c>
      <c r="AS23" s="5573">
        <f t="shared" si="15"/>
        <v>162816301.75999999</v>
      </c>
      <c r="AT23" s="5573">
        <f t="shared" si="16"/>
        <v>151423420</v>
      </c>
      <c r="AU23" s="5551">
        <f t="shared" si="82"/>
        <v>20750654.524999999</v>
      </c>
      <c r="AV23" s="5552">
        <v>19595599.999999996</v>
      </c>
      <c r="AW23" s="5573">
        <f t="shared" si="17"/>
        <v>183566956.285</v>
      </c>
      <c r="AX23" s="5573">
        <f t="shared" si="18"/>
        <v>171019020</v>
      </c>
      <c r="AY23" s="8198">
        <f t="shared" si="83"/>
        <v>19179632.924995199</v>
      </c>
      <c r="AZ23" s="5552">
        <v>18174736</v>
      </c>
      <c r="BA23" s="5573">
        <f t="shared" si="19"/>
        <v>202746589.20999521</v>
      </c>
      <c r="BB23" s="5573">
        <f t="shared" si="20"/>
        <v>189193756</v>
      </c>
      <c r="BC23" s="8198">
        <f t="shared" si="84"/>
        <v>21184360.725000001</v>
      </c>
      <c r="BD23" s="5552">
        <v>20517614</v>
      </c>
      <c r="BE23" s="5803">
        <f t="shared" si="85"/>
        <v>61114648.174995199</v>
      </c>
      <c r="BF23" s="5803">
        <f t="shared" si="86"/>
        <v>58287950</v>
      </c>
      <c r="BG23" s="5803">
        <f t="shared" si="0"/>
        <v>112926717.1749952</v>
      </c>
      <c r="BH23" s="5803">
        <f t="shared" si="1"/>
        <v>107573980</v>
      </c>
      <c r="BI23" s="6905">
        <f t="shared" si="21"/>
        <v>223930949.9349952</v>
      </c>
      <c r="BJ23" s="6905">
        <f t="shared" si="22"/>
        <v>209711370</v>
      </c>
    </row>
    <row r="24" spans="1:62" ht="15" customHeight="1" x14ac:dyDescent="0.2">
      <c r="A24" s="5416">
        <v>19</v>
      </c>
      <c r="B24" s="5513" t="s">
        <v>1049</v>
      </c>
      <c r="C24" s="1636" t="s">
        <v>703</v>
      </c>
      <c r="D24" s="5514">
        <f>[2]PPC!E41</f>
        <v>2119909.9999999995</v>
      </c>
      <c r="E24" s="5515">
        <f>[2]PPC!F41</f>
        <v>4863980</v>
      </c>
      <c r="G24" s="5507" t="s">
        <v>1990</v>
      </c>
      <c r="H24" s="3938" t="s">
        <v>287</v>
      </c>
      <c r="I24" s="5549">
        <f t="shared" si="70"/>
        <v>961359.99999998405</v>
      </c>
      <c r="J24" s="5551">
        <v>961360.0000000014</v>
      </c>
      <c r="K24" s="5549">
        <f t="shared" si="70"/>
        <v>1006980.0000000119</v>
      </c>
      <c r="L24" s="5552">
        <v>1006979.9999999992</v>
      </c>
      <c r="M24" s="5573">
        <f t="shared" si="2"/>
        <v>1968339.9999999958</v>
      </c>
      <c r="N24" s="5573">
        <f t="shared" si="2"/>
        <v>1968340.0000000005</v>
      </c>
      <c r="O24" s="5549">
        <f t="shared" ref="O24" si="95">+O72*O$3*24*1000</f>
        <v>952999.99999999919</v>
      </c>
      <c r="P24" s="5551">
        <v>952999.99999999942</v>
      </c>
      <c r="Q24" s="5804">
        <f t="shared" si="3"/>
        <v>2921339.9999999949</v>
      </c>
      <c r="R24" s="5804">
        <f t="shared" si="4"/>
        <v>2921340</v>
      </c>
      <c r="S24" s="5551">
        <f t="shared" ref="S24" si="96">+S72*S$3*24*1000</f>
        <v>1413600</v>
      </c>
      <c r="T24" s="5552">
        <v>954310.00000000105</v>
      </c>
      <c r="U24" s="5573">
        <f t="shared" si="5"/>
        <v>4334939.9999999944</v>
      </c>
      <c r="V24" s="5573">
        <f t="shared" si="6"/>
        <v>3875650.0000000009</v>
      </c>
      <c r="W24" s="5551">
        <f t="shared" si="73"/>
        <v>1413600</v>
      </c>
      <c r="X24" s="5552">
        <v>1082909.9999999993</v>
      </c>
      <c r="Y24" s="5573">
        <f t="shared" si="7"/>
        <v>5748539.9999999944</v>
      </c>
      <c r="Z24" s="5573">
        <f t="shared" si="8"/>
        <v>4958560</v>
      </c>
      <c r="AA24" s="5551">
        <f t="shared" si="74"/>
        <v>1368000</v>
      </c>
      <c r="AB24" s="5552">
        <v>705360.0000000007</v>
      </c>
      <c r="AC24" s="5803">
        <f t="shared" si="75"/>
        <v>4195200</v>
      </c>
      <c r="AD24" s="5803">
        <f t="shared" si="76"/>
        <v>2742580.0000000009</v>
      </c>
      <c r="AE24" s="6905">
        <f t="shared" si="9"/>
        <v>7116539.9999999944</v>
      </c>
      <c r="AF24" s="6905">
        <f t="shared" si="10"/>
        <v>5663920.0000000009</v>
      </c>
      <c r="AG24" s="5551">
        <f t="shared" si="77"/>
        <v>1413600</v>
      </c>
      <c r="AH24" s="5552">
        <v>707000.00000000047</v>
      </c>
      <c r="AI24" s="5573">
        <f t="shared" si="11"/>
        <v>8530139.9999999944</v>
      </c>
      <c r="AJ24" s="5573">
        <f t="shared" si="12"/>
        <v>6370920.0000000019</v>
      </c>
      <c r="AK24" s="5551">
        <f t="shared" si="78"/>
        <v>1368000</v>
      </c>
      <c r="AL24" s="5552">
        <v>837229.99999999895</v>
      </c>
      <c r="AM24" s="5573">
        <f t="shared" si="13"/>
        <v>9898139.9999999944</v>
      </c>
      <c r="AN24" s="5573">
        <f t="shared" si="14"/>
        <v>7208150.0000000009</v>
      </c>
      <c r="AO24" s="5551">
        <f t="shared" si="79"/>
        <v>1413600</v>
      </c>
      <c r="AP24" s="5552">
        <v>988520.00000000128</v>
      </c>
      <c r="AQ24" s="5803">
        <f t="shared" si="80"/>
        <v>4195200</v>
      </c>
      <c r="AR24" s="5803">
        <f t="shared" si="81"/>
        <v>2532750.0000000009</v>
      </c>
      <c r="AS24" s="5573">
        <f t="shared" si="15"/>
        <v>11311739.999999994</v>
      </c>
      <c r="AT24" s="5573">
        <f t="shared" si="16"/>
        <v>8196670.0000000019</v>
      </c>
      <c r="AU24" s="5551">
        <f t="shared" si="82"/>
        <v>1413600</v>
      </c>
      <c r="AV24" s="5552">
        <v>1210159.9999999984</v>
      </c>
      <c r="AW24" s="5573">
        <f t="shared" si="17"/>
        <v>12725339.999999994</v>
      </c>
      <c r="AX24" s="5573">
        <f t="shared" si="18"/>
        <v>9406830</v>
      </c>
      <c r="AY24" s="8198">
        <f t="shared" si="83"/>
        <v>1276800</v>
      </c>
      <c r="AZ24" s="5552">
        <v>1041570</v>
      </c>
      <c r="BA24" s="5573">
        <f t="shared" si="19"/>
        <v>14002139.999999994</v>
      </c>
      <c r="BB24" s="5573">
        <f t="shared" si="20"/>
        <v>10448400</v>
      </c>
      <c r="BC24" s="8198">
        <f t="shared" si="84"/>
        <v>1413600</v>
      </c>
      <c r="BD24" s="5552">
        <v>1079140</v>
      </c>
      <c r="BE24" s="5803">
        <f t="shared" si="85"/>
        <v>4104000</v>
      </c>
      <c r="BF24" s="5803">
        <f t="shared" si="86"/>
        <v>3330869.9999999981</v>
      </c>
      <c r="BG24" s="5803">
        <f t="shared" si="0"/>
        <v>8299200</v>
      </c>
      <c r="BH24" s="5803">
        <f t="shared" si="1"/>
        <v>5863619.9999999991</v>
      </c>
      <c r="BI24" s="6905">
        <f t="shared" si="21"/>
        <v>15415739.999999994</v>
      </c>
      <c r="BJ24" s="6905">
        <f t="shared" si="22"/>
        <v>11527540</v>
      </c>
    </row>
    <row r="25" spans="1:62" ht="15" customHeight="1" x14ac:dyDescent="0.2">
      <c r="A25" s="5416">
        <v>20</v>
      </c>
      <c r="B25" s="5513" t="s">
        <v>1050</v>
      </c>
      <c r="C25" s="1636" t="s">
        <v>703</v>
      </c>
      <c r="D25" s="5514">
        <f>[2]PPC!E42</f>
        <v>423946.99999999942</v>
      </c>
      <c r="E25" s="5515">
        <f>[2]PPC!F42</f>
        <v>543130.00000000047</v>
      </c>
      <c r="G25" s="5507" t="s">
        <v>1991</v>
      </c>
      <c r="H25" s="3938" t="s">
        <v>1048</v>
      </c>
      <c r="I25" s="5549">
        <f t="shared" si="70"/>
        <v>3675250.0000000084</v>
      </c>
      <c r="J25" s="5551">
        <v>3675250.0000000093</v>
      </c>
      <c r="K25" s="5549">
        <f t="shared" si="70"/>
        <v>4377139.9999999674</v>
      </c>
      <c r="L25" s="5552">
        <v>4377139.9999999879</v>
      </c>
      <c r="M25" s="5573">
        <f t="shared" si="2"/>
        <v>8052389.9999999758</v>
      </c>
      <c r="N25" s="5573">
        <f t="shared" si="2"/>
        <v>8052389.9999999972</v>
      </c>
      <c r="O25" s="5549">
        <f t="shared" ref="O25" si="97">+O73*O$3*24*1000</f>
        <v>5537635.0000000056</v>
      </c>
      <c r="P25" s="5551">
        <v>5537635.0000000075</v>
      </c>
      <c r="Q25" s="5804">
        <f t="shared" si="3"/>
        <v>13590024.999999981</v>
      </c>
      <c r="R25" s="5804">
        <f t="shared" si="4"/>
        <v>13590025.000000004</v>
      </c>
      <c r="S25" s="5551">
        <f t="shared" ref="S25" si="98">+S73*S$3*24*1000</f>
        <v>5275467.7754677758</v>
      </c>
      <c r="T25" s="5552">
        <v>5958769.9999999981</v>
      </c>
      <c r="U25" s="5573">
        <f t="shared" si="5"/>
        <v>18865492.775467757</v>
      </c>
      <c r="V25" s="5573">
        <f t="shared" si="6"/>
        <v>19548795</v>
      </c>
      <c r="W25" s="5551">
        <f t="shared" si="73"/>
        <v>5275467.7754677758</v>
      </c>
      <c r="X25" s="5552">
        <v>6274279.9999999925</v>
      </c>
      <c r="Y25" s="5573">
        <f t="shared" si="7"/>
        <v>24140960.550935533</v>
      </c>
      <c r="Z25" s="5573">
        <f t="shared" si="8"/>
        <v>25823074.999999993</v>
      </c>
      <c r="AA25" s="5551">
        <f t="shared" si="74"/>
        <v>4823284.8232848234</v>
      </c>
      <c r="AB25" s="5552">
        <v>5256120.0000000065</v>
      </c>
      <c r="AC25" s="5803">
        <f t="shared" si="75"/>
        <v>15374220.374220375</v>
      </c>
      <c r="AD25" s="5803">
        <f t="shared" si="76"/>
        <v>17489169.999999996</v>
      </c>
      <c r="AE25" s="6905">
        <f t="shared" si="9"/>
        <v>28964245.374220356</v>
      </c>
      <c r="AF25" s="6905">
        <f t="shared" si="10"/>
        <v>31079195</v>
      </c>
      <c r="AG25" s="5551">
        <f t="shared" si="77"/>
        <v>6010362.6943005184</v>
      </c>
      <c r="AH25" s="5552">
        <v>4884515.0000000019</v>
      </c>
      <c r="AI25" s="5573">
        <f t="shared" si="11"/>
        <v>34974608.068520874</v>
      </c>
      <c r="AJ25" s="5573">
        <f t="shared" si="12"/>
        <v>35963710</v>
      </c>
      <c r="AK25" s="5551">
        <f t="shared" si="78"/>
        <v>6799194.4471968925</v>
      </c>
      <c r="AL25" s="5552">
        <v>6292068.3333333358</v>
      </c>
      <c r="AM25" s="5573">
        <f t="shared" si="13"/>
        <v>41773802.515717767</v>
      </c>
      <c r="AN25" s="5573">
        <f t="shared" si="14"/>
        <v>42255778.333333336</v>
      </c>
      <c r="AO25" s="5551">
        <f t="shared" si="79"/>
        <v>6956098.9344398966</v>
      </c>
      <c r="AP25" s="5552">
        <v>6220903.3333333284</v>
      </c>
      <c r="AQ25" s="5803">
        <f t="shared" si="80"/>
        <v>19765656.075937308</v>
      </c>
      <c r="AR25" s="5803">
        <f t="shared" si="81"/>
        <v>17397486.666666664</v>
      </c>
      <c r="AS25" s="5573">
        <f t="shared" si="15"/>
        <v>48729901.450157665</v>
      </c>
      <c r="AT25" s="5573">
        <f t="shared" si="16"/>
        <v>48476681.666666664</v>
      </c>
      <c r="AU25" s="5551">
        <f t="shared" si="82"/>
        <v>6956098.9344398966</v>
      </c>
      <c r="AV25" s="5552">
        <v>5818536.666666666</v>
      </c>
      <c r="AW25" s="5573">
        <f t="shared" si="17"/>
        <v>55686000.384597562</v>
      </c>
      <c r="AX25" s="5573">
        <f t="shared" si="18"/>
        <v>54295218.333333328</v>
      </c>
      <c r="AY25" s="8198">
        <f t="shared" si="83"/>
        <v>6276179.489731201</v>
      </c>
      <c r="AZ25" s="5552">
        <v>6039110</v>
      </c>
      <c r="BA25" s="5573">
        <f t="shared" si="19"/>
        <v>61962179.874328762</v>
      </c>
      <c r="BB25" s="5573">
        <f t="shared" si="20"/>
        <v>60334328.333333328</v>
      </c>
      <c r="BC25" s="8198">
        <f t="shared" si="84"/>
        <v>6974225.8479119996</v>
      </c>
      <c r="BD25" s="5552">
        <v>6786338.3333333302</v>
      </c>
      <c r="BE25" s="5803">
        <f t="shared" si="85"/>
        <v>20206504.272083096</v>
      </c>
      <c r="BF25" s="5803">
        <f t="shared" si="86"/>
        <v>18643984.999999996</v>
      </c>
      <c r="BG25" s="5803">
        <f t="shared" si="0"/>
        <v>39972160.348020405</v>
      </c>
      <c r="BH25" s="5803">
        <f t="shared" si="1"/>
        <v>36041471.666666657</v>
      </c>
      <c r="BI25" s="6905">
        <f t="shared" si="21"/>
        <v>68936405.722240761</v>
      </c>
      <c r="BJ25" s="6905">
        <f t="shared" si="22"/>
        <v>67120666.666666657</v>
      </c>
    </row>
    <row r="26" spans="1:62" ht="15" customHeight="1" x14ac:dyDescent="0.2">
      <c r="A26" s="5416">
        <v>21</v>
      </c>
      <c r="B26" s="5513" t="s">
        <v>1992</v>
      </c>
      <c r="C26" s="1636" t="s">
        <v>703</v>
      </c>
      <c r="D26" s="5514">
        <f>[2]PPC!E71</f>
        <v>378639</v>
      </c>
      <c r="E26" s="5515">
        <f>[2]PPC!F71</f>
        <v>383365</v>
      </c>
      <c r="G26" s="5507" t="s">
        <v>1993</v>
      </c>
      <c r="H26" s="3938" t="s">
        <v>1049</v>
      </c>
      <c r="I26" s="5549">
        <f t="shared" si="70"/>
        <v>2119909.9999999679</v>
      </c>
      <c r="J26" s="5551">
        <v>2119909.9999999995</v>
      </c>
      <c r="K26" s="5549">
        <f t="shared" si="70"/>
        <v>4863979.9999999851</v>
      </c>
      <c r="L26" s="5552">
        <v>4863980</v>
      </c>
      <c r="M26" s="5573">
        <f t="shared" si="2"/>
        <v>6983889.9999999534</v>
      </c>
      <c r="N26" s="5573">
        <f t="shared" si="2"/>
        <v>6983890</v>
      </c>
      <c r="O26" s="5549">
        <f t="shared" ref="O26" si="99">+O74*O$3*24*1000</f>
        <v>4403154.9999999963</v>
      </c>
      <c r="P26" s="5551">
        <v>4403154.9999999963</v>
      </c>
      <c r="Q26" s="5804">
        <f t="shared" si="3"/>
        <v>11387044.99999995</v>
      </c>
      <c r="R26" s="5804">
        <f t="shared" si="4"/>
        <v>11387044.999999996</v>
      </c>
      <c r="S26" s="5551">
        <f t="shared" ref="S26" si="100">+S74*S$3*24*1000</f>
        <v>4894386.6943866936</v>
      </c>
      <c r="T26" s="5552">
        <v>3064690.0000000042</v>
      </c>
      <c r="U26" s="5573">
        <f t="shared" si="5"/>
        <v>16281431.694386642</v>
      </c>
      <c r="V26" s="5573">
        <f t="shared" si="6"/>
        <v>14451735</v>
      </c>
      <c r="W26" s="5551">
        <f t="shared" si="73"/>
        <v>4516632.0166320158</v>
      </c>
      <c r="X26" s="5552">
        <v>4095389.9999999986</v>
      </c>
      <c r="Y26" s="5573">
        <f t="shared" si="7"/>
        <v>20798063.711018659</v>
      </c>
      <c r="Z26" s="5573">
        <f t="shared" si="8"/>
        <v>18547125</v>
      </c>
      <c r="AA26" s="5551">
        <f t="shared" si="74"/>
        <v>4762993.7629937623</v>
      </c>
      <c r="AB26" s="5552">
        <v>3888609.9999999977</v>
      </c>
      <c r="AC26" s="5803">
        <f t="shared" si="75"/>
        <v>14174012.474012472</v>
      </c>
      <c r="AD26" s="5803">
        <f t="shared" si="76"/>
        <v>11048690</v>
      </c>
      <c r="AE26" s="6905">
        <f t="shared" si="9"/>
        <v>25561057.47401242</v>
      </c>
      <c r="AF26" s="6905">
        <f t="shared" si="10"/>
        <v>22435734.999999996</v>
      </c>
      <c r="AG26" s="5551">
        <f t="shared" si="77"/>
        <v>4093264.2487046635</v>
      </c>
      <c r="AH26" s="5552">
        <v>3844684.9999999991</v>
      </c>
      <c r="AI26" s="5573">
        <f t="shared" si="11"/>
        <v>29654321.722717084</v>
      </c>
      <c r="AJ26" s="5573">
        <f t="shared" si="12"/>
        <v>26280419.999999996</v>
      </c>
      <c r="AK26" s="5551">
        <f t="shared" si="78"/>
        <v>5906089.1191709852</v>
      </c>
      <c r="AL26" s="5552">
        <v>4338508.333333334</v>
      </c>
      <c r="AM26" s="5573">
        <f t="shared" si="13"/>
        <v>35560410.84188807</v>
      </c>
      <c r="AN26" s="5573">
        <f t="shared" si="14"/>
        <v>30618928.333333328</v>
      </c>
      <c r="AO26" s="5551">
        <f t="shared" si="79"/>
        <v>5971712.3316062186</v>
      </c>
      <c r="AP26" s="5552">
        <v>5018993.3333333358</v>
      </c>
      <c r="AQ26" s="5803">
        <f t="shared" si="80"/>
        <v>15971065.699481867</v>
      </c>
      <c r="AR26" s="5803">
        <f t="shared" si="81"/>
        <v>13202186.666666668</v>
      </c>
      <c r="AS26" s="5573">
        <f t="shared" si="15"/>
        <v>41532123.173494287</v>
      </c>
      <c r="AT26" s="5573">
        <f t="shared" si="16"/>
        <v>35637921.666666664</v>
      </c>
      <c r="AU26" s="5551">
        <f t="shared" si="82"/>
        <v>6015461.1398963714</v>
      </c>
      <c r="AV26" s="5552">
        <v>4628176.6666666633</v>
      </c>
      <c r="AW26" s="5573">
        <f t="shared" si="17"/>
        <v>47547584.313390657</v>
      </c>
      <c r="AX26" s="5573">
        <f t="shared" si="18"/>
        <v>40266098.333333328</v>
      </c>
      <c r="AY26" s="8198">
        <f t="shared" si="83"/>
        <v>5468601.0362592004</v>
      </c>
      <c r="AZ26" s="5552">
        <v>4554140</v>
      </c>
      <c r="BA26" s="5573">
        <f t="shared" si="19"/>
        <v>53016185.349649861</v>
      </c>
      <c r="BB26" s="5573">
        <f t="shared" si="20"/>
        <v>44820238.333333328</v>
      </c>
      <c r="BC26" s="8198">
        <f t="shared" si="84"/>
        <v>5986186.1140319994</v>
      </c>
      <c r="BD26" s="5552">
        <v>5121438.3333333395</v>
      </c>
      <c r="BE26" s="5803">
        <f t="shared" si="85"/>
        <v>17470248.290187571</v>
      </c>
      <c r="BF26" s="5803">
        <f t="shared" si="86"/>
        <v>14303755.000000004</v>
      </c>
      <c r="BG26" s="5803">
        <f t="shared" si="0"/>
        <v>33441313.989669438</v>
      </c>
      <c r="BH26" s="5803">
        <f t="shared" si="1"/>
        <v>27505941.666666672</v>
      </c>
      <c r="BI26" s="6905">
        <f t="shared" si="21"/>
        <v>59002371.463681862</v>
      </c>
      <c r="BJ26" s="6905">
        <f t="shared" si="22"/>
        <v>49941676.666666672</v>
      </c>
    </row>
    <row r="27" spans="1:62" ht="15" customHeight="1" x14ac:dyDescent="0.2">
      <c r="A27" s="5416">
        <v>22</v>
      </c>
      <c r="B27" s="5513" t="s">
        <v>1994</v>
      </c>
      <c r="C27" s="1636" t="s">
        <v>703</v>
      </c>
      <c r="D27" s="5514">
        <f>[2]PPC!E35</f>
        <v>5408863.7999999998</v>
      </c>
      <c r="E27" s="5515">
        <f>[2]PPC!F35</f>
        <v>5589150</v>
      </c>
      <c r="G27" s="5507" t="s">
        <v>1995</v>
      </c>
      <c r="H27" s="3938" t="s">
        <v>1050</v>
      </c>
      <c r="I27" s="5549">
        <f t="shared" si="70"/>
        <v>423947.00000001601</v>
      </c>
      <c r="J27" s="5551">
        <v>423946.99999999942</v>
      </c>
      <c r="K27" s="5549">
        <f t="shared" si="70"/>
        <v>543129.99999998871</v>
      </c>
      <c r="L27" s="5552">
        <v>543130.00000000047</v>
      </c>
      <c r="M27" s="5573">
        <f t="shared" si="2"/>
        <v>967077.00000000466</v>
      </c>
      <c r="N27" s="5573">
        <f t="shared" si="2"/>
        <v>967076.99999999988</v>
      </c>
      <c r="O27" s="5549">
        <f t="shared" ref="O27" si="101">+O75*O$3*24*1000</f>
        <v>654579.9999999993</v>
      </c>
      <c r="P27" s="5551">
        <v>654579.99999999953</v>
      </c>
      <c r="Q27" s="5804">
        <f t="shared" si="3"/>
        <v>1621657.000000004</v>
      </c>
      <c r="R27" s="5804">
        <f t="shared" si="4"/>
        <v>1621656.9999999995</v>
      </c>
      <c r="S27" s="5551">
        <f t="shared" ref="S27" si="102">+S75*S$3*24*1000</f>
        <v>768025.07836990594</v>
      </c>
      <c r="T27" s="5552">
        <v>626460.00000000116</v>
      </c>
      <c r="U27" s="5573">
        <f t="shared" si="5"/>
        <v>2389682.0783699099</v>
      </c>
      <c r="V27" s="5573">
        <f t="shared" si="6"/>
        <v>2248117.0000000009</v>
      </c>
      <c r="W27" s="5551">
        <f t="shared" si="73"/>
        <v>877742.94670846406</v>
      </c>
      <c r="X27" s="5552">
        <v>622060.00000000058</v>
      </c>
      <c r="Y27" s="5573">
        <f t="shared" si="7"/>
        <v>3267425.025078374</v>
      </c>
      <c r="Z27" s="5573">
        <f t="shared" si="8"/>
        <v>2870177.0000000014</v>
      </c>
      <c r="AA27" s="5551">
        <f t="shared" si="74"/>
        <v>1097178.6833855798</v>
      </c>
      <c r="AB27" s="5552">
        <v>671860</v>
      </c>
      <c r="AC27" s="5803">
        <f t="shared" si="75"/>
        <v>2742946.7084639501</v>
      </c>
      <c r="AD27" s="5803">
        <f t="shared" si="76"/>
        <v>1920380.0000000019</v>
      </c>
      <c r="AE27" s="6905">
        <f t="shared" si="9"/>
        <v>4364603.7084639538</v>
      </c>
      <c r="AF27" s="6905">
        <f t="shared" si="10"/>
        <v>3542037.0000000014</v>
      </c>
      <c r="AG27" s="5551">
        <f t="shared" si="77"/>
        <v>1097178.6833855798</v>
      </c>
      <c r="AH27" s="5552">
        <v>2201249.9999999995</v>
      </c>
      <c r="AI27" s="5573">
        <f t="shared" si="11"/>
        <v>5461782.3918495337</v>
      </c>
      <c r="AJ27" s="5573">
        <f t="shared" si="12"/>
        <v>5743287.0000000009</v>
      </c>
      <c r="AK27" s="5551">
        <f t="shared" si="78"/>
        <v>4388714.7335423194</v>
      </c>
      <c r="AL27" s="5552">
        <v>2303723.3333333349</v>
      </c>
      <c r="AM27" s="5573">
        <f t="shared" si="13"/>
        <v>9850497.1253918521</v>
      </c>
      <c r="AN27" s="5573">
        <f t="shared" si="14"/>
        <v>8047010.3333333358</v>
      </c>
      <c r="AO27" s="5551">
        <f t="shared" si="79"/>
        <v>3291536.0501567395</v>
      </c>
      <c r="AP27" s="5552">
        <v>1671080.3333333333</v>
      </c>
      <c r="AQ27" s="5803">
        <f t="shared" si="80"/>
        <v>8777429.4670846388</v>
      </c>
      <c r="AR27" s="5803">
        <f t="shared" si="81"/>
        <v>6176053.666666667</v>
      </c>
      <c r="AS27" s="5573">
        <f t="shared" si="15"/>
        <v>13142033.175548591</v>
      </c>
      <c r="AT27" s="5573">
        <f t="shared" si="16"/>
        <v>9718090.6666666698</v>
      </c>
      <c r="AU27" s="5551">
        <f t="shared" si="82"/>
        <v>3840125.3918495295</v>
      </c>
      <c r="AV27" s="5552">
        <v>2140659.666666667</v>
      </c>
      <c r="AW27" s="5573">
        <f t="shared" si="17"/>
        <v>16982158.56739812</v>
      </c>
      <c r="AX27" s="5573">
        <f t="shared" si="18"/>
        <v>11858750.333333336</v>
      </c>
      <c r="AY27" s="8198">
        <f t="shared" si="83"/>
        <v>3840125.3918495993</v>
      </c>
      <c r="AZ27" s="5552">
        <v>2411230</v>
      </c>
      <c r="BA27" s="5573">
        <f t="shared" si="19"/>
        <v>20822283.959247719</v>
      </c>
      <c r="BB27" s="5573">
        <f t="shared" si="20"/>
        <v>14269980.333333336</v>
      </c>
      <c r="BC27" s="8198">
        <f t="shared" si="84"/>
        <v>4937304.0749040004</v>
      </c>
      <c r="BD27" s="5552">
        <v>2176053.33333334</v>
      </c>
      <c r="BE27" s="5803">
        <f t="shared" si="85"/>
        <v>12617554.858603129</v>
      </c>
      <c r="BF27" s="5803">
        <f t="shared" si="86"/>
        <v>6727943.0000000075</v>
      </c>
      <c r="BG27" s="5803">
        <f t="shared" si="0"/>
        <v>21394984.325687766</v>
      </c>
      <c r="BH27" s="5803">
        <f t="shared" si="1"/>
        <v>12903996.666666675</v>
      </c>
      <c r="BI27" s="6905">
        <f t="shared" si="21"/>
        <v>25759588.034151718</v>
      </c>
      <c r="BJ27" s="6905">
        <f t="shared" si="22"/>
        <v>16446033.666666675</v>
      </c>
    </row>
    <row r="28" spans="1:62" ht="15" customHeight="1" x14ac:dyDescent="0.2">
      <c r="A28" s="5416">
        <v>23</v>
      </c>
      <c r="B28" s="5513" t="s">
        <v>1956</v>
      </c>
      <c r="C28" s="1636" t="s">
        <v>703</v>
      </c>
      <c r="D28" s="5514">
        <f>[2]PPC!E36</f>
        <v>24602610.000000015</v>
      </c>
      <c r="E28" s="5515">
        <f>[2]PPC!F36</f>
        <v>25208649.999999989</v>
      </c>
      <c r="G28" s="5507" t="s">
        <v>1996</v>
      </c>
      <c r="H28" s="3938" t="s">
        <v>1956</v>
      </c>
      <c r="I28" s="5549">
        <f t="shared" si="70"/>
        <v>24602610.000000022</v>
      </c>
      <c r="J28" s="5551">
        <v>24602610.000000015</v>
      </c>
      <c r="K28" s="5549">
        <f t="shared" si="70"/>
        <v>25208649.999999993</v>
      </c>
      <c r="L28" s="5552">
        <v>25208649.999999989</v>
      </c>
      <c r="M28" s="5573">
        <f t="shared" si="2"/>
        <v>49811260.000000015</v>
      </c>
      <c r="N28" s="5573">
        <f t="shared" si="2"/>
        <v>49811260</v>
      </c>
      <c r="O28" s="5549">
        <f t="shared" ref="O28" si="103">+O76*O$3*24*1000</f>
        <v>24573029.999999978</v>
      </c>
      <c r="P28" s="5551">
        <v>24573030.000000007</v>
      </c>
      <c r="Q28" s="5804">
        <f t="shared" si="3"/>
        <v>74384290</v>
      </c>
      <c r="R28" s="5804">
        <f t="shared" si="4"/>
        <v>74384290</v>
      </c>
      <c r="S28" s="5551">
        <f t="shared" ref="S28" si="104">+S76*S$3*24*1000</f>
        <v>25593600</v>
      </c>
      <c r="T28" s="5552">
        <v>25881569.999999989</v>
      </c>
      <c r="U28" s="5573">
        <f t="shared" si="5"/>
        <v>99977890</v>
      </c>
      <c r="V28" s="5573">
        <f t="shared" si="6"/>
        <v>100265859.99999999</v>
      </c>
      <c r="W28" s="5551">
        <f t="shared" si="73"/>
        <v>25593600</v>
      </c>
      <c r="X28" s="5552">
        <v>25849070.000000007</v>
      </c>
      <c r="Y28" s="5573">
        <f t="shared" si="7"/>
        <v>125571490</v>
      </c>
      <c r="Z28" s="5573">
        <f t="shared" si="8"/>
        <v>126114930</v>
      </c>
      <c r="AA28" s="5551">
        <f t="shared" si="74"/>
        <v>24768000</v>
      </c>
      <c r="AB28" s="5552">
        <v>25151480.000000004</v>
      </c>
      <c r="AC28" s="5803">
        <f t="shared" si="75"/>
        <v>75955200</v>
      </c>
      <c r="AD28" s="5803">
        <f t="shared" si="76"/>
        <v>76882120</v>
      </c>
      <c r="AE28" s="6905">
        <f t="shared" si="9"/>
        <v>150339490</v>
      </c>
      <c r="AF28" s="6905">
        <f t="shared" si="10"/>
        <v>151266410</v>
      </c>
      <c r="AG28" s="5551">
        <f t="shared" si="77"/>
        <v>25593600</v>
      </c>
      <c r="AH28" s="5552">
        <v>25923989.999999993</v>
      </c>
      <c r="AI28" s="5573">
        <f t="shared" si="11"/>
        <v>175933090</v>
      </c>
      <c r="AJ28" s="5573">
        <f t="shared" si="12"/>
        <v>177190400</v>
      </c>
      <c r="AK28" s="5551">
        <f t="shared" si="78"/>
        <v>24768000</v>
      </c>
      <c r="AL28" s="5552">
        <v>24169870.000000022</v>
      </c>
      <c r="AM28" s="5573">
        <f t="shared" si="13"/>
        <v>200701090</v>
      </c>
      <c r="AN28" s="5573">
        <f t="shared" si="14"/>
        <v>201360270.00000003</v>
      </c>
      <c r="AO28" s="5551">
        <f t="shared" si="79"/>
        <v>25593600</v>
      </c>
      <c r="AP28" s="5552">
        <v>25387419.999999989</v>
      </c>
      <c r="AQ28" s="5803">
        <f t="shared" si="80"/>
        <v>75955200</v>
      </c>
      <c r="AR28" s="5803">
        <f t="shared" si="81"/>
        <v>75481280</v>
      </c>
      <c r="AS28" s="5573">
        <f t="shared" si="15"/>
        <v>226294690</v>
      </c>
      <c r="AT28" s="5573">
        <f t="shared" si="16"/>
        <v>226747690.00000003</v>
      </c>
      <c r="AU28" s="5551">
        <f t="shared" si="82"/>
        <v>25593600</v>
      </c>
      <c r="AV28" s="5552">
        <v>25393740.000000011</v>
      </c>
      <c r="AW28" s="5573">
        <f t="shared" si="17"/>
        <v>251888290</v>
      </c>
      <c r="AX28" s="5573">
        <f t="shared" si="18"/>
        <v>252141430.00000003</v>
      </c>
      <c r="AY28" s="8198">
        <f t="shared" si="83"/>
        <v>23116800</v>
      </c>
      <c r="AZ28" s="5552">
        <v>22861480</v>
      </c>
      <c r="BA28" s="5573">
        <f t="shared" si="19"/>
        <v>275005090</v>
      </c>
      <c r="BB28" s="5573">
        <f t="shared" si="20"/>
        <v>275002910</v>
      </c>
      <c r="BC28" s="8198">
        <f t="shared" si="84"/>
        <v>25593600</v>
      </c>
      <c r="BD28" s="5552">
        <v>25572059.999999899</v>
      </c>
      <c r="BE28" s="5803">
        <f t="shared" si="85"/>
        <v>74304000</v>
      </c>
      <c r="BF28" s="5803">
        <f t="shared" si="86"/>
        <v>73827279.999999911</v>
      </c>
      <c r="BG28" s="5803">
        <f t="shared" si="0"/>
        <v>150259200</v>
      </c>
      <c r="BH28" s="5803">
        <f t="shared" si="1"/>
        <v>149308559.99999991</v>
      </c>
      <c r="BI28" s="6905">
        <f t="shared" si="21"/>
        <v>300598690</v>
      </c>
      <c r="BJ28" s="6905">
        <f t="shared" si="22"/>
        <v>300574969.99999988</v>
      </c>
    </row>
    <row r="29" spans="1:62" ht="15" customHeight="1" x14ac:dyDescent="0.2">
      <c r="A29" s="5416">
        <v>24</v>
      </c>
      <c r="B29" s="5513" t="s">
        <v>1051</v>
      </c>
      <c r="C29" s="1636" t="s">
        <v>703</v>
      </c>
      <c r="D29" s="5514">
        <f>[2]PPC!E56</f>
        <v>3577000</v>
      </c>
      <c r="E29" s="5515">
        <f>[2]PPC!F56</f>
        <v>3313400.0000000051</v>
      </c>
      <c r="G29" s="5507" t="s">
        <v>1997</v>
      </c>
      <c r="H29" s="3938" t="s">
        <v>1051</v>
      </c>
      <c r="I29" s="5549">
        <f t="shared" si="70"/>
        <v>3577000.0000000326</v>
      </c>
      <c r="J29" s="5551">
        <v>3577000</v>
      </c>
      <c r="K29" s="5549">
        <f t="shared" si="70"/>
        <v>3313399.9999999898</v>
      </c>
      <c r="L29" s="5552">
        <v>3313400.0000000051</v>
      </c>
      <c r="M29" s="5573">
        <f t="shared" si="2"/>
        <v>6890400.0000000224</v>
      </c>
      <c r="N29" s="5573">
        <f t="shared" si="2"/>
        <v>6890400.0000000056</v>
      </c>
      <c r="O29" s="5549">
        <f t="shared" ref="O29" si="105">+O77*O$3*24*1000</f>
        <v>3327500.0000000019</v>
      </c>
      <c r="P29" s="5551">
        <v>3327500</v>
      </c>
      <c r="Q29" s="5804">
        <f t="shared" si="3"/>
        <v>10217900.000000024</v>
      </c>
      <c r="R29" s="5804">
        <f t="shared" si="4"/>
        <v>10217900.000000006</v>
      </c>
      <c r="S29" s="5551">
        <f t="shared" ref="S29" si="106">+S77*S$3*24*1000</f>
        <v>3571200</v>
      </c>
      <c r="T29" s="5552">
        <v>3655299.9999999921</v>
      </c>
      <c r="U29" s="5573">
        <f t="shared" si="5"/>
        <v>13789100.000000024</v>
      </c>
      <c r="V29" s="5573">
        <f t="shared" si="6"/>
        <v>13873199.999999998</v>
      </c>
      <c r="W29" s="5551">
        <f t="shared" si="73"/>
        <v>3571200</v>
      </c>
      <c r="X29" s="5552">
        <v>3609200.0000000042</v>
      </c>
      <c r="Y29" s="5573">
        <f t="shared" si="7"/>
        <v>17360300.000000022</v>
      </c>
      <c r="Z29" s="5573">
        <f t="shared" si="8"/>
        <v>17482400.000000004</v>
      </c>
      <c r="AA29" s="5551">
        <f t="shared" si="74"/>
        <v>3456000</v>
      </c>
      <c r="AB29" s="5552">
        <v>3483799.9999999958</v>
      </c>
      <c r="AC29" s="5803">
        <f t="shared" si="75"/>
        <v>10598400</v>
      </c>
      <c r="AD29" s="5803">
        <f t="shared" si="76"/>
        <v>10748299.999999993</v>
      </c>
      <c r="AE29" s="6905">
        <f t="shared" si="9"/>
        <v>20816300.000000022</v>
      </c>
      <c r="AF29" s="6905">
        <f t="shared" si="10"/>
        <v>20966200</v>
      </c>
      <c r="AG29" s="5551">
        <f t="shared" si="77"/>
        <v>3571200</v>
      </c>
      <c r="AH29" s="5552">
        <v>3662100.0000000023</v>
      </c>
      <c r="AI29" s="5573">
        <f t="shared" si="11"/>
        <v>24387500.000000022</v>
      </c>
      <c r="AJ29" s="5573">
        <f t="shared" si="12"/>
        <v>24628300.000000004</v>
      </c>
      <c r="AK29" s="5551">
        <f t="shared" si="78"/>
        <v>3456000</v>
      </c>
      <c r="AL29" s="5552">
        <v>3673900.0000000047</v>
      </c>
      <c r="AM29" s="5573">
        <f t="shared" si="13"/>
        <v>27843500.000000022</v>
      </c>
      <c r="AN29" s="5573">
        <f t="shared" si="14"/>
        <v>28302200.000000007</v>
      </c>
      <c r="AO29" s="5551">
        <f t="shared" si="79"/>
        <v>3571200</v>
      </c>
      <c r="AP29" s="5552">
        <v>3796499.9999999963</v>
      </c>
      <c r="AQ29" s="5803">
        <f t="shared" si="80"/>
        <v>10598400</v>
      </c>
      <c r="AR29" s="5803">
        <f t="shared" si="81"/>
        <v>11132500.000000004</v>
      </c>
      <c r="AS29" s="5573">
        <f t="shared" si="15"/>
        <v>31414700.000000022</v>
      </c>
      <c r="AT29" s="5573">
        <f t="shared" si="16"/>
        <v>32098700.000000004</v>
      </c>
      <c r="AU29" s="5551">
        <f t="shared" si="82"/>
        <v>3571200</v>
      </c>
      <c r="AV29" s="5552">
        <v>3793700.0000000009</v>
      </c>
      <c r="AW29" s="5573">
        <f t="shared" si="17"/>
        <v>34985900.000000022</v>
      </c>
      <c r="AX29" s="5573">
        <f t="shared" si="18"/>
        <v>35892400.000000007</v>
      </c>
      <c r="AY29" s="8198">
        <f t="shared" si="83"/>
        <v>3225600.0000000005</v>
      </c>
      <c r="AZ29" s="5552">
        <v>3465500</v>
      </c>
      <c r="BA29" s="5573">
        <f t="shared" si="19"/>
        <v>38211500.000000022</v>
      </c>
      <c r="BB29" s="5573">
        <f t="shared" si="20"/>
        <v>39357900.000000007</v>
      </c>
      <c r="BC29" s="8198">
        <f t="shared" si="84"/>
        <v>3571200</v>
      </c>
      <c r="BD29" s="5552">
        <v>3772400</v>
      </c>
      <c r="BE29" s="5803">
        <f t="shared" si="85"/>
        <v>10368000</v>
      </c>
      <c r="BF29" s="5803">
        <f t="shared" si="86"/>
        <v>11031600</v>
      </c>
      <c r="BG29" s="5803">
        <f t="shared" si="0"/>
        <v>20966400</v>
      </c>
      <c r="BH29" s="5803">
        <f t="shared" si="1"/>
        <v>22164100.000000004</v>
      </c>
      <c r="BI29" s="6905">
        <f t="shared" si="21"/>
        <v>41782700.000000022</v>
      </c>
      <c r="BJ29" s="6905">
        <f t="shared" si="22"/>
        <v>43130300.000000007</v>
      </c>
    </row>
    <row r="30" spans="1:62" ht="15" customHeight="1" x14ac:dyDescent="0.2">
      <c r="A30" s="5416">
        <v>25</v>
      </c>
      <c r="B30" s="5513" t="s">
        <v>1998</v>
      </c>
      <c r="C30" s="1636" t="s">
        <v>703</v>
      </c>
      <c r="D30" s="5514">
        <f>[2]PPC!E69</f>
        <v>2204510.0000000019</v>
      </c>
      <c r="E30" s="5515">
        <f>[2]PPC!F69</f>
        <v>2354639.9999999991</v>
      </c>
      <c r="G30" s="5507" t="s">
        <v>1999</v>
      </c>
      <c r="H30" s="3938" t="s">
        <v>1957</v>
      </c>
      <c r="I30" s="5549">
        <f t="shared" si="70"/>
        <v>454900.00000003201</v>
      </c>
      <c r="J30" s="5551">
        <v>454899.99999999919</v>
      </c>
      <c r="K30" s="5549">
        <f t="shared" si="70"/>
        <v>444510.00000003353</v>
      </c>
      <c r="L30" s="5552">
        <v>444510.0000000007</v>
      </c>
      <c r="M30" s="5573">
        <f t="shared" si="2"/>
        <v>899410.00000006554</v>
      </c>
      <c r="N30" s="5573">
        <f t="shared" si="2"/>
        <v>899409.99999999988</v>
      </c>
      <c r="O30" s="5549">
        <f t="shared" ref="O30" si="107">+O78*O$3*24*1000</f>
        <v>430879.99999999965</v>
      </c>
      <c r="P30" s="5551">
        <v>430879.99999999971</v>
      </c>
      <c r="Q30" s="5804">
        <f t="shared" si="3"/>
        <v>1330290.0000000652</v>
      </c>
      <c r="R30" s="5804">
        <f t="shared" si="4"/>
        <v>1330289.9999999995</v>
      </c>
      <c r="S30" s="5963">
        <f t="shared" ref="S30" si="108">+S78*S$3*24*1000</f>
        <v>669600</v>
      </c>
      <c r="T30" s="5552">
        <v>374190.00000000023</v>
      </c>
      <c r="U30" s="5573">
        <f t="shared" si="5"/>
        <v>1999890.0000000652</v>
      </c>
      <c r="V30" s="5573">
        <f t="shared" si="6"/>
        <v>1704479.9999999998</v>
      </c>
      <c r="W30" s="6424">
        <f t="shared" si="73"/>
        <v>669600</v>
      </c>
      <c r="X30" s="5552">
        <v>508179.99999999942</v>
      </c>
      <c r="Y30" s="5573">
        <f t="shared" si="7"/>
        <v>2669490.0000000652</v>
      </c>
      <c r="Z30" s="5573">
        <f t="shared" si="8"/>
        <v>2212659.9999999991</v>
      </c>
      <c r="AA30" s="6424">
        <f t="shared" si="74"/>
        <v>648000</v>
      </c>
      <c r="AB30" s="5552">
        <v>452510.00000000163</v>
      </c>
      <c r="AC30" s="5803">
        <f t="shared" si="75"/>
        <v>1987200</v>
      </c>
      <c r="AD30" s="5803">
        <f t="shared" si="76"/>
        <v>1334880.0000000014</v>
      </c>
      <c r="AE30" s="6905">
        <f t="shared" si="9"/>
        <v>3317490.0000000652</v>
      </c>
      <c r="AF30" s="6905">
        <f t="shared" si="10"/>
        <v>2665170.0000000009</v>
      </c>
      <c r="AG30" s="6424">
        <f t="shared" si="77"/>
        <v>669600</v>
      </c>
      <c r="AH30" s="5552">
        <v>452119.99999999854</v>
      </c>
      <c r="AI30" s="5573">
        <f t="shared" si="11"/>
        <v>3987090.0000000652</v>
      </c>
      <c r="AJ30" s="5573">
        <f t="shared" si="12"/>
        <v>3117289.9999999995</v>
      </c>
      <c r="AK30" s="6424">
        <f t="shared" si="78"/>
        <v>648000</v>
      </c>
      <c r="AL30" s="5552">
        <v>750190.00000000047</v>
      </c>
      <c r="AM30" s="5573">
        <f t="shared" si="13"/>
        <v>4635090.0000000652</v>
      </c>
      <c r="AN30" s="5573">
        <f t="shared" si="14"/>
        <v>3867480</v>
      </c>
      <c r="AO30" s="6424">
        <f t="shared" si="79"/>
        <v>669600</v>
      </c>
      <c r="AP30" s="5552">
        <v>480239.99999999977</v>
      </c>
      <c r="AQ30" s="5803">
        <f t="shared" si="80"/>
        <v>1987200</v>
      </c>
      <c r="AR30" s="5803">
        <f t="shared" si="81"/>
        <v>1682549.9999999988</v>
      </c>
      <c r="AS30" s="5573">
        <f t="shared" si="15"/>
        <v>5304690.0000000652</v>
      </c>
      <c r="AT30" s="5573">
        <f t="shared" si="16"/>
        <v>4347720</v>
      </c>
      <c r="AU30" s="6424">
        <f t="shared" si="82"/>
        <v>669600</v>
      </c>
      <c r="AV30" s="5552">
        <v>442180.00000000029</v>
      </c>
      <c r="AW30" s="5573">
        <f t="shared" si="17"/>
        <v>5974290.0000000652</v>
      </c>
      <c r="AX30" s="5573">
        <f t="shared" si="18"/>
        <v>4789900</v>
      </c>
      <c r="AY30" s="8197">
        <f t="shared" si="83"/>
        <v>604800</v>
      </c>
      <c r="AZ30" s="5552">
        <v>500080</v>
      </c>
      <c r="BA30" s="5573">
        <f t="shared" si="19"/>
        <v>6579090.0000000652</v>
      </c>
      <c r="BB30" s="5573">
        <f t="shared" si="20"/>
        <v>5289980</v>
      </c>
      <c r="BC30" s="8197">
        <f t="shared" si="84"/>
        <v>669600</v>
      </c>
      <c r="BD30" s="5552">
        <v>541229.99999999895</v>
      </c>
      <c r="BE30" s="5803">
        <f t="shared" si="85"/>
        <v>1944000</v>
      </c>
      <c r="BF30" s="5803">
        <f t="shared" si="86"/>
        <v>1483489.9999999991</v>
      </c>
      <c r="BG30" s="5803">
        <f t="shared" si="0"/>
        <v>3931200</v>
      </c>
      <c r="BH30" s="5803">
        <f t="shared" si="1"/>
        <v>3166039.9999999981</v>
      </c>
      <c r="BI30" s="6905">
        <f t="shared" si="21"/>
        <v>7248690.0000000652</v>
      </c>
      <c r="BJ30" s="6905">
        <f t="shared" si="22"/>
        <v>5831209.9999999991</v>
      </c>
    </row>
    <row r="31" spans="1:62" ht="15" customHeight="1" x14ac:dyDescent="0.2">
      <c r="A31" s="5416"/>
      <c r="B31" s="5513"/>
      <c r="C31" s="1636"/>
      <c r="D31" s="5514"/>
      <c r="E31" s="5515"/>
      <c r="G31" s="5507" t="s">
        <v>2000</v>
      </c>
      <c r="H31" s="3938" t="s">
        <v>1958</v>
      </c>
      <c r="I31" s="5549">
        <f t="shared" si="70"/>
        <v>706000.00000003201</v>
      </c>
      <c r="J31" s="5551">
        <v>706000</v>
      </c>
      <c r="K31" s="5549">
        <f t="shared" si="70"/>
        <v>613099.99999996554</v>
      </c>
      <c r="L31" s="5552">
        <v>613100.00000000035</v>
      </c>
      <c r="M31" s="5573">
        <f t="shared" si="2"/>
        <v>1319099.9999999977</v>
      </c>
      <c r="N31" s="5573">
        <f t="shared" si="2"/>
        <v>1319100.0000000005</v>
      </c>
      <c r="O31" s="5549">
        <f t="shared" ref="O31" si="109">+O79*O$3*24*1000</f>
        <v>486499.99999999971</v>
      </c>
      <c r="P31" s="5551">
        <v>486500</v>
      </c>
      <c r="Q31" s="5804">
        <f t="shared" si="3"/>
        <v>1805599.9999999974</v>
      </c>
      <c r="R31" s="5804">
        <f t="shared" si="4"/>
        <v>1805600.0000000005</v>
      </c>
      <c r="S31" s="5963">
        <f t="shared" ref="S31" si="110">+S79*S$3*24*1000</f>
        <v>744000</v>
      </c>
      <c r="T31" s="5552">
        <v>595000</v>
      </c>
      <c r="U31" s="5573">
        <f t="shared" si="5"/>
        <v>2549599.9999999972</v>
      </c>
      <c r="V31" s="5573">
        <f t="shared" si="6"/>
        <v>2400600.0000000005</v>
      </c>
      <c r="W31" s="6424">
        <f t="shared" si="73"/>
        <v>744000</v>
      </c>
      <c r="X31" s="5552">
        <v>462299.9999999993</v>
      </c>
      <c r="Y31" s="5573">
        <f t="shared" si="7"/>
        <v>3293599.9999999972</v>
      </c>
      <c r="Z31" s="5573">
        <f t="shared" si="8"/>
        <v>2862900</v>
      </c>
      <c r="AA31" s="6424">
        <f t="shared" si="74"/>
        <v>720000</v>
      </c>
      <c r="AB31" s="5552">
        <v>1041100.0000000003</v>
      </c>
      <c r="AC31" s="5803">
        <f t="shared" si="75"/>
        <v>2208000</v>
      </c>
      <c r="AD31" s="5803">
        <f t="shared" si="76"/>
        <v>2098399.9999999995</v>
      </c>
      <c r="AE31" s="6905">
        <f t="shared" si="9"/>
        <v>4013599.9999999972</v>
      </c>
      <c r="AF31" s="6905">
        <f t="shared" si="10"/>
        <v>3904000.0000000005</v>
      </c>
      <c r="AG31" s="6424">
        <f t="shared" si="77"/>
        <v>744000</v>
      </c>
      <c r="AH31" s="5552">
        <v>732599.99999999849</v>
      </c>
      <c r="AI31" s="5573">
        <f t="shared" si="11"/>
        <v>4757599.9999999972</v>
      </c>
      <c r="AJ31" s="5573">
        <f t="shared" si="12"/>
        <v>4636599.9999999991</v>
      </c>
      <c r="AK31" s="6424">
        <f t="shared" si="78"/>
        <v>720000</v>
      </c>
      <c r="AL31" s="5552">
        <v>745600.00000000035</v>
      </c>
      <c r="AM31" s="5573">
        <f t="shared" si="13"/>
        <v>5477599.9999999972</v>
      </c>
      <c r="AN31" s="5573">
        <f t="shared" si="14"/>
        <v>5382199.9999999991</v>
      </c>
      <c r="AO31" s="6424">
        <f t="shared" si="79"/>
        <v>744000</v>
      </c>
      <c r="AP31" s="5552">
        <v>1032700.0000000008</v>
      </c>
      <c r="AQ31" s="5803">
        <f t="shared" si="80"/>
        <v>2208000</v>
      </c>
      <c r="AR31" s="5803">
        <f t="shared" si="81"/>
        <v>2510899.9999999995</v>
      </c>
      <c r="AS31" s="5573">
        <f t="shared" si="15"/>
        <v>6221599.9999999972</v>
      </c>
      <c r="AT31" s="5573">
        <f t="shared" si="16"/>
        <v>6414900</v>
      </c>
      <c r="AU31" s="6424">
        <f t="shared" si="82"/>
        <v>744000</v>
      </c>
      <c r="AV31" s="5552">
        <v>925000</v>
      </c>
      <c r="AW31" s="5573">
        <f t="shared" si="17"/>
        <v>6965599.9999999972</v>
      </c>
      <c r="AX31" s="5573">
        <f t="shared" si="18"/>
        <v>7339900</v>
      </c>
      <c r="AY31" s="8197">
        <f t="shared" si="83"/>
        <v>672000</v>
      </c>
      <c r="AZ31" s="5552">
        <v>470000</v>
      </c>
      <c r="BA31" s="5573">
        <f t="shared" si="19"/>
        <v>7637599.9999999972</v>
      </c>
      <c r="BB31" s="5573">
        <f t="shared" si="20"/>
        <v>7809900</v>
      </c>
      <c r="BC31" s="8197">
        <f t="shared" si="84"/>
        <v>744000</v>
      </c>
      <c r="BD31" s="5552">
        <v>463400.00000000198</v>
      </c>
      <c r="BE31" s="5803">
        <f t="shared" si="85"/>
        <v>2160000</v>
      </c>
      <c r="BF31" s="5803">
        <f t="shared" si="86"/>
        <v>1858400.0000000019</v>
      </c>
      <c r="BG31" s="5803">
        <f t="shared" si="0"/>
        <v>4368000</v>
      </c>
      <c r="BH31" s="5803">
        <f t="shared" si="1"/>
        <v>4369300.0000000019</v>
      </c>
      <c r="BI31" s="6905">
        <f t="shared" si="21"/>
        <v>8381599.9999999972</v>
      </c>
      <c r="BJ31" s="6905">
        <f t="shared" si="22"/>
        <v>8273300.0000000019</v>
      </c>
    </row>
    <row r="32" spans="1:62" ht="15" customHeight="1" x14ac:dyDescent="0.2">
      <c r="A32" s="5416">
        <v>26</v>
      </c>
      <c r="B32" s="5513" t="s">
        <v>2001</v>
      </c>
      <c r="C32" s="1636" t="s">
        <v>703</v>
      </c>
      <c r="D32" s="5514">
        <f>[2]PPC!E55+[2]PPC!E70</f>
        <v>1110620</v>
      </c>
      <c r="E32" s="5515">
        <f>[2]PPC!F55+[2]PPC!F70</f>
        <v>1155720.0000000005</v>
      </c>
      <c r="G32" s="5507" t="s">
        <v>2002</v>
      </c>
      <c r="H32" s="3938" t="s">
        <v>1959</v>
      </c>
      <c r="I32" s="5549">
        <f t="shared" si="70"/>
        <v>865772.2000000081</v>
      </c>
      <c r="J32" s="5551">
        <v>865772.19999999972</v>
      </c>
      <c r="K32" s="5549">
        <f t="shared" si="70"/>
        <v>777589.70000003045</v>
      </c>
      <c r="L32" s="5552">
        <v>777589.69999999867</v>
      </c>
      <c r="M32" s="5573">
        <f t="shared" si="2"/>
        <v>1643361.9000000386</v>
      </c>
      <c r="N32" s="5573">
        <f t="shared" si="2"/>
        <v>1643361.8999999985</v>
      </c>
      <c r="O32" s="5549">
        <f t="shared" ref="O32" si="111">+O80*O$3*24*1000</f>
        <v>805165.99999999919</v>
      </c>
      <c r="P32" s="5551">
        <v>805166.00000000105</v>
      </c>
      <c r="Q32" s="5804">
        <f t="shared" si="3"/>
        <v>2448527.9000000376</v>
      </c>
      <c r="R32" s="5804">
        <f t="shared" si="4"/>
        <v>2448527.8999999994</v>
      </c>
      <c r="S32" s="5963">
        <f t="shared" ref="S32" si="112">+S80*S$3*24*1000</f>
        <v>1041599.9999999999</v>
      </c>
      <c r="T32" s="5552">
        <v>850545.7</v>
      </c>
      <c r="U32" s="5573">
        <f t="shared" si="5"/>
        <v>3490127.9000000376</v>
      </c>
      <c r="V32" s="5573">
        <f t="shared" si="6"/>
        <v>3299073.5999999996</v>
      </c>
      <c r="W32" s="6424">
        <f t="shared" si="73"/>
        <v>1041599.9999999999</v>
      </c>
      <c r="X32" s="5552">
        <v>862176.5000000007</v>
      </c>
      <c r="Y32" s="5573">
        <f t="shared" si="7"/>
        <v>4531727.9000000376</v>
      </c>
      <c r="Z32" s="5573">
        <f t="shared" si="8"/>
        <v>4161250.1000000006</v>
      </c>
      <c r="AA32" s="6424">
        <f t="shared" si="74"/>
        <v>1008000</v>
      </c>
      <c r="AB32" s="5552">
        <v>800348.99999999953</v>
      </c>
      <c r="AC32" s="5803">
        <f t="shared" si="75"/>
        <v>3091200</v>
      </c>
      <c r="AD32" s="5803">
        <f t="shared" si="76"/>
        <v>2513071.2000000002</v>
      </c>
      <c r="AE32" s="6905">
        <f t="shared" si="9"/>
        <v>5539727.9000000376</v>
      </c>
      <c r="AF32" s="6905">
        <f t="shared" si="10"/>
        <v>4961599.0999999996</v>
      </c>
      <c r="AG32" s="6424">
        <f t="shared" si="77"/>
        <v>1041599.9999999999</v>
      </c>
      <c r="AH32" s="5552">
        <v>837474.50000000128</v>
      </c>
      <c r="AI32" s="5573">
        <f t="shared" si="11"/>
        <v>6581327.9000000376</v>
      </c>
      <c r="AJ32" s="5573">
        <f t="shared" si="12"/>
        <v>5799073.6000000006</v>
      </c>
      <c r="AK32" s="6424">
        <f t="shared" si="78"/>
        <v>1008000</v>
      </c>
      <c r="AL32" s="5552">
        <v>777800.39999999932</v>
      </c>
      <c r="AM32" s="5573">
        <f t="shared" si="13"/>
        <v>7589327.9000000376</v>
      </c>
      <c r="AN32" s="5573">
        <f t="shared" si="14"/>
        <v>6576874</v>
      </c>
      <c r="AO32" s="6424">
        <f t="shared" si="79"/>
        <v>1041599.9999999999</v>
      </c>
      <c r="AP32" s="5552">
        <v>781434.99999999884</v>
      </c>
      <c r="AQ32" s="5803">
        <f t="shared" si="80"/>
        <v>3091200</v>
      </c>
      <c r="AR32" s="5803">
        <f t="shared" si="81"/>
        <v>2396709.8999999994</v>
      </c>
      <c r="AS32" s="5573">
        <f t="shared" si="15"/>
        <v>8630927.9000000376</v>
      </c>
      <c r="AT32" s="5573">
        <f t="shared" si="16"/>
        <v>7358308.9999999991</v>
      </c>
      <c r="AU32" s="6424">
        <f t="shared" si="82"/>
        <v>1041599.9999999999</v>
      </c>
      <c r="AV32" s="5552">
        <v>799088.40000000084</v>
      </c>
      <c r="AW32" s="5573">
        <f t="shared" si="17"/>
        <v>9672527.9000000376</v>
      </c>
      <c r="AX32" s="5573">
        <f t="shared" si="18"/>
        <v>8157397.4000000004</v>
      </c>
      <c r="AY32" s="8197">
        <f t="shared" si="83"/>
        <v>940800</v>
      </c>
      <c r="AZ32" s="5552">
        <v>750335.9</v>
      </c>
      <c r="BA32" s="5573">
        <f t="shared" si="19"/>
        <v>10613327.900000038</v>
      </c>
      <c r="BB32" s="5573">
        <f t="shared" si="20"/>
        <v>8907733.3000000007</v>
      </c>
      <c r="BC32" s="8197">
        <f t="shared" si="84"/>
        <v>1041599.9999999999</v>
      </c>
      <c r="BD32" s="5552">
        <v>844682.9</v>
      </c>
      <c r="BE32" s="5803">
        <f t="shared" si="85"/>
        <v>3024000</v>
      </c>
      <c r="BF32" s="5803">
        <f t="shared" si="86"/>
        <v>2394107.2000000007</v>
      </c>
      <c r="BG32" s="5803">
        <f t="shared" si="0"/>
        <v>6115200</v>
      </c>
      <c r="BH32" s="5803">
        <f t="shared" si="1"/>
        <v>4790817.0999999996</v>
      </c>
      <c r="BI32" s="6905">
        <f t="shared" si="21"/>
        <v>11654927.900000038</v>
      </c>
      <c r="BJ32" s="6905">
        <f t="shared" si="22"/>
        <v>9752416.2000000011</v>
      </c>
    </row>
    <row r="33" spans="1:62" s="3380" customFormat="1" ht="15" customHeight="1" x14ac:dyDescent="0.2">
      <c r="AY33" s="8201"/>
      <c r="BC33" s="8201"/>
    </row>
    <row r="34" spans="1:62" ht="15" customHeight="1" x14ac:dyDescent="0.2">
      <c r="A34" s="5416">
        <v>27</v>
      </c>
      <c r="B34" s="5513" t="s">
        <v>1957</v>
      </c>
      <c r="C34" s="1636" t="s">
        <v>703</v>
      </c>
      <c r="D34" s="5514">
        <f>[2]PPC!E43</f>
        <v>454899.99999999919</v>
      </c>
      <c r="E34" s="5515">
        <f>[2]PPC!F43</f>
        <v>444510.0000000007</v>
      </c>
      <c r="G34" s="5527" t="s">
        <v>2003</v>
      </c>
      <c r="H34" s="5528" t="s">
        <v>1960</v>
      </c>
      <c r="I34" s="5556">
        <f>SUM(I35:I38)</f>
        <v>2006210.3565999975</v>
      </c>
      <c r="J34" s="5556">
        <f>SUM(J35:J38)</f>
        <v>2006210.3566000003</v>
      </c>
      <c r="K34" s="5556">
        <f>SUM(K35:K38)</f>
        <v>2111079.1863999972</v>
      </c>
      <c r="L34" s="5557">
        <f>SUM(L35:L38)</f>
        <v>2111079.1864000005</v>
      </c>
      <c r="M34" s="5575">
        <f t="shared" si="2"/>
        <v>4117289.5429999949</v>
      </c>
      <c r="N34" s="5575">
        <f t="shared" si="2"/>
        <v>4117289.5430000005</v>
      </c>
      <c r="O34" s="5556">
        <f>SUM(O35:O38)</f>
        <v>2217616.3456000024</v>
      </c>
      <c r="P34" s="5556">
        <f>SUM(P35:P38)</f>
        <v>2217616.3455999992</v>
      </c>
      <c r="Q34" s="5807">
        <f t="shared" ref="Q34:Q46" si="113">+M34+O34</f>
        <v>6334905.8885999974</v>
      </c>
      <c r="R34" s="5807">
        <f t="shared" ref="R34:R46" si="114">+N34+P34</f>
        <v>6334905.8885999992</v>
      </c>
      <c r="S34" s="5556">
        <f>SUM(S35:S38)</f>
        <v>2747889.2280000001</v>
      </c>
      <c r="T34" s="5557">
        <f>SUM(T35:T38)</f>
        <v>2284744.7579999999</v>
      </c>
      <c r="U34" s="5575">
        <f t="shared" ref="U34:U46" si="115">+Q34+S34</f>
        <v>9082795.1165999975</v>
      </c>
      <c r="V34" s="5575">
        <f t="shared" ref="V34:V46" si="116">+R34+T34</f>
        <v>8619650.6465999987</v>
      </c>
      <c r="W34" s="5556">
        <f>SUM(W35:W38)</f>
        <v>2747889.2280000001</v>
      </c>
      <c r="X34" s="5557">
        <f>SUM(X35:X38)</f>
        <v>2325331.5720000002</v>
      </c>
      <c r="Y34" s="5575">
        <f t="shared" ref="Y34:Y46" si="117">+U34+W34</f>
        <v>11830684.344599998</v>
      </c>
      <c r="Z34" s="5575">
        <f t="shared" ref="Z34:Z46" si="118">+V34+X34</f>
        <v>10944982.218599999</v>
      </c>
      <c r="AA34" s="5556">
        <f>SUM(AA35:AA38)</f>
        <v>2659247.64</v>
      </c>
      <c r="AB34" s="5557">
        <f>SUM(AB35:AB38)</f>
        <v>2267560.3711999995</v>
      </c>
      <c r="AC34" s="5805">
        <f>+S34+W34+AA34</f>
        <v>8155026.0960000008</v>
      </c>
      <c r="AD34" s="5805">
        <f>+T34+X34+AB34</f>
        <v>6877636.7011999991</v>
      </c>
      <c r="AE34" s="6907">
        <f t="shared" ref="AE34:AE46" si="119">+Y34+AA34</f>
        <v>14489931.984599998</v>
      </c>
      <c r="AF34" s="6907">
        <f t="shared" ref="AF34:AF46" si="120">+Z34+AB34</f>
        <v>13212542.589799998</v>
      </c>
      <c r="AG34" s="5556">
        <f>SUM(AG35:AG38)</f>
        <v>2747889.2280000001</v>
      </c>
      <c r="AH34" s="5557">
        <f>SUM(AH35:AH38)</f>
        <v>2360718.6040000003</v>
      </c>
      <c r="AI34" s="5575">
        <f t="shared" ref="AI34:AI46" si="121">+AE34+AG34</f>
        <v>17237821.2126</v>
      </c>
      <c r="AJ34" s="5575">
        <f t="shared" ref="AJ34:AJ46" si="122">+AF34+AH34</f>
        <v>15573261.193799999</v>
      </c>
      <c r="AK34" s="5556">
        <f>SUM(AK35:AK38)</f>
        <v>2659247.64</v>
      </c>
      <c r="AL34" s="5557">
        <f>SUM(AL35:AL38)</f>
        <v>2127257.8011999996</v>
      </c>
      <c r="AM34" s="5575">
        <f t="shared" ref="AM34:AM46" si="123">+AI34+AK34</f>
        <v>19897068.852600001</v>
      </c>
      <c r="AN34" s="5575">
        <f t="shared" ref="AN34:AN46" si="124">+AJ34+AL34</f>
        <v>17700518.994999997</v>
      </c>
      <c r="AO34" s="5556">
        <f>SUM(AO35:AO38)</f>
        <v>2747889.2280000001</v>
      </c>
      <c r="AP34" s="5557">
        <f>SUM(AP35:AP38)</f>
        <v>2182372.9728000001</v>
      </c>
      <c r="AQ34" s="5805">
        <f>+AG34+AK34+AO34</f>
        <v>8155026.0960000008</v>
      </c>
      <c r="AR34" s="5805">
        <f>+AH34+AL34+AP34</f>
        <v>6670349.3780000005</v>
      </c>
      <c r="AS34" s="5575">
        <f t="shared" ref="AS34:AS46" si="125">+AM34+AO34</f>
        <v>22644958.080600001</v>
      </c>
      <c r="AT34" s="5575">
        <f t="shared" ref="AT34:AT46" si="126">+AN34+AP34</f>
        <v>19882891.967799999</v>
      </c>
      <c r="AU34" s="5556">
        <f>SUM(AU35:AU38)</f>
        <v>2747889.2280000001</v>
      </c>
      <c r="AV34" s="5557">
        <f>SUM(AV35:AV38)</f>
        <v>2188440.7520000003</v>
      </c>
      <c r="AW34" s="5575">
        <f t="shared" ref="AW34:AW46" si="127">+AS34+AU34</f>
        <v>25392847.308600001</v>
      </c>
      <c r="AX34" s="5575">
        <f t="shared" ref="AX34:AX46" si="128">+AT34+AV34</f>
        <v>22071332.719799999</v>
      </c>
      <c r="AY34" s="8200">
        <f>SUM(AY35:AY38)</f>
        <v>2481964.4639999997</v>
      </c>
      <c r="AZ34" s="5557">
        <f>SUM(AZ35:AZ38)</f>
        <v>1709786.7139999999</v>
      </c>
      <c r="BA34" s="5575">
        <f t="shared" ref="BA34:BA46" si="129">+AW34+AY34</f>
        <v>27874811.772600003</v>
      </c>
      <c r="BB34" s="5575">
        <f t="shared" ref="BB34:BB46" si="130">+AX34+AZ34</f>
        <v>23781119.433800001</v>
      </c>
      <c r="BC34" s="8200">
        <f>SUM(BC35:BC38)</f>
        <v>2747889.2280000001</v>
      </c>
      <c r="BD34" s="5557">
        <f>SUM(BD35:BD38)</f>
        <v>2082122</v>
      </c>
      <c r="BE34" s="5805">
        <f>+AU34+AY34+BC34</f>
        <v>7977742.9199999999</v>
      </c>
      <c r="BF34" s="5805">
        <f>+AV34+AZ34+BD34</f>
        <v>5980349.466</v>
      </c>
      <c r="BG34" s="5805">
        <f t="shared" ref="BG34:BG46" si="131">+BE34+AQ34</f>
        <v>16132769.016000001</v>
      </c>
      <c r="BH34" s="5805">
        <f t="shared" ref="BH34:BH46" si="132">+BF34+AR34</f>
        <v>12650698.844000001</v>
      </c>
      <c r="BI34" s="6907">
        <f t="shared" ref="BI34:BI46" si="133">+BA34+BC34</f>
        <v>30622701.000600003</v>
      </c>
      <c r="BJ34" s="6907">
        <f t="shared" ref="BJ34:BJ46" si="134">+BB34+BD34</f>
        <v>25863241.433800001</v>
      </c>
    </row>
    <row r="35" spans="1:62" ht="15" customHeight="1" x14ac:dyDescent="0.2">
      <c r="A35" s="5416">
        <v>28</v>
      </c>
      <c r="B35" s="5529" t="s">
        <v>1962</v>
      </c>
      <c r="C35" s="1636" t="s">
        <v>703</v>
      </c>
      <c r="D35" s="5514">
        <f>[2]PPC!E66</f>
        <v>644972.74900000007</v>
      </c>
      <c r="E35" s="5515">
        <f>[2]PPC!F66</f>
        <v>646895.54300000006</v>
      </c>
      <c r="G35" s="5507" t="s">
        <v>2004</v>
      </c>
      <c r="H35" s="3938" t="s">
        <v>1961</v>
      </c>
      <c r="I35" s="5549">
        <f t="shared" ref="I35:K38" si="135">+I83*I$3*24*1000</f>
        <v>1093289.9999999974</v>
      </c>
      <c r="J35" s="5551">
        <v>1093290</v>
      </c>
      <c r="K35" s="5549">
        <f t="shared" si="135"/>
        <v>1171532.7999999973</v>
      </c>
      <c r="L35" s="5552">
        <v>1171532.8</v>
      </c>
      <c r="M35" s="5573">
        <f t="shared" si="2"/>
        <v>2264822.7999999947</v>
      </c>
      <c r="N35" s="5573">
        <f t="shared" si="2"/>
        <v>2264822.7999999998</v>
      </c>
      <c r="O35" s="5549">
        <f t="shared" ref="O35" si="136">+O83*O$3*24*1000</f>
        <v>1243012.0000000033</v>
      </c>
      <c r="P35" s="5551">
        <v>1243012</v>
      </c>
      <c r="Q35" s="5804">
        <f t="shared" si="113"/>
        <v>3507834.799999998</v>
      </c>
      <c r="R35" s="5804">
        <f t="shared" si="114"/>
        <v>3507834.8</v>
      </c>
      <c r="S35" s="5551">
        <f t="shared" ref="S35" si="137">+S83*S$3*24*1000</f>
        <v>1594689.2280000001</v>
      </c>
      <c r="T35" s="5552">
        <v>1324053</v>
      </c>
      <c r="U35" s="5573">
        <f t="shared" si="115"/>
        <v>5102524.0279999981</v>
      </c>
      <c r="V35" s="5573">
        <f t="shared" si="116"/>
        <v>4831887.8</v>
      </c>
      <c r="W35" s="5551">
        <f t="shared" ref="W35:W38" si="138">+W83*W$3*24*1000</f>
        <v>1594689.2280000001</v>
      </c>
      <c r="X35" s="5552">
        <v>1322643.1099999999</v>
      </c>
      <c r="Y35" s="5573">
        <f t="shared" si="117"/>
        <v>6697213.2559999982</v>
      </c>
      <c r="Z35" s="5573">
        <f t="shared" si="118"/>
        <v>6154530.9100000001</v>
      </c>
      <c r="AA35" s="5551">
        <f t="shared" ref="AA35:AA38" si="139">+AA83*AA$3*24*1000</f>
        <v>1543247.6400000001</v>
      </c>
      <c r="AB35" s="5552">
        <v>1316970</v>
      </c>
      <c r="AC35" s="5803">
        <f t="shared" ref="AC35:AC38" si="140">+S35+W35+AA35</f>
        <v>4732626.0960000008</v>
      </c>
      <c r="AD35" s="5803">
        <f t="shared" ref="AD35:AD38" si="141">+T35+X35+AB35</f>
        <v>3963666.11</v>
      </c>
      <c r="AE35" s="6905">
        <f t="shared" si="119"/>
        <v>8240460.8959999979</v>
      </c>
      <c r="AF35" s="6905">
        <f t="shared" si="120"/>
        <v>7471500.9100000001</v>
      </c>
      <c r="AG35" s="5551">
        <f t="shared" ref="AG35:AG38" si="142">+AG83*AG$3*24*1000</f>
        <v>1594689.2280000001</v>
      </c>
      <c r="AH35" s="5552">
        <v>1340496</v>
      </c>
      <c r="AI35" s="5573">
        <f t="shared" si="121"/>
        <v>9835150.123999998</v>
      </c>
      <c r="AJ35" s="5573">
        <f t="shared" si="122"/>
        <v>8811996.9100000001</v>
      </c>
      <c r="AK35" s="5551">
        <f t="shared" ref="AK35:AK38" si="143">+AK83*AK$3*24*1000</f>
        <v>1543247.6400000001</v>
      </c>
      <c r="AL35" s="5552">
        <v>1264374</v>
      </c>
      <c r="AM35" s="5573">
        <f t="shared" si="123"/>
        <v>11378397.763999999</v>
      </c>
      <c r="AN35" s="5573">
        <f t="shared" si="124"/>
        <v>10076370.91</v>
      </c>
      <c r="AO35" s="5551">
        <f t="shared" ref="AO35:AO38" si="144">+AO83*AO$3*24*1000</f>
        <v>1594689.2280000001</v>
      </c>
      <c r="AP35" s="5552">
        <v>1307027</v>
      </c>
      <c r="AQ35" s="5803">
        <f t="shared" ref="AQ35:AQ40" si="145">+AG35+AK35+AO35</f>
        <v>4732626.0960000008</v>
      </c>
      <c r="AR35" s="5803">
        <f t="shared" ref="AR35:AR40" si="146">+AH35+AL35+AP35</f>
        <v>3911897</v>
      </c>
      <c r="AS35" s="5573">
        <f t="shared" si="125"/>
        <v>12973086.991999999</v>
      </c>
      <c r="AT35" s="5573">
        <f t="shared" si="126"/>
        <v>11383397.91</v>
      </c>
      <c r="AU35" s="5551">
        <f t="shared" ref="AU35:AU38" si="147">+AU83*AU$3*24*1000</f>
        <v>1594689.2280000001</v>
      </c>
      <c r="AV35" s="5552">
        <v>1298527</v>
      </c>
      <c r="AW35" s="5573">
        <f t="shared" si="127"/>
        <v>14567776.219999999</v>
      </c>
      <c r="AX35" s="5573">
        <f t="shared" si="128"/>
        <v>12681924.91</v>
      </c>
      <c r="AY35" s="8198">
        <f t="shared" ref="AY35:AY38" si="148">+AY83*AY$3*24*1000</f>
        <v>1440364.4639999999</v>
      </c>
      <c r="AZ35" s="5552">
        <v>1153994</v>
      </c>
      <c r="BA35" s="5573">
        <f t="shared" si="129"/>
        <v>16008140.683999998</v>
      </c>
      <c r="BB35" s="5573">
        <f t="shared" si="130"/>
        <v>13835918.91</v>
      </c>
      <c r="BC35" s="8198">
        <f t="shared" ref="BC35:BC38" si="149">+BC83*BC$3*24*1000</f>
        <v>1594689.2280000001</v>
      </c>
      <c r="BD35" s="5552">
        <v>1345277</v>
      </c>
      <c r="BE35" s="5803">
        <f t="shared" ref="BE35:BE40" si="150">+AU35+AY35+BC35</f>
        <v>4629742.92</v>
      </c>
      <c r="BF35" s="5803">
        <f t="shared" ref="BF35:BF40" si="151">+AV35+AZ35+BD35</f>
        <v>3797798</v>
      </c>
      <c r="BG35" s="5803">
        <f t="shared" si="131"/>
        <v>9362369.0160000008</v>
      </c>
      <c r="BH35" s="5803">
        <f t="shared" si="132"/>
        <v>7709695</v>
      </c>
      <c r="BI35" s="6905">
        <f t="shared" si="133"/>
        <v>17602829.912</v>
      </c>
      <c r="BJ35" s="6905">
        <f t="shared" si="134"/>
        <v>15181195.91</v>
      </c>
    </row>
    <row r="36" spans="1:62" ht="15" customHeight="1" x14ac:dyDescent="0.2">
      <c r="A36" s="5416">
        <v>29</v>
      </c>
      <c r="B36" s="5529" t="s">
        <v>1963</v>
      </c>
      <c r="C36" s="1636" t="s">
        <v>703</v>
      </c>
      <c r="D36" s="5514">
        <f>[2]PPC!E67</f>
        <v>187023.60760000031</v>
      </c>
      <c r="E36" s="5515">
        <f>[2]PPC!F67</f>
        <v>184126.8434000003</v>
      </c>
      <c r="G36" s="5507" t="s">
        <v>2005</v>
      </c>
      <c r="H36" s="3938" t="s">
        <v>1962</v>
      </c>
      <c r="I36" s="5549">
        <f t="shared" si="135"/>
        <v>644972.74899999995</v>
      </c>
      <c r="J36" s="5551">
        <v>644972.74900000007</v>
      </c>
      <c r="K36" s="5549">
        <f t="shared" si="135"/>
        <v>646895.54299999995</v>
      </c>
      <c r="L36" s="5552">
        <v>646895.54300000006</v>
      </c>
      <c r="M36" s="5573">
        <f t="shared" si="2"/>
        <v>1291868.2919999999</v>
      </c>
      <c r="N36" s="5573">
        <f t="shared" si="2"/>
        <v>1291868.2920000001</v>
      </c>
      <c r="O36" s="5549">
        <f t="shared" ref="O36" si="152">+O84*O$3*24*1000</f>
        <v>642008.00000000012</v>
      </c>
      <c r="P36" s="5551">
        <v>642008</v>
      </c>
      <c r="Q36" s="5804">
        <f t="shared" si="113"/>
        <v>1933876.2919999999</v>
      </c>
      <c r="R36" s="5804">
        <f t="shared" si="114"/>
        <v>1933876.2920000001</v>
      </c>
      <c r="S36" s="5963">
        <f t="shared" ref="S36" si="153">+S84*S$3*24*1000</f>
        <v>669600</v>
      </c>
      <c r="T36" s="5552">
        <v>635134</v>
      </c>
      <c r="U36" s="5573">
        <f t="shared" si="115"/>
        <v>2603476.2919999999</v>
      </c>
      <c r="V36" s="5573">
        <f t="shared" si="116"/>
        <v>2569010.2920000004</v>
      </c>
      <c r="W36" s="6424">
        <f t="shared" si="138"/>
        <v>669600</v>
      </c>
      <c r="X36" s="5552">
        <v>652916.99100000004</v>
      </c>
      <c r="Y36" s="5573">
        <f t="shared" si="117"/>
        <v>3273076.2919999999</v>
      </c>
      <c r="Z36" s="5573">
        <f t="shared" si="118"/>
        <v>3221927.2830000003</v>
      </c>
      <c r="AA36" s="6424">
        <f t="shared" si="139"/>
        <v>648000</v>
      </c>
      <c r="AB36" s="5552">
        <v>685735</v>
      </c>
      <c r="AC36" s="5803">
        <f t="shared" si="140"/>
        <v>1987200</v>
      </c>
      <c r="AD36" s="5803">
        <f t="shared" si="141"/>
        <v>1973785.9909999999</v>
      </c>
      <c r="AE36" s="6905">
        <f t="shared" si="119"/>
        <v>3921076.2919999999</v>
      </c>
      <c r="AF36" s="6905">
        <f t="shared" si="120"/>
        <v>3907662.2830000003</v>
      </c>
      <c r="AG36" s="6424">
        <f t="shared" si="142"/>
        <v>669600</v>
      </c>
      <c r="AH36" s="5552">
        <v>723702</v>
      </c>
      <c r="AI36" s="5573">
        <f t="shared" si="121"/>
        <v>4590676.2919999994</v>
      </c>
      <c r="AJ36" s="5573">
        <f t="shared" si="122"/>
        <v>4631364.2829999998</v>
      </c>
      <c r="AK36" s="6424">
        <f t="shared" si="143"/>
        <v>648000</v>
      </c>
      <c r="AL36" s="5552">
        <v>591314.30000000005</v>
      </c>
      <c r="AM36" s="5573">
        <f t="shared" si="123"/>
        <v>5238676.2919999994</v>
      </c>
      <c r="AN36" s="5573">
        <f t="shared" si="124"/>
        <v>5222678.5829999996</v>
      </c>
      <c r="AO36" s="6424">
        <f t="shared" si="144"/>
        <v>669600</v>
      </c>
      <c r="AP36" s="5552">
        <v>635525</v>
      </c>
      <c r="AQ36" s="5803">
        <f t="shared" si="145"/>
        <v>1987200</v>
      </c>
      <c r="AR36" s="5803">
        <f t="shared" si="146"/>
        <v>1950541.3</v>
      </c>
      <c r="AS36" s="5573">
        <f t="shared" si="125"/>
        <v>5908276.2919999994</v>
      </c>
      <c r="AT36" s="5573">
        <f t="shared" si="126"/>
        <v>5858203.5829999996</v>
      </c>
      <c r="AU36" s="6424">
        <f t="shared" si="147"/>
        <v>669600</v>
      </c>
      <c r="AV36" s="5552">
        <v>632383</v>
      </c>
      <c r="AW36" s="5573">
        <f t="shared" si="127"/>
        <v>6577876.2919999994</v>
      </c>
      <c r="AX36" s="5573">
        <f t="shared" si="128"/>
        <v>6490586.5829999996</v>
      </c>
      <c r="AY36" s="8197">
        <f t="shared" si="148"/>
        <v>604800</v>
      </c>
      <c r="AZ36" s="5552">
        <v>258407</v>
      </c>
      <c r="BA36" s="5573">
        <f t="shared" si="129"/>
        <v>7182676.2919999994</v>
      </c>
      <c r="BB36" s="5573">
        <f t="shared" si="130"/>
        <v>6748993.5829999996</v>
      </c>
      <c r="BC36" s="8197">
        <f t="shared" si="149"/>
        <v>669600</v>
      </c>
      <c r="BD36" s="5552">
        <v>393223</v>
      </c>
      <c r="BE36" s="5803">
        <f t="shared" si="150"/>
        <v>1944000</v>
      </c>
      <c r="BF36" s="5803">
        <f t="shared" si="151"/>
        <v>1284013</v>
      </c>
      <c r="BG36" s="5803">
        <f t="shared" si="131"/>
        <v>3931200</v>
      </c>
      <c r="BH36" s="5803">
        <f t="shared" si="132"/>
        <v>3234554.3</v>
      </c>
      <c r="BI36" s="6905">
        <f t="shared" si="133"/>
        <v>7852276.2919999994</v>
      </c>
      <c r="BJ36" s="6905">
        <f t="shared" si="134"/>
        <v>7142216.5829999996</v>
      </c>
    </row>
    <row r="37" spans="1:62" ht="15" customHeight="1" x14ac:dyDescent="0.2">
      <c r="A37" s="5416">
        <v>30</v>
      </c>
      <c r="B37" s="5529" t="s">
        <v>1969</v>
      </c>
      <c r="C37" s="1636" t="s">
        <v>703</v>
      </c>
      <c r="D37" s="5514">
        <f>[2]PPC!E68</f>
        <v>339821.83539999893</v>
      </c>
      <c r="E37" s="5515">
        <f>[2]PPC!F68</f>
        <v>349899.85260000126</v>
      </c>
      <c r="G37" s="5507" t="s">
        <v>2006</v>
      </c>
      <c r="H37" s="3938" t="s">
        <v>1963</v>
      </c>
      <c r="I37" s="5549">
        <f t="shared" si="135"/>
        <v>187023.60760000031</v>
      </c>
      <c r="J37" s="5551">
        <v>187023.60760000031</v>
      </c>
      <c r="K37" s="5549">
        <f t="shared" si="135"/>
        <v>184126.84340000042</v>
      </c>
      <c r="L37" s="5552">
        <v>184126.8434000003</v>
      </c>
      <c r="M37" s="5573">
        <f t="shared" si="2"/>
        <v>371150.4510000007</v>
      </c>
      <c r="N37" s="5573">
        <f t="shared" si="2"/>
        <v>371150.45100000058</v>
      </c>
      <c r="O37" s="5549">
        <f t="shared" ref="O37" si="154">+O85*O$3*24*1000</f>
        <v>212872.34559999956</v>
      </c>
      <c r="P37" s="5551">
        <v>212872.34559999936</v>
      </c>
      <c r="Q37" s="5804">
        <f t="shared" si="113"/>
        <v>584022.79660000023</v>
      </c>
      <c r="R37" s="5804">
        <f t="shared" si="114"/>
        <v>584022.7966</v>
      </c>
      <c r="S37" s="5963">
        <f t="shared" ref="S37" si="155">+S85*S$3*24*1000</f>
        <v>372000</v>
      </c>
      <c r="T37" s="5552">
        <v>217747.75799999997</v>
      </c>
      <c r="U37" s="5573">
        <f t="shared" si="115"/>
        <v>956022.79660000023</v>
      </c>
      <c r="V37" s="5573">
        <f t="shared" si="116"/>
        <v>801770.55459999992</v>
      </c>
      <c r="W37" s="6424">
        <f t="shared" si="138"/>
        <v>372000</v>
      </c>
      <c r="X37" s="5552">
        <v>211509.4710000004</v>
      </c>
      <c r="Y37" s="5573">
        <f t="shared" si="117"/>
        <v>1328022.7966000002</v>
      </c>
      <c r="Z37" s="5573">
        <f t="shared" si="118"/>
        <v>1013280.0256000003</v>
      </c>
      <c r="AA37" s="6424">
        <f t="shared" si="139"/>
        <v>360000</v>
      </c>
      <c r="AB37" s="5552">
        <v>208653.37119999959</v>
      </c>
      <c r="AC37" s="5803">
        <f t="shared" si="140"/>
        <v>1104000</v>
      </c>
      <c r="AD37" s="5803">
        <f t="shared" si="141"/>
        <v>637910.60019999999</v>
      </c>
      <c r="AE37" s="6905">
        <f t="shared" si="119"/>
        <v>1688022.7966000002</v>
      </c>
      <c r="AF37" s="6905">
        <f t="shared" si="120"/>
        <v>1221933.3967999998</v>
      </c>
      <c r="AG37" s="6424">
        <f t="shared" si="142"/>
        <v>372000</v>
      </c>
      <c r="AH37" s="5552">
        <v>209682.60400000046</v>
      </c>
      <c r="AI37" s="5573">
        <f t="shared" si="121"/>
        <v>2060022.7966000002</v>
      </c>
      <c r="AJ37" s="5573">
        <f t="shared" si="122"/>
        <v>1431616.0008000003</v>
      </c>
      <c r="AK37" s="6424">
        <f t="shared" si="143"/>
        <v>360000</v>
      </c>
      <c r="AL37" s="5552">
        <v>193605.70119999978</v>
      </c>
      <c r="AM37" s="5573">
        <f t="shared" si="123"/>
        <v>2420022.7966</v>
      </c>
      <c r="AN37" s="5573">
        <f t="shared" si="124"/>
        <v>1625221.702</v>
      </c>
      <c r="AO37" s="6424">
        <f t="shared" si="144"/>
        <v>372000</v>
      </c>
      <c r="AP37" s="5552">
        <v>195798.37279999995</v>
      </c>
      <c r="AQ37" s="5803">
        <f t="shared" si="145"/>
        <v>1104000</v>
      </c>
      <c r="AR37" s="5803">
        <f t="shared" si="146"/>
        <v>599086.67800000019</v>
      </c>
      <c r="AS37" s="5573">
        <f t="shared" si="125"/>
        <v>2792022.7966</v>
      </c>
      <c r="AT37" s="5573">
        <f t="shared" si="126"/>
        <v>1821020.0748000001</v>
      </c>
      <c r="AU37" s="6424">
        <f t="shared" si="147"/>
        <v>372000</v>
      </c>
      <c r="AV37" s="5552">
        <v>199100.7520000005</v>
      </c>
      <c r="AW37" s="5573">
        <f t="shared" si="127"/>
        <v>3164022.7966</v>
      </c>
      <c r="AX37" s="5573">
        <f t="shared" si="128"/>
        <v>2020120.8268000006</v>
      </c>
      <c r="AY37" s="8197">
        <f t="shared" si="148"/>
        <v>336000</v>
      </c>
      <c r="AZ37" s="5552">
        <v>181751.71400000001</v>
      </c>
      <c r="BA37" s="5573">
        <f t="shared" si="129"/>
        <v>3500022.7966</v>
      </c>
      <c r="BB37" s="5573">
        <f t="shared" si="130"/>
        <v>2201872.5408000005</v>
      </c>
      <c r="BC37" s="8197">
        <f t="shared" si="149"/>
        <v>372000</v>
      </c>
      <c r="BD37" s="5552">
        <v>196515</v>
      </c>
      <c r="BE37" s="5803">
        <f t="shared" si="150"/>
        <v>1080000</v>
      </c>
      <c r="BF37" s="5803">
        <f t="shared" si="151"/>
        <v>577367.46600000048</v>
      </c>
      <c r="BG37" s="5803">
        <f t="shared" si="131"/>
        <v>2184000</v>
      </c>
      <c r="BH37" s="5803">
        <f t="shared" si="132"/>
        <v>1176454.1440000008</v>
      </c>
      <c r="BI37" s="6905">
        <f t="shared" si="133"/>
        <v>3872022.7966</v>
      </c>
      <c r="BJ37" s="6905">
        <f t="shared" si="134"/>
        <v>2398387.5408000005</v>
      </c>
    </row>
    <row r="38" spans="1:62" ht="15" customHeight="1" x14ac:dyDescent="0.2">
      <c r="A38" s="5416"/>
      <c r="B38" s="5529"/>
      <c r="C38" s="1637"/>
      <c r="D38" s="5514"/>
      <c r="E38" s="5515"/>
      <c r="G38" s="5507" t="s">
        <v>2006</v>
      </c>
      <c r="H38" s="3938" t="s">
        <v>1964</v>
      </c>
      <c r="I38" s="5549">
        <f t="shared" si="135"/>
        <v>80923.99999999968</v>
      </c>
      <c r="J38" s="5551">
        <v>80924</v>
      </c>
      <c r="K38" s="5549">
        <f t="shared" si="135"/>
        <v>108523.99999999967</v>
      </c>
      <c r="L38" s="5552">
        <v>108524</v>
      </c>
      <c r="M38" s="5573">
        <f t="shared" si="2"/>
        <v>189447.99999999936</v>
      </c>
      <c r="N38" s="5573">
        <f t="shared" si="2"/>
        <v>189448</v>
      </c>
      <c r="O38" s="5549">
        <f t="shared" ref="O38" si="156">+O86*O$3*24*1000</f>
        <v>119723.99999999977</v>
      </c>
      <c r="P38" s="5551">
        <v>119724</v>
      </c>
      <c r="Q38" s="5804">
        <f t="shared" si="113"/>
        <v>309171.99999999913</v>
      </c>
      <c r="R38" s="5804">
        <f t="shared" si="114"/>
        <v>309172</v>
      </c>
      <c r="S38" s="5963">
        <f t="shared" ref="S38" si="157">+S86*S$3*24*1000</f>
        <v>111600</v>
      </c>
      <c r="T38" s="5552">
        <v>107810</v>
      </c>
      <c r="U38" s="5573">
        <f t="shared" si="115"/>
        <v>420771.99999999913</v>
      </c>
      <c r="V38" s="5573">
        <f t="shared" si="116"/>
        <v>416982</v>
      </c>
      <c r="W38" s="6424">
        <f t="shared" si="138"/>
        <v>111600</v>
      </c>
      <c r="X38" s="5552">
        <v>138262</v>
      </c>
      <c r="Y38" s="5573">
        <f t="shared" si="117"/>
        <v>532371.99999999907</v>
      </c>
      <c r="Z38" s="5573">
        <f t="shared" si="118"/>
        <v>555244</v>
      </c>
      <c r="AA38" s="6424">
        <f t="shared" si="139"/>
        <v>108000</v>
      </c>
      <c r="AB38" s="5552">
        <v>56202</v>
      </c>
      <c r="AC38" s="5803">
        <f t="shared" si="140"/>
        <v>331200</v>
      </c>
      <c r="AD38" s="5803">
        <f t="shared" si="141"/>
        <v>302274</v>
      </c>
      <c r="AE38" s="6905">
        <f t="shared" si="119"/>
        <v>640371.99999999907</v>
      </c>
      <c r="AF38" s="6905">
        <f t="shared" si="120"/>
        <v>611446</v>
      </c>
      <c r="AG38" s="6424">
        <f t="shared" si="142"/>
        <v>111600</v>
      </c>
      <c r="AH38" s="5552">
        <v>86838</v>
      </c>
      <c r="AI38" s="5573">
        <f t="shared" si="121"/>
        <v>751971.99999999907</v>
      </c>
      <c r="AJ38" s="5573">
        <f t="shared" si="122"/>
        <v>698284</v>
      </c>
      <c r="AK38" s="6424">
        <f t="shared" si="143"/>
        <v>108000</v>
      </c>
      <c r="AL38" s="5552">
        <v>77963.8</v>
      </c>
      <c r="AM38" s="5573">
        <f t="shared" si="123"/>
        <v>859971.99999999907</v>
      </c>
      <c r="AN38" s="5573">
        <f t="shared" si="124"/>
        <v>776247.8</v>
      </c>
      <c r="AO38" s="6424">
        <f t="shared" si="144"/>
        <v>111600</v>
      </c>
      <c r="AP38" s="5552">
        <v>44022.600000000006</v>
      </c>
      <c r="AQ38" s="5803">
        <f t="shared" si="145"/>
        <v>331200</v>
      </c>
      <c r="AR38" s="5803">
        <f t="shared" si="146"/>
        <v>208824.4</v>
      </c>
      <c r="AS38" s="5573">
        <f t="shared" si="125"/>
        <v>971571.99999999907</v>
      </c>
      <c r="AT38" s="5573">
        <f t="shared" si="126"/>
        <v>820270.4</v>
      </c>
      <c r="AU38" s="6424">
        <f t="shared" si="147"/>
        <v>111600</v>
      </c>
      <c r="AV38" s="5552">
        <v>58430</v>
      </c>
      <c r="AW38" s="5573">
        <f t="shared" si="127"/>
        <v>1083171.9999999991</v>
      </c>
      <c r="AX38" s="5573">
        <f t="shared" si="128"/>
        <v>878700.4</v>
      </c>
      <c r="AY38" s="8197">
        <f t="shared" si="148"/>
        <v>100800.00000000001</v>
      </c>
      <c r="AZ38" s="5552">
        <v>115634</v>
      </c>
      <c r="BA38" s="5573">
        <f t="shared" si="129"/>
        <v>1183971.9999999991</v>
      </c>
      <c r="BB38" s="5573">
        <f t="shared" si="130"/>
        <v>994334.4</v>
      </c>
      <c r="BC38" s="8197">
        <f t="shared" si="149"/>
        <v>111600</v>
      </c>
      <c r="BD38" s="5552">
        <v>147107</v>
      </c>
      <c r="BE38" s="5803">
        <f t="shared" si="150"/>
        <v>324000</v>
      </c>
      <c r="BF38" s="5803">
        <f t="shared" si="151"/>
        <v>321171</v>
      </c>
      <c r="BG38" s="5803">
        <f t="shared" si="131"/>
        <v>655200</v>
      </c>
      <c r="BH38" s="5803">
        <f t="shared" si="132"/>
        <v>529995.4</v>
      </c>
      <c r="BI38" s="6905">
        <f t="shared" si="133"/>
        <v>1295571.9999999991</v>
      </c>
      <c r="BJ38" s="6905">
        <f t="shared" si="134"/>
        <v>1141441.3999999999</v>
      </c>
    </row>
    <row r="39" spans="1:62" ht="17" thickBot="1" x14ac:dyDescent="0.25">
      <c r="A39" s="5416">
        <v>31</v>
      </c>
      <c r="B39" s="5513" t="s">
        <v>1959</v>
      </c>
      <c r="C39" s="1637" t="s">
        <v>703</v>
      </c>
      <c r="D39" s="5514">
        <f>SUM([2]PPC!E57:E59)</f>
        <v>865772.19999999972</v>
      </c>
      <c r="E39" s="5515">
        <f>SUM([2]PPC!F57:F59)</f>
        <v>777589.69999999867</v>
      </c>
      <c r="G39" s="5527">
        <v>4.2</v>
      </c>
      <c r="H39" s="5528" t="s">
        <v>1965</v>
      </c>
      <c r="I39" s="5556">
        <f>I40+I42</f>
        <v>8655530.6353999991</v>
      </c>
      <c r="J39" s="5556">
        <f>J40+J42</f>
        <v>8655530.635400001</v>
      </c>
      <c r="K39" s="5556">
        <f>K40+K42</f>
        <v>9111150.8525999989</v>
      </c>
      <c r="L39" s="5557">
        <f>L40+L42</f>
        <v>9111021.2936000004</v>
      </c>
      <c r="M39" s="5575">
        <f t="shared" si="2"/>
        <v>17766681.487999998</v>
      </c>
      <c r="N39" s="5575">
        <f t="shared" si="2"/>
        <v>17766551.929000001</v>
      </c>
      <c r="O39" s="5556">
        <f>O40+O42</f>
        <v>9131714.3204000015</v>
      </c>
      <c r="P39" s="5556">
        <f>P40+P42</f>
        <v>9131714.3203999996</v>
      </c>
      <c r="Q39" s="5807">
        <f t="shared" si="113"/>
        <v>26898395.808399998</v>
      </c>
      <c r="R39" s="5807">
        <f t="shared" si="114"/>
        <v>26898266.249400001</v>
      </c>
      <c r="S39" s="5556">
        <f>S40+S42</f>
        <v>9913800</v>
      </c>
      <c r="T39" s="5557">
        <f>T40+T42</f>
        <v>9490248.5519999992</v>
      </c>
      <c r="U39" s="5575">
        <f t="shared" si="115"/>
        <v>36812195.808399998</v>
      </c>
      <c r="V39" s="5575">
        <f t="shared" si="116"/>
        <v>36388514.801399998</v>
      </c>
      <c r="W39" s="5556">
        <f>W40+W42</f>
        <v>9913800</v>
      </c>
      <c r="X39" s="5557">
        <f>X40+X42</f>
        <v>9716113.5089999977</v>
      </c>
      <c r="Y39" s="5575">
        <f t="shared" si="117"/>
        <v>46725995.808399998</v>
      </c>
      <c r="Z39" s="5575">
        <f t="shared" si="118"/>
        <v>46104628.310399994</v>
      </c>
      <c r="AA39" s="5556">
        <f>AA40+AA42</f>
        <v>9594000</v>
      </c>
      <c r="AB39" s="5557">
        <f>AB40+AB42</f>
        <v>9002507.051800007</v>
      </c>
      <c r="AC39" s="5805">
        <f t="shared" ref="AC39:AC40" si="158">+S39+W39+AA39</f>
        <v>29421600</v>
      </c>
      <c r="AD39" s="5805">
        <f t="shared" ref="AD39:AD40" si="159">+T39+X39+AB39</f>
        <v>28208869.112800002</v>
      </c>
      <c r="AE39" s="6907">
        <f t="shared" si="119"/>
        <v>56319995.808399998</v>
      </c>
      <c r="AF39" s="6907">
        <f t="shared" si="120"/>
        <v>55107135.362199999</v>
      </c>
      <c r="AG39" s="5556">
        <f>AG40+AG42</f>
        <v>9913800</v>
      </c>
      <c r="AH39" s="5557">
        <f>AH40+AH42</f>
        <v>9372142.6999999974</v>
      </c>
      <c r="AI39" s="5575">
        <f t="shared" si="121"/>
        <v>66233795.808399998</v>
      </c>
      <c r="AJ39" s="5575">
        <f t="shared" si="122"/>
        <v>64479278.062199995</v>
      </c>
      <c r="AK39" s="5556">
        <f>AK40+AK42</f>
        <v>9594000</v>
      </c>
      <c r="AL39" s="5557">
        <f>AL40+AL42</f>
        <v>8248561.1738000028</v>
      </c>
      <c r="AM39" s="5575">
        <f t="shared" si="123"/>
        <v>75827795.808400005</v>
      </c>
      <c r="AN39" s="5575">
        <f t="shared" si="124"/>
        <v>72727839.236000001</v>
      </c>
      <c r="AO39" s="5556">
        <f>AO40+AO42</f>
        <v>9913800</v>
      </c>
      <c r="AP39" s="5557">
        <f>AP40+AP42</f>
        <v>8549747.8341999985</v>
      </c>
      <c r="AQ39" s="5805">
        <f t="shared" si="145"/>
        <v>29421600</v>
      </c>
      <c r="AR39" s="5805">
        <f t="shared" si="146"/>
        <v>26170451.708000001</v>
      </c>
      <c r="AS39" s="5575">
        <f t="shared" si="125"/>
        <v>85741595.808400005</v>
      </c>
      <c r="AT39" s="5575">
        <f t="shared" si="126"/>
        <v>81277587.070199996</v>
      </c>
      <c r="AU39" s="5556">
        <f>AU40+AU42</f>
        <v>9913800</v>
      </c>
      <c r="AV39" s="5557">
        <f>AV40+AV42</f>
        <v>8957610.257000003</v>
      </c>
      <c r="AW39" s="5575">
        <f t="shared" si="127"/>
        <v>95655395.808400005</v>
      </c>
      <c r="AX39" s="5575">
        <f t="shared" si="128"/>
        <v>90235197.327199996</v>
      </c>
      <c r="AY39" s="8200">
        <f>AY40+AY42</f>
        <v>8954400</v>
      </c>
      <c r="AZ39" s="5557">
        <f>AZ40+AZ42</f>
        <v>8592008.4820000008</v>
      </c>
      <c r="BA39" s="5575">
        <f t="shared" si="129"/>
        <v>104609795.80840001</v>
      </c>
      <c r="BB39" s="5575">
        <f t="shared" si="130"/>
        <v>98827205.809199989</v>
      </c>
      <c r="BC39" s="8200">
        <f>BC40+BC42</f>
        <v>9913800</v>
      </c>
      <c r="BD39" s="5557">
        <f>BD40+BD42</f>
        <v>9654148.7980000004</v>
      </c>
      <c r="BE39" s="5805">
        <f t="shared" si="150"/>
        <v>28782000</v>
      </c>
      <c r="BF39" s="5805">
        <f t="shared" si="151"/>
        <v>27203767.537000004</v>
      </c>
      <c r="BG39" s="5805">
        <f t="shared" si="131"/>
        <v>58203600</v>
      </c>
      <c r="BH39" s="5805">
        <f t="shared" si="132"/>
        <v>53374219.245000005</v>
      </c>
      <c r="BI39" s="6907">
        <f t="shared" si="133"/>
        <v>114523595.80840001</v>
      </c>
      <c r="BJ39" s="6907">
        <f t="shared" si="134"/>
        <v>108481354.6072</v>
      </c>
    </row>
    <row r="40" spans="1:62" ht="17" thickBot="1" x14ac:dyDescent="0.25">
      <c r="A40" s="5416">
        <v>32</v>
      </c>
      <c r="B40" s="5530" t="s">
        <v>2007</v>
      </c>
      <c r="C40" s="1638" t="s">
        <v>703</v>
      </c>
      <c r="D40" s="5523">
        <f>SUM(D16:D39)</f>
        <v>88061714.192000017</v>
      </c>
      <c r="E40" s="5524">
        <f>SUM(E16:E39)</f>
        <v>93510655.738999993</v>
      </c>
      <c r="G40" s="5527" t="s">
        <v>2008</v>
      </c>
      <c r="H40" s="5528" t="s">
        <v>1966</v>
      </c>
      <c r="I40" s="5556">
        <f>I41</f>
        <v>5408863.799999997</v>
      </c>
      <c r="J40" s="5556">
        <f>J41</f>
        <v>5408863.7999999998</v>
      </c>
      <c r="K40" s="5556">
        <f>K41</f>
        <v>5589149.9999999972</v>
      </c>
      <c r="L40" s="5557">
        <f>L41</f>
        <v>5589150</v>
      </c>
      <c r="M40" s="5575">
        <f t="shared" si="2"/>
        <v>10998013.799999993</v>
      </c>
      <c r="N40" s="5575">
        <f t="shared" si="2"/>
        <v>10998013.800000001</v>
      </c>
      <c r="O40" s="5556">
        <f>O41</f>
        <v>5392450.0000000009</v>
      </c>
      <c r="P40" s="5556">
        <f>P41</f>
        <v>5392450</v>
      </c>
      <c r="Q40" s="5807">
        <f t="shared" si="113"/>
        <v>16390463.799999993</v>
      </c>
      <c r="R40" s="5807">
        <f t="shared" si="114"/>
        <v>16390463.800000001</v>
      </c>
      <c r="S40" s="5556">
        <f>S41</f>
        <v>5803200</v>
      </c>
      <c r="T40" s="5557">
        <f>T41</f>
        <v>5637240</v>
      </c>
      <c r="U40" s="5575">
        <f t="shared" si="115"/>
        <v>22193663.799999993</v>
      </c>
      <c r="V40" s="5575">
        <f t="shared" si="116"/>
        <v>22027703.800000001</v>
      </c>
      <c r="W40" s="5556">
        <f>W41</f>
        <v>5803200</v>
      </c>
      <c r="X40" s="5557">
        <f>X41</f>
        <v>5709335.4999999972</v>
      </c>
      <c r="Y40" s="5575">
        <f t="shared" si="117"/>
        <v>27996863.799999993</v>
      </c>
      <c r="Z40" s="5575">
        <f t="shared" si="118"/>
        <v>27737039.299999997</v>
      </c>
      <c r="AA40" s="5556">
        <f>AA41</f>
        <v>5616000</v>
      </c>
      <c r="AB40" s="5557">
        <f>AB41</f>
        <v>5561935.1000000034</v>
      </c>
      <c r="AC40" s="5805">
        <f t="shared" si="158"/>
        <v>17222400</v>
      </c>
      <c r="AD40" s="5805">
        <f t="shared" si="159"/>
        <v>16908510.600000001</v>
      </c>
      <c r="AE40" s="6907">
        <f t="shared" si="119"/>
        <v>33612863.799999997</v>
      </c>
      <c r="AF40" s="6907">
        <f t="shared" si="120"/>
        <v>33298974.399999999</v>
      </c>
      <c r="AG40" s="5556">
        <f>AG41</f>
        <v>5803200</v>
      </c>
      <c r="AH40" s="5557">
        <f>AH41</f>
        <v>5711427.5</v>
      </c>
      <c r="AI40" s="5575">
        <f t="shared" si="121"/>
        <v>39416063.799999997</v>
      </c>
      <c r="AJ40" s="5575">
        <f t="shared" si="122"/>
        <v>39010401.899999999</v>
      </c>
      <c r="AK40" s="5556">
        <f>AK41</f>
        <v>5616000</v>
      </c>
      <c r="AL40" s="5557">
        <f>AL41</f>
        <v>5413065.5999999996</v>
      </c>
      <c r="AM40" s="5575">
        <f t="shared" si="123"/>
        <v>45032063.799999997</v>
      </c>
      <c r="AN40" s="5575">
        <f t="shared" si="124"/>
        <v>44423467.5</v>
      </c>
      <c r="AO40" s="5556">
        <f>AO41</f>
        <v>5803200</v>
      </c>
      <c r="AP40" s="5557">
        <f>AP41</f>
        <v>5679807</v>
      </c>
      <c r="AQ40" s="5805">
        <f t="shared" si="145"/>
        <v>17222400</v>
      </c>
      <c r="AR40" s="5805">
        <f t="shared" si="146"/>
        <v>16804300.100000001</v>
      </c>
      <c r="AS40" s="5575">
        <f t="shared" si="125"/>
        <v>50835263.799999997</v>
      </c>
      <c r="AT40" s="5575">
        <f t="shared" si="126"/>
        <v>50103274.5</v>
      </c>
      <c r="AU40" s="5556">
        <f>AU41</f>
        <v>5803200</v>
      </c>
      <c r="AV40" s="5557">
        <f>AV41</f>
        <v>5934411.6000000024</v>
      </c>
      <c r="AW40" s="5575">
        <f t="shared" si="127"/>
        <v>56638463.799999997</v>
      </c>
      <c r="AX40" s="5575">
        <f t="shared" si="128"/>
        <v>56037686.100000001</v>
      </c>
      <c r="AY40" s="8200">
        <f>AY41</f>
        <v>5241600</v>
      </c>
      <c r="AZ40" s="5557">
        <f>AZ41</f>
        <v>5465502.0999999996</v>
      </c>
      <c r="BA40" s="5575">
        <f t="shared" si="129"/>
        <v>61880063.799999997</v>
      </c>
      <c r="BB40" s="5575">
        <f t="shared" si="130"/>
        <v>61503188.200000003</v>
      </c>
      <c r="BC40" s="8200">
        <f>BC41</f>
        <v>5803200</v>
      </c>
      <c r="BD40" s="5557">
        <f>BD41</f>
        <v>6037438</v>
      </c>
      <c r="BE40" s="5805">
        <f t="shared" si="150"/>
        <v>16848000</v>
      </c>
      <c r="BF40" s="5805">
        <f t="shared" si="151"/>
        <v>17437351.700000003</v>
      </c>
      <c r="BG40" s="5805">
        <f t="shared" si="131"/>
        <v>34070400</v>
      </c>
      <c r="BH40" s="5805">
        <f t="shared" si="132"/>
        <v>34241651.800000004</v>
      </c>
      <c r="BI40" s="6907">
        <f t="shared" si="133"/>
        <v>67683263.799999997</v>
      </c>
      <c r="BJ40" s="6907">
        <f t="shared" si="134"/>
        <v>67540626.200000003</v>
      </c>
    </row>
    <row r="41" spans="1:62" ht="16" thickBot="1" x14ac:dyDescent="0.25">
      <c r="E41" s="5498"/>
      <c r="G41" s="5507" t="s">
        <v>2009</v>
      </c>
      <c r="H41" s="3938" t="s">
        <v>1967</v>
      </c>
      <c r="I41" s="5549">
        <f t="shared" ref="I41:K41" si="160">+I89*I$3*24*1000</f>
        <v>5408863.799999997</v>
      </c>
      <c r="J41" s="5551">
        <v>5408863.7999999998</v>
      </c>
      <c r="K41" s="5549">
        <f t="shared" si="160"/>
        <v>5589149.9999999972</v>
      </c>
      <c r="L41" s="5552">
        <v>5589150</v>
      </c>
      <c r="M41" s="5573">
        <f t="shared" si="2"/>
        <v>10998013.799999993</v>
      </c>
      <c r="N41" s="5573">
        <f t="shared" si="2"/>
        <v>10998013.800000001</v>
      </c>
      <c r="O41" s="5549">
        <f t="shared" ref="O41" si="161">+O89*O$3*24*1000</f>
        <v>5392450.0000000009</v>
      </c>
      <c r="P41" s="5551">
        <v>5392450</v>
      </c>
      <c r="Q41" s="5804">
        <f t="shared" si="113"/>
        <v>16390463.799999993</v>
      </c>
      <c r="R41" s="5804">
        <f t="shared" si="114"/>
        <v>16390463.800000001</v>
      </c>
      <c r="S41" s="5963">
        <f t="shared" ref="S41" si="162">+S89*S$3*24*1000</f>
        <v>5803200</v>
      </c>
      <c r="T41" s="5552">
        <v>5637240</v>
      </c>
      <c r="U41" s="5573">
        <f t="shared" si="115"/>
        <v>22193663.799999993</v>
      </c>
      <c r="V41" s="5573">
        <f t="shared" si="116"/>
        <v>22027703.800000001</v>
      </c>
      <c r="W41" s="6424">
        <f t="shared" ref="W41" si="163">+W89*W$3*24*1000</f>
        <v>5803200</v>
      </c>
      <c r="X41" s="5552">
        <v>5709335.4999999972</v>
      </c>
      <c r="Y41" s="5573">
        <f t="shared" si="117"/>
        <v>27996863.799999993</v>
      </c>
      <c r="Z41" s="5573">
        <f t="shared" si="118"/>
        <v>27737039.299999997</v>
      </c>
      <c r="AA41" s="6424">
        <f t="shared" ref="AA41" si="164">+AA89*AA$3*24*1000</f>
        <v>5616000</v>
      </c>
      <c r="AB41" s="5552">
        <v>5561935.1000000034</v>
      </c>
      <c r="AC41" s="5803">
        <f>+S41+W41+AA41</f>
        <v>17222400</v>
      </c>
      <c r="AD41" s="5803">
        <f>+T41+X41+AB41</f>
        <v>16908510.600000001</v>
      </c>
      <c r="AE41" s="6905">
        <f t="shared" si="119"/>
        <v>33612863.799999997</v>
      </c>
      <c r="AF41" s="6905">
        <f t="shared" si="120"/>
        <v>33298974.399999999</v>
      </c>
      <c r="AG41" s="6424">
        <f t="shared" ref="AG41" si="165">+AG89*AG$3*24*1000</f>
        <v>5803200</v>
      </c>
      <c r="AH41" s="5552">
        <v>5711427.5</v>
      </c>
      <c r="AI41" s="5573">
        <f t="shared" si="121"/>
        <v>39416063.799999997</v>
      </c>
      <c r="AJ41" s="5573">
        <f t="shared" si="122"/>
        <v>39010401.899999999</v>
      </c>
      <c r="AK41" s="6424">
        <f t="shared" ref="AK41" si="166">+AK89*AK$3*24*1000</f>
        <v>5616000</v>
      </c>
      <c r="AL41" s="5552">
        <v>5413065.5999999996</v>
      </c>
      <c r="AM41" s="5573">
        <f t="shared" si="123"/>
        <v>45032063.799999997</v>
      </c>
      <c r="AN41" s="5573">
        <f t="shared" si="124"/>
        <v>44423467.5</v>
      </c>
      <c r="AO41" s="6424">
        <f t="shared" ref="AO41" si="167">+AO89*AO$3*24*1000</f>
        <v>5803200</v>
      </c>
      <c r="AP41" s="5552">
        <v>5679807</v>
      </c>
      <c r="AQ41" s="5803">
        <f>+AG41+AK41+AO41</f>
        <v>17222400</v>
      </c>
      <c r="AR41" s="5803">
        <f>+AH41+AL41+AP41</f>
        <v>16804300.100000001</v>
      </c>
      <c r="AS41" s="5573">
        <f t="shared" si="125"/>
        <v>50835263.799999997</v>
      </c>
      <c r="AT41" s="5573">
        <f t="shared" si="126"/>
        <v>50103274.5</v>
      </c>
      <c r="AU41" s="6424">
        <f t="shared" ref="AU41" si="168">+AU89*AU$3*24*1000</f>
        <v>5803200</v>
      </c>
      <c r="AV41" s="5552">
        <v>5934411.6000000024</v>
      </c>
      <c r="AW41" s="5573">
        <f t="shared" si="127"/>
        <v>56638463.799999997</v>
      </c>
      <c r="AX41" s="5573">
        <f t="shared" si="128"/>
        <v>56037686.100000001</v>
      </c>
      <c r="AY41" s="8197">
        <f t="shared" ref="AY41" si="169">+AY89*AY$3*24*1000</f>
        <v>5241600</v>
      </c>
      <c r="AZ41" s="5552">
        <v>5465502.0999999996</v>
      </c>
      <c r="BA41" s="5573">
        <f t="shared" si="129"/>
        <v>61880063.799999997</v>
      </c>
      <c r="BB41" s="5573">
        <f t="shared" si="130"/>
        <v>61503188.200000003</v>
      </c>
      <c r="BC41" s="8197">
        <f t="shared" ref="BC41" si="170">+BC89*BC$3*24*1000</f>
        <v>5803200</v>
      </c>
      <c r="BD41" s="5552">
        <v>6037438</v>
      </c>
      <c r="BE41" s="5803">
        <f>+AU41+AY41+BC41</f>
        <v>16848000</v>
      </c>
      <c r="BF41" s="5803">
        <f>+AV41+AZ41+BD41</f>
        <v>17437351.700000003</v>
      </c>
      <c r="BG41" s="5803">
        <f t="shared" si="131"/>
        <v>34070400</v>
      </c>
      <c r="BH41" s="5803">
        <f t="shared" si="132"/>
        <v>34241651.800000004</v>
      </c>
      <c r="BI41" s="6905">
        <f t="shared" si="133"/>
        <v>67683263.799999997</v>
      </c>
      <c r="BJ41" s="6905">
        <f t="shared" si="134"/>
        <v>67540626.200000003</v>
      </c>
    </row>
    <row r="42" spans="1:62" ht="21" thickBot="1" x14ac:dyDescent="0.25">
      <c r="A42" s="5416">
        <v>33</v>
      </c>
      <c r="B42" s="5531" t="s">
        <v>1153</v>
      </c>
      <c r="C42" s="5532" t="s">
        <v>703</v>
      </c>
      <c r="D42" s="5533">
        <f>[2]PPC!E79</f>
        <v>79406183.556600019</v>
      </c>
      <c r="E42" s="5534">
        <f>[2]PPC!F79</f>
        <v>84399504.886399984</v>
      </c>
      <c r="G42" s="5527" t="s">
        <v>2010</v>
      </c>
      <c r="H42" s="5528" t="s">
        <v>1968</v>
      </c>
      <c r="I42" s="5556">
        <f>SUM(I43:I46)</f>
        <v>3246666.8354000025</v>
      </c>
      <c r="J42" s="5556">
        <f>SUM(J43:J46)</f>
        <v>3246666.8354000007</v>
      </c>
      <c r="K42" s="5556">
        <f>SUM(K43:K46)</f>
        <v>3522000.8526000022</v>
      </c>
      <c r="L42" s="5557">
        <f>SUM(L43:L46)</f>
        <v>3521871.2936000004</v>
      </c>
      <c r="M42" s="5575">
        <f t="shared" si="2"/>
        <v>6768667.6880000047</v>
      </c>
      <c r="N42" s="5575">
        <f t="shared" si="2"/>
        <v>6768538.1290000007</v>
      </c>
      <c r="O42" s="5556">
        <f>SUM(O43:O46)</f>
        <v>3739264.3204000005</v>
      </c>
      <c r="P42" s="5556">
        <f>SUM(P43:P46)</f>
        <v>3739264.3204000001</v>
      </c>
      <c r="Q42" s="5807">
        <f t="shared" si="113"/>
        <v>10507932.008400004</v>
      </c>
      <c r="R42" s="5807">
        <f t="shared" si="114"/>
        <v>10507802.4494</v>
      </c>
      <c r="S42" s="5556">
        <f>SUM(S43:S46)</f>
        <v>4110600</v>
      </c>
      <c r="T42" s="5557">
        <f>SUM(T43:T46)</f>
        <v>3853008.5519999992</v>
      </c>
      <c r="U42" s="5575">
        <f t="shared" si="115"/>
        <v>14618532.008400004</v>
      </c>
      <c r="V42" s="5575">
        <f t="shared" si="116"/>
        <v>14360811.001399999</v>
      </c>
      <c r="W42" s="5556">
        <f>SUM(W43:W46)</f>
        <v>4110600</v>
      </c>
      <c r="X42" s="5557">
        <f>SUM(X43:X46)</f>
        <v>4006778.0090000001</v>
      </c>
      <c r="Y42" s="5575">
        <f t="shared" si="117"/>
        <v>18729132.008400004</v>
      </c>
      <c r="Z42" s="5575">
        <f t="shared" si="118"/>
        <v>18367589.010400001</v>
      </c>
      <c r="AA42" s="5556">
        <f>SUM(AA43:AA46)</f>
        <v>3978000</v>
      </c>
      <c r="AB42" s="5557">
        <f>SUM(AB43:AB46)</f>
        <v>3440571.9518000032</v>
      </c>
      <c r="AC42" s="5805">
        <f>+S42+W42+AA42</f>
        <v>12199200</v>
      </c>
      <c r="AD42" s="5805">
        <f>+T42+X42+AB42</f>
        <v>11300358.512800002</v>
      </c>
      <c r="AE42" s="6907">
        <f t="shared" si="119"/>
        <v>22707132.008400004</v>
      </c>
      <c r="AF42" s="6907">
        <f t="shared" si="120"/>
        <v>21808160.962200005</v>
      </c>
      <c r="AG42" s="5556">
        <f>SUM(AG43:AG46)</f>
        <v>4110600</v>
      </c>
      <c r="AH42" s="5557">
        <f>SUM(AH43:AH46)</f>
        <v>3660715.1999999979</v>
      </c>
      <c r="AI42" s="5575">
        <f t="shared" si="121"/>
        <v>26817732.008400004</v>
      </c>
      <c r="AJ42" s="5575">
        <f t="shared" si="122"/>
        <v>25468876.162200004</v>
      </c>
      <c r="AK42" s="5556">
        <f>SUM(AK43:AK46)</f>
        <v>3978000</v>
      </c>
      <c r="AL42" s="5557">
        <f>SUM(AL43:AL46)</f>
        <v>2835495.5738000027</v>
      </c>
      <c r="AM42" s="5575">
        <f t="shared" si="123"/>
        <v>30795732.008400004</v>
      </c>
      <c r="AN42" s="5575">
        <f t="shared" si="124"/>
        <v>28304371.736000005</v>
      </c>
      <c r="AO42" s="5556">
        <f>SUM(AO43:AO46)</f>
        <v>4110600</v>
      </c>
      <c r="AP42" s="5557">
        <f>SUM(AP43:AP46)</f>
        <v>2869940.834199999</v>
      </c>
      <c r="AQ42" s="5805">
        <f>+AG42+AK42+AO42</f>
        <v>12199200</v>
      </c>
      <c r="AR42" s="5805">
        <f>+AH42+AL42+AP42</f>
        <v>9366151.6079999991</v>
      </c>
      <c r="AS42" s="5575">
        <f t="shared" si="125"/>
        <v>34906332.008400008</v>
      </c>
      <c r="AT42" s="5575">
        <f t="shared" si="126"/>
        <v>31174312.570200004</v>
      </c>
      <c r="AU42" s="5556">
        <f>SUM(AU43:AU46)</f>
        <v>4110600</v>
      </c>
      <c r="AV42" s="5557">
        <f>SUM(AV43:AV46)</f>
        <v>3023198.6570000006</v>
      </c>
      <c r="AW42" s="5575">
        <f t="shared" si="127"/>
        <v>39016932.008400008</v>
      </c>
      <c r="AX42" s="5575">
        <f t="shared" si="128"/>
        <v>34197511.227200001</v>
      </c>
      <c r="AY42" s="8200">
        <f>SUM(AY43:AY46)</f>
        <v>3712800</v>
      </c>
      <c r="AZ42" s="5557">
        <f>SUM(AZ43:AZ46)</f>
        <v>3126506.3820000002</v>
      </c>
      <c r="BA42" s="5575">
        <f t="shared" si="129"/>
        <v>42729732.008400008</v>
      </c>
      <c r="BB42" s="5575">
        <f t="shared" si="130"/>
        <v>37324017.609200001</v>
      </c>
      <c r="BC42" s="8200">
        <f>SUM(BC43:BC46)</f>
        <v>4110600</v>
      </c>
      <c r="BD42" s="5557">
        <f>SUM(BD43:BD46)</f>
        <v>3616710.7980000004</v>
      </c>
      <c r="BE42" s="5805">
        <f>+AU42+AY42+BC42</f>
        <v>11934000</v>
      </c>
      <c r="BF42" s="5805">
        <f>+AV42+AZ42+BD42</f>
        <v>9766415.8370000012</v>
      </c>
      <c r="BG42" s="5805">
        <f t="shared" si="131"/>
        <v>24133200</v>
      </c>
      <c r="BH42" s="5805">
        <f t="shared" si="132"/>
        <v>19132567.445</v>
      </c>
      <c r="BI42" s="6907">
        <f t="shared" si="133"/>
        <v>46840332.008400008</v>
      </c>
      <c r="BJ42" s="6907">
        <f t="shared" si="134"/>
        <v>40940728.407200001</v>
      </c>
    </row>
    <row r="43" spans="1:62" ht="16" x14ac:dyDescent="0.2">
      <c r="A43" s="5535"/>
      <c r="B43" s="5536"/>
      <c r="C43" s="5537"/>
      <c r="D43" s="5538"/>
      <c r="E43" s="5538"/>
      <c r="G43" s="5507" t="s">
        <v>2011</v>
      </c>
      <c r="H43" s="3938" t="s">
        <v>1969</v>
      </c>
      <c r="I43" s="5549">
        <f t="shared" ref="I43:K46" si="171">+I91*I$3*24*1000</f>
        <v>339821.83539999864</v>
      </c>
      <c r="J43" s="5551">
        <v>339821.83539999893</v>
      </c>
      <c r="K43" s="5549">
        <f t="shared" si="171"/>
        <v>349899.85260000103</v>
      </c>
      <c r="L43" s="5552">
        <v>349770.29360000126</v>
      </c>
      <c r="M43" s="5573">
        <f t="shared" si="2"/>
        <v>689721.68799999962</v>
      </c>
      <c r="N43" s="5573">
        <f t="shared" si="2"/>
        <v>689592.12900000019</v>
      </c>
      <c r="O43" s="5549">
        <f t="shared" ref="O43" si="172">+O91*O$3*24*1000</f>
        <v>432332.32040000067</v>
      </c>
      <c r="P43" s="5551">
        <v>432332.32040000026</v>
      </c>
      <c r="Q43" s="5804">
        <f t="shared" si="113"/>
        <v>1122054.0084000002</v>
      </c>
      <c r="R43" s="5804">
        <f t="shared" si="114"/>
        <v>1121924.4494000005</v>
      </c>
      <c r="S43" s="5963">
        <f t="shared" ref="S43" si="173">+S91*S$3*24*1000</f>
        <v>390600</v>
      </c>
      <c r="T43" s="5552">
        <v>463237.55200000142</v>
      </c>
      <c r="U43" s="5573">
        <f t="shared" si="115"/>
        <v>1512654.0084000002</v>
      </c>
      <c r="V43" s="5573">
        <f t="shared" si="116"/>
        <v>1585162.0014000018</v>
      </c>
      <c r="W43" s="6424">
        <f t="shared" ref="W43:W46" si="174">+W91*W$3*24*1000</f>
        <v>390600</v>
      </c>
      <c r="X43" s="5552">
        <v>499146.00899999862</v>
      </c>
      <c r="Y43" s="5573">
        <f t="shared" si="117"/>
        <v>1903254.0084000002</v>
      </c>
      <c r="Z43" s="5573">
        <f t="shared" si="118"/>
        <v>2084308.0104000005</v>
      </c>
      <c r="AA43" s="6424">
        <f t="shared" ref="AA43:AA46" si="175">+AA91*AA$3*24*1000</f>
        <v>378000</v>
      </c>
      <c r="AB43" s="5552">
        <v>425019.95179999998</v>
      </c>
      <c r="AC43" s="5803">
        <f t="shared" ref="AC43:AC46" si="176">+S43+W43+AA43</f>
        <v>1159200</v>
      </c>
      <c r="AD43" s="5803">
        <f t="shared" ref="AD43:AD46" si="177">+T43+X43+AB43</f>
        <v>1387403.5127999999</v>
      </c>
      <c r="AE43" s="6905">
        <f t="shared" si="119"/>
        <v>2281254.0084000002</v>
      </c>
      <c r="AF43" s="6905">
        <f t="shared" si="120"/>
        <v>2509327.9622000004</v>
      </c>
      <c r="AG43" s="6424">
        <f t="shared" ref="AG43:AG46" si="178">+AG91*AG$3*24*1000</f>
        <v>390600</v>
      </c>
      <c r="AH43" s="5552">
        <v>413843.19999999972</v>
      </c>
      <c r="AI43" s="5573">
        <f t="shared" si="121"/>
        <v>2671854.0084000002</v>
      </c>
      <c r="AJ43" s="5573">
        <f t="shared" si="122"/>
        <v>2923171.1622000001</v>
      </c>
      <c r="AK43" s="6424">
        <f t="shared" ref="AK43:AK46" si="179">+AK91*AK$3*24*1000</f>
        <v>378000</v>
      </c>
      <c r="AL43" s="5552">
        <v>266690.37380000087</v>
      </c>
      <c r="AM43" s="5573">
        <f t="shared" si="123"/>
        <v>3049854.0084000002</v>
      </c>
      <c r="AN43" s="5573">
        <f t="shared" si="124"/>
        <v>3189861.5360000012</v>
      </c>
      <c r="AO43" s="6424">
        <f t="shared" ref="AO43:AO46" si="180">+AO91*AO$3*24*1000</f>
        <v>390600</v>
      </c>
      <c r="AP43" s="5552">
        <v>316757.43420000008</v>
      </c>
      <c r="AQ43" s="5803">
        <f t="shared" ref="AQ43:AQ46" si="181">+AG43+AK43+AO43</f>
        <v>1159200</v>
      </c>
      <c r="AR43" s="5803">
        <f t="shared" ref="AR43:AR46" si="182">+AH43+AL43+AP43</f>
        <v>997291.00800000061</v>
      </c>
      <c r="AS43" s="5573">
        <f t="shared" si="125"/>
        <v>3440454.0084000002</v>
      </c>
      <c r="AT43" s="5573">
        <f t="shared" si="126"/>
        <v>3506618.9702000013</v>
      </c>
      <c r="AU43" s="6424">
        <f t="shared" ref="AU43:AU46" si="183">+AU91*AU$3*24*1000</f>
        <v>390600</v>
      </c>
      <c r="AV43" s="5552">
        <v>290999.65699999826</v>
      </c>
      <c r="AW43" s="5573">
        <f t="shared" si="127"/>
        <v>3831054.0084000002</v>
      </c>
      <c r="AX43" s="5573">
        <f t="shared" si="128"/>
        <v>3797618.6271999995</v>
      </c>
      <c r="AY43" s="8197">
        <f t="shared" ref="AY43:AY46" si="184">+AY91*AY$3*24*1000</f>
        <v>352800</v>
      </c>
      <c r="AZ43" s="5552">
        <v>194100.96799999999</v>
      </c>
      <c r="BA43" s="5573">
        <f t="shared" si="129"/>
        <v>4183854.0084000002</v>
      </c>
      <c r="BB43" s="5573">
        <f t="shared" si="130"/>
        <v>3991719.5951999994</v>
      </c>
      <c r="BC43" s="8197">
        <f t="shared" ref="BC43:BC46" si="185">+BC91*BC$3*24*1000</f>
        <v>390600</v>
      </c>
      <c r="BD43" s="5552">
        <v>277728.19699999999</v>
      </c>
      <c r="BE43" s="5803">
        <f t="shared" ref="BE43:BE46" si="186">+AU43+AY43+BC43</f>
        <v>1134000</v>
      </c>
      <c r="BF43" s="5803">
        <f t="shared" ref="BF43:BF46" si="187">+AV43+AZ43+BD43</f>
        <v>762828.8219999983</v>
      </c>
      <c r="BG43" s="5803">
        <f t="shared" si="131"/>
        <v>2293200</v>
      </c>
      <c r="BH43" s="5803">
        <f t="shared" si="132"/>
        <v>1760119.8299999989</v>
      </c>
      <c r="BI43" s="6905">
        <f t="shared" si="133"/>
        <v>4574454.0084000006</v>
      </c>
      <c r="BJ43" s="6905">
        <f t="shared" si="134"/>
        <v>4269447.7921999991</v>
      </c>
    </row>
    <row r="44" spans="1:62" ht="16" x14ac:dyDescent="0.2">
      <c r="A44" s="5535"/>
      <c r="B44" s="5536"/>
      <c r="C44" s="5537"/>
      <c r="D44" s="5538"/>
      <c r="E44" s="5538"/>
      <c r="G44" s="5507" t="s">
        <v>2012</v>
      </c>
      <c r="H44" s="3938" t="s">
        <v>1970</v>
      </c>
      <c r="I44" s="5549">
        <f t="shared" si="171"/>
        <v>2204510.0000000037</v>
      </c>
      <c r="J44" s="5551">
        <v>2204510.0000000019</v>
      </c>
      <c r="K44" s="5549">
        <f t="shared" si="171"/>
        <v>2354640.0000000005</v>
      </c>
      <c r="L44" s="5552">
        <v>2354639.9999999991</v>
      </c>
      <c r="M44" s="5573">
        <f t="shared" si="2"/>
        <v>4559150.0000000037</v>
      </c>
      <c r="N44" s="5573">
        <f t="shared" si="2"/>
        <v>4559150.0000000009</v>
      </c>
      <c r="O44" s="5549">
        <f t="shared" ref="O44" si="188">+O92*O$3*24*1000</f>
        <v>2362330.0000000005</v>
      </c>
      <c r="P44" s="5551">
        <v>2362330</v>
      </c>
      <c r="Q44" s="5804">
        <f t="shared" si="113"/>
        <v>6921480.0000000037</v>
      </c>
      <c r="R44" s="5804">
        <f t="shared" si="114"/>
        <v>6921480.0000000009</v>
      </c>
      <c r="S44" s="5963">
        <f t="shared" ref="S44" si="189">+S92*S$3*24*1000</f>
        <v>2604000</v>
      </c>
      <c r="T44" s="5552">
        <v>2520059.9999999977</v>
      </c>
      <c r="U44" s="5573">
        <f t="shared" si="115"/>
        <v>9525480.0000000037</v>
      </c>
      <c r="V44" s="5573">
        <f t="shared" si="116"/>
        <v>9441539.9999999981</v>
      </c>
      <c r="W44" s="6424">
        <f t="shared" si="174"/>
        <v>2604000</v>
      </c>
      <c r="X44" s="5552">
        <v>2474320.0000000014</v>
      </c>
      <c r="Y44" s="5573">
        <f t="shared" si="117"/>
        <v>12129480.000000004</v>
      </c>
      <c r="Z44" s="5573">
        <f t="shared" si="118"/>
        <v>11915860</v>
      </c>
      <c r="AA44" s="6424">
        <f t="shared" si="175"/>
        <v>2520000</v>
      </c>
      <c r="AB44" s="5552">
        <v>2311570.0000000033</v>
      </c>
      <c r="AC44" s="5803">
        <f t="shared" si="176"/>
        <v>7728000</v>
      </c>
      <c r="AD44" s="5803">
        <f t="shared" si="177"/>
        <v>7305950.0000000019</v>
      </c>
      <c r="AE44" s="6905">
        <f t="shared" si="119"/>
        <v>14649480.000000004</v>
      </c>
      <c r="AF44" s="6905">
        <f t="shared" si="120"/>
        <v>14227430.000000004</v>
      </c>
      <c r="AG44" s="6424">
        <f t="shared" si="178"/>
        <v>2604000</v>
      </c>
      <c r="AH44" s="5552">
        <v>2358319.9999999981</v>
      </c>
      <c r="AI44" s="5573">
        <f t="shared" si="121"/>
        <v>17253480.000000004</v>
      </c>
      <c r="AJ44" s="5573">
        <f t="shared" si="122"/>
        <v>16585750.000000002</v>
      </c>
      <c r="AK44" s="6424">
        <f t="shared" si="179"/>
        <v>2520000</v>
      </c>
      <c r="AL44" s="5552">
        <v>1741160.0000000019</v>
      </c>
      <c r="AM44" s="5573">
        <f t="shared" si="123"/>
        <v>19773480.000000004</v>
      </c>
      <c r="AN44" s="5573">
        <f t="shared" si="124"/>
        <v>18326910.000000004</v>
      </c>
      <c r="AO44" s="6424">
        <f t="shared" si="180"/>
        <v>2604000</v>
      </c>
      <c r="AP44" s="5552">
        <v>1876952.9999999991</v>
      </c>
      <c r="AQ44" s="5803">
        <f t="shared" si="181"/>
        <v>7728000</v>
      </c>
      <c r="AR44" s="5803">
        <f t="shared" si="182"/>
        <v>5976432.9999999991</v>
      </c>
      <c r="AS44" s="5573">
        <f t="shared" si="125"/>
        <v>22377480.000000004</v>
      </c>
      <c r="AT44" s="5573">
        <f t="shared" si="126"/>
        <v>20203863.000000004</v>
      </c>
      <c r="AU44" s="6424">
        <f t="shared" si="183"/>
        <v>2604000</v>
      </c>
      <c r="AV44" s="5552">
        <v>1910503.0000000026</v>
      </c>
      <c r="AW44" s="5573">
        <f t="shared" si="127"/>
        <v>24981480.000000004</v>
      </c>
      <c r="AX44" s="5573">
        <f t="shared" si="128"/>
        <v>22114366.000000007</v>
      </c>
      <c r="AY44" s="8197">
        <f t="shared" si="184"/>
        <v>2352000</v>
      </c>
      <c r="AZ44" s="5552">
        <v>1885015.4140000001</v>
      </c>
      <c r="BA44" s="5573">
        <f t="shared" si="129"/>
        <v>27333480.000000004</v>
      </c>
      <c r="BB44" s="5573">
        <f t="shared" si="130"/>
        <v>23999381.414000008</v>
      </c>
      <c r="BC44" s="8197">
        <f t="shared" si="185"/>
        <v>2604000</v>
      </c>
      <c r="BD44" s="5552">
        <v>2172813.4010000001</v>
      </c>
      <c r="BE44" s="5803">
        <f t="shared" si="186"/>
        <v>7560000</v>
      </c>
      <c r="BF44" s="5803">
        <f t="shared" si="187"/>
        <v>5968331.8150000032</v>
      </c>
      <c r="BG44" s="5803">
        <f t="shared" si="131"/>
        <v>15288000</v>
      </c>
      <c r="BH44" s="5803">
        <f t="shared" si="132"/>
        <v>11944764.815000001</v>
      </c>
      <c r="BI44" s="6905">
        <f t="shared" si="133"/>
        <v>29937480.000000004</v>
      </c>
      <c r="BJ44" s="6905">
        <f t="shared" si="134"/>
        <v>26172194.815000009</v>
      </c>
    </row>
    <row r="45" spans="1:62" ht="23" x14ac:dyDescent="0.25">
      <c r="A45" s="5535"/>
      <c r="B45" s="1641" t="s">
        <v>1077</v>
      </c>
      <c r="C45" s="5539"/>
      <c r="D45" s="5538"/>
      <c r="E45" s="5538"/>
      <c r="G45" s="5507" t="s">
        <v>2013</v>
      </c>
      <c r="H45" s="3938" t="s">
        <v>1971</v>
      </c>
      <c r="I45" s="5549">
        <f t="shared" si="171"/>
        <v>323696.00000000017</v>
      </c>
      <c r="J45" s="5551">
        <v>323696</v>
      </c>
      <c r="K45" s="5549">
        <f t="shared" si="171"/>
        <v>434096.00000000012</v>
      </c>
      <c r="L45" s="5552">
        <v>434096</v>
      </c>
      <c r="M45" s="5573">
        <f t="shared" si="2"/>
        <v>757792.00000000023</v>
      </c>
      <c r="N45" s="5573">
        <f t="shared" si="2"/>
        <v>757792</v>
      </c>
      <c r="O45" s="5549">
        <f t="shared" ref="O45" si="190">+O93*O$3*24*1000</f>
        <v>478895.99999999971</v>
      </c>
      <c r="P45" s="5551">
        <v>478896</v>
      </c>
      <c r="Q45" s="5804">
        <f t="shared" si="113"/>
        <v>1236688</v>
      </c>
      <c r="R45" s="5804">
        <f t="shared" si="114"/>
        <v>1236688</v>
      </c>
      <c r="S45" s="5963">
        <f t="shared" ref="S45" si="191">+S93*S$3*24*1000</f>
        <v>446400</v>
      </c>
      <c r="T45" s="5552">
        <v>431240</v>
      </c>
      <c r="U45" s="5573">
        <f t="shared" si="115"/>
        <v>1683088</v>
      </c>
      <c r="V45" s="5573">
        <f t="shared" si="116"/>
        <v>1667928</v>
      </c>
      <c r="W45" s="6424">
        <f t="shared" si="174"/>
        <v>446400</v>
      </c>
      <c r="X45" s="5552">
        <v>553048</v>
      </c>
      <c r="Y45" s="5573">
        <f t="shared" si="117"/>
        <v>2129488</v>
      </c>
      <c r="Z45" s="5573">
        <f t="shared" si="118"/>
        <v>2220976</v>
      </c>
      <c r="AA45" s="6424">
        <f t="shared" si="175"/>
        <v>432000</v>
      </c>
      <c r="AB45" s="5552">
        <v>224808</v>
      </c>
      <c r="AC45" s="5803">
        <f t="shared" si="176"/>
        <v>1324800</v>
      </c>
      <c r="AD45" s="5803">
        <f t="shared" si="177"/>
        <v>1209096</v>
      </c>
      <c r="AE45" s="6905">
        <f t="shared" si="119"/>
        <v>2561488</v>
      </c>
      <c r="AF45" s="6905">
        <f t="shared" si="120"/>
        <v>2445784</v>
      </c>
      <c r="AG45" s="6424">
        <f t="shared" si="178"/>
        <v>446400</v>
      </c>
      <c r="AH45" s="5552">
        <v>347352</v>
      </c>
      <c r="AI45" s="5573">
        <f t="shared" si="121"/>
        <v>3007888</v>
      </c>
      <c r="AJ45" s="5573">
        <f t="shared" si="122"/>
        <v>2793136</v>
      </c>
      <c r="AK45" s="6424">
        <f t="shared" si="179"/>
        <v>432000</v>
      </c>
      <c r="AL45" s="5552">
        <v>311855.2</v>
      </c>
      <c r="AM45" s="5573">
        <f t="shared" si="123"/>
        <v>3439888</v>
      </c>
      <c r="AN45" s="5573">
        <f t="shared" si="124"/>
        <v>3104991.2</v>
      </c>
      <c r="AO45" s="6424">
        <f t="shared" si="180"/>
        <v>446400</v>
      </c>
      <c r="AP45" s="5552">
        <v>176090.40000000002</v>
      </c>
      <c r="AQ45" s="5803">
        <f t="shared" si="181"/>
        <v>1324800</v>
      </c>
      <c r="AR45" s="5803">
        <f t="shared" si="182"/>
        <v>835297.6</v>
      </c>
      <c r="AS45" s="5573">
        <f t="shared" si="125"/>
        <v>3886288</v>
      </c>
      <c r="AT45" s="5573">
        <f t="shared" si="126"/>
        <v>3281081.6</v>
      </c>
      <c r="AU45" s="6424">
        <f t="shared" si="183"/>
        <v>446400</v>
      </c>
      <c r="AV45" s="5552">
        <v>233720</v>
      </c>
      <c r="AW45" s="5573">
        <f t="shared" si="127"/>
        <v>4332688</v>
      </c>
      <c r="AX45" s="5573">
        <f t="shared" si="128"/>
        <v>3514801.6</v>
      </c>
      <c r="AY45" s="8197">
        <f t="shared" si="184"/>
        <v>403200.00000000006</v>
      </c>
      <c r="AZ45" s="5552">
        <v>462536</v>
      </c>
      <c r="BA45" s="5573">
        <f t="shared" si="129"/>
        <v>4735888</v>
      </c>
      <c r="BB45" s="5573">
        <f t="shared" si="130"/>
        <v>3977337.6</v>
      </c>
      <c r="BC45" s="8197">
        <f t="shared" si="185"/>
        <v>446400</v>
      </c>
      <c r="BD45" s="5552">
        <v>588427.19999999995</v>
      </c>
      <c r="BE45" s="5803">
        <f t="shared" si="186"/>
        <v>1296000</v>
      </c>
      <c r="BF45" s="5803">
        <f t="shared" si="187"/>
        <v>1284683.2</v>
      </c>
      <c r="BG45" s="5803">
        <f t="shared" si="131"/>
        <v>2620800</v>
      </c>
      <c r="BH45" s="5803">
        <f t="shared" si="132"/>
        <v>2119980.7999999998</v>
      </c>
      <c r="BI45" s="6905">
        <f t="shared" si="133"/>
        <v>5182288</v>
      </c>
      <c r="BJ45" s="6905">
        <f t="shared" si="134"/>
        <v>4565764.8</v>
      </c>
    </row>
    <row r="46" spans="1:62" ht="16" thickBot="1" x14ac:dyDescent="0.25">
      <c r="B46" s="1537"/>
      <c r="C46" s="5497"/>
      <c r="E46" s="5498"/>
      <c r="G46" s="5540" t="s">
        <v>2014</v>
      </c>
      <c r="H46" s="5541" t="s">
        <v>1972</v>
      </c>
      <c r="I46" s="5549">
        <f t="shared" si="171"/>
        <v>378639</v>
      </c>
      <c r="J46" s="5558">
        <v>378639</v>
      </c>
      <c r="K46" s="5549">
        <f t="shared" si="171"/>
        <v>383365.00000000035</v>
      </c>
      <c r="L46" s="5559">
        <v>383365</v>
      </c>
      <c r="M46" s="5576">
        <f t="shared" si="2"/>
        <v>762004.00000000035</v>
      </c>
      <c r="N46" s="5576">
        <f t="shared" si="2"/>
        <v>762004</v>
      </c>
      <c r="O46" s="5549">
        <f t="shared" ref="O46" si="192">+O94*O$3*24*1000</f>
        <v>465706.00000000006</v>
      </c>
      <c r="P46" s="5558">
        <v>465706</v>
      </c>
      <c r="Q46" s="5808">
        <f t="shared" si="113"/>
        <v>1227710.0000000005</v>
      </c>
      <c r="R46" s="5808">
        <f t="shared" si="114"/>
        <v>1227710</v>
      </c>
      <c r="S46" s="5963">
        <f t="shared" ref="S46" si="193">+S94*S$3*24*1000</f>
        <v>669600</v>
      </c>
      <c r="T46" s="5559">
        <v>438471</v>
      </c>
      <c r="U46" s="5576">
        <f t="shared" si="115"/>
        <v>1897310.0000000005</v>
      </c>
      <c r="V46" s="5576">
        <f t="shared" si="116"/>
        <v>1666181</v>
      </c>
      <c r="W46" s="6424">
        <f t="shared" si="174"/>
        <v>669600</v>
      </c>
      <c r="X46" s="5559">
        <v>480264</v>
      </c>
      <c r="Y46" s="5576">
        <f t="shared" si="117"/>
        <v>2566910.0000000005</v>
      </c>
      <c r="Z46" s="5576">
        <f t="shared" si="118"/>
        <v>2146445</v>
      </c>
      <c r="AA46" s="6424">
        <f t="shared" si="175"/>
        <v>648000</v>
      </c>
      <c r="AB46" s="5559">
        <v>479174</v>
      </c>
      <c r="AC46" s="5803">
        <f t="shared" si="176"/>
        <v>1987200</v>
      </c>
      <c r="AD46" s="5803">
        <f t="shared" si="177"/>
        <v>1397909</v>
      </c>
      <c r="AE46" s="6908">
        <f t="shared" si="119"/>
        <v>3214910.0000000005</v>
      </c>
      <c r="AF46" s="6908">
        <f t="shared" si="120"/>
        <v>2625619</v>
      </c>
      <c r="AG46" s="6424">
        <f t="shared" si="178"/>
        <v>669600</v>
      </c>
      <c r="AH46" s="5559">
        <v>541200</v>
      </c>
      <c r="AI46" s="5576">
        <f t="shared" si="121"/>
        <v>3884510.0000000005</v>
      </c>
      <c r="AJ46" s="5576">
        <f t="shared" si="122"/>
        <v>3166819</v>
      </c>
      <c r="AK46" s="6424">
        <f t="shared" si="179"/>
        <v>648000</v>
      </c>
      <c r="AL46" s="5559">
        <v>515790</v>
      </c>
      <c r="AM46" s="5576">
        <f t="shared" si="123"/>
        <v>4532510</v>
      </c>
      <c r="AN46" s="5576">
        <f t="shared" si="124"/>
        <v>3682609</v>
      </c>
      <c r="AO46" s="6424">
        <f t="shared" si="180"/>
        <v>669600</v>
      </c>
      <c r="AP46" s="5559">
        <v>500140</v>
      </c>
      <c r="AQ46" s="5803">
        <f t="shared" si="181"/>
        <v>1987200</v>
      </c>
      <c r="AR46" s="5803">
        <f t="shared" si="182"/>
        <v>1557130</v>
      </c>
      <c r="AS46" s="5576">
        <f t="shared" si="125"/>
        <v>5202110</v>
      </c>
      <c r="AT46" s="5576">
        <f t="shared" si="126"/>
        <v>4182749</v>
      </c>
      <c r="AU46" s="6424">
        <f t="shared" si="183"/>
        <v>669600</v>
      </c>
      <c r="AV46" s="5559">
        <v>587976</v>
      </c>
      <c r="AW46" s="5576">
        <f t="shared" si="127"/>
        <v>5871710</v>
      </c>
      <c r="AX46" s="5576">
        <f t="shared" si="128"/>
        <v>4770725</v>
      </c>
      <c r="AY46" s="8197">
        <f t="shared" si="184"/>
        <v>604800</v>
      </c>
      <c r="AZ46" s="5559">
        <v>584854</v>
      </c>
      <c r="BA46" s="5576">
        <f t="shared" si="129"/>
        <v>6476510</v>
      </c>
      <c r="BB46" s="5576">
        <f t="shared" si="130"/>
        <v>5355579</v>
      </c>
      <c r="BC46" s="8197">
        <f t="shared" si="185"/>
        <v>669600</v>
      </c>
      <c r="BD46" s="5559">
        <v>577742</v>
      </c>
      <c r="BE46" s="5803">
        <f t="shared" si="186"/>
        <v>1944000</v>
      </c>
      <c r="BF46" s="5803">
        <f t="shared" si="187"/>
        <v>1750572</v>
      </c>
      <c r="BG46" s="8369">
        <f t="shared" si="131"/>
        <v>3931200</v>
      </c>
      <c r="BH46" s="8369">
        <f t="shared" si="132"/>
        <v>3307702</v>
      </c>
      <c r="BI46" s="6908">
        <f t="shared" si="133"/>
        <v>7146110</v>
      </c>
      <c r="BJ46" s="6908">
        <f t="shared" si="134"/>
        <v>5933321</v>
      </c>
    </row>
    <row r="47" spans="1:62" s="3380" customFormat="1" ht="16" thickBot="1" x14ac:dyDescent="0.25">
      <c r="A47" s="5582"/>
      <c r="B47" s="5583"/>
      <c r="C47" s="5584"/>
      <c r="D47" s="5585"/>
      <c r="E47" s="5585"/>
      <c r="G47" s="5586"/>
      <c r="I47" s="5587"/>
      <c r="J47" s="5587"/>
      <c r="K47" s="5587"/>
      <c r="O47" s="5587"/>
      <c r="P47" s="5587"/>
      <c r="S47" s="5587"/>
      <c r="W47" s="5587"/>
      <c r="AA47" s="5587"/>
      <c r="AG47" s="5587"/>
      <c r="AK47" s="5587"/>
      <c r="AO47" s="5587"/>
      <c r="AU47" s="5587"/>
      <c r="AY47" s="8202"/>
      <c r="BC47" s="8202"/>
    </row>
    <row r="48" spans="1:62" s="3380" customFormat="1" ht="23" x14ac:dyDescent="0.2">
      <c r="A48" s="5588"/>
      <c r="B48" s="5589" t="s">
        <v>583</v>
      </c>
      <c r="C48" s="9028" t="s">
        <v>658</v>
      </c>
      <c r="D48" s="5590"/>
      <c r="E48" s="5590"/>
      <c r="G48" s="5586"/>
      <c r="I48" s="5587"/>
      <c r="J48" s="5587"/>
      <c r="K48" s="5587"/>
      <c r="O48" s="5587"/>
      <c r="P48" s="5816"/>
      <c r="S48" s="5587"/>
      <c r="W48" s="5587"/>
      <c r="AA48" s="5587"/>
      <c r="AG48" s="5587"/>
      <c r="AK48" s="5587"/>
      <c r="AO48" s="5587"/>
      <c r="AU48" s="5587"/>
      <c r="AY48" s="8202"/>
      <c r="BC48" s="8202"/>
      <c r="BD48" s="8134"/>
    </row>
    <row r="49" spans="1:62" s="3380" customFormat="1" ht="24" thickBot="1" x14ac:dyDescent="0.3">
      <c r="A49" s="5588"/>
      <c r="B49" s="5591" t="s">
        <v>945</v>
      </c>
      <c r="C49" s="9029"/>
      <c r="D49" s="5592" t="s">
        <v>660</v>
      </c>
      <c r="E49" s="5592" t="s">
        <v>660</v>
      </c>
      <c r="G49" s="5586"/>
      <c r="H49" s="3457" t="s">
        <v>1077</v>
      </c>
      <c r="I49" s="5587"/>
      <c r="J49" s="5587"/>
      <c r="K49" s="5587"/>
      <c r="O49" s="5587"/>
      <c r="P49" s="5587"/>
      <c r="S49" s="5587"/>
      <c r="W49" s="5587"/>
      <c r="AA49" s="5587"/>
      <c r="AG49" s="5587"/>
      <c r="AK49" s="5587"/>
      <c r="AO49" s="5587"/>
      <c r="AU49" s="5587"/>
      <c r="AY49" s="8202"/>
      <c r="BC49" s="8202"/>
    </row>
    <row r="50" spans="1:62" s="3380" customFormat="1" x14ac:dyDescent="0.2">
      <c r="A50" s="5593"/>
      <c r="B50" s="5594" t="s">
        <v>1042</v>
      </c>
      <c r="C50" s="5146" t="s">
        <v>897</v>
      </c>
      <c r="D50" s="5595">
        <f t="shared" ref="D50:E65" si="194">+((D6/1000)/D$3)/24</f>
        <v>0</v>
      </c>
      <c r="E50" s="5595">
        <f t="shared" si="194"/>
        <v>0</v>
      </c>
      <c r="G50" s="5586"/>
      <c r="H50" s="3458"/>
      <c r="I50" s="5587"/>
      <c r="J50" s="5587"/>
      <c r="K50" s="5587"/>
      <c r="O50" s="5587"/>
      <c r="P50" s="5587"/>
      <c r="S50" s="5587"/>
      <c r="W50" s="5587"/>
      <c r="AA50" s="5587"/>
      <c r="AG50" s="5587"/>
      <c r="AK50" s="5587"/>
      <c r="AO50" s="5587"/>
      <c r="AU50" s="5587"/>
      <c r="AY50" s="8202"/>
      <c r="BC50" s="8202"/>
    </row>
    <row r="51" spans="1:62" s="3380" customFormat="1" ht="16" thickBot="1" x14ac:dyDescent="0.25">
      <c r="A51" s="5596"/>
      <c r="B51" s="3933" t="s">
        <v>1309</v>
      </c>
      <c r="C51" s="4620" t="s">
        <v>897</v>
      </c>
      <c r="D51" s="5595">
        <f t="shared" si="194"/>
        <v>40.681249999999956</v>
      </c>
      <c r="E51" s="5595">
        <f t="shared" si="194"/>
        <v>38.99260752688172</v>
      </c>
      <c r="G51" s="5586"/>
      <c r="H51" s="5583"/>
      <c r="I51" s="5814">
        <v>30</v>
      </c>
      <c r="J51" s="5815">
        <f>+J3</f>
        <v>30</v>
      </c>
      <c r="K51" s="5815">
        <f t="shared" ref="K51:AF51" si="195">+K3</f>
        <v>31</v>
      </c>
      <c r="L51" s="5815">
        <f t="shared" si="195"/>
        <v>31</v>
      </c>
      <c r="M51" s="5815">
        <f t="shared" si="195"/>
        <v>61</v>
      </c>
      <c r="N51" s="5815">
        <f t="shared" si="195"/>
        <v>61</v>
      </c>
      <c r="O51" s="5815">
        <f t="shared" si="195"/>
        <v>30</v>
      </c>
      <c r="P51" s="5815">
        <f t="shared" si="195"/>
        <v>30</v>
      </c>
      <c r="Q51" s="5815">
        <f t="shared" si="195"/>
        <v>91</v>
      </c>
      <c r="R51" s="5815">
        <f t="shared" si="195"/>
        <v>91</v>
      </c>
      <c r="S51" s="5815">
        <f t="shared" si="195"/>
        <v>31</v>
      </c>
      <c r="T51" s="5815">
        <f t="shared" si="195"/>
        <v>31</v>
      </c>
      <c r="U51" s="5815">
        <f t="shared" si="195"/>
        <v>122</v>
      </c>
      <c r="V51" s="5815">
        <f t="shared" si="195"/>
        <v>122</v>
      </c>
      <c r="W51" s="5815">
        <f t="shared" si="195"/>
        <v>31</v>
      </c>
      <c r="X51" s="5815">
        <f t="shared" si="195"/>
        <v>31</v>
      </c>
      <c r="Y51" s="5815">
        <f t="shared" si="195"/>
        <v>153</v>
      </c>
      <c r="Z51" s="5815">
        <f t="shared" si="195"/>
        <v>153</v>
      </c>
      <c r="AA51" s="5815">
        <f t="shared" si="195"/>
        <v>30</v>
      </c>
      <c r="AB51" s="5815">
        <f t="shared" si="195"/>
        <v>30</v>
      </c>
      <c r="AC51" s="5815">
        <f t="shared" si="195"/>
        <v>92</v>
      </c>
      <c r="AD51" s="5815">
        <f t="shared" si="195"/>
        <v>92</v>
      </c>
      <c r="AE51" s="5815">
        <f t="shared" si="195"/>
        <v>183</v>
      </c>
      <c r="AF51" s="5815">
        <f t="shared" si="195"/>
        <v>183</v>
      </c>
      <c r="AG51" s="5815">
        <f t="shared" ref="AG51:AT51" si="196">+AG3</f>
        <v>31</v>
      </c>
      <c r="AH51" s="5815">
        <f t="shared" si="196"/>
        <v>31</v>
      </c>
      <c r="AI51" s="5815">
        <f t="shared" si="196"/>
        <v>214</v>
      </c>
      <c r="AJ51" s="5815">
        <f t="shared" si="196"/>
        <v>214</v>
      </c>
      <c r="AK51" s="5815">
        <f t="shared" si="196"/>
        <v>30</v>
      </c>
      <c r="AL51" s="5815">
        <f t="shared" si="196"/>
        <v>30</v>
      </c>
      <c r="AM51" s="5815">
        <f t="shared" si="196"/>
        <v>244</v>
      </c>
      <c r="AN51" s="5815">
        <f t="shared" si="196"/>
        <v>244</v>
      </c>
      <c r="AO51" s="5815">
        <f t="shared" si="196"/>
        <v>31</v>
      </c>
      <c r="AP51" s="5815">
        <f t="shared" si="196"/>
        <v>31</v>
      </c>
      <c r="AQ51" s="5815">
        <f t="shared" si="196"/>
        <v>92</v>
      </c>
      <c r="AR51" s="5815">
        <f t="shared" si="196"/>
        <v>92</v>
      </c>
      <c r="AS51" s="5815">
        <f t="shared" si="196"/>
        <v>275</v>
      </c>
      <c r="AT51" s="5815">
        <f t="shared" si="196"/>
        <v>275</v>
      </c>
      <c r="AU51" s="5815">
        <f t="shared" ref="AU51:AX51" si="197">+AU3</f>
        <v>31</v>
      </c>
      <c r="AV51" s="5815">
        <f t="shared" si="197"/>
        <v>31</v>
      </c>
      <c r="AW51" s="5815">
        <f t="shared" si="197"/>
        <v>306</v>
      </c>
      <c r="AX51" s="5815">
        <f t="shared" si="197"/>
        <v>306</v>
      </c>
      <c r="AY51" s="8203">
        <f t="shared" ref="AY51:BB51" si="198">+AY3</f>
        <v>28</v>
      </c>
      <c r="AZ51" s="5815">
        <f t="shared" si="198"/>
        <v>28</v>
      </c>
      <c r="BA51" s="5815">
        <f t="shared" si="198"/>
        <v>334</v>
      </c>
      <c r="BB51" s="5815">
        <f t="shared" si="198"/>
        <v>334</v>
      </c>
      <c r="BC51" s="8203">
        <f t="shared" ref="BC51:BJ51" si="199">+BC3</f>
        <v>31</v>
      </c>
      <c r="BD51" s="5815">
        <f t="shared" si="199"/>
        <v>31</v>
      </c>
      <c r="BE51" s="5815">
        <f t="shared" si="199"/>
        <v>90</v>
      </c>
      <c r="BF51" s="5815">
        <f t="shared" si="199"/>
        <v>90</v>
      </c>
      <c r="BG51" s="5815">
        <f t="shared" ref="BG51:BH51" si="200">+BG3</f>
        <v>182</v>
      </c>
      <c r="BH51" s="5815">
        <f t="shared" si="200"/>
        <v>182</v>
      </c>
      <c r="BI51" s="5815">
        <f t="shared" si="199"/>
        <v>365</v>
      </c>
      <c r="BJ51" s="5815">
        <f t="shared" si="199"/>
        <v>365</v>
      </c>
    </row>
    <row r="52" spans="1:62" ht="23" x14ac:dyDescent="0.2">
      <c r="A52" s="1959"/>
      <c r="B52" s="3933" t="s">
        <v>1043</v>
      </c>
      <c r="C52" s="1636" t="s">
        <v>897</v>
      </c>
      <c r="D52" s="5542">
        <f t="shared" si="194"/>
        <v>4.3569444444444443</v>
      </c>
      <c r="E52" s="5542">
        <f t="shared" si="194"/>
        <v>1.0295698924731183</v>
      </c>
      <c r="G52" s="5504"/>
      <c r="H52" s="5505" t="s">
        <v>583</v>
      </c>
      <c r="I52" s="9016" t="s">
        <v>1859</v>
      </c>
      <c r="J52" s="9017"/>
      <c r="K52" s="9016" t="s">
        <v>1862</v>
      </c>
      <c r="L52" s="9030"/>
      <c r="M52" s="9018" t="s">
        <v>52</v>
      </c>
      <c r="N52" s="9019"/>
      <c r="O52" s="9016" t="str">
        <f>+O4</f>
        <v>Jun'20</v>
      </c>
      <c r="P52" s="9017"/>
      <c r="Q52" s="9026" t="str">
        <f>+Q4</f>
        <v>QTR 1</v>
      </c>
      <c r="R52" s="9027"/>
      <c r="S52" s="9016" t="str">
        <f>+S4</f>
        <v>Jul'20</v>
      </c>
      <c r="T52" s="9017"/>
      <c r="U52" s="9018" t="s">
        <v>62</v>
      </c>
      <c r="V52" s="9019"/>
      <c r="W52" s="9016" t="str">
        <f>+W4</f>
        <v>Aug'20</v>
      </c>
      <c r="X52" s="9017"/>
      <c r="Y52" s="9018" t="s">
        <v>62</v>
      </c>
      <c r="Z52" s="9019"/>
      <c r="AA52" s="9016" t="str">
        <f>+AA4</f>
        <v>Sep'20</v>
      </c>
      <c r="AB52" s="9017"/>
      <c r="AC52" s="9026" t="str">
        <f>+AC4</f>
        <v>QTR 2</v>
      </c>
      <c r="AD52" s="9027"/>
      <c r="AE52" s="9022" t="s">
        <v>1697</v>
      </c>
      <c r="AF52" s="9023"/>
      <c r="AG52" s="9016" t="str">
        <f>+AG4</f>
        <v>Oct'20</v>
      </c>
      <c r="AH52" s="9017"/>
      <c r="AI52" s="9018" t="s">
        <v>62</v>
      </c>
      <c r="AJ52" s="9019"/>
      <c r="AK52" s="9016" t="str">
        <f>+AK4</f>
        <v>Nov'20</v>
      </c>
      <c r="AL52" s="9017"/>
      <c r="AM52" s="9018" t="s">
        <v>62</v>
      </c>
      <c r="AN52" s="9019"/>
      <c r="AO52" s="9016" t="str">
        <f>+AO4</f>
        <v>Dec'20</v>
      </c>
      <c r="AP52" s="9017"/>
      <c r="AQ52" s="9026" t="str">
        <f>+AQ4</f>
        <v>QTR 3</v>
      </c>
      <c r="AR52" s="9027"/>
      <c r="AS52" s="9018" t="str">
        <f>+AS4</f>
        <v>9 M</v>
      </c>
      <c r="AT52" s="9019"/>
      <c r="AU52" s="9016" t="str">
        <f>+AU4</f>
        <v>Jan'21</v>
      </c>
      <c r="AV52" s="9017"/>
      <c r="AW52" s="9018" t="s">
        <v>62</v>
      </c>
      <c r="AX52" s="9019"/>
      <c r="AY52" s="9016" t="str">
        <f>+AY4</f>
        <v>Feb'21</v>
      </c>
      <c r="AZ52" s="9017"/>
      <c r="BA52" s="9018" t="s">
        <v>62</v>
      </c>
      <c r="BB52" s="9019"/>
      <c r="BC52" s="9016" t="str">
        <f>+BC4</f>
        <v>Mar'21</v>
      </c>
      <c r="BD52" s="9017"/>
      <c r="BE52" s="9026" t="str">
        <f>+BE4</f>
        <v>QTR 4</v>
      </c>
      <c r="BF52" s="9027"/>
      <c r="BG52" s="9024" t="str">
        <f>+BG4</f>
        <v>H2</v>
      </c>
      <c r="BH52" s="9025"/>
      <c r="BI52" s="9022" t="s">
        <v>1865</v>
      </c>
      <c r="BJ52" s="9023"/>
    </row>
    <row r="53" spans="1:62" x14ac:dyDescent="0.2">
      <c r="A53" s="5457"/>
      <c r="B53" s="3933" t="s">
        <v>1044</v>
      </c>
      <c r="C53" s="1636" t="s">
        <v>897</v>
      </c>
      <c r="D53" s="5542">
        <f t="shared" si="194"/>
        <v>78.336111111111109</v>
      </c>
      <c r="E53" s="5542">
        <f t="shared" si="194"/>
        <v>87.782258064516142</v>
      </c>
      <c r="G53" s="5507"/>
      <c r="H53" s="3938"/>
      <c r="I53" s="4105" t="s">
        <v>659</v>
      </c>
      <c r="J53" s="4105" t="s">
        <v>660</v>
      </c>
      <c r="K53" s="4105" t="s">
        <v>659</v>
      </c>
      <c r="L53" s="1579" t="s">
        <v>660</v>
      </c>
      <c r="M53" s="4109" t="s">
        <v>659</v>
      </c>
      <c r="N53" s="5570" t="s">
        <v>660</v>
      </c>
      <c r="O53" s="4105" t="s">
        <v>659</v>
      </c>
      <c r="P53" s="4105" t="s">
        <v>660</v>
      </c>
      <c r="Q53" s="4113" t="s">
        <v>659</v>
      </c>
      <c r="R53" s="5801" t="s">
        <v>660</v>
      </c>
      <c r="S53" s="4105" t="s">
        <v>659</v>
      </c>
      <c r="T53" s="1579" t="s">
        <v>660</v>
      </c>
      <c r="U53" s="4109" t="s">
        <v>659</v>
      </c>
      <c r="V53" s="5570" t="s">
        <v>660</v>
      </c>
      <c r="W53" s="4105" t="s">
        <v>659</v>
      </c>
      <c r="X53" s="1579" t="s">
        <v>660</v>
      </c>
      <c r="Y53" s="4109" t="s">
        <v>659</v>
      </c>
      <c r="Z53" s="5570" t="s">
        <v>660</v>
      </c>
      <c r="AA53" s="4105" t="s">
        <v>659</v>
      </c>
      <c r="AB53" s="1579" t="s">
        <v>660</v>
      </c>
      <c r="AC53" s="4113" t="s">
        <v>659</v>
      </c>
      <c r="AD53" s="5801" t="s">
        <v>660</v>
      </c>
      <c r="AE53" s="6900" t="s">
        <v>659</v>
      </c>
      <c r="AF53" s="6901" t="s">
        <v>660</v>
      </c>
      <c r="AG53" s="4105" t="s">
        <v>659</v>
      </c>
      <c r="AH53" s="1579" t="s">
        <v>660</v>
      </c>
      <c r="AI53" s="4109" t="s">
        <v>659</v>
      </c>
      <c r="AJ53" s="5570" t="s">
        <v>660</v>
      </c>
      <c r="AK53" s="7579" t="s">
        <v>659</v>
      </c>
      <c r="AL53" s="1579" t="s">
        <v>660</v>
      </c>
      <c r="AM53" s="4109" t="s">
        <v>659</v>
      </c>
      <c r="AN53" s="5570" t="s">
        <v>660</v>
      </c>
      <c r="AO53" s="7777" t="s">
        <v>659</v>
      </c>
      <c r="AP53" s="1579" t="s">
        <v>660</v>
      </c>
      <c r="AQ53" s="4113" t="s">
        <v>659</v>
      </c>
      <c r="AR53" s="5801" t="s">
        <v>660</v>
      </c>
      <c r="AS53" s="4109" t="s">
        <v>659</v>
      </c>
      <c r="AT53" s="5570" t="s">
        <v>660</v>
      </c>
      <c r="AU53" s="8105" t="s">
        <v>659</v>
      </c>
      <c r="AV53" s="1579" t="s">
        <v>660</v>
      </c>
      <c r="AW53" s="4109" t="s">
        <v>659</v>
      </c>
      <c r="AX53" s="5570" t="s">
        <v>660</v>
      </c>
      <c r="AY53" s="8195" t="s">
        <v>659</v>
      </c>
      <c r="AZ53" s="1579" t="s">
        <v>660</v>
      </c>
      <c r="BA53" s="4109" t="s">
        <v>659</v>
      </c>
      <c r="BB53" s="5570" t="s">
        <v>660</v>
      </c>
      <c r="BC53" s="8195" t="s">
        <v>659</v>
      </c>
      <c r="BD53" s="1579" t="s">
        <v>660</v>
      </c>
      <c r="BE53" s="4113" t="s">
        <v>659</v>
      </c>
      <c r="BF53" s="5801" t="s">
        <v>660</v>
      </c>
      <c r="BG53" s="8368" t="s">
        <v>659</v>
      </c>
      <c r="BH53" s="8368" t="s">
        <v>660</v>
      </c>
      <c r="BI53" s="6900" t="s">
        <v>659</v>
      </c>
      <c r="BJ53" s="6901" t="s">
        <v>660</v>
      </c>
    </row>
    <row r="54" spans="1:62" ht="17" thickBot="1" x14ac:dyDescent="0.25">
      <c r="A54" s="5457"/>
      <c r="B54" s="1657" t="s">
        <v>1045</v>
      </c>
      <c r="C54" s="1637" t="s">
        <v>897</v>
      </c>
      <c r="D54" s="5542">
        <f t="shared" si="194"/>
        <v>0.71443055555555557</v>
      </c>
      <c r="E54" s="5542">
        <f t="shared" si="194"/>
        <v>0.69551075268817242</v>
      </c>
      <c r="G54" s="5511">
        <v>1</v>
      </c>
      <c r="H54" s="5512" t="s">
        <v>1980</v>
      </c>
      <c r="I54" s="5560">
        <f>+SUM(I55:I59)</f>
        <v>124.08873611111102</v>
      </c>
      <c r="J54" s="5560">
        <f t="shared" ref="J54:M69" si="201">J6/1000/24/J$3</f>
        <v>124.08873611111107</v>
      </c>
      <c r="K54" s="5560">
        <f>+SUM(K55:K59)</f>
        <v>128.499946236559</v>
      </c>
      <c r="L54" s="5561">
        <f t="shared" si="201"/>
        <v>128.49994623655914</v>
      </c>
      <c r="M54" s="5577">
        <f t="shared" ref="M54:N54" si="202">M6/1000/24/M$3</f>
        <v>126.33049863387966</v>
      </c>
      <c r="N54" s="5577">
        <f t="shared" si="202"/>
        <v>126.33049863387977</v>
      </c>
      <c r="O54" s="5560">
        <f>+SUM(O55:O59)</f>
        <v>137.3548398138889</v>
      </c>
      <c r="P54" s="5560">
        <f t="shared" ref="P54:R69" si="203">P6/1000/24/P$3</f>
        <v>135.42095833333332</v>
      </c>
      <c r="Q54" s="5809">
        <f t="shared" si="203"/>
        <v>129.9648968250915</v>
      </c>
      <c r="R54" s="5809">
        <f t="shared" si="203"/>
        <v>129.32735347985349</v>
      </c>
      <c r="S54" s="5560">
        <f>+SUM(S55:S59)</f>
        <v>148.84479391834299</v>
      </c>
      <c r="T54" s="5561">
        <f t="shared" ref="T54:V69" si="204">T6/1000/24/T$3</f>
        <v>138.00919354838717</v>
      </c>
      <c r="U54" s="5577">
        <f t="shared" si="204"/>
        <v>134.76224772583572</v>
      </c>
      <c r="V54" s="5577">
        <f t="shared" si="204"/>
        <v>131.5333948087432</v>
      </c>
      <c r="W54" s="5560">
        <f>+SUM(W55:W59)</f>
        <v>148.14884867847442</v>
      </c>
      <c r="X54" s="5561">
        <f t="shared" ref="X54:Z54" si="205">X6/1000/24/X$3</f>
        <v>141.84106182795691</v>
      </c>
      <c r="Y54" s="5577">
        <f t="shared" si="205"/>
        <v>137.47456556591285</v>
      </c>
      <c r="Z54" s="5577">
        <f t="shared" si="205"/>
        <v>133.62187636165578</v>
      </c>
      <c r="AA54" s="5560">
        <f>+SUM(AA55:AA59)</f>
        <v>149.77595123693175</v>
      </c>
      <c r="AB54" s="5561">
        <f t="shared" ref="AB54:AF54" si="206">AB6/1000/24/AB$3</f>
        <v>129.01854166666666</v>
      </c>
      <c r="AC54" s="5809">
        <f t="shared" si="206"/>
        <v>148.91392888705755</v>
      </c>
      <c r="AD54" s="5809">
        <f t="shared" si="206"/>
        <v>136.36863224637682</v>
      </c>
      <c r="AE54" s="6909">
        <f t="shared" si="206"/>
        <v>139.49118616771923</v>
      </c>
      <c r="AF54" s="6909">
        <f t="shared" si="206"/>
        <v>132.86723132969036</v>
      </c>
      <c r="AG54" s="5560">
        <f>+SUM(AG55:AG59)</f>
        <v>121.42892791584779</v>
      </c>
      <c r="AH54" s="5561">
        <f t="shared" ref="AH54:AJ54" si="207">AH6/1000/24/AH$3</f>
        <v>132.86419354838714</v>
      </c>
      <c r="AI54" s="5577">
        <f t="shared" si="207"/>
        <v>136.87469081347618</v>
      </c>
      <c r="AJ54" s="5577">
        <f t="shared" si="207"/>
        <v>132.86679127725856</v>
      </c>
      <c r="AK54" s="5560">
        <f>+SUM(AK55:AK59)</f>
        <v>158.02979338876418</v>
      </c>
      <c r="AL54" s="5561">
        <f t="shared" ref="AL54:AN54" si="208">AL6/1000/24/AL$3</f>
        <v>137.98536111111113</v>
      </c>
      <c r="AM54" s="5577">
        <f t="shared" si="208"/>
        <v>139.47572801535586</v>
      </c>
      <c r="AN54" s="5577">
        <f t="shared" si="208"/>
        <v>133.49612363387979</v>
      </c>
      <c r="AO54" s="5560">
        <f>+SUM(AO55:AO59)</f>
        <v>157.04921506613289</v>
      </c>
      <c r="AP54" s="5561">
        <f t="shared" ref="AP54:AT54" si="209">AP6/1000/24/AP$3</f>
        <v>139.0919220430107</v>
      </c>
      <c r="AQ54" s="5809">
        <f t="shared" si="209"/>
        <v>145.36648080548179</v>
      </c>
      <c r="AR54" s="5809">
        <f t="shared" si="209"/>
        <v>136.63261322463768</v>
      </c>
      <c r="AS54" s="5577">
        <f t="shared" si="209"/>
        <v>141.45673928289798</v>
      </c>
      <c r="AT54" s="5577">
        <f t="shared" si="209"/>
        <v>134.12692272727273</v>
      </c>
      <c r="AU54" s="5560">
        <f>+SUM(AU55:AU59)</f>
        <v>156.89314970992717</v>
      </c>
      <c r="AV54" s="5561">
        <f t="shared" ref="AV54:AX54" si="210">AV6/1000/24/AV$3</f>
        <v>143.53135752688175</v>
      </c>
      <c r="AW54" s="5577">
        <f t="shared" si="210"/>
        <v>143.0205586398846</v>
      </c>
      <c r="AX54" s="5577">
        <f t="shared" si="210"/>
        <v>135.07965958605664</v>
      </c>
      <c r="AY54" s="8204">
        <v>158.5835555459</v>
      </c>
      <c r="AZ54" s="5561">
        <f t="shared" ref="AZ54:BB54" si="211">AZ6/1000/24/AZ$3</f>
        <v>146.72916666666669</v>
      </c>
      <c r="BA54" s="5577">
        <f t="shared" si="211"/>
        <v>144.32524101523919</v>
      </c>
      <c r="BB54" s="5577">
        <f t="shared" si="211"/>
        <v>136.05626497005989</v>
      </c>
      <c r="BC54" s="8204">
        <v>159.43362117699999</v>
      </c>
      <c r="BD54" s="5561">
        <f t="shared" ref="BD54:BJ54" si="212">BD6/1000/24/BD$3</f>
        <v>148.48092741935471</v>
      </c>
      <c r="BE54" s="5809">
        <f t="shared" si="212"/>
        <v>158.29410503054379</v>
      </c>
      <c r="BF54" s="5809">
        <f t="shared" si="212"/>
        <v>146.23108333333329</v>
      </c>
      <c r="BG54" s="5809">
        <f t="shared" ref="BG54:BH54" si="213">BG6/1000/24/BG$3</f>
        <v>151.75926201567728</v>
      </c>
      <c r="BH54" s="5809">
        <f t="shared" si="213"/>
        <v>141.3791094322344</v>
      </c>
      <c r="BI54" s="6909">
        <f t="shared" si="212"/>
        <v>145.60841850834487</v>
      </c>
      <c r="BJ54" s="6909">
        <f t="shared" si="212"/>
        <v>137.11151027397261</v>
      </c>
    </row>
    <row r="55" spans="1:62" ht="17" thickBot="1" x14ac:dyDescent="0.25">
      <c r="A55" s="1960"/>
      <c r="B55" s="1617" t="s">
        <v>1046</v>
      </c>
      <c r="C55" s="1638" t="s">
        <v>897</v>
      </c>
      <c r="D55" s="5543">
        <f t="shared" si="194"/>
        <v>124.08873611111107</v>
      </c>
      <c r="E55" s="5543">
        <f t="shared" si="194"/>
        <v>128.49994623655914</v>
      </c>
      <c r="G55" s="5507">
        <v>1.1000000000000001</v>
      </c>
      <c r="H55" s="3938" t="s">
        <v>1042</v>
      </c>
      <c r="I55" s="6045">
        <v>0</v>
      </c>
      <c r="J55" s="5562">
        <f t="shared" si="201"/>
        <v>0</v>
      </c>
      <c r="K55" s="6045">
        <v>0</v>
      </c>
      <c r="L55" s="5563">
        <f t="shared" si="201"/>
        <v>0</v>
      </c>
      <c r="M55" s="5578">
        <f t="shared" si="201"/>
        <v>0</v>
      </c>
      <c r="N55" s="5578">
        <f t="shared" ref="N55" si="214">N7/1000/24/N$3</f>
        <v>0</v>
      </c>
      <c r="O55" s="6045">
        <v>0</v>
      </c>
      <c r="P55" s="5562">
        <f t="shared" ref="P55:Q55" si="215">P7/1000/24/P$3</f>
        <v>0</v>
      </c>
      <c r="Q55" s="5810">
        <f t="shared" si="215"/>
        <v>0</v>
      </c>
      <c r="R55" s="5810">
        <f t="shared" si="203"/>
        <v>0</v>
      </c>
      <c r="S55" s="6045">
        <v>0</v>
      </c>
      <c r="T55" s="5563">
        <f t="shared" ref="T55:U55" si="216">T7/1000/24/T$3</f>
        <v>0</v>
      </c>
      <c r="U55" s="5578">
        <f t="shared" si="216"/>
        <v>0</v>
      </c>
      <c r="V55" s="5578">
        <f t="shared" si="204"/>
        <v>0</v>
      </c>
      <c r="W55" s="6045">
        <v>0</v>
      </c>
      <c r="X55" s="5563">
        <f t="shared" ref="X55:Z55" si="217">X7/1000/24/X$3</f>
        <v>0</v>
      </c>
      <c r="Y55" s="5578">
        <f t="shared" si="217"/>
        <v>0</v>
      </c>
      <c r="Z55" s="5578">
        <f t="shared" si="217"/>
        <v>0</v>
      </c>
      <c r="AA55" s="6045">
        <v>0</v>
      </c>
      <c r="AB55" s="5563">
        <f t="shared" ref="AB55:AF55" si="218">AB7/1000/24/AB$3</f>
        <v>0</v>
      </c>
      <c r="AC55" s="5810">
        <f t="shared" si="218"/>
        <v>0</v>
      </c>
      <c r="AD55" s="5810">
        <f t="shared" si="218"/>
        <v>0</v>
      </c>
      <c r="AE55" s="6910">
        <f t="shared" si="218"/>
        <v>0</v>
      </c>
      <c r="AF55" s="6910">
        <f t="shared" si="218"/>
        <v>0</v>
      </c>
      <c r="AG55" s="6045">
        <v>0</v>
      </c>
      <c r="AH55" s="5563">
        <f t="shared" ref="AH55:AJ55" si="219">AH7/1000/24/AH$3</f>
        <v>0</v>
      </c>
      <c r="AI55" s="5578">
        <f t="shared" si="219"/>
        <v>0</v>
      </c>
      <c r="AJ55" s="5578">
        <f t="shared" si="219"/>
        <v>0</v>
      </c>
      <c r="AK55" s="6045">
        <v>0</v>
      </c>
      <c r="AL55" s="5563">
        <f t="shared" ref="AL55:AN55" si="220">AL7/1000/24/AL$3</f>
        <v>0</v>
      </c>
      <c r="AM55" s="5578">
        <f t="shared" si="220"/>
        <v>0</v>
      </c>
      <c r="AN55" s="5578">
        <f t="shared" si="220"/>
        <v>0</v>
      </c>
      <c r="AO55" s="6045">
        <v>0</v>
      </c>
      <c r="AP55" s="5563">
        <f t="shared" ref="AP55:AT55" si="221">AP7/1000/24/AP$3</f>
        <v>0</v>
      </c>
      <c r="AQ55" s="5810">
        <f t="shared" si="221"/>
        <v>0</v>
      </c>
      <c r="AR55" s="5810">
        <f t="shared" si="221"/>
        <v>0</v>
      </c>
      <c r="AS55" s="5578">
        <f t="shared" si="221"/>
        <v>0</v>
      </c>
      <c r="AT55" s="5578">
        <f t="shared" si="221"/>
        <v>0</v>
      </c>
      <c r="AU55" s="6045">
        <v>0</v>
      </c>
      <c r="AV55" s="5563">
        <f t="shared" ref="AV55:AX55" si="222">AV7/1000/24/AV$3</f>
        <v>0</v>
      </c>
      <c r="AW55" s="5578">
        <f t="shared" si="222"/>
        <v>0</v>
      </c>
      <c r="AX55" s="5578">
        <f t="shared" si="222"/>
        <v>0</v>
      </c>
      <c r="AY55" s="8205">
        <v>0</v>
      </c>
      <c r="AZ55" s="5563">
        <f t="shared" ref="AZ55:BB55" si="223">AZ7/1000/24/AZ$3</f>
        <v>0</v>
      </c>
      <c r="BA55" s="5578">
        <f t="shared" si="223"/>
        <v>0</v>
      </c>
      <c r="BB55" s="5578">
        <f t="shared" si="223"/>
        <v>0</v>
      </c>
      <c r="BC55" s="8205">
        <v>0</v>
      </c>
      <c r="BD55" s="5563">
        <f t="shared" ref="BD55:BJ55" si="224">BD7/1000/24/BD$3</f>
        <v>0</v>
      </c>
      <c r="BE55" s="5810">
        <f t="shared" si="224"/>
        <v>0</v>
      </c>
      <c r="BF55" s="5810">
        <f t="shared" si="224"/>
        <v>0</v>
      </c>
      <c r="BG55" s="5810">
        <f t="shared" ref="BG55:BH55" si="225">BG7/1000/24/BG$3</f>
        <v>0</v>
      </c>
      <c r="BH55" s="5810">
        <f t="shared" si="225"/>
        <v>0</v>
      </c>
      <c r="BI55" s="6910">
        <f t="shared" si="224"/>
        <v>0</v>
      </c>
      <c r="BJ55" s="6910">
        <f t="shared" si="224"/>
        <v>0</v>
      </c>
    </row>
    <row r="56" spans="1:62" x14ac:dyDescent="0.2">
      <c r="A56" s="5457"/>
      <c r="B56" s="1899" t="s">
        <v>1052</v>
      </c>
      <c r="C56" s="1639" t="s">
        <v>897</v>
      </c>
      <c r="D56" s="5542">
        <f t="shared" si="194"/>
        <v>0.36386362222222091</v>
      </c>
      <c r="E56" s="5542">
        <f t="shared" si="194"/>
        <v>0.42739066801075221</v>
      </c>
      <c r="G56" s="5507">
        <v>1.2</v>
      </c>
      <c r="H56" s="3938" t="s">
        <v>1309</v>
      </c>
      <c r="I56" s="6045">
        <v>40.681249999999999</v>
      </c>
      <c r="J56" s="5562">
        <f t="shared" si="201"/>
        <v>40.681249999999963</v>
      </c>
      <c r="K56" s="6045">
        <v>38.992607526881699</v>
      </c>
      <c r="L56" s="5563">
        <f t="shared" si="201"/>
        <v>38.99260752688172</v>
      </c>
      <c r="M56" s="5578">
        <f t="shared" si="201"/>
        <v>39.823087431693978</v>
      </c>
      <c r="N56" s="5578">
        <f t="shared" ref="N56" si="226">N8/1000/24/N$3</f>
        <v>39.82308743169397</v>
      </c>
      <c r="O56" s="6045">
        <v>42</v>
      </c>
      <c r="P56" s="5562">
        <f t="shared" ref="P56:Q56" si="227">P8/1000/24/P$3</f>
        <v>41.277777777777779</v>
      </c>
      <c r="Q56" s="5810">
        <f t="shared" si="227"/>
        <v>40.540750915750905</v>
      </c>
      <c r="R56" s="5810">
        <f t="shared" si="203"/>
        <v>40.302655677655665</v>
      </c>
      <c r="S56" s="6045">
        <v>47.550951362145199</v>
      </c>
      <c r="T56" s="5563">
        <f t="shared" ref="T56:U56" si="228">T8/1000/24/T$3</f>
        <v>43.196639784946335</v>
      </c>
      <c r="U56" s="5578">
        <f t="shared" si="228"/>
        <v>42.322031357047813</v>
      </c>
      <c r="V56" s="5578">
        <f t="shared" si="204"/>
        <v>41.038012295081984</v>
      </c>
      <c r="W56" s="6045">
        <v>48.224074074074075</v>
      </c>
      <c r="X56" s="5563">
        <f t="shared" ref="X56:Z56" si="229">X8/1000/24/X$3</f>
        <v>43.057123655913905</v>
      </c>
      <c r="Y56" s="5578">
        <f t="shared" si="229"/>
        <v>43.51787007749104</v>
      </c>
      <c r="Z56" s="5578">
        <f t="shared" si="229"/>
        <v>41.447113289760345</v>
      </c>
      <c r="AA56" s="6045">
        <v>48.220747396947651</v>
      </c>
      <c r="AB56" s="5563">
        <f t="shared" ref="AB56:AF56" si="230">AB8/1000/24/AB$3</f>
        <v>35.278333333333322</v>
      </c>
      <c r="AC56" s="5810">
        <f t="shared" si="230"/>
        <v>47.996176200339413</v>
      </c>
      <c r="AD56" s="5810">
        <f t="shared" si="230"/>
        <v>40.567572463768116</v>
      </c>
      <c r="AE56" s="6910">
        <f t="shared" si="230"/>
        <v>44.288833572483931</v>
      </c>
      <c r="AF56" s="6910">
        <f t="shared" si="230"/>
        <v>40.4358378870674</v>
      </c>
      <c r="AG56" s="6045">
        <v>31</v>
      </c>
      <c r="AH56" s="5563">
        <f t="shared" ref="AH56:AJ56" si="231">AH8/1000/24/AH$3</f>
        <v>38.759139784946257</v>
      </c>
      <c r="AI56" s="5578">
        <f t="shared" si="231"/>
        <v>42.363815625068035</v>
      </c>
      <c r="AJ56" s="5578">
        <f t="shared" si="231"/>
        <v>40.192951713395644</v>
      </c>
      <c r="AK56" s="6045">
        <v>44.471502400988925</v>
      </c>
      <c r="AL56" s="5563">
        <f t="shared" ref="AL56:AN56" si="232">AL8/1000/24/AL$3</f>
        <v>43.159027777777773</v>
      </c>
      <c r="AM56" s="5578">
        <f t="shared" si="232"/>
        <v>42.622957441779619</v>
      </c>
      <c r="AN56" s="5578">
        <f t="shared" si="232"/>
        <v>40.557633196721319</v>
      </c>
      <c r="AO56" s="6045">
        <v>48.136060000950884</v>
      </c>
      <c r="AP56" s="5563">
        <f t="shared" ref="AP56:AT56" si="233">AP8/1000/24/AP$3</f>
        <v>46.089381720430069</v>
      </c>
      <c r="AQ56" s="5810">
        <f t="shared" si="233"/>
        <v>41.166988391947228</v>
      </c>
      <c r="AR56" s="5810">
        <f t="shared" si="233"/>
        <v>42.663858695652166</v>
      </c>
      <c r="AS56" s="5578">
        <f t="shared" si="233"/>
        <v>43.244434457540734</v>
      </c>
      <c r="AT56" s="5578">
        <f t="shared" si="233"/>
        <v>41.181212121212127</v>
      </c>
      <c r="AU56" s="6045">
        <v>46.596049065753817</v>
      </c>
      <c r="AV56" s="5563">
        <f t="shared" ref="AV56:AX56" si="234">AV8/1000/24/AV$3</f>
        <v>47.477553763440888</v>
      </c>
      <c r="AW56" s="5578">
        <f t="shared" si="234"/>
        <v>43.583977113928334</v>
      </c>
      <c r="AX56" s="5578">
        <f t="shared" si="234"/>
        <v>41.81907679738562</v>
      </c>
      <c r="AY56" s="8205">
        <v>47.101173394200003</v>
      </c>
      <c r="AZ56" s="5563">
        <f t="shared" ref="AZ56:BB56" si="235">AZ8/1000/24/AZ$3</f>
        <v>48.710119047619052</v>
      </c>
      <c r="BA56" s="5578">
        <f t="shared" si="235"/>
        <v>43.878831891915183</v>
      </c>
      <c r="BB56" s="5578">
        <f t="shared" si="235"/>
        <v>42.396768962075853</v>
      </c>
      <c r="BC56" s="8205">
        <v>46.381246136999998</v>
      </c>
      <c r="BD56" s="5563">
        <f t="shared" ref="BD56:BJ56" si="236">BD8/1000/24/BD$3</f>
        <v>46.788172043010618</v>
      </c>
      <c r="BE56" s="5810">
        <f t="shared" si="236"/>
        <v>46.679211181366298</v>
      </c>
      <c r="BF56" s="5810">
        <f t="shared" si="236"/>
        <v>47.623564814814777</v>
      </c>
      <c r="BG56" s="5810">
        <f t="shared" ref="BG56:BH56" si="237">BG8/1000/24/BG$3</f>
        <v>43.892812848253371</v>
      </c>
      <c r="BH56" s="5810">
        <f t="shared" si="237"/>
        <v>45.116460622710605</v>
      </c>
      <c r="BI56" s="6910">
        <f t="shared" si="236"/>
        <v>44.091365704511425</v>
      </c>
      <c r="BJ56" s="6910">
        <f t="shared" si="236"/>
        <v>42.769737442922363</v>
      </c>
    </row>
    <row r="57" spans="1:62" ht="16" thickBot="1" x14ac:dyDescent="0.25">
      <c r="A57" s="5457"/>
      <c r="B57" s="1900" t="s">
        <v>1053</v>
      </c>
      <c r="C57" s="1637" t="s">
        <v>897</v>
      </c>
      <c r="D57" s="5542">
        <f t="shared" si="194"/>
        <v>1.416936111111049</v>
      </c>
      <c r="E57" s="5542">
        <f t="shared" si="194"/>
        <v>2.3863646505376503</v>
      </c>
      <c r="G57" s="5507">
        <v>1.3</v>
      </c>
      <c r="H57" s="3938" t="s">
        <v>1043</v>
      </c>
      <c r="I57" s="6045">
        <v>4.3569444444445002</v>
      </c>
      <c r="J57" s="5562">
        <f t="shared" si="201"/>
        <v>4.3569444444444452</v>
      </c>
      <c r="K57" s="6045">
        <v>4.3569444444445002</v>
      </c>
      <c r="L57" s="5563">
        <f t="shared" si="201"/>
        <v>1.0295698924731183</v>
      </c>
      <c r="M57" s="5578">
        <f t="shared" si="201"/>
        <v>4.3569444444444994</v>
      </c>
      <c r="N57" s="5578">
        <f t="shared" ref="N57" si="238">N9/1000/24/N$3</f>
        <v>2.665983606557377</v>
      </c>
      <c r="O57" s="6045">
        <v>4.3569444444445002</v>
      </c>
      <c r="P57" s="5562">
        <f t="shared" ref="P57:Q57" si="239">P9/1000/24/P$3</f>
        <v>2.794027777777778</v>
      </c>
      <c r="Q57" s="5810">
        <f t="shared" si="239"/>
        <v>4.3569444444445002</v>
      </c>
      <c r="R57" s="5810">
        <f t="shared" si="203"/>
        <v>2.7081959706959706</v>
      </c>
      <c r="S57" s="6045">
        <v>4.3569444444445002</v>
      </c>
      <c r="T57" s="5563">
        <f t="shared" ref="T57:U57" si="240">T9/1000/24/T$3</f>
        <v>5.8325268817204297</v>
      </c>
      <c r="U57" s="5578">
        <f t="shared" si="240"/>
        <v>4.3569444444444994</v>
      </c>
      <c r="V57" s="5578">
        <f t="shared" si="204"/>
        <v>3.5020833333333332</v>
      </c>
      <c r="W57" s="6045">
        <v>4.3569444444445002</v>
      </c>
      <c r="X57" s="5563">
        <f t="shared" ref="X57:Z57" si="241">X9/1000/24/X$3</f>
        <v>7.274193548387097</v>
      </c>
      <c r="Y57" s="5578">
        <f t="shared" si="241"/>
        <v>4.3569444444445002</v>
      </c>
      <c r="Z57" s="5578">
        <f t="shared" si="241"/>
        <v>4.2663671023965142</v>
      </c>
      <c r="AA57" s="6045">
        <v>4.3569444444445002</v>
      </c>
      <c r="AB57" s="5563">
        <f t="shared" ref="AB57:AF57" si="242">AB9/1000/24/AB$3</f>
        <v>5.0059722222222227</v>
      </c>
      <c r="AC57" s="5810">
        <f t="shared" si="242"/>
        <v>4.3569444444445002</v>
      </c>
      <c r="AD57" s="5810">
        <f t="shared" si="242"/>
        <v>6.0487771739130443</v>
      </c>
      <c r="AE57" s="6910">
        <f t="shared" si="242"/>
        <v>4.3569444444445002</v>
      </c>
      <c r="AF57" s="6910">
        <f t="shared" si="242"/>
        <v>4.3876138433515486</v>
      </c>
      <c r="AG57" s="6045">
        <v>4.3569444444445002</v>
      </c>
      <c r="AH57" s="5563">
        <f t="shared" ref="AH57:AJ57" si="243">AH9/1000/24/AH$3</f>
        <v>4.8470430107526878</v>
      </c>
      <c r="AI57" s="5578">
        <f t="shared" si="243"/>
        <v>4.3569444444445002</v>
      </c>
      <c r="AJ57" s="5578">
        <f t="shared" si="243"/>
        <v>4.4541666666666666</v>
      </c>
      <c r="AK57" s="6045">
        <v>4.3569444444445002</v>
      </c>
      <c r="AL57" s="5563">
        <f t="shared" ref="AL57:AN57" si="244">AL9/1000/24/AL$3</f>
        <v>3.9176388888888884</v>
      </c>
      <c r="AM57" s="5578">
        <f t="shared" si="244"/>
        <v>4.3569444444445011</v>
      </c>
      <c r="AN57" s="5578">
        <f t="shared" si="244"/>
        <v>4.3882001366120216</v>
      </c>
      <c r="AO57" s="6045">
        <v>4.3569444444445002</v>
      </c>
      <c r="AP57" s="5563">
        <f t="shared" ref="AP57:AT57" si="245">AP9/1000/24/AP$3</f>
        <v>3.825268817204301</v>
      </c>
      <c r="AQ57" s="5810">
        <f t="shared" si="245"/>
        <v>4.3569444444444994</v>
      </c>
      <c r="AR57" s="5810">
        <f t="shared" si="245"/>
        <v>4.1996829710144929</v>
      </c>
      <c r="AS57" s="5578">
        <f t="shared" si="245"/>
        <v>4.3569444444445002</v>
      </c>
      <c r="AT57" s="5578">
        <f t="shared" si="245"/>
        <v>4.3247424242424239</v>
      </c>
      <c r="AU57" s="6045">
        <v>4.3569444444445002</v>
      </c>
      <c r="AV57" s="5563">
        <f t="shared" ref="AV57:AX57" si="246">AV9/1000/24/AV$3</f>
        <v>4.1686827956989241</v>
      </c>
      <c r="AW57" s="5578">
        <f t="shared" si="246"/>
        <v>4.3569444444445002</v>
      </c>
      <c r="AX57" s="5578">
        <f t="shared" si="246"/>
        <v>4.3089324618736384</v>
      </c>
      <c r="AY57" s="8205">
        <v>4.3569444443999998</v>
      </c>
      <c r="AZ57" s="5563">
        <f t="shared" ref="AZ57:BB57" si="247">AZ9/1000/24/AZ$3</f>
        <v>4.4315476190476186</v>
      </c>
      <c r="BA57" s="5578">
        <f t="shared" si="247"/>
        <v>4.3569444444407699</v>
      </c>
      <c r="BB57" s="5578">
        <f t="shared" si="247"/>
        <v>4.3192115768463077</v>
      </c>
      <c r="BC57" s="8205">
        <v>4.3569444439999998</v>
      </c>
      <c r="BD57" s="5563">
        <f t="shared" ref="BD57:BJ57" si="248">BD9/1000/24/BD$3</f>
        <v>4.8315860215053767</v>
      </c>
      <c r="BE57" s="5810">
        <f t="shared" si="248"/>
        <v>4.3569444442775493</v>
      </c>
      <c r="BF57" s="5810">
        <f t="shared" si="248"/>
        <v>4.4787962962962968</v>
      </c>
      <c r="BG57" s="5810">
        <f t="shared" ref="BG57:BH57" si="249">BG9/1000/24/BG$3</f>
        <v>4.3569444443619423</v>
      </c>
      <c r="BH57" s="5810">
        <f t="shared" si="249"/>
        <v>4.337706043956044</v>
      </c>
      <c r="BI57" s="6910">
        <f t="shared" si="248"/>
        <v>4.3569444444033349</v>
      </c>
      <c r="BJ57" s="6910">
        <f t="shared" si="248"/>
        <v>4.3627283105022832</v>
      </c>
    </row>
    <row r="58" spans="1:62" ht="17" thickBot="1" x14ac:dyDescent="0.25">
      <c r="A58" s="1960"/>
      <c r="B58" s="5544" t="s">
        <v>1054</v>
      </c>
      <c r="C58" s="5545" t="s">
        <v>897</v>
      </c>
      <c r="D58" s="5543">
        <f t="shared" si="194"/>
        <v>1.7807997333332697</v>
      </c>
      <c r="E58" s="5543">
        <f t="shared" si="194"/>
        <v>2.8137553185484028</v>
      </c>
      <c r="G58" s="5507">
        <v>1.4</v>
      </c>
      <c r="H58" s="3938" t="s">
        <v>1044</v>
      </c>
      <c r="I58" s="6045">
        <v>78.336111111110924</v>
      </c>
      <c r="J58" s="5562">
        <f t="shared" si="201"/>
        <v>78.336111111111123</v>
      </c>
      <c r="K58" s="6045">
        <v>84.454883512544612</v>
      </c>
      <c r="L58" s="5563">
        <f t="shared" si="201"/>
        <v>87.782258064516128</v>
      </c>
      <c r="M58" s="5578">
        <f t="shared" si="201"/>
        <v>81.445651183970668</v>
      </c>
      <c r="N58" s="5578">
        <f t="shared" ref="N58" si="250">N10/1000/24/N$3</f>
        <v>83.136612021857914</v>
      </c>
      <c r="O58" s="6045">
        <v>90.247895369444407</v>
      </c>
      <c r="P58" s="5562">
        <f t="shared" ref="P58:Q58" si="251">P10/1000/24/P$3</f>
        <v>90.629166666666663</v>
      </c>
      <c r="Q58" s="5810">
        <f t="shared" si="251"/>
        <v>84.347489926434534</v>
      </c>
      <c r="R58" s="5810">
        <f t="shared" si="203"/>
        <v>85.606684981684978</v>
      </c>
      <c r="S58" s="6045">
        <v>96.186898111753294</v>
      </c>
      <c r="T58" s="5563">
        <f t="shared" ref="T58:U58" si="252">T10/1000/24/T$3</f>
        <v>88.216397849462368</v>
      </c>
      <c r="U58" s="5578">
        <f t="shared" si="252"/>
        <v>87.355864137458155</v>
      </c>
      <c r="V58" s="5578">
        <f t="shared" si="204"/>
        <v>86.269808743169392</v>
      </c>
      <c r="W58" s="6045">
        <v>94.817830159955847</v>
      </c>
      <c r="X58" s="5563">
        <f t="shared" ref="X58:Z58" si="253">X10/1000/24/X$3</f>
        <v>90.768817204301087</v>
      </c>
      <c r="Y58" s="5578">
        <f t="shared" si="253"/>
        <v>88.867765749859643</v>
      </c>
      <c r="Z58" s="5578">
        <f t="shared" si="253"/>
        <v>87.181372549019613</v>
      </c>
      <c r="AA58" s="6045">
        <v>96.448259395539608</v>
      </c>
      <c r="AB58" s="5563">
        <f t="shared" ref="AB58:AF58" si="254">AB10/1000/24/AB$3</f>
        <v>87.994444444444454</v>
      </c>
      <c r="AC58" s="5810">
        <f t="shared" si="254"/>
        <v>95.810808242273609</v>
      </c>
      <c r="AD58" s="5810">
        <f t="shared" si="254"/>
        <v>89.004076086956516</v>
      </c>
      <c r="AE58" s="6910">
        <f t="shared" si="254"/>
        <v>90.110469626200626</v>
      </c>
      <c r="AF58" s="6910">
        <f t="shared" si="254"/>
        <v>87.314663023679415</v>
      </c>
      <c r="AG58" s="6045">
        <v>85.3219834714033</v>
      </c>
      <c r="AH58" s="5563">
        <f t="shared" ref="AH58:AJ58" si="255">AH10/1000/24/AH$3</f>
        <v>88.513440860215056</v>
      </c>
      <c r="AI58" s="5578">
        <f t="shared" si="255"/>
        <v>89.416810416860827</v>
      </c>
      <c r="AJ58" s="5578">
        <f t="shared" si="255"/>
        <v>87.488317757009341</v>
      </c>
      <c r="AK58" s="6045">
        <v>108.45134654333076</v>
      </c>
      <c r="AL58" s="5563">
        <f t="shared" ref="AL58:AN58" si="256">AL10/1000/24/AL$3</f>
        <v>90.194444444444443</v>
      </c>
      <c r="AM58" s="5578">
        <f t="shared" si="256"/>
        <v>91.757122235689096</v>
      </c>
      <c r="AN58" s="5578">
        <f t="shared" si="256"/>
        <v>87.821038251366119</v>
      </c>
      <c r="AO58" s="6045">
        <v>103.8062106207375</v>
      </c>
      <c r="AP58" s="5563">
        <f t="shared" ref="AP58:AT58" si="257">AP10/1000/24/AP$3</f>
        <v>88.409946236559151</v>
      </c>
      <c r="AQ58" s="5810">
        <f t="shared" si="257"/>
        <v>99.092547969090077</v>
      </c>
      <c r="AR58" s="5810">
        <f t="shared" si="257"/>
        <v>89.02672101449275</v>
      </c>
      <c r="AS58" s="5578">
        <f t="shared" si="257"/>
        <v>93.115383108185455</v>
      </c>
      <c r="AT58" s="5578">
        <f t="shared" si="257"/>
        <v>87.887424242424245</v>
      </c>
      <c r="AU58" s="6045">
        <v>105.19015619972886</v>
      </c>
      <c r="AV58" s="5563">
        <f t="shared" ref="AV58:AX58" si="258">AV10/1000/24/AV$3</f>
        <v>91.123655913978496</v>
      </c>
      <c r="AW58" s="5578">
        <f t="shared" si="258"/>
        <v>94.338644434452931</v>
      </c>
      <c r="AX58" s="5578">
        <f t="shared" si="258"/>
        <v>88.215277777777771</v>
      </c>
      <c r="AY58" s="8205">
        <v>106.37543770729999</v>
      </c>
      <c r="AZ58" s="5563">
        <f t="shared" ref="AZ58:BB58" si="259">AZ10/1000/24/AZ$3</f>
        <v>92.831845238095227</v>
      </c>
      <c r="BA58" s="5578">
        <f t="shared" si="259"/>
        <v>95.347716924392216</v>
      </c>
      <c r="BB58" s="5578">
        <f t="shared" si="259"/>
        <v>88.602295409181636</v>
      </c>
      <c r="BC58" s="8205">
        <v>107.945430595</v>
      </c>
      <c r="BD58" s="5563">
        <f t="shared" ref="BD58:BJ58" si="260">BD10/1000/24/BD$3</f>
        <v>96.107526881720432</v>
      </c>
      <c r="BE58" s="5810">
        <f t="shared" si="260"/>
        <v>106.50794940489996</v>
      </c>
      <c r="BF58" s="5810">
        <f t="shared" si="260"/>
        <v>93.371759259259264</v>
      </c>
      <c r="BG58" s="5810">
        <f t="shared" ref="BG58:BH58" si="261">BG10/1000/24/BG$3</f>
        <v>102.75950472306197</v>
      </c>
      <c r="BH58" s="5810">
        <f t="shared" si="261"/>
        <v>91.175366300366306</v>
      </c>
      <c r="BI58" s="6910">
        <f t="shared" si="260"/>
        <v>96.417659729293149</v>
      </c>
      <c r="BJ58" s="6910">
        <f t="shared" si="260"/>
        <v>89.239726027397253</v>
      </c>
    </row>
    <row r="59" spans="1:62" ht="16" x14ac:dyDescent="0.2">
      <c r="A59" s="1960"/>
      <c r="B59" s="5546" t="s">
        <v>526</v>
      </c>
      <c r="C59" s="1791" t="s">
        <v>897</v>
      </c>
      <c r="D59" s="5543">
        <f t="shared" si="194"/>
        <v>122.30793637777781</v>
      </c>
      <c r="E59" s="5543">
        <f t="shared" si="194"/>
        <v>125.68619091801072</v>
      </c>
      <c r="G59" s="5507">
        <v>1.5</v>
      </c>
      <c r="H59" s="3938" t="s">
        <v>1045</v>
      </c>
      <c r="I59" s="6045">
        <v>0.71443055555559998</v>
      </c>
      <c r="J59" s="5562">
        <f t="shared" si="201"/>
        <v>0.71443055555555557</v>
      </c>
      <c r="K59" s="6045">
        <v>0.69551075268819995</v>
      </c>
      <c r="L59" s="5563">
        <f t="shared" si="201"/>
        <v>0.69551075268817242</v>
      </c>
      <c r="M59" s="5578">
        <f t="shared" si="201"/>
        <v>0.70481557377052773</v>
      </c>
      <c r="N59" s="5578">
        <f t="shared" ref="N59" si="262">N11/1000/24/N$3</f>
        <v>0.70481557377049187</v>
      </c>
      <c r="O59" s="6045">
        <v>0.75</v>
      </c>
      <c r="P59" s="5562">
        <f t="shared" ref="P59:Q59" si="263">P11/1000/24/P$3</f>
        <v>0.71998611111111033</v>
      </c>
      <c r="Q59" s="5810">
        <f t="shared" si="263"/>
        <v>0.71971153846156255</v>
      </c>
      <c r="R59" s="5810">
        <f t="shared" si="203"/>
        <v>0.70981684981684967</v>
      </c>
      <c r="S59" s="6045">
        <v>0.75</v>
      </c>
      <c r="T59" s="5563">
        <f t="shared" ref="T59:U59" si="264">T11/1000/24/T$3</f>
        <v>0.763629032258065</v>
      </c>
      <c r="U59" s="5578">
        <f t="shared" si="264"/>
        <v>0.72740778688526386</v>
      </c>
      <c r="V59" s="5578">
        <f t="shared" si="204"/>
        <v>0.72349043715846995</v>
      </c>
      <c r="W59" s="6045">
        <v>0.75</v>
      </c>
      <c r="X59" s="5563">
        <f t="shared" ref="X59:Z59" si="265">X11/1000/24/X$3</f>
        <v>0.74092741935483875</v>
      </c>
      <c r="Y59" s="5578">
        <f t="shared" si="265"/>
        <v>0.73198529411766144</v>
      </c>
      <c r="Z59" s="5578">
        <f t="shared" si="265"/>
        <v>0.7270234204793028</v>
      </c>
      <c r="AA59" s="6045">
        <v>0.75</v>
      </c>
      <c r="AB59" s="5563">
        <f t="shared" ref="AB59:AF59" si="266">AB11/1000/24/AB$3</f>
        <v>0.73979166666666685</v>
      </c>
      <c r="AC59" s="5810">
        <f t="shared" si="266"/>
        <v>0.75</v>
      </c>
      <c r="AD59" s="5810">
        <f t="shared" si="266"/>
        <v>0.74820652173913071</v>
      </c>
      <c r="AE59" s="6910">
        <f t="shared" si="266"/>
        <v>0.73493852459017595</v>
      </c>
      <c r="AF59" s="6910">
        <f t="shared" si="266"/>
        <v>0.72911657559198551</v>
      </c>
      <c r="AG59" s="6045">
        <v>0.75</v>
      </c>
      <c r="AH59" s="5563">
        <f t="shared" ref="AH59:AJ59" si="267">AH11/1000/24/AH$3</f>
        <v>0.74456989247311689</v>
      </c>
      <c r="AI59" s="5578">
        <f t="shared" si="267"/>
        <v>0.73712032710281394</v>
      </c>
      <c r="AJ59" s="5578">
        <f t="shared" si="267"/>
        <v>0.73135514018691572</v>
      </c>
      <c r="AK59" s="6045">
        <v>0.75</v>
      </c>
      <c r="AL59" s="5563">
        <f t="shared" ref="AL59:AN59" si="268">AL11/1000/24/AL$3</f>
        <v>0.71425000000000127</v>
      </c>
      <c r="AM59" s="5578">
        <f t="shared" si="268"/>
        <v>0.73870389344263188</v>
      </c>
      <c r="AN59" s="5578">
        <f t="shared" si="268"/>
        <v>0.72925204918032782</v>
      </c>
      <c r="AO59" s="6045">
        <v>0.75</v>
      </c>
      <c r="AP59" s="5563">
        <f t="shared" ref="AP59:AT59" si="269">AP11/1000/24/AP$3</f>
        <v>0.76732526881720375</v>
      </c>
      <c r="AQ59" s="5810">
        <f t="shared" si="269"/>
        <v>0.75</v>
      </c>
      <c r="AR59" s="5810">
        <f t="shared" si="269"/>
        <v>0.74235054347826057</v>
      </c>
      <c r="AS59" s="5578">
        <f t="shared" si="269"/>
        <v>0.73997727272728064</v>
      </c>
      <c r="AT59" s="5578">
        <f t="shared" si="269"/>
        <v>0.73354393939393947</v>
      </c>
      <c r="AU59" s="6045">
        <v>0.75</v>
      </c>
      <c r="AV59" s="5563">
        <f t="shared" ref="AV59:AX59" si="270">AV11/1000/24/AV$3</f>
        <v>0.76146505376344109</v>
      </c>
      <c r="AW59" s="5578">
        <f t="shared" si="270"/>
        <v>0.74099264705883061</v>
      </c>
      <c r="AX59" s="5578">
        <f t="shared" si="270"/>
        <v>0.73637254901960791</v>
      </c>
      <c r="AY59" s="8205">
        <v>0.75</v>
      </c>
      <c r="AZ59" s="5563">
        <f t="shared" ref="AZ59:BB59" si="271">AZ11/1000/24/AZ$3</f>
        <v>0.755654761904762</v>
      </c>
      <c r="BA59" s="5578">
        <f t="shared" si="271"/>
        <v>0.74174775449102448</v>
      </c>
      <c r="BB59" s="5578">
        <f t="shared" si="271"/>
        <v>0.73798902195608784</v>
      </c>
      <c r="BC59" s="8205">
        <v>0.75</v>
      </c>
      <c r="BD59" s="5563">
        <f t="shared" ref="BD59:BJ59" si="272">BD11/1000/24/BD$3</f>
        <v>0.75364247311828092</v>
      </c>
      <c r="BE59" s="5810">
        <f t="shared" si="272"/>
        <v>0.75</v>
      </c>
      <c r="BF59" s="5810">
        <f t="shared" si="272"/>
        <v>0.75696296296296361</v>
      </c>
      <c r="BG59" s="5810">
        <f t="shared" ref="BG59:BH59" si="273">BG11/1000/24/BG$3</f>
        <v>0.75</v>
      </c>
      <c r="BH59" s="5810">
        <f t="shared" si="273"/>
        <v>0.74957646520146548</v>
      </c>
      <c r="BI59" s="6910">
        <f t="shared" si="272"/>
        <v>0.74244863013699236</v>
      </c>
      <c r="BJ59" s="6910">
        <f t="shared" si="272"/>
        <v>0.7393184931506851</v>
      </c>
    </row>
    <row r="60" spans="1:62" ht="16" x14ac:dyDescent="0.2">
      <c r="A60" s="5457"/>
      <c r="B60" s="1656" t="s">
        <v>1961</v>
      </c>
      <c r="C60" s="1636" t="s">
        <v>897</v>
      </c>
      <c r="D60" s="5542">
        <f t="shared" si="194"/>
        <v>1.5184583333333332</v>
      </c>
      <c r="E60" s="5542">
        <f t="shared" si="194"/>
        <v>1.5746408602150537</v>
      </c>
      <c r="G60" s="5511">
        <v>2</v>
      </c>
      <c r="H60" s="5512" t="s">
        <v>1981</v>
      </c>
      <c r="I60" s="5560">
        <f>+I61+I62</f>
        <v>1.7807997333333001</v>
      </c>
      <c r="J60" s="5560">
        <f t="shared" si="201"/>
        <v>1.7807997333332699</v>
      </c>
      <c r="K60" s="5560">
        <f>+K61+K62</f>
        <v>2.8137553185485</v>
      </c>
      <c r="L60" s="5561">
        <f t="shared" si="201"/>
        <v>2.8137553185484028</v>
      </c>
      <c r="M60" s="5577">
        <f t="shared" si="201"/>
        <v>2.3057443750000415</v>
      </c>
      <c r="N60" s="5577">
        <f t="shared" ref="N60" si="274">N12/1000/24/N$3</f>
        <v>2.3057443749999771</v>
      </c>
      <c r="O60" s="5560">
        <f>+O61+O62</f>
        <v>5.1000000000000005</v>
      </c>
      <c r="P60" s="5560">
        <f t="shared" ref="P60:Q60" si="275">P12/1000/24/P$3</f>
        <v>3.1661185194444248</v>
      </c>
      <c r="Q60" s="5809">
        <f t="shared" si="275"/>
        <v>3.2269275480769504</v>
      </c>
      <c r="R60" s="5809">
        <f t="shared" si="203"/>
        <v>2.5893842028388057</v>
      </c>
      <c r="S60" s="6047">
        <f>+S61+S62</f>
        <v>5.1000000000000005</v>
      </c>
      <c r="T60" s="5561">
        <f t="shared" ref="T60:U60" si="276">T12/1000/24/T$3</f>
        <v>2.6419126209678589</v>
      </c>
      <c r="U60" s="5577">
        <f t="shared" si="276"/>
        <v>3.7028721875000206</v>
      </c>
      <c r="V60" s="5577">
        <f t="shared" si="204"/>
        <v>2.6027315877732371</v>
      </c>
      <c r="W60" s="6047">
        <f>+W61+W62</f>
        <v>5.1000000000000005</v>
      </c>
      <c r="X60" s="5561">
        <f t="shared" ref="X60:Z60" si="277">X12/1000/24/X$3</f>
        <v>2.4327693803762838</v>
      </c>
      <c r="Y60" s="5577">
        <f t="shared" si="277"/>
        <v>3.9859503717320424</v>
      </c>
      <c r="Z60" s="5577">
        <f t="shared" si="277"/>
        <v>2.5682948006535931</v>
      </c>
      <c r="AA60" s="6047">
        <f>+AA61+AA62</f>
        <v>5.1000000000000005</v>
      </c>
      <c r="AB60" s="5561">
        <f t="shared" ref="AB60:AF60" si="278">AB12/1000/24/AB$3</f>
        <v>2.4687494125000042</v>
      </c>
      <c r="AC60" s="5809">
        <f t="shared" si="278"/>
        <v>5.0999999999999996</v>
      </c>
      <c r="AD60" s="5809">
        <f t="shared" si="278"/>
        <v>2.5149741784420501</v>
      </c>
      <c r="AE60" s="6909">
        <f t="shared" si="278"/>
        <v>4.1685814583333469</v>
      </c>
      <c r="AF60" s="6909">
        <f t="shared" si="278"/>
        <v>2.5519758845628409</v>
      </c>
      <c r="AG60" s="6047">
        <f>+AG61+AG62</f>
        <v>5.1000000000000005</v>
      </c>
      <c r="AH60" s="5561">
        <f t="shared" ref="AH60:AJ60" si="279">AH12/1000/24/AH$3</f>
        <v>2.121137360215076</v>
      </c>
      <c r="AI60" s="5577">
        <f t="shared" si="279"/>
        <v>4.3035065741822542</v>
      </c>
      <c r="AJ60" s="5577">
        <f t="shared" si="279"/>
        <v>2.4895646964563891</v>
      </c>
      <c r="AK60" s="6047">
        <f>+AK61+AK62</f>
        <v>5.1000000000000005</v>
      </c>
      <c r="AL60" s="5561">
        <f t="shared" ref="AL60:AN60" si="280">AL12/1000/24/AL$3</f>
        <v>2.3021272569443996</v>
      </c>
      <c r="AM60" s="5577">
        <f t="shared" si="280"/>
        <v>4.4014360937500099</v>
      </c>
      <c r="AN60" s="5577">
        <f t="shared" si="280"/>
        <v>2.4665191096311445</v>
      </c>
      <c r="AO60" s="6047">
        <f>+AO61+AO62</f>
        <v>5.1000000000000005</v>
      </c>
      <c r="AP60" s="5561">
        <f t="shared" ref="AP60:AT60" si="281">AP12/1000/24/AP$3</f>
        <v>1.8033671948924541</v>
      </c>
      <c r="AQ60" s="5809">
        <f t="shared" si="281"/>
        <v>5.0999999999999996</v>
      </c>
      <c r="AR60" s="5809">
        <f t="shared" si="281"/>
        <v>2.0730810751811459</v>
      </c>
      <c r="AS60" s="5577">
        <f t="shared" si="281"/>
        <v>4.4801832977272822</v>
      </c>
      <c r="AT60" s="5577">
        <f t="shared" si="281"/>
        <v>2.3917638028787831</v>
      </c>
      <c r="AU60" s="6047">
        <f>+AU61+AU62</f>
        <v>5.1000000000000005</v>
      </c>
      <c r="AV60" s="5561">
        <f t="shared" ref="AV60:AX60" si="282">AV12/1000/24/AV$3</f>
        <v>2.6546338588709459</v>
      </c>
      <c r="AW60" s="5577">
        <f t="shared" si="282"/>
        <v>4.5429751858660214</v>
      </c>
      <c r="AX60" s="5577">
        <f t="shared" si="282"/>
        <v>2.4183944294662241</v>
      </c>
      <c r="AY60" s="8206">
        <v>5.0999999999999996</v>
      </c>
      <c r="AZ60" s="5561">
        <f t="shared" ref="AZ60:BB60" si="283">AZ12/1000/24/AZ$3</f>
        <v>1.8425162261904762</v>
      </c>
      <c r="BA60" s="5577">
        <f t="shared" si="283"/>
        <v>4.5896718768712654</v>
      </c>
      <c r="BB60" s="5577">
        <f t="shared" si="283"/>
        <v>2.3701172148203531</v>
      </c>
      <c r="BC60" s="8206">
        <v>5.0999999999999996</v>
      </c>
      <c r="BD60" s="5561">
        <f t="shared" ref="BD60:BJ60" si="284">BD12/1000/24/BD$3</f>
        <v>2.2929158924731157</v>
      </c>
      <c r="BE60" s="5809">
        <f t="shared" si="284"/>
        <v>5.0999999999999996</v>
      </c>
      <c r="BF60" s="5809">
        <f t="shared" si="284"/>
        <v>2.2773832958333249</v>
      </c>
      <c r="BG60" s="5809">
        <f t="shared" ref="BG60:BH60" si="285">BG12/1000/24/BG$3</f>
        <v>5.0999999999999996</v>
      </c>
      <c r="BH60" s="5809">
        <f t="shared" si="285"/>
        <v>2.1741096458333229</v>
      </c>
      <c r="BI60" s="6909">
        <f t="shared" si="284"/>
        <v>4.633014813356171</v>
      </c>
      <c r="BJ60" s="6909">
        <f t="shared" si="284"/>
        <v>2.3635603901826432</v>
      </c>
    </row>
    <row r="61" spans="1:62" x14ac:dyDescent="0.2">
      <c r="A61" s="5457"/>
      <c r="B61" s="1656" t="s">
        <v>1953</v>
      </c>
      <c r="C61" s="1636" t="s">
        <v>897</v>
      </c>
      <c r="D61" s="5542">
        <f t="shared" si="194"/>
        <v>7.0703194444444506</v>
      </c>
      <c r="E61" s="5542">
        <f t="shared" si="194"/>
        <v>6.5758870967741947</v>
      </c>
      <c r="G61" s="5507">
        <v>2.1</v>
      </c>
      <c r="H61" s="3938" t="s">
        <v>1052</v>
      </c>
      <c r="I61" s="5562">
        <v>0.36386362222219998</v>
      </c>
      <c r="J61" s="5562">
        <f t="shared" si="201"/>
        <v>0.36386362222222085</v>
      </c>
      <c r="K61" s="5562">
        <v>0.4273906680108</v>
      </c>
      <c r="L61" s="5563">
        <f t="shared" si="201"/>
        <v>0.42739066801075221</v>
      </c>
      <c r="M61" s="5578">
        <f t="shared" si="201"/>
        <v>0.39614785860657048</v>
      </c>
      <c r="N61" s="5578">
        <f t="shared" ref="N61" si="286">N13/1000/24/N$3</f>
        <v>0.39614785860655644</v>
      </c>
      <c r="O61" s="5562">
        <v>0.7</v>
      </c>
      <c r="P61" s="5562">
        <f t="shared" ref="P61:Q61" si="287">P13/1000/24/P$3</f>
        <v>0.49246574166666801</v>
      </c>
      <c r="Q61" s="5810">
        <f t="shared" si="287"/>
        <v>0.49631889423077807</v>
      </c>
      <c r="R61" s="5810">
        <f t="shared" si="203"/>
        <v>0.42790100686813171</v>
      </c>
      <c r="S61" s="6045">
        <v>0.7</v>
      </c>
      <c r="T61" s="5563">
        <f t="shared" ref="T61:U61" si="288">T13/1000/24/T$3</f>
        <v>0.4846877553763454</v>
      </c>
      <c r="U61" s="5578">
        <f t="shared" si="288"/>
        <v>0.54807392930328525</v>
      </c>
      <c r="V61" s="5578">
        <f t="shared" si="204"/>
        <v>0.44233042657103844</v>
      </c>
      <c r="W61" s="6045">
        <v>0.7</v>
      </c>
      <c r="X61" s="5563">
        <f t="shared" ref="X61:Z61" si="289">X13/1000/24/X$3</f>
        <v>0.34015110080645167</v>
      </c>
      <c r="Y61" s="5578">
        <f t="shared" si="289"/>
        <v>0.57885633578431894</v>
      </c>
      <c r="Z61" s="5578">
        <f t="shared" si="289"/>
        <v>0.42162742592592606</v>
      </c>
      <c r="AA61" s="6045">
        <v>0.7</v>
      </c>
      <c r="AB61" s="5563">
        <f t="shared" ref="AB61:AF61" si="290">AB13/1000/24/AB$3</f>
        <v>0.40086482916666283</v>
      </c>
      <c r="AC61" s="5810">
        <f t="shared" si="290"/>
        <v>0.7</v>
      </c>
      <c r="AD61" s="5810">
        <f t="shared" si="290"/>
        <v>0.40865162409420208</v>
      </c>
      <c r="AE61" s="6910">
        <f t="shared" si="290"/>
        <v>0.59871595286885682</v>
      </c>
      <c r="AF61" s="6910">
        <f t="shared" si="290"/>
        <v>0.4182237215391616</v>
      </c>
      <c r="AG61" s="6045">
        <v>0.7</v>
      </c>
      <c r="AH61" s="5563">
        <f t="shared" ref="AH61:AJ61" si="291">AH13/1000/24/AH$3</f>
        <v>0.3379921989247337</v>
      </c>
      <c r="AI61" s="5578">
        <f t="shared" si="291"/>
        <v>0.61338794100467653</v>
      </c>
      <c r="AJ61" s="5578">
        <f t="shared" si="291"/>
        <v>0.4066013981697818</v>
      </c>
      <c r="AK61" s="6045">
        <v>0.7</v>
      </c>
      <c r="AL61" s="5563">
        <f t="shared" ref="AL61:AN61" si="292">AL13/1000/24/AL$3</f>
        <v>0.37267447916666302</v>
      </c>
      <c r="AM61" s="5578">
        <f t="shared" si="292"/>
        <v>0.62403696465164249</v>
      </c>
      <c r="AN61" s="5578">
        <f t="shared" si="292"/>
        <v>0.40243005566939832</v>
      </c>
      <c r="AO61" s="6045">
        <v>0.7</v>
      </c>
      <c r="AP61" s="5563">
        <f t="shared" ref="AP61:AT61" si="293">AP13/1000/24/AP$3</f>
        <v>0.33509165725806572</v>
      </c>
      <c r="AQ61" s="5810">
        <f t="shared" si="293"/>
        <v>0.7</v>
      </c>
      <c r="AR61" s="5810">
        <f t="shared" si="293"/>
        <v>0.34832428170289864</v>
      </c>
      <c r="AS61" s="5578">
        <f t="shared" si="293"/>
        <v>0.63260007045454836</v>
      </c>
      <c r="AT61" s="5578">
        <f t="shared" si="293"/>
        <v>0.39483918166666632</v>
      </c>
      <c r="AU61" s="6045">
        <v>0.7</v>
      </c>
      <c r="AV61" s="5563">
        <f t="shared" ref="AV61:AX61" si="294">AV13/1000/24/AV$3</f>
        <v>0.33788251478494435</v>
      </c>
      <c r="AW61" s="5578">
        <f t="shared" si="294"/>
        <v>0.63942816789215928</v>
      </c>
      <c r="AX61" s="5578">
        <f t="shared" si="294"/>
        <v>0.38906906181917167</v>
      </c>
      <c r="AY61" s="8205">
        <v>0.7</v>
      </c>
      <c r="AZ61" s="5563">
        <f t="shared" ref="AZ61:BB61" si="295">AZ13/1000/24/AZ$3</f>
        <v>0.22348646428571431</v>
      </c>
      <c r="BA61" s="5578">
        <f t="shared" si="295"/>
        <v>0.64450604603293649</v>
      </c>
      <c r="BB61" s="5578">
        <f t="shared" si="295"/>
        <v>0.37518788597804342</v>
      </c>
      <c r="BC61" s="8205">
        <v>0.7</v>
      </c>
      <c r="BD61" s="5563">
        <f t="shared" ref="BD61:BJ61" si="296">BD13/1000/24/BD$3</f>
        <v>0.29014573118279302</v>
      </c>
      <c r="BE61" s="5810">
        <f t="shared" si="296"/>
        <v>0.7</v>
      </c>
      <c r="BF61" s="5810">
        <f t="shared" si="296"/>
        <v>0.28584996249999839</v>
      </c>
      <c r="BG61" s="5810">
        <f t="shared" ref="BG61:BH61" si="297">BG13/1000/24/BG$3</f>
        <v>0.7</v>
      </c>
      <c r="BH61" s="5810">
        <f t="shared" si="297"/>
        <v>0.31743038759157438</v>
      </c>
      <c r="BI61" s="6910">
        <f t="shared" si="296"/>
        <v>0.64921923116438562</v>
      </c>
      <c r="BJ61" s="6910">
        <f t="shared" si="296"/>
        <v>0.3679651276255701</v>
      </c>
    </row>
    <row r="62" spans="1:62" x14ac:dyDescent="0.2">
      <c r="A62" s="5457"/>
      <c r="B62" s="1656" t="s">
        <v>1497</v>
      </c>
      <c r="C62" s="1636" t="s">
        <v>897</v>
      </c>
      <c r="D62" s="5542">
        <f t="shared" si="194"/>
        <v>2.1610277777777771</v>
      </c>
      <c r="E62" s="5542">
        <f t="shared" si="194"/>
        <v>2.0229032258064517</v>
      </c>
      <c r="G62" s="5507">
        <v>2.2000000000000002</v>
      </c>
      <c r="H62" s="3938" t="s">
        <v>1053</v>
      </c>
      <c r="I62" s="5562">
        <v>1.4169361111111001</v>
      </c>
      <c r="J62" s="5562">
        <f t="shared" si="201"/>
        <v>1.416936111111049</v>
      </c>
      <c r="K62" s="5562">
        <v>2.3863646505377001</v>
      </c>
      <c r="L62" s="5563">
        <f t="shared" si="201"/>
        <v>2.3863646505376503</v>
      </c>
      <c r="M62" s="5578">
        <f t="shared" si="201"/>
        <v>1.9095965163934705</v>
      </c>
      <c r="N62" s="5578">
        <f t="shared" ref="N62" si="298">N14/1000/24/N$3</f>
        <v>1.9095965163934203</v>
      </c>
      <c r="O62" s="5562">
        <v>4.4000000000000004</v>
      </c>
      <c r="P62" s="5562">
        <f t="shared" ref="P62:Q62" si="299">P14/1000/24/P$3</f>
        <v>2.673652777777757</v>
      </c>
      <c r="Q62" s="5810">
        <f t="shared" si="299"/>
        <v>2.7306086538461725</v>
      </c>
      <c r="R62" s="5810">
        <f t="shared" si="203"/>
        <v>2.1614831959706744</v>
      </c>
      <c r="S62" s="6045">
        <v>4.4000000000000004</v>
      </c>
      <c r="T62" s="5563">
        <f t="shared" ref="T62:U62" si="300">T14/1000/24/T$3</f>
        <v>2.1572248655915143</v>
      </c>
      <c r="U62" s="5578">
        <f t="shared" si="300"/>
        <v>3.1547982581967355</v>
      </c>
      <c r="V62" s="5578">
        <f t="shared" si="204"/>
        <v>2.1604011612021994</v>
      </c>
      <c r="W62" s="6045">
        <v>4.4000000000000004</v>
      </c>
      <c r="X62" s="5563">
        <f t="shared" ref="X62:Z62" si="301">X14/1000/24/X$3</f>
        <v>2.0926182795698325</v>
      </c>
      <c r="Y62" s="5578">
        <f t="shared" si="301"/>
        <v>3.4070940359477242</v>
      </c>
      <c r="Z62" s="5578">
        <f t="shared" si="301"/>
        <v>2.146667374727667</v>
      </c>
      <c r="AA62" s="6045">
        <v>4.4000000000000004</v>
      </c>
      <c r="AB62" s="5563">
        <f t="shared" ref="AB62:AF62" si="302">AB14/1000/24/AB$3</f>
        <v>2.0678845833333415</v>
      </c>
      <c r="AC62" s="5810">
        <f t="shared" si="302"/>
        <v>4.4000000000000004</v>
      </c>
      <c r="AD62" s="5810">
        <f t="shared" si="302"/>
        <v>2.1063225543478477</v>
      </c>
      <c r="AE62" s="6910">
        <f t="shared" si="302"/>
        <v>3.5698655054644908</v>
      </c>
      <c r="AF62" s="6910">
        <f t="shared" si="302"/>
        <v>2.1337521630236793</v>
      </c>
      <c r="AG62" s="6045">
        <v>4.4000000000000004</v>
      </c>
      <c r="AH62" s="5563">
        <f t="shared" ref="AH62:AJ62" si="303">AH14/1000/24/AH$3</f>
        <v>1.7831451612903426</v>
      </c>
      <c r="AI62" s="5578">
        <f t="shared" si="303"/>
        <v>3.6901186331775779</v>
      </c>
      <c r="AJ62" s="5578">
        <f t="shared" si="303"/>
        <v>2.0829632982866073</v>
      </c>
      <c r="AK62" s="6045">
        <v>4.4000000000000004</v>
      </c>
      <c r="AL62" s="5563">
        <f t="shared" ref="AL62:AN62" si="304">AL14/1000/24/AL$3</f>
        <v>1.9294527777777364</v>
      </c>
      <c r="AM62" s="5578">
        <f t="shared" si="304"/>
        <v>3.7773991290983675</v>
      </c>
      <c r="AN62" s="5578">
        <f t="shared" si="304"/>
        <v>2.0640890539617462</v>
      </c>
      <c r="AO62" s="6045">
        <v>4.4000000000000004</v>
      </c>
      <c r="AP62" s="5563">
        <f t="shared" ref="AP62:AT62" si="305">AP14/1000/24/AP$3</f>
        <v>1.4682755376343888</v>
      </c>
      <c r="AQ62" s="5810">
        <f t="shared" si="305"/>
        <v>4.4000000000000004</v>
      </c>
      <c r="AR62" s="5810">
        <f t="shared" si="305"/>
        <v>1.7247567934782473</v>
      </c>
      <c r="AS62" s="5578">
        <f t="shared" si="305"/>
        <v>3.8475832272727342</v>
      </c>
      <c r="AT62" s="5578">
        <f t="shared" si="305"/>
        <v>1.9969246212121168</v>
      </c>
      <c r="AU62" s="6045">
        <v>4.4000000000000004</v>
      </c>
      <c r="AV62" s="5563">
        <f t="shared" ref="AV62:AX62" si="306">AV14/1000/24/AV$3</f>
        <v>2.3167513440860015</v>
      </c>
      <c r="AW62" s="5578">
        <f t="shared" si="306"/>
        <v>3.9035470179738616</v>
      </c>
      <c r="AX62" s="5578">
        <f t="shared" si="306"/>
        <v>2.0293253676470528</v>
      </c>
      <c r="AY62" s="8205">
        <v>4.4000000000000004</v>
      </c>
      <c r="AZ62" s="5563">
        <f t="shared" ref="AZ62:BB62" si="307">AZ14/1000/24/AZ$3</f>
        <v>1.619029761904762</v>
      </c>
      <c r="BA62" s="5578">
        <f t="shared" si="307"/>
        <v>3.9451658308383286</v>
      </c>
      <c r="BB62" s="5578">
        <f t="shared" si="307"/>
        <v>1.99492932884231</v>
      </c>
      <c r="BC62" s="8205">
        <v>4.4000000000000004</v>
      </c>
      <c r="BD62" s="5563">
        <f t="shared" ref="BD62:BJ62" si="308">BD14/1000/24/BD$3</f>
        <v>2.0027701612903224</v>
      </c>
      <c r="BE62" s="5810">
        <f t="shared" si="308"/>
        <v>4.4000000000000004</v>
      </c>
      <c r="BF62" s="5810">
        <f t="shared" si="308"/>
        <v>1.9915333333333263</v>
      </c>
      <c r="BG62" s="5810">
        <f t="shared" ref="BG62:BH62" si="309">BG14/1000/24/BG$3</f>
        <v>4.4000000000000004</v>
      </c>
      <c r="BH62" s="5810">
        <f t="shared" si="309"/>
        <v>1.8566792582417477</v>
      </c>
      <c r="BI62" s="6910">
        <f t="shared" si="308"/>
        <v>3.9837955821917861</v>
      </c>
      <c r="BJ62" s="6910">
        <f t="shared" si="308"/>
        <v>1.9955952625570725</v>
      </c>
    </row>
    <row r="63" spans="1:62" ht="16" x14ac:dyDescent="0.2">
      <c r="A63" s="5457"/>
      <c r="B63" s="1656" t="s">
        <v>1047</v>
      </c>
      <c r="C63" s="1636" t="s">
        <v>897</v>
      </c>
      <c r="D63" s="5542">
        <f t="shared" si="194"/>
        <v>11.048583333333307</v>
      </c>
      <c r="E63" s="5542">
        <f t="shared" si="194"/>
        <v>10.777446236559159</v>
      </c>
      <c r="G63" s="5511">
        <v>3</v>
      </c>
      <c r="H63" s="5512" t="s">
        <v>1982</v>
      </c>
      <c r="I63" s="5560">
        <f>+I54-I60</f>
        <v>122.30793637777772</v>
      </c>
      <c r="J63" s="5560">
        <f t="shared" si="201"/>
        <v>122.30793637777781</v>
      </c>
      <c r="K63" s="5560">
        <f>+K54-K60</f>
        <v>125.6861909180105</v>
      </c>
      <c r="L63" s="5561">
        <f t="shared" si="201"/>
        <v>125.68619091801072</v>
      </c>
      <c r="M63" s="5577">
        <f t="shared" si="201"/>
        <v>124.02475425887963</v>
      </c>
      <c r="N63" s="5577">
        <f t="shared" ref="N63" si="310">N15/1000/24/N$3</f>
        <v>124.02475425887978</v>
      </c>
      <c r="O63" s="5560">
        <f>+O54-O60</f>
        <v>132.25483981388891</v>
      </c>
      <c r="P63" s="5560">
        <f t="shared" ref="P63:Q63" si="311">P15/1000/24/P$3</f>
        <v>132.25483981388891</v>
      </c>
      <c r="Q63" s="5809">
        <f t="shared" si="311"/>
        <v>126.73796927701457</v>
      </c>
      <c r="R63" s="5809">
        <f t="shared" si="203"/>
        <v>126.73796927701467</v>
      </c>
      <c r="S63" s="5560">
        <f>+S54-S60</f>
        <v>143.74479391834299</v>
      </c>
      <c r="T63" s="5561">
        <f t="shared" ref="T63:U63" si="312">T15/1000/24/T$3</f>
        <v>135.36728092741933</v>
      </c>
      <c r="U63" s="5577">
        <f t="shared" si="312"/>
        <v>131.0593755383357</v>
      </c>
      <c r="V63" s="5577">
        <f t="shared" si="204"/>
        <v>128.93066322096996</v>
      </c>
      <c r="W63" s="5560">
        <f>+W54-W60</f>
        <v>143.04884867847443</v>
      </c>
      <c r="X63" s="5561">
        <f t="shared" ref="X63:Z63" si="313">X15/1000/24/X$3</f>
        <v>139.40829244758064</v>
      </c>
      <c r="Y63" s="5577">
        <f t="shared" si="313"/>
        <v>133.48861519418082</v>
      </c>
      <c r="Z63" s="5577">
        <f t="shared" si="313"/>
        <v>131.05358156100218</v>
      </c>
      <c r="AA63" s="5560">
        <f>+AA54-AA60</f>
        <v>144.67595123693175</v>
      </c>
      <c r="AB63" s="5561">
        <f t="shared" ref="AB63:AF63" si="314">AB15/1000/24/AB$3</f>
        <v>126.54979225416666</v>
      </c>
      <c r="AC63" s="5809">
        <f t="shared" si="314"/>
        <v>143.81392888705753</v>
      </c>
      <c r="AD63" s="5809">
        <f t="shared" si="314"/>
        <v>133.85365806793473</v>
      </c>
      <c r="AE63" s="6909">
        <f t="shared" si="314"/>
        <v>135.3226047093859</v>
      </c>
      <c r="AF63" s="6909">
        <f t="shared" si="314"/>
        <v>130.31525544512752</v>
      </c>
      <c r="AG63" s="5560">
        <f>+AG54-AG60</f>
        <v>116.3289279158478</v>
      </c>
      <c r="AH63" s="5561">
        <f t="shared" ref="AH63:AJ63" si="315">AH15/1000/24/AH$3</f>
        <v>130.74305618817206</v>
      </c>
      <c r="AI63" s="5577">
        <f t="shared" si="315"/>
        <v>132.57118423929393</v>
      </c>
      <c r="AJ63" s="5577">
        <f t="shared" si="315"/>
        <v>130.37722658080216</v>
      </c>
      <c r="AK63" s="5560">
        <f>+AK54-AK60</f>
        <v>152.92979338876418</v>
      </c>
      <c r="AL63" s="5561">
        <f t="shared" ref="AL63:AN63" si="316">AL15/1000/24/AL$3</f>
        <v>135.68323385416673</v>
      </c>
      <c r="AM63" s="5577">
        <f t="shared" si="316"/>
        <v>135.07429192160583</v>
      </c>
      <c r="AN63" s="5577">
        <f t="shared" si="316"/>
        <v>131.02960452424864</v>
      </c>
      <c r="AO63" s="5560">
        <f>+AO54-AO60</f>
        <v>151.94921506613289</v>
      </c>
      <c r="AP63" s="5561">
        <f t="shared" ref="AP63:AT63" si="317">AP15/1000/24/AP$3</f>
        <v>137.28855484811825</v>
      </c>
      <c r="AQ63" s="5809">
        <f t="shared" si="317"/>
        <v>140.26648080548179</v>
      </c>
      <c r="AR63" s="5809">
        <f t="shared" si="317"/>
        <v>134.55953214945652</v>
      </c>
      <c r="AS63" s="5577">
        <f t="shared" si="317"/>
        <v>136.97655598517071</v>
      </c>
      <c r="AT63" s="5577">
        <f t="shared" si="317"/>
        <v>131.73515892439394</v>
      </c>
      <c r="AU63" s="5560">
        <f>+AU54-AU60</f>
        <v>151.79314970992718</v>
      </c>
      <c r="AV63" s="5561">
        <f t="shared" ref="AV63:AX63" si="318">AV15/1000/24/AV$3</f>
        <v>140.87672366801078</v>
      </c>
      <c r="AW63" s="5577">
        <f t="shared" si="318"/>
        <v>138.47758345401857</v>
      </c>
      <c r="AX63" s="5577">
        <f t="shared" si="318"/>
        <v>132.66126515659042</v>
      </c>
      <c r="AY63" s="8204">
        <v>153.4835555459</v>
      </c>
      <c r="AZ63" s="5561">
        <f t="shared" ref="AZ63:BB63" si="319">AZ15/1000/24/AZ$3</f>
        <v>144.88665044047619</v>
      </c>
      <c r="BA63" s="5577">
        <f t="shared" si="319"/>
        <v>139.73556913836788</v>
      </c>
      <c r="BB63" s="5577">
        <f t="shared" si="319"/>
        <v>133.68614775523952</v>
      </c>
      <c r="BC63" s="8204">
        <v>154.333621177</v>
      </c>
      <c r="BD63" s="5561">
        <f t="shared" ref="BD63:BJ63" si="320">BD15/1000/24/BD$3</f>
        <v>146.18801152688158</v>
      </c>
      <c r="BE63" s="5809">
        <f t="shared" si="320"/>
        <v>153.1941050305438</v>
      </c>
      <c r="BF63" s="5809">
        <f t="shared" si="320"/>
        <v>143.95370003749997</v>
      </c>
      <c r="BG63" s="5809">
        <f t="shared" ref="BG63:BH63" si="321">BG15/1000/24/BG$3</f>
        <v>146.65926201567731</v>
      </c>
      <c r="BH63" s="5809">
        <f t="shared" si="321"/>
        <v>139.20499978640109</v>
      </c>
      <c r="BI63" s="6909">
        <f t="shared" si="320"/>
        <v>140.9754036949887</v>
      </c>
      <c r="BJ63" s="6909">
        <f t="shared" si="320"/>
        <v>134.74794988378991</v>
      </c>
    </row>
    <row r="64" spans="1:62" ht="16" x14ac:dyDescent="0.2">
      <c r="A64" s="5457"/>
      <c r="B64" s="1656" t="s">
        <v>1954</v>
      </c>
      <c r="C64" s="1636" t="s">
        <v>897</v>
      </c>
      <c r="D64" s="5542">
        <f t="shared" si="194"/>
        <v>13.06251944444444</v>
      </c>
      <c r="E64" s="5542">
        <f t="shared" si="194"/>
        <v>13.210962365591397</v>
      </c>
      <c r="G64" s="5511">
        <v>4</v>
      </c>
      <c r="H64" s="5512" t="s">
        <v>1983</v>
      </c>
      <c r="I64" s="5560">
        <f>+I65+I87</f>
        <v>122.30793637777789</v>
      </c>
      <c r="J64" s="5560">
        <f t="shared" si="201"/>
        <v>122.30793637777781</v>
      </c>
      <c r="K64" s="5560">
        <f>+K65+K87</f>
        <v>125.68636524059141</v>
      </c>
      <c r="L64" s="5561">
        <f t="shared" si="201"/>
        <v>125.6861911021505</v>
      </c>
      <c r="M64" s="5577">
        <f t="shared" si="201"/>
        <v>124.02484284904376</v>
      </c>
      <c r="N64" s="5577">
        <f t="shared" ref="N64" si="322">N16/1000/24/N$3</f>
        <v>124.024754352459</v>
      </c>
      <c r="O64" s="5560">
        <f>+O65+O87</f>
        <v>132.25483981388891</v>
      </c>
      <c r="P64" s="5560">
        <f t="shared" ref="P64:Q64" si="323">P16/1000/24/P$3</f>
        <v>132.25483981388891</v>
      </c>
      <c r="Q64" s="5809">
        <f t="shared" si="323"/>
        <v>126.73802866163008</v>
      </c>
      <c r="R64" s="5809">
        <f t="shared" si="203"/>
        <v>126.73796933974357</v>
      </c>
      <c r="S64" s="5560">
        <f>+S65+S87</f>
        <v>143.74479391834299</v>
      </c>
      <c r="T64" s="5561">
        <f t="shared" ref="T64:U64" si="324">T16/1000/24/T$3</f>
        <v>135.36728092741933</v>
      </c>
      <c r="U64" s="5577">
        <f t="shared" si="324"/>
        <v>131.05941983341782</v>
      </c>
      <c r="V64" s="5577">
        <f t="shared" si="204"/>
        <v>128.93066326775954</v>
      </c>
      <c r="W64" s="5560">
        <f>+W65+W87</f>
        <v>143.04884867847443</v>
      </c>
      <c r="X64" s="5561">
        <f t="shared" ref="X64:Z64" si="325">X16/1000/24/X$3</f>
        <v>139.40829244758064</v>
      </c>
      <c r="Y64" s="5577">
        <f t="shared" si="325"/>
        <v>133.48865051444236</v>
      </c>
      <c r="Z64" s="5577">
        <f t="shared" si="325"/>
        <v>131.05358159831152</v>
      </c>
      <c r="AA64" s="5560">
        <f>+AA65+AA87</f>
        <v>144.67595123693175</v>
      </c>
      <c r="AB64" s="5561">
        <f t="shared" ref="AB64:AF64" si="326">AB16/1000/24/AB$3</f>
        <v>126.54979225416669</v>
      </c>
      <c r="AC64" s="5809">
        <f t="shared" si="326"/>
        <v>143.81392888705753</v>
      </c>
      <c r="AD64" s="5809">
        <f t="shared" si="326"/>
        <v>133.85365806793473</v>
      </c>
      <c r="AE64" s="6909">
        <f t="shared" si="326"/>
        <v>135.32263423944059</v>
      </c>
      <c r="AF64" s="6909">
        <f t="shared" si="326"/>
        <v>130.31525547632054</v>
      </c>
      <c r="AG64" s="5560">
        <f>+AG65+AG87</f>
        <v>116.3289279158478</v>
      </c>
      <c r="AH64" s="5561">
        <f t="shared" ref="AH64:AJ64" si="327">AH16/1000/24/AH$3</f>
        <v>130.74305618817206</v>
      </c>
      <c r="AI64" s="5577">
        <f t="shared" si="327"/>
        <v>132.57120949163041</v>
      </c>
      <c r="AJ64" s="5577">
        <f t="shared" si="327"/>
        <v>130.37722660747662</v>
      </c>
      <c r="AK64" s="5560">
        <f>+AK65+AK87</f>
        <v>152.92979338876418</v>
      </c>
      <c r="AL64" s="5561">
        <f t="shared" ref="AL64:AN64" si="328">AL16/1000/24/AL$3</f>
        <v>135.68323385416673</v>
      </c>
      <c r="AM64" s="5577">
        <f t="shared" si="328"/>
        <v>135.07431406914685</v>
      </c>
      <c r="AN64" s="5577">
        <f t="shared" si="328"/>
        <v>131.02960454764343</v>
      </c>
      <c r="AO64" s="5560">
        <f>+AO65+AO87</f>
        <v>151.94921506613289</v>
      </c>
      <c r="AP64" s="5561">
        <f t="shared" ref="AP64:AT64" si="329">AP16/1000/24/AP$3</f>
        <v>137.28855619220428</v>
      </c>
      <c r="AQ64" s="5809">
        <f t="shared" si="329"/>
        <v>140.26648080548179</v>
      </c>
      <c r="AR64" s="5809">
        <f t="shared" si="329"/>
        <v>134.55953260235509</v>
      </c>
      <c r="AS64" s="5577">
        <f t="shared" si="329"/>
        <v>136.97657563607984</v>
      </c>
      <c r="AT64" s="5577">
        <f t="shared" si="329"/>
        <v>131.73515909666665</v>
      </c>
      <c r="AU64" s="5560">
        <f>+AU65+AU87</f>
        <v>148.09975020992718</v>
      </c>
      <c r="AV64" s="5561">
        <f t="shared" ref="AV64:AX64" si="330">AV16/1000/24/AV$3</f>
        <v>140.87672366801078</v>
      </c>
      <c r="AW64" s="5577">
        <f t="shared" si="330"/>
        <v>138.47760111414934</v>
      </c>
      <c r="AX64" s="5577">
        <f t="shared" si="330"/>
        <v>132.66126531141066</v>
      </c>
      <c r="AY64" s="8204">
        <v>153.4835555459</v>
      </c>
      <c r="AZ64" s="5561">
        <f t="shared" ref="AZ64:BB64" si="331">AZ16/1000/24/AZ$3</f>
        <v>144.88665044047622</v>
      </c>
      <c r="BA64" s="5577">
        <f t="shared" si="331"/>
        <v>139.73558531800867</v>
      </c>
      <c r="BB64" s="5577">
        <f t="shared" si="331"/>
        <v>133.68614789708084</v>
      </c>
      <c r="BC64" s="8204">
        <v>154.333621177</v>
      </c>
      <c r="BD64" s="5561">
        <f t="shared" ref="BD64:BJ64" si="332">BD16/1000/24/BD$3</f>
        <v>146.18801303494615</v>
      </c>
      <c r="BE64" s="5809">
        <f t="shared" si="332"/>
        <v>153.1941050305438</v>
      </c>
      <c r="BF64" s="5809">
        <f t="shared" si="332"/>
        <v>143.9537005569444</v>
      </c>
      <c r="BG64" s="5809">
        <f t="shared" ref="BG64:BH64" si="333">BG16/1000/24/BG$3</f>
        <v>146.65926201567731</v>
      </c>
      <c r="BH64" s="5809">
        <f t="shared" si="333"/>
        <v>139.20500027220697</v>
      </c>
      <c r="BI64" s="6909">
        <f t="shared" si="332"/>
        <v>140.97541850046821</v>
      </c>
      <c r="BJ64" s="6909">
        <f t="shared" si="332"/>
        <v>134.74795014166668</v>
      </c>
    </row>
    <row r="65" spans="1:62" ht="16" x14ac:dyDescent="0.2">
      <c r="A65" s="5457"/>
      <c r="B65" s="1656" t="s">
        <v>1955</v>
      </c>
      <c r="C65" s="1636" t="s">
        <v>897</v>
      </c>
      <c r="D65" s="5542">
        <f t="shared" si="194"/>
        <v>22.231472222222227</v>
      </c>
      <c r="E65" s="5542">
        <f t="shared" si="194"/>
        <v>22.708427419354837</v>
      </c>
      <c r="G65" s="5525">
        <v>4.0999999999999996</v>
      </c>
      <c r="H65" s="5526" t="s">
        <v>1973</v>
      </c>
      <c r="I65" s="5564">
        <v>110.28636605083345</v>
      </c>
      <c r="J65" s="5564">
        <f t="shared" si="201"/>
        <v>110.28636605083337</v>
      </c>
      <c r="K65" s="5564">
        <v>113.44019473978496</v>
      </c>
      <c r="L65" s="5565">
        <f t="shared" si="201"/>
        <v>113.44019473978493</v>
      </c>
      <c r="M65" s="5579">
        <f t="shared" si="201"/>
        <v>111.88913145013667</v>
      </c>
      <c r="N65" s="5579">
        <f t="shared" ref="N65" si="334">N17/1000/24/N$3</f>
        <v>111.88913145013663</v>
      </c>
      <c r="O65" s="5564">
        <v>119.57190325777781</v>
      </c>
      <c r="P65" s="5564">
        <f t="shared" ref="P65:Q65" si="335">P17/1000/24/P$3</f>
        <v>119.57190325777782</v>
      </c>
      <c r="Q65" s="5811">
        <f t="shared" si="335"/>
        <v>114.42191336474365</v>
      </c>
      <c r="R65" s="5811">
        <f t="shared" si="203"/>
        <v>114.4219133647436</v>
      </c>
      <c r="S65" s="5564">
        <v>130.419793918343</v>
      </c>
      <c r="T65" s="5565">
        <f t="shared" ref="T65:U65" si="336">T17/1000/24/T$3</f>
        <v>122.61157050806447</v>
      </c>
      <c r="U65" s="5579">
        <f t="shared" si="336"/>
        <v>118.48694858737954</v>
      </c>
      <c r="V65" s="5579">
        <f t="shared" si="204"/>
        <v>116.50289181919401</v>
      </c>
      <c r="W65" s="5564">
        <v>129.72384867847444</v>
      </c>
      <c r="X65" s="5565">
        <f t="shared" ref="X65:Z65" si="337">X17/1000/24/X$3</f>
        <v>126.34900009677419</v>
      </c>
      <c r="Y65" s="5579">
        <f t="shared" si="337"/>
        <v>120.76370612217653</v>
      </c>
      <c r="Z65" s="5579">
        <f t="shared" si="337"/>
        <v>118.49785493425928</v>
      </c>
      <c r="AA65" s="5564">
        <v>131.35095123693176</v>
      </c>
      <c r="AB65" s="5565">
        <f t="shared" ref="AB65:AF65" si="338">AB17/1000/24/AB$3</f>
        <v>114.04631023777777</v>
      </c>
      <c r="AC65" s="5811">
        <f t="shared" si="338"/>
        <v>130.48892888705751</v>
      </c>
      <c r="AD65" s="5811">
        <f t="shared" si="338"/>
        <v>121.07790212916665</v>
      </c>
      <c r="AE65" s="6911">
        <f t="shared" si="338"/>
        <v>122.49932007541508</v>
      </c>
      <c r="AF65" s="6911">
        <f t="shared" si="338"/>
        <v>117.76809350860655</v>
      </c>
      <c r="AG65" s="5564">
        <v>103.0039279158478</v>
      </c>
      <c r="AH65" s="5565">
        <f t="shared" ref="AH65:AJ65" si="339">AH17/1000/24/AH$3</f>
        <v>118.14609019354839</v>
      </c>
      <c r="AI65" s="5579">
        <f t="shared" si="339"/>
        <v>119.67522121117869</v>
      </c>
      <c r="AJ65" s="5579">
        <f t="shared" si="339"/>
        <v>117.82285003773364</v>
      </c>
      <c r="AK65" s="5564">
        <v>139.60479338876419</v>
      </c>
      <c r="AL65" s="5565">
        <f t="shared" ref="AL65:AN65" si="340">AL17/1000/24/AL$3</f>
        <v>124.22689889055559</v>
      </c>
      <c r="AM65" s="5579">
        <f t="shared" si="340"/>
        <v>122.12557844612773</v>
      </c>
      <c r="AN65" s="5579">
        <f t="shared" si="340"/>
        <v>118.61023309340847</v>
      </c>
      <c r="AO65" s="5564">
        <v>138.6242150661329</v>
      </c>
      <c r="AP65" s="5565">
        <f t="shared" ref="AP65:AT65" si="341">AP17/1000/24/AP$3</f>
        <v>125.79695964086021</v>
      </c>
      <c r="AQ65" s="5811">
        <f t="shared" si="341"/>
        <v>126.9414808054818</v>
      </c>
      <c r="AR65" s="5811">
        <f t="shared" si="341"/>
        <v>122.70697295199275</v>
      </c>
      <c r="AS65" s="5579">
        <f t="shared" si="341"/>
        <v>123.98542475601923</v>
      </c>
      <c r="AT65" s="5579">
        <f t="shared" si="341"/>
        <v>119.42037317693939</v>
      </c>
      <c r="AU65" s="5564">
        <v>134.77475020992719</v>
      </c>
      <c r="AV65" s="5565">
        <f t="shared" ref="AV65:AX65" si="342">AV17/1000/24/AV$3</f>
        <v>128.83692493548392</v>
      </c>
      <c r="AW65" s="5579">
        <f t="shared" si="342"/>
        <v>125.45262891801644</v>
      </c>
      <c r="AX65" s="5579">
        <f t="shared" si="342"/>
        <v>120.37433757077889</v>
      </c>
      <c r="AY65" s="8207">
        <v>140.15855554589999</v>
      </c>
      <c r="AZ65" s="5565">
        <f t="shared" ref="AZ65:BB65" si="343">AZ17/1000/24/AZ$3</f>
        <v>132.10092353273811</v>
      </c>
      <c r="BA65" s="5579">
        <f t="shared" si="343"/>
        <v>126.68546109041387</v>
      </c>
      <c r="BB65" s="5579">
        <f t="shared" si="343"/>
        <v>121.3574046574102</v>
      </c>
      <c r="BC65" s="8207">
        <v>141.00862117700001</v>
      </c>
      <c r="BD65" s="5565">
        <f t="shared" ref="BD65:BJ65" si="344">BD17/1000/24/BD$3</f>
        <v>133.2120065860214</v>
      </c>
      <c r="BE65" s="5811">
        <f t="shared" si="344"/>
        <v>139.86910503054378</v>
      </c>
      <c r="BF65" s="5811">
        <f t="shared" si="344"/>
        <v>131.35936373425923</v>
      </c>
      <c r="BG65" s="5811">
        <f t="shared" ref="BG65:BH65" si="345">BG17/1000/24/BG$3</f>
        <v>133.33426201567733</v>
      </c>
      <c r="BH65" s="5811">
        <f t="shared" si="345"/>
        <v>126.98562773443223</v>
      </c>
      <c r="BI65" s="6911">
        <f t="shared" si="344"/>
        <v>127.90194865932665</v>
      </c>
      <c r="BJ65" s="6911">
        <f t="shared" si="344"/>
        <v>122.36423386230594</v>
      </c>
    </row>
    <row r="66" spans="1:62" x14ac:dyDescent="0.2">
      <c r="A66" s="5457"/>
      <c r="B66" s="1656" t="s">
        <v>287</v>
      </c>
      <c r="C66" s="1636" t="s">
        <v>897</v>
      </c>
      <c r="D66" s="5542">
        <f t="shared" ref="D66:E74" si="346">+((D22/1000)/D$3)/24</f>
        <v>1.3352222222222243</v>
      </c>
      <c r="E66" s="5542">
        <f t="shared" si="346"/>
        <v>1.3534677419354828</v>
      </c>
      <c r="G66" s="5527" t="s">
        <v>1984</v>
      </c>
      <c r="H66" s="5528" t="s">
        <v>1952</v>
      </c>
      <c r="I66" s="5566">
        <f>+SUM(I67:I80)</f>
        <v>107.4999627777779</v>
      </c>
      <c r="J66" s="5566">
        <f t="shared" si="201"/>
        <v>107.49996277777781</v>
      </c>
      <c r="K66" s="5566">
        <f>+SUM(K67:K80)</f>
        <v>110.60272271505377</v>
      </c>
      <c r="L66" s="5567">
        <f t="shared" si="201"/>
        <v>110.60272271505376</v>
      </c>
      <c r="M66" s="5580">
        <f t="shared" si="201"/>
        <v>109.07677520491809</v>
      </c>
      <c r="N66" s="5580">
        <f t="shared" ref="N66" si="347">N18/1000/24/N$3</f>
        <v>109.07677520491804</v>
      </c>
      <c r="O66" s="5566">
        <f>+SUM(O67:O80)</f>
        <v>116.49188055555558</v>
      </c>
      <c r="P66" s="5566">
        <f t="shared" ref="P66:Q66" si="348">P18/1000/24/P$3</f>
        <v>116.49188055555558</v>
      </c>
      <c r="Q66" s="5812">
        <f t="shared" si="348"/>
        <v>111.52131543040299</v>
      </c>
      <c r="R66" s="5812">
        <f t="shared" si="203"/>
        <v>111.52131543040295</v>
      </c>
      <c r="S66" s="5566">
        <f>+SUM(S67:S80)</f>
        <v>126.72639441834299</v>
      </c>
      <c r="T66" s="5567">
        <f t="shared" ref="T66:U66" si="349">T18/1000/24/T$3</f>
        <v>119.54067701612898</v>
      </c>
      <c r="U66" s="5580">
        <f t="shared" si="349"/>
        <v>115.38490107487954</v>
      </c>
      <c r="V66" s="5580">
        <f t="shared" si="204"/>
        <v>113.55902206284154</v>
      </c>
      <c r="W66" s="5566">
        <f>+SUM(W67:W80)</f>
        <v>126.03044917847443</v>
      </c>
      <c r="X66" s="5567">
        <f t="shared" ref="X66:Z66" si="350">X18/1000/24/X$3</f>
        <v>123.22355443548388</v>
      </c>
      <c r="Y66" s="5580">
        <f t="shared" si="350"/>
        <v>117.54184219390858</v>
      </c>
      <c r="Z66" s="5580">
        <f t="shared" si="350"/>
        <v>115.51719528867103</v>
      </c>
      <c r="AA66" s="5566">
        <f>+SUM(AA67:AA80)</f>
        <v>127.65755173693175</v>
      </c>
      <c r="AB66" s="5567">
        <f t="shared" ref="AB66:AF66" si="351">AB18/1000/24/AB$3</f>
        <v>110.89692083333333</v>
      </c>
      <c r="AC66" s="5812">
        <f t="shared" si="351"/>
        <v>126.7955293870575</v>
      </c>
      <c r="AD66" s="5812">
        <f t="shared" si="351"/>
        <v>117.96303043478261</v>
      </c>
      <c r="AE66" s="6912">
        <f t="shared" si="351"/>
        <v>119.20015523374843</v>
      </c>
      <c r="AF66" s="6912">
        <f t="shared" si="351"/>
        <v>114.75977324681239</v>
      </c>
      <c r="AG66" s="5566">
        <f>+SUM(AG67:AG80)</f>
        <v>99.310528415847799</v>
      </c>
      <c r="AH66" s="5567">
        <f t="shared" ref="AH66:AJ66" si="352">AH18/1000/24/AH$3</f>
        <v>114.9730813172043</v>
      </c>
      <c r="AI66" s="5580">
        <f t="shared" si="352"/>
        <v>116.31894761059459</v>
      </c>
      <c r="AJ66" s="5580">
        <f t="shared" si="352"/>
        <v>114.79067301401869</v>
      </c>
      <c r="AK66" s="5566">
        <f>+SUM(AK67:AK80)</f>
        <v>135.9113938887642</v>
      </c>
      <c r="AL66" s="5567">
        <f t="shared" ref="AL66:AN66" si="353">AL18/1000/24/AL$3</f>
        <v>121.27237416666671</v>
      </c>
      <c r="AM66" s="5580">
        <f t="shared" si="353"/>
        <v>118.72785493987773</v>
      </c>
      <c r="AN66" s="5580">
        <f t="shared" si="353"/>
        <v>115.58760348360656</v>
      </c>
      <c r="AO66" s="5566">
        <f>+SUM(AO67:AO80)</f>
        <v>134.93081556613291</v>
      </c>
      <c r="AP66" s="5567">
        <f t="shared" ref="AP66:AT66" si="354">AP18/1000/24/AP$3</f>
        <v>122.86366263440858</v>
      </c>
      <c r="AQ66" s="5812">
        <f t="shared" si="354"/>
        <v>123.24808130548182</v>
      </c>
      <c r="AR66" s="5812">
        <f t="shared" si="354"/>
        <v>119.68598138586958</v>
      </c>
      <c r="AS66" s="5580">
        <f t="shared" si="354"/>
        <v>120.55437050138285</v>
      </c>
      <c r="AT66" s="5580">
        <f t="shared" si="354"/>
        <v>116.40781378787879</v>
      </c>
      <c r="AU66" s="5566">
        <f>+SUM(AU67:AU80)</f>
        <v>134.77475020992719</v>
      </c>
      <c r="AV66" s="5567">
        <f t="shared" ref="AV66:AX66" si="355">AV18/1000/24/AV$3</f>
        <v>125.89547231182799</v>
      </c>
      <c r="AW66" s="5580">
        <f t="shared" si="355"/>
        <v>121.99499720388242</v>
      </c>
      <c r="AX66" s="5580">
        <f t="shared" si="355"/>
        <v>117.36898180827886</v>
      </c>
      <c r="AY66" s="8208">
        <v>136.46515604589999</v>
      </c>
      <c r="AZ66" s="5567">
        <f t="shared" ref="AZ66:BB66" si="356">AZ18/1000/24/AZ$3</f>
        <v>129.55659806547621</v>
      </c>
      <c r="BA66" s="5580">
        <f t="shared" si="356"/>
        <v>123.20806441219528</v>
      </c>
      <c r="BB66" s="5580">
        <f t="shared" si="356"/>
        <v>118.39069814121757</v>
      </c>
      <c r="BC66" s="8208">
        <v>137.31522167700001</v>
      </c>
      <c r="BD66" s="5567">
        <f t="shared" ref="BD66:BJ66" si="357">BD18/1000/24/BD$3</f>
        <v>130.41345551075258</v>
      </c>
      <c r="BE66" s="5812">
        <f t="shared" si="357"/>
        <v>136.17570553054378</v>
      </c>
      <c r="BF66" s="5812">
        <f t="shared" si="357"/>
        <v>128.5906834259259</v>
      </c>
      <c r="BG66" s="5812">
        <f t="shared" ref="BG66:BH66" si="358">BG18/1000/24/BG$3</f>
        <v>129.6408625156773</v>
      </c>
      <c r="BH66" s="5812">
        <f t="shared" si="358"/>
        <v>124.08940547161168</v>
      </c>
      <c r="BI66" s="6912">
        <f t="shared" si="357"/>
        <v>124.4062065359705</v>
      </c>
      <c r="BJ66" s="6912">
        <f t="shared" si="357"/>
        <v>119.41180904109586</v>
      </c>
    </row>
    <row r="67" spans="1:62" x14ac:dyDescent="0.2">
      <c r="A67" s="5457"/>
      <c r="B67" s="1656" t="s">
        <v>1048</v>
      </c>
      <c r="C67" s="1636" t="s">
        <v>897</v>
      </c>
      <c r="D67" s="5542">
        <f t="shared" si="346"/>
        <v>5.1045138888889019</v>
      </c>
      <c r="E67" s="5542">
        <f t="shared" si="346"/>
        <v>5.8832526881720257</v>
      </c>
      <c r="G67" s="5507" t="s">
        <v>1985</v>
      </c>
      <c r="H67" s="3938" t="s">
        <v>1953</v>
      </c>
      <c r="I67" s="6045">
        <v>7.0703194444445003</v>
      </c>
      <c r="J67" s="5562">
        <f t="shared" si="201"/>
        <v>7.0703194444444506</v>
      </c>
      <c r="K67" s="6045">
        <v>6.5758870967742</v>
      </c>
      <c r="L67" s="5563">
        <f t="shared" si="201"/>
        <v>6.5758870967741947</v>
      </c>
      <c r="M67" s="5578">
        <f t="shared" si="201"/>
        <v>6.8190505464481177</v>
      </c>
      <c r="N67" s="5578">
        <f t="shared" ref="N67" si="359">N19/1000/24/N$3</f>
        <v>6.8190505464480911</v>
      </c>
      <c r="O67" s="6045">
        <v>6.99383333333334</v>
      </c>
      <c r="P67" s="5562">
        <f t="shared" ref="P67:Q67" si="360">P19/1000/24/P$3</f>
        <v>6.9938333333333418</v>
      </c>
      <c r="Q67" s="5810">
        <f t="shared" si="360"/>
        <v>6.8766712454212673</v>
      </c>
      <c r="R67" s="5810">
        <f t="shared" si="203"/>
        <v>6.8766712454212495</v>
      </c>
      <c r="S67" s="5562">
        <v>7.1188631249999998</v>
      </c>
      <c r="T67" s="5563">
        <f t="shared" ref="T67:U67" si="361">T19/1000/24/T$3</f>
        <v>7.2569354838709499</v>
      </c>
      <c r="U67" s="5578">
        <f t="shared" si="361"/>
        <v>6.9382118049863566</v>
      </c>
      <c r="V67" s="5578">
        <f t="shared" si="204"/>
        <v>6.9732957650273217</v>
      </c>
      <c r="W67" s="5562">
        <v>7.1188631249999998</v>
      </c>
      <c r="X67" s="5563">
        <f t="shared" ref="X67:Z67" si="362">X19/1000/24/X$3</f>
        <v>7.0456989247311927</v>
      </c>
      <c r="Y67" s="5578">
        <f t="shared" si="362"/>
        <v>6.9748143600217993</v>
      </c>
      <c r="Z67" s="5578">
        <f t="shared" si="362"/>
        <v>6.9879656862745119</v>
      </c>
      <c r="AA67" s="5562">
        <v>7.1188631250000007</v>
      </c>
      <c r="AB67" s="5563">
        <f t="shared" ref="AB67:AF67" si="363">AB19/1000/24/AB$3</f>
        <v>6.5689027777777822</v>
      </c>
      <c r="AC67" s="5810">
        <f t="shared" si="363"/>
        <v>7.1188631249999998</v>
      </c>
      <c r="AD67" s="5810">
        <f t="shared" si="363"/>
        <v>6.9613994565217379</v>
      </c>
      <c r="AE67" s="6910">
        <f t="shared" si="363"/>
        <v>6.9984289116575713</v>
      </c>
      <c r="AF67" s="6910">
        <f t="shared" si="363"/>
        <v>6.9192668488160312</v>
      </c>
      <c r="AG67" s="5562">
        <v>7.1188631249999998</v>
      </c>
      <c r="AH67" s="5563">
        <f t="shared" ref="AH67:AJ67" si="364">AH19/1000/24/AH$3</f>
        <v>6.5845295698924691</v>
      </c>
      <c r="AI67" s="5578">
        <f t="shared" si="364"/>
        <v>7.0158749892912873</v>
      </c>
      <c r="AJ67" s="5578">
        <f t="shared" si="364"/>
        <v>6.8707768691588775</v>
      </c>
      <c r="AK67" s="5562">
        <v>7.1188631250000007</v>
      </c>
      <c r="AL67" s="5563">
        <f t="shared" ref="AL67:AN67" si="365">AL19/1000/24/AL$3</f>
        <v>6.2623472222222354</v>
      </c>
      <c r="AM67" s="5578">
        <f t="shared" si="365"/>
        <v>7.0285374649931791</v>
      </c>
      <c r="AN67" s="5578">
        <f t="shared" si="365"/>
        <v>6.7959699453551927</v>
      </c>
      <c r="AO67" s="5562">
        <v>7.1188631249999998</v>
      </c>
      <c r="AP67" s="5563">
        <f t="shared" ref="AP67:AT67" si="366">AP19/1000/24/AP$3</f>
        <v>6.4191801075268744</v>
      </c>
      <c r="AQ67" s="5810">
        <f t="shared" si="366"/>
        <v>7.1188631250000016</v>
      </c>
      <c r="AR67" s="5810">
        <f t="shared" si="366"/>
        <v>6.4237545289855067</v>
      </c>
      <c r="AS67" s="5578">
        <f t="shared" si="366"/>
        <v>7.0387196303030386</v>
      </c>
      <c r="AT67" s="5578">
        <f t="shared" si="366"/>
        <v>6.7534954545454546</v>
      </c>
      <c r="AU67" s="5562">
        <v>7.1188631249999998</v>
      </c>
      <c r="AV67" s="5563">
        <f t="shared" ref="AV67:AX67" si="367">AV19/1000/24/AV$3</f>
        <v>6.4405376344086083</v>
      </c>
      <c r="AW67" s="5578">
        <f t="shared" si="367"/>
        <v>7.0468387425109018</v>
      </c>
      <c r="AX67" s="5578">
        <f t="shared" si="367"/>
        <v>6.7217905773420492</v>
      </c>
      <c r="AY67" s="8209">
        <v>7.1188631249999998</v>
      </c>
      <c r="AZ67" s="5563">
        <f t="shared" ref="AZ67:BB67" si="368">AZ19/1000/24/AZ$3</f>
        <v>6.6594196428571433</v>
      </c>
      <c r="BA67" s="5578">
        <f t="shared" si="368"/>
        <v>7.0528767146956159</v>
      </c>
      <c r="BB67" s="5578">
        <f t="shared" si="368"/>
        <v>6.7165618762475061</v>
      </c>
      <c r="BC67" s="8209">
        <v>7.1188631249999998</v>
      </c>
      <c r="BD67" s="5563">
        <f t="shared" ref="BD67:BJ67" si="369">BD19/1000/24/BD$3</f>
        <v>6.5901612903225804</v>
      </c>
      <c r="BE67" s="5810">
        <f t="shared" si="369"/>
        <v>7.1188631250000007</v>
      </c>
      <c r="BF67" s="5810">
        <f t="shared" si="369"/>
        <v>6.5601712962962981</v>
      </c>
      <c r="BG67" s="5810">
        <f t="shared" ref="BG67:BH67" si="370">BG19/1000/24/BG$3</f>
        <v>7.1188631250000007</v>
      </c>
      <c r="BH67" s="5810">
        <f t="shared" si="370"/>
        <v>6.4912133699633703</v>
      </c>
      <c r="BI67" s="6910">
        <f t="shared" si="369"/>
        <v>7.0584810399543443</v>
      </c>
      <c r="BJ67" s="6910">
        <f t="shared" si="369"/>
        <v>6.7058264840182655</v>
      </c>
    </row>
    <row r="68" spans="1:62" x14ac:dyDescent="0.2">
      <c r="A68" s="5457"/>
      <c r="B68" s="1656" t="s">
        <v>1049</v>
      </c>
      <c r="C68" s="1636" t="s">
        <v>897</v>
      </c>
      <c r="D68" s="5542">
        <f t="shared" si="346"/>
        <v>2.9443194444444436</v>
      </c>
      <c r="E68" s="5542">
        <f t="shared" si="346"/>
        <v>6.5376075268817191</v>
      </c>
      <c r="G68" s="5507" t="s">
        <v>1986</v>
      </c>
      <c r="H68" s="3938" t="s">
        <v>1497</v>
      </c>
      <c r="I68" s="6045">
        <v>2.1610277777778002</v>
      </c>
      <c r="J68" s="5562">
        <f t="shared" si="201"/>
        <v>2.1610277777777771</v>
      </c>
      <c r="K68" s="6045">
        <v>2.0229032258065001</v>
      </c>
      <c r="L68" s="5563">
        <f t="shared" si="201"/>
        <v>2.0229032258064517</v>
      </c>
      <c r="M68" s="5578">
        <f t="shared" si="201"/>
        <v>2.0908333333333688</v>
      </c>
      <c r="N68" s="5578">
        <f t="shared" ref="N68" si="371">N20/1000/24/N$3</f>
        <v>2.0908333333333329</v>
      </c>
      <c r="O68" s="6045">
        <v>2.37452777777778</v>
      </c>
      <c r="P68" s="5562">
        <f t="shared" ref="P68:Q68" si="372">P20/1000/24/P$3</f>
        <v>2.3745277777777769</v>
      </c>
      <c r="Q68" s="5810">
        <f t="shared" si="372"/>
        <v>2.1843589743589993</v>
      </c>
      <c r="R68" s="5810">
        <f t="shared" si="203"/>
        <v>2.184358974358974</v>
      </c>
      <c r="S68" s="5562">
        <v>2.9</v>
      </c>
      <c r="T68" s="5563">
        <f t="shared" ref="T68:U68" si="373">T20/1000/24/T$3</f>
        <v>2.7636424731182809</v>
      </c>
      <c r="U68" s="5578">
        <f t="shared" si="373"/>
        <v>2.3662021857923685</v>
      </c>
      <c r="V68" s="5578">
        <f t="shared" si="204"/>
        <v>2.3315539617486336</v>
      </c>
      <c r="W68" s="5562">
        <v>2.9</v>
      </c>
      <c r="X68" s="5563">
        <f t="shared" ref="X68:Z68" si="374">X20/1000/24/X$3</f>
        <v>2.7655645161290314</v>
      </c>
      <c r="Y68" s="5578">
        <f t="shared" si="374"/>
        <v>2.4743572984749602</v>
      </c>
      <c r="Z68" s="5578">
        <f t="shared" si="374"/>
        <v>2.4194907407407404</v>
      </c>
      <c r="AA68" s="5562">
        <v>2.9</v>
      </c>
      <c r="AB68" s="5563">
        <f t="shared" ref="AB68:AF68" si="375">AB20/1000/24/AB$3</f>
        <v>2.5870833333333318</v>
      </c>
      <c r="AC68" s="5810">
        <f t="shared" si="375"/>
        <v>2.9</v>
      </c>
      <c r="AD68" s="5810">
        <f t="shared" si="375"/>
        <v>2.7067164855072465</v>
      </c>
      <c r="AE68" s="6910">
        <f t="shared" si="375"/>
        <v>2.5441347905282456</v>
      </c>
      <c r="AF68" s="6910">
        <f t="shared" si="375"/>
        <v>2.4469649362477219</v>
      </c>
      <c r="AG68" s="5562">
        <v>2.9</v>
      </c>
      <c r="AH68" s="5563">
        <f t="shared" ref="AH68:AJ68" si="376">AH20/1000/24/AH$3</f>
        <v>2.4561962365591432</v>
      </c>
      <c r="AI68" s="5578">
        <f t="shared" si="376"/>
        <v>2.5956853582554618</v>
      </c>
      <c r="AJ68" s="5578">
        <f t="shared" si="376"/>
        <v>2.4483021806853582</v>
      </c>
      <c r="AK68" s="5562">
        <v>2.9</v>
      </c>
      <c r="AL68" s="5563">
        <f t="shared" ref="AL68:AN68" si="377">AL20/1000/24/AL$3</f>
        <v>2.7023194444444427</v>
      </c>
      <c r="AM68" s="5578">
        <f t="shared" si="377"/>
        <v>2.633101092896184</v>
      </c>
      <c r="AN68" s="5578">
        <f t="shared" si="377"/>
        <v>2.4795338114754091</v>
      </c>
      <c r="AO68" s="5562">
        <v>2.9</v>
      </c>
      <c r="AP68" s="5563">
        <f t="shared" ref="AP68:AT68" si="378">AP20/1000/24/AP$3</f>
        <v>2.8482661290322571</v>
      </c>
      <c r="AQ68" s="5810">
        <f t="shared" si="378"/>
        <v>2.9</v>
      </c>
      <c r="AR68" s="5810">
        <f t="shared" si="378"/>
        <v>2.6685643115942028</v>
      </c>
      <c r="AS68" s="5578">
        <f t="shared" si="378"/>
        <v>2.6631878787878867</v>
      </c>
      <c r="AT68" s="5578">
        <f t="shared" si="378"/>
        <v>2.5210999999999992</v>
      </c>
      <c r="AU68" s="5562">
        <v>2.9</v>
      </c>
      <c r="AV68" s="5563">
        <f t="shared" ref="AV68:AX68" si="379">AV20/1000/24/AV$3</f>
        <v>2.9939381720430123</v>
      </c>
      <c r="AW68" s="5578">
        <f t="shared" si="379"/>
        <v>2.6871786492374796</v>
      </c>
      <c r="AX68" s="5578">
        <f t="shared" si="379"/>
        <v>2.569001906318082</v>
      </c>
      <c r="AY68" s="8209">
        <v>2.9</v>
      </c>
      <c r="AZ68" s="5563">
        <f t="shared" ref="AZ68:BB68" si="380">AZ20/1000/24/AZ$3</f>
        <v>2.9711458333333334</v>
      </c>
      <c r="BA68" s="5578">
        <f t="shared" si="380"/>
        <v>2.7050199600798468</v>
      </c>
      <c r="BB68" s="5578">
        <f t="shared" si="380"/>
        <v>2.6027145708582831</v>
      </c>
      <c r="BC68" s="8209">
        <v>2.9</v>
      </c>
      <c r="BD68" s="5563">
        <f t="shared" ref="BD68:BJ68" si="381">BD20/1000/24/BD$3</f>
        <v>2.9747446236559139</v>
      </c>
      <c r="BE68" s="5810">
        <f t="shared" si="381"/>
        <v>2.9</v>
      </c>
      <c r="BF68" s="5810">
        <f t="shared" si="381"/>
        <v>2.9802361111111115</v>
      </c>
      <c r="BG68" s="5810">
        <f t="shared" ref="BG68:BH68" si="382">BG20/1000/24/BG$3</f>
        <v>2.9000000000000004</v>
      </c>
      <c r="BH68" s="5810">
        <f t="shared" si="382"/>
        <v>2.8226877289377286</v>
      </c>
      <c r="BI68" s="6910">
        <f t="shared" si="381"/>
        <v>2.721579908675805</v>
      </c>
      <c r="BJ68" s="6910">
        <f t="shared" si="381"/>
        <v>2.6343116438356158</v>
      </c>
    </row>
    <row r="69" spans="1:62" x14ac:dyDescent="0.2">
      <c r="A69" s="5457"/>
      <c r="B69" s="1656" t="s">
        <v>1050</v>
      </c>
      <c r="C69" s="1636" t="s">
        <v>897</v>
      </c>
      <c r="D69" s="5542">
        <f t="shared" si="346"/>
        <v>0.58881527777777698</v>
      </c>
      <c r="E69" s="5542">
        <f t="shared" si="346"/>
        <v>0.73001344086021558</v>
      </c>
      <c r="G69" s="5507" t="s">
        <v>1987</v>
      </c>
      <c r="H69" s="3938" t="s">
        <v>1047</v>
      </c>
      <c r="I69" s="6045">
        <v>11.048583333333299</v>
      </c>
      <c r="J69" s="5562">
        <f t="shared" si="201"/>
        <v>11.048583333333308</v>
      </c>
      <c r="K69" s="6045">
        <v>10.7774462365592</v>
      </c>
      <c r="L69" s="5563">
        <f t="shared" si="201"/>
        <v>10.777446236559159</v>
      </c>
      <c r="M69" s="5578">
        <f t="shared" si="201"/>
        <v>10.91079234972679</v>
      </c>
      <c r="N69" s="5578">
        <f t="shared" ref="N69" si="383">N21/1000/24/N$3</f>
        <v>10.910792349726773</v>
      </c>
      <c r="O69" s="6045">
        <v>12.3307083333333</v>
      </c>
      <c r="P69" s="5562">
        <f t="shared" ref="P69:Q69" si="384">P21/1000/24/P$3</f>
        <v>12.330708333333321</v>
      </c>
      <c r="Q69" s="5810">
        <f t="shared" si="384"/>
        <v>11.378896520146519</v>
      </c>
      <c r="R69" s="5810">
        <f t="shared" si="203"/>
        <v>11.378896520146512</v>
      </c>
      <c r="S69" s="5562">
        <v>14.543439503487644</v>
      </c>
      <c r="T69" s="5563">
        <f t="shared" ref="T69:U69" si="385">T21/1000/24/T$3</f>
        <v>14.112876344086031</v>
      </c>
      <c r="U69" s="5578">
        <f t="shared" si="385"/>
        <v>12.183001704438116</v>
      </c>
      <c r="V69" s="5578">
        <f t="shared" si="204"/>
        <v>12.073596311475406</v>
      </c>
      <c r="W69" s="5562">
        <v>14.45867744443105</v>
      </c>
      <c r="X69" s="5563">
        <f t="shared" ref="X69:Z69" si="386">X21/1000/24/X$3</f>
        <v>13.13692204301076</v>
      </c>
      <c r="Y69" s="5578">
        <f t="shared" si="386"/>
        <v>12.644086331495506</v>
      </c>
      <c r="Z69" s="5578">
        <f t="shared" si="386"/>
        <v>12.289041394335513</v>
      </c>
      <c r="AA69" s="5562">
        <v>14.744008446693439</v>
      </c>
      <c r="AB69" s="5563">
        <f t="shared" ref="AB69:AF69" si="387">AB21/1000/24/AB$3</f>
        <v>11.19052777777776</v>
      </c>
      <c r="AC69" s="5810">
        <f t="shared" si="387"/>
        <v>14.580281291155245</v>
      </c>
      <c r="AD69" s="5810">
        <f t="shared" si="387"/>
        <v>12.831082427536231</v>
      </c>
      <c r="AE69" s="6910">
        <f t="shared" si="387"/>
        <v>12.988335858577138</v>
      </c>
      <c r="AF69" s="6910">
        <f t="shared" si="387"/>
        <v>12.108957194899816</v>
      </c>
      <c r="AG69" s="5562">
        <v>7.559391801075269</v>
      </c>
      <c r="AH69" s="5563">
        <f t="shared" ref="AH69:AJ69" si="388">AH21/1000/24/AH$3</f>
        <v>13.466586021505384</v>
      </c>
      <c r="AI69" s="5578">
        <f t="shared" si="388"/>
        <v>12.201900037163313</v>
      </c>
      <c r="AJ69" s="5578">
        <f t="shared" si="388"/>
        <v>12.305623052959501</v>
      </c>
      <c r="AK69" s="5562">
        <v>14.497905555555556</v>
      </c>
      <c r="AL69" s="5563">
        <f t="shared" ref="AL69:AN69" si="389">AL21/1000/24/AL$3</f>
        <v>13.637215277777765</v>
      </c>
      <c r="AM69" s="5578">
        <f t="shared" si="389"/>
        <v>12.484195797621375</v>
      </c>
      <c r="AN69" s="5578">
        <f t="shared" si="389"/>
        <v>12.469343408469943</v>
      </c>
      <c r="AO69" s="5562">
        <v>14.755932795698925</v>
      </c>
      <c r="AP69" s="5563">
        <f t="shared" ref="AP69:AT69" si="390">AP21/1000/24/AP$3</f>
        <v>14.084025537634414</v>
      </c>
      <c r="AQ69" s="5810">
        <f t="shared" si="390"/>
        <v>12.24687205615942</v>
      </c>
      <c r="AR69" s="5810">
        <f t="shared" si="390"/>
        <v>13.730276268115942</v>
      </c>
      <c r="AS69" s="5578">
        <f t="shared" si="390"/>
        <v>12.7402825137683</v>
      </c>
      <c r="AT69" s="5578">
        <f t="shared" si="390"/>
        <v>12.65136212121212</v>
      </c>
      <c r="AU69" s="5562">
        <v>14.514032258064516</v>
      </c>
      <c r="AV69" s="5563">
        <f t="shared" ref="AV69:AX69" si="391">AV21/1000/24/AV$3</f>
        <v>14.275940860215067</v>
      </c>
      <c r="AW69" s="5578">
        <f t="shared" si="391"/>
        <v>12.91997611531465</v>
      </c>
      <c r="AX69" s="5578">
        <f t="shared" si="391"/>
        <v>12.815943627450979</v>
      </c>
      <c r="AY69" s="8209">
        <v>14.730014881000001</v>
      </c>
      <c r="AZ69" s="5563">
        <f t="shared" ref="AZ69:BB69" si="392">AZ21/1000/24/AZ$3</f>
        <v>14.614985119047619</v>
      </c>
      <c r="BA69" s="5578">
        <f t="shared" si="392"/>
        <v>13.071715892078689</v>
      </c>
      <c r="BB69" s="5578">
        <f t="shared" si="392"/>
        <v>12.966761477045909</v>
      </c>
      <c r="BC69" s="8209">
        <v>14.755932796</v>
      </c>
      <c r="BD69" s="5563">
        <f t="shared" ref="BD69:BJ69" si="393">BD21/1000/24/BD$3</f>
        <v>15.242365591397849</v>
      </c>
      <c r="BE69" s="5810">
        <f t="shared" si="393"/>
        <v>14.664548148266666</v>
      </c>
      <c r="BF69" s="5810">
        <f t="shared" si="393"/>
        <v>14.714300925925929</v>
      </c>
      <c r="BG69" s="5810">
        <f t="shared" ref="BG69:BH69" si="394">BG21/1000/24/BG$3</f>
        <v>13.442426167641026</v>
      </c>
      <c r="BH69" s="5810">
        <f t="shared" si="394"/>
        <v>14.216881868131869</v>
      </c>
      <c r="BI69" s="6910">
        <f t="shared" si="393"/>
        <v>13.214758971589815</v>
      </c>
      <c r="BJ69" s="6910">
        <f t="shared" si="393"/>
        <v>13.16003196347032</v>
      </c>
    </row>
    <row r="70" spans="1:62" x14ac:dyDescent="0.2">
      <c r="A70" s="5457"/>
      <c r="B70" s="1656" t="s">
        <v>1992</v>
      </c>
      <c r="C70" s="1636" t="s">
        <v>897</v>
      </c>
      <c r="D70" s="5542">
        <f t="shared" si="346"/>
        <v>0.52588749999999995</v>
      </c>
      <c r="E70" s="5542">
        <f t="shared" si="346"/>
        <v>0.51527553763440859</v>
      </c>
      <c r="G70" s="5507" t="s">
        <v>1988</v>
      </c>
      <c r="H70" s="3938" t="s">
        <v>1954</v>
      </c>
      <c r="I70" s="6045">
        <v>13.062519444444399</v>
      </c>
      <c r="J70" s="5562">
        <f t="shared" ref="J70:M80" si="395">J22/1000/24/J$3</f>
        <v>13.06251944444444</v>
      </c>
      <c r="K70" s="6045">
        <v>13.210962365591399</v>
      </c>
      <c r="L70" s="5563">
        <f t="shared" si="395"/>
        <v>13.210962365591397</v>
      </c>
      <c r="M70" s="5578">
        <f t="shared" si="395"/>
        <v>13.137957650273203</v>
      </c>
      <c r="N70" s="5578">
        <f t="shared" ref="N70" si="396">N22/1000/24/N$3</f>
        <v>13.137957650273226</v>
      </c>
      <c r="O70" s="6045">
        <v>14.2248305555556</v>
      </c>
      <c r="P70" s="5562">
        <f t="shared" ref="P70:R80" si="397">P22/1000/24/P$3</f>
        <v>14.224830555555576</v>
      </c>
      <c r="Q70" s="5810">
        <f t="shared" si="397"/>
        <v>13.496267399267401</v>
      </c>
      <c r="R70" s="5810">
        <f t="shared" si="397"/>
        <v>13.496267399267406</v>
      </c>
      <c r="S70" s="5562">
        <v>15.385949534177421</v>
      </c>
      <c r="T70" s="5563">
        <f t="shared" ref="T70:V80" si="398">T22/1000/24/T$3</f>
        <v>14.136086021505378</v>
      </c>
      <c r="U70" s="5578">
        <f t="shared" si="398"/>
        <v>13.97643253190847</v>
      </c>
      <c r="V70" s="5578">
        <f t="shared" si="398"/>
        <v>13.658844262295087</v>
      </c>
      <c r="W70" s="5562">
        <v>15.296277159032261</v>
      </c>
      <c r="X70" s="5563">
        <f t="shared" ref="X70:Z70" si="399">X22/1000/24/X$3</f>
        <v>15.199809139784922</v>
      </c>
      <c r="Y70" s="5578">
        <f t="shared" si="399"/>
        <v>14.243852031521786</v>
      </c>
      <c r="Z70" s="5578">
        <f t="shared" si="399"/>
        <v>13.971065904139433</v>
      </c>
      <c r="AA70" s="5562">
        <v>15.598137554593611</v>
      </c>
      <c r="AB70" s="5563">
        <f t="shared" ref="AB70:AF70" si="400">AB22/1000/24/AB$3</f>
        <v>13.58678333333334</v>
      </c>
      <c r="AC70" s="5810">
        <f t="shared" si="400"/>
        <v>15.42492558834031</v>
      </c>
      <c r="AD70" s="5810">
        <f t="shared" si="400"/>
        <v>14.315394021739127</v>
      </c>
      <c r="AE70" s="6910">
        <f t="shared" si="400"/>
        <v>14.465866051697496</v>
      </c>
      <c r="AF70" s="6910">
        <f t="shared" si="400"/>
        <v>13.908068761384335</v>
      </c>
      <c r="AG70" s="5562">
        <v>7.997311827956989</v>
      </c>
      <c r="AH70" s="5563">
        <f t="shared" ref="AH70:AJ70" si="401">AH22/1000/24/AH$3</f>
        <v>14.366798387096763</v>
      </c>
      <c r="AI70" s="5578">
        <f t="shared" si="401"/>
        <v>13.528832495922003</v>
      </c>
      <c r="AJ70" s="5578">
        <f t="shared" si="401"/>
        <v>13.974520249221184</v>
      </c>
      <c r="AK70" s="5562">
        <v>15.337777777777777</v>
      </c>
      <c r="AL70" s="5563">
        <f t="shared" ref="AL70:AN70" si="402">AL22/1000/24/AL$3</f>
        <v>14.361255555555561</v>
      </c>
      <c r="AM70" s="5578">
        <f t="shared" si="402"/>
        <v>13.751243801068204</v>
      </c>
      <c r="AN70" s="5578">
        <f t="shared" si="402"/>
        <v>14.022069672131149</v>
      </c>
      <c r="AO70" s="5562">
        <v>15.610752688172044</v>
      </c>
      <c r="AP70" s="5563">
        <f t="shared" ref="AP70:AT70" si="403">AP22/1000/24/AP$3</f>
        <v>14.847994623655913</v>
      </c>
      <c r="AQ70" s="5810">
        <f t="shared" si="403"/>
        <v>12.956340579710146</v>
      </c>
      <c r="AR70" s="5810">
        <f t="shared" si="403"/>
        <v>14.527133152173912</v>
      </c>
      <c r="AS70" s="5578">
        <f t="shared" si="403"/>
        <v>13.960861166523545</v>
      </c>
      <c r="AT70" s="5578">
        <f t="shared" si="403"/>
        <v>14.115173939393941</v>
      </c>
      <c r="AU70" s="5562">
        <v>15.35483870967742</v>
      </c>
      <c r="AV70" s="5563">
        <f t="shared" ref="AV70:AX70" si="404">AV22/1000/24/AV$3</f>
        <v>15.159731182795694</v>
      </c>
      <c r="AW70" s="5578">
        <f t="shared" si="404"/>
        <v>14.102081113705802</v>
      </c>
      <c r="AX70" s="5578">
        <f t="shared" si="404"/>
        <v>14.220995098039216</v>
      </c>
      <c r="AY70" s="8209">
        <v>15.583333333300001</v>
      </c>
      <c r="AZ70" s="5563">
        <f t="shared" ref="AZ70:BB70" si="405">AZ22/1000/24/AZ$3</f>
        <v>15.626252976190477</v>
      </c>
      <c r="BA70" s="5578">
        <f t="shared" si="405"/>
        <v>14.226257946486154</v>
      </c>
      <c r="BB70" s="5578">
        <f t="shared" si="405"/>
        <v>14.33880114770459</v>
      </c>
      <c r="BC70" s="8209">
        <v>15.610752688</v>
      </c>
      <c r="BD70" s="5563">
        <f t="shared" ref="BD70:BJ70" si="406">BD22/1000/24/BD$3</f>
        <v>15.721295698924731</v>
      </c>
      <c r="BE70" s="5810">
        <f t="shared" si="406"/>
        <v>15.514074074004444</v>
      </c>
      <c r="BF70" s="5810">
        <f t="shared" si="406"/>
        <v>15.498299074074071</v>
      </c>
      <c r="BG70" s="5810">
        <f t="shared" ref="BG70:BH70" si="407">BG22/1000/24/BG$3</f>
        <v>14.221153846119416</v>
      </c>
      <c r="BH70" s="5810">
        <f t="shared" si="407"/>
        <v>15.007380036630034</v>
      </c>
      <c r="BI70" s="6910">
        <f t="shared" si="406"/>
        <v>14.343845171107878</v>
      </c>
      <c r="BJ70" s="6910">
        <f t="shared" si="406"/>
        <v>14.456218493150686</v>
      </c>
    </row>
    <row r="71" spans="1:62" x14ac:dyDescent="0.2">
      <c r="A71" s="5457"/>
      <c r="B71" s="1656" t="s">
        <v>1994</v>
      </c>
      <c r="C71" s="1636" t="s">
        <v>897</v>
      </c>
      <c r="D71" s="5542">
        <f t="shared" si="346"/>
        <v>7.5123108333333333</v>
      </c>
      <c r="E71" s="5542">
        <f t="shared" si="346"/>
        <v>7.5122983870967737</v>
      </c>
      <c r="G71" s="5507" t="s">
        <v>1989</v>
      </c>
      <c r="H71" s="3938" t="s">
        <v>1955</v>
      </c>
      <c r="I71" s="6045">
        <v>22.231472222222202</v>
      </c>
      <c r="J71" s="5562">
        <f t="shared" si="395"/>
        <v>22.23147222222223</v>
      </c>
      <c r="K71" s="6045">
        <v>22.708427419354798</v>
      </c>
      <c r="L71" s="5563">
        <f t="shared" si="395"/>
        <v>22.708427419354837</v>
      </c>
      <c r="M71" s="5578">
        <f t="shared" si="395"/>
        <v>22.473859289617454</v>
      </c>
      <c r="N71" s="5578">
        <f t="shared" ref="N71" si="408">N23/1000/24/N$3</f>
        <v>22.473859289617494</v>
      </c>
      <c r="O71" s="6045">
        <v>23.3854166666667</v>
      </c>
      <c r="P71" s="5562">
        <f t="shared" ref="P71:Q71" si="409">P23/1000/24/P$3</f>
        <v>23.385416666666668</v>
      </c>
      <c r="Q71" s="5810">
        <f t="shared" si="409"/>
        <v>22.774372710622703</v>
      </c>
      <c r="R71" s="5810">
        <f t="shared" si="397"/>
        <v>22.774372710622714</v>
      </c>
      <c r="S71" s="5562">
        <v>27.676691249999998</v>
      </c>
      <c r="T71" s="5563">
        <f t="shared" ref="T71:U71" si="410">T23/1000/24/T$3</f>
        <v>24.872163978494619</v>
      </c>
      <c r="U71" s="5578">
        <f t="shared" si="410"/>
        <v>24.020043814890709</v>
      </c>
      <c r="V71" s="5578">
        <f t="shared" si="398"/>
        <v>23.307418032786881</v>
      </c>
      <c r="W71" s="5562">
        <v>27.515444973118278</v>
      </c>
      <c r="X71" s="5563">
        <f t="shared" ref="X71:Z71" si="411">X23/1000/24/X$3</f>
        <v>26.788508064516137</v>
      </c>
      <c r="Y71" s="5578">
        <f t="shared" si="411"/>
        <v>24.728262350217861</v>
      </c>
      <c r="Z71" s="5578">
        <f t="shared" si="411"/>
        <v>24.012736928104577</v>
      </c>
      <c r="AA71" s="5562">
        <v>28.058407513888891</v>
      </c>
      <c r="AB71" s="5563">
        <f t="shared" ref="AB71:AF71" si="412">AB23/1000/24/AB$3</f>
        <v>19.392527777777769</v>
      </c>
      <c r="AC71" s="5810">
        <f t="shared" si="412"/>
        <v>27.746830960144923</v>
      </c>
      <c r="AD71" s="5810">
        <f t="shared" si="412"/>
        <v>23.731050724637676</v>
      </c>
      <c r="AE71" s="6910">
        <f t="shared" si="412"/>
        <v>25.274187786885243</v>
      </c>
      <c r="AF71" s="6910">
        <f t="shared" si="412"/>
        <v>23.255325591985429</v>
      </c>
      <c r="AG71" s="5562">
        <v>14.280115389784946</v>
      </c>
      <c r="AH71" s="5563">
        <f t="shared" ref="AH71:AJ71" si="413">AH23/1000/24/AH$3</f>
        <v>19.972983870967742</v>
      </c>
      <c r="AI71" s="5578">
        <f t="shared" si="413"/>
        <v>23.681588514408094</v>
      </c>
      <c r="AJ71" s="5578">
        <f t="shared" si="413"/>
        <v>22.779846183800622</v>
      </c>
      <c r="AK71" s="5562">
        <v>27.915183124999999</v>
      </c>
      <c r="AL71" s="5563">
        <f t="shared" ref="AL71:AN71" si="414">AL23/1000/24/AL$3</f>
        <v>23.352444444444441</v>
      </c>
      <c r="AM71" s="5578">
        <f t="shared" si="414"/>
        <v>24.202112441939889</v>
      </c>
      <c r="AN71" s="5578">
        <f t="shared" si="414"/>
        <v>22.850247609289614</v>
      </c>
      <c r="AO71" s="5562">
        <v>28.345068951612898</v>
      </c>
      <c r="AP71" s="5563">
        <f t="shared" ref="AP71:AT71" si="415">AP23/1000/24/AP$3</f>
        <v>23.672540322580645</v>
      </c>
      <c r="AQ71" s="5810">
        <f t="shared" si="415"/>
        <v>23.465610960144932</v>
      </c>
      <c r="AR71" s="5810">
        <f t="shared" si="415"/>
        <v>22.321571557971016</v>
      </c>
      <c r="AS71" s="5578">
        <f t="shared" si="415"/>
        <v>24.669136630303029</v>
      </c>
      <c r="AT71" s="5578">
        <f t="shared" si="415"/>
        <v>22.942942424242425</v>
      </c>
      <c r="AU71" s="5562">
        <v>27.890664684139782</v>
      </c>
      <c r="AV71" s="5563">
        <f t="shared" ref="AV71:AX71" si="416">AV23/1000/24/AV$3</f>
        <v>26.338172043010747</v>
      </c>
      <c r="AW71" s="5578">
        <f t="shared" si="416"/>
        <v>24.9955005834695</v>
      </c>
      <c r="AX71" s="5578">
        <f t="shared" si="416"/>
        <v>23.286903594771239</v>
      </c>
      <c r="AY71" s="8209">
        <v>28.541120424100001</v>
      </c>
      <c r="AZ71" s="5563">
        <f t="shared" ref="AZ71:BB71" si="417">AZ23/1000/24/AZ$3</f>
        <v>27.045738095238097</v>
      </c>
      <c r="BA71" s="5578">
        <f t="shared" si="417"/>
        <v>25.292738174899601</v>
      </c>
      <c r="BB71" s="5578">
        <f t="shared" si="417"/>
        <v>23.602015469061875</v>
      </c>
      <c r="BC71" s="8209">
        <v>28.473603125</v>
      </c>
      <c r="BD71" s="5563">
        <f t="shared" ref="BD71:BJ71" si="418">BD23/1000/24/BD$3</f>
        <v>27.577438172043014</v>
      </c>
      <c r="BE71" s="5810">
        <f t="shared" si="418"/>
        <v>28.293818599534816</v>
      </c>
      <c r="BF71" s="5810">
        <f t="shared" si="418"/>
        <v>26.985162037037036</v>
      </c>
      <c r="BG71" s="5810">
        <f t="shared" ref="BG71:BH71" si="419">BG23/1000/24/BG$3</f>
        <v>25.853186166436629</v>
      </c>
      <c r="BH71" s="5810">
        <f t="shared" si="419"/>
        <v>24.627742673992675</v>
      </c>
      <c r="BI71" s="6910">
        <f t="shared" si="418"/>
        <v>25.562893828195801</v>
      </c>
      <c r="BJ71" s="6910">
        <f t="shared" si="418"/>
        <v>23.939654109589039</v>
      </c>
    </row>
    <row r="72" spans="1:62" x14ac:dyDescent="0.2">
      <c r="A72" s="5457"/>
      <c r="B72" s="1656" t="s">
        <v>1956</v>
      </c>
      <c r="C72" s="1636" t="s">
        <v>897</v>
      </c>
      <c r="D72" s="5542">
        <f t="shared" si="346"/>
        <v>34.170291666666692</v>
      </c>
      <c r="E72" s="5542">
        <f t="shared" si="346"/>
        <v>33.882594086021491</v>
      </c>
      <c r="G72" s="5507" t="s">
        <v>1990</v>
      </c>
      <c r="H72" s="3938" t="s">
        <v>287</v>
      </c>
      <c r="I72" s="6045">
        <v>1.3352222222222001</v>
      </c>
      <c r="J72" s="5562">
        <f t="shared" si="395"/>
        <v>1.3352222222222241</v>
      </c>
      <c r="K72" s="6045">
        <v>1.3534677419354999</v>
      </c>
      <c r="L72" s="5563">
        <f t="shared" si="395"/>
        <v>1.3534677419354828</v>
      </c>
      <c r="M72" s="5578">
        <f t="shared" si="395"/>
        <v>1.3444945355191229</v>
      </c>
      <c r="N72" s="5578">
        <f t="shared" ref="N72" si="420">N24/1000/24/N$3</f>
        <v>1.344494535519126</v>
      </c>
      <c r="O72" s="6045">
        <v>1.32361111111111</v>
      </c>
      <c r="P72" s="5562">
        <f t="shared" ref="P72:Q72" si="421">P24/1000/24/P$3</f>
        <v>1.3236111111111102</v>
      </c>
      <c r="Q72" s="5810">
        <f t="shared" si="421"/>
        <v>1.3376098901098876</v>
      </c>
      <c r="R72" s="5810">
        <f t="shared" si="397"/>
        <v>1.3376098901098903</v>
      </c>
      <c r="S72" s="5562">
        <v>1.9</v>
      </c>
      <c r="T72" s="5563">
        <f t="shared" ref="T72:U72" si="422">T24/1000/24/T$3</f>
        <v>1.2826747311827971</v>
      </c>
      <c r="U72" s="5578">
        <f t="shared" si="422"/>
        <v>1.4805122950819651</v>
      </c>
      <c r="V72" s="5578">
        <f t="shared" si="398"/>
        <v>1.3236509562841534</v>
      </c>
      <c r="W72" s="5562">
        <v>1.9</v>
      </c>
      <c r="X72" s="5563">
        <f t="shared" ref="X72:Z72" si="423">X24/1000/24/X$3</f>
        <v>1.4555241935483862</v>
      </c>
      <c r="Y72" s="5578">
        <f t="shared" si="423"/>
        <v>1.5655065359477109</v>
      </c>
      <c r="Z72" s="5578">
        <f t="shared" si="423"/>
        <v>1.3503703703703704</v>
      </c>
      <c r="AA72" s="5562">
        <v>1.9</v>
      </c>
      <c r="AB72" s="5563">
        <f t="shared" ref="AB72:AF72" si="424">AB24/1000/24/AB$3</f>
        <v>0.97966666666666768</v>
      </c>
      <c r="AC72" s="5810">
        <f t="shared" si="424"/>
        <v>1.9</v>
      </c>
      <c r="AD72" s="5810">
        <f t="shared" si="424"/>
        <v>1.2421105072463772</v>
      </c>
      <c r="AE72" s="6910">
        <f t="shared" si="424"/>
        <v>1.6203415300546435</v>
      </c>
      <c r="AF72" s="6910">
        <f t="shared" si="424"/>
        <v>1.2895992714025504</v>
      </c>
      <c r="AG72" s="5562">
        <v>1.9</v>
      </c>
      <c r="AH72" s="5563">
        <f t="shared" ref="AH72:AJ72" si="425">AH24/1000/24/AH$3</f>
        <v>0.95026881720430167</v>
      </c>
      <c r="AI72" s="5578">
        <f t="shared" si="425"/>
        <v>1.6608528037383166</v>
      </c>
      <c r="AJ72" s="5578">
        <f t="shared" si="425"/>
        <v>1.2404439252336452</v>
      </c>
      <c r="AK72" s="5562">
        <v>1.9</v>
      </c>
      <c r="AL72" s="5563">
        <f t="shared" ref="AL72:AN72" si="426">AL24/1000/24/AL$3</f>
        <v>1.1628194444444431</v>
      </c>
      <c r="AM72" s="5578">
        <f t="shared" si="426"/>
        <v>1.6902561475409825</v>
      </c>
      <c r="AN72" s="5578">
        <f t="shared" si="426"/>
        <v>1.230899931693989</v>
      </c>
      <c r="AO72" s="5562">
        <v>1.9</v>
      </c>
      <c r="AP72" s="5563">
        <f t="shared" ref="AP72:AT72" si="427">AP24/1000/24/AP$3</f>
        <v>1.3286559139784961</v>
      </c>
      <c r="AQ72" s="5810">
        <f t="shared" si="427"/>
        <v>1.9</v>
      </c>
      <c r="AR72" s="5810">
        <f t="shared" si="427"/>
        <v>1.1470788043478266</v>
      </c>
      <c r="AS72" s="5578">
        <f t="shared" si="427"/>
        <v>1.7138999999999991</v>
      </c>
      <c r="AT72" s="5578">
        <f t="shared" si="427"/>
        <v>1.2419196969696973</v>
      </c>
      <c r="AU72" s="5562">
        <v>1.9</v>
      </c>
      <c r="AV72" s="5563">
        <f t="shared" ref="AV72:AX72" si="428">AV24/1000/24/AV$3</f>
        <v>1.6265591397849439</v>
      </c>
      <c r="AW72" s="5578">
        <f t="shared" si="428"/>
        <v>1.7327532679738553</v>
      </c>
      <c r="AX72" s="5578">
        <f t="shared" si="428"/>
        <v>1.2808864379084968</v>
      </c>
      <c r="AY72" s="8209">
        <v>1.9</v>
      </c>
      <c r="AZ72" s="5563">
        <f t="shared" ref="AZ72:BB72" si="429">AZ24/1000/24/AZ$3</f>
        <v>1.549955357142857</v>
      </c>
      <c r="BA72" s="5578">
        <f t="shared" si="429"/>
        <v>1.7467739520958077</v>
      </c>
      <c r="BB72" s="5578">
        <f t="shared" si="429"/>
        <v>1.3034431137724549</v>
      </c>
      <c r="BC72" s="8209">
        <v>1.9</v>
      </c>
      <c r="BD72" s="5563">
        <f t="shared" ref="BD72:BJ72" si="430">BD24/1000/24/BD$3</f>
        <v>1.450456989247312</v>
      </c>
      <c r="BE72" s="5810">
        <f t="shared" si="430"/>
        <v>1.9</v>
      </c>
      <c r="BF72" s="5810">
        <f t="shared" si="430"/>
        <v>1.5420694444444434</v>
      </c>
      <c r="BG72" s="5810">
        <f t="shared" ref="BG72:BH72" si="431">BG24/1000/24/BG$3</f>
        <v>1.9000000000000001</v>
      </c>
      <c r="BH72" s="5810">
        <f t="shared" si="431"/>
        <v>1.3424038461538459</v>
      </c>
      <c r="BI72" s="6910">
        <f t="shared" si="430"/>
        <v>1.7597876712328762</v>
      </c>
      <c r="BJ72" s="6910">
        <f t="shared" si="430"/>
        <v>1.3159292237442923</v>
      </c>
    </row>
    <row r="73" spans="1:62" x14ac:dyDescent="0.2">
      <c r="A73" s="5457"/>
      <c r="B73" s="1656" t="s">
        <v>1051</v>
      </c>
      <c r="C73" s="1636" t="s">
        <v>897</v>
      </c>
      <c r="D73" s="5542">
        <f t="shared" si="346"/>
        <v>4.9680555555555559</v>
      </c>
      <c r="E73" s="5542">
        <f t="shared" si="346"/>
        <v>4.4534946236559207</v>
      </c>
      <c r="G73" s="5507" t="s">
        <v>1991</v>
      </c>
      <c r="H73" s="3938" t="s">
        <v>1048</v>
      </c>
      <c r="I73" s="6045">
        <v>5.1045138888889001</v>
      </c>
      <c r="J73" s="5562">
        <f t="shared" si="395"/>
        <v>5.1045138888889019</v>
      </c>
      <c r="K73" s="6045">
        <v>5.883252688172</v>
      </c>
      <c r="L73" s="5563">
        <f t="shared" si="395"/>
        <v>5.8832526881720266</v>
      </c>
      <c r="M73" s="5578">
        <f t="shared" si="395"/>
        <v>5.5002663934426064</v>
      </c>
      <c r="N73" s="5578">
        <f t="shared" ref="N73" si="432">N25/1000/24/N$3</f>
        <v>5.5002663934426215</v>
      </c>
      <c r="O73" s="6045">
        <v>7.6911597222222303</v>
      </c>
      <c r="P73" s="5562">
        <f t="shared" ref="P73:Q73" si="433">P25/1000/24/P$3</f>
        <v>7.691159722222233</v>
      </c>
      <c r="Q73" s="5810">
        <f t="shared" si="433"/>
        <v>6.2225389194139105</v>
      </c>
      <c r="R73" s="5810">
        <f t="shared" si="397"/>
        <v>6.2225389194139202</v>
      </c>
      <c r="S73" s="5562">
        <v>7.0906824939083011</v>
      </c>
      <c r="T73" s="5563">
        <f t="shared" ref="T73:U73" si="434">T25/1000/24/T$3</f>
        <v>8.0090994623655885</v>
      </c>
      <c r="U73" s="5578">
        <f t="shared" si="434"/>
        <v>6.4431327785067474</v>
      </c>
      <c r="V73" s="5578">
        <f t="shared" si="398"/>
        <v>6.6765010245901637</v>
      </c>
      <c r="W73" s="5562">
        <v>7.0906824939083011</v>
      </c>
      <c r="X73" s="5563">
        <f t="shared" ref="X73:Z73" si="435">X25/1000/24/X$3</f>
        <v>8.4331720430107424</v>
      </c>
      <c r="Y73" s="5578">
        <f t="shared" si="435"/>
        <v>6.5743356620194806</v>
      </c>
      <c r="Z73" s="5578">
        <f t="shared" si="435"/>
        <v>7.0324278322440064</v>
      </c>
      <c r="AA73" s="5562">
        <v>6.6990066990066994</v>
      </c>
      <c r="AB73" s="5563">
        <f t="shared" ref="AB73:AF73" si="436">AB25/1000/24/AB$3</f>
        <v>7.3001666666666747</v>
      </c>
      <c r="AC73" s="5810">
        <f t="shared" si="436"/>
        <v>6.9629621260056043</v>
      </c>
      <c r="AD73" s="5810">
        <f t="shared" si="436"/>
        <v>7.9208197463768091</v>
      </c>
      <c r="AE73" s="6910">
        <f t="shared" si="436"/>
        <v>6.5947735369354188</v>
      </c>
      <c r="AF73" s="6910">
        <f t="shared" si="436"/>
        <v>7.0763194444444446</v>
      </c>
      <c r="AG73" s="5562">
        <v>8.0784444815867182</v>
      </c>
      <c r="AH73" s="5563">
        <f t="shared" ref="AH73:AJ73" si="437">AH25/1000/24/AH$3</f>
        <v>6.5652083333333362</v>
      </c>
      <c r="AI73" s="5578">
        <f t="shared" si="437"/>
        <v>6.8096978326559334</v>
      </c>
      <c r="AJ73" s="5578">
        <f t="shared" si="437"/>
        <v>7.0022799844236765</v>
      </c>
      <c r="AK73" s="5562">
        <v>9.443325621106796</v>
      </c>
      <c r="AL73" s="5563">
        <f t="shared" ref="AL73:AN73" si="438">AL25/1000/24/AL$3</f>
        <v>8.7389837962962993</v>
      </c>
      <c r="AM73" s="5578">
        <f t="shared" si="438"/>
        <v>7.1335045279572693</v>
      </c>
      <c r="AN73" s="5578">
        <f t="shared" si="438"/>
        <v>7.2158091416211301</v>
      </c>
      <c r="AO73" s="5562">
        <v>9.3495953419891098</v>
      </c>
      <c r="AP73" s="5563">
        <f t="shared" ref="AP73:AT73" si="439">AP25/1000/24/AP$3</f>
        <v>8.3614292114695257</v>
      </c>
      <c r="AQ73" s="5810">
        <f t="shared" si="439"/>
        <v>8.9518369909136375</v>
      </c>
      <c r="AR73" s="5810">
        <f t="shared" si="439"/>
        <v>7.8792964975845399</v>
      </c>
      <c r="AS73" s="5578">
        <f t="shared" si="439"/>
        <v>7.3833184015390403</v>
      </c>
      <c r="AT73" s="5578">
        <f t="shared" si="439"/>
        <v>7.3449517676767675</v>
      </c>
      <c r="AU73" s="5562">
        <v>9.3495953419891098</v>
      </c>
      <c r="AV73" s="5563">
        <f t="shared" ref="AV73:AX73" si="440">AV25/1000/24/AV$3</f>
        <v>7.8206137992831533</v>
      </c>
      <c r="AW73" s="5578">
        <f t="shared" si="440"/>
        <v>7.5825163922382295</v>
      </c>
      <c r="AX73" s="5578">
        <f t="shared" si="440"/>
        <v>7.393139751270879</v>
      </c>
      <c r="AY73" s="8209">
        <v>9.3395528121000009</v>
      </c>
      <c r="AZ73" s="5563">
        <f t="shared" ref="AZ73:BB73" si="441">AZ25/1000/24/AZ$3</f>
        <v>8.9867708333333329</v>
      </c>
      <c r="BA73" s="5578">
        <f t="shared" si="441"/>
        <v>7.7298128585739478</v>
      </c>
      <c r="BB73" s="5578">
        <f t="shared" si="441"/>
        <v>7.5267375665335994</v>
      </c>
      <c r="BC73" s="8209">
        <v>9.3739594729999993</v>
      </c>
      <c r="BD73" s="5563">
        <f t="shared" ref="BD73:BJ73" si="442">BD25/1000/24/BD$3</f>
        <v>9.1214224910394233</v>
      </c>
      <c r="BE73" s="5810">
        <f t="shared" si="442"/>
        <v>9.3548630889273596</v>
      </c>
      <c r="BF73" s="5810">
        <f t="shared" si="442"/>
        <v>8.631474537037036</v>
      </c>
      <c r="BG73" s="5810">
        <f t="shared" ref="BG73:BH73" si="443">BG25/1000/24/BG$3</f>
        <v>9.1511356108105328</v>
      </c>
      <c r="BH73" s="5810">
        <f t="shared" si="443"/>
        <v>8.2512526709401683</v>
      </c>
      <c r="BI73" s="6910">
        <f t="shared" si="442"/>
        <v>7.8694527080183505</v>
      </c>
      <c r="BJ73" s="6910">
        <f t="shared" si="442"/>
        <v>7.6621765601217637</v>
      </c>
    </row>
    <row r="74" spans="1:62" x14ac:dyDescent="0.2">
      <c r="A74" s="5457"/>
      <c r="B74" s="1656" t="s">
        <v>1998</v>
      </c>
      <c r="C74" s="1636" t="s">
        <v>897</v>
      </c>
      <c r="D74" s="5542">
        <f t="shared" si="346"/>
        <v>3.0618194444444473</v>
      </c>
      <c r="E74" s="5542">
        <f t="shared" si="346"/>
        <v>3.1648387096774182</v>
      </c>
      <c r="G74" s="5507" t="s">
        <v>1993</v>
      </c>
      <c r="H74" s="3938" t="s">
        <v>1049</v>
      </c>
      <c r="I74" s="6045">
        <v>2.9443194444444001</v>
      </c>
      <c r="J74" s="5562">
        <f t="shared" si="395"/>
        <v>2.9443194444444436</v>
      </c>
      <c r="K74" s="6045">
        <v>6.5376075268817004</v>
      </c>
      <c r="L74" s="5563">
        <f t="shared" si="395"/>
        <v>6.53760752688172</v>
      </c>
      <c r="M74" s="5578">
        <f t="shared" si="395"/>
        <v>4.7704166666666348</v>
      </c>
      <c r="N74" s="5578">
        <f t="shared" ref="N74" si="444">N26/1000/24/N$3</f>
        <v>4.7704166666666676</v>
      </c>
      <c r="O74" s="6045">
        <v>6.1154930555555502</v>
      </c>
      <c r="P74" s="5562">
        <f t="shared" ref="P74:Q74" si="445">P26/1000/24/P$3</f>
        <v>6.1154930555555502</v>
      </c>
      <c r="Q74" s="5810">
        <f t="shared" si="445"/>
        <v>5.2138484432234193</v>
      </c>
      <c r="R74" s="5810">
        <f t="shared" si="397"/>
        <v>5.2138484432234415</v>
      </c>
      <c r="S74" s="5562">
        <v>6.5784767397670612</v>
      </c>
      <c r="T74" s="5563">
        <f t="shared" ref="T74:U74" si="446">T26/1000/24/T$3</f>
        <v>4.119206989247318</v>
      </c>
      <c r="U74" s="5578">
        <f t="shared" si="446"/>
        <v>5.5605982562795901</v>
      </c>
      <c r="V74" s="5578">
        <f t="shared" si="398"/>
        <v>4.9357018442622946</v>
      </c>
      <c r="W74" s="5562">
        <v>6.0707419578387301</v>
      </c>
      <c r="X74" s="5563">
        <f t="shared" ref="X74:Z74" si="447">X26/1000/24/X$3</f>
        <v>5.5045564516129009</v>
      </c>
      <c r="Y74" s="5578">
        <f t="shared" si="447"/>
        <v>5.6639607056151027</v>
      </c>
      <c r="Z74" s="5578">
        <f t="shared" si="447"/>
        <v>5.0509599673202619</v>
      </c>
      <c r="AA74" s="5562">
        <v>6.6152691152691139</v>
      </c>
      <c r="AB74" s="5563">
        <f t="shared" ref="AB74:AF74" si="448">AB26/1000/24/AB$3</f>
        <v>5.4008472222222199</v>
      </c>
      <c r="AC74" s="5810">
        <f t="shared" si="448"/>
        <v>6.4193897074331847</v>
      </c>
      <c r="AD74" s="5810">
        <f t="shared" si="448"/>
        <v>5.0039356884057975</v>
      </c>
      <c r="AE74" s="6910">
        <f t="shared" si="448"/>
        <v>5.8199129039190387</v>
      </c>
      <c r="AF74" s="6910">
        <f t="shared" si="448"/>
        <v>5.1083185336976316</v>
      </c>
      <c r="AG74" s="5562">
        <v>5.5016992590116445</v>
      </c>
      <c r="AH74" s="5563">
        <f t="shared" ref="AH74:AJ74" si="449">AH26/1000/24/AH$3</f>
        <v>5.1675873655913964</v>
      </c>
      <c r="AI74" s="5578">
        <f t="shared" si="449"/>
        <v>5.7738165347969392</v>
      </c>
      <c r="AJ74" s="5578">
        <f t="shared" si="449"/>
        <v>5.1169042056074749</v>
      </c>
      <c r="AK74" s="5562">
        <v>8.2029015544041464</v>
      </c>
      <c r="AL74" s="5563">
        <f t="shared" ref="AL74:AN74" si="450">AL26/1000/24/AL$3</f>
        <v>6.0257060185185196</v>
      </c>
      <c r="AM74" s="5578">
        <f t="shared" si="450"/>
        <v>6.0724745290109414</v>
      </c>
      <c r="AN74" s="5578">
        <f t="shared" si="450"/>
        <v>5.2286421334244073</v>
      </c>
      <c r="AO74" s="5562">
        <v>8.0264950693631967</v>
      </c>
      <c r="AP74" s="5563">
        <f t="shared" ref="AP74:AT74" si="451">AP26/1000/24/AP$3</f>
        <v>6.7459587813620105</v>
      </c>
      <c r="AQ74" s="5810">
        <f t="shared" si="451"/>
        <v>7.2332725088233092</v>
      </c>
      <c r="AR74" s="5810">
        <f t="shared" si="451"/>
        <v>5.9792512077294697</v>
      </c>
      <c r="AS74" s="5578">
        <f t="shared" si="451"/>
        <v>6.2927459353779218</v>
      </c>
      <c r="AT74" s="5578">
        <f t="shared" si="451"/>
        <v>5.3996851010100997</v>
      </c>
      <c r="AU74" s="5562">
        <v>8.0852972310435103</v>
      </c>
      <c r="AV74" s="5563">
        <f t="shared" ref="AV74:AX74" si="452">AV26/1000/24/AV$3</f>
        <v>6.2206675627240102</v>
      </c>
      <c r="AW74" s="5578">
        <f t="shared" si="452"/>
        <v>6.4743442692525406</v>
      </c>
      <c r="AX74" s="5578">
        <f t="shared" si="452"/>
        <v>5.4828565268700071</v>
      </c>
      <c r="AY74" s="8209">
        <v>8.1377991611000002</v>
      </c>
      <c r="AZ74" s="5563">
        <f t="shared" ref="AZ74:BB74" si="453">AZ26/1000/24/AZ$3</f>
        <v>6.7769940476190484</v>
      </c>
      <c r="BA74" s="5578">
        <f t="shared" si="453"/>
        <v>6.6137955775511301</v>
      </c>
      <c r="BB74" s="5578">
        <f t="shared" si="453"/>
        <v>5.5913470974717221</v>
      </c>
      <c r="BC74" s="8209">
        <v>8.0459490779999996</v>
      </c>
      <c r="BD74" s="5563">
        <f t="shared" ref="BD74:BJ74" si="454">BD26/1000/24/BD$3</f>
        <v>6.8836536738351342</v>
      </c>
      <c r="BE74" s="5810">
        <f t="shared" si="454"/>
        <v>8.0880779121238753</v>
      </c>
      <c r="BF74" s="5810">
        <f t="shared" si="454"/>
        <v>6.6221087962962972</v>
      </c>
      <c r="BG74" s="5810">
        <f t="shared" ref="BG74:BH74" si="455">BG26/1000/24/BG$3</f>
        <v>7.655978477488425</v>
      </c>
      <c r="BH74" s="5810">
        <f t="shared" si="455"/>
        <v>6.2971478174603188</v>
      </c>
      <c r="BI74" s="6910">
        <f t="shared" si="454"/>
        <v>6.7354305323837735</v>
      </c>
      <c r="BJ74" s="6910">
        <f t="shared" si="454"/>
        <v>5.7011046423135472</v>
      </c>
    </row>
    <row r="75" spans="1:62" x14ac:dyDescent="0.2">
      <c r="A75" s="5457"/>
      <c r="B75" s="1656" t="s">
        <v>2001</v>
      </c>
      <c r="C75" s="1636" t="s">
        <v>897</v>
      </c>
      <c r="D75" s="5542">
        <f>+((D32/1000)/D$3)/24</f>
        <v>1.5425277777777777</v>
      </c>
      <c r="E75" s="5542">
        <f>+((E32/1000)/E$3)/24</f>
        <v>1.5533870967741941</v>
      </c>
      <c r="G75" s="5507" t="s">
        <v>1995</v>
      </c>
      <c r="H75" s="3938" t="s">
        <v>1050</v>
      </c>
      <c r="I75" s="6045">
        <v>0.58881527777779996</v>
      </c>
      <c r="J75" s="5562">
        <f t="shared" si="395"/>
        <v>0.58881527777777698</v>
      </c>
      <c r="K75" s="6045">
        <v>0.73001344086020004</v>
      </c>
      <c r="L75" s="5563">
        <f t="shared" si="395"/>
        <v>0.73001344086021569</v>
      </c>
      <c r="M75" s="5578">
        <f t="shared" si="395"/>
        <v>0.66057172131147868</v>
      </c>
      <c r="N75" s="5578">
        <f t="shared" ref="N75" si="456">N27/1000/24/N$3</f>
        <v>0.66057172131147535</v>
      </c>
      <c r="O75" s="6045">
        <v>0.90913888888888805</v>
      </c>
      <c r="P75" s="5562">
        <f t="shared" ref="P75:Q75" si="457">P27/1000/24/P$3</f>
        <v>0.90913888888888827</v>
      </c>
      <c r="Q75" s="5810">
        <f t="shared" si="457"/>
        <v>0.74251694139194324</v>
      </c>
      <c r="R75" s="5810">
        <f t="shared" si="397"/>
        <v>0.74251694139194124</v>
      </c>
      <c r="S75" s="5562">
        <v>1.0322917720025617</v>
      </c>
      <c r="T75" s="5563">
        <f t="shared" ref="T75:U75" si="458">T27/1000/24/T$3</f>
        <v>0.84201612903225964</v>
      </c>
      <c r="U75" s="5578">
        <f t="shared" si="458"/>
        <v>0.81614825080939546</v>
      </c>
      <c r="V75" s="5578">
        <f t="shared" si="398"/>
        <v>0.76779952185792388</v>
      </c>
      <c r="W75" s="5562">
        <v>1.179762025145785</v>
      </c>
      <c r="X75" s="5563">
        <f t="shared" ref="X75:Z75" si="459">X27/1000/24/X$3</f>
        <v>0.83610215053763526</v>
      </c>
      <c r="Y75" s="5578">
        <f t="shared" si="459"/>
        <v>0.88982162992330449</v>
      </c>
      <c r="Z75" s="5578">
        <f t="shared" si="459"/>
        <v>0.78163861655773459</v>
      </c>
      <c r="AA75" s="5562">
        <v>1.5238592824799719</v>
      </c>
      <c r="AB75" s="5563">
        <f t="shared" ref="AB75:AF75" si="460">AB27/1000/24/AB$3</f>
        <v>0.93313888888888896</v>
      </c>
      <c r="AC75" s="5810">
        <f t="shared" si="460"/>
        <v>1.2422765889782383</v>
      </c>
      <c r="AD75" s="5810">
        <f t="shared" si="460"/>
        <v>0.86973731884058059</v>
      </c>
      <c r="AE75" s="6910">
        <f t="shared" si="460"/>
        <v>0.99376222870308606</v>
      </c>
      <c r="AF75" s="6910">
        <f t="shared" si="460"/>
        <v>0.80647472677595655</v>
      </c>
      <c r="AG75" s="5562">
        <v>1.4747025314322308</v>
      </c>
      <c r="AH75" s="5563">
        <f t="shared" ref="AH75:AJ75" si="461">AH27/1000/24/AH$3</f>
        <v>2.9586693548387091</v>
      </c>
      <c r="AI75" s="5578">
        <f t="shared" si="461"/>
        <v>1.0634311510610461</v>
      </c>
      <c r="AJ75" s="5578">
        <f t="shared" si="461"/>
        <v>1.1182412383177571</v>
      </c>
      <c r="AK75" s="5562">
        <v>6.0954371299198877</v>
      </c>
      <c r="AL75" s="5563">
        <f t="shared" ref="AL75:AN75" si="462">AL27/1000/24/AL$3</f>
        <v>3.1996157407407426</v>
      </c>
      <c r="AM75" s="5578">
        <f t="shared" si="462"/>
        <v>1.6821204107568053</v>
      </c>
      <c r="AN75" s="5578">
        <f t="shared" si="462"/>
        <v>1.3741479394353373</v>
      </c>
      <c r="AO75" s="5562">
        <v>4.424107594296693</v>
      </c>
      <c r="AP75" s="5563">
        <f t="shared" ref="AP75:AT75" si="463">AP27/1000/24/AP$3</f>
        <v>2.246075716845878</v>
      </c>
      <c r="AQ75" s="5810">
        <f t="shared" si="463"/>
        <v>3.9752850847303622</v>
      </c>
      <c r="AR75" s="5810">
        <f t="shared" si="463"/>
        <v>2.7971257548309181</v>
      </c>
      <c r="AS75" s="5578">
        <f t="shared" si="463"/>
        <v>1.9912171478103924</v>
      </c>
      <c r="AT75" s="5578">
        <f t="shared" si="463"/>
        <v>1.4724379797979805</v>
      </c>
      <c r="AU75" s="5562">
        <v>5.1614588600128082</v>
      </c>
      <c r="AV75" s="5563">
        <f t="shared" ref="AV75:AX75" si="464">AV27/1000/24/AV$3</f>
        <v>2.8772307347670254</v>
      </c>
      <c r="AW75" s="5578">
        <f t="shared" si="464"/>
        <v>2.3123854258439707</v>
      </c>
      <c r="AX75" s="5578">
        <f t="shared" si="464"/>
        <v>1.6147535856935369</v>
      </c>
      <c r="AY75" s="8209">
        <v>5.7144723092999996</v>
      </c>
      <c r="AZ75" s="5563">
        <f t="shared" ref="AZ75:BB75" si="465">AZ27/1000/24/AZ$3</f>
        <v>3.5881398809523808</v>
      </c>
      <c r="BA75" s="5578">
        <f t="shared" si="465"/>
        <v>2.5975903142774102</v>
      </c>
      <c r="BB75" s="5578">
        <f t="shared" si="465"/>
        <v>1.7801871673320031</v>
      </c>
      <c r="BC75" s="8209">
        <v>6.6361613909999999</v>
      </c>
      <c r="BD75" s="5563">
        <f t="shared" ref="BD75:BJ75" si="466">BD27/1000/24/BD$3</f>
        <v>2.9248028673835216</v>
      </c>
      <c r="BE75" s="5810">
        <f t="shared" si="466"/>
        <v>5.8414605826866337</v>
      </c>
      <c r="BF75" s="5810">
        <f t="shared" si="466"/>
        <v>3.1147884259259291</v>
      </c>
      <c r="BG75" s="5810">
        <f t="shared" ref="BG75:BH75" si="467">BG27/1000/24/BG$3</f>
        <v>4.8981191221812646</v>
      </c>
      <c r="BH75" s="5810">
        <f t="shared" si="467"/>
        <v>2.9542116910866931</v>
      </c>
      <c r="BI75" s="6910">
        <f t="shared" si="466"/>
        <v>2.9405922413415202</v>
      </c>
      <c r="BJ75" s="6910">
        <f t="shared" si="466"/>
        <v>1.8774011035007623</v>
      </c>
    </row>
    <row r="76" spans="1:62" x14ac:dyDescent="0.2">
      <c r="A76" s="5457"/>
      <c r="B76" s="1656" t="s">
        <v>1957</v>
      </c>
      <c r="C76" s="1636" t="s">
        <v>897</v>
      </c>
      <c r="D76" s="5542">
        <f t="shared" ref="D76:E79" si="468">+((D34/1000)/D$3)/24</f>
        <v>0.6318055555555544</v>
      </c>
      <c r="E76" s="5542">
        <f t="shared" si="468"/>
        <v>0.59745967741935579</v>
      </c>
      <c r="G76" s="5507" t="s">
        <v>1996</v>
      </c>
      <c r="H76" s="3938" t="s">
        <v>1956</v>
      </c>
      <c r="I76" s="6045">
        <v>34.170291666666699</v>
      </c>
      <c r="J76" s="5562">
        <f t="shared" si="395"/>
        <v>34.170291666666685</v>
      </c>
      <c r="K76" s="6045">
        <v>33.882594086021498</v>
      </c>
      <c r="L76" s="5563">
        <f t="shared" si="395"/>
        <v>33.882594086021491</v>
      </c>
      <c r="M76" s="5578">
        <f t="shared" si="395"/>
        <v>34.02408469945356</v>
      </c>
      <c r="N76" s="5578">
        <f t="shared" ref="N76" si="469">N28/1000/24/N$3</f>
        <v>34.024084699453553</v>
      </c>
      <c r="O76" s="6045">
        <v>34.129208333333303</v>
      </c>
      <c r="P76" s="5562">
        <f t="shared" ref="P76:Q76" si="470">P28/1000/24/P$3</f>
        <v>34.129208333333345</v>
      </c>
      <c r="Q76" s="5810">
        <f t="shared" si="470"/>
        <v>34.058740842490842</v>
      </c>
      <c r="R76" s="5810">
        <f t="shared" si="397"/>
        <v>34.058740842490842</v>
      </c>
      <c r="S76" s="6045">
        <v>34.4</v>
      </c>
      <c r="T76" s="5563">
        <f t="shared" ref="T76:U76" si="471">T28/1000/24/T$3</f>
        <v>34.787056451612891</v>
      </c>
      <c r="U76" s="5578">
        <f t="shared" si="471"/>
        <v>34.145454234972675</v>
      </c>
      <c r="V76" s="5578">
        <f t="shared" si="398"/>
        <v>34.243804644808741</v>
      </c>
      <c r="W76" s="6045">
        <v>34.4</v>
      </c>
      <c r="X76" s="5563">
        <f t="shared" ref="X76:Z76" si="472">X28/1000/24/X$3</f>
        <v>34.743373655913985</v>
      </c>
      <c r="Y76" s="5578">
        <f t="shared" si="472"/>
        <v>34.197028867102397</v>
      </c>
      <c r="Z76" s="5578">
        <f t="shared" si="472"/>
        <v>34.34502450980392</v>
      </c>
      <c r="AA76" s="6045">
        <v>34.4</v>
      </c>
      <c r="AB76" s="5563">
        <f t="shared" ref="AB76:AF76" si="473">AB28/1000/24/AB$3</f>
        <v>34.932611111111115</v>
      </c>
      <c r="AC76" s="5810">
        <f t="shared" si="473"/>
        <v>34.4</v>
      </c>
      <c r="AD76" s="5810">
        <f t="shared" si="473"/>
        <v>34.81980072463768</v>
      </c>
      <c r="AE76" s="6910">
        <f t="shared" si="473"/>
        <v>34.230302823315114</v>
      </c>
      <c r="AF76" s="6910">
        <f t="shared" si="473"/>
        <v>34.441350182149364</v>
      </c>
      <c r="AG76" s="6045">
        <v>34.4</v>
      </c>
      <c r="AH76" s="5563">
        <f t="shared" ref="AH76:AJ76" si="474">AH28/1000/24/AH$3</f>
        <v>34.844072580645154</v>
      </c>
      <c r="AI76" s="5578">
        <f t="shared" si="474"/>
        <v>34.254885124610595</v>
      </c>
      <c r="AJ76" s="5578">
        <f t="shared" si="474"/>
        <v>34.499688473520251</v>
      </c>
      <c r="AK76" s="6045">
        <v>34.4</v>
      </c>
      <c r="AL76" s="5563">
        <f t="shared" ref="AL76:AN76" si="475">AL28/1000/24/AL$3</f>
        <v>33.569263888888919</v>
      </c>
      <c r="AM76" s="5578">
        <f t="shared" si="475"/>
        <v>34.272727117486333</v>
      </c>
      <c r="AN76" s="5578">
        <f t="shared" si="475"/>
        <v>34.385292008196728</v>
      </c>
      <c r="AO76" s="6045">
        <v>34.4</v>
      </c>
      <c r="AP76" s="5563">
        <f t="shared" ref="AP76:AT76" si="476">AP28/1000/24/AP$3</f>
        <v>34.122876344086009</v>
      </c>
      <c r="AQ76" s="5810">
        <f t="shared" si="476"/>
        <v>34.4</v>
      </c>
      <c r="AR76" s="5810">
        <f t="shared" si="476"/>
        <v>34.185362318840582</v>
      </c>
      <c r="AS76" s="5578">
        <f t="shared" si="476"/>
        <v>34.287074242424247</v>
      </c>
      <c r="AT76" s="5578">
        <f t="shared" si="476"/>
        <v>34.355710606060612</v>
      </c>
      <c r="AU76" s="6045">
        <v>34.4</v>
      </c>
      <c r="AV76" s="5563">
        <f t="shared" ref="AV76:AX76" si="477">AV28/1000/24/AV$3</f>
        <v>34.131370967741951</v>
      </c>
      <c r="AW76" s="5578">
        <f t="shared" si="477"/>
        <v>34.298514433551198</v>
      </c>
      <c r="AX76" s="5578">
        <f t="shared" si="477"/>
        <v>34.332983387799565</v>
      </c>
      <c r="AY76" s="8205">
        <v>34.4</v>
      </c>
      <c r="AZ76" s="5563">
        <f t="shared" ref="AZ76:BB76" si="478">AZ28/1000/24/AZ$3</f>
        <v>34.020059523809522</v>
      </c>
      <c r="BA76" s="5578">
        <f t="shared" si="478"/>
        <v>34.307022205588822</v>
      </c>
      <c r="BB76" s="5578">
        <f t="shared" si="478"/>
        <v>34.306750249500993</v>
      </c>
      <c r="BC76" s="8205">
        <v>34.4</v>
      </c>
      <c r="BD76" s="5563">
        <f t="shared" ref="BD76:BJ76" si="479">BD28/1000/24/BD$3</f>
        <v>34.371048387096636</v>
      </c>
      <c r="BE76" s="5810">
        <f t="shared" si="479"/>
        <v>34.4</v>
      </c>
      <c r="BF76" s="5810">
        <f t="shared" si="479"/>
        <v>34.179296296296258</v>
      </c>
      <c r="BG76" s="5810">
        <f t="shared" ref="BG76:BH76" si="480">BG28/1000/24/BG$3</f>
        <v>34.4</v>
      </c>
      <c r="BH76" s="5810">
        <f t="shared" si="480"/>
        <v>34.182362637362615</v>
      </c>
      <c r="BI76" s="6910">
        <f t="shared" si="479"/>
        <v>34.314918949771695</v>
      </c>
      <c r="BJ76" s="6910">
        <f t="shared" si="479"/>
        <v>34.312211187214594</v>
      </c>
    </row>
    <row r="77" spans="1:62" x14ac:dyDescent="0.2">
      <c r="A77" s="5457"/>
      <c r="B77" s="1526" t="s">
        <v>1962</v>
      </c>
      <c r="C77" s="1636" t="s">
        <v>897</v>
      </c>
      <c r="D77" s="5542">
        <f t="shared" si="468"/>
        <v>0.89579548472222215</v>
      </c>
      <c r="E77" s="5542">
        <f t="shared" si="468"/>
        <v>0.86948325672043014</v>
      </c>
      <c r="G77" s="5507" t="s">
        <v>1997</v>
      </c>
      <c r="H77" s="3938" t="s">
        <v>1051</v>
      </c>
      <c r="I77" s="6045">
        <v>4.9680555555556003</v>
      </c>
      <c r="J77" s="5562">
        <f t="shared" si="395"/>
        <v>4.968055555555555</v>
      </c>
      <c r="K77" s="6045">
        <v>4.4534946236559003</v>
      </c>
      <c r="L77" s="5563">
        <f t="shared" si="395"/>
        <v>4.4534946236559207</v>
      </c>
      <c r="M77" s="5578">
        <f t="shared" si="395"/>
        <v>4.7065573770491955</v>
      </c>
      <c r="N77" s="5578">
        <f t="shared" ref="N77" si="481">N29/1000/24/N$3</f>
        <v>4.7065573770491849</v>
      </c>
      <c r="O77" s="6045">
        <v>4.6215277777777803</v>
      </c>
      <c r="P77" s="5562">
        <f t="shared" ref="P77:Q77" si="482">P29/1000/24/P$3</f>
        <v>4.6215277777777777</v>
      </c>
      <c r="Q77" s="5810">
        <f t="shared" si="482"/>
        <v>4.6785256410256526</v>
      </c>
      <c r="R77" s="5810">
        <f t="shared" si="397"/>
        <v>4.6785256410256437</v>
      </c>
      <c r="S77" s="6045">
        <v>4.8</v>
      </c>
      <c r="T77" s="5563">
        <f t="shared" ref="T77:U77" si="483">T29/1000/24/T$3</f>
        <v>4.9130376344085915</v>
      </c>
      <c r="U77" s="5578">
        <f t="shared" si="483"/>
        <v>4.7093920765027404</v>
      </c>
      <c r="V77" s="5578">
        <f t="shared" si="398"/>
        <v>4.7381147540983601</v>
      </c>
      <c r="W77" s="6045">
        <v>4.8</v>
      </c>
      <c r="X77" s="5563">
        <f t="shared" ref="X77:Z77" si="484">X29/1000/24/X$3</f>
        <v>4.8510752688172101</v>
      </c>
      <c r="Y77" s="5578">
        <f t="shared" si="484"/>
        <v>4.7277505446623147</v>
      </c>
      <c r="Z77" s="5578">
        <f t="shared" si="484"/>
        <v>4.7610021786492389</v>
      </c>
      <c r="AA77" s="6045">
        <v>4.8</v>
      </c>
      <c r="AB77" s="5563">
        <f t="shared" ref="AB77:AF77" si="485">AB29/1000/24/AB$3</f>
        <v>4.8386111111111054</v>
      </c>
      <c r="AC77" s="5810">
        <f t="shared" si="485"/>
        <v>4.8</v>
      </c>
      <c r="AD77" s="5810">
        <f t="shared" si="485"/>
        <v>4.86788949275362</v>
      </c>
      <c r="AE77" s="6910">
        <f t="shared" si="485"/>
        <v>4.7395947176684929</v>
      </c>
      <c r="AF77" s="6910">
        <f t="shared" si="485"/>
        <v>4.7737249544626597</v>
      </c>
      <c r="AG77" s="6045">
        <v>4.8</v>
      </c>
      <c r="AH77" s="5563">
        <f t="shared" ref="AH77:AJ77" si="486">AH29/1000/24/AH$3</f>
        <v>4.922177419354842</v>
      </c>
      <c r="AI77" s="5578">
        <f t="shared" si="486"/>
        <v>4.7483450155763283</v>
      </c>
      <c r="AJ77" s="5578">
        <f t="shared" si="486"/>
        <v>4.7952297507788169</v>
      </c>
      <c r="AK77" s="6045">
        <v>4.8</v>
      </c>
      <c r="AL77" s="5563">
        <f t="shared" ref="AL77:AN77" si="487">AL29/1000/24/AL$3</f>
        <v>5.1026388888888947</v>
      </c>
      <c r="AM77" s="5578">
        <f t="shared" si="487"/>
        <v>4.7546960382513692</v>
      </c>
      <c r="AN77" s="5578">
        <f t="shared" si="487"/>
        <v>4.8330259562841542</v>
      </c>
      <c r="AO77" s="6045">
        <v>4.8</v>
      </c>
      <c r="AP77" s="5563">
        <f t="shared" ref="AP77:AT77" si="488">AP29/1000/24/AP$3</f>
        <v>5.1028225806451566</v>
      </c>
      <c r="AQ77" s="5810">
        <f t="shared" si="488"/>
        <v>4.8</v>
      </c>
      <c r="AR77" s="5810">
        <f t="shared" si="488"/>
        <v>5.0418931159420302</v>
      </c>
      <c r="AS77" s="5578">
        <f t="shared" si="488"/>
        <v>4.7598030303030336</v>
      </c>
      <c r="AT77" s="5578">
        <f t="shared" si="488"/>
        <v>4.8634393939393945</v>
      </c>
      <c r="AU77" s="6045">
        <v>4.8</v>
      </c>
      <c r="AV77" s="5563">
        <f t="shared" ref="AV77:AX77" si="489">AV29/1000/24/AV$3</f>
        <v>5.0990591397849467</v>
      </c>
      <c r="AW77" s="5578">
        <f t="shared" si="489"/>
        <v>4.7638752723311582</v>
      </c>
      <c r="AX77" s="5578">
        <f t="shared" si="489"/>
        <v>4.8873093681917226</v>
      </c>
      <c r="AY77" s="8205">
        <v>4.8</v>
      </c>
      <c r="AZ77" s="5563">
        <f t="shared" ref="AZ77:BB77" si="490">AZ29/1000/24/AZ$3</f>
        <v>5.1569940476190483</v>
      </c>
      <c r="BA77" s="5578">
        <f t="shared" si="490"/>
        <v>4.7669036926147728</v>
      </c>
      <c r="BB77" s="5578">
        <f t="shared" si="490"/>
        <v>4.9099176646706599</v>
      </c>
      <c r="BC77" s="8205">
        <v>4.8</v>
      </c>
      <c r="BD77" s="5563">
        <f t="shared" ref="BD77:BJ77" si="491">BD29/1000/24/BD$3</f>
        <v>5.0704301075268816</v>
      </c>
      <c r="BE77" s="5810">
        <f t="shared" si="491"/>
        <v>4.8</v>
      </c>
      <c r="BF77" s="5810">
        <f t="shared" si="491"/>
        <v>5.107222222222223</v>
      </c>
      <c r="BG77" s="5810">
        <f t="shared" ref="BG77:BH77" si="492">BG29/1000/24/BG$3</f>
        <v>4.8</v>
      </c>
      <c r="BH77" s="5810">
        <f t="shared" si="492"/>
        <v>5.0741987179487182</v>
      </c>
      <c r="BI77" s="6910">
        <f t="shared" si="491"/>
        <v>4.7697146118721481</v>
      </c>
      <c r="BJ77" s="6910">
        <f t="shared" si="491"/>
        <v>4.9235502283105035</v>
      </c>
    </row>
    <row r="78" spans="1:62" x14ac:dyDescent="0.2">
      <c r="A78" s="5457"/>
      <c r="B78" s="1526" t="s">
        <v>1963</v>
      </c>
      <c r="C78" s="1636" t="s">
        <v>897</v>
      </c>
      <c r="D78" s="5542">
        <f t="shared" si="468"/>
        <v>0.259755010555556</v>
      </c>
      <c r="E78" s="5542">
        <f t="shared" si="468"/>
        <v>0.24748231639784987</v>
      </c>
      <c r="G78" s="5507" t="s">
        <v>1999</v>
      </c>
      <c r="H78" s="3938" t="s">
        <v>1957</v>
      </c>
      <c r="I78" s="6045">
        <v>0.63180555555560003</v>
      </c>
      <c r="J78" s="5562">
        <f t="shared" si="395"/>
        <v>0.63180555555555451</v>
      </c>
      <c r="K78" s="6045">
        <v>0.59745967741939998</v>
      </c>
      <c r="L78" s="5563">
        <f t="shared" si="395"/>
        <v>0.59745967741935568</v>
      </c>
      <c r="M78" s="5578">
        <f t="shared" si="395"/>
        <v>0.61435109289621959</v>
      </c>
      <c r="N78" s="5578">
        <f t="shared" ref="N78" si="493">N30/1000/24/N$3</f>
        <v>0.61435109289617473</v>
      </c>
      <c r="O78" s="6045">
        <v>0.598444444444444</v>
      </c>
      <c r="P78" s="5562">
        <f t="shared" ref="P78:Q78" si="494">P30/1000/24/P$3</f>
        <v>0.59844444444444411</v>
      </c>
      <c r="Q78" s="5810">
        <f t="shared" si="494"/>
        <v>0.60910714285717271</v>
      </c>
      <c r="R78" s="5810">
        <f t="shared" si="397"/>
        <v>0.60910714285714262</v>
      </c>
      <c r="S78" s="6045">
        <v>0.9</v>
      </c>
      <c r="T78" s="5563">
        <f t="shared" ref="T78:U78" si="495">T30/1000/24/T$3</f>
        <v>0.50294354838709709</v>
      </c>
      <c r="U78" s="5578">
        <f t="shared" si="495"/>
        <v>0.6830225409836288</v>
      </c>
      <c r="V78" s="5578">
        <f t="shared" si="398"/>
        <v>0.58213114754098361</v>
      </c>
      <c r="W78" s="6045">
        <v>0.9</v>
      </c>
      <c r="X78" s="5563">
        <f t="shared" ref="X78:Z78" si="496">X30/1000/24/X$3</f>
        <v>0.68303763440860144</v>
      </c>
      <c r="Y78" s="5578">
        <f t="shared" si="496"/>
        <v>0.72698529411766488</v>
      </c>
      <c r="Z78" s="5578">
        <f t="shared" si="496"/>
        <v>0.60257625272331128</v>
      </c>
      <c r="AA78" s="6045">
        <v>0.9</v>
      </c>
      <c r="AB78" s="5563">
        <f t="shared" ref="AB78:AF78" si="497">AB30/1000/24/AB$3</f>
        <v>0.62848611111111341</v>
      </c>
      <c r="AC78" s="5810">
        <f t="shared" si="497"/>
        <v>0.9</v>
      </c>
      <c r="AD78" s="5810">
        <f t="shared" si="497"/>
        <v>0.60456521739130498</v>
      </c>
      <c r="AE78" s="6910">
        <f t="shared" si="497"/>
        <v>0.75534836065575262</v>
      </c>
      <c r="AF78" s="6910">
        <f t="shared" si="497"/>
        <v>0.60682377049180347</v>
      </c>
      <c r="AG78" s="6045">
        <v>0.9</v>
      </c>
      <c r="AH78" s="5563">
        <f t="shared" ref="AH78:AJ78" si="498">AH30/1000/24/AH$3</f>
        <v>0.60768817204300873</v>
      </c>
      <c r="AI78" s="5578">
        <f t="shared" si="498"/>
        <v>0.7763025700934707</v>
      </c>
      <c r="AJ78" s="5578">
        <f t="shared" si="498"/>
        <v>0.60694898753894078</v>
      </c>
      <c r="AK78" s="6045">
        <v>0.9</v>
      </c>
      <c r="AL78" s="5563">
        <f t="shared" ref="AL78:AN78" si="499">AL30/1000/24/AL$3</f>
        <v>1.0419305555555562</v>
      </c>
      <c r="AM78" s="5578">
        <f t="shared" si="499"/>
        <v>0.79151127049181447</v>
      </c>
      <c r="AN78" s="5578">
        <f t="shared" si="499"/>
        <v>0.66043032786885247</v>
      </c>
      <c r="AO78" s="6045">
        <v>0.9</v>
      </c>
      <c r="AP78" s="5563">
        <f t="shared" ref="AP78:AT78" si="500">AP30/1000/24/AP$3</f>
        <v>0.64548387096774162</v>
      </c>
      <c r="AQ78" s="5810">
        <f t="shared" si="500"/>
        <v>0.9</v>
      </c>
      <c r="AR78" s="5810">
        <f t="shared" si="500"/>
        <v>0.76202445652173856</v>
      </c>
      <c r="AS78" s="5578">
        <f t="shared" si="500"/>
        <v>0.80374090909091889</v>
      </c>
      <c r="AT78" s="5578">
        <f t="shared" si="500"/>
        <v>0.65874545454545452</v>
      </c>
      <c r="AU78" s="6045">
        <v>0.9</v>
      </c>
      <c r="AV78" s="5563">
        <f t="shared" ref="AV78:AX78" si="501">AV30/1000/24/AV$3</f>
        <v>0.59432795698924767</v>
      </c>
      <c r="AW78" s="5578">
        <f t="shared" si="501"/>
        <v>0.81349264705883251</v>
      </c>
      <c r="AX78" s="5578">
        <f t="shared" si="501"/>
        <v>0.65221949891067532</v>
      </c>
      <c r="AY78" s="8205">
        <v>0.9</v>
      </c>
      <c r="AZ78" s="5563">
        <f t="shared" ref="AZ78:BB78" si="502">AZ30/1000/24/AZ$3</f>
        <v>0.74416666666666664</v>
      </c>
      <c r="BA78" s="5578">
        <f t="shared" si="502"/>
        <v>0.82074476047905021</v>
      </c>
      <c r="BB78" s="5578">
        <f t="shared" si="502"/>
        <v>0.65992764471057885</v>
      </c>
      <c r="BC78" s="8205">
        <v>0.9</v>
      </c>
      <c r="BD78" s="5563">
        <f t="shared" ref="BD78:BJ78" si="503">BD30/1000/24/BD$3</f>
        <v>0.72745967741935347</v>
      </c>
      <c r="BE78" s="5810">
        <f t="shared" si="503"/>
        <v>0.9</v>
      </c>
      <c r="BF78" s="5810">
        <f t="shared" si="503"/>
        <v>0.68680092592592556</v>
      </c>
      <c r="BG78" s="5810">
        <f t="shared" ref="BG78:BH78" si="504">BG30/1000/24/BG$3</f>
        <v>0.89999999999999991</v>
      </c>
      <c r="BH78" s="5810">
        <f t="shared" si="504"/>
        <v>0.72482600732600699</v>
      </c>
      <c r="BI78" s="6910">
        <f t="shared" si="503"/>
        <v>0.82747602739726778</v>
      </c>
      <c r="BJ78" s="6910">
        <f t="shared" si="503"/>
        <v>0.66566324200913229</v>
      </c>
    </row>
    <row r="79" spans="1:62" ht="16" x14ac:dyDescent="0.2">
      <c r="A79" s="1960"/>
      <c r="B79" s="1526" t="s">
        <v>1969</v>
      </c>
      <c r="C79" s="1636" t="s">
        <v>897</v>
      </c>
      <c r="D79" s="5542">
        <f t="shared" si="468"/>
        <v>0.47197477138888738</v>
      </c>
      <c r="E79" s="5542">
        <f t="shared" si="468"/>
        <v>0.47029550080645333</v>
      </c>
      <c r="G79" s="5507" t="s">
        <v>2000</v>
      </c>
      <c r="H79" s="3938" t="s">
        <v>1958</v>
      </c>
      <c r="I79" s="6045">
        <v>0.98055555555560003</v>
      </c>
      <c r="J79" s="5562">
        <f t="shared" si="395"/>
        <v>0.98055555555555562</v>
      </c>
      <c r="K79" s="6045">
        <v>0.82405913978489997</v>
      </c>
      <c r="L79" s="5563">
        <f t="shared" si="395"/>
        <v>0.82405913978494671</v>
      </c>
      <c r="M79" s="5578">
        <f t="shared" si="395"/>
        <v>0.90102459016393277</v>
      </c>
      <c r="N79" s="5578">
        <f t="shared" ref="N79" si="505">N31/1000/24/N$3</f>
        <v>0.90102459016393466</v>
      </c>
      <c r="O79" s="6045">
        <v>0.67569444444444404</v>
      </c>
      <c r="P79" s="5562">
        <f t="shared" ref="P79:Q79" si="506">P31/1000/24/P$3</f>
        <v>0.67569444444444438</v>
      </c>
      <c r="Q79" s="5810">
        <f t="shared" si="506"/>
        <v>0.82673992673992547</v>
      </c>
      <c r="R79" s="5810">
        <f t="shared" si="397"/>
        <v>0.82673992673992691</v>
      </c>
      <c r="S79" s="6045">
        <v>1</v>
      </c>
      <c r="T79" s="5563">
        <f t="shared" ref="T79:U79" si="507">T31/1000/24/T$3</f>
        <v>0.79973118279569899</v>
      </c>
      <c r="U79" s="5578">
        <f t="shared" si="507"/>
        <v>0.87076502732240346</v>
      </c>
      <c r="V79" s="5578">
        <f t="shared" si="398"/>
        <v>0.819877049180328</v>
      </c>
      <c r="W79" s="6045">
        <v>1</v>
      </c>
      <c r="X79" s="5563">
        <f t="shared" ref="X79:Z79" si="508">X31/1000/24/X$3</f>
        <v>0.62137096774193457</v>
      </c>
      <c r="Y79" s="5578">
        <f t="shared" si="508"/>
        <v>0.89694989106753731</v>
      </c>
      <c r="Z79" s="5578">
        <f t="shared" si="508"/>
        <v>0.77965686274509804</v>
      </c>
      <c r="AA79" s="6045">
        <v>1</v>
      </c>
      <c r="AB79" s="5563">
        <f t="shared" ref="AB79:AF79" si="509">AB31/1000/24/AB$3</f>
        <v>1.4459722222222229</v>
      </c>
      <c r="AC79" s="5810">
        <f t="shared" si="509"/>
        <v>1</v>
      </c>
      <c r="AD79" s="5810">
        <f t="shared" si="509"/>
        <v>0.95036231884057965</v>
      </c>
      <c r="AE79" s="6910">
        <f t="shared" si="509"/>
        <v>0.9138433515482689</v>
      </c>
      <c r="AF79" s="6910">
        <f t="shared" si="509"/>
        <v>0.88888888888888895</v>
      </c>
      <c r="AG79" s="6045">
        <v>1</v>
      </c>
      <c r="AH79" s="5563">
        <f t="shared" ref="AH79:AJ79" si="510">AH31/1000/24/AH$3</f>
        <v>0.98467741935483655</v>
      </c>
      <c r="AI79" s="5578">
        <f t="shared" si="510"/>
        <v>0.9263239875389403</v>
      </c>
      <c r="AJ79" s="5578">
        <f t="shared" si="510"/>
        <v>0.90276479750778804</v>
      </c>
      <c r="AK79" s="6045">
        <v>1</v>
      </c>
      <c r="AL79" s="5563">
        <f t="shared" ref="AL79:AN79" si="511">AL31/1000/24/AL$3</f>
        <v>1.035555555555556</v>
      </c>
      <c r="AM79" s="5578">
        <f t="shared" si="511"/>
        <v>0.93538251366120173</v>
      </c>
      <c r="AN79" s="5578">
        <f t="shared" si="511"/>
        <v>0.91909153005464461</v>
      </c>
      <c r="AO79" s="6045">
        <v>1</v>
      </c>
      <c r="AP79" s="5563">
        <f t="shared" ref="AP79:AT79" si="512">AP31/1000/24/AP$3</f>
        <v>1.3880376344086032</v>
      </c>
      <c r="AQ79" s="5810">
        <f t="shared" si="512"/>
        <v>1</v>
      </c>
      <c r="AR79" s="5810">
        <f t="shared" si="512"/>
        <v>1.1371829710144927</v>
      </c>
      <c r="AS79" s="5578">
        <f t="shared" si="512"/>
        <v>0.94266666666666632</v>
      </c>
      <c r="AT79" s="5578">
        <f t="shared" si="512"/>
        <v>0.97195454545454529</v>
      </c>
      <c r="AU79" s="6045">
        <v>1</v>
      </c>
      <c r="AV79" s="5563">
        <f t="shared" ref="AV79:AX79" si="513">AV31/1000/24/AV$3</f>
        <v>1.243279569892473</v>
      </c>
      <c r="AW79" s="5578">
        <f t="shared" si="513"/>
        <v>0.94847494553376877</v>
      </c>
      <c r="AX79" s="5578">
        <f t="shared" si="513"/>
        <v>0.99944172113289753</v>
      </c>
      <c r="AY79" s="8205">
        <v>1</v>
      </c>
      <c r="AZ79" s="5563">
        <f t="shared" ref="AZ79:BB79" si="514">AZ31/1000/24/AZ$3</f>
        <v>0.69940476190476186</v>
      </c>
      <c r="BA79" s="5578">
        <f t="shared" si="514"/>
        <v>0.95279441117764441</v>
      </c>
      <c r="BB79" s="5578">
        <f t="shared" si="514"/>
        <v>0.97428892215568852</v>
      </c>
      <c r="BC79" s="8205">
        <v>1</v>
      </c>
      <c r="BD79" s="5563">
        <f t="shared" ref="BD79:BJ79" si="515">BD31/1000/24/BD$3</f>
        <v>0.62284946236559402</v>
      </c>
      <c r="BE79" s="5810">
        <f t="shared" si="515"/>
        <v>1</v>
      </c>
      <c r="BF79" s="5810">
        <f t="shared" si="515"/>
        <v>0.86037037037037123</v>
      </c>
      <c r="BG79" s="5810">
        <f t="shared" ref="BG79:BH79" si="516">BG31/1000/24/BG$3</f>
        <v>1</v>
      </c>
      <c r="BH79" s="5810">
        <f t="shared" si="516"/>
        <v>1.0002976190476196</v>
      </c>
      <c r="BI79" s="6910">
        <f t="shared" si="515"/>
        <v>0.95680365296803616</v>
      </c>
      <c r="BJ79" s="6910">
        <f t="shared" si="515"/>
        <v>0.94444063926940647</v>
      </c>
    </row>
    <row r="80" spans="1:62" x14ac:dyDescent="0.2">
      <c r="B80" s="1656" t="s">
        <v>1959</v>
      </c>
      <c r="C80" s="1636" t="s">
        <v>897</v>
      </c>
      <c r="D80" s="5542">
        <f>+((D39/1000)/D$3)/24</f>
        <v>1.2024613888888884</v>
      </c>
      <c r="E80" s="5542">
        <f>+((E39/1000)/E$3)/24</f>
        <v>1.0451474462365573</v>
      </c>
      <c r="G80" s="5507" t="s">
        <v>2002</v>
      </c>
      <c r="H80" s="3938" t="s">
        <v>1959</v>
      </c>
      <c r="I80" s="6045">
        <v>1.2024613888889</v>
      </c>
      <c r="J80" s="5562">
        <f t="shared" si="395"/>
        <v>1.2024613888888886</v>
      </c>
      <c r="K80" s="6045">
        <v>1.0451474462365999</v>
      </c>
      <c r="L80" s="5563">
        <f t="shared" si="395"/>
        <v>1.0451474462365573</v>
      </c>
      <c r="M80" s="5578">
        <f t="shared" si="395"/>
        <v>1.1225149590164196</v>
      </c>
      <c r="N80" s="5578">
        <f t="shared" ref="N80" si="517">N32/1000/24/N$3</f>
        <v>1.1225149590163925</v>
      </c>
      <c r="O80" s="6045">
        <v>1.11828611111111</v>
      </c>
      <c r="P80" s="5562">
        <f t="shared" ref="P80:Q80" si="518">P32/1000/24/P$3</f>
        <v>1.1182861111111124</v>
      </c>
      <c r="Q80" s="5810">
        <f t="shared" si="518"/>
        <v>1.1211208333333507</v>
      </c>
      <c r="R80" s="5810">
        <f t="shared" si="397"/>
        <v>1.1211208333333331</v>
      </c>
      <c r="S80" s="6045">
        <v>1.4</v>
      </c>
      <c r="T80" s="5563">
        <f t="shared" ref="T80:U80" si="519">T32/1000/24/T$3</f>
        <v>1.1432065860215053</v>
      </c>
      <c r="U80" s="5578">
        <f t="shared" si="519"/>
        <v>1.1919835724043844</v>
      </c>
      <c r="V80" s="5578">
        <f t="shared" si="398"/>
        <v>1.1267327868852459</v>
      </c>
      <c r="W80" s="6045">
        <v>1.4</v>
      </c>
      <c r="X80" s="5563">
        <f t="shared" ref="X80:Z80" si="520">X32/1000/24/X$3</f>
        <v>1.1588393817204312</v>
      </c>
      <c r="Y80" s="5578">
        <f t="shared" si="520"/>
        <v>1.2341306917211432</v>
      </c>
      <c r="Z80" s="5578">
        <f t="shared" si="520"/>
        <v>1.1332380446623094</v>
      </c>
      <c r="AA80" s="6045">
        <v>1.4</v>
      </c>
      <c r="AB80" s="5563">
        <f t="shared" ref="AB80:AF80" si="521">AB32/1000/24/AB$3</f>
        <v>1.1115958333333327</v>
      </c>
      <c r="AC80" s="5810">
        <f t="shared" si="521"/>
        <v>1.4</v>
      </c>
      <c r="AD80" s="5810">
        <f t="shared" si="521"/>
        <v>1.1381663043478263</v>
      </c>
      <c r="AE80" s="6910">
        <f t="shared" si="521"/>
        <v>1.2613223816029231</v>
      </c>
      <c r="AF80" s="6910">
        <f t="shared" si="521"/>
        <v>1.1296901411657558</v>
      </c>
      <c r="AG80" s="6045">
        <v>1.4</v>
      </c>
      <c r="AH80" s="5563">
        <f t="shared" ref="AH80:AJ80" si="522">AH32/1000/24/AH$3</f>
        <v>1.1256377688172061</v>
      </c>
      <c r="AI80" s="5578">
        <f t="shared" si="522"/>
        <v>1.2814111954828735</v>
      </c>
      <c r="AJ80" s="5578">
        <f t="shared" si="522"/>
        <v>1.1291031152647977</v>
      </c>
      <c r="AK80" s="6045">
        <v>1.4</v>
      </c>
      <c r="AL80" s="5563">
        <f t="shared" ref="AL80:AN80" si="523">AL32/1000/24/AL$3</f>
        <v>1.0802783333333323</v>
      </c>
      <c r="AM80" s="5578">
        <f t="shared" si="523"/>
        <v>1.2959917862021924</v>
      </c>
      <c r="AN80" s="5578">
        <f t="shared" si="523"/>
        <v>1.1231000683060108</v>
      </c>
      <c r="AO80" s="6045">
        <v>1.4</v>
      </c>
      <c r="AP80" s="5563">
        <f t="shared" ref="AP80:AT80" si="524">AP32/1000/24/AP$3</f>
        <v>1.0503158602150522</v>
      </c>
      <c r="AQ80" s="5810">
        <f t="shared" si="524"/>
        <v>1.4</v>
      </c>
      <c r="AR80" s="5810">
        <f t="shared" si="524"/>
        <v>1.085466440217391</v>
      </c>
      <c r="AS80" s="5578">
        <f t="shared" si="524"/>
        <v>1.3077163484848542</v>
      </c>
      <c r="AT80" s="5578">
        <f t="shared" si="524"/>
        <v>1.114895303030303</v>
      </c>
      <c r="AU80" s="6045">
        <v>1.4</v>
      </c>
      <c r="AV80" s="5563">
        <f t="shared" ref="AV80:AX80" si="525">AV32/1000/24/AV$3</f>
        <v>1.0740435483870978</v>
      </c>
      <c r="AW80" s="5578">
        <f t="shared" si="525"/>
        <v>1.3170653458605714</v>
      </c>
      <c r="AX80" s="5578">
        <f t="shared" si="525"/>
        <v>1.1107567265795208</v>
      </c>
      <c r="AY80" s="8205">
        <v>1.4</v>
      </c>
      <c r="AZ80" s="5563">
        <f t="shared" ref="AZ80:BB80" si="526">AZ32/1000/24/AZ$3</f>
        <v>1.116571279761905</v>
      </c>
      <c r="BA80" s="5578">
        <f t="shared" si="526"/>
        <v>1.3240179515968111</v>
      </c>
      <c r="BB80" s="5578">
        <f t="shared" si="526"/>
        <v>1.1112441741516965</v>
      </c>
      <c r="BC80" s="8205">
        <v>1.4</v>
      </c>
      <c r="BD80" s="5563">
        <f t="shared" ref="BD80:BJ80" si="527">BD32/1000/24/BD$3</f>
        <v>1.1353264784946238</v>
      </c>
      <c r="BE80" s="5810">
        <f t="shared" si="527"/>
        <v>1.4</v>
      </c>
      <c r="BF80" s="5810">
        <f t="shared" si="527"/>
        <v>1.1083829629629633</v>
      </c>
      <c r="BG80" s="5810">
        <f t="shared" ref="BG80:BH80" si="528">BG32/1000/24/BG$3</f>
        <v>1.4</v>
      </c>
      <c r="BH80" s="5810">
        <f t="shared" si="528"/>
        <v>1.0967987866300364</v>
      </c>
      <c r="BI80" s="6910">
        <f t="shared" si="527"/>
        <v>1.3304712214611916</v>
      </c>
      <c r="BJ80" s="6910">
        <f t="shared" si="527"/>
        <v>1.1132895205479454</v>
      </c>
    </row>
    <row r="81" spans="1:62" s="3380" customFormat="1" x14ac:dyDescent="0.2">
      <c r="B81" s="3380" t="s">
        <v>2007</v>
      </c>
      <c r="C81" s="3380" t="s">
        <v>897</v>
      </c>
      <c r="D81" s="3380">
        <f>+((D40/1000)/D$3)/24</f>
        <v>122.30793637777781</v>
      </c>
      <c r="E81" s="3380">
        <f>+((E40/1000)/E$3)/24</f>
        <v>125.68636524059139</v>
      </c>
      <c r="AY81" s="8201"/>
      <c r="BC81" s="8201"/>
    </row>
    <row r="82" spans="1:62" ht="16" thickBot="1" x14ac:dyDescent="0.25">
      <c r="D82" s="5543"/>
      <c r="E82" s="5543"/>
      <c r="G82" s="5527" t="s">
        <v>2003</v>
      </c>
      <c r="H82" s="5528" t="s">
        <v>1960</v>
      </c>
      <c r="I82" s="5566">
        <f>+SUM(I83:I86)</f>
        <v>2.7864032730555519</v>
      </c>
      <c r="J82" s="5566">
        <f t="shared" ref="J82:M94" si="529">J34/1000/24/J$3</f>
        <v>2.7864032730555559</v>
      </c>
      <c r="K82" s="5566">
        <f>+SUM(K83:K86)</f>
        <v>2.8374720247311789</v>
      </c>
      <c r="L82" s="5567">
        <f t="shared" si="529"/>
        <v>2.8374720247311833</v>
      </c>
      <c r="M82" s="5580">
        <f t="shared" si="529"/>
        <v>2.8123562452185764</v>
      </c>
      <c r="N82" s="5580">
        <f t="shared" ref="N82" si="530">N34/1000/24/N$3</f>
        <v>2.81235624521858</v>
      </c>
      <c r="O82" s="5566">
        <f>+SUM(O83:O86)</f>
        <v>3.0800227022222262</v>
      </c>
      <c r="P82" s="5566">
        <f t="shared" ref="P82:R94" si="531">P34/1000/24/P$3</f>
        <v>3.0800227022222209</v>
      </c>
      <c r="Q82" s="5812">
        <f t="shared" si="531"/>
        <v>2.900597934340658</v>
      </c>
      <c r="R82" s="5812">
        <f t="shared" si="531"/>
        <v>2.9005979343406589</v>
      </c>
      <c r="S82" s="6046">
        <f>+SUM(S83:S86)</f>
        <v>3.6933994999999999</v>
      </c>
      <c r="T82" s="5567">
        <f t="shared" ref="T82:V94" si="532">T34/1000/24/T$3</f>
        <v>3.0708934919354833</v>
      </c>
      <c r="U82" s="5580">
        <f t="shared" si="532"/>
        <v>3.1020475124999987</v>
      </c>
      <c r="V82" s="5580">
        <f t="shared" si="532"/>
        <v>2.9438697563524587</v>
      </c>
      <c r="W82" s="6046">
        <f>+SUM(W83:W86)</f>
        <v>3.6933994999999999</v>
      </c>
      <c r="X82" s="5567">
        <f t="shared" ref="X82:Z82" si="533">X34/1000/24/X$3</f>
        <v>3.125445661290323</v>
      </c>
      <c r="Y82" s="5580">
        <f t="shared" si="533"/>
        <v>3.2218639282679735</v>
      </c>
      <c r="Z82" s="5580">
        <f t="shared" si="533"/>
        <v>2.9806596455882355</v>
      </c>
      <c r="AA82" s="6046">
        <f>+SUM(AA83:AA86)</f>
        <v>3.6933994999999999</v>
      </c>
      <c r="AB82" s="5567">
        <f t="shared" ref="AB82:AF82" si="534">AB34/1000/24/AB$3</f>
        <v>3.1493894044444435</v>
      </c>
      <c r="AC82" s="5812">
        <f t="shared" si="534"/>
        <v>3.6933994999999999</v>
      </c>
      <c r="AD82" s="5812">
        <f t="shared" si="534"/>
        <v>3.1148716943840578</v>
      </c>
      <c r="AE82" s="6912">
        <f t="shared" si="534"/>
        <v>3.2991648416666663</v>
      </c>
      <c r="AF82" s="6912">
        <f t="shared" si="534"/>
        <v>3.0083202617941707</v>
      </c>
      <c r="AG82" s="6046">
        <f>+SUM(AG83:AG86)</f>
        <v>3.6933994999999999</v>
      </c>
      <c r="AH82" s="5567">
        <f t="shared" ref="AH82:AJ82" si="535">AH34/1000/24/AH$3</f>
        <v>3.173008876344086</v>
      </c>
      <c r="AI82" s="5580">
        <f t="shared" si="535"/>
        <v>3.3562736005841121</v>
      </c>
      <c r="AJ82" s="5580">
        <f t="shared" si="535"/>
        <v>3.032177023714953</v>
      </c>
      <c r="AK82" s="6046">
        <f>+SUM(AK83:AK86)</f>
        <v>3.6933994999999999</v>
      </c>
      <c r="AL82" s="5567">
        <f t="shared" ref="AL82:AN82" si="536">AL34/1000/24/AL$3</f>
        <v>2.9545247238888881</v>
      </c>
      <c r="AM82" s="5580">
        <f t="shared" si="536"/>
        <v>3.3977235062500002</v>
      </c>
      <c r="AN82" s="5580">
        <f t="shared" si="536"/>
        <v>3.0226296098019123</v>
      </c>
      <c r="AO82" s="6046">
        <f>+SUM(AO83:AO86)</f>
        <v>3.6933994999999999</v>
      </c>
      <c r="AP82" s="5567">
        <f t="shared" ref="AP82:AT82" si="537">AP34/1000/24/AP$3</f>
        <v>2.9332970064516131</v>
      </c>
      <c r="AQ82" s="5812">
        <f t="shared" si="537"/>
        <v>3.6933994999999999</v>
      </c>
      <c r="AR82" s="5812">
        <f t="shared" si="537"/>
        <v>3.0209915661231888</v>
      </c>
      <c r="AS82" s="5580">
        <f t="shared" si="537"/>
        <v>3.4310542546363636</v>
      </c>
      <c r="AT82" s="5580">
        <f t="shared" si="537"/>
        <v>3.0125593890606055</v>
      </c>
      <c r="AU82" s="6046">
        <f>+SUM(AU83:AU86)</f>
        <v>3.6933994999999999</v>
      </c>
      <c r="AV82" s="5567">
        <f t="shared" ref="AV82:AX82" si="538">AV34/1000/24/AV$3</f>
        <v>2.9414526236559149</v>
      </c>
      <c r="AW82" s="5580">
        <f t="shared" si="538"/>
        <v>3.4576317141339872</v>
      </c>
      <c r="AX82" s="5580">
        <f t="shared" si="538"/>
        <v>3.0053557624999998</v>
      </c>
      <c r="AY82" s="8210">
        <v>3.6933994999999999</v>
      </c>
      <c r="AZ82" s="5567">
        <f t="shared" ref="AZ82:BB82" si="539">AZ34/1000/24/AZ$3</f>
        <v>2.5443254672619049</v>
      </c>
      <c r="BA82" s="5580">
        <f t="shared" si="539"/>
        <v>3.4773966782185632</v>
      </c>
      <c r="BB82" s="5580">
        <f t="shared" si="539"/>
        <v>2.9667065161926152</v>
      </c>
      <c r="BC82" s="8210">
        <v>3.6933994999999999</v>
      </c>
      <c r="BD82" s="5567">
        <f t="shared" ref="BD82:BJ82" si="540">BD34/1000/24/BD$3</f>
        <v>2.7985510752688172</v>
      </c>
      <c r="BE82" s="5812">
        <f t="shared" si="540"/>
        <v>3.6933994999999999</v>
      </c>
      <c r="BF82" s="5812">
        <f t="shared" si="540"/>
        <v>2.7686803083333329</v>
      </c>
      <c r="BG82" s="5812">
        <f t="shared" ref="BG82:BH82" si="541">BG34/1000/24/BG$3</f>
        <v>3.6933994999999999</v>
      </c>
      <c r="BH82" s="5812">
        <f t="shared" si="541"/>
        <v>2.8962222628205128</v>
      </c>
      <c r="BI82" s="6912">
        <f t="shared" si="540"/>
        <v>3.4957421233561647</v>
      </c>
      <c r="BJ82" s="6912">
        <f t="shared" si="540"/>
        <v>2.9524248212100459</v>
      </c>
    </row>
    <row r="83" spans="1:62" ht="21" thickBot="1" x14ac:dyDescent="0.25">
      <c r="A83" s="5416"/>
      <c r="B83" s="5531" t="s">
        <v>1153</v>
      </c>
      <c r="C83" s="4486" t="s">
        <v>897</v>
      </c>
      <c r="D83" s="5543">
        <f>+((D42/1000)/D$3)/24</f>
        <v>110.28636605083337</v>
      </c>
      <c r="E83" s="5543">
        <f>+((E42/1000)/E$3)/24</f>
        <v>113.44019473978493</v>
      </c>
      <c r="G83" s="5507" t="s">
        <v>2004</v>
      </c>
      <c r="H83" s="3938" t="s">
        <v>1961</v>
      </c>
      <c r="I83" s="6045">
        <v>1.5184583333333299</v>
      </c>
      <c r="J83" s="5562">
        <f t="shared" si="529"/>
        <v>1.5184583333333335</v>
      </c>
      <c r="K83" s="6045">
        <v>1.5746408602150499</v>
      </c>
      <c r="L83" s="5563">
        <f t="shared" si="529"/>
        <v>1.5746408602150537</v>
      </c>
      <c r="M83" s="5578">
        <f t="shared" si="529"/>
        <v>1.547010109289614</v>
      </c>
      <c r="N83" s="5578">
        <f t="shared" ref="N83" si="542">N35/1000/24/N$3</f>
        <v>1.5470101092896174</v>
      </c>
      <c r="O83" s="6045">
        <v>1.72640555555556</v>
      </c>
      <c r="P83" s="5562">
        <f t="shared" ref="P83:Q83" si="543">P35/1000/24/P$3</f>
        <v>1.7264055555555555</v>
      </c>
      <c r="Q83" s="5810">
        <f t="shared" si="543"/>
        <v>1.6061514652014643</v>
      </c>
      <c r="R83" s="5810">
        <f t="shared" si="531"/>
        <v>1.606151465201465</v>
      </c>
      <c r="S83" s="6045">
        <v>2.1433995000000001</v>
      </c>
      <c r="T83" s="5563">
        <f t="shared" ref="T83:U83" si="544">T35/1000/24/T$3</f>
        <v>1.7796411290322582</v>
      </c>
      <c r="U83" s="5578">
        <f t="shared" si="544"/>
        <v>1.7426653101092888</v>
      </c>
      <c r="V83" s="5578">
        <f t="shared" si="532"/>
        <v>1.6502349043715847</v>
      </c>
      <c r="W83" s="6045">
        <v>2.1433995000000001</v>
      </c>
      <c r="X83" s="5563">
        <f t="shared" ref="X83:Z83" si="545">X35/1000/24/X$3</f>
        <v>1.7777461155913978</v>
      </c>
      <c r="Y83" s="5578">
        <f t="shared" si="545"/>
        <v>1.8238598191721127</v>
      </c>
      <c r="Z83" s="5578">
        <f t="shared" si="545"/>
        <v>1.6760705092592594</v>
      </c>
      <c r="AA83" s="6045">
        <v>2.1433995000000001</v>
      </c>
      <c r="AB83" s="5563">
        <f t="shared" ref="AB83:AF83" si="546">AB35/1000/24/AB$3</f>
        <v>1.8291250000000001</v>
      </c>
      <c r="AC83" s="5810">
        <f t="shared" si="546"/>
        <v>2.1433995000000006</v>
      </c>
      <c r="AD83" s="5810">
        <f t="shared" si="546"/>
        <v>1.7951386367753621</v>
      </c>
      <c r="AE83" s="6910">
        <f t="shared" si="546"/>
        <v>1.8762433734061927</v>
      </c>
      <c r="AF83" s="6910">
        <f t="shared" si="546"/>
        <v>1.7011614093806922</v>
      </c>
      <c r="AG83" s="6045">
        <v>2.1433995000000001</v>
      </c>
      <c r="AH83" s="5563">
        <f t="shared" ref="AH83:AJ83" si="547">AH35/1000/24/AH$3</f>
        <v>1.8017419354838711</v>
      </c>
      <c r="AI83" s="5578">
        <f t="shared" si="547"/>
        <v>1.9149435599688469</v>
      </c>
      <c r="AJ83" s="5578">
        <f t="shared" si="547"/>
        <v>1.7157314855919001</v>
      </c>
      <c r="AK83" s="6045">
        <v>2.1433995000000001</v>
      </c>
      <c r="AL83" s="5563">
        <f t="shared" ref="AL83:AN83" si="548">AL35/1000/24/AL$3</f>
        <v>1.7560750000000001</v>
      </c>
      <c r="AM83" s="5578">
        <f t="shared" si="548"/>
        <v>1.9430324050546448</v>
      </c>
      <c r="AN83" s="5578">
        <f t="shared" si="548"/>
        <v>1.7206917537568305</v>
      </c>
      <c r="AO83" s="6045">
        <v>2.1433995000000001</v>
      </c>
      <c r="AP83" s="5563">
        <f t="shared" ref="AP83:AT83" si="549">AP35/1000/24/AP$3</f>
        <v>1.7567567204301076</v>
      </c>
      <c r="AQ83" s="5810">
        <f t="shared" si="549"/>
        <v>2.1433995000000006</v>
      </c>
      <c r="AR83" s="5810">
        <f t="shared" si="549"/>
        <v>1.771692481884058</v>
      </c>
      <c r="AS83" s="5578">
        <f t="shared" si="549"/>
        <v>1.9656192412121209</v>
      </c>
      <c r="AT83" s="5578">
        <f t="shared" si="549"/>
        <v>1.724757259090909</v>
      </c>
      <c r="AU83" s="6045">
        <v>2.1433995000000001</v>
      </c>
      <c r="AV83" s="5563">
        <f t="shared" ref="AV83:AX83" si="550">AV35/1000/24/AV$3</f>
        <v>1.7453319892473118</v>
      </c>
      <c r="AW83" s="5578">
        <f t="shared" si="550"/>
        <v>1.9836296595860565</v>
      </c>
      <c r="AX83" s="5578">
        <f t="shared" si="550"/>
        <v>1.7268416271786493</v>
      </c>
      <c r="AY83" s="8205">
        <v>2.1433995000000001</v>
      </c>
      <c r="AZ83" s="5563">
        <f t="shared" ref="AZ83:BB83" si="551">AZ35/1000/24/AZ$3</f>
        <v>1.717252976190476</v>
      </c>
      <c r="BA83" s="5578">
        <f t="shared" si="551"/>
        <v>1.9970235384231534</v>
      </c>
      <c r="BB83" s="5578">
        <f t="shared" si="551"/>
        <v>1.7260377881736526</v>
      </c>
      <c r="BC83" s="8205">
        <v>2.1433995000000001</v>
      </c>
      <c r="BD83" s="5563">
        <f t="shared" ref="BD83:BJ83" si="552">BD35/1000/24/BD$3</f>
        <v>1.8081680107526883</v>
      </c>
      <c r="BE83" s="5810">
        <f t="shared" si="552"/>
        <v>2.1433994999999997</v>
      </c>
      <c r="BF83" s="5810">
        <f t="shared" si="552"/>
        <v>1.7582398148148146</v>
      </c>
      <c r="BG83" s="5810">
        <f t="shared" ref="BG83:BH83" si="553">BG35/1000/24/BG$3</f>
        <v>2.1433995000000001</v>
      </c>
      <c r="BH83" s="5810">
        <f t="shared" si="553"/>
        <v>1.7650400641025639</v>
      </c>
      <c r="BI83" s="6910">
        <f t="shared" si="552"/>
        <v>2.0094554694063929</v>
      </c>
      <c r="BJ83" s="6910">
        <f t="shared" si="552"/>
        <v>1.7330132317351599</v>
      </c>
    </row>
    <row r="84" spans="1:62" x14ac:dyDescent="0.2">
      <c r="G84" s="5507" t="s">
        <v>2005</v>
      </c>
      <c r="H84" s="3938" t="s">
        <v>1962</v>
      </c>
      <c r="I84" s="6045">
        <v>0.89579548472222204</v>
      </c>
      <c r="J84" s="5562">
        <f t="shared" si="529"/>
        <v>0.89579548472222226</v>
      </c>
      <c r="K84" s="6045">
        <v>0.86948325672043003</v>
      </c>
      <c r="L84" s="5563">
        <f t="shared" si="529"/>
        <v>0.86948325672043014</v>
      </c>
      <c r="M84" s="5578">
        <f t="shared" si="529"/>
        <v>0.88242369672131138</v>
      </c>
      <c r="N84" s="5578">
        <f t="shared" ref="N84" si="554">N36/1000/24/N$3</f>
        <v>0.88242369672131149</v>
      </c>
      <c r="O84" s="6045">
        <v>0.89167777777777801</v>
      </c>
      <c r="P84" s="5562">
        <f t="shared" ref="P84:Q84" si="555">P36/1000/24/P$3</f>
        <v>0.89167777777777779</v>
      </c>
      <c r="Q84" s="5810">
        <f t="shared" si="555"/>
        <v>0.88547449267399259</v>
      </c>
      <c r="R84" s="5810">
        <f t="shared" si="531"/>
        <v>0.8854744926739927</v>
      </c>
      <c r="S84" s="6045">
        <v>0.9</v>
      </c>
      <c r="T84" s="5563">
        <f t="shared" ref="T84:U84" si="556">T36/1000/24/T$3</f>
        <v>0.85367473118279569</v>
      </c>
      <c r="U84" s="5578">
        <f t="shared" si="556"/>
        <v>0.88916540027322399</v>
      </c>
      <c r="V84" s="5578">
        <f t="shared" si="532"/>
        <v>0.87739422540983625</v>
      </c>
      <c r="W84" s="6045">
        <v>0.9</v>
      </c>
      <c r="X84" s="5563">
        <f t="shared" ref="X84:Z84" si="557">X36/1000/24/X$3</f>
        <v>0.87757660080645172</v>
      </c>
      <c r="Y84" s="5578">
        <f t="shared" si="557"/>
        <v>0.89136064596949882</v>
      </c>
      <c r="Z84" s="5578">
        <f t="shared" si="557"/>
        <v>0.8774311772875818</v>
      </c>
      <c r="AA84" s="6045">
        <v>0.9</v>
      </c>
      <c r="AB84" s="5563">
        <f t="shared" ref="AB84:AF84" si="558">AB36/1000/24/AB$3</f>
        <v>0.95240972222222231</v>
      </c>
      <c r="AC84" s="5810">
        <f t="shared" si="558"/>
        <v>0.9</v>
      </c>
      <c r="AD84" s="5810">
        <f t="shared" si="558"/>
        <v>0.89392481476449281</v>
      </c>
      <c r="AE84" s="6910">
        <f t="shared" si="558"/>
        <v>0.8927769335154826</v>
      </c>
      <c r="AF84" s="6910">
        <f t="shared" si="558"/>
        <v>0.88972274203096535</v>
      </c>
      <c r="AG84" s="6045">
        <v>0.9</v>
      </c>
      <c r="AH84" s="5563">
        <f t="shared" ref="AH84:AJ84" si="559">AH36/1000/24/AH$3</f>
        <v>0.97271774193548388</v>
      </c>
      <c r="AI84" s="5578">
        <f t="shared" si="559"/>
        <v>0.89382326557632386</v>
      </c>
      <c r="AJ84" s="5578">
        <f t="shared" si="559"/>
        <v>0.90174538220404976</v>
      </c>
      <c r="AK84" s="6045">
        <v>0.9</v>
      </c>
      <c r="AL84" s="5563">
        <f t="shared" ref="AL84:AN84" si="560">AL36/1000/24/AL$3</f>
        <v>0.82126986111111111</v>
      </c>
      <c r="AM84" s="5578">
        <f t="shared" si="560"/>
        <v>0.8945827001366119</v>
      </c>
      <c r="AN84" s="5578">
        <f t="shared" si="560"/>
        <v>0.89185085092213112</v>
      </c>
      <c r="AO84" s="6045">
        <v>0.9</v>
      </c>
      <c r="AP84" s="5563">
        <f t="shared" ref="AP84:AT84" si="561">AP36/1000/24/AP$3</f>
        <v>0.85420026881720434</v>
      </c>
      <c r="AQ84" s="5810">
        <f t="shared" si="561"/>
        <v>0.9</v>
      </c>
      <c r="AR84" s="5810">
        <f t="shared" si="561"/>
        <v>0.88339732789855074</v>
      </c>
      <c r="AS84" s="5578">
        <f t="shared" si="561"/>
        <v>0.89519337757575745</v>
      </c>
      <c r="AT84" s="5578">
        <f t="shared" si="561"/>
        <v>0.88760660348484843</v>
      </c>
      <c r="AU84" s="6045">
        <v>0.9</v>
      </c>
      <c r="AV84" s="5563">
        <f t="shared" ref="AV84:AX84" si="562">AV36/1000/24/AV$3</f>
        <v>0.84997715053763445</v>
      </c>
      <c r="AW84" s="5578">
        <f t="shared" si="562"/>
        <v>0.89568032298474942</v>
      </c>
      <c r="AX84" s="5578">
        <f t="shared" si="562"/>
        <v>0.88379446936274497</v>
      </c>
      <c r="AY84" s="8205">
        <v>0.9</v>
      </c>
      <c r="AZ84" s="5563">
        <f t="shared" ref="AZ84:BB84" si="563">AZ36/1000/24/AZ$3</f>
        <v>0.38453422619047617</v>
      </c>
      <c r="BA84" s="5578">
        <f t="shared" si="563"/>
        <v>0.89604245159680629</v>
      </c>
      <c r="BB84" s="5578">
        <f t="shared" si="563"/>
        <v>0.84194031724051888</v>
      </c>
      <c r="BC84" s="8205">
        <v>0.9</v>
      </c>
      <c r="BD84" s="5563">
        <f t="shared" ref="BD84:BJ84" si="564">BD36/1000/24/BD$3</f>
        <v>0.52852553763440857</v>
      </c>
      <c r="BE84" s="5810">
        <f t="shared" si="564"/>
        <v>0.9</v>
      </c>
      <c r="BF84" s="5810">
        <f t="shared" si="564"/>
        <v>0.59445046296296289</v>
      </c>
      <c r="BG84" s="5810">
        <f t="shared" ref="BG84:BH84" si="565">BG36/1000/24/BG$3</f>
        <v>0.89999999999999991</v>
      </c>
      <c r="BH84" s="5810">
        <f t="shared" si="565"/>
        <v>0.74051151556776551</v>
      </c>
      <c r="BI84" s="6910">
        <f t="shared" si="564"/>
        <v>0.89637857214611871</v>
      </c>
      <c r="BJ84" s="6910">
        <f t="shared" si="564"/>
        <v>0.81532152773972599</v>
      </c>
    </row>
    <row r="85" spans="1:62" x14ac:dyDescent="0.2">
      <c r="G85" s="5507" t="s">
        <v>2006</v>
      </c>
      <c r="H85" s="3938" t="s">
        <v>1963</v>
      </c>
      <c r="I85" s="6045">
        <v>0.259755010555556</v>
      </c>
      <c r="J85" s="5562">
        <f t="shared" si="529"/>
        <v>0.259755010555556</v>
      </c>
      <c r="K85" s="6045">
        <v>0.24748231639785001</v>
      </c>
      <c r="L85" s="5563">
        <f t="shared" si="529"/>
        <v>0.24748231639784987</v>
      </c>
      <c r="M85" s="5578">
        <f t="shared" si="529"/>
        <v>0.25351806762295132</v>
      </c>
      <c r="N85" s="5578">
        <f t="shared" ref="N85" si="566">N37/1000/24/N$3</f>
        <v>0.25351806762295126</v>
      </c>
      <c r="O85" s="6045">
        <v>0.29565603555555497</v>
      </c>
      <c r="P85" s="5562">
        <f t="shared" ref="P85:Q85" si="567">P37/1000/24/P$3</f>
        <v>0.2956560355555547</v>
      </c>
      <c r="Q85" s="5810">
        <f t="shared" si="567"/>
        <v>0.26740970540293046</v>
      </c>
      <c r="R85" s="5810">
        <f t="shared" si="531"/>
        <v>0.26740970540293041</v>
      </c>
      <c r="S85" s="6045">
        <v>0.5</v>
      </c>
      <c r="T85" s="5563">
        <f t="shared" ref="T85:U85" si="568">T37/1000/24/T$3</f>
        <v>0.29267171774193546</v>
      </c>
      <c r="U85" s="5578">
        <f t="shared" si="568"/>
        <v>0.326510517964481</v>
      </c>
      <c r="V85" s="5578">
        <f t="shared" si="532"/>
        <v>0.27382874132513657</v>
      </c>
      <c r="W85" s="6045">
        <v>0.5</v>
      </c>
      <c r="X85" s="5563">
        <f t="shared" ref="X85:Z85" si="569">X37/1000/24/X$3</f>
        <v>0.28428692338709732</v>
      </c>
      <c r="Y85" s="5578">
        <f t="shared" si="569"/>
        <v>0.36166198164488023</v>
      </c>
      <c r="Z85" s="5578">
        <f t="shared" si="569"/>
        <v>0.27594771938997825</v>
      </c>
      <c r="AA85" s="6045">
        <v>0.5</v>
      </c>
      <c r="AB85" s="5563">
        <f t="shared" ref="AB85:AF85" si="570">AB37/1000/24/AB$3</f>
        <v>0.28979634888888833</v>
      </c>
      <c r="AC85" s="5810">
        <f t="shared" si="570"/>
        <v>0.5</v>
      </c>
      <c r="AD85" s="5810">
        <f t="shared" si="570"/>
        <v>0.28890878632246375</v>
      </c>
      <c r="AE85" s="6910">
        <f t="shared" si="570"/>
        <v>0.38434034530965394</v>
      </c>
      <c r="AF85" s="6910">
        <f t="shared" si="570"/>
        <v>0.27821798652094715</v>
      </c>
      <c r="AG85" s="6045">
        <v>0.5</v>
      </c>
      <c r="AH85" s="5563">
        <f t="shared" ref="AH85:AJ85" si="571">AH37/1000/24/AH$3</f>
        <v>0.28183145698924794</v>
      </c>
      <c r="AI85" s="5578">
        <f t="shared" si="571"/>
        <v>0.4010947812694704</v>
      </c>
      <c r="AJ85" s="5578">
        <f t="shared" si="571"/>
        <v>0.27874143317757016</v>
      </c>
      <c r="AK85" s="6045">
        <v>0.5</v>
      </c>
      <c r="AL85" s="5563">
        <f t="shared" ref="AL85:AN85" si="572">AL37/1000/24/AL$3</f>
        <v>0.26889680722222192</v>
      </c>
      <c r="AM85" s="5578">
        <f t="shared" si="572"/>
        <v>0.41325525898224047</v>
      </c>
      <c r="AN85" s="5578">
        <f t="shared" si="572"/>
        <v>0.27753102834699456</v>
      </c>
      <c r="AO85" s="6045">
        <v>0.5</v>
      </c>
      <c r="AP85" s="5563">
        <f t="shared" ref="AP85:AT85" si="573">AP37/1000/24/AP$3</f>
        <v>0.26316985591397846</v>
      </c>
      <c r="AQ85" s="5810">
        <f t="shared" si="573"/>
        <v>0.5</v>
      </c>
      <c r="AR85" s="5810">
        <f t="shared" si="573"/>
        <v>0.27132548822463781</v>
      </c>
      <c r="AS85" s="5578">
        <f t="shared" si="573"/>
        <v>0.42303375706060609</v>
      </c>
      <c r="AT85" s="5578">
        <f t="shared" si="573"/>
        <v>0.27591213254545455</v>
      </c>
      <c r="AU85" s="6045">
        <v>0.5</v>
      </c>
      <c r="AV85" s="5563">
        <f t="shared" ref="AV85:AX85" si="574">AV37/1000/24/AV$3</f>
        <v>0.26760853763440928</v>
      </c>
      <c r="AW85" s="5578">
        <f t="shared" si="574"/>
        <v>0.43083099082244014</v>
      </c>
      <c r="AX85" s="5578">
        <f t="shared" si="574"/>
        <v>0.2750709186819173</v>
      </c>
      <c r="AY85" s="8205">
        <v>0.5</v>
      </c>
      <c r="AZ85" s="5563">
        <f t="shared" ref="AZ85:BB85" si="575">AZ37/1000/24/AZ$3</f>
        <v>0.27046386011904766</v>
      </c>
      <c r="BA85" s="5578">
        <f t="shared" si="575"/>
        <v>0.43662959039421162</v>
      </c>
      <c r="BB85" s="5578">
        <f t="shared" si="575"/>
        <v>0.27468469820359287</v>
      </c>
      <c r="BC85" s="8205">
        <v>0.5</v>
      </c>
      <c r="BD85" s="5563">
        <f t="shared" ref="BD85:BJ85" si="576">BD37/1000/24/BD$3</f>
        <v>0.264133064516129</v>
      </c>
      <c r="BE85" s="5810">
        <f t="shared" si="576"/>
        <v>0.5</v>
      </c>
      <c r="BF85" s="5810">
        <f t="shared" si="576"/>
        <v>0.26729975277777801</v>
      </c>
      <c r="BG85" s="5810">
        <f t="shared" ref="BG85:BH85" si="577">BG37/1000/24/BG$3</f>
        <v>0.5</v>
      </c>
      <c r="BH85" s="5810">
        <f t="shared" si="577"/>
        <v>0.26933473992674012</v>
      </c>
      <c r="BI85" s="6910">
        <f t="shared" si="576"/>
        <v>0.44201173477168954</v>
      </c>
      <c r="BJ85" s="6910">
        <f t="shared" si="576"/>
        <v>0.27378853205479453</v>
      </c>
    </row>
    <row r="86" spans="1:62" x14ac:dyDescent="0.2">
      <c r="G86" s="5507" t="s">
        <v>2006</v>
      </c>
      <c r="H86" s="3938" t="s">
        <v>1964</v>
      </c>
      <c r="I86" s="6045">
        <v>0.11239444444444401</v>
      </c>
      <c r="J86" s="5562">
        <f t="shared" si="529"/>
        <v>0.11239444444444445</v>
      </c>
      <c r="K86" s="6045">
        <v>0.14586559139784899</v>
      </c>
      <c r="L86" s="5563">
        <f t="shared" si="529"/>
        <v>0.14586559139784946</v>
      </c>
      <c r="M86" s="5578">
        <f t="shared" si="529"/>
        <v>0.129404371584699</v>
      </c>
      <c r="N86" s="5578">
        <f t="shared" ref="N86" si="578">N38/1000/24/N$3</f>
        <v>0.12940437158469947</v>
      </c>
      <c r="O86" s="6045">
        <v>0.16628333333333301</v>
      </c>
      <c r="P86" s="5562">
        <f t="shared" ref="P86:Q86" si="579">P38/1000/24/P$3</f>
        <v>0.16628333333333334</v>
      </c>
      <c r="Q86" s="5810">
        <f t="shared" si="579"/>
        <v>0.14156227106227065</v>
      </c>
      <c r="R86" s="5810">
        <f t="shared" si="531"/>
        <v>0.14156227106227107</v>
      </c>
      <c r="S86" s="6045">
        <v>0.15</v>
      </c>
      <c r="T86" s="5563">
        <f t="shared" ref="T86:U86" si="580">T38/1000/24/T$3</f>
        <v>0.14490591397849462</v>
      </c>
      <c r="U86" s="5578">
        <f t="shared" si="580"/>
        <v>0.14370628415300515</v>
      </c>
      <c r="V86" s="5578">
        <f t="shared" si="532"/>
        <v>0.14241188524590165</v>
      </c>
      <c r="W86" s="6045">
        <v>0.15</v>
      </c>
      <c r="X86" s="5563">
        <f t="shared" ref="X86:Z86" si="581">X38/1000/24/X$3</f>
        <v>0.18583602150537634</v>
      </c>
      <c r="Y86" s="5578">
        <f t="shared" si="581"/>
        <v>0.14498148148148124</v>
      </c>
      <c r="Z86" s="5578">
        <f t="shared" si="581"/>
        <v>0.15121023965141611</v>
      </c>
      <c r="AA86" s="6045">
        <v>0.15</v>
      </c>
      <c r="AB86" s="5563">
        <f t="shared" ref="AB86:AF86" si="582">AB38/1000/24/AB$3</f>
        <v>7.8058333333333327E-2</v>
      </c>
      <c r="AC86" s="5810">
        <f t="shared" si="582"/>
        <v>0.15</v>
      </c>
      <c r="AD86" s="5810">
        <f t="shared" si="582"/>
        <v>0.13689945652173913</v>
      </c>
      <c r="AE86" s="6910">
        <f t="shared" si="582"/>
        <v>0.14580418943533677</v>
      </c>
      <c r="AF86" s="6910">
        <f t="shared" si="582"/>
        <v>0.13921812386156648</v>
      </c>
      <c r="AG86" s="6045">
        <v>0.15</v>
      </c>
      <c r="AH86" s="5563">
        <f t="shared" ref="AH86:AJ86" si="583">AH38/1000/24/AH$3</f>
        <v>0.11671774193548386</v>
      </c>
      <c r="AI86" s="5578">
        <f t="shared" si="583"/>
        <v>0.14641199376947023</v>
      </c>
      <c r="AJ86" s="5578">
        <f t="shared" si="583"/>
        <v>0.13595872274143303</v>
      </c>
      <c r="AK86" s="6045">
        <v>0.15</v>
      </c>
      <c r="AL86" s="5563">
        <f t="shared" ref="AL86:AN86" si="584">AL38/1000/24/AL$3</f>
        <v>0.10828305555555556</v>
      </c>
      <c r="AM86" s="5578">
        <f t="shared" si="584"/>
        <v>0.14685314207650257</v>
      </c>
      <c r="AN86" s="5578">
        <f t="shared" si="584"/>
        <v>0.13255597677595629</v>
      </c>
      <c r="AO86" s="6045">
        <v>0.15</v>
      </c>
      <c r="AP86" s="5563">
        <f t="shared" ref="AP86:AT86" si="585">AP38/1000/24/AP$3</f>
        <v>5.9170161290322584E-2</v>
      </c>
      <c r="AQ86" s="5810">
        <f t="shared" si="585"/>
        <v>0.15</v>
      </c>
      <c r="AR86" s="5810">
        <f t="shared" si="585"/>
        <v>9.4576268115942025E-2</v>
      </c>
      <c r="AS86" s="5578">
        <f t="shared" si="585"/>
        <v>0.14720787878787864</v>
      </c>
      <c r="AT86" s="5578">
        <f t="shared" si="585"/>
        <v>0.12428339393939394</v>
      </c>
      <c r="AU86" s="6045">
        <v>0.15</v>
      </c>
      <c r="AV86" s="5563">
        <f t="shared" ref="AV86:AX86" si="586">AV38/1000/24/AV$3</f>
        <v>7.8534946236559142E-2</v>
      </c>
      <c r="AW86" s="5578">
        <f t="shared" si="586"/>
        <v>0.14749074074074062</v>
      </c>
      <c r="AX86" s="5578">
        <f t="shared" si="586"/>
        <v>0.11964874727668846</v>
      </c>
      <c r="AY86" s="8205">
        <v>0.15</v>
      </c>
      <c r="AZ86" s="5563">
        <f t="shared" ref="AZ86:BB86" si="587">AZ38/1000/24/AZ$3</f>
        <v>0.17207440476190475</v>
      </c>
      <c r="BA86" s="5578">
        <f t="shared" si="587"/>
        <v>0.14770109780439111</v>
      </c>
      <c r="BB86" s="5578">
        <f t="shared" si="587"/>
        <v>0.12404371257485032</v>
      </c>
      <c r="BC86" s="8205">
        <v>0.15</v>
      </c>
      <c r="BD86" s="5563">
        <f t="shared" ref="BD86:BJ86" si="588">BD38/1000/24/BD$3</f>
        <v>0.19772446236559138</v>
      </c>
      <c r="BE86" s="5810">
        <f t="shared" si="588"/>
        <v>0.15</v>
      </c>
      <c r="BF86" s="5810">
        <f t="shared" si="588"/>
        <v>0.14869027777777777</v>
      </c>
      <c r="BG86" s="5810">
        <f t="shared" ref="BG86:BH86" si="589">BG38/1000/24/BG$3</f>
        <v>0.15</v>
      </c>
      <c r="BH86" s="5810">
        <f t="shared" si="589"/>
        <v>0.12133594322344322</v>
      </c>
      <c r="BI86" s="6910">
        <f t="shared" si="588"/>
        <v>0.14789634703196336</v>
      </c>
      <c r="BJ86" s="6910">
        <f t="shared" si="588"/>
        <v>0.13030152968036529</v>
      </c>
    </row>
    <row r="87" spans="1:62" x14ac:dyDescent="0.2">
      <c r="G87" s="5527">
        <v>4.2</v>
      </c>
      <c r="H87" s="5528" t="s">
        <v>1965</v>
      </c>
      <c r="I87" s="5566">
        <f>+I88+I90</f>
        <v>12.021570326944445</v>
      </c>
      <c r="J87" s="5566">
        <f t="shared" si="529"/>
        <v>12.021570326944445</v>
      </c>
      <c r="K87" s="5566">
        <f>+K88+K90</f>
        <v>12.24617050080645</v>
      </c>
      <c r="L87" s="5567">
        <f t="shared" si="529"/>
        <v>12.245996362365592</v>
      </c>
      <c r="M87" s="5580">
        <f t="shared" si="529"/>
        <v>12.135711398907103</v>
      </c>
      <c r="N87" s="5580">
        <f t="shared" ref="N87" si="590">N39/1000/24/N$3</f>
        <v>12.135622902322405</v>
      </c>
      <c r="O87" s="5566">
        <f>+O88+O90</f>
        <v>12.682936556111114</v>
      </c>
      <c r="P87" s="5566">
        <f t="shared" ref="P87:Q87" si="591">P39/1000/24/P$3</f>
        <v>12.682936556111112</v>
      </c>
      <c r="Q87" s="5812">
        <f t="shared" si="591"/>
        <v>12.316115296886444</v>
      </c>
      <c r="R87" s="5812">
        <f t="shared" si="531"/>
        <v>12.316055974999999</v>
      </c>
      <c r="S87" s="6046">
        <f>+S88+S90</f>
        <v>13.324999999999999</v>
      </c>
      <c r="T87" s="5567">
        <f t="shared" ref="T87:U87" si="592">T39/1000/24/T$3</f>
        <v>12.755710419354838</v>
      </c>
      <c r="U87" s="5580">
        <f t="shared" si="592"/>
        <v>12.572471246038251</v>
      </c>
      <c r="V87" s="5580">
        <f t="shared" si="532"/>
        <v>12.427771448565574</v>
      </c>
      <c r="W87" s="6046">
        <f>+W88+W90</f>
        <v>13.324999999999999</v>
      </c>
      <c r="X87" s="5567">
        <f t="shared" ref="X87:Z87" si="593">X39/1000/24/X$3</f>
        <v>13.059292350806448</v>
      </c>
      <c r="Y87" s="5580">
        <f t="shared" si="593"/>
        <v>12.724944392265794</v>
      </c>
      <c r="Z87" s="5580">
        <f t="shared" si="593"/>
        <v>12.555726664052285</v>
      </c>
      <c r="AA87" s="6046">
        <f>+AA88+AA90</f>
        <v>13.324999999999999</v>
      </c>
      <c r="AB87" s="5567">
        <f t="shared" ref="AB87:AF87" si="594">AB39/1000/24/AB$3</f>
        <v>12.503482016388897</v>
      </c>
      <c r="AC87" s="5812">
        <f t="shared" si="594"/>
        <v>13.324999999999999</v>
      </c>
      <c r="AD87" s="5812">
        <f t="shared" si="594"/>
        <v>12.775755938768118</v>
      </c>
      <c r="AE87" s="6912">
        <f t="shared" si="594"/>
        <v>12.823314164025499</v>
      </c>
      <c r="AF87" s="6912">
        <f t="shared" si="594"/>
        <v>12.547161967714027</v>
      </c>
      <c r="AG87" s="6046">
        <f>+AG88+AG90</f>
        <v>13.324999999999999</v>
      </c>
      <c r="AH87" s="5567">
        <f t="shared" ref="AH87:AJ87" si="595">AH39/1000/24/AH$3</f>
        <v>12.596965994623652</v>
      </c>
      <c r="AI87" s="5580">
        <f t="shared" si="595"/>
        <v>12.895988280451713</v>
      </c>
      <c r="AJ87" s="5580">
        <f t="shared" si="595"/>
        <v>12.554376569742988</v>
      </c>
      <c r="AK87" s="6046">
        <f>+AK88+AK90</f>
        <v>13.324999999999999</v>
      </c>
      <c r="AL87" s="5567">
        <f t="shared" ref="AL87:AN87" si="596">AL39/1000/24/AL$3</f>
        <v>11.456334963611114</v>
      </c>
      <c r="AM87" s="5580">
        <f t="shared" si="596"/>
        <v>12.948735623019125</v>
      </c>
      <c r="AN87" s="5580">
        <f t="shared" si="596"/>
        <v>12.419371454234971</v>
      </c>
      <c r="AO87" s="6046">
        <f>+AO88+AO90</f>
        <v>13.324999999999999</v>
      </c>
      <c r="AP87" s="5567">
        <f t="shared" ref="AP87:AT87" si="597">AP39/1000/24/AP$3</f>
        <v>11.491596551344083</v>
      </c>
      <c r="AQ87" s="5812">
        <f t="shared" si="597"/>
        <v>13.324999999999999</v>
      </c>
      <c r="AR87" s="5812">
        <f t="shared" si="597"/>
        <v>11.85255965036232</v>
      </c>
      <c r="AS87" s="5580">
        <f t="shared" si="597"/>
        <v>12.991150880060607</v>
      </c>
      <c r="AT87" s="5580">
        <f t="shared" si="597"/>
        <v>12.314785919727273</v>
      </c>
      <c r="AU87" s="6046">
        <f>+AU88+AU90</f>
        <v>13.324999999999999</v>
      </c>
      <c r="AV87" s="5567">
        <f t="shared" ref="AV87:AX87" si="598">AV39/1000/24/AV$3</f>
        <v>12.039798732526886</v>
      </c>
      <c r="AW87" s="5580">
        <f t="shared" si="598"/>
        <v>13.024972196132898</v>
      </c>
      <c r="AX87" s="5580">
        <f t="shared" si="598"/>
        <v>12.286927740631807</v>
      </c>
      <c r="AY87" s="8210">
        <v>13.324999999999999</v>
      </c>
      <c r="AZ87" s="5567">
        <f t="shared" ref="AZ87:BB87" si="599">AZ39/1000/24/AZ$3</f>
        <v>12.785726907738097</v>
      </c>
      <c r="BA87" s="5580">
        <f t="shared" si="599"/>
        <v>13.050124227594811</v>
      </c>
      <c r="BB87" s="5580">
        <f t="shared" si="599"/>
        <v>12.328743239670658</v>
      </c>
      <c r="BC87" s="8210">
        <v>13.324999999999999</v>
      </c>
      <c r="BD87" s="5567">
        <f t="shared" ref="BD87:BJ87" si="600">BD39/1000/24/BD$3</f>
        <v>12.976006448924732</v>
      </c>
      <c r="BE87" s="5812">
        <f t="shared" si="600"/>
        <v>13.324999999999999</v>
      </c>
      <c r="BF87" s="5812">
        <f t="shared" si="600"/>
        <v>12.594336822685186</v>
      </c>
      <c r="BG87" s="5812">
        <f t="shared" ref="BG87:BH87" si="601">BG39/1000/24/BG$3</f>
        <v>13.325000000000001</v>
      </c>
      <c r="BH87" s="5812">
        <f t="shared" si="601"/>
        <v>12.219372537774726</v>
      </c>
      <c r="BI87" s="6912">
        <f t="shared" si="600"/>
        <v>13.073469841141552</v>
      </c>
      <c r="BJ87" s="6912">
        <f t="shared" si="600"/>
        <v>12.383716279360732</v>
      </c>
    </row>
    <row r="88" spans="1:62" x14ac:dyDescent="0.2">
      <c r="G88" s="5527" t="s">
        <v>2008</v>
      </c>
      <c r="H88" s="5528" t="s">
        <v>1966</v>
      </c>
      <c r="I88" s="5566">
        <f>+I89</f>
        <v>7.5123108333333297</v>
      </c>
      <c r="J88" s="5566">
        <f t="shared" si="529"/>
        <v>7.5123108333333333</v>
      </c>
      <c r="K88" s="5566">
        <f>+K89</f>
        <v>7.5122983870967701</v>
      </c>
      <c r="L88" s="5567">
        <f t="shared" si="529"/>
        <v>7.5122983870967737</v>
      </c>
      <c r="M88" s="5580">
        <f t="shared" si="529"/>
        <v>7.512304508196717</v>
      </c>
      <c r="N88" s="5580">
        <f t="shared" ref="N88" si="602">N40/1000/24/N$3</f>
        <v>7.5123045081967215</v>
      </c>
      <c r="O88" s="5566">
        <f>+O89</f>
        <v>7.4895138888888901</v>
      </c>
      <c r="P88" s="5566">
        <f t="shared" ref="P88:Q88" si="603">P40/1000/24/P$3</f>
        <v>7.4895138888888892</v>
      </c>
      <c r="Q88" s="5812">
        <f t="shared" si="603"/>
        <v>7.5047911172161141</v>
      </c>
      <c r="R88" s="5812">
        <f t="shared" si="531"/>
        <v>7.5047911172161177</v>
      </c>
      <c r="S88" s="6046">
        <f>+S89</f>
        <v>7.8</v>
      </c>
      <c r="T88" s="5567">
        <f t="shared" ref="T88:U88" si="604">T40/1000/24/T$3</f>
        <v>7.576935483870967</v>
      </c>
      <c r="U88" s="5580">
        <f t="shared" si="604"/>
        <v>7.5798032103825115</v>
      </c>
      <c r="V88" s="5580">
        <f t="shared" si="532"/>
        <v>7.5231228825136602</v>
      </c>
      <c r="W88" s="6046">
        <f>+W89</f>
        <v>7.8</v>
      </c>
      <c r="X88" s="5567">
        <f t="shared" ref="X88:Z88" si="605">X40/1000/24/X$3</f>
        <v>7.6738380376344049</v>
      </c>
      <c r="Y88" s="5580">
        <f t="shared" si="605"/>
        <v>7.6244182461873624</v>
      </c>
      <c r="Z88" s="5580">
        <f t="shared" si="605"/>
        <v>7.5536599400871456</v>
      </c>
      <c r="AA88" s="6046">
        <f>+AA89</f>
        <v>7.8</v>
      </c>
      <c r="AB88" s="5567">
        <f t="shared" ref="AB88:AF88" si="606">AB40/1000/24/AB$3</f>
        <v>7.724909861111116</v>
      </c>
      <c r="AC88" s="5812">
        <f t="shared" si="606"/>
        <v>7.8</v>
      </c>
      <c r="AD88" s="5812">
        <f t="shared" si="606"/>
        <v>7.6578399456521744</v>
      </c>
      <c r="AE88" s="6912">
        <f t="shared" si="606"/>
        <v>7.6532021402550088</v>
      </c>
      <c r="AF88" s="6912">
        <f t="shared" si="606"/>
        <v>7.5817336976320577</v>
      </c>
      <c r="AG88" s="6046">
        <f>+AG89</f>
        <v>7.8</v>
      </c>
      <c r="AH88" s="5567">
        <f t="shared" ref="AH88:AJ88" si="607">AH40/1000/24/AH$3</f>
        <v>7.6766498655913979</v>
      </c>
      <c r="AI88" s="5580">
        <f t="shared" si="607"/>
        <v>7.6744672507788154</v>
      </c>
      <c r="AJ88" s="5580">
        <f t="shared" si="607"/>
        <v>7.5954832359813071</v>
      </c>
      <c r="AK88" s="6046">
        <f>+AK89</f>
        <v>7.8</v>
      </c>
      <c r="AL88" s="5567">
        <f t="shared" ref="AL88:AN88" si="608">AL40/1000/24/AL$3</f>
        <v>7.5181466666666665</v>
      </c>
      <c r="AM88" s="5580">
        <f t="shared" si="608"/>
        <v>7.6899016051912561</v>
      </c>
      <c r="AN88" s="5580">
        <f t="shared" si="608"/>
        <v>7.5859746413934426</v>
      </c>
      <c r="AO88" s="6046">
        <f>+AO89</f>
        <v>7.8</v>
      </c>
      <c r="AP88" s="5567">
        <f t="shared" ref="AP88:AT88" si="609">AP40/1000/24/AP$3</f>
        <v>7.6341491935483869</v>
      </c>
      <c r="AQ88" s="5812">
        <f t="shared" si="609"/>
        <v>7.8</v>
      </c>
      <c r="AR88" s="5812">
        <f t="shared" si="609"/>
        <v>7.6106431612318843</v>
      </c>
      <c r="AS88" s="5580">
        <f t="shared" si="609"/>
        <v>7.7023126969696962</v>
      </c>
      <c r="AT88" s="5580">
        <f t="shared" si="609"/>
        <v>7.5914052272727268</v>
      </c>
      <c r="AU88" s="6046">
        <f>+AU89</f>
        <v>7.8</v>
      </c>
      <c r="AV88" s="5567">
        <f t="shared" ref="AV88:AX88" si="610">AV40/1000/24/AV$3</f>
        <v>7.9763596774193584</v>
      </c>
      <c r="AW88" s="5580">
        <f t="shared" si="610"/>
        <v>7.7122091230936825</v>
      </c>
      <c r="AX88" s="5580">
        <f t="shared" si="610"/>
        <v>7.630403880718954</v>
      </c>
      <c r="AY88" s="8210">
        <v>7.8</v>
      </c>
      <c r="AZ88" s="5567">
        <f t="shared" ref="AZ88:BB88" si="611">AZ40/1000/24/AZ$3</f>
        <v>8.1331876488095229</v>
      </c>
      <c r="BA88" s="5580">
        <f t="shared" si="611"/>
        <v>7.7195688373253484</v>
      </c>
      <c r="BB88" s="5580">
        <f t="shared" si="611"/>
        <v>7.6725534181636732</v>
      </c>
      <c r="BC88" s="8210">
        <v>7.8</v>
      </c>
      <c r="BD88" s="5567">
        <f t="shared" ref="BD88:BJ88" si="612">BD40/1000/24/BD$3</f>
        <v>8.1148360215053774</v>
      </c>
      <c r="BE88" s="5812">
        <f t="shared" si="612"/>
        <v>7.8</v>
      </c>
      <c r="BF88" s="5812">
        <f t="shared" si="612"/>
        <v>8.0728480092592605</v>
      </c>
      <c r="BG88" s="5812">
        <f t="shared" ref="BG88:BH88" si="613">BG40/1000/24/BG$3</f>
        <v>7.8000000000000007</v>
      </c>
      <c r="BH88" s="5812">
        <f t="shared" si="613"/>
        <v>7.8392059981685005</v>
      </c>
      <c r="BI88" s="6912">
        <f t="shared" si="612"/>
        <v>7.7263999771689491</v>
      </c>
      <c r="BJ88" s="6912">
        <f t="shared" si="612"/>
        <v>7.710117146118721</v>
      </c>
    </row>
    <row r="89" spans="1:62" x14ac:dyDescent="0.2">
      <c r="G89" s="5507" t="s">
        <v>2009</v>
      </c>
      <c r="H89" s="3938" t="s">
        <v>1967</v>
      </c>
      <c r="I89" s="5562">
        <v>7.5123108333333297</v>
      </c>
      <c r="J89" s="5562">
        <f t="shared" si="529"/>
        <v>7.5123108333333333</v>
      </c>
      <c r="K89" s="5562">
        <v>7.5122983870967701</v>
      </c>
      <c r="L89" s="5563">
        <f t="shared" si="529"/>
        <v>7.5122983870967737</v>
      </c>
      <c r="M89" s="5578">
        <f t="shared" si="529"/>
        <v>7.512304508196717</v>
      </c>
      <c r="N89" s="5578">
        <f t="shared" ref="N89" si="614">N41/1000/24/N$3</f>
        <v>7.5123045081967215</v>
      </c>
      <c r="O89" s="5562">
        <v>7.4895138888888901</v>
      </c>
      <c r="P89" s="5562">
        <f t="shared" ref="P89:Q89" si="615">P41/1000/24/P$3</f>
        <v>7.4895138888888892</v>
      </c>
      <c r="Q89" s="5810">
        <f t="shared" si="615"/>
        <v>7.5047911172161141</v>
      </c>
      <c r="R89" s="5810">
        <f t="shared" si="531"/>
        <v>7.5047911172161177</v>
      </c>
      <c r="S89" s="5562">
        <v>7.8</v>
      </c>
      <c r="T89" s="5563">
        <f t="shared" ref="T89:U89" si="616">T41/1000/24/T$3</f>
        <v>7.576935483870967</v>
      </c>
      <c r="U89" s="5578">
        <f t="shared" si="616"/>
        <v>7.5798032103825115</v>
      </c>
      <c r="V89" s="5578">
        <f t="shared" si="532"/>
        <v>7.5231228825136602</v>
      </c>
      <c r="W89" s="5562">
        <v>7.8</v>
      </c>
      <c r="X89" s="5563">
        <f t="shared" ref="X89:Z89" si="617">X41/1000/24/X$3</f>
        <v>7.6738380376344049</v>
      </c>
      <c r="Y89" s="5578">
        <f t="shared" si="617"/>
        <v>7.6244182461873624</v>
      </c>
      <c r="Z89" s="5578">
        <f t="shared" si="617"/>
        <v>7.5536599400871456</v>
      </c>
      <c r="AA89" s="5562">
        <v>7.8</v>
      </c>
      <c r="AB89" s="5563">
        <f t="shared" ref="AB89:AF89" si="618">AB41/1000/24/AB$3</f>
        <v>7.724909861111116</v>
      </c>
      <c r="AC89" s="5810">
        <f t="shared" si="618"/>
        <v>7.8</v>
      </c>
      <c r="AD89" s="5810">
        <f t="shared" si="618"/>
        <v>7.6578399456521744</v>
      </c>
      <c r="AE89" s="6910">
        <f t="shared" si="618"/>
        <v>7.6532021402550088</v>
      </c>
      <c r="AF89" s="6910">
        <f t="shared" si="618"/>
        <v>7.5817336976320577</v>
      </c>
      <c r="AG89" s="5562">
        <v>7.8</v>
      </c>
      <c r="AH89" s="5563">
        <f t="shared" ref="AH89:AJ89" si="619">AH41/1000/24/AH$3</f>
        <v>7.6766498655913979</v>
      </c>
      <c r="AI89" s="5578">
        <f t="shared" si="619"/>
        <v>7.6744672507788154</v>
      </c>
      <c r="AJ89" s="5578">
        <f t="shared" si="619"/>
        <v>7.5954832359813071</v>
      </c>
      <c r="AK89" s="5562">
        <v>7.8</v>
      </c>
      <c r="AL89" s="5563">
        <f t="shared" ref="AL89:AN89" si="620">AL41/1000/24/AL$3</f>
        <v>7.5181466666666665</v>
      </c>
      <c r="AM89" s="5578">
        <f t="shared" si="620"/>
        <v>7.6899016051912561</v>
      </c>
      <c r="AN89" s="5578">
        <f t="shared" si="620"/>
        <v>7.5859746413934426</v>
      </c>
      <c r="AO89" s="5562">
        <v>7.8</v>
      </c>
      <c r="AP89" s="5563">
        <f t="shared" ref="AP89:AT89" si="621">AP41/1000/24/AP$3</f>
        <v>7.6341491935483869</v>
      </c>
      <c r="AQ89" s="5810">
        <f t="shared" si="621"/>
        <v>7.8</v>
      </c>
      <c r="AR89" s="5810">
        <f t="shared" si="621"/>
        <v>7.6106431612318843</v>
      </c>
      <c r="AS89" s="5578">
        <f t="shared" si="621"/>
        <v>7.7023126969696962</v>
      </c>
      <c r="AT89" s="5578">
        <f t="shared" si="621"/>
        <v>7.5914052272727268</v>
      </c>
      <c r="AU89" s="5562">
        <v>7.8</v>
      </c>
      <c r="AV89" s="5563">
        <f t="shared" ref="AV89:AX89" si="622">AV41/1000/24/AV$3</f>
        <v>7.9763596774193584</v>
      </c>
      <c r="AW89" s="5578">
        <f t="shared" si="622"/>
        <v>7.7122091230936825</v>
      </c>
      <c r="AX89" s="5578">
        <f t="shared" si="622"/>
        <v>7.630403880718954</v>
      </c>
      <c r="AY89" s="8209">
        <v>7.8</v>
      </c>
      <c r="AZ89" s="5563">
        <f t="shared" ref="AZ89:BB89" si="623">AZ41/1000/24/AZ$3</f>
        <v>8.1331876488095229</v>
      </c>
      <c r="BA89" s="5578">
        <f t="shared" si="623"/>
        <v>7.7195688373253484</v>
      </c>
      <c r="BB89" s="5578">
        <f t="shared" si="623"/>
        <v>7.6725534181636732</v>
      </c>
      <c r="BC89" s="8209">
        <v>7.8</v>
      </c>
      <c r="BD89" s="5563">
        <f t="shared" ref="BD89:BJ89" si="624">BD41/1000/24/BD$3</f>
        <v>8.1148360215053774</v>
      </c>
      <c r="BE89" s="5810">
        <f t="shared" si="624"/>
        <v>7.8</v>
      </c>
      <c r="BF89" s="5810">
        <f t="shared" si="624"/>
        <v>8.0728480092592605</v>
      </c>
      <c r="BG89" s="5810">
        <f t="shared" ref="BG89:BH89" si="625">BG41/1000/24/BG$3</f>
        <v>7.8000000000000007</v>
      </c>
      <c r="BH89" s="5810">
        <f t="shared" si="625"/>
        <v>7.8392059981685005</v>
      </c>
      <c r="BI89" s="6910">
        <f t="shared" si="624"/>
        <v>7.7263999771689491</v>
      </c>
      <c r="BJ89" s="6910">
        <f t="shared" si="624"/>
        <v>7.710117146118721</v>
      </c>
    </row>
    <row r="90" spans="1:62" x14ac:dyDescent="0.2">
      <c r="G90" s="5527" t="s">
        <v>2010</v>
      </c>
      <c r="H90" s="5528" t="s">
        <v>1968</v>
      </c>
      <c r="I90" s="5566">
        <f>+SUM(I91:I94)</f>
        <v>4.5092594936111148</v>
      </c>
      <c r="J90" s="5566">
        <f t="shared" si="529"/>
        <v>4.5092594936111121</v>
      </c>
      <c r="K90" s="5566">
        <f>+SUM(K91:K94)</f>
        <v>4.7338721137096798</v>
      </c>
      <c r="L90" s="5567">
        <f t="shared" si="529"/>
        <v>4.733697975268818</v>
      </c>
      <c r="M90" s="5580">
        <f t="shared" si="529"/>
        <v>4.6234068907103856</v>
      </c>
      <c r="N90" s="5580">
        <f t="shared" ref="N90" si="626">N42/1000/24/N$3</f>
        <v>4.6233183941256835</v>
      </c>
      <c r="O90" s="5566">
        <f>+SUM(O91:O94)</f>
        <v>5.1934226672222241</v>
      </c>
      <c r="P90" s="5566">
        <f t="shared" ref="P90:Q90" si="627">P42/1000/24/P$3</f>
        <v>5.1934226672222223</v>
      </c>
      <c r="Q90" s="5812">
        <f t="shared" si="627"/>
        <v>4.8113241796703319</v>
      </c>
      <c r="R90" s="5812">
        <f t="shared" si="531"/>
        <v>4.8112648577838835</v>
      </c>
      <c r="S90" s="5566">
        <f>+SUM(S91:S94)</f>
        <v>5.5250000000000004</v>
      </c>
      <c r="T90" s="5567">
        <f t="shared" ref="T90:U90" si="628">T42/1000/24/T$3</f>
        <v>5.1787749354838697</v>
      </c>
      <c r="U90" s="5580">
        <f t="shared" si="628"/>
        <v>4.9926680356557389</v>
      </c>
      <c r="V90" s="5580">
        <f t="shared" si="532"/>
        <v>4.9046485660519119</v>
      </c>
      <c r="W90" s="5566">
        <f>+SUM(W91:W94)</f>
        <v>5.5250000000000004</v>
      </c>
      <c r="X90" s="5567">
        <f t="shared" ref="X90:Z90" si="629">X42/1000/24/X$3</f>
        <v>5.3854543131720432</v>
      </c>
      <c r="Y90" s="5580">
        <f t="shared" si="629"/>
        <v>5.1005261460784324</v>
      </c>
      <c r="Z90" s="5580">
        <f t="shared" si="629"/>
        <v>5.0020667239651422</v>
      </c>
      <c r="AA90" s="5566">
        <f>+SUM(AA91:AA94)</f>
        <v>5.5250000000000004</v>
      </c>
      <c r="AB90" s="5567">
        <f t="shared" ref="AB90:AF90" si="630">AB42/1000/24/AB$3</f>
        <v>4.7785721552777822</v>
      </c>
      <c r="AC90" s="5812">
        <f t="shared" si="630"/>
        <v>5.5250000000000004</v>
      </c>
      <c r="AD90" s="5812">
        <f t="shared" si="630"/>
        <v>5.1179159931159433</v>
      </c>
      <c r="AE90" s="6912">
        <f t="shared" si="630"/>
        <v>5.1701120237704927</v>
      </c>
      <c r="AF90" s="6912">
        <f t="shared" si="630"/>
        <v>4.9654282700819676</v>
      </c>
      <c r="AG90" s="5566">
        <f>+SUM(AG91:AG94)</f>
        <v>5.5250000000000004</v>
      </c>
      <c r="AH90" s="5567">
        <f t="shared" ref="AH90:AJ90" si="631">AH42/1000/24/AH$3</f>
        <v>4.9203161290322548</v>
      </c>
      <c r="AI90" s="5580">
        <f t="shared" si="631"/>
        <v>5.221521029672898</v>
      </c>
      <c r="AJ90" s="5580">
        <f t="shared" si="631"/>
        <v>4.958893333761683</v>
      </c>
      <c r="AK90" s="5566">
        <f>+SUM(AK91:AK94)</f>
        <v>5.5250000000000004</v>
      </c>
      <c r="AL90" s="5567">
        <f t="shared" ref="AL90:AN90" si="632">AL42/1000/24/AL$3</f>
        <v>3.9381882969444479</v>
      </c>
      <c r="AM90" s="5580">
        <f t="shared" si="632"/>
        <v>5.2588340178278701</v>
      </c>
      <c r="AN90" s="5580">
        <f t="shared" si="632"/>
        <v>4.8333968128415314</v>
      </c>
      <c r="AO90" s="5566">
        <f>+SUM(AO91:AO94)</f>
        <v>5.5250000000000004</v>
      </c>
      <c r="AP90" s="5567">
        <f t="shared" ref="AP90:AT90" si="633">AP42/1000/24/AP$3</f>
        <v>3.8574473577956971</v>
      </c>
      <c r="AQ90" s="5812">
        <f t="shared" si="633"/>
        <v>5.5250000000000004</v>
      </c>
      <c r="AR90" s="5812">
        <f t="shared" si="633"/>
        <v>4.2419164891304337</v>
      </c>
      <c r="AS90" s="5580">
        <f t="shared" si="633"/>
        <v>5.2888381830909106</v>
      </c>
      <c r="AT90" s="5580">
        <f t="shared" si="633"/>
        <v>4.7233806924545458</v>
      </c>
      <c r="AU90" s="5566">
        <f>+SUM(AU91:AU94)</f>
        <v>5.5250000000000004</v>
      </c>
      <c r="AV90" s="5567">
        <f t="shared" ref="AV90:AX90" si="634">AV42/1000/24/AV$3</f>
        <v>4.0634390551075272</v>
      </c>
      <c r="AW90" s="5580">
        <f t="shared" si="634"/>
        <v>5.3127630730392159</v>
      </c>
      <c r="AX90" s="5580">
        <f t="shared" si="634"/>
        <v>4.6565238599128547</v>
      </c>
      <c r="AY90" s="8208">
        <v>5.5250000000000004</v>
      </c>
      <c r="AZ90" s="5567">
        <f t="shared" ref="AZ90:BB90" si="635">AZ42/1000/24/AZ$3</f>
        <v>4.652539258928571</v>
      </c>
      <c r="BA90" s="5580">
        <f t="shared" si="635"/>
        <v>5.3305553902694625</v>
      </c>
      <c r="BB90" s="5580">
        <f t="shared" si="635"/>
        <v>4.6561898215069863</v>
      </c>
      <c r="BC90" s="8208">
        <v>5.5250000000000004</v>
      </c>
      <c r="BD90" s="5567">
        <f t="shared" ref="BD90:BJ90" si="636">BD42/1000/24/BD$3</f>
        <v>4.8611704274193555</v>
      </c>
      <c r="BE90" s="5812">
        <f t="shared" si="636"/>
        <v>5.5250000000000004</v>
      </c>
      <c r="BF90" s="5812">
        <f t="shared" si="636"/>
        <v>4.5214888134259263</v>
      </c>
      <c r="BG90" s="5812">
        <f t="shared" ref="BG90:BH90" si="637">BG42/1000/24/BG$3</f>
        <v>5.5250000000000004</v>
      </c>
      <c r="BH90" s="5812">
        <f t="shared" si="637"/>
        <v>4.3801665396062273</v>
      </c>
      <c r="BI90" s="6912">
        <f t="shared" si="636"/>
        <v>5.347069863972604</v>
      </c>
      <c r="BJ90" s="6912">
        <f t="shared" si="636"/>
        <v>4.6735991332420097</v>
      </c>
    </row>
    <row r="91" spans="1:62" x14ac:dyDescent="0.2">
      <c r="G91" s="5507" t="s">
        <v>2011</v>
      </c>
      <c r="H91" s="3938" t="s">
        <v>1969</v>
      </c>
      <c r="I91" s="6045">
        <v>0.47197477138888699</v>
      </c>
      <c r="J91" s="5562">
        <f t="shared" si="529"/>
        <v>0.47197477138888738</v>
      </c>
      <c r="K91" s="6045">
        <v>0.47029550080645299</v>
      </c>
      <c r="L91" s="5563">
        <f t="shared" si="529"/>
        <v>0.47012136236559304</v>
      </c>
      <c r="M91" s="5578">
        <f t="shared" si="529"/>
        <v>0.47112137158469924</v>
      </c>
      <c r="N91" s="5578">
        <f t="shared" ref="N91" si="638">N43/1000/24/N$3</f>
        <v>0.47103287500000013</v>
      </c>
      <c r="O91" s="6045">
        <v>0.60046155611111196</v>
      </c>
      <c r="P91" s="5562">
        <f t="shared" ref="P91:Q91" si="639">P43/1000/24/P$3</f>
        <v>0.60046155611111152</v>
      </c>
      <c r="Q91" s="5810">
        <f t="shared" si="639"/>
        <v>0.51376099285714294</v>
      </c>
      <c r="R91" s="5810">
        <f t="shared" si="531"/>
        <v>0.51370167097069619</v>
      </c>
      <c r="S91" s="6045">
        <v>0.52500000000000002</v>
      </c>
      <c r="T91" s="5563">
        <f t="shared" ref="T91:U91" si="640">T43/1000/24/T$3</f>
        <v>0.62263111827957174</v>
      </c>
      <c r="U91" s="5578">
        <f t="shared" si="640"/>
        <v>0.51661680614754102</v>
      </c>
      <c r="V91" s="5578">
        <f t="shared" si="532"/>
        <v>0.54138046495901704</v>
      </c>
      <c r="W91" s="6045">
        <v>0.52500000000000002</v>
      </c>
      <c r="X91" s="5563">
        <f t="shared" ref="X91:Z91" si="641">X43/1000/24/X$3</f>
        <v>0.67089517338709492</v>
      </c>
      <c r="Y91" s="5578">
        <f t="shared" si="641"/>
        <v>0.51831536176470594</v>
      </c>
      <c r="Z91" s="5578">
        <f t="shared" si="641"/>
        <v>0.56762200718954259</v>
      </c>
      <c r="AA91" s="6045">
        <v>0.52500000000000002</v>
      </c>
      <c r="AB91" s="5563">
        <f t="shared" ref="AB91:AF91" si="642">AB43/1000/24/AB$3</f>
        <v>0.5903054886111111</v>
      </c>
      <c r="AC91" s="5810">
        <f t="shared" si="642"/>
        <v>0.52500000000000002</v>
      </c>
      <c r="AD91" s="5810">
        <f t="shared" si="642"/>
        <v>0.62835304021739125</v>
      </c>
      <c r="AE91" s="6910">
        <f t="shared" si="642"/>
        <v>0.51941120409836072</v>
      </c>
      <c r="AF91" s="6910">
        <f t="shared" si="642"/>
        <v>0.57134061070127518</v>
      </c>
      <c r="AG91" s="6045">
        <v>0.52500000000000002</v>
      </c>
      <c r="AH91" s="5563">
        <f t="shared" ref="AH91:AJ91" si="643">AH43/1000/24/AH$3</f>
        <v>0.55624086021505337</v>
      </c>
      <c r="AI91" s="5578">
        <f t="shared" si="643"/>
        <v>0.52022079602803739</v>
      </c>
      <c r="AJ91" s="5578">
        <f t="shared" si="643"/>
        <v>0.56915326366822439</v>
      </c>
      <c r="AK91" s="6045">
        <v>0.52500000000000002</v>
      </c>
      <c r="AL91" s="5563">
        <f t="shared" ref="AL91:AN91" si="644">AL43/1000/24/AL$3</f>
        <v>0.37040329694444568</v>
      </c>
      <c r="AM91" s="5578">
        <f t="shared" si="644"/>
        <v>0.52080840307377052</v>
      </c>
      <c r="AN91" s="5578">
        <f t="shared" si="644"/>
        <v>0.54471679234972703</v>
      </c>
      <c r="AO91" s="6045">
        <v>0.52500000000000002</v>
      </c>
      <c r="AP91" s="5563">
        <f t="shared" ref="AP91:AT91" si="645">AP43/1000/24/AP$3</f>
        <v>0.42574923951612914</v>
      </c>
      <c r="AQ91" s="5810">
        <f t="shared" si="645"/>
        <v>0.52500000000000002</v>
      </c>
      <c r="AR91" s="5810">
        <f t="shared" si="645"/>
        <v>0.45167165217391331</v>
      </c>
      <c r="AS91" s="5578">
        <f t="shared" si="645"/>
        <v>0.52128091036363633</v>
      </c>
      <c r="AT91" s="5578">
        <f t="shared" si="645"/>
        <v>0.53130590457575766</v>
      </c>
      <c r="AU91" s="6045">
        <v>0.52500000000000002</v>
      </c>
      <c r="AV91" s="5563">
        <f t="shared" ref="AV91:AX91" si="646">AV43/1000/24/AV$3</f>
        <v>0.39112857123655681</v>
      </c>
      <c r="AW91" s="5578">
        <f t="shared" si="646"/>
        <v>0.52165768088235298</v>
      </c>
      <c r="AX91" s="5578">
        <f t="shared" si="646"/>
        <v>0.5171049328976034</v>
      </c>
      <c r="AY91" s="8205">
        <v>0.52500000000000002</v>
      </c>
      <c r="AZ91" s="5563">
        <f t="shared" ref="AZ91:BB91" si="647">AZ43/1000/24/AZ$3</f>
        <v>0.28884072619047618</v>
      </c>
      <c r="BA91" s="5578">
        <f t="shared" si="647"/>
        <v>0.52193787529940128</v>
      </c>
      <c r="BB91" s="5578">
        <f t="shared" si="647"/>
        <v>0.49796901137724536</v>
      </c>
      <c r="BC91" s="8205">
        <v>0.52500000000000002</v>
      </c>
      <c r="BD91" s="5563">
        <f t="shared" ref="BD91:BJ91" si="648">BD43/1000/24/BD$3</f>
        <v>0.37329058736559134</v>
      </c>
      <c r="BE91" s="5810">
        <f t="shared" si="648"/>
        <v>0.52500000000000002</v>
      </c>
      <c r="BF91" s="5810">
        <f t="shared" si="648"/>
        <v>0.35316149166666594</v>
      </c>
      <c r="BG91" s="5810">
        <f t="shared" ref="BG91:BH91" si="649">BG43/1000/24/BG$3</f>
        <v>0.52500000000000002</v>
      </c>
      <c r="BH91" s="5810">
        <f t="shared" si="649"/>
        <v>0.40295783653846129</v>
      </c>
      <c r="BI91" s="6910">
        <f t="shared" si="648"/>
        <v>0.52219794616438364</v>
      </c>
      <c r="BJ91" s="6910">
        <f t="shared" si="648"/>
        <v>0.48737988495433776</v>
      </c>
    </row>
    <row r="92" spans="1:62" x14ac:dyDescent="0.2">
      <c r="G92" s="5507" t="s">
        <v>2012</v>
      </c>
      <c r="H92" s="3938" t="s">
        <v>1970</v>
      </c>
      <c r="I92" s="6045">
        <v>3.06181944444445</v>
      </c>
      <c r="J92" s="5562">
        <f t="shared" si="529"/>
        <v>3.0618194444444473</v>
      </c>
      <c r="K92" s="6045">
        <v>3.16483870967742</v>
      </c>
      <c r="L92" s="5563">
        <f t="shared" si="529"/>
        <v>3.1648387096774178</v>
      </c>
      <c r="M92" s="5578">
        <f t="shared" si="529"/>
        <v>3.1141734972677622</v>
      </c>
      <c r="N92" s="5578">
        <f t="shared" ref="N92" si="650">N44/1000/24/N$3</f>
        <v>3.1141734972677599</v>
      </c>
      <c r="O92" s="6045">
        <v>3.2810138888888898</v>
      </c>
      <c r="P92" s="5562">
        <f t="shared" ref="P92:Q92" si="651">P44/1000/24/P$3</f>
        <v>3.2810138888888885</v>
      </c>
      <c r="Q92" s="5810">
        <f t="shared" si="651"/>
        <v>3.1691758241758259</v>
      </c>
      <c r="R92" s="5810">
        <f t="shared" si="531"/>
        <v>3.1691758241758246</v>
      </c>
      <c r="S92" s="6045">
        <v>3.5</v>
      </c>
      <c r="T92" s="5563">
        <f t="shared" ref="T92:U92" si="652">T44/1000/24/T$3</f>
        <v>3.3871774193548356</v>
      </c>
      <c r="U92" s="5578">
        <f t="shared" si="652"/>
        <v>3.2532377049180341</v>
      </c>
      <c r="V92" s="5578">
        <f t="shared" si="532"/>
        <v>3.2245696721311465</v>
      </c>
      <c r="W92" s="6045">
        <v>3.5</v>
      </c>
      <c r="X92" s="5563">
        <f t="shared" ref="X92:Z92" si="653">X44/1000/24/X$3</f>
        <v>3.325698924731185</v>
      </c>
      <c r="Y92" s="5578">
        <f t="shared" si="653"/>
        <v>3.3032352941176479</v>
      </c>
      <c r="Z92" s="5578">
        <f t="shared" si="653"/>
        <v>3.2450599128540305</v>
      </c>
      <c r="AA92" s="6045">
        <v>3.5</v>
      </c>
      <c r="AB92" s="5563">
        <f t="shared" ref="AB92:AF92" si="654">AB44/1000/24/AB$3</f>
        <v>3.2105138888888933</v>
      </c>
      <c r="AC92" s="5810">
        <f t="shared" si="654"/>
        <v>3.5</v>
      </c>
      <c r="AD92" s="5810">
        <f t="shared" si="654"/>
        <v>3.3088541666666673</v>
      </c>
      <c r="AE92" s="6910">
        <f t="shared" si="654"/>
        <v>3.3354918032786891</v>
      </c>
      <c r="AF92" s="6910">
        <f t="shared" si="654"/>
        <v>3.2393966302367954</v>
      </c>
      <c r="AG92" s="6045">
        <v>3.5</v>
      </c>
      <c r="AH92" s="5563">
        <f t="shared" ref="AH92:AJ92" si="655">AH44/1000/24/AH$3</f>
        <v>3.169784946236557</v>
      </c>
      <c r="AI92" s="5578">
        <f t="shared" si="655"/>
        <v>3.3593224299065425</v>
      </c>
      <c r="AJ92" s="5578">
        <f t="shared" si="655"/>
        <v>3.2293126947040509</v>
      </c>
      <c r="AK92" s="6045">
        <v>3.5</v>
      </c>
      <c r="AL92" s="5563">
        <f t="shared" ref="AL92:AN92" si="656">AL44/1000/24/AL$3</f>
        <v>2.4182777777777806</v>
      </c>
      <c r="AM92" s="5578">
        <f t="shared" si="656"/>
        <v>3.3766188524590168</v>
      </c>
      <c r="AN92" s="5578">
        <f t="shared" si="656"/>
        <v>3.1295952868852464</v>
      </c>
      <c r="AO92" s="6045">
        <v>3.5</v>
      </c>
      <c r="AP92" s="5563">
        <f t="shared" ref="AP92:AT92" si="657">AP44/1000/24/AP$3</f>
        <v>2.5227862903225797</v>
      </c>
      <c r="AQ92" s="5810">
        <f t="shared" si="657"/>
        <v>3.5</v>
      </c>
      <c r="AR92" s="5810">
        <f t="shared" si="657"/>
        <v>2.7067178442028981</v>
      </c>
      <c r="AS92" s="5578">
        <f t="shared" si="657"/>
        <v>3.3905272727272733</v>
      </c>
      <c r="AT92" s="5578">
        <f t="shared" si="657"/>
        <v>3.0611913636363646</v>
      </c>
      <c r="AU92" s="6045">
        <v>3.5</v>
      </c>
      <c r="AV92" s="5563">
        <f t="shared" ref="AV92:AX92" si="658">AV44/1000/24/AV$3</f>
        <v>2.5678803763440898</v>
      </c>
      <c r="AW92" s="5578">
        <f t="shared" si="658"/>
        <v>3.4016176470588242</v>
      </c>
      <c r="AX92" s="5578">
        <f t="shared" si="658"/>
        <v>3.011215413943356</v>
      </c>
      <c r="AY92" s="8205">
        <v>3.5</v>
      </c>
      <c r="AZ92" s="5563">
        <f t="shared" ref="AZ92:BB92" si="659">AZ44/1000/24/AZ$3</f>
        <v>2.805082461309524</v>
      </c>
      <c r="BA92" s="5578">
        <f t="shared" si="659"/>
        <v>3.4098652694610783</v>
      </c>
      <c r="BB92" s="5578">
        <f t="shared" si="659"/>
        <v>2.9939348071357292</v>
      </c>
      <c r="BC92" s="8205">
        <v>3.5</v>
      </c>
      <c r="BD92" s="5563">
        <f t="shared" ref="BD92:BJ92" si="660">BD44/1000/24/BD$3</f>
        <v>2.9204481196236558</v>
      </c>
      <c r="BE92" s="5810">
        <f t="shared" si="660"/>
        <v>3.5</v>
      </c>
      <c r="BF92" s="5810">
        <f t="shared" si="660"/>
        <v>2.7631165810185201</v>
      </c>
      <c r="BG92" s="5810">
        <f t="shared" ref="BG92:BH92" si="661">BG44/1000/24/BG$3</f>
        <v>3.5</v>
      </c>
      <c r="BH92" s="5810">
        <f t="shared" si="661"/>
        <v>2.734607329441392</v>
      </c>
      <c r="BI92" s="6910">
        <f t="shared" si="660"/>
        <v>3.4175205479452062</v>
      </c>
      <c r="BJ92" s="6910">
        <f t="shared" si="660"/>
        <v>2.9876934720319648</v>
      </c>
    </row>
    <row r="93" spans="1:62" x14ac:dyDescent="0.2">
      <c r="G93" s="5507" t="s">
        <v>2013</v>
      </c>
      <c r="H93" s="3938" t="s">
        <v>1971</v>
      </c>
      <c r="I93" s="6045">
        <v>0.44957777777777802</v>
      </c>
      <c r="J93" s="5562">
        <f t="shared" si="529"/>
        <v>0.4495777777777778</v>
      </c>
      <c r="K93" s="6045">
        <v>0.58346236559139797</v>
      </c>
      <c r="L93" s="5563">
        <f t="shared" si="529"/>
        <v>0.58346236559139786</v>
      </c>
      <c r="M93" s="5578">
        <f t="shared" si="529"/>
        <v>0.51761748633879801</v>
      </c>
      <c r="N93" s="5578">
        <f t="shared" ref="N93" si="662">N45/1000/24/N$3</f>
        <v>0.51761748633879789</v>
      </c>
      <c r="O93" s="6045">
        <v>0.66513333333333302</v>
      </c>
      <c r="P93" s="5562">
        <f t="shared" ref="P93:Q93" si="663">P45/1000/24/P$3</f>
        <v>0.66513333333333335</v>
      </c>
      <c r="Q93" s="5810">
        <f t="shared" si="663"/>
        <v>0.56624908424908427</v>
      </c>
      <c r="R93" s="5810">
        <f t="shared" si="531"/>
        <v>0.56624908424908427</v>
      </c>
      <c r="S93" s="6045">
        <v>0.6</v>
      </c>
      <c r="T93" s="5563">
        <f t="shared" ref="T93:U93" si="664">T45/1000/24/T$3</f>
        <v>0.57962365591397846</v>
      </c>
      <c r="U93" s="5578">
        <f t="shared" si="664"/>
        <v>0.57482513661202184</v>
      </c>
      <c r="V93" s="5578">
        <f t="shared" si="532"/>
        <v>0.56964754098360659</v>
      </c>
      <c r="W93" s="6045">
        <v>0.6</v>
      </c>
      <c r="X93" s="5563">
        <f t="shared" ref="X93:Z93" si="665">X45/1000/24/X$3</f>
        <v>0.74334408602150537</v>
      </c>
      <c r="Y93" s="5578">
        <f t="shared" si="665"/>
        <v>0.57992592592592584</v>
      </c>
      <c r="Z93" s="5578">
        <f t="shared" si="665"/>
        <v>0.60484095860566445</v>
      </c>
      <c r="AA93" s="6045">
        <v>0.6</v>
      </c>
      <c r="AB93" s="5563">
        <f t="shared" ref="AB93:AF93" si="666">AB45/1000/24/AB$3</f>
        <v>0.31223333333333331</v>
      </c>
      <c r="AC93" s="5810">
        <f t="shared" si="666"/>
        <v>0.6</v>
      </c>
      <c r="AD93" s="5810">
        <f t="shared" si="666"/>
        <v>0.54759782608695651</v>
      </c>
      <c r="AE93" s="6910">
        <f t="shared" si="666"/>
        <v>0.58321675774134785</v>
      </c>
      <c r="AF93" s="6910">
        <f t="shared" si="666"/>
        <v>0.55687249544626594</v>
      </c>
      <c r="AG93" s="6045">
        <v>0.6</v>
      </c>
      <c r="AH93" s="5563">
        <f t="shared" ref="AH93:AJ93" si="667">AH45/1000/24/AH$3</f>
        <v>0.46687096774193543</v>
      </c>
      <c r="AI93" s="5578">
        <f t="shared" si="667"/>
        <v>0.58564797507788158</v>
      </c>
      <c r="AJ93" s="5578">
        <f t="shared" si="667"/>
        <v>0.54383489096573212</v>
      </c>
      <c r="AK93" s="6045">
        <v>0.6</v>
      </c>
      <c r="AL93" s="5563">
        <f t="shared" ref="AL93:AN93" si="668">AL45/1000/24/AL$3</f>
        <v>0.43313222222222225</v>
      </c>
      <c r="AM93" s="5578">
        <f t="shared" si="668"/>
        <v>0.58741256830601096</v>
      </c>
      <c r="AN93" s="5578">
        <f t="shared" si="668"/>
        <v>0.53022390710382516</v>
      </c>
      <c r="AO93" s="6045">
        <v>0.6</v>
      </c>
      <c r="AP93" s="5563">
        <f t="shared" ref="AP93:AT93" si="669">AP45/1000/24/AP$3</f>
        <v>0.23668064516129034</v>
      </c>
      <c r="AQ93" s="5810">
        <f t="shared" si="669"/>
        <v>0.6</v>
      </c>
      <c r="AR93" s="5810">
        <f t="shared" si="669"/>
        <v>0.3783050724637681</v>
      </c>
      <c r="AS93" s="5578">
        <f t="shared" si="669"/>
        <v>0.58883151515151511</v>
      </c>
      <c r="AT93" s="5578">
        <f t="shared" si="669"/>
        <v>0.49713357575757577</v>
      </c>
      <c r="AU93" s="6045">
        <v>0.6</v>
      </c>
      <c r="AV93" s="5563">
        <f t="shared" ref="AV93:AX93" si="670">AV45/1000/24/AV$3</f>
        <v>0.31413978494623657</v>
      </c>
      <c r="AW93" s="5578">
        <f t="shared" si="670"/>
        <v>0.58996296296296302</v>
      </c>
      <c r="AX93" s="5578">
        <f t="shared" si="670"/>
        <v>0.47859498910675385</v>
      </c>
      <c r="AY93" s="8205">
        <v>0.6</v>
      </c>
      <c r="AZ93" s="5563">
        <f t="shared" ref="AZ93:BB93" si="671">AZ45/1000/24/AZ$3</f>
        <v>0.68829761904761899</v>
      </c>
      <c r="BA93" s="5578">
        <f t="shared" si="671"/>
        <v>0.59080439121756489</v>
      </c>
      <c r="BB93" s="5578">
        <f t="shared" si="671"/>
        <v>0.49617485029940128</v>
      </c>
      <c r="BC93" s="8205">
        <v>0.6</v>
      </c>
      <c r="BD93" s="5563">
        <f t="shared" ref="BD93:BJ93" si="672">BD45/1000/24/BD$3</f>
        <v>0.79089677419354831</v>
      </c>
      <c r="BE93" s="5810">
        <f t="shared" si="672"/>
        <v>0.6</v>
      </c>
      <c r="BF93" s="5810">
        <f t="shared" si="672"/>
        <v>0.5947607407407407</v>
      </c>
      <c r="BG93" s="5810">
        <f t="shared" ref="BG93:BH93" si="673">BG45/1000/24/BG$3</f>
        <v>0.6</v>
      </c>
      <c r="BH93" s="5810">
        <f t="shared" si="673"/>
        <v>0.48534358974358971</v>
      </c>
      <c r="BI93" s="6910">
        <f t="shared" si="672"/>
        <v>0.59158538812785388</v>
      </c>
      <c r="BJ93" s="6910">
        <f t="shared" si="672"/>
        <v>0.52120602739726019</v>
      </c>
    </row>
    <row r="94" spans="1:62" ht="16" thickBot="1" x14ac:dyDescent="0.25">
      <c r="G94" s="5507" t="s">
        <v>2014</v>
      </c>
      <c r="H94" s="3938" t="s">
        <v>1972</v>
      </c>
      <c r="I94" s="6048">
        <v>0.52588749999999995</v>
      </c>
      <c r="J94" s="5568">
        <f t="shared" si="529"/>
        <v>0.52588750000000006</v>
      </c>
      <c r="K94" s="6048">
        <v>0.51527553763440903</v>
      </c>
      <c r="L94" s="5569">
        <f t="shared" si="529"/>
        <v>0.51527553763440859</v>
      </c>
      <c r="M94" s="5581">
        <f t="shared" si="529"/>
        <v>0.52049453551912594</v>
      </c>
      <c r="N94" s="5581">
        <f t="shared" ref="N94" si="674">N46/1000/24/N$3</f>
        <v>0.52049453551912572</v>
      </c>
      <c r="O94" s="6048">
        <v>0.64681388888888902</v>
      </c>
      <c r="P94" s="5568">
        <f t="shared" ref="P94:Q94" si="675">P46/1000/24/P$3</f>
        <v>0.64681388888888891</v>
      </c>
      <c r="Q94" s="5813">
        <f t="shared" si="675"/>
        <v>0.56213827838827868</v>
      </c>
      <c r="R94" s="5813">
        <f t="shared" si="531"/>
        <v>0.56213827838827846</v>
      </c>
      <c r="S94" s="6048">
        <v>0.9</v>
      </c>
      <c r="T94" s="5569">
        <f t="shared" ref="T94:U94" si="676">T46/1000/24/T$3</f>
        <v>0.58934274193548386</v>
      </c>
      <c r="U94" s="5581">
        <f t="shared" si="676"/>
        <v>0.64798838797814229</v>
      </c>
      <c r="V94" s="5581">
        <f t="shared" si="532"/>
        <v>0.56905088797814218</v>
      </c>
      <c r="W94" s="6048">
        <v>0.9</v>
      </c>
      <c r="X94" s="5569">
        <f t="shared" ref="X94:Z94" si="677">X46/1000/24/X$3</f>
        <v>0.64551612903225808</v>
      </c>
      <c r="Y94" s="5581">
        <f t="shared" si="677"/>
        <v>0.69904956427015263</v>
      </c>
      <c r="Z94" s="5581">
        <f t="shared" si="677"/>
        <v>0.5845438453159042</v>
      </c>
      <c r="AA94" s="6048">
        <v>0.9</v>
      </c>
      <c r="AB94" s="5569">
        <f t="shared" ref="AB94:AF94" si="678">AB46/1000/24/AB$3</f>
        <v>0.66551944444444433</v>
      </c>
      <c r="AC94" s="5813">
        <f t="shared" si="678"/>
        <v>0.9</v>
      </c>
      <c r="AD94" s="5813">
        <f t="shared" si="678"/>
        <v>0.63311096014492751</v>
      </c>
      <c r="AE94" s="6913">
        <f t="shared" si="678"/>
        <v>0.73199225865209483</v>
      </c>
      <c r="AF94" s="6913">
        <f t="shared" si="678"/>
        <v>0.59781853369763216</v>
      </c>
      <c r="AG94" s="6048">
        <v>0.9</v>
      </c>
      <c r="AH94" s="5569">
        <f t="shared" ref="AH94:AJ94" si="679">AH46/1000/24/AH$3</f>
        <v>0.72741935483870968</v>
      </c>
      <c r="AI94" s="5581">
        <f t="shared" si="679"/>
        <v>0.75632982866043619</v>
      </c>
      <c r="AJ94" s="5581">
        <f t="shared" si="679"/>
        <v>0.61659248442367609</v>
      </c>
      <c r="AK94" s="6048">
        <v>0.9</v>
      </c>
      <c r="AL94" s="5569">
        <f t="shared" ref="AL94:AN94" si="680">AL46/1000/24/AL$3</f>
        <v>0.71637499999999987</v>
      </c>
      <c r="AM94" s="5581">
        <f t="shared" si="680"/>
        <v>0.7739941939890711</v>
      </c>
      <c r="AN94" s="5581">
        <f t="shared" si="680"/>
        <v>0.62886082650273223</v>
      </c>
      <c r="AO94" s="6048">
        <v>0.9</v>
      </c>
      <c r="AP94" s="5569">
        <f t="shared" ref="AP94:AT94" si="681">AP46/1000/24/AP$3</f>
        <v>0.67223118279569893</v>
      </c>
      <c r="AQ94" s="5813">
        <f t="shared" si="681"/>
        <v>0.9</v>
      </c>
      <c r="AR94" s="5813">
        <f t="shared" si="681"/>
        <v>0.7052219202898552</v>
      </c>
      <c r="AS94" s="5581">
        <f t="shared" si="681"/>
        <v>0.78819848484848487</v>
      </c>
      <c r="AT94" s="5581">
        <f t="shared" si="681"/>
        <v>0.6337498484848485</v>
      </c>
      <c r="AU94" s="6048">
        <v>0.9</v>
      </c>
      <c r="AV94" s="5569">
        <f t="shared" ref="AV94:AX94" si="682">AV46/1000/24/AV$3</f>
        <v>0.79029032258064513</v>
      </c>
      <c r="AW94" s="5581">
        <f t="shared" si="682"/>
        <v>0.79952478213507627</v>
      </c>
      <c r="AX94" s="5581">
        <f t="shared" si="682"/>
        <v>0.64960852396514168</v>
      </c>
      <c r="AY94" s="8211">
        <v>0.9</v>
      </c>
      <c r="AZ94" s="5569">
        <f t="shared" ref="AZ94:BB94" si="683">AZ46/1000/24/AZ$3</f>
        <v>0.8703184523809524</v>
      </c>
      <c r="BA94" s="5581">
        <f t="shared" si="683"/>
        <v>0.80794785429141713</v>
      </c>
      <c r="BB94" s="5581">
        <f t="shared" si="683"/>
        <v>0.66811115269461074</v>
      </c>
      <c r="BC94" s="8211">
        <v>0.9</v>
      </c>
      <c r="BD94" s="5569">
        <f t="shared" ref="BD94:BJ94" si="684">BD46/1000/24/BD$3</f>
        <v>0.77653494623655905</v>
      </c>
      <c r="BE94" s="5813">
        <f t="shared" si="684"/>
        <v>0.9</v>
      </c>
      <c r="BF94" s="5813">
        <f t="shared" si="684"/>
        <v>0.81045</v>
      </c>
      <c r="BG94" s="5813">
        <f t="shared" ref="BG94:BH94" si="685">BG46/1000/24/BG$3</f>
        <v>0.89999999999999991</v>
      </c>
      <c r="BH94" s="5813">
        <f t="shared" si="685"/>
        <v>0.75725778388278397</v>
      </c>
      <c r="BI94" s="6913">
        <f t="shared" si="684"/>
        <v>0.81576598173515968</v>
      </c>
      <c r="BJ94" s="6913">
        <f t="shared" si="684"/>
        <v>0.67731974885844748</v>
      </c>
    </row>
    <row r="95" spans="1:62" x14ac:dyDescent="0.2">
      <c r="AK95" s="7545"/>
      <c r="AL95" s="7545"/>
      <c r="AM95" s="7545"/>
      <c r="AN95" s="7545"/>
      <c r="AO95" s="7762"/>
      <c r="AP95" s="7762"/>
      <c r="AQ95" s="7762"/>
      <c r="AR95" s="7762"/>
      <c r="AS95" s="7762"/>
      <c r="AT95" s="7762"/>
      <c r="AU95" s="8094"/>
      <c r="AV95" s="8094"/>
      <c r="AW95" s="8094"/>
      <c r="AX95" s="8094"/>
    </row>
    <row r="96" spans="1:62" x14ac:dyDescent="0.2">
      <c r="AK96" s="7545"/>
      <c r="AL96" s="7545"/>
      <c r="AM96" s="7545"/>
      <c r="AN96" s="7545"/>
      <c r="AO96" s="7762"/>
      <c r="AP96" s="7762"/>
      <c r="AQ96" s="7762"/>
      <c r="AR96" s="7762"/>
      <c r="AS96" s="7762"/>
      <c r="AT96" s="7762"/>
      <c r="AU96" s="8094"/>
      <c r="AV96" s="8094"/>
      <c r="AW96" s="8094"/>
      <c r="AX96" s="8094"/>
    </row>
    <row r="97" spans="37:50" x14ac:dyDescent="0.2">
      <c r="AK97" s="7545"/>
      <c r="AL97" s="7545"/>
      <c r="AM97" s="7545"/>
      <c r="AN97" s="7545"/>
      <c r="AO97" s="7762"/>
      <c r="AP97" s="7762"/>
      <c r="AQ97" s="7762"/>
      <c r="AR97" s="7762"/>
      <c r="AS97" s="7762"/>
      <c r="AT97" s="7762"/>
      <c r="AU97" s="8094"/>
      <c r="AV97" s="8094"/>
      <c r="AW97" s="8094"/>
      <c r="AX97" s="8094"/>
    </row>
    <row r="98" spans="37:50" x14ac:dyDescent="0.2">
      <c r="AK98" s="7545"/>
      <c r="AL98" s="7545"/>
      <c r="AM98" s="7545"/>
      <c r="AN98" s="7545"/>
      <c r="AO98" s="7762"/>
      <c r="AP98" s="7762"/>
      <c r="AQ98" s="7762"/>
      <c r="AR98" s="7762"/>
      <c r="AS98" s="7762"/>
      <c r="AT98" s="7762"/>
      <c r="AU98" s="8094"/>
      <c r="AV98" s="8094"/>
      <c r="AW98" s="8094"/>
      <c r="AX98" s="8094"/>
    </row>
    <row r="99" spans="37:50" x14ac:dyDescent="0.2">
      <c r="AK99" s="7545"/>
      <c r="AL99" s="7545"/>
      <c r="AM99" s="7545"/>
      <c r="AN99" s="7545"/>
      <c r="AO99" s="7762"/>
      <c r="AP99" s="7762"/>
      <c r="AQ99" s="7762"/>
      <c r="AR99" s="7762"/>
      <c r="AS99" s="7762"/>
      <c r="AT99" s="7762"/>
      <c r="AU99" s="8094"/>
      <c r="AV99" s="8094"/>
      <c r="AW99" s="8094"/>
      <c r="AX99" s="8094"/>
    </row>
    <row r="100" spans="37:50" x14ac:dyDescent="0.2">
      <c r="AK100" s="7545"/>
      <c r="AL100" s="7545"/>
      <c r="AM100" s="7545"/>
      <c r="AN100" s="7545"/>
      <c r="AO100" s="7762"/>
      <c r="AP100" s="7762"/>
      <c r="AQ100" s="7762"/>
      <c r="AR100" s="7762"/>
      <c r="AS100" s="7762"/>
      <c r="AT100" s="7762"/>
      <c r="AU100" s="8094"/>
      <c r="AV100" s="8094"/>
    </row>
    <row r="101" spans="37:50" x14ac:dyDescent="0.2">
      <c r="AK101" s="7545"/>
      <c r="AL101" s="7545"/>
      <c r="AM101" s="7545"/>
      <c r="AN101" s="7545"/>
      <c r="AO101" s="7762"/>
      <c r="AP101" s="7762"/>
      <c r="AQ101" s="7762"/>
      <c r="AR101" s="7762"/>
      <c r="AS101" s="7762"/>
      <c r="AT101" s="7762"/>
      <c r="AU101" s="8094"/>
      <c r="AV101" s="8094"/>
    </row>
    <row r="102" spans="37:50" x14ac:dyDescent="0.2">
      <c r="AK102" s="7545"/>
      <c r="AL102" s="7545"/>
      <c r="AM102" s="7545"/>
      <c r="AN102" s="7545"/>
      <c r="AO102" s="7762"/>
      <c r="AP102" s="7762"/>
      <c r="AQ102" s="7762"/>
      <c r="AR102" s="7762"/>
      <c r="AS102" s="7762"/>
      <c r="AT102" s="7762"/>
      <c r="AU102" s="8094"/>
      <c r="AV102" s="8094"/>
    </row>
    <row r="103" spans="37:50" x14ac:dyDescent="0.2">
      <c r="AK103" s="7545"/>
      <c r="AL103" s="7545"/>
      <c r="AM103" s="7545"/>
      <c r="AN103" s="7545"/>
      <c r="AO103" s="7762"/>
      <c r="AP103" s="7762"/>
      <c r="AQ103" s="7762"/>
      <c r="AR103" s="7762"/>
      <c r="AS103" s="7762"/>
      <c r="AT103" s="7762"/>
      <c r="AU103" s="8094"/>
      <c r="AV103" s="8094"/>
    </row>
    <row r="104" spans="37:50" x14ac:dyDescent="0.2">
      <c r="AK104" s="7545"/>
      <c r="AL104" s="7545"/>
      <c r="AM104" s="7545"/>
      <c r="AN104" s="7545"/>
      <c r="AO104" s="7762"/>
      <c r="AP104" s="7762"/>
      <c r="AQ104" s="7762"/>
      <c r="AR104" s="7762"/>
      <c r="AS104" s="7762"/>
      <c r="AT104" s="7762"/>
      <c r="AU104" s="8094"/>
      <c r="AV104" s="8094"/>
    </row>
    <row r="105" spans="37:50" x14ac:dyDescent="0.2">
      <c r="AK105" s="7545"/>
      <c r="AL105" s="7545"/>
      <c r="AM105" s="7545"/>
      <c r="AN105" s="7545"/>
      <c r="AO105" s="7762"/>
      <c r="AP105" s="7762"/>
      <c r="AQ105" s="7762"/>
      <c r="AR105" s="7762"/>
      <c r="AS105" s="7762"/>
      <c r="AT105" s="7762"/>
      <c r="AU105" s="8094"/>
      <c r="AV105" s="8094"/>
    </row>
    <row r="106" spans="37:50" x14ac:dyDescent="0.2">
      <c r="AK106" s="7545"/>
      <c r="AL106" s="7545"/>
      <c r="AM106" s="7545"/>
      <c r="AN106" s="7545"/>
      <c r="AO106" s="7762"/>
      <c r="AP106" s="7762"/>
      <c r="AQ106" s="7762"/>
      <c r="AR106" s="7762"/>
      <c r="AS106" s="7762"/>
      <c r="AT106" s="7762"/>
      <c r="AU106" s="8094"/>
      <c r="AV106" s="8094"/>
    </row>
    <row r="107" spans="37:50" x14ac:dyDescent="0.2">
      <c r="AK107" s="7545"/>
      <c r="AL107" s="7545"/>
      <c r="AM107" s="7545"/>
      <c r="AN107" s="7545"/>
      <c r="AO107" s="7762"/>
      <c r="AP107" s="7762"/>
      <c r="AQ107" s="7762"/>
      <c r="AR107" s="7762"/>
      <c r="AS107" s="7762"/>
      <c r="AT107" s="7762"/>
      <c r="AU107" s="8094"/>
      <c r="AV107" s="8094"/>
    </row>
    <row r="108" spans="37:50" x14ac:dyDescent="0.2">
      <c r="AK108" s="7545"/>
      <c r="AL108" s="7545"/>
      <c r="AM108" s="7545"/>
      <c r="AN108" s="7545"/>
      <c r="AO108" s="7762"/>
      <c r="AP108" s="7762"/>
      <c r="AQ108" s="7762"/>
      <c r="AR108" s="7762"/>
      <c r="AS108" s="7762"/>
      <c r="AT108" s="7762"/>
      <c r="AU108" s="8094"/>
      <c r="AV108" s="8094"/>
    </row>
    <row r="109" spans="37:50" x14ac:dyDescent="0.2">
      <c r="AK109" s="7545"/>
      <c r="AL109" s="7545"/>
      <c r="AM109" s="7545"/>
      <c r="AN109" s="7545"/>
      <c r="AO109" s="7762"/>
      <c r="AP109" s="7762"/>
      <c r="AQ109" s="7762"/>
      <c r="AR109" s="7762"/>
      <c r="AS109" s="7762"/>
      <c r="AT109" s="7762"/>
      <c r="AU109" s="8094"/>
      <c r="AV109" s="8094"/>
    </row>
    <row r="110" spans="37:50" x14ac:dyDescent="0.2">
      <c r="AK110" s="7545"/>
      <c r="AL110" s="7545"/>
      <c r="AM110" s="7545"/>
      <c r="AN110" s="7545"/>
      <c r="AO110" s="7762"/>
      <c r="AP110" s="7762"/>
      <c r="AQ110" s="7762"/>
      <c r="AR110" s="7762"/>
      <c r="AS110" s="7762"/>
      <c r="AT110" s="7762"/>
      <c r="AU110" s="8094"/>
      <c r="AV110" s="8094"/>
    </row>
    <row r="111" spans="37:50" x14ac:dyDescent="0.2">
      <c r="AK111" s="7545"/>
      <c r="AL111" s="7545"/>
      <c r="AM111" s="7545"/>
      <c r="AN111" s="7545"/>
      <c r="AO111" s="7762"/>
      <c r="AP111" s="7762"/>
      <c r="AQ111" s="7762"/>
      <c r="AR111" s="7762"/>
      <c r="AS111" s="7762"/>
      <c r="AT111" s="7762"/>
      <c r="AU111" s="8094"/>
      <c r="AV111" s="8094"/>
    </row>
    <row r="112" spans="37:50" x14ac:dyDescent="0.2">
      <c r="AK112" s="7545"/>
      <c r="AL112" s="7545"/>
      <c r="AM112" s="7545"/>
      <c r="AN112" s="7545"/>
      <c r="AO112" s="7762"/>
      <c r="AP112" s="7762"/>
      <c r="AQ112" s="7762"/>
      <c r="AR112" s="7762"/>
      <c r="AS112" s="7762"/>
      <c r="AT112" s="7762"/>
      <c r="AU112" s="8094"/>
      <c r="AV112" s="8094"/>
    </row>
    <row r="113" spans="37:48" x14ac:dyDescent="0.2">
      <c r="AK113" s="7545"/>
      <c r="AL113" s="7545"/>
      <c r="AM113" s="7545"/>
      <c r="AN113" s="7545"/>
      <c r="AO113" s="7762"/>
      <c r="AP113" s="7762"/>
      <c r="AQ113" s="7762"/>
      <c r="AR113" s="7762"/>
      <c r="AS113" s="7762"/>
      <c r="AT113" s="7762"/>
      <c r="AU113" s="8094"/>
      <c r="AV113" s="8094"/>
    </row>
    <row r="114" spans="37:48" x14ac:dyDescent="0.2">
      <c r="AK114" s="7545"/>
      <c r="AL114" s="7545"/>
      <c r="AM114" s="7545"/>
      <c r="AN114" s="7545"/>
      <c r="AO114" s="7762"/>
      <c r="AP114" s="7762"/>
      <c r="AQ114" s="7762"/>
      <c r="AR114" s="7762"/>
      <c r="AS114" s="7762"/>
      <c r="AT114" s="7762"/>
      <c r="AU114" s="8094"/>
      <c r="AV114" s="8094"/>
    </row>
    <row r="115" spans="37:48" x14ac:dyDescent="0.2">
      <c r="AK115" s="7545"/>
      <c r="AL115" s="7545"/>
      <c r="AM115" s="7545"/>
      <c r="AN115" s="7545"/>
      <c r="AO115" s="7762"/>
      <c r="AP115" s="7762"/>
      <c r="AQ115" s="7762"/>
      <c r="AR115" s="7762"/>
      <c r="AS115" s="7762"/>
      <c r="AT115" s="7762"/>
      <c r="AU115" s="8094"/>
      <c r="AV115" s="8094"/>
    </row>
    <row r="116" spans="37:48" x14ac:dyDescent="0.2">
      <c r="AK116" s="7545"/>
      <c r="AL116" s="7545"/>
      <c r="AM116" s="7545"/>
      <c r="AN116" s="7545"/>
      <c r="AO116" s="7762"/>
      <c r="AP116" s="7762"/>
      <c r="AQ116" s="7762"/>
      <c r="AR116" s="7762"/>
      <c r="AS116" s="7762"/>
      <c r="AT116" s="7762"/>
      <c r="AU116" s="8094"/>
      <c r="AV116" s="8094"/>
    </row>
    <row r="117" spans="37:48" x14ac:dyDescent="0.2">
      <c r="AK117" s="7545"/>
      <c r="AL117" s="7545"/>
      <c r="AM117" s="7545"/>
      <c r="AN117" s="7545"/>
      <c r="AU117" s="8094"/>
      <c r="AV117" s="8094"/>
    </row>
    <row r="118" spans="37:48" x14ac:dyDescent="0.2">
      <c r="AK118" s="7545"/>
      <c r="AL118" s="7545"/>
      <c r="AM118" s="7545"/>
      <c r="AN118" s="7545"/>
    </row>
    <row r="119" spans="37:48" x14ac:dyDescent="0.2">
      <c r="AK119" s="7545"/>
      <c r="AL119" s="7545"/>
      <c r="AM119" s="7545"/>
      <c r="AN119" s="7545"/>
    </row>
    <row r="120" spans="37:48" x14ac:dyDescent="0.2">
      <c r="AK120" s="7545"/>
      <c r="AL120" s="7545"/>
      <c r="AM120" s="7545"/>
      <c r="AN120" s="7545"/>
    </row>
    <row r="121" spans="37:48" x14ac:dyDescent="0.2">
      <c r="AK121" s="7545"/>
      <c r="AL121" s="7545"/>
      <c r="AM121" s="7545"/>
      <c r="AN121" s="7545"/>
    </row>
    <row r="122" spans="37:48" x14ac:dyDescent="0.2">
      <c r="AK122" s="7545"/>
      <c r="AL122" s="7545"/>
      <c r="AM122" s="7545"/>
      <c r="AN122" s="7545"/>
    </row>
    <row r="123" spans="37:48" x14ac:dyDescent="0.2">
      <c r="AK123" s="7545"/>
      <c r="AL123" s="7545"/>
      <c r="AM123" s="7545"/>
      <c r="AN123" s="7545"/>
    </row>
    <row r="124" spans="37:48" x14ac:dyDescent="0.2">
      <c r="AK124" s="7545"/>
      <c r="AL124" s="7545"/>
      <c r="AM124" s="7545"/>
      <c r="AN124" s="7545"/>
    </row>
    <row r="125" spans="37:48" x14ac:dyDescent="0.2">
      <c r="AK125" s="7545"/>
      <c r="AL125" s="7545"/>
      <c r="AM125" s="7545"/>
      <c r="AN125" s="7545"/>
    </row>
    <row r="126" spans="37:48" x14ac:dyDescent="0.2">
      <c r="AK126" s="7545"/>
      <c r="AL126" s="7545"/>
      <c r="AM126" s="7545"/>
      <c r="AN126" s="7545"/>
    </row>
  </sheetData>
  <mergeCells count="56">
    <mergeCell ref="BC4:BD4"/>
    <mergeCell ref="BC52:BD52"/>
    <mergeCell ref="BE4:BF4"/>
    <mergeCell ref="BI4:BJ4"/>
    <mergeCell ref="BE52:BF52"/>
    <mergeCell ref="BI52:BJ52"/>
    <mergeCell ref="BG52:BH52"/>
    <mergeCell ref="BG4:BH4"/>
    <mergeCell ref="AC4:AD4"/>
    <mergeCell ref="AC52:AD52"/>
    <mergeCell ref="AU4:AV4"/>
    <mergeCell ref="AU52:AV52"/>
    <mergeCell ref="AW4:AX4"/>
    <mergeCell ref="AW52:AX52"/>
    <mergeCell ref="AK4:AL4"/>
    <mergeCell ref="AM4:AN4"/>
    <mergeCell ref="AK52:AL52"/>
    <mergeCell ref="AM52:AN52"/>
    <mergeCell ref="AO4:AP4"/>
    <mergeCell ref="AQ4:AR4"/>
    <mergeCell ref="AS4:AT4"/>
    <mergeCell ref="AO52:AP52"/>
    <mergeCell ref="AQ52:AR52"/>
    <mergeCell ref="AS52:AT52"/>
    <mergeCell ref="O4:P4"/>
    <mergeCell ref="O52:P52"/>
    <mergeCell ref="M52:N52"/>
    <mergeCell ref="I52:J52"/>
    <mergeCell ref="K52:L52"/>
    <mergeCell ref="C4:C5"/>
    <mergeCell ref="C48:C49"/>
    <mergeCell ref="I4:J4"/>
    <mergeCell ref="K4:L4"/>
    <mergeCell ref="M4:N4"/>
    <mergeCell ref="S4:T4"/>
    <mergeCell ref="U4:V4"/>
    <mergeCell ref="S52:T52"/>
    <mergeCell ref="U52:V52"/>
    <mergeCell ref="Q4:R4"/>
    <mergeCell ref="Q52:R52"/>
    <mergeCell ref="AY4:AZ4"/>
    <mergeCell ref="BA4:BB4"/>
    <mergeCell ref="AY52:AZ52"/>
    <mergeCell ref="BA52:BB52"/>
    <mergeCell ref="W4:X4"/>
    <mergeCell ref="Y4:Z4"/>
    <mergeCell ref="W52:X52"/>
    <mergeCell ref="Y52:Z52"/>
    <mergeCell ref="AG4:AH4"/>
    <mergeCell ref="AI4:AJ4"/>
    <mergeCell ref="AG52:AH52"/>
    <mergeCell ref="AI52:AJ52"/>
    <mergeCell ref="AA4:AB4"/>
    <mergeCell ref="AE4:AF4"/>
    <mergeCell ref="AA52:AB52"/>
    <mergeCell ref="AE52:AF52"/>
  </mergeCells>
  <pageMargins left="0.45" right="0.45" top="0.5" bottom="0.5" header="0.3" footer="0.3"/>
  <pageSetup scale="7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00"/>
    <pageSetUpPr fitToPage="1"/>
  </sheetPr>
  <dimension ref="A1:BE99"/>
  <sheetViews>
    <sheetView zoomScaleNormal="100" workbookViewId="0">
      <pane xSplit="4" ySplit="4" topLeftCell="AU24" activePane="bottomRight" state="frozen"/>
      <selection pane="topRight" activeCell="E1" sqref="E1"/>
      <selection pane="bottomLeft" activeCell="A5" sqref="A5"/>
      <selection pane="bottomRight" activeCell="BI37" sqref="BI37"/>
    </sheetView>
  </sheetViews>
  <sheetFormatPr baseColWidth="10" defaultColWidth="8.83203125" defaultRowHeight="15" x14ac:dyDescent="0.2"/>
  <cols>
    <col min="2" max="2" width="42.1640625" customWidth="1"/>
    <col min="3" max="3" width="22" customWidth="1"/>
    <col min="4" max="4" width="10.5" style="4408" hidden="1" customWidth="1"/>
    <col min="5" max="5" width="9.83203125" customWidth="1"/>
    <col min="6" max="6" width="9.83203125" style="4408" hidden="1" customWidth="1"/>
    <col min="7" max="7" width="10.5" customWidth="1"/>
    <col min="8" max="8" width="9.83203125" style="2100" hidden="1" customWidth="1"/>
    <col min="9" max="9" width="9.83203125" customWidth="1"/>
    <col min="10" max="10" width="9.83203125" style="4408" hidden="1" customWidth="1"/>
    <col min="11" max="11" width="9.83203125" customWidth="1"/>
    <col min="12" max="12" width="12.83203125" style="2100" hidden="1" customWidth="1"/>
    <col min="13" max="13" width="10.5" customWidth="1"/>
    <col min="14" max="14" width="8.33203125" style="3380" hidden="1" customWidth="1"/>
    <col min="15" max="15" width="9.83203125" customWidth="1"/>
    <col min="16" max="16" width="8.33203125" hidden="1" customWidth="1"/>
    <col min="17" max="17" width="11.33203125" customWidth="1"/>
    <col min="18" max="18" width="8.33203125" customWidth="1"/>
    <col min="19" max="19" width="9.83203125" bestFit="1" customWidth="1"/>
    <col min="20" max="20" width="8.33203125" hidden="1" customWidth="1"/>
    <col min="21" max="21" width="11.33203125" bestFit="1" customWidth="1"/>
    <col min="22" max="22" width="9.1640625" hidden="1" customWidth="1"/>
    <col min="23" max="23" width="9.83203125" bestFit="1" customWidth="1"/>
    <col min="24" max="24" width="9.1640625" style="7006" customWidth="1"/>
    <col min="25" max="25" width="11.33203125" style="7006" bestFit="1" customWidth="1"/>
    <col min="26" max="26" width="9.1640625" customWidth="1"/>
    <col min="27" max="27" width="11.33203125" bestFit="1" customWidth="1"/>
    <col min="28" max="28" width="9.1640625" hidden="1" customWidth="1"/>
    <col min="29" max="29" width="9.83203125" bestFit="1" customWidth="1"/>
    <col min="30" max="30" width="9.33203125" hidden="1" customWidth="1"/>
    <col min="31" max="31" width="11.33203125" bestFit="1" customWidth="1"/>
    <col min="32" max="32" width="0" hidden="1" customWidth="1"/>
    <col min="33" max="33" width="9.83203125" bestFit="1" customWidth="1"/>
    <col min="34" max="34" width="9.1640625" hidden="1" customWidth="1"/>
    <col min="35" max="35" width="11.33203125" bestFit="1" customWidth="1"/>
    <col min="36" max="36" width="9.1640625" hidden="1" customWidth="1"/>
    <col min="37" max="37" width="9.83203125" bestFit="1" customWidth="1"/>
    <col min="38" max="38" width="9.1640625" hidden="1" customWidth="1"/>
    <col min="39" max="39" width="9.83203125" bestFit="1" customWidth="1"/>
    <col min="40" max="40" width="9.1640625" hidden="1" customWidth="1"/>
    <col min="41" max="41" width="11.33203125" bestFit="1" customWidth="1"/>
    <col min="42" max="42" width="9.1640625" hidden="1" customWidth="1"/>
    <col min="43" max="43" width="9.83203125" bestFit="1" customWidth="1"/>
    <col min="44" max="44" width="9.1640625" hidden="1" customWidth="1"/>
    <col min="45" max="45" width="11.33203125" bestFit="1" customWidth="1"/>
    <col min="46" max="46" width="9.1640625" hidden="1" customWidth="1"/>
    <col min="47" max="47" width="13" customWidth="1"/>
    <col min="48" max="48" width="9.1640625" hidden="1" customWidth="1"/>
    <col min="49" max="49" width="15.33203125" customWidth="1"/>
    <col min="50" max="50" width="9.1640625" style="8338" hidden="1" customWidth="1"/>
    <col min="51" max="51" width="13" style="8338" customWidth="1"/>
    <col min="52" max="52" width="9.1640625" style="8338" hidden="1" customWidth="1"/>
    <col min="53" max="53" width="11.33203125" style="8338" bestFit="1" customWidth="1"/>
    <col min="54" max="54" width="11.33203125" style="8338" hidden="1" customWidth="1"/>
    <col min="55" max="55" width="11.33203125" style="8338" customWidth="1"/>
    <col min="56" max="56" width="9.1640625" style="8338" hidden="1" customWidth="1"/>
    <col min="57" max="57" width="11.33203125" style="8338" bestFit="1" customWidth="1"/>
  </cols>
  <sheetData>
    <row r="1" spans="1:57" ht="23" x14ac:dyDescent="0.25">
      <c r="B1" s="1641" t="s">
        <v>829</v>
      </c>
      <c r="C1" s="1537"/>
      <c r="D1" s="4517"/>
      <c r="E1" s="1537"/>
      <c r="F1" s="4517"/>
      <c r="G1" s="1537"/>
      <c r="H1" s="2883"/>
      <c r="I1" s="1537"/>
    </row>
    <row r="2" spans="1:57" ht="16" thickBot="1" x14ac:dyDescent="0.25">
      <c r="A2" s="2265"/>
      <c r="B2" s="1537"/>
      <c r="C2" s="1966" t="s">
        <v>1078</v>
      </c>
      <c r="D2" s="3402">
        <v>30</v>
      </c>
      <c r="E2" s="1721">
        <v>30</v>
      </c>
      <c r="F2" s="3402">
        <v>31</v>
      </c>
      <c r="G2" s="1721">
        <v>31</v>
      </c>
      <c r="H2" s="2842">
        <f>+D2+F2</f>
        <v>61</v>
      </c>
      <c r="I2" s="1721">
        <f>+E2+G2</f>
        <v>61</v>
      </c>
      <c r="J2" s="3402">
        <v>30</v>
      </c>
      <c r="K2" s="1721">
        <v>30</v>
      </c>
      <c r="L2" s="2842">
        <f>+H2+J2</f>
        <v>91</v>
      </c>
      <c r="M2" s="1721">
        <f>+I2+K2</f>
        <v>91</v>
      </c>
      <c r="N2" s="6366">
        <v>31</v>
      </c>
      <c r="O2" s="1721">
        <v>31</v>
      </c>
      <c r="P2" s="1721">
        <f>+L2+N2</f>
        <v>122</v>
      </c>
      <c r="Q2" s="1721">
        <f>+M2+O2</f>
        <v>122</v>
      </c>
      <c r="R2" s="6366">
        <v>31</v>
      </c>
      <c r="S2" s="1721">
        <v>31</v>
      </c>
      <c r="T2" s="1721">
        <f>+P2+R2</f>
        <v>153</v>
      </c>
      <c r="U2" s="1721">
        <f>+Q2+S2</f>
        <v>153</v>
      </c>
      <c r="V2" s="6366">
        <v>30</v>
      </c>
      <c r="W2" s="1721">
        <v>30</v>
      </c>
      <c r="X2" s="1721">
        <f>+N2+R2+V2</f>
        <v>92</v>
      </c>
      <c r="Y2" s="1721">
        <f>+O2+S2+W2</f>
        <v>92</v>
      </c>
      <c r="Z2" s="1721">
        <f>+T2+V2</f>
        <v>183</v>
      </c>
      <c r="AA2" s="1721">
        <f>+U2+W2</f>
        <v>183</v>
      </c>
      <c r="AB2" s="6366">
        <v>31</v>
      </c>
      <c r="AC2" s="1721">
        <v>31</v>
      </c>
      <c r="AD2" s="1721">
        <f>+Z2+AB2</f>
        <v>214</v>
      </c>
      <c r="AE2" s="1721">
        <f>+AA2+AC2</f>
        <v>214</v>
      </c>
      <c r="AF2" s="6366">
        <v>30</v>
      </c>
      <c r="AG2" s="1721">
        <v>30</v>
      </c>
      <c r="AH2" s="1721">
        <f>+AD2+AF2</f>
        <v>244</v>
      </c>
      <c r="AI2" s="1721">
        <f>+AE2+AG2</f>
        <v>244</v>
      </c>
      <c r="AJ2" s="6366">
        <v>31</v>
      </c>
      <c r="AK2" s="1721">
        <v>31</v>
      </c>
      <c r="AL2" s="1721">
        <f>+AB2+AF2+AJ2</f>
        <v>92</v>
      </c>
      <c r="AM2" s="1721">
        <f>+AC2+AG2+AK2</f>
        <v>92</v>
      </c>
      <c r="AN2" s="1721">
        <f>+AH2+AJ2</f>
        <v>275</v>
      </c>
      <c r="AO2" s="1721">
        <f>+AI2+AK2</f>
        <v>275</v>
      </c>
      <c r="AP2" s="6366">
        <v>31</v>
      </c>
      <c r="AQ2" s="1721">
        <v>31</v>
      </c>
      <c r="AR2" s="1721">
        <f>+AN2+AP2</f>
        <v>306</v>
      </c>
      <c r="AS2" s="1721">
        <f>+AO2+AQ2</f>
        <v>306</v>
      </c>
      <c r="AT2" s="6366">
        <v>28</v>
      </c>
      <c r="AU2" s="1721">
        <v>28</v>
      </c>
      <c r="AV2" s="1721">
        <f>+AR2+AT2</f>
        <v>334</v>
      </c>
      <c r="AW2" s="1721">
        <f>+AS2+AU2</f>
        <v>334</v>
      </c>
      <c r="AX2" s="6366">
        <v>31</v>
      </c>
      <c r="AY2" s="1721">
        <v>31</v>
      </c>
      <c r="AZ2" s="1721">
        <f>+AP2+AT2+AX2</f>
        <v>90</v>
      </c>
      <c r="BA2" s="1721">
        <f>+AQ2+AU2+AY2</f>
        <v>90</v>
      </c>
      <c r="BB2" s="1721">
        <v>182</v>
      </c>
      <c r="BC2" s="1721">
        <v>182</v>
      </c>
      <c r="BD2" s="1721">
        <f>+AV2+AX2</f>
        <v>365</v>
      </c>
      <c r="BE2" s="1721">
        <f>+AW2+AY2</f>
        <v>365</v>
      </c>
    </row>
    <row r="3" spans="1:57" s="2265" customFormat="1" ht="16" thickBot="1" x14ac:dyDescent="0.25">
      <c r="B3" s="8707" t="s">
        <v>657</v>
      </c>
      <c r="C3" s="8709" t="s">
        <v>658</v>
      </c>
      <c r="D3" s="8644" t="s">
        <v>1859</v>
      </c>
      <c r="E3" s="8645"/>
      <c r="F3" s="8644" t="s">
        <v>1862</v>
      </c>
      <c r="G3" s="8644"/>
      <c r="H3" s="8646" t="s">
        <v>52</v>
      </c>
      <c r="I3" s="8647"/>
      <c r="J3" s="8644" t="s">
        <v>1863</v>
      </c>
      <c r="K3" s="8704"/>
      <c r="L3" s="8700" t="s">
        <v>605</v>
      </c>
      <c r="M3" s="8699"/>
      <c r="N3" s="8644" t="s">
        <v>1864</v>
      </c>
      <c r="O3" s="8644"/>
      <c r="P3" s="8646" t="s">
        <v>62</v>
      </c>
      <c r="Q3" s="8647"/>
      <c r="R3" s="8644" t="s">
        <v>2160</v>
      </c>
      <c r="S3" s="8644"/>
      <c r="T3" s="8646" t="s">
        <v>64</v>
      </c>
      <c r="U3" s="8647"/>
      <c r="V3" s="8644" t="s">
        <v>2227</v>
      </c>
      <c r="W3" s="8644"/>
      <c r="X3" s="8700" t="s">
        <v>1717</v>
      </c>
      <c r="Y3" s="8699"/>
      <c r="Z3" s="8701" t="s">
        <v>1697</v>
      </c>
      <c r="AA3" s="8702"/>
      <c r="AB3" s="8644" t="s">
        <v>2265</v>
      </c>
      <c r="AC3" s="8644"/>
      <c r="AD3" s="8646" t="s">
        <v>101</v>
      </c>
      <c r="AE3" s="8647"/>
      <c r="AF3" s="8644" t="s">
        <v>2423</v>
      </c>
      <c r="AG3" s="8644"/>
      <c r="AH3" s="8646" t="s">
        <v>105</v>
      </c>
      <c r="AI3" s="8647"/>
      <c r="AJ3" s="8644" t="s">
        <v>2449</v>
      </c>
      <c r="AK3" s="8644"/>
      <c r="AL3" s="8700" t="s">
        <v>1756</v>
      </c>
      <c r="AM3" s="8699"/>
      <c r="AN3" s="8646" t="s">
        <v>2448</v>
      </c>
      <c r="AO3" s="8647"/>
      <c r="AP3" s="8644" t="s">
        <v>2533</v>
      </c>
      <c r="AQ3" s="8644"/>
      <c r="AR3" s="8646" t="s">
        <v>110</v>
      </c>
      <c r="AS3" s="8647"/>
      <c r="AT3" s="8644" t="s">
        <v>2577</v>
      </c>
      <c r="AU3" s="8644"/>
      <c r="AV3" s="8646" t="s">
        <v>113</v>
      </c>
      <c r="AW3" s="8647"/>
      <c r="AX3" s="8644" t="s">
        <v>2600</v>
      </c>
      <c r="AY3" s="8644"/>
      <c r="AZ3" s="8700" t="s">
        <v>1717</v>
      </c>
      <c r="BA3" s="8699"/>
      <c r="BB3" s="9046" t="s">
        <v>1842</v>
      </c>
      <c r="BC3" s="9047"/>
      <c r="BD3" s="8701" t="s">
        <v>1865</v>
      </c>
      <c r="BE3" s="8702"/>
    </row>
    <row r="4" spans="1:57" s="2265" customFormat="1" ht="16" thickBot="1" x14ac:dyDescent="0.25">
      <c r="B4" s="8708"/>
      <c r="C4" s="8710"/>
      <c r="D4" s="4658" t="s">
        <v>659</v>
      </c>
      <c r="E4" s="3833" t="s">
        <v>660</v>
      </c>
      <c r="F4" s="4658" t="s">
        <v>659</v>
      </c>
      <c r="G4" s="3856" t="s">
        <v>660</v>
      </c>
      <c r="H4" s="6436" t="s">
        <v>659</v>
      </c>
      <c r="I4" s="3866" t="s">
        <v>660</v>
      </c>
      <c r="J4" s="4658" t="s">
        <v>659</v>
      </c>
      <c r="K4" s="3909" t="s">
        <v>660</v>
      </c>
      <c r="L4" s="4695" t="s">
        <v>659</v>
      </c>
      <c r="M4" s="3888" t="s">
        <v>660</v>
      </c>
      <c r="N4" s="4658" t="s">
        <v>659</v>
      </c>
      <c r="O4" s="3909" t="s">
        <v>660</v>
      </c>
      <c r="P4" s="6436" t="s">
        <v>659</v>
      </c>
      <c r="Q4" s="3866" t="s">
        <v>660</v>
      </c>
      <c r="R4" s="4658" t="s">
        <v>659</v>
      </c>
      <c r="S4" s="3909" t="s">
        <v>660</v>
      </c>
      <c r="T4" s="6436" t="s">
        <v>659</v>
      </c>
      <c r="U4" s="3866" t="s">
        <v>660</v>
      </c>
      <c r="V4" s="4658" t="s">
        <v>659</v>
      </c>
      <c r="W4" s="3909" t="s">
        <v>660</v>
      </c>
      <c r="X4" s="7016" t="s">
        <v>659</v>
      </c>
      <c r="Y4" s="3888" t="s">
        <v>660</v>
      </c>
      <c r="Z4" s="7015" t="s">
        <v>659</v>
      </c>
      <c r="AA4" s="6624" t="s">
        <v>660</v>
      </c>
      <c r="AB4" s="4658" t="s">
        <v>659</v>
      </c>
      <c r="AC4" s="3909" t="s">
        <v>660</v>
      </c>
      <c r="AD4" s="7361" t="s">
        <v>659</v>
      </c>
      <c r="AE4" s="3866" t="s">
        <v>660</v>
      </c>
      <c r="AF4" s="4658" t="s">
        <v>659</v>
      </c>
      <c r="AG4" s="3909" t="s">
        <v>660</v>
      </c>
      <c r="AH4" s="7618" t="s">
        <v>659</v>
      </c>
      <c r="AI4" s="3866" t="s">
        <v>660</v>
      </c>
      <c r="AJ4" s="4658" t="s">
        <v>659</v>
      </c>
      <c r="AK4" s="3909" t="s">
        <v>660</v>
      </c>
      <c r="AL4" s="7774" t="s">
        <v>659</v>
      </c>
      <c r="AM4" s="3888" t="s">
        <v>660</v>
      </c>
      <c r="AN4" s="7772" t="s">
        <v>659</v>
      </c>
      <c r="AO4" s="3866" t="s">
        <v>660</v>
      </c>
      <c r="AP4" s="4658" t="s">
        <v>659</v>
      </c>
      <c r="AQ4" s="3909" t="s">
        <v>660</v>
      </c>
      <c r="AR4" s="8102" t="s">
        <v>659</v>
      </c>
      <c r="AS4" s="3866" t="s">
        <v>660</v>
      </c>
      <c r="AT4" s="4658" t="s">
        <v>659</v>
      </c>
      <c r="AU4" s="3909" t="s">
        <v>660</v>
      </c>
      <c r="AV4" s="8156" t="s">
        <v>659</v>
      </c>
      <c r="AW4" s="3866" t="s">
        <v>660</v>
      </c>
      <c r="AX4" s="4658" t="s">
        <v>659</v>
      </c>
      <c r="AY4" s="3909" t="s">
        <v>660</v>
      </c>
      <c r="AZ4" s="8350" t="s">
        <v>659</v>
      </c>
      <c r="BA4" s="3888" t="s">
        <v>660</v>
      </c>
      <c r="BB4" s="8366" t="s">
        <v>659</v>
      </c>
      <c r="BC4" s="8366" t="s">
        <v>660</v>
      </c>
      <c r="BD4" s="8349" t="s">
        <v>659</v>
      </c>
      <c r="BE4" s="6624" t="s">
        <v>660</v>
      </c>
    </row>
    <row r="5" spans="1:57" s="3380" customFormat="1" ht="20" x14ac:dyDescent="0.2">
      <c r="A5" s="3453"/>
      <c r="B5" s="6211" t="s">
        <v>830</v>
      </c>
      <c r="C5" s="6212" t="s">
        <v>1079</v>
      </c>
      <c r="D5" s="6213"/>
      <c r="E5" s="6214">
        <f>+'B-FCE'!E47</f>
        <v>27.787275404745476</v>
      </c>
      <c r="F5" s="6213"/>
      <c r="G5" s="6215">
        <f>+'B-FCE'!G47</f>
        <v>29.5870278545768</v>
      </c>
      <c r="H5" s="6216"/>
      <c r="I5" s="6217">
        <f>+'B-FCE'!I47</f>
        <v>57.374303259322275</v>
      </c>
      <c r="J5" s="6213"/>
      <c r="K5" s="6214">
        <f>+'B-FCE'!K47</f>
        <v>27.727235078768203</v>
      </c>
      <c r="L5" s="6213"/>
      <c r="M5" s="6214">
        <f>+'B-FCE'!M47</f>
        <v>85.101538338090478</v>
      </c>
      <c r="N5" s="6215"/>
      <c r="O5" s="6215">
        <f>+'B-FCE'!O47</f>
        <v>30.249985951207989</v>
      </c>
      <c r="P5" s="6218"/>
      <c r="Q5" s="6215">
        <f>+M5+O5</f>
        <v>115.35152428929847</v>
      </c>
      <c r="R5" s="6215"/>
      <c r="S5" s="6215">
        <f>+'B-FCE'!S47</f>
        <v>29.842809270109033</v>
      </c>
      <c r="T5" s="6218"/>
      <c r="U5" s="6215">
        <f>+Q5+S5</f>
        <v>145.19433355940751</v>
      </c>
      <c r="V5" s="6215"/>
      <c r="W5" s="6215">
        <f>+'B-FCE'!W47</f>
        <v>18.902091193647678</v>
      </c>
      <c r="X5" s="6213"/>
      <c r="Y5" s="6214">
        <f>+'B-FCE'!Y47</f>
        <v>78.994886414964697</v>
      </c>
      <c r="Z5" s="6215"/>
      <c r="AA5" s="6215">
        <f>+U5+W5</f>
        <v>164.0964247530552</v>
      </c>
      <c r="AB5" s="6215"/>
      <c r="AC5" s="6215">
        <f>+'B-FCE'!AC47</f>
        <v>29.790469165521877</v>
      </c>
      <c r="AD5" s="6218"/>
      <c r="AE5" s="6215">
        <f>+AA5+AC5</f>
        <v>193.88689391857707</v>
      </c>
      <c r="AF5" s="6215"/>
      <c r="AG5" s="6215">
        <f>+'B-FCE'!AG47</f>
        <v>26.3271976310557</v>
      </c>
      <c r="AH5" s="6218"/>
      <c r="AI5" s="6215">
        <f>+AE5+AG5</f>
        <v>220.21409154963277</v>
      </c>
      <c r="AJ5" s="6215"/>
      <c r="AK5" s="6215">
        <f>+'B-FCE'!AK47</f>
        <v>29.039654541821545</v>
      </c>
      <c r="AL5" s="6213"/>
      <c r="AM5" s="6214">
        <f>+'B-FCE'!AM47</f>
        <v>85.157321338399129</v>
      </c>
      <c r="AN5" s="6218"/>
      <c r="AO5" s="6215">
        <f>+AI5+AK5</f>
        <v>249.2537460914543</v>
      </c>
      <c r="AP5" s="6215"/>
      <c r="AQ5" s="6215">
        <f>+'B-FCE'!AQ47</f>
        <v>30.270221919989428</v>
      </c>
      <c r="AR5" s="6218"/>
      <c r="AS5" s="6215">
        <f>+AO5+AQ5</f>
        <v>279.52396801144374</v>
      </c>
      <c r="AT5" s="6215"/>
      <c r="AU5" s="6215">
        <f>+'B-FCE'!AU47</f>
        <v>27.538763104266753</v>
      </c>
      <c r="AV5" s="6218"/>
      <c r="AW5" s="6215">
        <f>+AS5+AU5</f>
        <v>307.06273111571051</v>
      </c>
      <c r="AX5" s="6215"/>
      <c r="AY5" s="6215">
        <f>+'B-FCE'!AY47</f>
        <v>30.668280359725305</v>
      </c>
      <c r="AZ5" s="6213"/>
      <c r="BA5" s="6214">
        <f>+'B-FCE'!BA47</f>
        <v>88.477265383981489</v>
      </c>
      <c r="BB5" s="6215"/>
      <c r="BC5" s="6215">
        <f>+'B-FCE'!BC47</f>
        <v>173.63458672238062</v>
      </c>
      <c r="BD5" s="6215"/>
      <c r="BE5" s="6215">
        <f>+AW5+AY5</f>
        <v>337.73101147543582</v>
      </c>
    </row>
    <row r="6" spans="1:57" x14ac:dyDescent="0.2">
      <c r="A6" s="3453"/>
      <c r="B6" s="1620" t="s">
        <v>837</v>
      </c>
      <c r="C6" s="1545" t="s">
        <v>836</v>
      </c>
      <c r="D6" s="3218"/>
      <c r="E6" s="2690">
        <v>4259.41</v>
      </c>
      <c r="F6" s="3218"/>
      <c r="G6" s="1665">
        <v>4258.04</v>
      </c>
      <c r="H6" s="6210"/>
      <c r="I6" s="1713">
        <f>+((E6*E$2*E10)+(G$2*G6*G10))/(I$2*I10)</f>
        <v>4258.7176404055554</v>
      </c>
      <c r="J6" s="3229"/>
      <c r="K6" s="1669">
        <v>4265</v>
      </c>
      <c r="L6" s="4141"/>
      <c r="M6" s="1998">
        <f>+((I6*I$2*I10)+(K$2*K6*K10))/(M$2*M10)</f>
        <v>4260.9420814222194</v>
      </c>
      <c r="N6" s="3218"/>
      <c r="O6" s="1669">
        <v>4268.12</v>
      </c>
      <c r="P6" s="3912"/>
      <c r="Q6" s="1713">
        <f>+((M6*M$2*M10)+(O$2*O6*O10))/(Q$2*Q10)</f>
        <v>4262.941622889989</v>
      </c>
      <c r="R6" s="3218"/>
      <c r="S6" s="1669">
        <v>4269.0200000000004</v>
      </c>
      <c r="T6" s="3912"/>
      <c r="U6" s="1713">
        <f>+((Q6*Q$2*Q10)+(S$2*S6*S10))/(U$2*U10)</f>
        <v>4264.33540387841</v>
      </c>
      <c r="V6" s="3218"/>
      <c r="W6" s="1669">
        <v>4262.78</v>
      </c>
      <c r="X6" s="4141"/>
      <c r="Y6" s="1998">
        <f>+((O6*O$2*O10)+(S6*S$2*S10)+(W$2*W6*W10))/(Y$2*Y10)</f>
        <v>4266.8180171407139</v>
      </c>
      <c r="Z6" s="6510"/>
      <c r="AA6" s="6510">
        <f>+((U6*U$2*U10)+(W$2*W6*W10))/(AA$2*AA10)</f>
        <v>4264.0823947375584</v>
      </c>
      <c r="AB6" s="3218"/>
      <c r="AC6" s="1669">
        <v>4259.78</v>
      </c>
      <c r="AD6" s="3912"/>
      <c r="AE6" s="1713">
        <f>+((AA6*AA$2*AA10)+(AC$2*AC6*AC10))/(AE$2*AE10)</f>
        <v>4263.4357021909809</v>
      </c>
      <c r="AF6" s="3218"/>
      <c r="AG6" s="1669">
        <v>4262.78</v>
      </c>
      <c r="AH6" s="3912"/>
      <c r="AI6" s="1713">
        <f>+((AE6*AE$2*AE10)+(AG$2*AG6*AG10))/(AI$2*AI10)</f>
        <v>4263.3528536917502</v>
      </c>
      <c r="AJ6" s="3218"/>
      <c r="AK6" s="1669">
        <v>4261.3500000000004</v>
      </c>
      <c r="AL6" s="4141"/>
      <c r="AM6" s="1998">
        <f>+((AC6*AC$2*AC10)+(AG6*AG$2*AG10)+(AK$2*AK6*AK10))/(AM$2*AM10)</f>
        <v>4261.2860265582076</v>
      </c>
      <c r="AN6" s="3912"/>
      <c r="AO6" s="1713">
        <f>+((AI6*AI$2*AI10)+(AK$2*AK6*AK10))/(AO$2*AO10)</f>
        <v>4263.1057442076017</v>
      </c>
      <c r="AP6" s="3218"/>
      <c r="AQ6" s="1669">
        <v>4260.71</v>
      </c>
      <c r="AR6" s="3912"/>
      <c r="AS6" s="1713">
        <f>+((AO6*AO$2*AO10)+(AQ$2*AQ6*AQ10))/(AS$2*AS10)</f>
        <v>4262.839029642224</v>
      </c>
      <c r="AT6" s="3218"/>
      <c r="AU6" s="1669">
        <v>4263.7</v>
      </c>
      <c r="AV6" s="3912"/>
      <c r="AW6" s="1713">
        <f>+((AS6*AS$2*AS10)+(AU$2*AU6*AU10))/(AW$2*AW10)</f>
        <v>4262.9166631495227</v>
      </c>
      <c r="AX6" s="3218"/>
      <c r="AY6" s="1669">
        <v>4267.3999999999996</v>
      </c>
      <c r="AZ6" s="4141"/>
      <c r="BA6" s="1998">
        <f>+((AQ6*AQ$2*AQ10)+(AU6*AU$2*AU10)+(AY$2*AY6*AY10))/(BA$2*BA10)</f>
        <v>4263.9241910355231</v>
      </c>
      <c r="BB6" s="1998"/>
      <c r="BC6" s="1998">
        <f>+((AM6*AM$2*AM10)+(BA$2*BA6*BA10))/(BC$2*BC10)</f>
        <v>4262.6247887075961</v>
      </c>
      <c r="BD6" s="6510"/>
      <c r="BE6" s="6510">
        <f>+((AW6*AW$2*AW10)+(AY$2*AY6*AY10))/(BE$2*BE10)</f>
        <v>4263.3223193233698</v>
      </c>
    </row>
    <row r="7" spans="1:57" x14ac:dyDescent="0.2">
      <c r="A7" s="3453"/>
      <c r="B7" s="1620" t="s">
        <v>838</v>
      </c>
      <c r="C7" s="1545" t="s">
        <v>833</v>
      </c>
      <c r="D7" s="4811"/>
      <c r="E7" s="2690">
        <v>12607.04</v>
      </c>
      <c r="F7" s="4811"/>
      <c r="G7" s="1665">
        <v>14247.21</v>
      </c>
      <c r="H7" s="4809"/>
      <c r="I7" s="1713">
        <f t="shared" ref="I7:I8" si="0">+E7+G7</f>
        <v>26854.25</v>
      </c>
      <c r="J7" s="4811"/>
      <c r="K7" s="1669">
        <v>14966.9</v>
      </c>
      <c r="L7" s="4694"/>
      <c r="M7" s="1998">
        <f t="shared" ref="M7:M8" si="1">+I7+K7</f>
        <v>41821.15</v>
      </c>
      <c r="N7" s="4811"/>
      <c r="O7" s="1669">
        <v>16275.93</v>
      </c>
      <c r="P7" s="4753"/>
      <c r="Q7" s="1713">
        <f t="shared" ref="Q7:Q8" si="2">+M7+O7</f>
        <v>58097.08</v>
      </c>
      <c r="R7" s="4811"/>
      <c r="S7" s="1669">
        <v>16630.490000000002</v>
      </c>
      <c r="T7" s="4809"/>
      <c r="U7" s="1713">
        <f t="shared" ref="U7:U8" si="3">+Q7+S7</f>
        <v>74727.570000000007</v>
      </c>
      <c r="V7" s="4811"/>
      <c r="W7" s="1669">
        <v>15788.03</v>
      </c>
      <c r="X7" s="4792"/>
      <c r="Y7" s="1998">
        <f>+W7+S7+O7</f>
        <v>48694.450000000004</v>
      </c>
      <c r="Z7" s="6510"/>
      <c r="AA7" s="6510">
        <f t="shared" ref="AA7:AA8" si="4">+U7+W7</f>
        <v>90515.6</v>
      </c>
      <c r="AB7" s="4811"/>
      <c r="AC7" s="1669">
        <v>16575.830000000002</v>
      </c>
      <c r="AD7" s="4809"/>
      <c r="AE7" s="1713">
        <f t="shared" ref="AE7:AE8" si="5">+AA7+AC7</f>
        <v>107091.43000000001</v>
      </c>
      <c r="AF7" s="4811"/>
      <c r="AG7" s="1669">
        <v>16209.16</v>
      </c>
      <c r="AH7" s="4809"/>
      <c r="AI7" s="1713">
        <f t="shared" ref="AI7:AI8" si="6">+AE7+AG7</f>
        <v>123300.59000000001</v>
      </c>
      <c r="AJ7" s="4811"/>
      <c r="AK7" s="1669">
        <v>16658.03</v>
      </c>
      <c r="AL7" s="4792"/>
      <c r="AM7" s="1998">
        <f>+AK7+AG7+AC7</f>
        <v>49443.020000000004</v>
      </c>
      <c r="AN7" s="4809"/>
      <c r="AO7" s="1713">
        <f t="shared" ref="AO7:AO8" si="7">+AI7+AK7</f>
        <v>139958.62</v>
      </c>
      <c r="AP7" s="4811"/>
      <c r="AQ7" s="1669">
        <v>16685.150000000001</v>
      </c>
      <c r="AR7" s="4809"/>
      <c r="AS7" s="1713">
        <f t="shared" ref="AS7:AS8" si="8">+AO7+AQ7</f>
        <v>156643.76999999999</v>
      </c>
      <c r="AT7" s="4811"/>
      <c r="AU7" s="1669">
        <v>15014.7</v>
      </c>
      <c r="AV7" s="4809"/>
      <c r="AW7" s="1713">
        <f t="shared" ref="AW7:AW8" si="9">+AS7+AU7</f>
        <v>171658.47</v>
      </c>
      <c r="AX7" s="4811"/>
      <c r="AY7" s="1669">
        <v>16610.099999999999</v>
      </c>
      <c r="AZ7" s="4792"/>
      <c r="BA7" s="1998">
        <f>+AY7+AU7+AQ7</f>
        <v>48309.95</v>
      </c>
      <c r="BB7" s="1998"/>
      <c r="BC7" s="1998">
        <f>+BA7+AM7</f>
        <v>97752.97</v>
      </c>
      <c r="BD7" s="6510"/>
      <c r="BE7" s="6510">
        <f t="shared" ref="BE7:BE8" si="10">+AW7+AY7</f>
        <v>188268.57</v>
      </c>
    </row>
    <row r="8" spans="1:57" ht="16" thickBot="1" x14ac:dyDescent="0.25">
      <c r="A8" s="3453"/>
      <c r="B8" s="1621" t="s">
        <v>839</v>
      </c>
      <c r="C8" s="1548" t="s">
        <v>833</v>
      </c>
      <c r="D8" s="4811"/>
      <c r="E8" s="2691">
        <v>26273.8</v>
      </c>
      <c r="F8" s="4811"/>
      <c r="G8" s="1666">
        <v>25478.17</v>
      </c>
      <c r="H8" s="4809"/>
      <c r="I8" s="1713">
        <f t="shared" si="0"/>
        <v>51751.97</v>
      </c>
      <c r="J8" s="4811"/>
      <c r="K8" s="1669">
        <v>28122.9</v>
      </c>
      <c r="L8" s="4694"/>
      <c r="M8" s="1998">
        <f t="shared" si="1"/>
        <v>79874.87</v>
      </c>
      <c r="N8" s="4811"/>
      <c r="O8" s="1670">
        <v>30714.9</v>
      </c>
      <c r="P8" s="4753"/>
      <c r="Q8" s="1713">
        <f t="shared" si="2"/>
        <v>110589.76999999999</v>
      </c>
      <c r="R8" s="4811"/>
      <c r="S8" s="1670">
        <v>33557.94</v>
      </c>
      <c r="T8" s="4809"/>
      <c r="U8" s="1713">
        <f t="shared" si="3"/>
        <v>144147.71</v>
      </c>
      <c r="V8" s="4811"/>
      <c r="W8" s="1670">
        <v>26731.68</v>
      </c>
      <c r="X8" s="4792"/>
      <c r="Y8" s="1998">
        <f>+W8+S8+O8</f>
        <v>91004.52</v>
      </c>
      <c r="Z8" s="6510"/>
      <c r="AA8" s="6510">
        <f t="shared" si="4"/>
        <v>170879.38999999998</v>
      </c>
      <c r="AB8" s="4811"/>
      <c r="AC8" s="1670">
        <v>29664.86</v>
      </c>
      <c r="AD8" s="4809"/>
      <c r="AE8" s="1713">
        <f t="shared" si="5"/>
        <v>200544.25</v>
      </c>
      <c r="AF8" s="4811"/>
      <c r="AG8" s="1670">
        <v>28282.400000000001</v>
      </c>
      <c r="AH8" s="4809"/>
      <c r="AI8" s="1713">
        <f t="shared" si="6"/>
        <v>228826.65</v>
      </c>
      <c r="AJ8" s="4811"/>
      <c r="AK8" s="1670">
        <v>32901.57</v>
      </c>
      <c r="AL8" s="4792"/>
      <c r="AM8" s="1998">
        <f>+AK8+AG8+AC8</f>
        <v>90848.83</v>
      </c>
      <c r="AN8" s="4809"/>
      <c r="AO8" s="1713">
        <f t="shared" si="7"/>
        <v>261728.22</v>
      </c>
      <c r="AP8" s="4811"/>
      <c r="AQ8" s="1670">
        <v>33636.239999999998</v>
      </c>
      <c r="AR8" s="4809"/>
      <c r="AS8" s="1713">
        <f t="shared" si="8"/>
        <v>295364.46000000002</v>
      </c>
      <c r="AT8" s="4811"/>
      <c r="AU8" s="1670">
        <v>29782.1</v>
      </c>
      <c r="AV8" s="4809"/>
      <c r="AW8" s="1713">
        <f t="shared" si="9"/>
        <v>325146.56</v>
      </c>
      <c r="AX8" s="4811"/>
      <c r="AY8" s="1670">
        <v>32813.1</v>
      </c>
      <c r="AZ8" s="4792"/>
      <c r="BA8" s="1998">
        <f>+AY8+AU8+AQ8</f>
        <v>96231.44</v>
      </c>
      <c r="BB8" s="1998"/>
      <c r="BC8" s="1998">
        <f>+BA8+AM8</f>
        <v>187080.27000000002</v>
      </c>
      <c r="BD8" s="6510"/>
      <c r="BE8" s="6510">
        <f t="shared" si="10"/>
        <v>357959.66</v>
      </c>
    </row>
    <row r="9" spans="1:57" s="3380" customFormat="1" ht="19" thickBot="1" x14ac:dyDescent="0.25">
      <c r="A9" s="3453"/>
      <c r="B9" s="7487" t="s">
        <v>840</v>
      </c>
      <c r="C9" s="7488" t="s">
        <v>833</v>
      </c>
      <c r="D9" s="4020">
        <f t="shared" ref="D9" si="11">SUM(D7:D8)</f>
        <v>0</v>
      </c>
      <c r="E9" s="7489">
        <f t="shared" ref="E9:R9" si="12">SUM(E7:E8)</f>
        <v>38880.839999999997</v>
      </c>
      <c r="F9" s="4750">
        <f t="shared" si="12"/>
        <v>0</v>
      </c>
      <c r="G9" s="7384">
        <f t="shared" si="12"/>
        <v>39725.379999999997</v>
      </c>
      <c r="H9" s="4020">
        <f t="shared" si="12"/>
        <v>0</v>
      </c>
      <c r="I9" s="7490">
        <f t="shared" si="12"/>
        <v>78606.22</v>
      </c>
      <c r="J9" s="4750">
        <f t="shared" si="12"/>
        <v>0</v>
      </c>
      <c r="K9" s="7490">
        <f t="shared" si="12"/>
        <v>43089.8</v>
      </c>
      <c r="L9" s="4750">
        <f t="shared" si="12"/>
        <v>0</v>
      </c>
      <c r="M9" s="7490">
        <f t="shared" si="12"/>
        <v>121696.01999999999</v>
      </c>
      <c r="N9" s="4750">
        <f t="shared" ref="N9" si="13">SUM(N7:N8)</f>
        <v>0</v>
      </c>
      <c r="O9" s="7490">
        <f t="shared" si="12"/>
        <v>46990.83</v>
      </c>
      <c r="P9" s="4750">
        <f t="shared" si="12"/>
        <v>0</v>
      </c>
      <c r="Q9" s="7490">
        <f t="shared" si="12"/>
        <v>168686.84999999998</v>
      </c>
      <c r="R9" s="4750">
        <f t="shared" si="12"/>
        <v>0</v>
      </c>
      <c r="S9" s="7490">
        <f t="shared" ref="S9:V9" si="14">SUM(S7:S8)</f>
        <v>50188.430000000008</v>
      </c>
      <c r="T9" s="4750">
        <f t="shared" si="14"/>
        <v>0</v>
      </c>
      <c r="U9" s="7490">
        <f t="shared" si="14"/>
        <v>218875.28</v>
      </c>
      <c r="V9" s="4750">
        <f t="shared" si="14"/>
        <v>0</v>
      </c>
      <c r="W9" s="7490">
        <f t="shared" ref="W9:AJ9" si="15">SUM(W7:W8)</f>
        <v>42519.71</v>
      </c>
      <c r="X9" s="4750">
        <f t="shared" si="15"/>
        <v>0</v>
      </c>
      <c r="Y9" s="7490">
        <f t="shared" si="15"/>
        <v>139698.97</v>
      </c>
      <c r="Z9" s="7490">
        <f t="shared" si="15"/>
        <v>0</v>
      </c>
      <c r="AA9" s="7490">
        <f t="shared" si="15"/>
        <v>261394.99</v>
      </c>
      <c r="AB9" s="4750">
        <f t="shared" si="15"/>
        <v>0</v>
      </c>
      <c r="AC9" s="7490">
        <f t="shared" si="15"/>
        <v>46240.69</v>
      </c>
      <c r="AD9" s="4750">
        <f t="shared" si="15"/>
        <v>0</v>
      </c>
      <c r="AE9" s="7490">
        <f t="shared" si="15"/>
        <v>307635.68</v>
      </c>
      <c r="AF9" s="4750">
        <f t="shared" si="15"/>
        <v>0</v>
      </c>
      <c r="AG9" s="7490">
        <f t="shared" si="15"/>
        <v>44491.56</v>
      </c>
      <c r="AH9" s="4750">
        <f t="shared" si="15"/>
        <v>0</v>
      </c>
      <c r="AI9" s="7490">
        <f t="shared" si="15"/>
        <v>352127.24</v>
      </c>
      <c r="AJ9" s="4750">
        <f t="shared" si="15"/>
        <v>0</v>
      </c>
      <c r="AK9" s="7490">
        <f t="shared" ref="AK9:AP9" si="16">SUM(AK7:AK8)</f>
        <v>49559.6</v>
      </c>
      <c r="AL9" s="4750">
        <f t="shared" si="16"/>
        <v>0</v>
      </c>
      <c r="AM9" s="7490">
        <f t="shared" si="16"/>
        <v>140291.85</v>
      </c>
      <c r="AN9" s="4750">
        <f t="shared" si="16"/>
        <v>0</v>
      </c>
      <c r="AO9" s="7490">
        <f t="shared" si="16"/>
        <v>401686.83999999997</v>
      </c>
      <c r="AP9" s="4750">
        <f t="shared" si="16"/>
        <v>0</v>
      </c>
      <c r="AQ9" s="7490">
        <f t="shared" ref="AQ9:AT9" si="17">SUM(AQ7:AQ8)</f>
        <v>50321.39</v>
      </c>
      <c r="AR9" s="4750">
        <f t="shared" si="17"/>
        <v>0</v>
      </c>
      <c r="AS9" s="7490">
        <f t="shared" si="17"/>
        <v>452008.23</v>
      </c>
      <c r="AT9" s="4750">
        <f t="shared" si="17"/>
        <v>0</v>
      </c>
      <c r="AU9" s="7490">
        <f t="shared" ref="AU9:AX9" si="18">SUM(AU7:AU8)</f>
        <v>44796.800000000003</v>
      </c>
      <c r="AV9" s="4750">
        <f t="shared" si="18"/>
        <v>0</v>
      </c>
      <c r="AW9" s="7490">
        <f t="shared" si="18"/>
        <v>496805.03</v>
      </c>
      <c r="AX9" s="4750">
        <f t="shared" si="18"/>
        <v>0</v>
      </c>
      <c r="AY9" s="7490">
        <f t="shared" ref="AY9:BE9" si="19">SUM(AY7:AY8)</f>
        <v>49423.199999999997</v>
      </c>
      <c r="AZ9" s="4750">
        <f t="shared" si="19"/>
        <v>0</v>
      </c>
      <c r="BA9" s="7490">
        <f t="shared" si="19"/>
        <v>144541.39000000001</v>
      </c>
      <c r="BB9" s="7490">
        <f t="shared" ref="BB9:BC9" si="20">SUM(BB7:BB8)</f>
        <v>0</v>
      </c>
      <c r="BC9" s="7490">
        <f t="shared" si="20"/>
        <v>284833.24</v>
      </c>
      <c r="BD9" s="7490">
        <f t="shared" si="19"/>
        <v>0</v>
      </c>
      <c r="BE9" s="7490">
        <f t="shared" si="19"/>
        <v>546228.23</v>
      </c>
    </row>
    <row r="10" spans="1:57" s="3380" customFormat="1" ht="17" thickBot="1" x14ac:dyDescent="0.25">
      <c r="A10" s="3453"/>
      <c r="B10" s="7491" t="s">
        <v>841</v>
      </c>
      <c r="C10" s="5858" t="s">
        <v>835</v>
      </c>
      <c r="D10" s="6355">
        <f t="shared" ref="D10" si="21">+D9/(D2*24)</f>
        <v>0</v>
      </c>
      <c r="E10" s="7492">
        <f t="shared" ref="E10:R10" si="22">+E9/(E2*24)</f>
        <v>54.001166666666663</v>
      </c>
      <c r="F10" s="6361">
        <f t="shared" si="22"/>
        <v>0</v>
      </c>
      <c r="G10" s="7493">
        <f t="shared" si="22"/>
        <v>53.394327956989244</v>
      </c>
      <c r="H10" s="3219">
        <f t="shared" si="22"/>
        <v>0</v>
      </c>
      <c r="I10" s="7494">
        <f t="shared" si="22"/>
        <v>53.692773224043719</v>
      </c>
      <c r="J10" s="6361">
        <f t="shared" si="22"/>
        <v>0</v>
      </c>
      <c r="K10" s="7493">
        <f t="shared" si="22"/>
        <v>59.846944444444446</v>
      </c>
      <c r="L10" s="3219">
        <f t="shared" si="22"/>
        <v>0</v>
      </c>
      <c r="M10" s="7494">
        <f t="shared" si="22"/>
        <v>55.721620879120877</v>
      </c>
      <c r="N10" s="6361">
        <f t="shared" ref="N10" si="23">+N9/(N2*24)</f>
        <v>0</v>
      </c>
      <c r="O10" s="7493">
        <f t="shared" si="22"/>
        <v>63.159717741935488</v>
      </c>
      <c r="P10" s="3219">
        <f t="shared" si="22"/>
        <v>0</v>
      </c>
      <c r="Q10" s="7494">
        <f t="shared" si="22"/>
        <v>57.611629098360645</v>
      </c>
      <c r="R10" s="6361">
        <f t="shared" si="22"/>
        <v>0</v>
      </c>
      <c r="S10" s="7493">
        <f t="shared" ref="S10:V10" si="24">+S9/(S2*24)</f>
        <v>67.457567204301085</v>
      </c>
      <c r="T10" s="3219">
        <f t="shared" si="24"/>
        <v>0</v>
      </c>
      <c r="U10" s="7494">
        <f t="shared" si="24"/>
        <v>59.606557734204792</v>
      </c>
      <c r="V10" s="6361">
        <f t="shared" si="24"/>
        <v>0</v>
      </c>
      <c r="W10" s="7493">
        <f t="shared" ref="W10:AJ10" si="25">+W9/(W2*24)</f>
        <v>59.055152777777778</v>
      </c>
      <c r="X10" s="3219">
        <f t="shared" si="25"/>
        <v>0</v>
      </c>
      <c r="Y10" s="7494">
        <f t="shared" si="25"/>
        <v>63.269461050724637</v>
      </c>
      <c r="Z10" s="7494">
        <f t="shared" si="25"/>
        <v>0</v>
      </c>
      <c r="AA10" s="7494">
        <f t="shared" si="25"/>
        <v>59.516163479052821</v>
      </c>
      <c r="AB10" s="6361">
        <f t="shared" si="25"/>
        <v>0</v>
      </c>
      <c r="AC10" s="7493">
        <f t="shared" si="25"/>
        <v>62.151465053763445</v>
      </c>
      <c r="AD10" s="3219">
        <f t="shared" si="25"/>
        <v>0</v>
      </c>
      <c r="AE10" s="7494">
        <f t="shared" si="25"/>
        <v>59.89791277258567</v>
      </c>
      <c r="AF10" s="6361">
        <f t="shared" si="25"/>
        <v>0</v>
      </c>
      <c r="AG10" s="7493">
        <f t="shared" si="25"/>
        <v>61.793833333333332</v>
      </c>
      <c r="AH10" s="3219">
        <f t="shared" si="25"/>
        <v>0</v>
      </c>
      <c r="AI10" s="7494">
        <f t="shared" si="25"/>
        <v>60.131017759562837</v>
      </c>
      <c r="AJ10" s="6361">
        <f t="shared" si="25"/>
        <v>0</v>
      </c>
      <c r="AK10" s="7493">
        <f t="shared" ref="AK10:AP10" si="26">+AK9/(AK2*24)</f>
        <v>66.612365591397847</v>
      </c>
      <c r="AL10" s="3219">
        <f t="shared" si="26"/>
        <v>0</v>
      </c>
      <c r="AM10" s="7494">
        <f t="shared" si="26"/>
        <v>63.537975543478261</v>
      </c>
      <c r="AN10" s="3219">
        <f t="shared" si="26"/>
        <v>0</v>
      </c>
      <c r="AO10" s="7494">
        <f t="shared" si="26"/>
        <v>60.861642424242419</v>
      </c>
      <c r="AP10" s="6361">
        <f t="shared" si="26"/>
        <v>0</v>
      </c>
      <c r="AQ10" s="7493">
        <f t="shared" ref="AQ10:AT10" si="27">+AQ9/(AQ2*24)</f>
        <v>67.636276881720434</v>
      </c>
      <c r="AR10" s="3219">
        <f t="shared" si="27"/>
        <v>0</v>
      </c>
      <c r="AS10" s="7494">
        <f t="shared" si="27"/>
        <v>61.547961601307186</v>
      </c>
      <c r="AT10" s="6361">
        <f t="shared" si="27"/>
        <v>0</v>
      </c>
      <c r="AU10" s="7493">
        <f t="shared" ref="AU10:AX10" si="28">+AU9/(AU2*24)</f>
        <v>66.661904761904765</v>
      </c>
      <c r="AV10" s="3219">
        <f t="shared" si="28"/>
        <v>0</v>
      </c>
      <c r="AW10" s="7494">
        <f t="shared" si="28"/>
        <v>61.976675399201604</v>
      </c>
      <c r="AX10" s="6361">
        <f t="shared" si="28"/>
        <v>0</v>
      </c>
      <c r="AY10" s="7493">
        <f t="shared" ref="AY10:BE10" si="29">+AY9/(AY2*24)</f>
        <v>66.42903225806451</v>
      </c>
      <c r="AZ10" s="3219">
        <f t="shared" si="29"/>
        <v>0</v>
      </c>
      <c r="BA10" s="7494">
        <f t="shared" si="29"/>
        <v>66.917310185185187</v>
      </c>
      <c r="BB10" s="7494">
        <f t="shared" ref="BB10:BC10" si="30">+BB9/(BB2*24)</f>
        <v>0</v>
      </c>
      <c r="BC10" s="7494">
        <f t="shared" si="30"/>
        <v>65.209075091575087</v>
      </c>
      <c r="BD10" s="7494">
        <f t="shared" si="29"/>
        <v>0</v>
      </c>
      <c r="BE10" s="7494">
        <f t="shared" si="29"/>
        <v>62.354820776255707</v>
      </c>
    </row>
    <row r="11" spans="1:57" x14ac:dyDescent="0.2">
      <c r="A11" s="2265"/>
      <c r="B11" s="1530" t="s">
        <v>188</v>
      </c>
      <c r="C11" s="1545" t="s">
        <v>833</v>
      </c>
      <c r="D11" s="9031">
        <f>(1.5+0.5)*D2*24</f>
        <v>1440</v>
      </c>
      <c r="E11" s="3400">
        <v>458.9</v>
      </c>
      <c r="F11" s="9031">
        <f>(1.5+0.5)*F2*24</f>
        <v>1488</v>
      </c>
      <c r="G11" s="1672">
        <v>350.29</v>
      </c>
      <c r="H11" s="9033">
        <f>+D11+F11</f>
        <v>2928</v>
      </c>
      <c r="I11" s="1713">
        <f>+E11+G11</f>
        <v>809.19</v>
      </c>
      <c r="J11" s="9042">
        <f>(1.5+0.5)*J2*24</f>
        <v>1440</v>
      </c>
      <c r="K11" s="1672">
        <v>339.8</v>
      </c>
      <c r="L11" s="9040">
        <f>+H11+J11</f>
        <v>4368</v>
      </c>
      <c r="M11" s="1998">
        <f>+I11+K11</f>
        <v>1148.99</v>
      </c>
      <c r="N11" s="9031">
        <f>(1.5+0.5)*N2*24</f>
        <v>1488</v>
      </c>
      <c r="O11" s="1672">
        <v>431.21</v>
      </c>
      <c r="P11" s="9033">
        <f>+L11+N11</f>
        <v>5856</v>
      </c>
      <c r="Q11" s="1713">
        <f>+M11+O11</f>
        <v>1580.2</v>
      </c>
      <c r="R11" s="9031">
        <f>(1.5+0.5)*R2*24</f>
        <v>1488</v>
      </c>
      <c r="S11" s="1672">
        <v>519.67999999999995</v>
      </c>
      <c r="T11" s="9033">
        <f>+P11+R11</f>
        <v>7344</v>
      </c>
      <c r="U11" s="1713">
        <f>+Q11+S11</f>
        <v>2099.88</v>
      </c>
      <c r="V11" s="9031">
        <f>(1.5+0.5)*V2*24</f>
        <v>1440</v>
      </c>
      <c r="W11" s="1672">
        <v>344.44</v>
      </c>
      <c r="X11" s="9040">
        <f>+T11+V11</f>
        <v>8784</v>
      </c>
      <c r="Y11" s="1998">
        <f t="shared" ref="Y11:Y12" si="31">+W11+S11+O11</f>
        <v>1295.33</v>
      </c>
      <c r="Z11" s="6510">
        <f>+T11+V11</f>
        <v>8784</v>
      </c>
      <c r="AA11" s="6510">
        <f>+U11+W11</f>
        <v>2444.3200000000002</v>
      </c>
      <c r="AB11" s="9031">
        <f>(1.5+0.5)*AB2*24</f>
        <v>1488</v>
      </c>
      <c r="AC11" s="1672">
        <v>402.2</v>
      </c>
      <c r="AD11" s="9033">
        <f>+Z11+AB11</f>
        <v>10272</v>
      </c>
      <c r="AE11" s="1713">
        <f>+AA11+AC11</f>
        <v>2846.52</v>
      </c>
      <c r="AF11" s="9031">
        <f>(1.5+0.5)*AF2*24</f>
        <v>1440</v>
      </c>
      <c r="AG11" s="1672">
        <v>367.31</v>
      </c>
      <c r="AH11" s="9033">
        <f>+AD11+AF11</f>
        <v>11712</v>
      </c>
      <c r="AI11" s="1713">
        <f>+AE11+AG11</f>
        <v>3213.83</v>
      </c>
      <c r="AJ11" s="9031">
        <f>(1.5+0.5)*AJ2*24</f>
        <v>1488</v>
      </c>
      <c r="AK11" s="1672">
        <v>376.53</v>
      </c>
      <c r="AL11" s="9040">
        <f>+AH11+AJ11</f>
        <v>13200</v>
      </c>
      <c r="AM11" s="1998">
        <f t="shared" ref="AM11:AM12" si="32">+AK11+AG11+AC11</f>
        <v>1146.04</v>
      </c>
      <c r="AN11" s="9033">
        <f>+AH11+AJ11</f>
        <v>13200</v>
      </c>
      <c r="AO11" s="1713">
        <f>+AI11+AK11</f>
        <v>3590.3599999999997</v>
      </c>
      <c r="AP11" s="9031">
        <f>(1.5+0.5)*AP2*24</f>
        <v>1488</v>
      </c>
      <c r="AQ11" s="1672">
        <v>363.05</v>
      </c>
      <c r="AR11" s="9033">
        <f>+AN11+AP11</f>
        <v>14688</v>
      </c>
      <c r="AS11" s="1713">
        <f>+AO11+AQ11</f>
        <v>3953.41</v>
      </c>
      <c r="AT11" s="9031">
        <f>(1.5+0.5)*AT2*24</f>
        <v>1344</v>
      </c>
      <c r="AU11" s="1672">
        <f>49.5+202.5</f>
        <v>252</v>
      </c>
      <c r="AV11" s="9033">
        <f>+AR11+AT11</f>
        <v>16032</v>
      </c>
      <c r="AW11" s="1713">
        <f>+AS11+AU11</f>
        <v>4205.41</v>
      </c>
      <c r="AX11" s="9031">
        <f>(1.5+0.5)*AX2*24</f>
        <v>1488</v>
      </c>
      <c r="AY11" s="1672">
        <f>108.6+527.2</f>
        <v>635.80000000000007</v>
      </c>
      <c r="AZ11" s="9040">
        <f>+AV11+AX11</f>
        <v>17520</v>
      </c>
      <c r="BA11" s="1998">
        <f t="shared" ref="BA11:BA12" si="33">+AY11+AU11+AQ11</f>
        <v>1250.8500000000001</v>
      </c>
      <c r="BB11" s="1998">
        <f>+AX11+AZ11</f>
        <v>19008</v>
      </c>
      <c r="BC11" s="1998">
        <f t="shared" ref="BC11:BC12" si="34">+BA11+AM11</f>
        <v>2396.8900000000003</v>
      </c>
      <c r="BD11" s="6510">
        <f>+AV11+AX11</f>
        <v>17520</v>
      </c>
      <c r="BE11" s="6510">
        <f>+AW11+AY11</f>
        <v>4841.21</v>
      </c>
    </row>
    <row r="12" spans="1:57" x14ac:dyDescent="0.2">
      <c r="A12" s="2265"/>
      <c r="B12" s="1624" t="s">
        <v>1092</v>
      </c>
      <c r="C12" s="1548" t="s">
        <v>833</v>
      </c>
      <c r="D12" s="9032"/>
      <c r="E12" s="3395">
        <v>1995.8</v>
      </c>
      <c r="F12" s="9032"/>
      <c r="G12" s="1698">
        <v>1178.3399999999999</v>
      </c>
      <c r="H12" s="8982"/>
      <c r="I12" s="1708">
        <f>+E12+G12</f>
        <v>3174.14</v>
      </c>
      <c r="J12" s="9043"/>
      <c r="K12" s="1698">
        <v>1054.72</v>
      </c>
      <c r="L12" s="9041"/>
      <c r="M12" s="2029">
        <f>+I12+K12</f>
        <v>4228.8599999999997</v>
      </c>
      <c r="N12" s="9032"/>
      <c r="O12" s="1698">
        <v>2138.04</v>
      </c>
      <c r="P12" s="8982"/>
      <c r="Q12" s="1708">
        <f>+M12+O12</f>
        <v>6366.9</v>
      </c>
      <c r="R12" s="9032"/>
      <c r="S12" s="1698">
        <v>3337.75</v>
      </c>
      <c r="T12" s="8982"/>
      <c r="U12" s="1708">
        <f>+Q12+S12</f>
        <v>9704.65</v>
      </c>
      <c r="V12" s="9032"/>
      <c r="W12" s="1698">
        <v>2283.4899999999998</v>
      </c>
      <c r="X12" s="9041"/>
      <c r="Y12" s="1998">
        <f t="shared" si="31"/>
        <v>7759.28</v>
      </c>
      <c r="Z12" s="6516"/>
      <c r="AA12" s="6516">
        <f>+U12+W12</f>
        <v>11988.14</v>
      </c>
      <c r="AB12" s="9032"/>
      <c r="AC12" s="1698">
        <v>1318.43</v>
      </c>
      <c r="AD12" s="8982"/>
      <c r="AE12" s="1708">
        <f>+AA12+AC12</f>
        <v>13306.57</v>
      </c>
      <c r="AF12" s="9032"/>
      <c r="AG12" s="1698">
        <v>797.29</v>
      </c>
      <c r="AH12" s="8982"/>
      <c r="AI12" s="1708">
        <f>+AE12+AG12</f>
        <v>14103.86</v>
      </c>
      <c r="AJ12" s="9032"/>
      <c r="AK12" s="1698">
        <v>1141.8</v>
      </c>
      <c r="AL12" s="9041"/>
      <c r="AM12" s="1998">
        <f t="shared" si="32"/>
        <v>3257.52</v>
      </c>
      <c r="AN12" s="8982"/>
      <c r="AO12" s="1708">
        <f>+AI12+AK12</f>
        <v>15245.66</v>
      </c>
      <c r="AP12" s="9032"/>
      <c r="AQ12" s="1698">
        <v>1395.95</v>
      </c>
      <c r="AR12" s="8982"/>
      <c r="AS12" s="1708">
        <f>+AO12+AQ12</f>
        <v>16641.61</v>
      </c>
      <c r="AT12" s="9032"/>
      <c r="AU12" s="1698">
        <f>1040.15+221.05</f>
        <v>1261.2</v>
      </c>
      <c r="AV12" s="8982"/>
      <c r="AW12" s="1708">
        <f>+AS12+AU12</f>
        <v>17902.810000000001</v>
      </c>
      <c r="AX12" s="9032"/>
      <c r="AY12" s="1698">
        <f>165.94+1158.8</f>
        <v>1324.74</v>
      </c>
      <c r="AZ12" s="9041"/>
      <c r="BA12" s="1998">
        <f t="shared" si="33"/>
        <v>3981.8900000000003</v>
      </c>
      <c r="BB12" s="2029"/>
      <c r="BC12" s="2029">
        <f t="shared" si="34"/>
        <v>7239.41</v>
      </c>
      <c r="BD12" s="6516"/>
      <c r="BE12" s="6516">
        <f>+AW12+AY12</f>
        <v>19227.550000000003</v>
      </c>
    </row>
    <row r="13" spans="1:57" ht="16" thickBot="1" x14ac:dyDescent="0.25">
      <c r="A13" s="2265"/>
      <c r="B13" s="1622" t="s">
        <v>229</v>
      </c>
      <c r="C13" s="1548" t="s">
        <v>169</v>
      </c>
      <c r="D13" s="4747" t="s">
        <v>127</v>
      </c>
      <c r="E13" s="4748">
        <f>+E12/E9*100</f>
        <v>5.1331195519438371</v>
      </c>
      <c r="F13" s="4747" t="s">
        <v>127</v>
      </c>
      <c r="G13" s="1797">
        <f>+G12/G9*100</f>
        <v>2.9662145459653249</v>
      </c>
      <c r="H13" s="3109" t="s">
        <v>127</v>
      </c>
      <c r="I13" s="1883">
        <f>+I12/I9*100</f>
        <v>4.0380265073171051</v>
      </c>
      <c r="J13" s="4747" t="s">
        <v>127</v>
      </c>
      <c r="K13" s="1797">
        <f>+K12/K9*100</f>
        <v>2.4477254477857868</v>
      </c>
      <c r="L13" s="3072" t="s">
        <v>127</v>
      </c>
      <c r="M13" s="2072">
        <f>+M12/M9*100</f>
        <v>3.4749369782183508</v>
      </c>
      <c r="N13" s="4747" t="s">
        <v>127</v>
      </c>
      <c r="O13" s="1797">
        <f>+O12/O9*100</f>
        <v>4.5499089928822283</v>
      </c>
      <c r="P13" s="3109" t="s">
        <v>127</v>
      </c>
      <c r="Q13" s="1883">
        <f>+Q12/Q9*100</f>
        <v>3.7743902384803558</v>
      </c>
      <c r="R13" s="4747" t="s">
        <v>127</v>
      </c>
      <c r="S13" s="1797">
        <f>+S12/S9*100</f>
        <v>6.6504371625093661</v>
      </c>
      <c r="T13" s="3109" t="s">
        <v>127</v>
      </c>
      <c r="U13" s="1883">
        <f>+U12/U9*100</f>
        <v>4.4338721120082631</v>
      </c>
      <c r="V13" s="4747" t="s">
        <v>127</v>
      </c>
      <c r="W13" s="1797">
        <f>+W12/W9*100</f>
        <v>5.3704270325456118</v>
      </c>
      <c r="X13" s="3072" t="s">
        <v>127</v>
      </c>
      <c r="Y13" s="2072">
        <f>+Y12/Y9*100</f>
        <v>5.554285761734679</v>
      </c>
      <c r="Z13" s="7104" t="s">
        <v>127</v>
      </c>
      <c r="AA13" s="7104">
        <f>+AA12/AA9*100</f>
        <v>4.5862164381956978</v>
      </c>
      <c r="AB13" s="4747" t="s">
        <v>127</v>
      </c>
      <c r="AC13" s="1797">
        <f>+AC12/AC9*100</f>
        <v>2.8512334050378572</v>
      </c>
      <c r="AD13" s="3109" t="s">
        <v>127</v>
      </c>
      <c r="AE13" s="1883">
        <f>+AE12/AE9*100</f>
        <v>4.3254313023768889</v>
      </c>
      <c r="AF13" s="4747" t="s">
        <v>127</v>
      </c>
      <c r="AG13" s="1797">
        <f>+AG12/AG9*100</f>
        <v>1.7920027978340161</v>
      </c>
      <c r="AH13" s="3109" t="s">
        <v>127</v>
      </c>
      <c r="AI13" s="1883">
        <f>+AI12/AI9*100</f>
        <v>4.0053305731189672</v>
      </c>
      <c r="AJ13" s="4747" t="s">
        <v>127</v>
      </c>
      <c r="AK13" s="1797">
        <f>+AK12/AK9*100</f>
        <v>2.3038926867852041</v>
      </c>
      <c r="AL13" s="3072" t="s">
        <v>127</v>
      </c>
      <c r="AM13" s="2072">
        <f>+AM12/AM9*100</f>
        <v>2.3219595436228118</v>
      </c>
      <c r="AN13" s="3109" t="s">
        <v>127</v>
      </c>
      <c r="AO13" s="1883">
        <f>+AO12/AO9*100</f>
        <v>3.7954093791073666</v>
      </c>
      <c r="AP13" s="4747" t="s">
        <v>127</v>
      </c>
      <c r="AQ13" s="1797">
        <f>+AQ12/AQ9*100</f>
        <v>2.7740688403082667</v>
      </c>
      <c r="AR13" s="3109" t="s">
        <v>127</v>
      </c>
      <c r="AS13" s="1883">
        <f>+AS12/AS9*100</f>
        <v>3.6817050875378974</v>
      </c>
      <c r="AT13" s="4747" t="s">
        <v>127</v>
      </c>
      <c r="AU13" s="1797">
        <f>+AU12/AU9*100</f>
        <v>2.8153796699764269</v>
      </c>
      <c r="AV13" s="3109" t="s">
        <v>127</v>
      </c>
      <c r="AW13" s="1883">
        <f>+AW12/AW9*100</f>
        <v>3.6035887156778585</v>
      </c>
      <c r="AX13" s="4747" t="s">
        <v>127</v>
      </c>
      <c r="AY13" s="1797">
        <f>+AY12/AY9*100</f>
        <v>2.6804011071723406</v>
      </c>
      <c r="AZ13" s="3072" t="s">
        <v>127</v>
      </c>
      <c r="BA13" s="2072">
        <f>+BA12/BA9*100</f>
        <v>2.7548441314975594</v>
      </c>
      <c r="BB13" s="2072" t="s">
        <v>127</v>
      </c>
      <c r="BC13" s="2072">
        <f>+BC12/BC9*100</f>
        <v>2.5416310259294175</v>
      </c>
      <c r="BD13" s="7104" t="s">
        <v>127</v>
      </c>
      <c r="BE13" s="7104">
        <f>+BE12/BE9*100</f>
        <v>3.5200579069302225</v>
      </c>
    </row>
    <row r="14" spans="1:57" ht="19" thickBot="1" x14ac:dyDescent="0.25">
      <c r="A14" s="2265"/>
      <c r="B14" s="1601" t="s">
        <v>189</v>
      </c>
      <c r="C14" s="1795" t="s">
        <v>833</v>
      </c>
      <c r="D14" s="4020">
        <f>+D9-D11</f>
        <v>-1440</v>
      </c>
      <c r="E14" s="4749">
        <f>+E9-E11-E12</f>
        <v>36426.139999999992</v>
      </c>
      <c r="F14" s="4750">
        <f>+F9-F11</f>
        <v>-1488</v>
      </c>
      <c r="G14" s="1799">
        <f>+G9-G11-G12</f>
        <v>38196.75</v>
      </c>
      <c r="H14" s="2555">
        <f>+H9-H11</f>
        <v>-2928</v>
      </c>
      <c r="I14" s="1885">
        <f>+I9-I11-I12</f>
        <v>74622.89</v>
      </c>
      <c r="J14" s="4750">
        <f>+J9-J11</f>
        <v>-1440</v>
      </c>
      <c r="K14" s="1799">
        <f>+K9-K11-K12</f>
        <v>41695.279999999999</v>
      </c>
      <c r="L14" s="2556">
        <f>+L9-L11</f>
        <v>-4368</v>
      </c>
      <c r="M14" s="2073">
        <f>+M9-M11-M12</f>
        <v>116318.16999999998</v>
      </c>
      <c r="N14" s="4750">
        <f>+N9-N11</f>
        <v>-1488</v>
      </c>
      <c r="O14" s="1799">
        <f>+O9-O11-O12</f>
        <v>44421.58</v>
      </c>
      <c r="P14" s="2555">
        <f>+P9-P11</f>
        <v>-5856</v>
      </c>
      <c r="Q14" s="1885">
        <f>+Q9-Q11-Q12</f>
        <v>160739.74999999997</v>
      </c>
      <c r="R14" s="4750">
        <f>+R9-R11</f>
        <v>-1488</v>
      </c>
      <c r="S14" s="1799">
        <f>+S9-S11-S12</f>
        <v>46331.000000000007</v>
      </c>
      <c r="T14" s="2555">
        <f>+T9-T11</f>
        <v>-7344</v>
      </c>
      <c r="U14" s="1885">
        <f>+U9-U11-U12</f>
        <v>207070.75</v>
      </c>
      <c r="V14" s="4750">
        <f>+V9-V11</f>
        <v>-1440</v>
      </c>
      <c r="W14" s="1799">
        <f>+W9-W11-W12</f>
        <v>39891.78</v>
      </c>
      <c r="X14" s="2556">
        <f>+X9-X11</f>
        <v>-8784</v>
      </c>
      <c r="Y14" s="2073">
        <f>+Y9-Y11-Y12</f>
        <v>130644.36000000002</v>
      </c>
      <c r="Z14" s="7105">
        <f>+Z9-Z11</f>
        <v>-8784</v>
      </c>
      <c r="AA14" s="7105">
        <f>+AA9-AA11-AA12</f>
        <v>246962.52999999997</v>
      </c>
      <c r="AB14" s="4750">
        <f>+AB9-AB11</f>
        <v>-1488</v>
      </c>
      <c r="AC14" s="1799">
        <f>+AC9-AC11-AC12</f>
        <v>44520.060000000005</v>
      </c>
      <c r="AD14" s="2555">
        <f>+AD9-AD11</f>
        <v>-10272</v>
      </c>
      <c r="AE14" s="1885">
        <f>+AE9-AE11-AE12</f>
        <v>291482.58999999997</v>
      </c>
      <c r="AF14" s="4750">
        <f>+AF9-AF11</f>
        <v>-1440</v>
      </c>
      <c r="AG14" s="1799">
        <f>+AG9-AG11-AG12</f>
        <v>43326.96</v>
      </c>
      <c r="AH14" s="2555">
        <f>+AH9-AH11</f>
        <v>-11712</v>
      </c>
      <c r="AI14" s="1885">
        <f>+AI9-AI11-AI12</f>
        <v>334809.55</v>
      </c>
      <c r="AJ14" s="4750">
        <f>+AJ9-AJ11</f>
        <v>-1488</v>
      </c>
      <c r="AK14" s="1799">
        <f>+AK9-AK11-AK12</f>
        <v>48041.27</v>
      </c>
      <c r="AL14" s="2556">
        <f>+AL9-AL11</f>
        <v>-13200</v>
      </c>
      <c r="AM14" s="2073">
        <f>+AM9-AM11-AM12</f>
        <v>135888.29</v>
      </c>
      <c r="AN14" s="2555">
        <f>+AN9-AN11</f>
        <v>-13200</v>
      </c>
      <c r="AO14" s="1885">
        <f>+AO9-AO11-AO12</f>
        <v>382850.82</v>
      </c>
      <c r="AP14" s="4750">
        <f>+AP9-AP11</f>
        <v>-1488</v>
      </c>
      <c r="AQ14" s="1799">
        <f>+AQ9-AQ11-AQ12</f>
        <v>48562.39</v>
      </c>
      <c r="AR14" s="2555">
        <f>+AR9-AR11</f>
        <v>-14688</v>
      </c>
      <c r="AS14" s="1885">
        <f>+AS9-AS11-AS12</f>
        <v>431413.21</v>
      </c>
      <c r="AT14" s="4750">
        <f>+AT9-AT11</f>
        <v>-1344</v>
      </c>
      <c r="AU14" s="1799">
        <f>+AU9-AU11-AU12</f>
        <v>43283.600000000006</v>
      </c>
      <c r="AV14" s="2555">
        <f>+AV9-AV11</f>
        <v>-16032</v>
      </c>
      <c r="AW14" s="1885">
        <f>+AW9-AW11-AW12</f>
        <v>474696.81000000006</v>
      </c>
      <c r="AX14" s="4750">
        <f>+AX9-AX11</f>
        <v>-1488</v>
      </c>
      <c r="AY14" s="1799">
        <f>+AY9-AY11-AY12</f>
        <v>47462.659999999996</v>
      </c>
      <c r="AZ14" s="2556">
        <f>+AZ9-AZ11</f>
        <v>-17520</v>
      </c>
      <c r="BA14" s="2073">
        <f>+BA9-BA11-BA12</f>
        <v>139308.65</v>
      </c>
      <c r="BB14" s="2073">
        <f>+BB9-BB11</f>
        <v>-19008</v>
      </c>
      <c r="BC14" s="2073">
        <f>+BC9-BC11-BC12</f>
        <v>275196.94</v>
      </c>
      <c r="BD14" s="7105">
        <f>+BD9-BD11</f>
        <v>-17520</v>
      </c>
      <c r="BE14" s="7105">
        <f>+BE9-BE11-BE12</f>
        <v>522159.47000000003</v>
      </c>
    </row>
    <row r="15" spans="1:57" ht="16" x14ac:dyDescent="0.2">
      <c r="A15" s="2265"/>
      <c r="B15" s="1582" t="s">
        <v>842</v>
      </c>
      <c r="C15" s="1472"/>
      <c r="D15" s="4751"/>
      <c r="E15" s="4752"/>
      <c r="F15" s="4751"/>
      <c r="G15" s="1602"/>
      <c r="H15" s="2688"/>
      <c r="I15" s="1602"/>
      <c r="J15" s="4751"/>
      <c r="K15" s="1602"/>
      <c r="L15" s="2688"/>
      <c r="M15" s="1602"/>
      <c r="N15" s="4751"/>
      <c r="O15" s="1602"/>
      <c r="P15" s="2688"/>
      <c r="Q15" s="1602"/>
      <c r="R15" s="4751"/>
      <c r="S15" s="1602"/>
      <c r="T15" s="2688"/>
      <c r="U15" s="1602"/>
      <c r="V15" s="4751"/>
      <c r="W15" s="1602"/>
      <c r="X15" s="2688"/>
      <c r="Y15" s="1602"/>
      <c r="Z15" s="1602"/>
      <c r="AA15" s="1602"/>
      <c r="AB15" s="4751"/>
      <c r="AC15" s="1602"/>
      <c r="AD15" s="2688"/>
      <c r="AE15" s="1602"/>
      <c r="AF15" s="4751"/>
      <c r="AG15" s="1602"/>
      <c r="AH15" s="2688"/>
      <c r="AI15" s="1602"/>
      <c r="AJ15" s="4751"/>
      <c r="AK15" s="1602"/>
      <c r="AL15" s="2688"/>
      <c r="AM15" s="1602"/>
      <c r="AN15" s="2688"/>
      <c r="AO15" s="1602"/>
      <c r="AP15" s="4751"/>
      <c r="AQ15" s="1602"/>
      <c r="AR15" s="2688"/>
      <c r="AS15" s="1602"/>
      <c r="AT15" s="4751"/>
      <c r="AU15" s="1602"/>
      <c r="AV15" s="2688"/>
      <c r="AW15" s="1602"/>
      <c r="AX15" s="4751"/>
      <c r="AY15" s="1602"/>
      <c r="AZ15" s="2688"/>
      <c r="BA15" s="1602"/>
      <c r="BB15" s="1602"/>
      <c r="BC15" s="1602"/>
      <c r="BD15" s="1602"/>
      <c r="BE15" s="1602"/>
    </row>
    <row r="16" spans="1:57" x14ac:dyDescent="0.2">
      <c r="A16" s="2265"/>
      <c r="B16" s="1533" t="s">
        <v>396</v>
      </c>
      <c r="C16" s="1545" t="s">
        <v>833</v>
      </c>
      <c r="D16" s="4811"/>
      <c r="E16" s="3395">
        <v>0</v>
      </c>
      <c r="F16" s="4811"/>
      <c r="G16" s="1669">
        <v>0</v>
      </c>
      <c r="H16" s="1787">
        <f>+D16+F16</f>
        <v>0</v>
      </c>
      <c r="I16" s="1713">
        <f>+E16+G16</f>
        <v>0</v>
      </c>
      <c r="J16" s="4811"/>
      <c r="K16" s="1669">
        <v>0</v>
      </c>
      <c r="L16" s="2048">
        <f>+H16+J16</f>
        <v>0</v>
      </c>
      <c r="M16" s="1998">
        <f>+I16+K16</f>
        <v>0</v>
      </c>
      <c r="N16" s="4811"/>
      <c r="O16" s="1669">
        <v>0</v>
      </c>
      <c r="P16" s="1787">
        <f>+L16+N16</f>
        <v>0</v>
      </c>
      <c r="Q16" s="1713">
        <f>+M16+O16</f>
        <v>0</v>
      </c>
      <c r="R16" s="4811"/>
      <c r="S16" s="1669">
        <v>0</v>
      </c>
      <c r="T16" s="1787">
        <f>+P16+R16</f>
        <v>0</v>
      </c>
      <c r="U16" s="1713">
        <f>+Q16+S16</f>
        <v>0</v>
      </c>
      <c r="V16" s="4811"/>
      <c r="W16" s="1669">
        <v>0</v>
      </c>
      <c r="X16" s="2048">
        <f>+T16+V16</f>
        <v>0</v>
      </c>
      <c r="Y16" s="1998">
        <f t="shared" ref="Y16:Y33" si="35">+W16+S16+O16</f>
        <v>0</v>
      </c>
      <c r="Z16" s="6510">
        <f>+T16+V16</f>
        <v>0</v>
      </c>
      <c r="AA16" s="6510">
        <f>+U16+W16</f>
        <v>0</v>
      </c>
      <c r="AB16" s="4811"/>
      <c r="AC16" s="1669">
        <v>0</v>
      </c>
      <c r="AD16" s="1787">
        <f>+Z16+AB16</f>
        <v>0</v>
      </c>
      <c r="AE16" s="1713">
        <f>+AA16+AC16</f>
        <v>0</v>
      </c>
      <c r="AF16" s="4811"/>
      <c r="AG16" s="1669">
        <v>0</v>
      </c>
      <c r="AH16" s="1787">
        <f>+AD16+AF16</f>
        <v>0</v>
      </c>
      <c r="AI16" s="1713">
        <f>+AE16+AG16</f>
        <v>0</v>
      </c>
      <c r="AJ16" s="4811"/>
      <c r="AK16" s="1669">
        <v>0</v>
      </c>
      <c r="AL16" s="2048">
        <f>+AH16+AJ16</f>
        <v>0</v>
      </c>
      <c r="AM16" s="1998">
        <f t="shared" ref="AM16:AM33" si="36">+AK16+AG16+AC16</f>
        <v>0</v>
      </c>
      <c r="AN16" s="1787">
        <f>+AH16+AJ16</f>
        <v>0</v>
      </c>
      <c r="AO16" s="1713">
        <f>+AI16+AK16</f>
        <v>0</v>
      </c>
      <c r="AP16" s="4811"/>
      <c r="AQ16" s="1669">
        <v>0</v>
      </c>
      <c r="AR16" s="1787">
        <f>+AN16+AP16</f>
        <v>0</v>
      </c>
      <c r="AS16" s="1713">
        <f>+AO16+AQ16</f>
        <v>0</v>
      </c>
      <c r="AT16" s="4811"/>
      <c r="AU16" s="1669">
        <v>0</v>
      </c>
      <c r="AV16" s="1787">
        <f>+AR16+AT16</f>
        <v>0</v>
      </c>
      <c r="AW16" s="1713">
        <f>+AS16+AU16</f>
        <v>0</v>
      </c>
      <c r="AX16" s="4811"/>
      <c r="AY16" s="1669">
        <v>0</v>
      </c>
      <c r="AZ16" s="2048">
        <f>+AV16+AX16</f>
        <v>0</v>
      </c>
      <c r="BA16" s="1998">
        <f t="shared" ref="BA16:BA33" si="37">+AY16+AU16+AQ16</f>
        <v>0</v>
      </c>
      <c r="BB16" s="1998">
        <f>+AX16+AZ16</f>
        <v>0</v>
      </c>
      <c r="BC16" s="1998">
        <f t="shared" ref="BC16:BC33" si="38">+BA16+AM16</f>
        <v>0</v>
      </c>
      <c r="BD16" s="6510">
        <f>+AV16+AX16</f>
        <v>0</v>
      </c>
      <c r="BE16" s="6510">
        <f>+AW16+AY16</f>
        <v>0</v>
      </c>
    </row>
    <row r="17" spans="1:57" x14ac:dyDescent="0.2">
      <c r="A17" s="2265"/>
      <c r="B17" s="1533" t="s">
        <v>397</v>
      </c>
      <c r="C17" s="1545" t="s">
        <v>833</v>
      </c>
      <c r="D17" s="4811"/>
      <c r="E17" s="3395">
        <v>7424.5</v>
      </c>
      <c r="F17" s="4811"/>
      <c r="G17" s="1669">
        <v>8416.24</v>
      </c>
      <c r="H17" s="4690">
        <f t="shared" ref="H17:I33" si="39">+D17+F17</f>
        <v>0</v>
      </c>
      <c r="I17" s="1713">
        <f t="shared" si="39"/>
        <v>15840.74</v>
      </c>
      <c r="J17" s="4811"/>
      <c r="K17" s="1669">
        <v>8746.6</v>
      </c>
      <c r="L17" s="4694">
        <f t="shared" ref="L17:M33" si="40">+H17+J17</f>
        <v>0</v>
      </c>
      <c r="M17" s="1998">
        <f t="shared" si="40"/>
        <v>24587.34</v>
      </c>
      <c r="N17" s="4811"/>
      <c r="O17" s="1669">
        <v>9595.0400000000009</v>
      </c>
      <c r="P17" s="4753">
        <f t="shared" ref="P17:Q33" si="41">+L17+N17</f>
        <v>0</v>
      </c>
      <c r="Q17" s="1713">
        <f t="shared" si="41"/>
        <v>34182.380000000005</v>
      </c>
      <c r="R17" s="4811"/>
      <c r="S17" s="1669">
        <v>9700.64</v>
      </c>
      <c r="T17" s="4809">
        <f t="shared" ref="T17:T33" si="42">+P17+R17</f>
        <v>0</v>
      </c>
      <c r="U17" s="1713">
        <f t="shared" ref="U17:U33" si="43">+Q17+S17</f>
        <v>43883.020000000004</v>
      </c>
      <c r="V17" s="4811"/>
      <c r="W17" s="1669">
        <v>9293.2000000000007</v>
      </c>
      <c r="X17" s="4792">
        <f t="shared" ref="X17:X33" si="44">+T17+V17</f>
        <v>0</v>
      </c>
      <c r="Y17" s="1998">
        <f t="shared" si="35"/>
        <v>28588.880000000001</v>
      </c>
      <c r="Z17" s="6510">
        <f t="shared" ref="Z17:Z33" si="45">+T17+V17</f>
        <v>0</v>
      </c>
      <c r="AA17" s="6510">
        <f t="shared" ref="AA17:AA33" si="46">+U17+W17</f>
        <v>53176.22</v>
      </c>
      <c r="AB17" s="4811"/>
      <c r="AC17" s="1669">
        <v>9719.49</v>
      </c>
      <c r="AD17" s="4809">
        <f t="shared" ref="AD17:AD33" si="47">+Z17+AB17</f>
        <v>0</v>
      </c>
      <c r="AE17" s="1713">
        <f t="shared" ref="AE17:AE33" si="48">+AA17+AC17</f>
        <v>62895.71</v>
      </c>
      <c r="AF17" s="4811"/>
      <c r="AG17" s="1669">
        <v>9429.4</v>
      </c>
      <c r="AH17" s="4809">
        <f t="shared" ref="AH17:AH33" si="49">+AD17+AF17</f>
        <v>0</v>
      </c>
      <c r="AI17" s="1713">
        <f t="shared" ref="AI17:AI33" si="50">+AE17+AG17</f>
        <v>72325.11</v>
      </c>
      <c r="AJ17" s="4811"/>
      <c r="AK17" s="1669">
        <v>9730.14</v>
      </c>
      <c r="AL17" s="4792">
        <f t="shared" ref="AL17:AL33" si="51">+AH17+AJ17</f>
        <v>0</v>
      </c>
      <c r="AM17" s="1998">
        <f t="shared" si="36"/>
        <v>28879.03</v>
      </c>
      <c r="AN17" s="4809">
        <f t="shared" ref="AN17:AN33" si="52">+AH17+AJ17</f>
        <v>0</v>
      </c>
      <c r="AO17" s="1713">
        <f t="shared" ref="AO17:AO33" si="53">+AI17+AK17</f>
        <v>82055.25</v>
      </c>
      <c r="AP17" s="4811"/>
      <c r="AQ17" s="1669">
        <v>9750.6</v>
      </c>
      <c r="AR17" s="4809">
        <f t="shared" ref="AR17:AR33" si="54">+AN17+AP17</f>
        <v>0</v>
      </c>
      <c r="AS17" s="1713">
        <f t="shared" ref="AS17:AS33" si="55">+AO17+AQ17</f>
        <v>91805.85</v>
      </c>
      <c r="AT17" s="4811"/>
      <c r="AU17" s="1669">
        <v>8800.5</v>
      </c>
      <c r="AV17" s="4809">
        <f t="shared" ref="AV17:AV33" si="56">+AR17+AT17</f>
        <v>0</v>
      </c>
      <c r="AW17" s="1713">
        <f t="shared" ref="AW17:AW25" si="57">+AS17+AU17</f>
        <v>100606.35</v>
      </c>
      <c r="AX17" s="4811"/>
      <c r="AY17" s="1669">
        <v>9762.2000000000007</v>
      </c>
      <c r="AZ17" s="4792">
        <f t="shared" ref="AZ17:AZ33" si="58">+AV17+AX17</f>
        <v>0</v>
      </c>
      <c r="BA17" s="1998">
        <f t="shared" si="37"/>
        <v>28313.300000000003</v>
      </c>
      <c r="BB17" s="1998">
        <f t="shared" ref="BB17:BB33" si="59">+AX17+AZ17</f>
        <v>0</v>
      </c>
      <c r="BC17" s="1998">
        <f t="shared" si="38"/>
        <v>57192.33</v>
      </c>
      <c r="BD17" s="6510">
        <f t="shared" ref="BD17:BD33" si="60">+AV17+AX17</f>
        <v>0</v>
      </c>
      <c r="BE17" s="6510">
        <f t="shared" ref="BE17:BE33" si="61">+AW17+AY17</f>
        <v>110368.55</v>
      </c>
    </row>
    <row r="18" spans="1:57" x14ac:dyDescent="0.2">
      <c r="A18" s="2265"/>
      <c r="B18" s="1533" t="s">
        <v>398</v>
      </c>
      <c r="C18" s="1545" t="s">
        <v>833</v>
      </c>
      <c r="D18" s="4811"/>
      <c r="E18" s="3395">
        <v>7184.88</v>
      </c>
      <c r="F18" s="4811"/>
      <c r="G18" s="1669">
        <v>7086</v>
      </c>
      <c r="H18" s="4690">
        <f t="shared" si="39"/>
        <v>0</v>
      </c>
      <c r="I18" s="1713">
        <f t="shared" si="39"/>
        <v>14270.880000000001</v>
      </c>
      <c r="J18" s="4811"/>
      <c r="K18" s="1669">
        <v>5699.5</v>
      </c>
      <c r="L18" s="4694">
        <f t="shared" si="40"/>
        <v>0</v>
      </c>
      <c r="M18" s="1998">
        <f t="shared" si="40"/>
        <v>19970.38</v>
      </c>
      <c r="N18" s="4811"/>
      <c r="O18" s="1669">
        <v>5527.44</v>
      </c>
      <c r="P18" s="4753">
        <f t="shared" si="41"/>
        <v>0</v>
      </c>
      <c r="Q18" s="1713">
        <f t="shared" si="41"/>
        <v>25497.82</v>
      </c>
      <c r="R18" s="4811"/>
      <c r="S18" s="1669">
        <v>8401.2000000000007</v>
      </c>
      <c r="T18" s="4809">
        <f t="shared" si="42"/>
        <v>0</v>
      </c>
      <c r="U18" s="1713">
        <f t="shared" si="43"/>
        <v>33899.020000000004</v>
      </c>
      <c r="V18" s="4811"/>
      <c r="W18" s="1669">
        <v>7251.84</v>
      </c>
      <c r="X18" s="4792">
        <f t="shared" si="44"/>
        <v>0</v>
      </c>
      <c r="Y18" s="1998">
        <f t="shared" si="35"/>
        <v>21180.48</v>
      </c>
      <c r="Z18" s="6510">
        <f t="shared" si="45"/>
        <v>0</v>
      </c>
      <c r="AA18" s="6510">
        <f t="shared" si="46"/>
        <v>41150.86</v>
      </c>
      <c r="AB18" s="4811"/>
      <c r="AC18" s="1669">
        <v>8196.24</v>
      </c>
      <c r="AD18" s="4809">
        <f t="shared" si="47"/>
        <v>0</v>
      </c>
      <c r="AE18" s="1713">
        <f t="shared" si="48"/>
        <v>49347.1</v>
      </c>
      <c r="AF18" s="4811"/>
      <c r="AG18" s="1669">
        <v>5441.28</v>
      </c>
      <c r="AH18" s="4809">
        <f t="shared" si="49"/>
        <v>0</v>
      </c>
      <c r="AI18" s="1713">
        <f t="shared" si="50"/>
        <v>54788.38</v>
      </c>
      <c r="AJ18" s="4811"/>
      <c r="AK18" s="1669">
        <v>7941.36</v>
      </c>
      <c r="AL18" s="4792">
        <f t="shared" si="51"/>
        <v>0</v>
      </c>
      <c r="AM18" s="1998">
        <f t="shared" si="36"/>
        <v>21578.879999999997</v>
      </c>
      <c r="AN18" s="4809">
        <f t="shared" si="52"/>
        <v>0</v>
      </c>
      <c r="AO18" s="1713">
        <f t="shared" si="53"/>
        <v>62729.74</v>
      </c>
      <c r="AP18" s="4811"/>
      <c r="AQ18" s="1669">
        <v>7978.56</v>
      </c>
      <c r="AR18" s="4809">
        <f t="shared" si="54"/>
        <v>0</v>
      </c>
      <c r="AS18" s="1713">
        <f t="shared" si="55"/>
        <v>70708.3</v>
      </c>
      <c r="AT18" s="4811"/>
      <c r="AU18" s="1669">
        <v>7250.9</v>
      </c>
      <c r="AV18" s="4809">
        <f t="shared" si="56"/>
        <v>0</v>
      </c>
      <c r="AW18" s="1713">
        <f t="shared" si="57"/>
        <v>77959.199999999997</v>
      </c>
      <c r="AX18" s="4811"/>
      <c r="AY18" s="1669">
        <v>7925.3</v>
      </c>
      <c r="AZ18" s="4792">
        <f t="shared" si="58"/>
        <v>0</v>
      </c>
      <c r="BA18" s="1998">
        <f t="shared" si="37"/>
        <v>23154.760000000002</v>
      </c>
      <c r="BB18" s="1998">
        <f t="shared" si="59"/>
        <v>0</v>
      </c>
      <c r="BC18" s="1998">
        <f t="shared" si="38"/>
        <v>44733.64</v>
      </c>
      <c r="BD18" s="6510">
        <f t="shared" si="60"/>
        <v>0</v>
      </c>
      <c r="BE18" s="6510">
        <f t="shared" si="61"/>
        <v>85884.5</v>
      </c>
    </row>
    <row r="19" spans="1:57" ht="15" customHeight="1" x14ac:dyDescent="0.2">
      <c r="A19" s="2265"/>
      <c r="B19" s="1533" t="s">
        <v>190</v>
      </c>
      <c r="C19" s="1545" t="s">
        <v>833</v>
      </c>
      <c r="D19" s="4811"/>
      <c r="E19" s="3395">
        <v>0</v>
      </c>
      <c r="F19" s="4811"/>
      <c r="G19" s="1669">
        <v>0</v>
      </c>
      <c r="H19" s="4690">
        <f t="shared" si="39"/>
        <v>0</v>
      </c>
      <c r="I19" s="1713">
        <f t="shared" si="39"/>
        <v>0</v>
      </c>
      <c r="J19" s="4811"/>
      <c r="K19" s="1669">
        <v>0</v>
      </c>
      <c r="L19" s="4694">
        <f t="shared" si="40"/>
        <v>0</v>
      </c>
      <c r="M19" s="1998">
        <f t="shared" si="40"/>
        <v>0</v>
      </c>
      <c r="N19" s="4811"/>
      <c r="O19" s="1669">
        <v>0</v>
      </c>
      <c r="P19" s="4753">
        <f t="shared" si="41"/>
        <v>0</v>
      </c>
      <c r="Q19" s="1713">
        <f t="shared" si="41"/>
        <v>0</v>
      </c>
      <c r="R19" s="4811"/>
      <c r="S19" s="1669">
        <v>0</v>
      </c>
      <c r="T19" s="4809">
        <f t="shared" si="42"/>
        <v>0</v>
      </c>
      <c r="U19" s="1713">
        <f t="shared" si="43"/>
        <v>0</v>
      </c>
      <c r="V19" s="4811"/>
      <c r="W19" s="1669">
        <v>0</v>
      </c>
      <c r="X19" s="4792">
        <f t="shared" si="44"/>
        <v>0</v>
      </c>
      <c r="Y19" s="1998">
        <f t="shared" si="35"/>
        <v>0</v>
      </c>
      <c r="Z19" s="6510">
        <f t="shared" si="45"/>
        <v>0</v>
      </c>
      <c r="AA19" s="6510">
        <f t="shared" si="46"/>
        <v>0</v>
      </c>
      <c r="AB19" s="4811"/>
      <c r="AC19" s="1669">
        <v>0</v>
      </c>
      <c r="AD19" s="4809">
        <f t="shared" si="47"/>
        <v>0</v>
      </c>
      <c r="AE19" s="1713">
        <f t="shared" si="48"/>
        <v>0</v>
      </c>
      <c r="AF19" s="4811"/>
      <c r="AG19" s="1669">
        <v>0</v>
      </c>
      <c r="AH19" s="4809">
        <f t="shared" si="49"/>
        <v>0</v>
      </c>
      <c r="AI19" s="1713">
        <f t="shared" si="50"/>
        <v>0</v>
      </c>
      <c r="AJ19" s="4811"/>
      <c r="AK19" s="1669">
        <v>0</v>
      </c>
      <c r="AL19" s="4792">
        <f t="shared" si="51"/>
        <v>0</v>
      </c>
      <c r="AM19" s="1998">
        <f t="shared" si="36"/>
        <v>0</v>
      </c>
      <c r="AN19" s="4809">
        <f t="shared" si="52"/>
        <v>0</v>
      </c>
      <c r="AO19" s="1713">
        <f t="shared" si="53"/>
        <v>0</v>
      </c>
      <c r="AP19" s="4811"/>
      <c r="AQ19" s="1669">
        <v>0</v>
      </c>
      <c r="AR19" s="4809">
        <f t="shared" si="54"/>
        <v>0</v>
      </c>
      <c r="AS19" s="1713">
        <f t="shared" si="55"/>
        <v>0</v>
      </c>
      <c r="AT19" s="4811"/>
      <c r="AU19" s="1669">
        <v>0</v>
      </c>
      <c r="AV19" s="4809">
        <f t="shared" si="56"/>
        <v>0</v>
      </c>
      <c r="AW19" s="1713">
        <f t="shared" si="57"/>
        <v>0</v>
      </c>
      <c r="AX19" s="4811"/>
      <c r="AY19" s="1669">
        <v>0</v>
      </c>
      <c r="AZ19" s="4792">
        <f t="shared" si="58"/>
        <v>0</v>
      </c>
      <c r="BA19" s="1998">
        <f t="shared" si="37"/>
        <v>0</v>
      </c>
      <c r="BB19" s="1998">
        <f t="shared" si="59"/>
        <v>0</v>
      </c>
      <c r="BC19" s="1998">
        <f t="shared" si="38"/>
        <v>0</v>
      </c>
      <c r="BD19" s="6510">
        <f t="shared" si="60"/>
        <v>0</v>
      </c>
      <c r="BE19" s="6510">
        <f t="shared" si="61"/>
        <v>0</v>
      </c>
    </row>
    <row r="20" spans="1:57" ht="15" customHeight="1" x14ac:dyDescent="0.2">
      <c r="A20" s="2265"/>
      <c r="B20" s="1533" t="s">
        <v>191</v>
      </c>
      <c r="C20" s="1545" t="s">
        <v>833</v>
      </c>
      <c r="D20" s="4811"/>
      <c r="E20" s="3395">
        <v>0</v>
      </c>
      <c r="F20" s="4811"/>
      <c r="G20" s="1669">
        <v>0</v>
      </c>
      <c r="H20" s="4690">
        <f t="shared" si="39"/>
        <v>0</v>
      </c>
      <c r="I20" s="1713">
        <f t="shared" si="39"/>
        <v>0</v>
      </c>
      <c r="J20" s="4811"/>
      <c r="K20" s="1669">
        <v>0</v>
      </c>
      <c r="L20" s="4694">
        <f t="shared" si="40"/>
        <v>0</v>
      </c>
      <c r="M20" s="1998">
        <f t="shared" si="40"/>
        <v>0</v>
      </c>
      <c r="N20" s="4811"/>
      <c r="O20" s="1669">
        <v>0</v>
      </c>
      <c r="P20" s="4753">
        <f t="shared" si="41"/>
        <v>0</v>
      </c>
      <c r="Q20" s="1713">
        <f t="shared" si="41"/>
        <v>0</v>
      </c>
      <c r="R20" s="4811"/>
      <c r="S20" s="1669">
        <v>0</v>
      </c>
      <c r="T20" s="4809">
        <f t="shared" si="42"/>
        <v>0</v>
      </c>
      <c r="U20" s="1713">
        <f t="shared" si="43"/>
        <v>0</v>
      </c>
      <c r="V20" s="4811"/>
      <c r="W20" s="1669">
        <v>0</v>
      </c>
      <c r="X20" s="4792">
        <f t="shared" si="44"/>
        <v>0</v>
      </c>
      <c r="Y20" s="1998">
        <f t="shared" si="35"/>
        <v>0</v>
      </c>
      <c r="Z20" s="6510">
        <f t="shared" si="45"/>
        <v>0</v>
      </c>
      <c r="AA20" s="6510">
        <f t="shared" si="46"/>
        <v>0</v>
      </c>
      <c r="AB20" s="4811"/>
      <c r="AC20" s="1669">
        <v>0</v>
      </c>
      <c r="AD20" s="4809">
        <f t="shared" si="47"/>
        <v>0</v>
      </c>
      <c r="AE20" s="1713">
        <f t="shared" si="48"/>
        <v>0</v>
      </c>
      <c r="AF20" s="4811"/>
      <c r="AG20" s="1669">
        <v>0</v>
      </c>
      <c r="AH20" s="4809">
        <f t="shared" si="49"/>
        <v>0</v>
      </c>
      <c r="AI20" s="1713">
        <f t="shared" si="50"/>
        <v>0</v>
      </c>
      <c r="AJ20" s="4811"/>
      <c r="AK20" s="1669">
        <v>0</v>
      </c>
      <c r="AL20" s="4792">
        <f t="shared" si="51"/>
        <v>0</v>
      </c>
      <c r="AM20" s="1998">
        <f t="shared" si="36"/>
        <v>0</v>
      </c>
      <c r="AN20" s="4809">
        <f t="shared" si="52"/>
        <v>0</v>
      </c>
      <c r="AO20" s="1713">
        <f t="shared" si="53"/>
        <v>0</v>
      </c>
      <c r="AP20" s="4811"/>
      <c r="AQ20" s="1669">
        <v>0</v>
      </c>
      <c r="AR20" s="4809">
        <f t="shared" si="54"/>
        <v>0</v>
      </c>
      <c r="AS20" s="1713">
        <f t="shared" si="55"/>
        <v>0</v>
      </c>
      <c r="AT20" s="4811"/>
      <c r="AU20" s="1669">
        <v>0</v>
      </c>
      <c r="AV20" s="4809">
        <f t="shared" si="56"/>
        <v>0</v>
      </c>
      <c r="AW20" s="1713">
        <f t="shared" si="57"/>
        <v>0</v>
      </c>
      <c r="AX20" s="4811"/>
      <c r="AY20" s="1669">
        <v>0</v>
      </c>
      <c r="AZ20" s="4792">
        <f t="shared" si="58"/>
        <v>0</v>
      </c>
      <c r="BA20" s="1998">
        <f t="shared" si="37"/>
        <v>0</v>
      </c>
      <c r="BB20" s="1998">
        <f t="shared" si="59"/>
        <v>0</v>
      </c>
      <c r="BC20" s="1998">
        <f t="shared" si="38"/>
        <v>0</v>
      </c>
      <c r="BD20" s="6510">
        <f t="shared" si="60"/>
        <v>0</v>
      </c>
      <c r="BE20" s="6510">
        <f t="shared" si="61"/>
        <v>0</v>
      </c>
    </row>
    <row r="21" spans="1:57" x14ac:dyDescent="0.2">
      <c r="A21" s="2265"/>
      <c r="B21" s="1533" t="s">
        <v>285</v>
      </c>
      <c r="C21" s="1545" t="s">
        <v>833</v>
      </c>
      <c r="D21" s="4811"/>
      <c r="E21" s="3395">
        <v>3274.32</v>
      </c>
      <c r="F21" s="4811"/>
      <c r="G21" s="1669">
        <v>4033.2</v>
      </c>
      <c r="H21" s="4690">
        <f t="shared" si="39"/>
        <v>0</v>
      </c>
      <c r="I21" s="1713">
        <f t="shared" si="39"/>
        <v>7307.52</v>
      </c>
      <c r="J21" s="4811"/>
      <c r="K21" s="1669">
        <v>3974.9</v>
      </c>
      <c r="L21" s="4694">
        <f t="shared" si="40"/>
        <v>0</v>
      </c>
      <c r="M21" s="1998">
        <f t="shared" si="40"/>
        <v>11282.42</v>
      </c>
      <c r="N21" s="4811"/>
      <c r="O21" s="1669">
        <v>4226.3999999999996</v>
      </c>
      <c r="P21" s="4753">
        <f t="shared" si="41"/>
        <v>0</v>
      </c>
      <c r="Q21" s="1713">
        <f t="shared" si="41"/>
        <v>15508.82</v>
      </c>
      <c r="R21" s="4811"/>
      <c r="S21" s="1669">
        <v>4214.6400000000003</v>
      </c>
      <c r="T21" s="4809">
        <f t="shared" si="42"/>
        <v>0</v>
      </c>
      <c r="U21" s="1713">
        <f t="shared" si="43"/>
        <v>19723.46</v>
      </c>
      <c r="V21" s="4811"/>
      <c r="W21" s="1669">
        <v>3018.72</v>
      </c>
      <c r="X21" s="4792">
        <f t="shared" si="44"/>
        <v>0</v>
      </c>
      <c r="Y21" s="1998">
        <f t="shared" si="35"/>
        <v>11459.76</v>
      </c>
      <c r="Z21" s="6510">
        <f t="shared" si="45"/>
        <v>0</v>
      </c>
      <c r="AA21" s="6510">
        <f t="shared" si="46"/>
        <v>22742.18</v>
      </c>
      <c r="AB21" s="4811"/>
      <c r="AC21" s="1669">
        <v>3657.36</v>
      </c>
      <c r="AD21" s="4809">
        <f t="shared" si="47"/>
        <v>0</v>
      </c>
      <c r="AE21" s="1713">
        <f t="shared" si="48"/>
        <v>26399.54</v>
      </c>
      <c r="AF21" s="4811"/>
      <c r="AG21" s="1669">
        <v>3552.96</v>
      </c>
      <c r="AH21" s="4809">
        <f t="shared" si="49"/>
        <v>0</v>
      </c>
      <c r="AI21" s="1713">
        <f t="shared" si="50"/>
        <v>29952.5</v>
      </c>
      <c r="AJ21" s="4811"/>
      <c r="AK21" s="1669">
        <v>4180.8</v>
      </c>
      <c r="AL21" s="4792">
        <f t="shared" si="51"/>
        <v>0</v>
      </c>
      <c r="AM21" s="1998">
        <f t="shared" si="36"/>
        <v>11391.12</v>
      </c>
      <c r="AN21" s="4809">
        <f t="shared" si="52"/>
        <v>0</v>
      </c>
      <c r="AO21" s="1713">
        <f t="shared" si="53"/>
        <v>34133.300000000003</v>
      </c>
      <c r="AP21" s="4811"/>
      <c r="AQ21" s="1669">
        <v>4133.28</v>
      </c>
      <c r="AR21" s="4809">
        <f t="shared" si="54"/>
        <v>0</v>
      </c>
      <c r="AS21" s="1713">
        <f t="shared" si="55"/>
        <v>38266.58</v>
      </c>
      <c r="AT21" s="4811"/>
      <c r="AU21" s="1669">
        <v>3774</v>
      </c>
      <c r="AV21" s="4809">
        <f t="shared" si="56"/>
        <v>0</v>
      </c>
      <c r="AW21" s="1713">
        <f t="shared" si="57"/>
        <v>42040.58</v>
      </c>
      <c r="AX21" s="4811"/>
      <c r="AY21" s="1669">
        <v>4176</v>
      </c>
      <c r="AZ21" s="4792">
        <f t="shared" si="58"/>
        <v>0</v>
      </c>
      <c r="BA21" s="1998">
        <f t="shared" si="37"/>
        <v>12083.279999999999</v>
      </c>
      <c r="BB21" s="1998">
        <f t="shared" si="59"/>
        <v>0</v>
      </c>
      <c r="BC21" s="1998">
        <f t="shared" si="38"/>
        <v>23474.400000000001</v>
      </c>
      <c r="BD21" s="6510">
        <f t="shared" si="60"/>
        <v>0</v>
      </c>
      <c r="BE21" s="6510">
        <f t="shared" si="61"/>
        <v>46216.58</v>
      </c>
    </row>
    <row r="22" spans="1:57" ht="15" customHeight="1" x14ac:dyDescent="0.2">
      <c r="A22" s="2265"/>
      <c r="B22" s="1533" t="s">
        <v>587</v>
      </c>
      <c r="C22" s="1545" t="s">
        <v>833</v>
      </c>
      <c r="D22" s="4811"/>
      <c r="E22" s="2690">
        <v>0</v>
      </c>
      <c r="F22" s="4811"/>
      <c r="G22" s="1669">
        <v>0</v>
      </c>
      <c r="H22" s="4690">
        <f t="shared" si="39"/>
        <v>0</v>
      </c>
      <c r="I22" s="1713">
        <f t="shared" si="39"/>
        <v>0</v>
      </c>
      <c r="J22" s="4811"/>
      <c r="K22" s="1669">
        <v>0</v>
      </c>
      <c r="L22" s="4694">
        <f t="shared" si="40"/>
        <v>0</v>
      </c>
      <c r="M22" s="1998">
        <f t="shared" si="40"/>
        <v>0</v>
      </c>
      <c r="N22" s="4811"/>
      <c r="O22" s="1669">
        <v>0</v>
      </c>
      <c r="P22" s="4753">
        <f t="shared" si="41"/>
        <v>0</v>
      </c>
      <c r="Q22" s="1713">
        <f t="shared" si="41"/>
        <v>0</v>
      </c>
      <c r="R22" s="4811"/>
      <c r="S22" s="1669">
        <v>0</v>
      </c>
      <c r="T22" s="4809">
        <f t="shared" si="42"/>
        <v>0</v>
      </c>
      <c r="U22" s="1713">
        <f t="shared" si="43"/>
        <v>0</v>
      </c>
      <c r="V22" s="4811"/>
      <c r="W22" s="1669">
        <v>0</v>
      </c>
      <c r="X22" s="4792">
        <f t="shared" si="44"/>
        <v>0</v>
      </c>
      <c r="Y22" s="1998">
        <f t="shared" si="35"/>
        <v>0</v>
      </c>
      <c r="Z22" s="6510">
        <f t="shared" si="45"/>
        <v>0</v>
      </c>
      <c r="AA22" s="6510">
        <f t="shared" si="46"/>
        <v>0</v>
      </c>
      <c r="AB22" s="4811"/>
      <c r="AC22" s="1669">
        <v>0</v>
      </c>
      <c r="AD22" s="4809">
        <f t="shared" si="47"/>
        <v>0</v>
      </c>
      <c r="AE22" s="1713">
        <f t="shared" si="48"/>
        <v>0</v>
      </c>
      <c r="AF22" s="4811"/>
      <c r="AG22" s="1669">
        <v>0</v>
      </c>
      <c r="AH22" s="4809">
        <f t="shared" si="49"/>
        <v>0</v>
      </c>
      <c r="AI22" s="1713">
        <f t="shared" si="50"/>
        <v>0</v>
      </c>
      <c r="AJ22" s="4811"/>
      <c r="AK22" s="1669">
        <v>0</v>
      </c>
      <c r="AL22" s="4792">
        <f t="shared" si="51"/>
        <v>0</v>
      </c>
      <c r="AM22" s="1998">
        <f t="shared" si="36"/>
        <v>0</v>
      </c>
      <c r="AN22" s="4809">
        <f t="shared" si="52"/>
        <v>0</v>
      </c>
      <c r="AO22" s="1713">
        <f t="shared" si="53"/>
        <v>0</v>
      </c>
      <c r="AP22" s="4811"/>
      <c r="AQ22" s="1669">
        <v>0</v>
      </c>
      <c r="AR22" s="4809">
        <f t="shared" si="54"/>
        <v>0</v>
      </c>
      <c r="AS22" s="1713">
        <f t="shared" si="55"/>
        <v>0</v>
      </c>
      <c r="AT22" s="4811"/>
      <c r="AU22" s="1669">
        <v>0</v>
      </c>
      <c r="AV22" s="4809">
        <f t="shared" si="56"/>
        <v>0</v>
      </c>
      <c r="AW22" s="1713">
        <f t="shared" si="57"/>
        <v>0</v>
      </c>
      <c r="AX22" s="4811"/>
      <c r="AY22" s="1669">
        <v>0</v>
      </c>
      <c r="AZ22" s="4792">
        <f t="shared" si="58"/>
        <v>0</v>
      </c>
      <c r="BA22" s="1998">
        <f t="shared" si="37"/>
        <v>0</v>
      </c>
      <c r="BB22" s="1998">
        <f t="shared" si="59"/>
        <v>0</v>
      </c>
      <c r="BC22" s="1998">
        <f t="shared" si="38"/>
        <v>0</v>
      </c>
      <c r="BD22" s="6510">
        <f t="shared" si="60"/>
        <v>0</v>
      </c>
      <c r="BE22" s="6510">
        <f t="shared" si="61"/>
        <v>0</v>
      </c>
    </row>
    <row r="23" spans="1:57" ht="15" customHeight="1" x14ac:dyDescent="0.2">
      <c r="A23" s="2265"/>
      <c r="B23" s="1533" t="s">
        <v>399</v>
      </c>
      <c r="C23" s="1545" t="s">
        <v>833</v>
      </c>
      <c r="D23" s="4811"/>
      <c r="E23" s="2690">
        <v>0</v>
      </c>
      <c r="F23" s="4811"/>
      <c r="G23" s="1669">
        <v>0</v>
      </c>
      <c r="H23" s="4690">
        <f t="shared" si="39"/>
        <v>0</v>
      </c>
      <c r="I23" s="1713">
        <f t="shared" si="39"/>
        <v>0</v>
      </c>
      <c r="J23" s="4811"/>
      <c r="K23" s="1669">
        <v>0</v>
      </c>
      <c r="L23" s="4694">
        <f t="shared" si="40"/>
        <v>0</v>
      </c>
      <c r="M23" s="1998">
        <f t="shared" si="40"/>
        <v>0</v>
      </c>
      <c r="N23" s="4811"/>
      <c r="O23" s="1669">
        <v>0</v>
      </c>
      <c r="P23" s="4753">
        <f t="shared" si="41"/>
        <v>0</v>
      </c>
      <c r="Q23" s="1713">
        <f t="shared" si="41"/>
        <v>0</v>
      </c>
      <c r="R23" s="4811"/>
      <c r="S23" s="1669">
        <v>0</v>
      </c>
      <c r="T23" s="4809">
        <f t="shared" si="42"/>
        <v>0</v>
      </c>
      <c r="U23" s="1713">
        <f t="shared" si="43"/>
        <v>0</v>
      </c>
      <c r="V23" s="4811"/>
      <c r="W23" s="1669">
        <v>0</v>
      </c>
      <c r="X23" s="4792">
        <f t="shared" si="44"/>
        <v>0</v>
      </c>
      <c r="Y23" s="1998">
        <f t="shared" si="35"/>
        <v>0</v>
      </c>
      <c r="Z23" s="6510">
        <f t="shared" si="45"/>
        <v>0</v>
      </c>
      <c r="AA23" s="6510">
        <f t="shared" si="46"/>
        <v>0</v>
      </c>
      <c r="AB23" s="4811"/>
      <c r="AC23" s="1669">
        <v>0</v>
      </c>
      <c r="AD23" s="4809">
        <f t="shared" si="47"/>
        <v>0</v>
      </c>
      <c r="AE23" s="1713">
        <f t="shared" si="48"/>
        <v>0</v>
      </c>
      <c r="AF23" s="4811"/>
      <c r="AG23" s="1669">
        <v>0</v>
      </c>
      <c r="AH23" s="4809">
        <f t="shared" si="49"/>
        <v>0</v>
      </c>
      <c r="AI23" s="1713">
        <f t="shared" si="50"/>
        <v>0</v>
      </c>
      <c r="AJ23" s="4811"/>
      <c r="AK23" s="1669">
        <v>0</v>
      </c>
      <c r="AL23" s="4792">
        <f t="shared" si="51"/>
        <v>0</v>
      </c>
      <c r="AM23" s="1998">
        <f t="shared" si="36"/>
        <v>0</v>
      </c>
      <c r="AN23" s="4809">
        <f t="shared" si="52"/>
        <v>0</v>
      </c>
      <c r="AO23" s="1713">
        <f t="shared" si="53"/>
        <v>0</v>
      </c>
      <c r="AP23" s="4811"/>
      <c r="AQ23" s="1669">
        <v>0</v>
      </c>
      <c r="AR23" s="4809">
        <f t="shared" si="54"/>
        <v>0</v>
      </c>
      <c r="AS23" s="1713">
        <f t="shared" si="55"/>
        <v>0</v>
      </c>
      <c r="AT23" s="4811"/>
      <c r="AU23" s="1669">
        <v>0</v>
      </c>
      <c r="AV23" s="4809">
        <f t="shared" si="56"/>
        <v>0</v>
      </c>
      <c r="AW23" s="1713">
        <f t="shared" si="57"/>
        <v>0</v>
      </c>
      <c r="AX23" s="4811"/>
      <c r="AY23" s="1669">
        <v>0</v>
      </c>
      <c r="AZ23" s="4792">
        <f t="shared" si="58"/>
        <v>0</v>
      </c>
      <c r="BA23" s="1998">
        <f t="shared" si="37"/>
        <v>0</v>
      </c>
      <c r="BB23" s="1998">
        <f t="shared" si="59"/>
        <v>0</v>
      </c>
      <c r="BC23" s="1998">
        <f t="shared" si="38"/>
        <v>0</v>
      </c>
      <c r="BD23" s="6510">
        <f t="shared" si="60"/>
        <v>0</v>
      </c>
      <c r="BE23" s="6510">
        <f t="shared" si="61"/>
        <v>0</v>
      </c>
    </row>
    <row r="24" spans="1:57" x14ac:dyDescent="0.2">
      <c r="A24" s="2265"/>
      <c r="B24" s="1533" t="s">
        <v>400</v>
      </c>
      <c r="C24" s="1545" t="s">
        <v>833</v>
      </c>
      <c r="D24" s="4811"/>
      <c r="E24" s="2690">
        <v>3002.93</v>
      </c>
      <c r="F24" s="4811"/>
      <c r="G24" s="1669">
        <v>3075.1</v>
      </c>
      <c r="H24" s="4690">
        <f t="shared" si="39"/>
        <v>0</v>
      </c>
      <c r="I24" s="1713">
        <f t="shared" si="39"/>
        <v>6078.03</v>
      </c>
      <c r="J24" s="4811"/>
      <c r="K24" s="1669">
        <v>2777.8</v>
      </c>
      <c r="L24" s="4694">
        <f t="shared" si="40"/>
        <v>0</v>
      </c>
      <c r="M24" s="1998">
        <f t="shared" si="40"/>
        <v>8855.83</v>
      </c>
      <c r="N24" s="4811"/>
      <c r="O24" s="1669">
        <v>2952.8</v>
      </c>
      <c r="P24" s="4753">
        <f t="shared" si="41"/>
        <v>0</v>
      </c>
      <c r="Q24" s="1713">
        <f t="shared" si="41"/>
        <v>11808.630000000001</v>
      </c>
      <c r="R24" s="4811"/>
      <c r="S24" s="1669">
        <v>3068.1</v>
      </c>
      <c r="T24" s="4809">
        <f t="shared" si="42"/>
        <v>0</v>
      </c>
      <c r="U24" s="1713">
        <f t="shared" si="43"/>
        <v>14876.730000000001</v>
      </c>
      <c r="V24" s="4811"/>
      <c r="W24" s="1669">
        <v>2895.35</v>
      </c>
      <c r="X24" s="4792">
        <f t="shared" si="44"/>
        <v>0</v>
      </c>
      <c r="Y24" s="1998">
        <f t="shared" si="35"/>
        <v>8916.25</v>
      </c>
      <c r="Z24" s="6510">
        <f t="shared" si="45"/>
        <v>0</v>
      </c>
      <c r="AA24" s="6510">
        <f t="shared" si="46"/>
        <v>17772.080000000002</v>
      </c>
      <c r="AB24" s="4811"/>
      <c r="AC24" s="1669">
        <v>3001.1</v>
      </c>
      <c r="AD24" s="4809">
        <f t="shared" si="47"/>
        <v>0</v>
      </c>
      <c r="AE24" s="1713">
        <f t="shared" si="48"/>
        <v>20773.18</v>
      </c>
      <c r="AF24" s="4811"/>
      <c r="AG24" s="1669">
        <v>2733.7</v>
      </c>
      <c r="AH24" s="4809">
        <f t="shared" si="49"/>
        <v>0</v>
      </c>
      <c r="AI24" s="1713">
        <f t="shared" si="50"/>
        <v>23506.880000000001</v>
      </c>
      <c r="AJ24" s="4811"/>
      <c r="AK24" s="1669">
        <v>2852.64</v>
      </c>
      <c r="AL24" s="4792">
        <f t="shared" si="51"/>
        <v>0</v>
      </c>
      <c r="AM24" s="1998">
        <f t="shared" si="36"/>
        <v>8587.44</v>
      </c>
      <c r="AN24" s="4809">
        <f t="shared" si="52"/>
        <v>0</v>
      </c>
      <c r="AO24" s="1713">
        <f t="shared" si="53"/>
        <v>26359.52</v>
      </c>
      <c r="AP24" s="4811"/>
      <c r="AQ24" s="1669">
        <v>2896.94</v>
      </c>
      <c r="AR24" s="4809">
        <f t="shared" si="54"/>
        <v>0</v>
      </c>
      <c r="AS24" s="1713">
        <f t="shared" si="55"/>
        <v>29256.46</v>
      </c>
      <c r="AT24" s="4811"/>
      <c r="AU24" s="1669">
        <v>2171.6</v>
      </c>
      <c r="AV24" s="4809">
        <f t="shared" si="56"/>
        <v>0</v>
      </c>
      <c r="AW24" s="1713">
        <f t="shared" si="57"/>
        <v>31428.059999999998</v>
      </c>
      <c r="AX24" s="4811"/>
      <c r="AY24" s="1669">
        <v>2502.6999999999998</v>
      </c>
      <c r="AZ24" s="4792">
        <f t="shared" si="58"/>
        <v>0</v>
      </c>
      <c r="BA24" s="1998">
        <f t="shared" si="37"/>
        <v>7571.24</v>
      </c>
      <c r="BB24" s="1998">
        <f t="shared" si="59"/>
        <v>0</v>
      </c>
      <c r="BC24" s="1998">
        <f t="shared" si="38"/>
        <v>16158.68</v>
      </c>
      <c r="BD24" s="6510">
        <f t="shared" si="60"/>
        <v>0</v>
      </c>
      <c r="BE24" s="6510">
        <f t="shared" si="61"/>
        <v>33930.759999999995</v>
      </c>
    </row>
    <row r="25" spans="1:57" x14ac:dyDescent="0.2">
      <c r="A25" s="2265"/>
      <c r="B25" s="1533" t="s">
        <v>286</v>
      </c>
      <c r="C25" s="1545" t="s">
        <v>833</v>
      </c>
      <c r="D25" s="4811"/>
      <c r="E25" s="2690">
        <v>9582.93</v>
      </c>
      <c r="F25" s="4811"/>
      <c r="G25" s="1669">
        <v>10242.66</v>
      </c>
      <c r="H25" s="4690">
        <f t="shared" si="39"/>
        <v>0</v>
      </c>
      <c r="I25" s="1713">
        <f t="shared" si="39"/>
        <v>19825.59</v>
      </c>
      <c r="J25" s="4811"/>
      <c r="K25" s="1669">
        <v>10738.4</v>
      </c>
      <c r="L25" s="4694">
        <f t="shared" si="40"/>
        <v>0</v>
      </c>
      <c r="M25" s="1998">
        <f t="shared" si="40"/>
        <v>30563.989999999998</v>
      </c>
      <c r="N25" s="4811"/>
      <c r="O25" s="1669">
        <v>12069.28</v>
      </c>
      <c r="P25" s="4753">
        <f t="shared" si="41"/>
        <v>0</v>
      </c>
      <c r="Q25" s="1713">
        <f t="shared" si="41"/>
        <v>42633.27</v>
      </c>
      <c r="R25" s="4811"/>
      <c r="S25" s="1669">
        <v>12387.38</v>
      </c>
      <c r="T25" s="4809">
        <f t="shared" si="42"/>
        <v>0</v>
      </c>
      <c r="U25" s="1713">
        <f t="shared" si="43"/>
        <v>55020.649999999994</v>
      </c>
      <c r="V25" s="4811"/>
      <c r="W25" s="1669">
        <v>10434.959999999999</v>
      </c>
      <c r="X25" s="4792">
        <f t="shared" si="44"/>
        <v>0</v>
      </c>
      <c r="Y25" s="1998">
        <f t="shared" si="35"/>
        <v>34891.619999999995</v>
      </c>
      <c r="Z25" s="6510">
        <f t="shared" si="45"/>
        <v>0</v>
      </c>
      <c r="AA25" s="6510">
        <f t="shared" si="46"/>
        <v>65455.609999999993</v>
      </c>
      <c r="AB25" s="4811"/>
      <c r="AC25" s="1669">
        <v>11634</v>
      </c>
      <c r="AD25" s="4809">
        <f t="shared" si="47"/>
        <v>0</v>
      </c>
      <c r="AE25" s="1713">
        <f t="shared" si="48"/>
        <v>77089.609999999986</v>
      </c>
      <c r="AF25" s="4811"/>
      <c r="AG25" s="1669">
        <v>11474.88</v>
      </c>
      <c r="AH25" s="4809">
        <f t="shared" si="49"/>
        <v>0</v>
      </c>
      <c r="AI25" s="1713">
        <f t="shared" si="50"/>
        <v>88564.489999999991</v>
      </c>
      <c r="AJ25" s="4811"/>
      <c r="AK25" s="1669">
        <v>11845.53</v>
      </c>
      <c r="AL25" s="4792">
        <f t="shared" si="51"/>
        <v>0</v>
      </c>
      <c r="AM25" s="1998">
        <f t="shared" si="36"/>
        <v>34954.410000000003</v>
      </c>
      <c r="AN25" s="4809">
        <f t="shared" si="52"/>
        <v>0</v>
      </c>
      <c r="AO25" s="1713">
        <f t="shared" si="53"/>
        <v>100410.01999999999</v>
      </c>
      <c r="AP25" s="4811"/>
      <c r="AQ25" s="1669">
        <v>11789.24</v>
      </c>
      <c r="AR25" s="4809">
        <f t="shared" si="54"/>
        <v>0</v>
      </c>
      <c r="AS25" s="1713">
        <f t="shared" si="55"/>
        <v>112199.26</v>
      </c>
      <c r="AT25" s="4811"/>
      <c r="AU25" s="1669">
        <v>10299</v>
      </c>
      <c r="AV25" s="4809">
        <f t="shared" si="56"/>
        <v>0</v>
      </c>
      <c r="AW25" s="1713">
        <f t="shared" si="57"/>
        <v>122498.26</v>
      </c>
      <c r="AX25" s="4811"/>
      <c r="AY25" s="1669">
        <v>11203.9</v>
      </c>
      <c r="AZ25" s="4792">
        <f t="shared" si="58"/>
        <v>0</v>
      </c>
      <c r="BA25" s="1998">
        <f t="shared" si="37"/>
        <v>33292.14</v>
      </c>
      <c r="BB25" s="1998">
        <f t="shared" si="59"/>
        <v>0</v>
      </c>
      <c r="BC25" s="1998">
        <f t="shared" si="38"/>
        <v>68246.55</v>
      </c>
      <c r="BD25" s="6510">
        <f t="shared" si="60"/>
        <v>0</v>
      </c>
      <c r="BE25" s="6510">
        <f t="shared" si="61"/>
        <v>133702.16</v>
      </c>
    </row>
    <row r="26" spans="1:57" x14ac:dyDescent="0.2">
      <c r="A26" s="2265"/>
      <c r="B26" s="1533" t="s">
        <v>192</v>
      </c>
      <c r="C26" s="1545" t="s">
        <v>833</v>
      </c>
      <c r="D26" s="4811"/>
      <c r="E26" s="2690">
        <v>1120.32</v>
      </c>
      <c r="F26" s="4811"/>
      <c r="G26" s="1669">
        <v>1557.12</v>
      </c>
      <c r="H26" s="4690">
        <f t="shared" si="39"/>
        <v>0</v>
      </c>
      <c r="I26" s="1713">
        <f t="shared" si="39"/>
        <v>2677.4399999999996</v>
      </c>
      <c r="J26" s="4811"/>
      <c r="K26" s="1669">
        <v>2017.2</v>
      </c>
      <c r="L26" s="4694">
        <f t="shared" si="40"/>
        <v>0</v>
      </c>
      <c r="M26" s="1998">
        <f t="shared" si="40"/>
        <v>4694.6399999999994</v>
      </c>
      <c r="N26" s="4811"/>
      <c r="O26" s="1669">
        <v>2443.6799999999998</v>
      </c>
      <c r="P26" s="4753">
        <f t="shared" si="41"/>
        <v>0</v>
      </c>
      <c r="Q26" s="1713">
        <f t="shared" si="41"/>
        <v>7138.32</v>
      </c>
      <c r="R26" s="4811"/>
      <c r="S26" s="1669">
        <v>2556</v>
      </c>
      <c r="T26" s="4809">
        <f t="shared" si="42"/>
        <v>0</v>
      </c>
      <c r="U26" s="1713">
        <f t="shared" si="43"/>
        <v>9694.32</v>
      </c>
      <c r="V26" s="4811"/>
      <c r="W26" s="1669">
        <v>1790.64</v>
      </c>
      <c r="X26" s="4792">
        <f t="shared" si="44"/>
        <v>0</v>
      </c>
      <c r="Y26" s="1998">
        <f t="shared" si="35"/>
        <v>6790.32</v>
      </c>
      <c r="Z26" s="6510">
        <f t="shared" si="45"/>
        <v>0</v>
      </c>
      <c r="AA26" s="6510">
        <f t="shared" si="46"/>
        <v>11484.96</v>
      </c>
      <c r="AB26" s="4811"/>
      <c r="AC26" s="1669">
        <v>1879.44</v>
      </c>
      <c r="AD26" s="4809">
        <f t="shared" si="47"/>
        <v>0</v>
      </c>
      <c r="AE26" s="1713">
        <f t="shared" si="48"/>
        <v>13364.4</v>
      </c>
      <c r="AF26" s="4811"/>
      <c r="AG26" s="1669">
        <v>2347.6799999999998</v>
      </c>
      <c r="AH26" s="4809">
        <f t="shared" si="49"/>
        <v>0</v>
      </c>
      <c r="AI26" s="1713">
        <f t="shared" si="50"/>
        <v>15712.08</v>
      </c>
      <c r="AJ26" s="4811"/>
      <c r="AK26" s="1669">
        <v>2360.64</v>
      </c>
      <c r="AL26" s="4792">
        <f t="shared" si="51"/>
        <v>0</v>
      </c>
      <c r="AM26" s="1998">
        <f t="shared" si="36"/>
        <v>6587.76</v>
      </c>
      <c r="AN26" s="4809">
        <f t="shared" si="52"/>
        <v>0</v>
      </c>
      <c r="AO26" s="1713">
        <f t="shared" si="53"/>
        <v>18072.72</v>
      </c>
      <c r="AP26" s="4811"/>
      <c r="AQ26" s="1669">
        <v>2594.88</v>
      </c>
      <c r="AR26" s="4809">
        <f t="shared" si="54"/>
        <v>0</v>
      </c>
      <c r="AS26" s="1713">
        <f>+AO26+AQ26</f>
        <v>20667.600000000002</v>
      </c>
      <c r="AT26" s="4811"/>
      <c r="AU26" s="1669">
        <v>2193.6</v>
      </c>
      <c r="AV26" s="4809">
        <f t="shared" si="56"/>
        <v>0</v>
      </c>
      <c r="AW26" s="1713">
        <f>+AS26+AU26</f>
        <v>22861.200000000001</v>
      </c>
      <c r="AX26" s="4811"/>
      <c r="AY26" s="1669">
        <v>2595.1</v>
      </c>
      <c r="AZ26" s="4792">
        <f t="shared" si="58"/>
        <v>0</v>
      </c>
      <c r="BA26" s="1998">
        <f t="shared" si="37"/>
        <v>7383.58</v>
      </c>
      <c r="BB26" s="1998">
        <f t="shared" si="59"/>
        <v>0</v>
      </c>
      <c r="BC26" s="1998">
        <f t="shared" si="38"/>
        <v>13971.34</v>
      </c>
      <c r="BD26" s="6510">
        <f t="shared" si="60"/>
        <v>0</v>
      </c>
      <c r="BE26" s="6510">
        <f t="shared" si="61"/>
        <v>25456.3</v>
      </c>
    </row>
    <row r="27" spans="1:57" x14ac:dyDescent="0.2">
      <c r="A27" s="2265"/>
      <c r="B27" s="1533" t="s">
        <v>193</v>
      </c>
      <c r="C27" s="1545" t="s">
        <v>833</v>
      </c>
      <c r="D27" s="4811"/>
      <c r="E27" s="2690">
        <v>386.88</v>
      </c>
      <c r="F27" s="4811"/>
      <c r="G27" s="1669">
        <v>572.4</v>
      </c>
      <c r="H27" s="4690">
        <f t="shared" si="39"/>
        <v>0</v>
      </c>
      <c r="I27" s="1713">
        <f t="shared" si="39"/>
        <v>959.28</v>
      </c>
      <c r="J27" s="4811"/>
      <c r="K27" s="1669">
        <v>813.1</v>
      </c>
      <c r="L27" s="4694">
        <f t="shared" si="40"/>
        <v>0</v>
      </c>
      <c r="M27" s="1998">
        <f t="shared" si="40"/>
        <v>1772.38</v>
      </c>
      <c r="N27" s="4811"/>
      <c r="O27" s="1669">
        <v>1084.08</v>
      </c>
      <c r="P27" s="4753">
        <f t="shared" si="41"/>
        <v>0</v>
      </c>
      <c r="Q27" s="1713">
        <f t="shared" si="41"/>
        <v>2856.46</v>
      </c>
      <c r="R27" s="4811"/>
      <c r="S27" s="1669">
        <v>1109.04</v>
      </c>
      <c r="T27" s="4809">
        <f t="shared" si="42"/>
        <v>0</v>
      </c>
      <c r="U27" s="1713">
        <f t="shared" si="43"/>
        <v>3965.5</v>
      </c>
      <c r="V27" s="4811"/>
      <c r="W27" s="1669">
        <v>781.2</v>
      </c>
      <c r="X27" s="4792">
        <f t="shared" si="44"/>
        <v>0</v>
      </c>
      <c r="Y27" s="1998">
        <f t="shared" si="35"/>
        <v>2974.3199999999997</v>
      </c>
      <c r="Z27" s="6510">
        <f t="shared" si="45"/>
        <v>0</v>
      </c>
      <c r="AA27" s="6510">
        <f t="shared" si="46"/>
        <v>4746.7</v>
      </c>
      <c r="AB27" s="4811"/>
      <c r="AC27" s="1669">
        <v>725.28</v>
      </c>
      <c r="AD27" s="4809">
        <f t="shared" si="47"/>
        <v>0</v>
      </c>
      <c r="AE27" s="1713">
        <f t="shared" si="48"/>
        <v>5471.98</v>
      </c>
      <c r="AF27" s="4811"/>
      <c r="AG27" s="1669">
        <v>972.48</v>
      </c>
      <c r="AH27" s="4809">
        <f t="shared" si="49"/>
        <v>0</v>
      </c>
      <c r="AI27" s="1713">
        <f t="shared" si="50"/>
        <v>6444.4599999999991</v>
      </c>
      <c r="AJ27" s="4811"/>
      <c r="AK27" s="1669">
        <v>1014.96</v>
      </c>
      <c r="AL27" s="4792">
        <f t="shared" si="51"/>
        <v>0</v>
      </c>
      <c r="AM27" s="1998">
        <f t="shared" si="36"/>
        <v>2712.7200000000003</v>
      </c>
      <c r="AN27" s="4809">
        <f t="shared" si="52"/>
        <v>0</v>
      </c>
      <c r="AO27" s="1713">
        <f t="shared" si="53"/>
        <v>7459.4199999999992</v>
      </c>
      <c r="AP27" s="4811"/>
      <c r="AQ27" s="1669">
        <v>1109.52</v>
      </c>
      <c r="AR27" s="4809">
        <f t="shared" si="54"/>
        <v>0</v>
      </c>
      <c r="AS27" s="1713">
        <f t="shared" si="55"/>
        <v>8568.9399999999987</v>
      </c>
      <c r="AT27" s="4811"/>
      <c r="AU27" s="1669">
        <v>997.7</v>
      </c>
      <c r="AV27" s="4809">
        <f t="shared" si="56"/>
        <v>0</v>
      </c>
      <c r="AW27" s="1713">
        <f t="shared" ref="AW27:AW33" si="62">+AS27+AU27</f>
        <v>9566.64</v>
      </c>
      <c r="AX27" s="4811"/>
      <c r="AY27" s="1669">
        <v>1116</v>
      </c>
      <c r="AZ27" s="4792">
        <f t="shared" si="58"/>
        <v>0</v>
      </c>
      <c r="BA27" s="1998">
        <f t="shared" si="37"/>
        <v>3223.22</v>
      </c>
      <c r="BB27" s="1998">
        <f t="shared" si="59"/>
        <v>0</v>
      </c>
      <c r="BC27" s="1998">
        <f t="shared" si="38"/>
        <v>5935.9400000000005</v>
      </c>
      <c r="BD27" s="6510">
        <f t="shared" si="60"/>
        <v>0</v>
      </c>
      <c r="BE27" s="6510">
        <f t="shared" si="61"/>
        <v>10682.64</v>
      </c>
    </row>
    <row r="28" spans="1:57" ht="15" customHeight="1" x14ac:dyDescent="0.2">
      <c r="A28" s="2265"/>
      <c r="B28" s="1533" t="s">
        <v>194</v>
      </c>
      <c r="C28" s="1545" t="s">
        <v>833</v>
      </c>
      <c r="D28" s="4811"/>
      <c r="E28" s="2690">
        <v>19.940000000000001</v>
      </c>
      <c r="F28" s="4811"/>
      <c r="G28" s="1669">
        <v>397.93</v>
      </c>
      <c r="H28" s="4690">
        <f t="shared" si="39"/>
        <v>0</v>
      </c>
      <c r="I28" s="1713">
        <f t="shared" si="39"/>
        <v>417.87</v>
      </c>
      <c r="J28" s="4811"/>
      <c r="K28" s="1669">
        <v>1291.5999999999999</v>
      </c>
      <c r="L28" s="4694">
        <f t="shared" si="40"/>
        <v>0</v>
      </c>
      <c r="M28" s="1998">
        <f t="shared" si="40"/>
        <v>1709.4699999999998</v>
      </c>
      <c r="N28" s="4811"/>
      <c r="O28" s="1669">
        <v>841.31</v>
      </c>
      <c r="P28" s="4753">
        <f t="shared" si="41"/>
        <v>0</v>
      </c>
      <c r="Q28" s="1713">
        <f t="shared" si="41"/>
        <v>2550.7799999999997</v>
      </c>
      <c r="R28" s="4811"/>
      <c r="S28" s="1669">
        <v>170.48</v>
      </c>
      <c r="T28" s="4809">
        <f t="shared" si="42"/>
        <v>0</v>
      </c>
      <c r="U28" s="1713">
        <f t="shared" si="43"/>
        <v>2721.2599999999998</v>
      </c>
      <c r="V28" s="4811"/>
      <c r="W28" s="1669">
        <v>656.81</v>
      </c>
      <c r="X28" s="4792">
        <f t="shared" si="44"/>
        <v>0</v>
      </c>
      <c r="Y28" s="1998">
        <f t="shared" si="35"/>
        <v>1668.6</v>
      </c>
      <c r="Z28" s="6510">
        <f t="shared" si="45"/>
        <v>0</v>
      </c>
      <c r="AA28" s="6510">
        <f t="shared" si="46"/>
        <v>3378.0699999999997</v>
      </c>
      <c r="AB28" s="4811"/>
      <c r="AC28" s="1669">
        <v>731.69</v>
      </c>
      <c r="AD28" s="4809">
        <f t="shared" si="47"/>
        <v>0</v>
      </c>
      <c r="AE28" s="1713">
        <f t="shared" si="48"/>
        <v>4109.76</v>
      </c>
      <c r="AF28" s="4811"/>
      <c r="AG28" s="1669">
        <v>1108.9100000000001</v>
      </c>
      <c r="AH28" s="4809">
        <f t="shared" si="49"/>
        <v>0</v>
      </c>
      <c r="AI28" s="1713">
        <f t="shared" si="50"/>
        <v>5218.67</v>
      </c>
      <c r="AJ28" s="4811"/>
      <c r="AK28" s="1669">
        <v>1089.18</v>
      </c>
      <c r="AL28" s="4792">
        <f t="shared" si="51"/>
        <v>0</v>
      </c>
      <c r="AM28" s="1998">
        <f t="shared" si="36"/>
        <v>2929.78</v>
      </c>
      <c r="AN28" s="4809">
        <f t="shared" si="52"/>
        <v>0</v>
      </c>
      <c r="AO28" s="1713">
        <f t="shared" si="53"/>
        <v>6307.85</v>
      </c>
      <c r="AP28" s="4811"/>
      <c r="AQ28" s="1669">
        <v>789.98</v>
      </c>
      <c r="AR28" s="4809">
        <f t="shared" si="54"/>
        <v>0</v>
      </c>
      <c r="AS28" s="1713">
        <f t="shared" si="55"/>
        <v>7097.83</v>
      </c>
      <c r="AT28" s="4811"/>
      <c r="AU28" s="1669">
        <v>740.2</v>
      </c>
      <c r="AV28" s="4809">
        <f t="shared" si="56"/>
        <v>0</v>
      </c>
      <c r="AW28" s="1713">
        <f t="shared" si="62"/>
        <v>7838.03</v>
      </c>
      <c r="AX28" s="4811"/>
      <c r="AY28" s="1669">
        <v>849</v>
      </c>
      <c r="AZ28" s="4792">
        <f t="shared" si="58"/>
        <v>0</v>
      </c>
      <c r="BA28" s="1998">
        <f t="shared" si="37"/>
        <v>2379.1800000000003</v>
      </c>
      <c r="BB28" s="1998">
        <f t="shared" si="59"/>
        <v>0</v>
      </c>
      <c r="BC28" s="1998">
        <f t="shared" si="38"/>
        <v>5308.9600000000009</v>
      </c>
      <c r="BD28" s="6510">
        <f t="shared" si="60"/>
        <v>0</v>
      </c>
      <c r="BE28" s="6510">
        <f t="shared" si="61"/>
        <v>8687.0299999999988</v>
      </c>
    </row>
    <row r="29" spans="1:57" ht="15" customHeight="1" x14ac:dyDescent="0.2">
      <c r="A29" s="2265"/>
      <c r="B29" s="1533" t="s">
        <v>318</v>
      </c>
      <c r="C29" s="1545" t="s">
        <v>833</v>
      </c>
      <c r="D29" s="4811"/>
      <c r="E29" s="2690">
        <v>0</v>
      </c>
      <c r="F29" s="4811"/>
      <c r="G29" s="1669">
        <v>1082.0899999999999</v>
      </c>
      <c r="H29" s="4690">
        <f t="shared" si="39"/>
        <v>0</v>
      </c>
      <c r="I29" s="1713">
        <f t="shared" si="39"/>
        <v>1082.0899999999999</v>
      </c>
      <c r="J29" s="4811"/>
      <c r="K29" s="1669">
        <v>1408.3</v>
      </c>
      <c r="L29" s="4694">
        <f t="shared" si="40"/>
        <v>0</v>
      </c>
      <c r="M29" s="1998">
        <f t="shared" si="40"/>
        <v>2490.39</v>
      </c>
      <c r="N29" s="4811"/>
      <c r="O29" s="1669">
        <v>981.39</v>
      </c>
      <c r="P29" s="4753">
        <f t="shared" si="41"/>
        <v>0</v>
      </c>
      <c r="Q29" s="1713">
        <f t="shared" si="41"/>
        <v>3471.7799999999997</v>
      </c>
      <c r="R29" s="4811"/>
      <c r="S29" s="1669">
        <v>231.92</v>
      </c>
      <c r="T29" s="4809">
        <f t="shared" si="42"/>
        <v>0</v>
      </c>
      <c r="U29" s="1713">
        <f t="shared" si="43"/>
        <v>3703.7</v>
      </c>
      <c r="V29" s="4811"/>
      <c r="W29" s="1669">
        <v>636.29</v>
      </c>
      <c r="X29" s="4792">
        <f t="shared" si="44"/>
        <v>0</v>
      </c>
      <c r="Y29" s="1998">
        <f t="shared" si="35"/>
        <v>1849.6</v>
      </c>
      <c r="Z29" s="6510">
        <f t="shared" si="45"/>
        <v>0</v>
      </c>
      <c r="AA29" s="6510">
        <f t="shared" si="46"/>
        <v>4339.99</v>
      </c>
      <c r="AB29" s="4811"/>
      <c r="AC29" s="1669">
        <v>744.9</v>
      </c>
      <c r="AD29" s="4809">
        <f t="shared" si="47"/>
        <v>0</v>
      </c>
      <c r="AE29" s="1713">
        <f t="shared" si="48"/>
        <v>5084.8899999999994</v>
      </c>
      <c r="AF29" s="4811"/>
      <c r="AG29" s="1669">
        <v>1085.58</v>
      </c>
      <c r="AH29" s="4809">
        <f t="shared" si="49"/>
        <v>0</v>
      </c>
      <c r="AI29" s="1713">
        <f t="shared" si="50"/>
        <v>6170.4699999999993</v>
      </c>
      <c r="AJ29" s="4811"/>
      <c r="AK29" s="1669">
        <v>1459.4</v>
      </c>
      <c r="AL29" s="4792">
        <f t="shared" si="51"/>
        <v>0</v>
      </c>
      <c r="AM29" s="1998">
        <f t="shared" si="36"/>
        <v>3289.88</v>
      </c>
      <c r="AN29" s="4809">
        <f t="shared" si="52"/>
        <v>0</v>
      </c>
      <c r="AO29" s="1713">
        <f t="shared" si="53"/>
        <v>7629.869999999999</v>
      </c>
      <c r="AP29" s="4811"/>
      <c r="AQ29" s="1669">
        <v>1050.25</v>
      </c>
      <c r="AR29" s="4809">
        <f t="shared" si="54"/>
        <v>0</v>
      </c>
      <c r="AS29" s="1713">
        <f t="shared" si="55"/>
        <v>8680.119999999999</v>
      </c>
      <c r="AT29" s="4811"/>
      <c r="AU29" s="1669">
        <v>1082.5</v>
      </c>
      <c r="AV29" s="4809">
        <f t="shared" si="56"/>
        <v>0</v>
      </c>
      <c r="AW29" s="1713">
        <f t="shared" si="62"/>
        <v>9762.619999999999</v>
      </c>
      <c r="AX29" s="4811"/>
      <c r="AY29" s="1669">
        <v>1004.6</v>
      </c>
      <c r="AZ29" s="4792">
        <f t="shared" si="58"/>
        <v>0</v>
      </c>
      <c r="BA29" s="1998">
        <f t="shared" si="37"/>
        <v>3137.35</v>
      </c>
      <c r="BB29" s="1998">
        <f t="shared" si="59"/>
        <v>0</v>
      </c>
      <c r="BC29" s="1998">
        <f t="shared" si="38"/>
        <v>6427.23</v>
      </c>
      <c r="BD29" s="6510">
        <f t="shared" si="60"/>
        <v>0</v>
      </c>
      <c r="BE29" s="6510">
        <f t="shared" si="61"/>
        <v>10767.22</v>
      </c>
    </row>
    <row r="30" spans="1:57" ht="15" customHeight="1" x14ac:dyDescent="0.2">
      <c r="A30" s="2265"/>
      <c r="B30" s="1533" t="s">
        <v>401</v>
      </c>
      <c r="C30" s="1545" t="s">
        <v>833</v>
      </c>
      <c r="D30" s="4811"/>
      <c r="E30" s="2690">
        <v>0</v>
      </c>
      <c r="F30" s="4811"/>
      <c r="G30" s="1669">
        <v>0</v>
      </c>
      <c r="H30" s="4690">
        <f t="shared" si="39"/>
        <v>0</v>
      </c>
      <c r="I30" s="1713">
        <f t="shared" si="39"/>
        <v>0</v>
      </c>
      <c r="J30" s="4811"/>
      <c r="K30" s="1669">
        <v>0</v>
      </c>
      <c r="L30" s="4694">
        <f t="shared" si="40"/>
        <v>0</v>
      </c>
      <c r="M30" s="1998">
        <f t="shared" si="40"/>
        <v>0</v>
      </c>
      <c r="N30" s="4811"/>
      <c r="O30" s="1669">
        <v>0</v>
      </c>
      <c r="P30" s="4753">
        <f t="shared" si="41"/>
        <v>0</v>
      </c>
      <c r="Q30" s="1713">
        <f t="shared" si="41"/>
        <v>0</v>
      </c>
      <c r="R30" s="4811"/>
      <c r="S30" s="1669">
        <v>0</v>
      </c>
      <c r="T30" s="4809">
        <f t="shared" si="42"/>
        <v>0</v>
      </c>
      <c r="U30" s="1713">
        <f t="shared" si="43"/>
        <v>0</v>
      </c>
      <c r="V30" s="4811"/>
      <c r="W30" s="1669">
        <v>3.9</v>
      </c>
      <c r="X30" s="4792">
        <f t="shared" si="44"/>
        <v>0</v>
      </c>
      <c r="Y30" s="1998">
        <f t="shared" si="35"/>
        <v>3.9</v>
      </c>
      <c r="Z30" s="6510">
        <f t="shared" si="45"/>
        <v>0</v>
      </c>
      <c r="AA30" s="6510">
        <f t="shared" si="46"/>
        <v>3.9</v>
      </c>
      <c r="AB30" s="4811"/>
      <c r="AC30" s="1669">
        <v>747.67</v>
      </c>
      <c r="AD30" s="4809">
        <f t="shared" si="47"/>
        <v>0</v>
      </c>
      <c r="AE30" s="1713">
        <f t="shared" si="48"/>
        <v>751.56999999999994</v>
      </c>
      <c r="AF30" s="4811"/>
      <c r="AG30" s="1669">
        <v>1268.57</v>
      </c>
      <c r="AH30" s="4809">
        <f t="shared" si="49"/>
        <v>0</v>
      </c>
      <c r="AI30" s="1713">
        <f t="shared" si="50"/>
        <v>2020.1399999999999</v>
      </c>
      <c r="AJ30" s="4811"/>
      <c r="AK30" s="1669">
        <v>495.65</v>
      </c>
      <c r="AL30" s="4792">
        <f t="shared" si="51"/>
        <v>0</v>
      </c>
      <c r="AM30" s="1998">
        <f t="shared" si="36"/>
        <v>2511.89</v>
      </c>
      <c r="AN30" s="4809">
        <f t="shared" si="52"/>
        <v>0</v>
      </c>
      <c r="AO30" s="1713">
        <f t="shared" si="53"/>
        <v>2515.79</v>
      </c>
      <c r="AP30" s="4811"/>
      <c r="AQ30" s="1669">
        <v>756.42</v>
      </c>
      <c r="AR30" s="4809">
        <f t="shared" si="54"/>
        <v>0</v>
      </c>
      <c r="AS30" s="1713">
        <f t="shared" si="55"/>
        <v>3272.21</v>
      </c>
      <c r="AT30" s="4811"/>
      <c r="AU30" s="1669">
        <v>977.6</v>
      </c>
      <c r="AV30" s="4809">
        <f t="shared" si="56"/>
        <v>0</v>
      </c>
      <c r="AW30" s="1713">
        <f t="shared" si="62"/>
        <v>4249.8100000000004</v>
      </c>
      <c r="AX30" s="4811"/>
      <c r="AY30" s="1669">
        <v>826.9</v>
      </c>
      <c r="AZ30" s="4792">
        <f t="shared" si="58"/>
        <v>0</v>
      </c>
      <c r="BA30" s="1998">
        <f t="shared" si="37"/>
        <v>2560.92</v>
      </c>
      <c r="BB30" s="1998">
        <f t="shared" si="59"/>
        <v>0</v>
      </c>
      <c r="BC30" s="1998">
        <f t="shared" si="38"/>
        <v>5072.8099999999995</v>
      </c>
      <c r="BD30" s="6510">
        <f t="shared" si="60"/>
        <v>0</v>
      </c>
      <c r="BE30" s="6510">
        <f t="shared" si="61"/>
        <v>5076.71</v>
      </c>
    </row>
    <row r="31" spans="1:57" x14ac:dyDescent="0.2">
      <c r="A31" s="2265"/>
      <c r="B31" s="1533" t="s">
        <v>287</v>
      </c>
      <c r="C31" s="1545" t="s">
        <v>833</v>
      </c>
      <c r="D31" s="4811"/>
      <c r="E31" s="2690">
        <v>3661.68</v>
      </c>
      <c r="F31" s="4811"/>
      <c r="G31" s="1669">
        <v>976.56</v>
      </c>
      <c r="H31" s="4690">
        <f t="shared" si="39"/>
        <v>0</v>
      </c>
      <c r="I31" s="1713">
        <f t="shared" si="39"/>
        <v>4638.24</v>
      </c>
      <c r="J31" s="4811"/>
      <c r="K31" s="1669">
        <v>3351.1</v>
      </c>
      <c r="L31" s="4694">
        <f t="shared" si="40"/>
        <v>0</v>
      </c>
      <c r="M31" s="1998">
        <f t="shared" si="40"/>
        <v>7989.34</v>
      </c>
      <c r="N31" s="4811"/>
      <c r="O31" s="1669">
        <v>3651.6</v>
      </c>
      <c r="P31" s="4753">
        <f t="shared" si="41"/>
        <v>0</v>
      </c>
      <c r="Q31" s="1713">
        <f t="shared" si="41"/>
        <v>11640.94</v>
      </c>
      <c r="R31" s="4811"/>
      <c r="S31" s="1669">
        <v>3438.72</v>
      </c>
      <c r="T31" s="4809">
        <f t="shared" si="42"/>
        <v>0</v>
      </c>
      <c r="U31" s="1713">
        <f t="shared" si="43"/>
        <v>15079.66</v>
      </c>
      <c r="V31" s="4811"/>
      <c r="W31" s="1669">
        <v>2296.8000000000002</v>
      </c>
      <c r="X31" s="4792">
        <f t="shared" si="44"/>
        <v>0</v>
      </c>
      <c r="Y31" s="1998">
        <f t="shared" si="35"/>
        <v>9387.1200000000008</v>
      </c>
      <c r="Z31" s="6510">
        <f t="shared" si="45"/>
        <v>0</v>
      </c>
      <c r="AA31" s="6510">
        <f t="shared" si="46"/>
        <v>17376.46</v>
      </c>
      <c r="AB31" s="4811"/>
      <c r="AC31" s="1669">
        <v>2402.16</v>
      </c>
      <c r="AD31" s="4809">
        <f t="shared" si="47"/>
        <v>0</v>
      </c>
      <c r="AE31" s="1713">
        <f t="shared" si="48"/>
        <v>19778.62</v>
      </c>
      <c r="AF31" s="4811"/>
      <c r="AG31" s="1669">
        <v>2817.84</v>
      </c>
      <c r="AH31" s="4809">
        <f t="shared" si="49"/>
        <v>0</v>
      </c>
      <c r="AI31" s="1713">
        <f t="shared" si="50"/>
        <v>22596.46</v>
      </c>
      <c r="AJ31" s="4811"/>
      <c r="AK31" s="1669">
        <v>3896.88</v>
      </c>
      <c r="AL31" s="4792">
        <f t="shared" si="51"/>
        <v>0</v>
      </c>
      <c r="AM31" s="1998">
        <f t="shared" si="36"/>
        <v>9116.880000000001</v>
      </c>
      <c r="AN31" s="4809">
        <f t="shared" si="52"/>
        <v>0</v>
      </c>
      <c r="AO31" s="1713">
        <f t="shared" si="53"/>
        <v>26493.34</v>
      </c>
      <c r="AP31" s="4811"/>
      <c r="AQ31" s="1669">
        <v>4570.32</v>
      </c>
      <c r="AR31" s="4809">
        <f t="shared" si="54"/>
        <v>0</v>
      </c>
      <c r="AS31" s="1713">
        <f t="shared" si="55"/>
        <v>31063.66</v>
      </c>
      <c r="AT31" s="4811"/>
      <c r="AU31" s="1669">
        <v>3992.6</v>
      </c>
      <c r="AV31" s="4809">
        <f t="shared" si="56"/>
        <v>0</v>
      </c>
      <c r="AW31" s="1713">
        <f t="shared" si="62"/>
        <v>35056.26</v>
      </c>
      <c r="AX31" s="4811"/>
      <c r="AY31" s="1669">
        <v>4345.7</v>
      </c>
      <c r="AZ31" s="4792">
        <f t="shared" si="58"/>
        <v>0</v>
      </c>
      <c r="BA31" s="1998">
        <f t="shared" si="37"/>
        <v>12908.619999999999</v>
      </c>
      <c r="BB31" s="1998">
        <f t="shared" si="59"/>
        <v>0</v>
      </c>
      <c r="BC31" s="1998">
        <f t="shared" si="38"/>
        <v>22025.5</v>
      </c>
      <c r="BD31" s="6510">
        <f t="shared" si="60"/>
        <v>0</v>
      </c>
      <c r="BE31" s="6510">
        <f t="shared" si="61"/>
        <v>39401.96</v>
      </c>
    </row>
    <row r="32" spans="1:57" ht="15" customHeight="1" x14ac:dyDescent="0.2">
      <c r="A32" s="2265"/>
      <c r="B32" s="1533" t="s">
        <v>195</v>
      </c>
      <c r="C32" s="1545" t="s">
        <v>833</v>
      </c>
      <c r="D32" s="4811"/>
      <c r="E32" s="2690">
        <v>0</v>
      </c>
      <c r="F32" s="4811"/>
      <c r="G32" s="1669">
        <v>0</v>
      </c>
      <c r="H32" s="4690">
        <f t="shared" si="39"/>
        <v>0</v>
      </c>
      <c r="I32" s="1713">
        <f t="shared" si="39"/>
        <v>0</v>
      </c>
      <c r="J32" s="4811"/>
      <c r="K32" s="1669">
        <v>0</v>
      </c>
      <c r="L32" s="4694">
        <f t="shared" si="40"/>
        <v>0</v>
      </c>
      <c r="M32" s="1998">
        <f t="shared" si="40"/>
        <v>0</v>
      </c>
      <c r="N32" s="4811"/>
      <c r="O32" s="1669">
        <v>0</v>
      </c>
      <c r="P32" s="4753">
        <f t="shared" si="41"/>
        <v>0</v>
      </c>
      <c r="Q32" s="1713">
        <f t="shared" si="41"/>
        <v>0</v>
      </c>
      <c r="R32" s="4811"/>
      <c r="S32" s="1669">
        <v>0</v>
      </c>
      <c r="T32" s="4809">
        <f t="shared" si="42"/>
        <v>0</v>
      </c>
      <c r="U32" s="1713">
        <f t="shared" si="43"/>
        <v>0</v>
      </c>
      <c r="V32" s="4811"/>
      <c r="W32" s="1669">
        <v>0</v>
      </c>
      <c r="X32" s="4792">
        <f t="shared" si="44"/>
        <v>0</v>
      </c>
      <c r="Y32" s="1998">
        <f t="shared" si="35"/>
        <v>0</v>
      </c>
      <c r="Z32" s="6510">
        <f t="shared" si="45"/>
        <v>0</v>
      </c>
      <c r="AA32" s="6510">
        <f t="shared" si="46"/>
        <v>0</v>
      </c>
      <c r="AB32" s="4811"/>
      <c r="AC32" s="1669">
        <v>0</v>
      </c>
      <c r="AD32" s="4809">
        <f t="shared" si="47"/>
        <v>0</v>
      </c>
      <c r="AE32" s="1713">
        <f t="shared" si="48"/>
        <v>0</v>
      </c>
      <c r="AF32" s="4811"/>
      <c r="AG32" s="1669">
        <v>0</v>
      </c>
      <c r="AH32" s="4809">
        <f t="shared" si="49"/>
        <v>0</v>
      </c>
      <c r="AI32" s="1713">
        <f t="shared" si="50"/>
        <v>0</v>
      </c>
      <c r="AJ32" s="4811"/>
      <c r="AK32" s="1669">
        <v>0</v>
      </c>
      <c r="AL32" s="4792">
        <f t="shared" si="51"/>
        <v>0</v>
      </c>
      <c r="AM32" s="1998">
        <f t="shared" si="36"/>
        <v>0</v>
      </c>
      <c r="AN32" s="4809">
        <f t="shared" si="52"/>
        <v>0</v>
      </c>
      <c r="AO32" s="1713">
        <f t="shared" si="53"/>
        <v>0</v>
      </c>
      <c r="AP32" s="4811"/>
      <c r="AQ32" s="1669">
        <v>0</v>
      </c>
      <c r="AR32" s="4809">
        <f t="shared" si="54"/>
        <v>0</v>
      </c>
      <c r="AS32" s="1713">
        <f t="shared" si="55"/>
        <v>0</v>
      </c>
      <c r="AT32" s="4811"/>
      <c r="AU32" s="1669">
        <v>0</v>
      </c>
      <c r="AV32" s="4809">
        <f t="shared" si="56"/>
        <v>0</v>
      </c>
      <c r="AW32" s="1713">
        <f t="shared" si="62"/>
        <v>0</v>
      </c>
      <c r="AX32" s="4811"/>
      <c r="AY32" s="1669">
        <v>0</v>
      </c>
      <c r="AZ32" s="4792">
        <f t="shared" si="58"/>
        <v>0</v>
      </c>
      <c r="BA32" s="1998">
        <f t="shared" si="37"/>
        <v>0</v>
      </c>
      <c r="BB32" s="1998">
        <f t="shared" si="59"/>
        <v>0</v>
      </c>
      <c r="BC32" s="1998">
        <f t="shared" si="38"/>
        <v>0</v>
      </c>
      <c r="BD32" s="6510">
        <f t="shared" si="60"/>
        <v>0</v>
      </c>
      <c r="BE32" s="6510">
        <f t="shared" si="61"/>
        <v>0</v>
      </c>
    </row>
    <row r="33" spans="1:57" ht="16" thickBot="1" x14ac:dyDescent="0.25">
      <c r="A33" s="2265"/>
      <c r="B33" s="1533" t="s">
        <v>196</v>
      </c>
      <c r="C33" s="1545" t="s">
        <v>833</v>
      </c>
      <c r="D33" s="4811"/>
      <c r="E33" s="2690">
        <v>767.76</v>
      </c>
      <c r="F33" s="4811"/>
      <c r="G33" s="1669">
        <v>757.44</v>
      </c>
      <c r="H33" s="4690">
        <f t="shared" si="39"/>
        <v>0</v>
      </c>
      <c r="I33" s="1713">
        <f t="shared" si="39"/>
        <v>1525.2</v>
      </c>
      <c r="J33" s="4811"/>
      <c r="K33" s="1669">
        <v>876.7</v>
      </c>
      <c r="L33" s="4694">
        <f t="shared" si="40"/>
        <v>0</v>
      </c>
      <c r="M33" s="1998">
        <f t="shared" si="40"/>
        <v>2401.9</v>
      </c>
      <c r="N33" s="4811"/>
      <c r="O33" s="1669">
        <v>1048.56</v>
      </c>
      <c r="P33" s="4753">
        <f t="shared" si="41"/>
        <v>0</v>
      </c>
      <c r="Q33" s="1713">
        <f t="shared" si="41"/>
        <v>3450.46</v>
      </c>
      <c r="R33" s="4811"/>
      <c r="S33" s="1669">
        <v>1052.8800000000001</v>
      </c>
      <c r="T33" s="4809">
        <f t="shared" si="42"/>
        <v>0</v>
      </c>
      <c r="U33" s="1713">
        <f t="shared" si="43"/>
        <v>4503.34</v>
      </c>
      <c r="V33" s="4811"/>
      <c r="W33" s="1669">
        <v>832.08</v>
      </c>
      <c r="X33" s="4792">
        <f t="shared" si="44"/>
        <v>0</v>
      </c>
      <c r="Y33" s="1998">
        <f t="shared" si="35"/>
        <v>2933.52</v>
      </c>
      <c r="Z33" s="6510">
        <f t="shared" si="45"/>
        <v>0</v>
      </c>
      <c r="AA33" s="6510">
        <f t="shared" si="46"/>
        <v>5335.42</v>
      </c>
      <c r="AB33" s="4811"/>
      <c r="AC33" s="1669">
        <v>1080.72</v>
      </c>
      <c r="AD33" s="4809">
        <f t="shared" si="47"/>
        <v>0</v>
      </c>
      <c r="AE33" s="1713">
        <f t="shared" si="48"/>
        <v>6416.14</v>
      </c>
      <c r="AF33" s="4811"/>
      <c r="AG33" s="1669">
        <v>1093.68</v>
      </c>
      <c r="AH33" s="4809">
        <f t="shared" si="49"/>
        <v>0</v>
      </c>
      <c r="AI33" s="1713">
        <f t="shared" si="50"/>
        <v>7509.8200000000006</v>
      </c>
      <c r="AJ33" s="4811"/>
      <c r="AK33" s="1669">
        <v>1174.08</v>
      </c>
      <c r="AL33" s="4792">
        <f t="shared" si="51"/>
        <v>0</v>
      </c>
      <c r="AM33" s="1998">
        <f t="shared" si="36"/>
        <v>3348.4800000000005</v>
      </c>
      <c r="AN33" s="4809">
        <f t="shared" si="52"/>
        <v>0</v>
      </c>
      <c r="AO33" s="1713">
        <f t="shared" si="53"/>
        <v>8683.9000000000015</v>
      </c>
      <c r="AP33" s="4811"/>
      <c r="AQ33" s="1669">
        <v>1142.4000000000001</v>
      </c>
      <c r="AR33" s="4809">
        <f t="shared" si="54"/>
        <v>0</v>
      </c>
      <c r="AS33" s="1713">
        <f t="shared" si="55"/>
        <v>9826.3000000000011</v>
      </c>
      <c r="AT33" s="4811"/>
      <c r="AU33" s="1669">
        <v>1003.7</v>
      </c>
      <c r="AV33" s="4809">
        <f t="shared" si="56"/>
        <v>0</v>
      </c>
      <c r="AW33" s="1713">
        <f t="shared" si="62"/>
        <v>10830.000000000002</v>
      </c>
      <c r="AX33" s="4811"/>
      <c r="AY33" s="1669">
        <v>1155.0999999999999</v>
      </c>
      <c r="AZ33" s="4792">
        <f t="shared" si="58"/>
        <v>0</v>
      </c>
      <c r="BA33" s="1998">
        <f t="shared" si="37"/>
        <v>3301.2000000000003</v>
      </c>
      <c r="BB33" s="1998">
        <f t="shared" si="59"/>
        <v>0</v>
      </c>
      <c r="BC33" s="1998">
        <f t="shared" si="38"/>
        <v>6649.68</v>
      </c>
      <c r="BD33" s="6510">
        <f t="shared" si="60"/>
        <v>0</v>
      </c>
      <c r="BE33" s="6510">
        <f t="shared" si="61"/>
        <v>11985.100000000002</v>
      </c>
    </row>
    <row r="34" spans="1:57" ht="17" thickBot="1" x14ac:dyDescent="0.25">
      <c r="A34" s="2265"/>
      <c r="B34" s="1580" t="s">
        <v>197</v>
      </c>
      <c r="C34" s="1562" t="s">
        <v>833</v>
      </c>
      <c r="D34" s="3288">
        <f t="shared" ref="D34" si="63">SUM(D16:D33)</f>
        <v>0</v>
      </c>
      <c r="E34" s="2700">
        <f t="shared" ref="E34:R34" si="64">SUM(E16:E33)</f>
        <v>36426.14</v>
      </c>
      <c r="F34" s="3222">
        <f t="shared" si="64"/>
        <v>0</v>
      </c>
      <c r="G34" s="1684">
        <f t="shared" si="64"/>
        <v>38196.74</v>
      </c>
      <c r="H34" s="2784">
        <f t="shared" si="64"/>
        <v>0</v>
      </c>
      <c r="I34" s="1715">
        <f t="shared" si="64"/>
        <v>74622.87999999999</v>
      </c>
      <c r="J34" s="3222">
        <f t="shared" si="64"/>
        <v>0</v>
      </c>
      <c r="K34" s="1684">
        <f t="shared" si="64"/>
        <v>41695.19999999999</v>
      </c>
      <c r="L34" s="2951">
        <f t="shared" si="64"/>
        <v>0</v>
      </c>
      <c r="M34" s="1999">
        <f t="shared" si="64"/>
        <v>116318.07999999999</v>
      </c>
      <c r="N34" s="3222">
        <f t="shared" ref="N34" si="65">SUM(N16:N33)</f>
        <v>0</v>
      </c>
      <c r="O34" s="1684">
        <f t="shared" si="64"/>
        <v>44421.579999999994</v>
      </c>
      <c r="P34" s="2784">
        <f t="shared" si="64"/>
        <v>0</v>
      </c>
      <c r="Q34" s="1715">
        <f t="shared" si="64"/>
        <v>160739.66</v>
      </c>
      <c r="R34" s="3222">
        <f t="shared" si="64"/>
        <v>0</v>
      </c>
      <c r="S34" s="1684">
        <f t="shared" ref="S34:V34" si="66">SUM(S16:S33)</f>
        <v>46331</v>
      </c>
      <c r="T34" s="2784">
        <f t="shared" si="66"/>
        <v>0</v>
      </c>
      <c r="U34" s="1715">
        <f t="shared" si="66"/>
        <v>207070.66000000003</v>
      </c>
      <c r="V34" s="3222">
        <f t="shared" si="66"/>
        <v>0</v>
      </c>
      <c r="W34" s="1684">
        <f t="shared" ref="W34:AJ34" si="67">SUM(W16:W33)</f>
        <v>39891.79</v>
      </c>
      <c r="X34" s="2951">
        <f t="shared" si="67"/>
        <v>0</v>
      </c>
      <c r="Y34" s="1999">
        <f t="shared" si="67"/>
        <v>130644.37000000001</v>
      </c>
      <c r="Z34" s="6512">
        <f t="shared" si="67"/>
        <v>0</v>
      </c>
      <c r="AA34" s="6512">
        <f t="shared" si="67"/>
        <v>246962.45</v>
      </c>
      <c r="AB34" s="3222">
        <f t="shared" si="67"/>
        <v>0</v>
      </c>
      <c r="AC34" s="1684">
        <f t="shared" si="67"/>
        <v>44520.05</v>
      </c>
      <c r="AD34" s="2784">
        <f t="shared" si="67"/>
        <v>0</v>
      </c>
      <c r="AE34" s="1715">
        <f t="shared" si="67"/>
        <v>291482.5</v>
      </c>
      <c r="AF34" s="3222">
        <f t="shared" si="67"/>
        <v>0</v>
      </c>
      <c r="AG34" s="1684">
        <f t="shared" si="67"/>
        <v>43326.960000000014</v>
      </c>
      <c r="AH34" s="2784">
        <f t="shared" si="67"/>
        <v>0</v>
      </c>
      <c r="AI34" s="1715">
        <f t="shared" si="67"/>
        <v>334809.46000000002</v>
      </c>
      <c r="AJ34" s="3222">
        <f t="shared" si="67"/>
        <v>0</v>
      </c>
      <c r="AK34" s="1684">
        <f t="shared" ref="AK34:AP34" si="68">SUM(AK16:AK33)</f>
        <v>48041.26</v>
      </c>
      <c r="AL34" s="2951">
        <f t="shared" si="68"/>
        <v>0</v>
      </c>
      <c r="AM34" s="1999">
        <f t="shared" si="68"/>
        <v>135888.27000000002</v>
      </c>
      <c r="AN34" s="2784">
        <f t="shared" si="68"/>
        <v>0</v>
      </c>
      <c r="AO34" s="1715">
        <f t="shared" si="68"/>
        <v>382850.71999999991</v>
      </c>
      <c r="AP34" s="3222">
        <f t="shared" si="68"/>
        <v>0</v>
      </c>
      <c r="AQ34" s="1684">
        <f t="shared" ref="AQ34:AT34" si="69">SUM(AQ16:AQ33)</f>
        <v>48562.389999999992</v>
      </c>
      <c r="AR34" s="2784">
        <f t="shared" si="69"/>
        <v>0</v>
      </c>
      <c r="AS34" s="1715">
        <f t="shared" si="69"/>
        <v>431413.11</v>
      </c>
      <c r="AT34" s="3222">
        <f t="shared" si="69"/>
        <v>0</v>
      </c>
      <c r="AU34" s="1684">
        <f t="shared" ref="AU34:AX34" si="70">SUM(AU16:AU33)</f>
        <v>43283.899999999987</v>
      </c>
      <c r="AV34" s="2784">
        <f t="shared" si="70"/>
        <v>0</v>
      </c>
      <c r="AW34" s="1715">
        <f t="shared" si="70"/>
        <v>474697.01000000007</v>
      </c>
      <c r="AX34" s="3222">
        <f t="shared" si="70"/>
        <v>0</v>
      </c>
      <c r="AY34" s="1684">
        <f t="shared" ref="AY34:BE34" si="71">SUM(AY16:AY33)</f>
        <v>47462.499999999993</v>
      </c>
      <c r="AZ34" s="2951">
        <f t="shared" si="71"/>
        <v>0</v>
      </c>
      <c r="BA34" s="1999">
        <f t="shared" si="71"/>
        <v>139308.79000000004</v>
      </c>
      <c r="BB34" s="1999">
        <f t="shared" ref="BB34:BC34" si="72">SUM(BB16:BB33)</f>
        <v>0</v>
      </c>
      <c r="BC34" s="1999">
        <f t="shared" si="72"/>
        <v>275197.06</v>
      </c>
      <c r="BD34" s="6512">
        <f t="shared" si="71"/>
        <v>0</v>
      </c>
      <c r="BE34" s="6512">
        <f t="shared" si="71"/>
        <v>522159.51</v>
      </c>
    </row>
    <row r="35" spans="1:57" ht="20" x14ac:dyDescent="0.2">
      <c r="A35" s="2265"/>
      <c r="B35" s="1625" t="s">
        <v>537</v>
      </c>
      <c r="C35" s="1595"/>
      <c r="D35" s="5279"/>
      <c r="E35" s="1595"/>
      <c r="F35" s="5279"/>
      <c r="G35" s="1595"/>
      <c r="H35" s="1595"/>
      <c r="I35" s="1595"/>
      <c r="J35" s="5279"/>
      <c r="K35" s="1595"/>
      <c r="L35" s="1595"/>
      <c r="M35" s="1595"/>
      <c r="N35" s="5279"/>
      <c r="O35" s="1595"/>
      <c r="P35" s="1595"/>
      <c r="Q35" s="1595"/>
      <c r="R35" s="5279"/>
      <c r="S35" s="1595"/>
      <c r="T35" s="1595"/>
      <c r="U35" s="1595"/>
      <c r="V35" s="5279"/>
      <c r="W35" s="1595"/>
      <c r="X35" s="1595"/>
      <c r="Y35" s="1595"/>
      <c r="Z35" s="1595"/>
      <c r="AA35" s="1595"/>
      <c r="AB35" s="5279"/>
      <c r="AC35" s="1595"/>
      <c r="AD35" s="1595"/>
      <c r="AE35" s="1595"/>
      <c r="AF35" s="5279"/>
      <c r="AG35" s="1595"/>
      <c r="AH35" s="1595"/>
      <c r="AI35" s="1595"/>
      <c r="AJ35" s="5279"/>
      <c r="AK35" s="1595"/>
      <c r="AL35" s="1595"/>
      <c r="AM35" s="1595"/>
      <c r="AN35" s="1595"/>
      <c r="AO35" s="1595"/>
      <c r="AP35" s="5279"/>
      <c r="AQ35" s="1595"/>
      <c r="AR35" s="1595"/>
      <c r="AS35" s="1595"/>
      <c r="AT35" s="5279"/>
      <c r="AU35" s="1595"/>
      <c r="AV35" s="1595"/>
      <c r="AW35" s="1595"/>
      <c r="AX35" s="5279"/>
      <c r="AY35" s="1595"/>
      <c r="AZ35" s="1595"/>
      <c r="BA35" s="1595"/>
      <c r="BB35" s="1595"/>
      <c r="BC35" s="1595"/>
      <c r="BD35" s="1595"/>
      <c r="BE35" s="1595"/>
    </row>
    <row r="36" spans="1:57" x14ac:dyDescent="0.2">
      <c r="A36" s="2265"/>
      <c r="B36" s="1620" t="s">
        <v>837</v>
      </c>
      <c r="C36" s="1545" t="s">
        <v>836</v>
      </c>
      <c r="D36" s="3218"/>
      <c r="E36" s="2690">
        <v>883.05</v>
      </c>
      <c r="F36" s="3229"/>
      <c r="G36" s="1669">
        <v>884.49</v>
      </c>
      <c r="H36" s="1787"/>
      <c r="I36" s="1713">
        <f>+((E36*E39*E2)+(G2*G39*G36))/(I39*I2)</f>
        <v>883.79460210639002</v>
      </c>
      <c r="J36" s="3229"/>
      <c r="K36" s="1669">
        <v>886.1</v>
      </c>
      <c r="L36" s="2048"/>
      <c r="M36" s="2029">
        <f>+((I36*I39*I2)+(K2*K39*K36))/(M39*M2)</f>
        <v>884.58615979470892</v>
      </c>
      <c r="N36" s="3229"/>
      <c r="O36" s="1669">
        <v>892.95</v>
      </c>
      <c r="P36" s="1702"/>
      <c r="Q36" s="1708">
        <f>+((M36*M39*M2)+(O2*O39*O36))/(Q39*Q2)</f>
        <v>886.9117798683817</v>
      </c>
      <c r="R36" s="3229"/>
      <c r="S36" s="1669">
        <v>894.24</v>
      </c>
      <c r="T36" s="1702"/>
      <c r="U36" s="1708">
        <f>+((Q36*Q39*Q2)+(S2*S39*S36))/(U39*U2)</f>
        <v>888.50721140658652</v>
      </c>
      <c r="V36" s="3229"/>
      <c r="W36" s="1669">
        <v>908.44</v>
      </c>
      <c r="X36" s="2048"/>
      <c r="Y36" s="2029">
        <f>+((O36*O39*O2)+(S36*S39*S2)+(W2*W39*W36))/(Y39*Y2)</f>
        <v>897.48802798230884</v>
      </c>
      <c r="Z36" s="6516"/>
      <c r="AA36" s="6516">
        <f>+((U36*U39*U2)+(W2*W39*W36))/(AA39*AA2)</f>
        <v>891.17765643110999</v>
      </c>
      <c r="AB36" s="3229"/>
      <c r="AC36" s="1669">
        <v>905.01</v>
      </c>
      <c r="AD36" s="1702"/>
      <c r="AE36" s="1708">
        <f>+((AA36*AA39*AA2)+(AC2*AC39*AC36))/(AE39*AE2)</f>
        <v>893.10772459842906</v>
      </c>
      <c r="AF36" s="3229"/>
      <c r="AG36" s="1669">
        <v>908.25</v>
      </c>
      <c r="AH36" s="1702"/>
      <c r="AI36" s="1708">
        <f>+((AE36*AE39*AE2)+(AG2*AG39*AG36))/(AI39*AI2)</f>
        <v>894.96972496763044</v>
      </c>
      <c r="AJ36" s="3229"/>
      <c r="AK36" s="1669">
        <v>905.29</v>
      </c>
      <c r="AL36" s="2048"/>
      <c r="AM36" s="2029">
        <f>+((AC36*AC39*AC2)+(AG36*AG39*AG2)+(AK2*AK39*AK36))/(AM39*AM2)</f>
        <v>906.15069927924344</v>
      </c>
      <c r="AN36" s="1702"/>
      <c r="AO36" s="1708">
        <f>+((AI36*AI39*AI2)+(AK2*AK39*AK36))/(AO39*AO2)</f>
        <v>896.21913450884222</v>
      </c>
      <c r="AP36" s="3229"/>
      <c r="AQ36" s="1669">
        <v>905.58</v>
      </c>
      <c r="AR36" s="1702"/>
      <c r="AS36" s="1708">
        <f>+((AO36*AO39*AO2)+(AQ2*AQ39*AQ36))/(AS39*AS2)</f>
        <v>897.31783664379111</v>
      </c>
      <c r="AT36" s="3229"/>
      <c r="AU36" s="1669">
        <v>914.9</v>
      </c>
      <c r="AV36" s="1702"/>
      <c r="AW36" s="1708">
        <f>+((AS36*AS39*AS2)+(AU2*AU39*AU36))/(AW39*AW2)</f>
        <v>899.01714925318072</v>
      </c>
      <c r="AX36" s="3229"/>
      <c r="AY36" s="1669">
        <v>927</v>
      </c>
      <c r="AZ36" s="2048"/>
      <c r="BA36" s="2029">
        <f>+((AQ36*AQ39*AQ2)+(AU36*AU39*AU2)+(AY2*AY39*AY36))/(BA39*BA2)</f>
        <v>915.88332001077924</v>
      </c>
      <c r="BB36" s="2029"/>
      <c r="BC36" s="2029">
        <f>+((AM36*AM39*AM2)+(BA2*BA39*BA36))/(BC39*BC2)</f>
        <v>911.36252359608284</v>
      </c>
      <c r="BD36" s="6516"/>
      <c r="BE36" s="6516">
        <f>+((AW36*AW39*AW2)+(AY2*AY39*AY36))/(BE39*BE2)</f>
        <v>901.71778043771269</v>
      </c>
    </row>
    <row r="37" spans="1:57" ht="16" thickBot="1" x14ac:dyDescent="0.25">
      <c r="A37" s="2265"/>
      <c r="B37" s="1621" t="s">
        <v>843</v>
      </c>
      <c r="C37" s="1548" t="s">
        <v>833</v>
      </c>
      <c r="D37" s="4811"/>
      <c r="E37" s="2691">
        <v>271901.03999999998</v>
      </c>
      <c r="F37" s="4811"/>
      <c r="G37" s="1670">
        <v>291139.92</v>
      </c>
      <c r="H37" s="4688">
        <f>+D37+F37</f>
        <v>0</v>
      </c>
      <c r="I37" s="1708">
        <f>+E37+G37</f>
        <v>563040.96</v>
      </c>
      <c r="J37" s="4811"/>
      <c r="K37" s="1669">
        <v>294403.20000000001</v>
      </c>
      <c r="L37" s="4687">
        <f>+H37+J37</f>
        <v>0</v>
      </c>
      <c r="M37" s="2029">
        <f>+I37+K37</f>
        <v>857444.15999999992</v>
      </c>
      <c r="N37" s="4811"/>
      <c r="O37" s="1669">
        <v>330244.56</v>
      </c>
      <c r="P37" s="3137">
        <f>+L37+N37</f>
        <v>0</v>
      </c>
      <c r="Q37" s="1708">
        <f>+M37+O37</f>
        <v>1187688.72</v>
      </c>
      <c r="R37" s="4811"/>
      <c r="S37" s="1669">
        <v>330533.03999999998</v>
      </c>
      <c r="T37" s="6444">
        <f>+P37+R37</f>
        <v>0</v>
      </c>
      <c r="U37" s="1708">
        <f>+Q37+S37</f>
        <v>1518221.76</v>
      </c>
      <c r="V37" s="4811"/>
      <c r="W37" s="1669">
        <v>234865.43</v>
      </c>
      <c r="X37" s="7013">
        <f>+T37+V37</f>
        <v>0</v>
      </c>
      <c r="Y37" s="1998">
        <f t="shared" ref="Y37" si="73">+W37+S37+O37</f>
        <v>895643.03</v>
      </c>
      <c r="Z37" s="6516">
        <f>+T37+V37</f>
        <v>0</v>
      </c>
      <c r="AA37" s="6516">
        <f>+U37+W37</f>
        <v>1753087.19</v>
      </c>
      <c r="AB37" s="4811"/>
      <c r="AC37" s="1669">
        <v>284279.90999999997</v>
      </c>
      <c r="AD37" s="7368">
        <f>+Z37+AB37</f>
        <v>0</v>
      </c>
      <c r="AE37" s="1708">
        <f>+AA37+AC37</f>
        <v>2037367.0999999999</v>
      </c>
      <c r="AF37" s="4811"/>
      <c r="AG37" s="1669">
        <v>285655.09999999998</v>
      </c>
      <c r="AH37" s="7368">
        <f>+AD37+AF37</f>
        <v>0</v>
      </c>
      <c r="AI37" s="1708">
        <f>+AE37+AG37</f>
        <v>2323022.1999999997</v>
      </c>
      <c r="AJ37" s="4811"/>
      <c r="AK37" s="1669">
        <v>319970.14</v>
      </c>
      <c r="AL37" s="7768">
        <f>+AH37+AJ37</f>
        <v>0</v>
      </c>
      <c r="AM37" s="1998">
        <f t="shared" ref="AM37" si="74">+AK37+AG37+AC37</f>
        <v>889905.14999999991</v>
      </c>
      <c r="AN37" s="7368">
        <f>+AH37+AJ37</f>
        <v>0</v>
      </c>
      <c r="AO37" s="1708">
        <f>+AI37+AK37</f>
        <v>2642992.34</v>
      </c>
      <c r="AP37" s="4811"/>
      <c r="AQ37" s="1669">
        <v>351465.01</v>
      </c>
      <c r="AR37" s="7368">
        <f>+AN37+AP37</f>
        <v>0</v>
      </c>
      <c r="AS37" s="1708">
        <f>+AO37+AQ37</f>
        <v>2994457.3499999996</v>
      </c>
      <c r="AT37" s="4811"/>
      <c r="AU37" s="1669">
        <v>320378.2</v>
      </c>
      <c r="AV37" s="7368">
        <f>+AR37+AT37</f>
        <v>0</v>
      </c>
      <c r="AW37" s="1708">
        <f>+AS37+AU37</f>
        <v>3314835.55</v>
      </c>
      <c r="AX37" s="4811"/>
      <c r="AY37" s="1669">
        <v>354088.7</v>
      </c>
      <c r="AZ37" s="8345">
        <f>+AV37+AX37</f>
        <v>0</v>
      </c>
      <c r="BA37" s="1998">
        <f t="shared" ref="BA37" si="75">+AY37+AU37+AQ37</f>
        <v>1025931.91</v>
      </c>
      <c r="BB37" s="2029">
        <f>+AX37+AZ37</f>
        <v>0</v>
      </c>
      <c r="BC37" s="2029">
        <f t="shared" ref="BC37" si="76">+BA37+AM37</f>
        <v>1915837.06</v>
      </c>
      <c r="BD37" s="6516">
        <f>+AV37+AX37</f>
        <v>0</v>
      </c>
      <c r="BE37" s="6516">
        <f>+AW37+AY37</f>
        <v>3668924.25</v>
      </c>
    </row>
    <row r="38" spans="1:57" ht="19" thickBot="1" x14ac:dyDescent="0.25">
      <c r="A38" s="2265"/>
      <c r="B38" s="1615" t="s">
        <v>840</v>
      </c>
      <c r="C38" s="1599" t="s">
        <v>833</v>
      </c>
      <c r="D38" s="4020">
        <f t="shared" ref="D38" si="77">SUM(D37)</f>
        <v>0</v>
      </c>
      <c r="E38" s="2727">
        <f t="shared" ref="E38:I38" si="78">SUM(E37)</f>
        <v>271901.03999999998</v>
      </c>
      <c r="F38" s="4750">
        <f t="shared" si="78"/>
        <v>0</v>
      </c>
      <c r="G38" s="1796">
        <f t="shared" si="78"/>
        <v>291139.92</v>
      </c>
      <c r="H38" s="2555">
        <f t="shared" si="78"/>
        <v>0</v>
      </c>
      <c r="I38" s="1821">
        <f t="shared" si="78"/>
        <v>563040.96</v>
      </c>
      <c r="J38" s="4750">
        <f t="shared" ref="J38:Q38" si="79">SUM(J37)</f>
        <v>0</v>
      </c>
      <c r="K38" s="1796">
        <f t="shared" si="79"/>
        <v>294403.20000000001</v>
      </c>
      <c r="L38" s="2556">
        <f t="shared" si="79"/>
        <v>0</v>
      </c>
      <c r="M38" s="2003">
        <f t="shared" si="79"/>
        <v>857444.15999999992</v>
      </c>
      <c r="N38" s="4750">
        <f t="shared" si="79"/>
        <v>0</v>
      </c>
      <c r="O38" s="1796">
        <f t="shared" si="79"/>
        <v>330244.56</v>
      </c>
      <c r="P38" s="1886">
        <f t="shared" si="79"/>
        <v>0</v>
      </c>
      <c r="Q38" s="1821">
        <f t="shared" si="79"/>
        <v>1187688.72</v>
      </c>
      <c r="R38" s="4750">
        <f t="shared" ref="R38:U38" si="80">SUM(R37)</f>
        <v>0</v>
      </c>
      <c r="S38" s="1796">
        <f t="shared" si="80"/>
        <v>330533.03999999998</v>
      </c>
      <c r="T38" s="1886">
        <f t="shared" si="80"/>
        <v>0</v>
      </c>
      <c r="U38" s="1821">
        <f t="shared" si="80"/>
        <v>1518221.76</v>
      </c>
      <c r="V38" s="4750">
        <f t="shared" ref="V38:AI38" si="81">SUM(V37)</f>
        <v>0</v>
      </c>
      <c r="W38" s="1796">
        <f t="shared" si="81"/>
        <v>234865.43</v>
      </c>
      <c r="X38" s="2556">
        <f t="shared" si="81"/>
        <v>0</v>
      </c>
      <c r="Y38" s="2003">
        <f t="shared" si="81"/>
        <v>895643.03</v>
      </c>
      <c r="Z38" s="6522">
        <f t="shared" si="81"/>
        <v>0</v>
      </c>
      <c r="AA38" s="6522">
        <f t="shared" si="81"/>
        <v>1753087.19</v>
      </c>
      <c r="AB38" s="4750">
        <f t="shared" si="81"/>
        <v>0</v>
      </c>
      <c r="AC38" s="1796">
        <f t="shared" si="81"/>
        <v>284279.90999999997</v>
      </c>
      <c r="AD38" s="1886">
        <f t="shared" si="81"/>
        <v>0</v>
      </c>
      <c r="AE38" s="1821">
        <f t="shared" si="81"/>
        <v>2037367.0999999999</v>
      </c>
      <c r="AF38" s="4750">
        <f t="shared" si="81"/>
        <v>0</v>
      </c>
      <c r="AG38" s="1796">
        <f t="shared" si="81"/>
        <v>285655.09999999998</v>
      </c>
      <c r="AH38" s="1886">
        <f t="shared" si="81"/>
        <v>0</v>
      </c>
      <c r="AI38" s="1821">
        <f t="shared" si="81"/>
        <v>2323022.1999999997</v>
      </c>
      <c r="AJ38" s="4750">
        <f t="shared" ref="AJ38:AO38" si="82">SUM(AJ37)</f>
        <v>0</v>
      </c>
      <c r="AK38" s="1796">
        <f t="shared" si="82"/>
        <v>319970.14</v>
      </c>
      <c r="AL38" s="2556">
        <f t="shared" si="82"/>
        <v>0</v>
      </c>
      <c r="AM38" s="2003">
        <f t="shared" si="82"/>
        <v>889905.14999999991</v>
      </c>
      <c r="AN38" s="1886">
        <f t="shared" si="82"/>
        <v>0</v>
      </c>
      <c r="AO38" s="1821">
        <f t="shared" si="82"/>
        <v>2642992.34</v>
      </c>
      <c r="AP38" s="4750">
        <f t="shared" ref="AP38:AS38" si="83">SUM(AP37)</f>
        <v>0</v>
      </c>
      <c r="AQ38" s="1796">
        <f t="shared" si="83"/>
        <v>351465.01</v>
      </c>
      <c r="AR38" s="1886">
        <f t="shared" si="83"/>
        <v>0</v>
      </c>
      <c r="AS38" s="1821">
        <f t="shared" si="83"/>
        <v>2994457.3499999996</v>
      </c>
      <c r="AT38" s="4750">
        <f t="shared" ref="AT38:AW38" si="84">SUM(AT37)</f>
        <v>0</v>
      </c>
      <c r="AU38" s="1796">
        <f t="shared" si="84"/>
        <v>320378.2</v>
      </c>
      <c r="AV38" s="1886">
        <f t="shared" si="84"/>
        <v>0</v>
      </c>
      <c r="AW38" s="1821">
        <f t="shared" si="84"/>
        <v>3314835.55</v>
      </c>
      <c r="AX38" s="4750">
        <f t="shared" ref="AX38:BE38" si="85">SUM(AX37)</f>
        <v>0</v>
      </c>
      <c r="AY38" s="1796">
        <f t="shared" si="85"/>
        <v>354088.7</v>
      </c>
      <c r="AZ38" s="2556">
        <f t="shared" si="85"/>
        <v>0</v>
      </c>
      <c r="BA38" s="2003">
        <f t="shared" si="85"/>
        <v>1025931.91</v>
      </c>
      <c r="BB38" s="2003">
        <f t="shared" ref="BB38:BC38" si="86">SUM(BB37)</f>
        <v>0</v>
      </c>
      <c r="BC38" s="2003">
        <f t="shared" si="86"/>
        <v>1915837.06</v>
      </c>
      <c r="BD38" s="6522">
        <f t="shared" si="85"/>
        <v>0</v>
      </c>
      <c r="BE38" s="6522">
        <f t="shared" si="85"/>
        <v>3668924.25</v>
      </c>
    </row>
    <row r="39" spans="1:57" ht="17" thickBot="1" x14ac:dyDescent="0.25">
      <c r="A39" s="2265"/>
      <c r="B39" s="1617" t="s">
        <v>841</v>
      </c>
      <c r="C39" s="1562" t="s">
        <v>835</v>
      </c>
      <c r="D39" s="3219">
        <f t="shared" ref="D39" si="87">+D38/(D2*24)</f>
        <v>0</v>
      </c>
      <c r="E39" s="2699">
        <f t="shared" ref="E39:Q39" si="88">+E38/(E2*24)</f>
        <v>377.64033333333333</v>
      </c>
      <c r="F39" s="3424">
        <f t="shared" si="88"/>
        <v>0</v>
      </c>
      <c r="G39" s="1686">
        <f t="shared" si="88"/>
        <v>391.31709677419354</v>
      </c>
      <c r="H39" s="2792">
        <f t="shared" si="88"/>
        <v>0</v>
      </c>
      <c r="I39" s="1711">
        <f t="shared" si="88"/>
        <v>384.59081967213115</v>
      </c>
      <c r="J39" s="3424">
        <f t="shared" si="88"/>
        <v>0</v>
      </c>
      <c r="K39" s="1686">
        <f t="shared" si="88"/>
        <v>408.89333333333337</v>
      </c>
      <c r="L39" s="2955">
        <f t="shared" si="88"/>
        <v>0</v>
      </c>
      <c r="M39" s="2019">
        <f t="shared" si="88"/>
        <v>392.60263736263732</v>
      </c>
      <c r="N39" s="3424">
        <f t="shared" si="88"/>
        <v>0</v>
      </c>
      <c r="O39" s="1686">
        <f t="shared" si="88"/>
        <v>443.87709677419355</v>
      </c>
      <c r="P39" s="1710">
        <f t="shared" si="88"/>
        <v>0</v>
      </c>
      <c r="Q39" s="1711">
        <f t="shared" si="88"/>
        <v>405.63139344262294</v>
      </c>
      <c r="R39" s="3424">
        <f t="shared" ref="R39:U39" si="89">+R38/(R2*24)</f>
        <v>0</v>
      </c>
      <c r="S39" s="1686">
        <f t="shared" si="89"/>
        <v>444.26483870967741</v>
      </c>
      <c r="T39" s="1710">
        <f t="shared" si="89"/>
        <v>0</v>
      </c>
      <c r="U39" s="1711">
        <f t="shared" si="89"/>
        <v>413.45908496732028</v>
      </c>
      <c r="V39" s="3424">
        <f t="shared" ref="V39:AI39" si="90">+V38/(V2*24)</f>
        <v>0</v>
      </c>
      <c r="W39" s="1686">
        <f t="shared" si="90"/>
        <v>326.20198611111113</v>
      </c>
      <c r="X39" s="2955">
        <f t="shared" si="90"/>
        <v>0</v>
      </c>
      <c r="Y39" s="2019">
        <f t="shared" si="90"/>
        <v>405.63543025362321</v>
      </c>
      <c r="Z39" s="7106">
        <f t="shared" si="90"/>
        <v>0</v>
      </c>
      <c r="AA39" s="7106">
        <f t="shared" si="90"/>
        <v>399.15464253187611</v>
      </c>
      <c r="AB39" s="3424">
        <f t="shared" si="90"/>
        <v>0</v>
      </c>
      <c r="AC39" s="1686">
        <f t="shared" si="90"/>
        <v>382.09665322580639</v>
      </c>
      <c r="AD39" s="1710">
        <f t="shared" si="90"/>
        <v>0</v>
      </c>
      <c r="AE39" s="1711">
        <f t="shared" si="90"/>
        <v>396.68362538940806</v>
      </c>
      <c r="AF39" s="3424">
        <f t="shared" si="90"/>
        <v>0</v>
      </c>
      <c r="AG39" s="1686">
        <f t="shared" si="90"/>
        <v>396.74319444444438</v>
      </c>
      <c r="AH39" s="1710">
        <f t="shared" si="90"/>
        <v>0</v>
      </c>
      <c r="AI39" s="1711">
        <f t="shared" si="90"/>
        <v>396.69094945355187</v>
      </c>
      <c r="AJ39" s="3424">
        <f t="shared" ref="AJ39:AO39" si="91">+AJ38/(AJ2*24)</f>
        <v>0</v>
      </c>
      <c r="AK39" s="1686">
        <f t="shared" si="91"/>
        <v>430.06739247311828</v>
      </c>
      <c r="AL39" s="2955">
        <f t="shared" si="91"/>
        <v>0</v>
      </c>
      <c r="AM39" s="2019">
        <f t="shared" si="91"/>
        <v>403.03675271739127</v>
      </c>
      <c r="AN39" s="1710">
        <f t="shared" si="91"/>
        <v>0</v>
      </c>
      <c r="AO39" s="1711">
        <f t="shared" si="91"/>
        <v>400.4533848484848</v>
      </c>
      <c r="AP39" s="3424">
        <f t="shared" ref="AP39:AS39" si="92">+AP38/(AP2*24)</f>
        <v>0</v>
      </c>
      <c r="AQ39" s="1686">
        <f t="shared" si="92"/>
        <v>472.39920698924732</v>
      </c>
      <c r="AR39" s="1710">
        <f t="shared" si="92"/>
        <v>0</v>
      </c>
      <c r="AS39" s="1711">
        <f t="shared" si="92"/>
        <v>407.74201388888883</v>
      </c>
      <c r="AT39" s="3424">
        <f t="shared" ref="AT39:AY39" si="93">+AT38/(AT2*24)</f>
        <v>0</v>
      </c>
      <c r="AU39" s="1686">
        <f t="shared" si="93"/>
        <v>476.75327380952382</v>
      </c>
      <c r="AV39" s="1710">
        <f t="shared" si="93"/>
        <v>0</v>
      </c>
      <c r="AW39" s="1711">
        <f t="shared" si="93"/>
        <v>413.52738897205586</v>
      </c>
      <c r="AX39" s="3424">
        <f t="shared" ref="AX39:BE39" si="94">+AX38/(AX2*24)</f>
        <v>0</v>
      </c>
      <c r="AY39" s="1686">
        <f t="shared" si="93"/>
        <v>475.92567204301076</v>
      </c>
      <c r="AZ39" s="2955">
        <f t="shared" si="94"/>
        <v>0</v>
      </c>
      <c r="BA39" s="2019">
        <f t="shared" si="94"/>
        <v>474.96847685185185</v>
      </c>
      <c r="BB39" s="2019">
        <f t="shared" ref="BB39:BC39" si="95">+BB38/(BB2*24)</f>
        <v>0</v>
      </c>
      <c r="BC39" s="2019">
        <f t="shared" si="95"/>
        <v>438.60738553113555</v>
      </c>
      <c r="BD39" s="7106">
        <f t="shared" si="94"/>
        <v>0</v>
      </c>
      <c r="BE39" s="7106">
        <f t="shared" si="94"/>
        <v>418.82696917808221</v>
      </c>
    </row>
    <row r="40" spans="1:57" ht="16" x14ac:dyDescent="0.2">
      <c r="A40" s="2265"/>
      <c r="B40" s="1801" t="s">
        <v>188</v>
      </c>
      <c r="C40" s="1802" t="s">
        <v>833</v>
      </c>
      <c r="D40" s="9034"/>
      <c r="E40" s="2730">
        <v>2447.11</v>
      </c>
      <c r="F40" s="9034"/>
      <c r="G40" s="1803">
        <v>2620.2600000000002</v>
      </c>
      <c r="H40" s="9044">
        <f>+D40+F40</f>
        <v>0</v>
      </c>
      <c r="I40" s="1704">
        <f>+E40+G40</f>
        <v>5067.3700000000008</v>
      </c>
      <c r="J40" s="9034"/>
      <c r="K40" s="1803">
        <v>2613.1999999999998</v>
      </c>
      <c r="L40" s="9038">
        <f>+H40+J40</f>
        <v>0</v>
      </c>
      <c r="M40" s="2006">
        <f>+I40+K40</f>
        <v>7680.5700000000006</v>
      </c>
      <c r="N40" s="9034"/>
      <c r="O40" s="1803">
        <v>2972.2</v>
      </c>
      <c r="P40" s="9036">
        <f>+L40+N40</f>
        <v>0</v>
      </c>
      <c r="Q40" s="1704">
        <f>+M40+O40</f>
        <v>10652.77</v>
      </c>
      <c r="R40" s="9034"/>
      <c r="S40" s="1803">
        <v>2974.8</v>
      </c>
      <c r="T40" s="9036">
        <f>+P40+R40</f>
        <v>0</v>
      </c>
      <c r="U40" s="1704">
        <f>+Q40+S40</f>
        <v>13627.57</v>
      </c>
      <c r="V40" s="9034"/>
      <c r="W40" s="1803">
        <v>2113.79</v>
      </c>
      <c r="X40" s="9038">
        <f>+T40+V40</f>
        <v>0</v>
      </c>
      <c r="Y40" s="1998">
        <f t="shared" ref="Y40:Y41" si="96">+W40+S40+O40</f>
        <v>8060.79</v>
      </c>
      <c r="Z40" s="7107">
        <f>+T40+V40</f>
        <v>0</v>
      </c>
      <c r="AA40" s="7107">
        <f>+U40+W40</f>
        <v>15741.36</v>
      </c>
      <c r="AB40" s="9034"/>
      <c r="AC40" s="1803">
        <v>2558.52</v>
      </c>
      <c r="AD40" s="9036">
        <f>+Z40+AB40</f>
        <v>0</v>
      </c>
      <c r="AE40" s="1704">
        <f>+AA40+AC40</f>
        <v>18299.88</v>
      </c>
      <c r="AF40" s="9034"/>
      <c r="AG40" s="1803">
        <v>2570.9</v>
      </c>
      <c r="AH40" s="9036">
        <f>+AD40+AF40</f>
        <v>0</v>
      </c>
      <c r="AI40" s="1704">
        <f>+AE40+AG40</f>
        <v>20870.780000000002</v>
      </c>
      <c r="AJ40" s="9034"/>
      <c r="AK40" s="1803">
        <v>2879.73</v>
      </c>
      <c r="AL40" s="9038">
        <f>+AH40+AJ40</f>
        <v>0</v>
      </c>
      <c r="AM40" s="1998">
        <f t="shared" ref="AM40:AM41" si="97">+AK40+AG40+AC40</f>
        <v>8009.15</v>
      </c>
      <c r="AN40" s="9036">
        <f>+AH40+AJ40</f>
        <v>0</v>
      </c>
      <c r="AO40" s="1704">
        <f>+AI40+AK40</f>
        <v>23750.510000000002</v>
      </c>
      <c r="AP40" s="9034"/>
      <c r="AQ40" s="1803">
        <v>3163.19</v>
      </c>
      <c r="AR40" s="9036">
        <f>+AN40+AP40</f>
        <v>0</v>
      </c>
      <c r="AS40" s="1704">
        <f>+AO40+AQ40</f>
        <v>26913.7</v>
      </c>
      <c r="AT40" s="9034"/>
      <c r="AU40" s="1803">
        <v>2883.4</v>
      </c>
      <c r="AV40" s="9036">
        <f>+AR40+AT40</f>
        <v>0</v>
      </c>
      <c r="AW40" s="1704">
        <f>+AS40+AU40</f>
        <v>29797.100000000002</v>
      </c>
      <c r="AX40" s="9034"/>
      <c r="AY40" s="1803">
        <v>3186.8</v>
      </c>
      <c r="AZ40" s="9038">
        <f>+AV40+AX40</f>
        <v>0</v>
      </c>
      <c r="BA40" s="1998">
        <f t="shared" ref="BA40:BA41" si="98">+AY40+AU40+AQ40</f>
        <v>9233.3900000000012</v>
      </c>
      <c r="BB40" s="2021">
        <f>+AX40+AZ40</f>
        <v>0</v>
      </c>
      <c r="BC40" s="2021">
        <f t="shared" ref="BC40:BC41" si="99">+BA40+AM40</f>
        <v>17242.54</v>
      </c>
      <c r="BD40" s="7107">
        <f>+AV40+AX40</f>
        <v>0</v>
      </c>
      <c r="BE40" s="7107">
        <f>+AW40+AY40</f>
        <v>32983.9</v>
      </c>
    </row>
    <row r="41" spans="1:57" ht="15" customHeight="1" x14ac:dyDescent="0.2">
      <c r="A41" s="2265"/>
      <c r="B41" s="1530" t="s">
        <v>1092</v>
      </c>
      <c r="C41" s="1545" t="s">
        <v>833</v>
      </c>
      <c r="D41" s="9035"/>
      <c r="E41" s="2690">
        <v>12841.97</v>
      </c>
      <c r="F41" s="9035"/>
      <c r="G41" s="1665">
        <v>10316.33</v>
      </c>
      <c r="H41" s="9045"/>
      <c r="I41" s="1887">
        <f>+E41+G41</f>
        <v>23158.3</v>
      </c>
      <c r="J41" s="9035"/>
      <c r="K41" s="1665">
        <v>13525.5</v>
      </c>
      <c r="L41" s="9039"/>
      <c r="M41" s="2074">
        <f>+I41+K41</f>
        <v>36683.800000000003</v>
      </c>
      <c r="N41" s="9035"/>
      <c r="O41" s="1665">
        <v>17436.37</v>
      </c>
      <c r="P41" s="9037"/>
      <c r="Q41" s="1887">
        <f>+M41+O41</f>
        <v>54120.17</v>
      </c>
      <c r="R41" s="9035"/>
      <c r="S41" s="1665">
        <v>17285.09</v>
      </c>
      <c r="T41" s="9037"/>
      <c r="U41" s="1887">
        <f>+Q41+S41</f>
        <v>71405.259999999995</v>
      </c>
      <c r="V41" s="9035"/>
      <c r="W41" s="1665">
        <v>13044.95</v>
      </c>
      <c r="X41" s="9039"/>
      <c r="Y41" s="1998">
        <f t="shared" si="96"/>
        <v>47766.41</v>
      </c>
      <c r="Z41" s="7108"/>
      <c r="AA41" s="7108">
        <f>+U41+W41</f>
        <v>84450.209999999992</v>
      </c>
      <c r="AB41" s="9035"/>
      <c r="AC41" s="1665">
        <v>12864.16</v>
      </c>
      <c r="AD41" s="9037"/>
      <c r="AE41" s="1887">
        <f>+AA41+AC41</f>
        <v>97314.37</v>
      </c>
      <c r="AF41" s="9035"/>
      <c r="AG41" s="1665">
        <v>13281.4</v>
      </c>
      <c r="AH41" s="9037"/>
      <c r="AI41" s="1887">
        <f>+AE41+AG41</f>
        <v>110595.76999999999</v>
      </c>
      <c r="AJ41" s="9035"/>
      <c r="AK41" s="1665">
        <v>15375.94</v>
      </c>
      <c r="AL41" s="9039"/>
      <c r="AM41" s="1998">
        <f t="shared" si="97"/>
        <v>41521.5</v>
      </c>
      <c r="AN41" s="9037"/>
      <c r="AO41" s="1887">
        <f>+AI41+AK41</f>
        <v>125971.70999999999</v>
      </c>
      <c r="AP41" s="9035"/>
      <c r="AQ41" s="1665">
        <v>14575.68</v>
      </c>
      <c r="AR41" s="9037"/>
      <c r="AS41" s="1887">
        <f>+AO41+AQ41</f>
        <v>140547.38999999998</v>
      </c>
      <c r="AT41" s="9035"/>
      <c r="AU41" s="1665">
        <v>12598</v>
      </c>
      <c r="AV41" s="9037"/>
      <c r="AW41" s="1887">
        <f>+AS41+AU41</f>
        <v>153145.38999999998</v>
      </c>
      <c r="AX41" s="9035"/>
      <c r="AY41" s="1665">
        <v>14270.6</v>
      </c>
      <c r="AZ41" s="9039"/>
      <c r="BA41" s="1998">
        <f t="shared" si="98"/>
        <v>41444.28</v>
      </c>
      <c r="BB41" s="2074"/>
      <c r="BC41" s="2074">
        <f t="shared" si="99"/>
        <v>82965.78</v>
      </c>
      <c r="BD41" s="7108"/>
      <c r="BE41" s="7108">
        <f>+AW41+AY41</f>
        <v>167415.99</v>
      </c>
    </row>
    <row r="42" spans="1:57" ht="16" thickBot="1" x14ac:dyDescent="0.25">
      <c r="A42" s="2265"/>
      <c r="B42" s="1624" t="s">
        <v>229</v>
      </c>
      <c r="C42" s="1548" t="s">
        <v>169</v>
      </c>
      <c r="D42" s="6309" t="s">
        <v>127</v>
      </c>
      <c r="E42" s="2728">
        <f>+E41/E38*100</f>
        <v>4.723030849753278</v>
      </c>
      <c r="F42" s="6309" t="s">
        <v>127</v>
      </c>
      <c r="G42" s="1800">
        <f>+G41/G38*100</f>
        <v>3.5434268169064551</v>
      </c>
      <c r="H42" s="4696" t="s">
        <v>127</v>
      </c>
      <c r="I42" s="1883">
        <f>+I41/I38*100</f>
        <v>4.1130755389448037</v>
      </c>
      <c r="J42" s="6309" t="s">
        <v>127</v>
      </c>
      <c r="K42" s="1800">
        <f>+K41/K38*100</f>
        <v>4.5942095738089801</v>
      </c>
      <c r="L42" s="4697" t="s">
        <v>127</v>
      </c>
      <c r="M42" s="2072">
        <f>+M41/M38*100</f>
        <v>4.2782727682231823</v>
      </c>
      <c r="N42" s="6309" t="s">
        <v>127</v>
      </c>
      <c r="O42" s="1800">
        <f>+O41/O38*100</f>
        <v>5.2798356466492589</v>
      </c>
      <c r="P42" s="1888" t="s">
        <v>127</v>
      </c>
      <c r="Q42" s="1883">
        <f>+Q41/Q38*100</f>
        <v>4.5567638294990287</v>
      </c>
      <c r="R42" s="6447" t="s">
        <v>127</v>
      </c>
      <c r="S42" s="1800">
        <f>+S41/S38*100</f>
        <v>5.2294590580112663</v>
      </c>
      <c r="T42" s="1888" t="s">
        <v>127</v>
      </c>
      <c r="U42" s="1883">
        <f>+U41/U38*100</f>
        <v>4.7032167421971343</v>
      </c>
      <c r="V42" s="7024" t="s">
        <v>127</v>
      </c>
      <c r="W42" s="1800">
        <f>+W41/W38*100</f>
        <v>5.5542231140615295</v>
      </c>
      <c r="X42" s="4697" t="s">
        <v>127</v>
      </c>
      <c r="Y42" s="2072">
        <f>+Y41/Y38*100</f>
        <v>5.3331973118799354</v>
      </c>
      <c r="Z42" s="7104" t="s">
        <v>127</v>
      </c>
      <c r="AA42" s="7104">
        <f>+AA41/AA38*100</f>
        <v>4.8172281722051711</v>
      </c>
      <c r="AB42" s="7373" t="s">
        <v>127</v>
      </c>
      <c r="AC42" s="1800">
        <f>+AC41/AC38*100</f>
        <v>4.5251737978951798</v>
      </c>
      <c r="AD42" s="1888" t="s">
        <v>127</v>
      </c>
      <c r="AE42" s="1883">
        <f>+AE41/AE38*100</f>
        <v>4.7764769540059815</v>
      </c>
      <c r="AF42" s="7624" t="s">
        <v>127</v>
      </c>
      <c r="AG42" s="1800">
        <f>+AG41/AG38*100</f>
        <v>4.6494531342167527</v>
      </c>
      <c r="AH42" s="1888" t="s">
        <v>127</v>
      </c>
      <c r="AI42" s="1883">
        <f>+AI41/AI38*100</f>
        <v>4.760857214364977</v>
      </c>
      <c r="AJ42" s="7784" t="s">
        <v>127</v>
      </c>
      <c r="AK42" s="1800">
        <f>+AK41/AK38*100</f>
        <v>4.8054296566548365</v>
      </c>
      <c r="AL42" s="4697" t="s">
        <v>127</v>
      </c>
      <c r="AM42" s="2072">
        <f>+AM41/AM38*100</f>
        <v>4.6658343307710943</v>
      </c>
      <c r="AN42" s="1888" t="s">
        <v>127</v>
      </c>
      <c r="AO42" s="1883">
        <f>+AO41/AO38*100</f>
        <v>4.7662533142264039</v>
      </c>
      <c r="AP42" s="8111" t="s">
        <v>127</v>
      </c>
      <c r="AQ42" s="1800">
        <f>+AQ41/AQ38*100</f>
        <v>4.1471212169882854</v>
      </c>
      <c r="AR42" s="1888" t="s">
        <v>127</v>
      </c>
      <c r="AS42" s="1883">
        <f>+AS41/AS38*100</f>
        <v>4.6935846322873829</v>
      </c>
      <c r="AT42" s="8175" t="s">
        <v>127</v>
      </c>
      <c r="AU42" s="1800">
        <f>+AU41/AU38*100</f>
        <v>3.9322275985070139</v>
      </c>
      <c r="AV42" s="1888" t="s">
        <v>127</v>
      </c>
      <c r="AW42" s="1883">
        <f>+AW41/AW38*100</f>
        <v>4.6199996256224534</v>
      </c>
      <c r="AX42" s="8354" t="s">
        <v>127</v>
      </c>
      <c r="AY42" s="1800">
        <f>+AY41/AY38*100</f>
        <v>4.0302331026096008</v>
      </c>
      <c r="AZ42" s="4697" t="s">
        <v>127</v>
      </c>
      <c r="BA42" s="2072">
        <f>+BA41/BA38*100</f>
        <v>4.0396715996483623</v>
      </c>
      <c r="BB42" s="2072" t="s">
        <v>127</v>
      </c>
      <c r="BC42" s="2072">
        <f>+BC41/BC38*100</f>
        <v>4.3305238076979258</v>
      </c>
      <c r="BD42" s="7104" t="s">
        <v>127</v>
      </c>
      <c r="BE42" s="7104">
        <f>+BE41/BE38*100</f>
        <v>4.5630811265727278</v>
      </c>
    </row>
    <row r="43" spans="1:57" ht="19" thickBot="1" x14ac:dyDescent="0.25">
      <c r="A43" s="2265"/>
      <c r="B43" s="1601" t="s">
        <v>189</v>
      </c>
      <c r="C43" s="1795" t="s">
        <v>833</v>
      </c>
      <c r="D43" s="4020">
        <f>+D38-D40</f>
        <v>0</v>
      </c>
      <c r="E43" s="2729">
        <f>+E38-E40-E41</f>
        <v>256611.96</v>
      </c>
      <c r="F43" s="4750">
        <f>+F38-F40</f>
        <v>0</v>
      </c>
      <c r="G43" s="1798">
        <f>+G38-G40-G41</f>
        <v>278203.32999999996</v>
      </c>
      <c r="H43" s="2555">
        <f>+D43+F43</f>
        <v>0</v>
      </c>
      <c r="I43" s="1885">
        <f>+I38-I40-I41</f>
        <v>534815.28999999992</v>
      </c>
      <c r="J43" s="4750">
        <f>+J38-J40</f>
        <v>0</v>
      </c>
      <c r="K43" s="1798">
        <f>+K38-K40-K41</f>
        <v>278264.5</v>
      </c>
      <c r="L43" s="2556">
        <f>+H43+J43</f>
        <v>0</v>
      </c>
      <c r="M43" s="2073">
        <f>+M38-M40-M41</f>
        <v>813079.78999999992</v>
      </c>
      <c r="N43" s="4750">
        <f>+N38-N40</f>
        <v>0</v>
      </c>
      <c r="O43" s="1798">
        <f>+O38-O40-O41</f>
        <v>309835.99</v>
      </c>
      <c r="P43" s="1884">
        <f>+L43+N43</f>
        <v>0</v>
      </c>
      <c r="Q43" s="1885">
        <f>+Q38-Q40-Q41</f>
        <v>1122915.78</v>
      </c>
      <c r="R43" s="4750">
        <f>+R38-R40</f>
        <v>0</v>
      </c>
      <c r="S43" s="1798">
        <f>+S38-S40-S41</f>
        <v>310273.14999999997</v>
      </c>
      <c r="T43" s="1884">
        <f>+P43+R43</f>
        <v>0</v>
      </c>
      <c r="U43" s="1885">
        <f>+U38-U40-U41</f>
        <v>1433188.93</v>
      </c>
      <c r="V43" s="4750">
        <f>+V38-V40</f>
        <v>0</v>
      </c>
      <c r="W43" s="1798">
        <f>+W38-W40-W41</f>
        <v>219706.68999999997</v>
      </c>
      <c r="X43" s="2556">
        <f>+T43+V43</f>
        <v>0</v>
      </c>
      <c r="Y43" s="2073">
        <f>+Y38-Y40-Y41</f>
        <v>839815.83</v>
      </c>
      <c r="Z43" s="7105">
        <f>+T43+V43</f>
        <v>0</v>
      </c>
      <c r="AA43" s="7105">
        <f>+AA38-AA40-AA41</f>
        <v>1652895.6199999999</v>
      </c>
      <c r="AB43" s="4750">
        <f>+AB38-AB40</f>
        <v>0</v>
      </c>
      <c r="AC43" s="1798">
        <f>+AC38-AC40-AC41</f>
        <v>268857.23</v>
      </c>
      <c r="AD43" s="1884">
        <f>+Z43+AB43</f>
        <v>0</v>
      </c>
      <c r="AE43" s="1885">
        <f>+AE38-AE40-AE41</f>
        <v>1921752.85</v>
      </c>
      <c r="AF43" s="4750">
        <f>+AF38-AF40</f>
        <v>0</v>
      </c>
      <c r="AG43" s="1798">
        <f>+AG38-AG40-AG41</f>
        <v>269802.79999999993</v>
      </c>
      <c r="AH43" s="1884">
        <f>+AD43+AF43</f>
        <v>0</v>
      </c>
      <c r="AI43" s="1885">
        <f>+AI38-AI40-AI41</f>
        <v>2191555.65</v>
      </c>
      <c r="AJ43" s="4750">
        <f>+AJ38-AJ40</f>
        <v>0</v>
      </c>
      <c r="AK43" s="1798">
        <f>+AK38-AK40-AK41</f>
        <v>301714.47000000003</v>
      </c>
      <c r="AL43" s="2556">
        <f>+AH43+AJ43</f>
        <v>0</v>
      </c>
      <c r="AM43" s="2073">
        <f>+AM38-AM40-AM41</f>
        <v>840374.49999999988</v>
      </c>
      <c r="AN43" s="1884">
        <f>+AH43+AJ43</f>
        <v>0</v>
      </c>
      <c r="AO43" s="1885">
        <f>+AO38-AO40-AO41</f>
        <v>2493270.12</v>
      </c>
      <c r="AP43" s="4750">
        <f>+AP38-AP40</f>
        <v>0</v>
      </c>
      <c r="AQ43" s="1798">
        <f>+AQ38-AQ40-AQ41</f>
        <v>333726.14</v>
      </c>
      <c r="AR43" s="1884">
        <f>+AN43+AP43</f>
        <v>0</v>
      </c>
      <c r="AS43" s="1885">
        <f>+AS38-AS40-AS41</f>
        <v>2826996.2599999993</v>
      </c>
      <c r="AT43" s="4750">
        <f>+AT38-AT40</f>
        <v>0</v>
      </c>
      <c r="AU43" s="1798">
        <f>+AU38-AU40-AU41</f>
        <v>304896.8</v>
      </c>
      <c r="AV43" s="1884">
        <f>+AR43+AT43</f>
        <v>0</v>
      </c>
      <c r="AW43" s="1885">
        <f>+AW38-AW40-AW41</f>
        <v>3131893.0599999996</v>
      </c>
      <c r="AX43" s="4750">
        <f>+AX38-AX40</f>
        <v>0</v>
      </c>
      <c r="AY43" s="1798">
        <f>+AY38-AY40-AY41</f>
        <v>336631.30000000005</v>
      </c>
      <c r="AZ43" s="2556">
        <f>+AV43+AX43</f>
        <v>0</v>
      </c>
      <c r="BA43" s="2073">
        <f>+BA38-BA40-BA41</f>
        <v>975254.24</v>
      </c>
      <c r="BB43" s="2073">
        <f>+AX43+AZ43</f>
        <v>0</v>
      </c>
      <c r="BC43" s="2073">
        <f>+BC38-BC40-BC41</f>
        <v>1815628.74</v>
      </c>
      <c r="BD43" s="7105">
        <f>+AV43+AX43</f>
        <v>0</v>
      </c>
      <c r="BE43" s="7105">
        <f>+BE38-BE40-BE41</f>
        <v>3468524.3600000003</v>
      </c>
    </row>
    <row r="44" spans="1:57" ht="16" x14ac:dyDescent="0.2">
      <c r="A44" s="2265"/>
      <c r="B44" s="1582" t="s">
        <v>844</v>
      </c>
      <c r="C44" s="1472"/>
      <c r="D44" s="4751"/>
      <c r="E44" s="1602"/>
      <c r="F44" s="4751"/>
      <c r="G44" s="1602"/>
      <c r="H44" s="2688"/>
      <c r="I44" s="1602"/>
      <c r="J44" s="4751"/>
      <c r="K44" s="1602"/>
      <c r="L44" s="2688"/>
      <c r="M44" s="1602"/>
      <c r="N44" s="4752"/>
      <c r="O44" s="1602"/>
      <c r="P44" s="1602"/>
      <c r="Q44" s="1602"/>
      <c r="R44" s="4752"/>
      <c r="S44" s="1602"/>
      <c r="T44" s="1602"/>
      <c r="U44" s="1602"/>
      <c r="V44" s="4752"/>
      <c r="W44" s="1602"/>
      <c r="X44" s="2688"/>
      <c r="Y44" s="1602"/>
      <c r="Z44" s="1602"/>
      <c r="AA44" s="1602"/>
      <c r="AB44" s="4752"/>
      <c r="AC44" s="1602"/>
      <c r="AD44" s="1602"/>
      <c r="AE44" s="1602"/>
      <c r="AF44" s="4752"/>
      <c r="AG44" s="1602"/>
      <c r="AH44" s="1602"/>
      <c r="AI44" s="1602"/>
      <c r="AJ44" s="4752"/>
      <c r="AK44" s="1602"/>
      <c r="AL44" s="2688"/>
      <c r="AM44" s="1602"/>
      <c r="AN44" s="1602"/>
      <c r="AO44" s="1602"/>
      <c r="AP44" s="4752"/>
      <c r="AQ44" s="1602"/>
      <c r="AR44" s="1602"/>
      <c r="AS44" s="1602"/>
      <c r="AT44" s="4752"/>
      <c r="AU44" s="1602"/>
      <c r="AV44" s="1602"/>
      <c r="AW44" s="1602"/>
      <c r="AX44" s="4752"/>
      <c r="AY44" s="1602"/>
      <c r="AZ44" s="2688"/>
      <c r="BA44" s="1602"/>
      <c r="BB44" s="1602"/>
      <c r="BC44" s="1602"/>
      <c r="BD44" s="1602"/>
      <c r="BE44" s="1602"/>
    </row>
    <row r="45" spans="1:57" ht="15" customHeight="1" x14ac:dyDescent="0.2">
      <c r="A45" s="2265"/>
      <c r="B45" s="1533" t="s">
        <v>399</v>
      </c>
      <c r="C45" s="1545" t="s">
        <v>833</v>
      </c>
      <c r="D45" s="4811">
        <f>0*$D$2*24</f>
        <v>0</v>
      </c>
      <c r="E45" s="1923">
        <v>0</v>
      </c>
      <c r="F45" s="4811">
        <f>0*$F$2*24</f>
        <v>0</v>
      </c>
      <c r="G45" s="1545">
        <v>0</v>
      </c>
      <c r="H45" s="4693">
        <f>+D45+F45</f>
        <v>0</v>
      </c>
      <c r="I45" s="1887">
        <f>+E45+G45</f>
        <v>0</v>
      </c>
      <c r="J45" s="4811"/>
      <c r="K45" s="1545">
        <v>0</v>
      </c>
      <c r="L45" s="4692">
        <f>+H45+J45</f>
        <v>0</v>
      </c>
      <c r="M45" s="2074">
        <f>+I45+K45</f>
        <v>0</v>
      </c>
      <c r="N45" s="4811"/>
      <c r="O45" s="1545">
        <v>0</v>
      </c>
      <c r="P45" s="2460">
        <f>+L45+N45</f>
        <v>0</v>
      </c>
      <c r="Q45" s="1887">
        <f>+M45+O45</f>
        <v>0</v>
      </c>
      <c r="R45" s="4811"/>
      <c r="S45" s="1545">
        <v>0</v>
      </c>
      <c r="T45" s="2460">
        <f>+P45+R45</f>
        <v>0</v>
      </c>
      <c r="U45" s="1887">
        <f>+Q45+S45</f>
        <v>0</v>
      </c>
      <c r="V45" s="4811"/>
      <c r="W45" s="1545">
        <v>0</v>
      </c>
      <c r="X45" s="7026">
        <f>+T45+V45</f>
        <v>0</v>
      </c>
      <c r="Y45" s="1998">
        <f t="shared" ref="Y45:Y53" si="100">+W45+S45+O45</f>
        <v>0</v>
      </c>
      <c r="Z45" s="7108">
        <f>+T45+V45</f>
        <v>0</v>
      </c>
      <c r="AA45" s="7108">
        <f>+U45+W45</f>
        <v>0</v>
      </c>
      <c r="AB45" s="4811"/>
      <c r="AC45" s="1545">
        <v>0</v>
      </c>
      <c r="AD45" s="2460">
        <f>+Z45+AB45</f>
        <v>0</v>
      </c>
      <c r="AE45" s="1887">
        <f>+AA45+AC45</f>
        <v>0</v>
      </c>
      <c r="AF45" s="4811"/>
      <c r="AG45" s="1545">
        <v>0</v>
      </c>
      <c r="AH45" s="2460">
        <f>+AD45+AF45</f>
        <v>0</v>
      </c>
      <c r="AI45" s="1887">
        <f>+AE45+AG45</f>
        <v>0</v>
      </c>
      <c r="AJ45" s="4811"/>
      <c r="AK45" s="1545">
        <v>0</v>
      </c>
      <c r="AL45" s="7787">
        <f>+AH45+AJ45</f>
        <v>0</v>
      </c>
      <c r="AM45" s="1998">
        <f t="shared" ref="AM45:AM53" si="101">+AK45+AG45+AC45</f>
        <v>0</v>
      </c>
      <c r="AN45" s="2460">
        <f>+AH45+AJ45</f>
        <v>0</v>
      </c>
      <c r="AO45" s="1887">
        <f>+AI45+AK45</f>
        <v>0</v>
      </c>
      <c r="AP45" s="4811"/>
      <c r="AQ45" s="1545">
        <v>0</v>
      </c>
      <c r="AR45" s="2460">
        <f>+AN45+AP45</f>
        <v>0</v>
      </c>
      <c r="AS45" s="1887">
        <f>+AO45+AQ45</f>
        <v>0</v>
      </c>
      <c r="AT45" s="4811"/>
      <c r="AU45" s="1545">
        <v>0</v>
      </c>
      <c r="AV45" s="2460">
        <f>+AR45+AT45</f>
        <v>0</v>
      </c>
      <c r="AW45" s="1887">
        <f>+AS45+AU45</f>
        <v>0</v>
      </c>
      <c r="AX45" s="4811"/>
      <c r="AY45" s="1545">
        <v>0</v>
      </c>
      <c r="AZ45" s="8358">
        <f>+AV45+AX45</f>
        <v>0</v>
      </c>
      <c r="BA45" s="1998">
        <f t="shared" ref="BA45:BA53" si="102">+AY45+AU45+AQ45</f>
        <v>0</v>
      </c>
      <c r="BB45" s="2074">
        <f>+AX45+AZ45</f>
        <v>0</v>
      </c>
      <c r="BC45" s="2074">
        <f t="shared" ref="BC45:BC53" si="103">+BA45+AM45</f>
        <v>0</v>
      </c>
      <c r="BD45" s="7108">
        <f>+AV45+AX45</f>
        <v>0</v>
      </c>
      <c r="BE45" s="7108">
        <f>+AW45+AY45</f>
        <v>0</v>
      </c>
    </row>
    <row r="46" spans="1:57" x14ac:dyDescent="0.2">
      <c r="A46" s="2265"/>
      <c r="B46" s="1533" t="s">
        <v>285</v>
      </c>
      <c r="C46" s="1545" t="s">
        <v>833</v>
      </c>
      <c r="D46" s="4811"/>
      <c r="E46" s="2690">
        <v>117282.24000000001</v>
      </c>
      <c r="F46" s="4811"/>
      <c r="G46" s="1669">
        <v>123306.72</v>
      </c>
      <c r="H46" s="4689">
        <f t="shared" ref="H46:I54" si="104">+D46+F46</f>
        <v>0</v>
      </c>
      <c r="I46" s="1713">
        <f t="shared" si="104"/>
        <v>240588.96000000002</v>
      </c>
      <c r="J46" s="4811"/>
      <c r="K46" s="1669">
        <v>124044.7</v>
      </c>
      <c r="L46" s="4691">
        <f t="shared" ref="L46:M54" si="105">+H46+J46</f>
        <v>0</v>
      </c>
      <c r="M46" s="1998">
        <f t="shared" si="105"/>
        <v>364633.66000000003</v>
      </c>
      <c r="N46" s="4811"/>
      <c r="O46" s="1669">
        <v>144096</v>
      </c>
      <c r="P46" s="2333">
        <f t="shared" ref="P46:Q54" si="106">+L46+N46</f>
        <v>0</v>
      </c>
      <c r="Q46" s="1713">
        <f t="shared" si="106"/>
        <v>508729.66000000003</v>
      </c>
      <c r="R46" s="4811"/>
      <c r="S46" s="1669">
        <v>146182.32</v>
      </c>
      <c r="T46" s="6445">
        <f t="shared" ref="T46:T54" si="107">+P46+R46</f>
        <v>0</v>
      </c>
      <c r="U46" s="1713">
        <f t="shared" ref="U46:U54" si="108">+Q46+S46</f>
        <v>654911.98</v>
      </c>
      <c r="V46" s="4811"/>
      <c r="W46" s="1669">
        <v>99822.68</v>
      </c>
      <c r="X46" s="7011">
        <f t="shared" ref="X46:X54" si="109">+T46+V46</f>
        <v>0</v>
      </c>
      <c r="Y46" s="1998">
        <f t="shared" si="100"/>
        <v>390101</v>
      </c>
      <c r="Z46" s="6510">
        <f t="shared" ref="Z46:Z54" si="110">+T46+V46</f>
        <v>0</v>
      </c>
      <c r="AA46" s="6510">
        <f t="shared" ref="AA46:AA54" si="111">+U46+W46</f>
        <v>754734.65999999992</v>
      </c>
      <c r="AB46" s="4811"/>
      <c r="AC46" s="1669">
        <v>122393.76</v>
      </c>
      <c r="AD46" s="7369">
        <f t="shared" ref="AD46:AD54" si="112">+Z46+AB46</f>
        <v>0</v>
      </c>
      <c r="AE46" s="1713">
        <f t="shared" ref="AE46:AE54" si="113">+AA46+AC46</f>
        <v>877128.41999999993</v>
      </c>
      <c r="AF46" s="4811"/>
      <c r="AG46" s="1669">
        <v>120315</v>
      </c>
      <c r="AH46" s="7369">
        <f t="shared" ref="AH46:AH54" si="114">+AD46+AF46</f>
        <v>0</v>
      </c>
      <c r="AI46" s="1713">
        <f t="shared" ref="AI46:AI54" si="115">+AE46+AG46</f>
        <v>997443.41999999993</v>
      </c>
      <c r="AJ46" s="4811"/>
      <c r="AK46" s="1669">
        <v>143441</v>
      </c>
      <c r="AL46" s="7767">
        <f t="shared" ref="AL46:AL54" si="116">+AH46+AJ46</f>
        <v>0</v>
      </c>
      <c r="AM46" s="1998">
        <f t="shared" si="101"/>
        <v>386149.76</v>
      </c>
      <c r="AN46" s="7369">
        <f t="shared" ref="AN46:AN54" si="117">+AH46+AJ46</f>
        <v>0</v>
      </c>
      <c r="AO46" s="1713">
        <f t="shared" ref="AO46:AO54" si="118">+AI46+AK46</f>
        <v>1140884.42</v>
      </c>
      <c r="AP46" s="4811"/>
      <c r="AQ46" s="1545">
        <v>154162.44</v>
      </c>
      <c r="AR46" s="7369">
        <f t="shared" ref="AR46:AR54" si="119">+AN46+AP46</f>
        <v>0</v>
      </c>
      <c r="AS46" s="1713">
        <f t="shared" ref="AS46:AS54" si="120">+AO46+AQ46</f>
        <v>1295046.8599999999</v>
      </c>
      <c r="AT46" s="4811"/>
      <c r="AU46" s="1545">
        <v>138881</v>
      </c>
      <c r="AV46" s="7369">
        <f t="shared" ref="AV46:AV54" si="121">+AR46+AT46</f>
        <v>0</v>
      </c>
      <c r="AW46" s="1713">
        <f t="shared" ref="AW46:AW54" si="122">+AS46+AU46</f>
        <v>1433927.8599999999</v>
      </c>
      <c r="AX46" s="4811"/>
      <c r="AY46" s="1545">
        <v>155035</v>
      </c>
      <c r="AZ46" s="8344">
        <f t="shared" ref="AZ46:AZ54" si="123">+AV46+AX46</f>
        <v>0</v>
      </c>
      <c r="BA46" s="1998">
        <f t="shared" si="102"/>
        <v>448078.44</v>
      </c>
      <c r="BB46" s="1998">
        <f t="shared" ref="BB46:BB54" si="124">+AX46+AZ46</f>
        <v>0</v>
      </c>
      <c r="BC46" s="1998">
        <f t="shared" si="103"/>
        <v>834228.2</v>
      </c>
      <c r="BD46" s="6510">
        <f t="shared" ref="BD46:BD54" si="125">+AV46+AX46</f>
        <v>0</v>
      </c>
      <c r="BE46" s="6510">
        <f t="shared" ref="BE46:BE54" si="126">+AW46+AY46</f>
        <v>1588962.8599999999</v>
      </c>
    </row>
    <row r="47" spans="1:57" x14ac:dyDescent="0.2">
      <c r="A47" s="2265"/>
      <c r="B47" s="1533" t="s">
        <v>398</v>
      </c>
      <c r="C47" s="1545" t="s">
        <v>833</v>
      </c>
      <c r="D47" s="4811"/>
      <c r="E47" s="2690">
        <v>26351.040000000001</v>
      </c>
      <c r="F47" s="4811"/>
      <c r="G47" s="1669">
        <v>28613.759999999998</v>
      </c>
      <c r="H47" s="4689">
        <f t="shared" si="104"/>
        <v>0</v>
      </c>
      <c r="I47" s="1713">
        <f t="shared" si="104"/>
        <v>54964.800000000003</v>
      </c>
      <c r="J47" s="4811"/>
      <c r="K47" s="1669">
        <v>39272.9</v>
      </c>
      <c r="L47" s="4691">
        <f t="shared" si="105"/>
        <v>0</v>
      </c>
      <c r="M47" s="1998">
        <f t="shared" si="105"/>
        <v>94237.700000000012</v>
      </c>
      <c r="N47" s="4811"/>
      <c r="O47" s="1669">
        <v>40360.080000000002</v>
      </c>
      <c r="P47" s="2333">
        <f t="shared" si="106"/>
        <v>0</v>
      </c>
      <c r="Q47" s="1713">
        <f t="shared" si="106"/>
        <v>134597.78000000003</v>
      </c>
      <c r="R47" s="4811"/>
      <c r="S47" s="1669">
        <v>32126.400000000001</v>
      </c>
      <c r="T47" s="6445">
        <f t="shared" si="107"/>
        <v>0</v>
      </c>
      <c r="U47" s="1713">
        <f t="shared" si="108"/>
        <v>166724.18000000002</v>
      </c>
      <c r="V47" s="4811"/>
      <c r="W47" s="1669">
        <v>22955.040000000001</v>
      </c>
      <c r="X47" s="7011">
        <f t="shared" si="109"/>
        <v>0</v>
      </c>
      <c r="Y47" s="1998">
        <f t="shared" si="100"/>
        <v>95441.52</v>
      </c>
      <c r="Z47" s="6510">
        <f t="shared" si="110"/>
        <v>0</v>
      </c>
      <c r="AA47" s="6510">
        <f t="shared" si="111"/>
        <v>189679.22000000003</v>
      </c>
      <c r="AB47" s="4811"/>
      <c r="AC47" s="1669">
        <v>25983.119999999999</v>
      </c>
      <c r="AD47" s="7369">
        <f t="shared" si="112"/>
        <v>0</v>
      </c>
      <c r="AE47" s="1713">
        <f t="shared" si="113"/>
        <v>215662.34000000003</v>
      </c>
      <c r="AF47" s="4811"/>
      <c r="AG47" s="1669">
        <v>32917.440000000002</v>
      </c>
      <c r="AH47" s="7369">
        <f t="shared" si="114"/>
        <v>0</v>
      </c>
      <c r="AI47" s="1713">
        <f t="shared" si="115"/>
        <v>248579.78000000003</v>
      </c>
      <c r="AJ47" s="4811"/>
      <c r="AK47" s="1669">
        <v>29640</v>
      </c>
      <c r="AL47" s="7767">
        <f t="shared" si="116"/>
        <v>0</v>
      </c>
      <c r="AM47" s="1998">
        <f t="shared" si="101"/>
        <v>88540.56</v>
      </c>
      <c r="AN47" s="7369">
        <f t="shared" si="117"/>
        <v>0</v>
      </c>
      <c r="AO47" s="1713">
        <f t="shared" si="118"/>
        <v>278219.78000000003</v>
      </c>
      <c r="AP47" s="4811"/>
      <c r="AQ47" s="1669">
        <v>32802</v>
      </c>
      <c r="AR47" s="7369">
        <f t="shared" si="119"/>
        <v>0</v>
      </c>
      <c r="AS47" s="1713">
        <f t="shared" si="120"/>
        <v>311021.78000000003</v>
      </c>
      <c r="AT47" s="4811"/>
      <c r="AU47" s="1669">
        <v>30241.7</v>
      </c>
      <c r="AV47" s="7369">
        <f t="shared" si="121"/>
        <v>0</v>
      </c>
      <c r="AW47" s="1713">
        <f t="shared" si="122"/>
        <v>341263.48000000004</v>
      </c>
      <c r="AX47" s="4811"/>
      <c r="AY47" s="1669">
        <v>34064.400000000001</v>
      </c>
      <c r="AZ47" s="8344">
        <f t="shared" si="123"/>
        <v>0</v>
      </c>
      <c r="BA47" s="1998">
        <f t="shared" si="102"/>
        <v>97108.1</v>
      </c>
      <c r="BB47" s="1998">
        <f t="shared" si="124"/>
        <v>0</v>
      </c>
      <c r="BC47" s="1998">
        <f t="shared" si="103"/>
        <v>185648.66</v>
      </c>
      <c r="BD47" s="6510">
        <f t="shared" si="125"/>
        <v>0</v>
      </c>
      <c r="BE47" s="6510">
        <f t="shared" si="126"/>
        <v>375327.88000000006</v>
      </c>
    </row>
    <row r="48" spans="1:57" ht="15" customHeight="1" x14ac:dyDescent="0.2">
      <c r="A48" s="2265"/>
      <c r="B48" s="1533" t="s">
        <v>408</v>
      </c>
      <c r="C48" s="1545" t="s">
        <v>833</v>
      </c>
      <c r="D48" s="4811"/>
      <c r="E48" s="2690">
        <v>0</v>
      </c>
      <c r="F48" s="4811"/>
      <c r="G48" s="1669">
        <v>0</v>
      </c>
      <c r="H48" s="4689">
        <f t="shared" si="104"/>
        <v>0</v>
      </c>
      <c r="I48" s="1713">
        <f t="shared" si="104"/>
        <v>0</v>
      </c>
      <c r="J48" s="4811"/>
      <c r="K48" s="1669">
        <v>0</v>
      </c>
      <c r="L48" s="4691">
        <f t="shared" si="105"/>
        <v>0</v>
      </c>
      <c r="M48" s="1998">
        <f t="shared" si="105"/>
        <v>0</v>
      </c>
      <c r="N48" s="4811"/>
      <c r="O48" s="1669">
        <v>0</v>
      </c>
      <c r="P48" s="2333">
        <f t="shared" si="106"/>
        <v>0</v>
      </c>
      <c r="Q48" s="1713">
        <f t="shared" si="106"/>
        <v>0</v>
      </c>
      <c r="R48" s="4811"/>
      <c r="S48" s="1669">
        <v>0</v>
      </c>
      <c r="T48" s="6445">
        <f t="shared" si="107"/>
        <v>0</v>
      </c>
      <c r="U48" s="1713">
        <f t="shared" si="108"/>
        <v>0</v>
      </c>
      <c r="V48" s="4811"/>
      <c r="W48" s="1669">
        <v>0</v>
      </c>
      <c r="X48" s="7011">
        <f t="shared" si="109"/>
        <v>0</v>
      </c>
      <c r="Y48" s="1998">
        <f t="shared" si="100"/>
        <v>0</v>
      </c>
      <c r="Z48" s="6510">
        <f t="shared" si="110"/>
        <v>0</v>
      </c>
      <c r="AA48" s="6510">
        <f t="shared" si="111"/>
        <v>0</v>
      </c>
      <c r="AB48" s="4811"/>
      <c r="AC48" s="1669">
        <v>0</v>
      </c>
      <c r="AD48" s="7369">
        <f t="shared" si="112"/>
        <v>0</v>
      </c>
      <c r="AE48" s="1713">
        <f t="shared" si="113"/>
        <v>0</v>
      </c>
      <c r="AF48" s="4811"/>
      <c r="AG48" s="1669">
        <v>0</v>
      </c>
      <c r="AH48" s="7369">
        <f t="shared" si="114"/>
        <v>0</v>
      </c>
      <c r="AI48" s="1713">
        <f t="shared" si="115"/>
        <v>0</v>
      </c>
      <c r="AJ48" s="4811"/>
      <c r="AK48" s="1669">
        <v>0</v>
      </c>
      <c r="AL48" s="7767">
        <f t="shared" si="116"/>
        <v>0</v>
      </c>
      <c r="AM48" s="1998">
        <f t="shared" si="101"/>
        <v>0</v>
      </c>
      <c r="AN48" s="7369">
        <f t="shared" si="117"/>
        <v>0</v>
      </c>
      <c r="AO48" s="1713">
        <f t="shared" si="118"/>
        <v>0</v>
      </c>
      <c r="AP48" s="4811"/>
      <c r="AQ48" s="1669">
        <v>0</v>
      </c>
      <c r="AR48" s="7369">
        <f t="shared" si="119"/>
        <v>0</v>
      </c>
      <c r="AS48" s="1713">
        <f t="shared" si="120"/>
        <v>0</v>
      </c>
      <c r="AT48" s="4811"/>
      <c r="AU48" s="1669">
        <v>0</v>
      </c>
      <c r="AV48" s="7369">
        <f t="shared" si="121"/>
        <v>0</v>
      </c>
      <c r="AW48" s="1713">
        <f t="shared" si="122"/>
        <v>0</v>
      </c>
      <c r="AX48" s="4811"/>
      <c r="AY48" s="1669">
        <v>0</v>
      </c>
      <c r="AZ48" s="8344">
        <f t="shared" si="123"/>
        <v>0</v>
      </c>
      <c r="BA48" s="1998">
        <f t="shared" si="102"/>
        <v>0</v>
      </c>
      <c r="BB48" s="1998">
        <f t="shared" si="124"/>
        <v>0</v>
      </c>
      <c r="BC48" s="1998">
        <f t="shared" si="103"/>
        <v>0</v>
      </c>
      <c r="BD48" s="6510">
        <f t="shared" si="125"/>
        <v>0</v>
      </c>
      <c r="BE48" s="6510">
        <f t="shared" si="126"/>
        <v>0</v>
      </c>
    </row>
    <row r="49" spans="1:57" x14ac:dyDescent="0.2">
      <c r="A49" s="2265"/>
      <c r="B49" s="1533" t="s">
        <v>317</v>
      </c>
      <c r="C49" s="1545" t="s">
        <v>833</v>
      </c>
      <c r="D49" s="4811"/>
      <c r="E49" s="2690">
        <v>104387.52</v>
      </c>
      <c r="F49" s="4811"/>
      <c r="G49" s="1669">
        <v>110129.76</v>
      </c>
      <c r="H49" s="4689">
        <f t="shared" si="104"/>
        <v>0</v>
      </c>
      <c r="I49" s="1713">
        <f t="shared" si="104"/>
        <v>214517.28</v>
      </c>
      <c r="J49" s="4811"/>
      <c r="K49" s="1669">
        <v>104236.1</v>
      </c>
      <c r="L49" s="4691">
        <f t="shared" si="105"/>
        <v>0</v>
      </c>
      <c r="M49" s="1998">
        <f t="shared" si="105"/>
        <v>318753.38</v>
      </c>
      <c r="N49" s="4811"/>
      <c r="O49" s="1669">
        <v>115255.67999999999</v>
      </c>
      <c r="P49" s="2333">
        <f t="shared" si="106"/>
        <v>0</v>
      </c>
      <c r="Q49" s="1713">
        <f t="shared" si="106"/>
        <v>434009.06</v>
      </c>
      <c r="R49" s="4811"/>
      <c r="S49" s="1669">
        <v>118014</v>
      </c>
      <c r="T49" s="6445">
        <f t="shared" si="107"/>
        <v>0</v>
      </c>
      <c r="U49" s="1713">
        <f t="shared" si="108"/>
        <v>552023.06000000006</v>
      </c>
      <c r="V49" s="4811"/>
      <c r="W49" s="1669">
        <v>86597.28</v>
      </c>
      <c r="X49" s="7011">
        <f t="shared" si="109"/>
        <v>0</v>
      </c>
      <c r="Y49" s="1998">
        <f t="shared" si="100"/>
        <v>319866.95999999996</v>
      </c>
      <c r="Z49" s="6510">
        <f t="shared" si="110"/>
        <v>0</v>
      </c>
      <c r="AA49" s="6510">
        <f t="shared" si="111"/>
        <v>638620.34000000008</v>
      </c>
      <c r="AB49" s="4811"/>
      <c r="AC49" s="1669">
        <v>106905.36</v>
      </c>
      <c r="AD49" s="7369">
        <f t="shared" si="112"/>
        <v>0</v>
      </c>
      <c r="AE49" s="1713">
        <f t="shared" si="113"/>
        <v>745525.70000000007</v>
      </c>
      <c r="AF49" s="4811"/>
      <c r="AG49" s="1669">
        <v>100917.12</v>
      </c>
      <c r="AH49" s="7369">
        <f t="shared" si="114"/>
        <v>0</v>
      </c>
      <c r="AI49" s="1713">
        <f t="shared" si="115"/>
        <v>846442.82000000007</v>
      </c>
      <c r="AJ49" s="4811"/>
      <c r="AK49" s="1669">
        <v>113621.04</v>
      </c>
      <c r="AL49" s="7767">
        <f t="shared" si="116"/>
        <v>0</v>
      </c>
      <c r="AM49" s="1998">
        <f t="shared" si="101"/>
        <v>321443.51999999996</v>
      </c>
      <c r="AN49" s="7369">
        <f t="shared" si="117"/>
        <v>0</v>
      </c>
      <c r="AO49" s="1713">
        <f t="shared" si="118"/>
        <v>960063.8600000001</v>
      </c>
      <c r="AP49" s="4811"/>
      <c r="AQ49" s="1669">
        <v>129039.6</v>
      </c>
      <c r="AR49" s="7369">
        <f t="shared" si="119"/>
        <v>0</v>
      </c>
      <c r="AS49" s="1713">
        <f t="shared" si="120"/>
        <v>1089103.4600000002</v>
      </c>
      <c r="AT49" s="4811"/>
      <c r="AU49" s="1669">
        <v>117269.8</v>
      </c>
      <c r="AV49" s="7369">
        <f t="shared" si="121"/>
        <v>0</v>
      </c>
      <c r="AW49" s="1713">
        <f t="shared" si="122"/>
        <v>1206373.2600000002</v>
      </c>
      <c r="AX49" s="4811"/>
      <c r="AY49" s="1669">
        <v>129179.6</v>
      </c>
      <c r="AZ49" s="8344">
        <f t="shared" si="123"/>
        <v>0</v>
      </c>
      <c r="BA49" s="1998">
        <f t="shared" si="102"/>
        <v>375489</v>
      </c>
      <c r="BB49" s="1998">
        <f t="shared" si="124"/>
        <v>0</v>
      </c>
      <c r="BC49" s="1998">
        <f t="shared" si="103"/>
        <v>696932.52</v>
      </c>
      <c r="BD49" s="6510">
        <f t="shared" si="125"/>
        <v>0</v>
      </c>
      <c r="BE49" s="6510">
        <f t="shared" si="126"/>
        <v>1335552.8600000003</v>
      </c>
    </row>
    <row r="50" spans="1:57" x14ac:dyDescent="0.2">
      <c r="A50" s="2265"/>
      <c r="B50" s="1533" t="s">
        <v>194</v>
      </c>
      <c r="C50" s="1545" t="s">
        <v>833</v>
      </c>
      <c r="D50" s="4811"/>
      <c r="E50" s="2690">
        <v>3563.75</v>
      </c>
      <c r="F50" s="4811"/>
      <c r="G50" s="1669">
        <v>3682.6</v>
      </c>
      <c r="H50" s="4689">
        <f t="shared" si="104"/>
        <v>0</v>
      </c>
      <c r="I50" s="1713">
        <f t="shared" si="104"/>
        <v>7246.35</v>
      </c>
      <c r="J50" s="4811"/>
      <c r="K50" s="1669">
        <v>3465</v>
      </c>
      <c r="L50" s="4691">
        <f t="shared" si="105"/>
        <v>0</v>
      </c>
      <c r="M50" s="1998">
        <f t="shared" si="105"/>
        <v>10711.35</v>
      </c>
      <c r="N50" s="4811"/>
      <c r="O50" s="1669">
        <v>4583.8</v>
      </c>
      <c r="P50" s="2333">
        <f t="shared" si="106"/>
        <v>0</v>
      </c>
      <c r="Q50" s="1713">
        <f t="shared" si="106"/>
        <v>15295.150000000001</v>
      </c>
      <c r="R50" s="4811"/>
      <c r="S50" s="1669">
        <v>4778.7</v>
      </c>
      <c r="T50" s="6445">
        <f t="shared" si="107"/>
        <v>0</v>
      </c>
      <c r="U50" s="1713">
        <f t="shared" si="108"/>
        <v>20073.850000000002</v>
      </c>
      <c r="V50" s="4811"/>
      <c r="W50" s="1669">
        <v>3294.73</v>
      </c>
      <c r="X50" s="7011">
        <f t="shared" si="109"/>
        <v>0</v>
      </c>
      <c r="Y50" s="1998">
        <f t="shared" si="100"/>
        <v>12657.23</v>
      </c>
      <c r="Z50" s="6510">
        <f t="shared" si="110"/>
        <v>0</v>
      </c>
      <c r="AA50" s="6510">
        <f t="shared" si="111"/>
        <v>23368.58</v>
      </c>
      <c r="AB50" s="4811"/>
      <c r="AC50" s="1669">
        <v>3282.96</v>
      </c>
      <c r="AD50" s="7369">
        <f t="shared" si="112"/>
        <v>0</v>
      </c>
      <c r="AE50" s="1713">
        <f t="shared" si="113"/>
        <v>26651.54</v>
      </c>
      <c r="AF50" s="4811"/>
      <c r="AG50" s="1669">
        <v>3158.15</v>
      </c>
      <c r="AH50" s="7369">
        <f t="shared" si="114"/>
        <v>0</v>
      </c>
      <c r="AI50" s="1713">
        <f t="shared" si="115"/>
        <v>29809.690000000002</v>
      </c>
      <c r="AJ50" s="4811"/>
      <c r="AK50" s="1669">
        <v>3678.18</v>
      </c>
      <c r="AL50" s="7767">
        <f t="shared" si="116"/>
        <v>0</v>
      </c>
      <c r="AM50" s="1998">
        <f t="shared" si="101"/>
        <v>10119.290000000001</v>
      </c>
      <c r="AN50" s="7369">
        <f t="shared" si="117"/>
        <v>0</v>
      </c>
      <c r="AO50" s="1713">
        <f t="shared" si="118"/>
        <v>33487.870000000003</v>
      </c>
      <c r="AP50" s="4811"/>
      <c r="AQ50" s="1669">
        <v>3880.46</v>
      </c>
      <c r="AR50" s="7369">
        <f t="shared" si="119"/>
        <v>0</v>
      </c>
      <c r="AS50" s="1713">
        <f t="shared" si="120"/>
        <v>37368.33</v>
      </c>
      <c r="AT50" s="4811"/>
      <c r="AU50" s="1669">
        <v>3340</v>
      </c>
      <c r="AV50" s="7369">
        <f t="shared" si="121"/>
        <v>0</v>
      </c>
      <c r="AW50" s="1713">
        <f t="shared" si="122"/>
        <v>40708.33</v>
      </c>
      <c r="AX50" s="4811"/>
      <c r="AY50" s="1669">
        <v>4163.8999999999996</v>
      </c>
      <c r="AZ50" s="8344">
        <f t="shared" si="123"/>
        <v>0</v>
      </c>
      <c r="BA50" s="1998">
        <f t="shared" si="102"/>
        <v>11384.36</v>
      </c>
      <c r="BB50" s="1998">
        <f t="shared" si="124"/>
        <v>0</v>
      </c>
      <c r="BC50" s="1998">
        <f t="shared" si="103"/>
        <v>21503.65</v>
      </c>
      <c r="BD50" s="6510">
        <f t="shared" si="125"/>
        <v>0</v>
      </c>
      <c r="BE50" s="6510">
        <f t="shared" si="126"/>
        <v>44872.23</v>
      </c>
    </row>
    <row r="51" spans="1:57" x14ac:dyDescent="0.2">
      <c r="A51" s="2265"/>
      <c r="B51" s="1533" t="s">
        <v>318</v>
      </c>
      <c r="C51" s="1545" t="s">
        <v>833</v>
      </c>
      <c r="D51" s="4811"/>
      <c r="E51" s="2690">
        <v>2378.29</v>
      </c>
      <c r="F51" s="4811"/>
      <c r="G51" s="1669">
        <v>7956.09</v>
      </c>
      <c r="H51" s="4689">
        <f t="shared" si="104"/>
        <v>0</v>
      </c>
      <c r="I51" s="1713">
        <f t="shared" si="104"/>
        <v>10334.380000000001</v>
      </c>
      <c r="J51" s="4811"/>
      <c r="K51" s="1669">
        <v>4285.5</v>
      </c>
      <c r="L51" s="4691">
        <f t="shared" si="105"/>
        <v>0</v>
      </c>
      <c r="M51" s="1998">
        <f t="shared" si="105"/>
        <v>14619.880000000001</v>
      </c>
      <c r="N51" s="4811"/>
      <c r="O51" s="1669">
        <v>2584.11</v>
      </c>
      <c r="P51" s="2333">
        <f t="shared" si="106"/>
        <v>0</v>
      </c>
      <c r="Q51" s="1713">
        <f t="shared" si="106"/>
        <v>17203.990000000002</v>
      </c>
      <c r="R51" s="4811"/>
      <c r="S51" s="1669">
        <v>5762.06</v>
      </c>
      <c r="T51" s="6445">
        <f t="shared" si="107"/>
        <v>0</v>
      </c>
      <c r="U51" s="1713">
        <f t="shared" si="108"/>
        <v>22966.050000000003</v>
      </c>
      <c r="V51" s="4811"/>
      <c r="W51" s="1669">
        <v>4683.6000000000004</v>
      </c>
      <c r="X51" s="7011">
        <f t="shared" si="109"/>
        <v>0</v>
      </c>
      <c r="Y51" s="1998">
        <f t="shared" si="100"/>
        <v>13029.77</v>
      </c>
      <c r="Z51" s="6510">
        <f t="shared" si="110"/>
        <v>0</v>
      </c>
      <c r="AA51" s="6510">
        <f t="shared" si="111"/>
        <v>27649.65</v>
      </c>
      <c r="AB51" s="4811"/>
      <c r="AC51" s="1669">
        <v>3636.76</v>
      </c>
      <c r="AD51" s="7369">
        <f t="shared" si="112"/>
        <v>0</v>
      </c>
      <c r="AE51" s="1713">
        <f t="shared" si="113"/>
        <v>31286.410000000003</v>
      </c>
      <c r="AF51" s="4811"/>
      <c r="AG51" s="1669">
        <v>4451.53</v>
      </c>
      <c r="AH51" s="7369">
        <f t="shared" si="114"/>
        <v>0</v>
      </c>
      <c r="AI51" s="1713">
        <f t="shared" si="115"/>
        <v>35737.94</v>
      </c>
      <c r="AJ51" s="4811"/>
      <c r="AK51" s="1669">
        <v>5833.63</v>
      </c>
      <c r="AL51" s="7767">
        <f t="shared" si="116"/>
        <v>0</v>
      </c>
      <c r="AM51" s="1998">
        <f t="shared" si="101"/>
        <v>13921.92</v>
      </c>
      <c r="AN51" s="7369">
        <f t="shared" si="117"/>
        <v>0</v>
      </c>
      <c r="AO51" s="1713">
        <f t="shared" si="118"/>
        <v>41571.57</v>
      </c>
      <c r="AP51" s="4811"/>
      <c r="AQ51" s="1669">
        <v>5255.3</v>
      </c>
      <c r="AR51" s="7369">
        <f t="shared" si="119"/>
        <v>0</v>
      </c>
      <c r="AS51" s="1713">
        <f t="shared" si="120"/>
        <v>46826.87</v>
      </c>
      <c r="AT51" s="4811"/>
      <c r="AU51" s="1669">
        <v>5039</v>
      </c>
      <c r="AV51" s="7369">
        <f t="shared" si="121"/>
        <v>0</v>
      </c>
      <c r="AW51" s="1713">
        <f t="shared" si="122"/>
        <v>51865.87</v>
      </c>
      <c r="AX51" s="4811"/>
      <c r="AY51" s="1669">
        <v>5341.1</v>
      </c>
      <c r="AZ51" s="8344">
        <f t="shared" si="123"/>
        <v>0</v>
      </c>
      <c r="BA51" s="1998">
        <f t="shared" si="102"/>
        <v>15635.400000000001</v>
      </c>
      <c r="BB51" s="1998">
        <f t="shared" si="124"/>
        <v>0</v>
      </c>
      <c r="BC51" s="1998">
        <f t="shared" si="103"/>
        <v>29557.32</v>
      </c>
      <c r="BD51" s="6510">
        <f t="shared" si="125"/>
        <v>0</v>
      </c>
      <c r="BE51" s="6510">
        <f t="shared" si="126"/>
        <v>57206.97</v>
      </c>
    </row>
    <row r="52" spans="1:57" x14ac:dyDescent="0.2">
      <c r="A52" s="2265"/>
      <c r="B52" s="1533" t="s">
        <v>401</v>
      </c>
      <c r="C52" s="1545" t="s">
        <v>833</v>
      </c>
      <c r="D52" s="4811"/>
      <c r="E52" s="2690">
        <v>0</v>
      </c>
      <c r="F52" s="4811"/>
      <c r="G52" s="1669">
        <v>0</v>
      </c>
      <c r="H52" s="4689">
        <f t="shared" si="104"/>
        <v>0</v>
      </c>
      <c r="I52" s="1713">
        <f t="shared" si="104"/>
        <v>0</v>
      </c>
      <c r="J52" s="4811"/>
      <c r="K52" s="1669">
        <v>0</v>
      </c>
      <c r="L52" s="4691">
        <f t="shared" si="105"/>
        <v>0</v>
      </c>
      <c r="M52" s="1998">
        <f t="shared" si="105"/>
        <v>0</v>
      </c>
      <c r="N52" s="4811"/>
      <c r="O52" s="1669">
        <v>0</v>
      </c>
      <c r="P52" s="2333">
        <f t="shared" si="106"/>
        <v>0</v>
      </c>
      <c r="Q52" s="1713">
        <f t="shared" si="106"/>
        <v>0</v>
      </c>
      <c r="R52" s="4811"/>
      <c r="S52" s="1669">
        <v>0</v>
      </c>
      <c r="T52" s="6445">
        <f t="shared" si="107"/>
        <v>0</v>
      </c>
      <c r="U52" s="1713">
        <f t="shared" si="108"/>
        <v>0</v>
      </c>
      <c r="V52" s="4811"/>
      <c r="W52" s="1669">
        <v>24.4</v>
      </c>
      <c r="X52" s="7011">
        <f t="shared" si="109"/>
        <v>0</v>
      </c>
      <c r="Y52" s="1998">
        <f t="shared" si="100"/>
        <v>24.4</v>
      </c>
      <c r="Z52" s="6510">
        <f t="shared" si="110"/>
        <v>0</v>
      </c>
      <c r="AA52" s="6510">
        <f t="shared" si="111"/>
        <v>24.4</v>
      </c>
      <c r="AB52" s="4811"/>
      <c r="AC52" s="1669">
        <v>4313.58</v>
      </c>
      <c r="AD52" s="7369">
        <f t="shared" si="112"/>
        <v>0</v>
      </c>
      <c r="AE52" s="1713">
        <f t="shared" si="113"/>
        <v>4337.9799999999996</v>
      </c>
      <c r="AF52" s="4811"/>
      <c r="AG52" s="1669">
        <v>5478.43</v>
      </c>
      <c r="AH52" s="7369">
        <f t="shared" si="114"/>
        <v>0</v>
      </c>
      <c r="AI52" s="1713">
        <f t="shared" si="115"/>
        <v>9816.41</v>
      </c>
      <c r="AJ52" s="4811"/>
      <c r="AK52" s="1669">
        <v>2324.6999999999998</v>
      </c>
      <c r="AL52" s="7767">
        <f t="shared" si="116"/>
        <v>0</v>
      </c>
      <c r="AM52" s="1998">
        <f t="shared" si="101"/>
        <v>12116.71</v>
      </c>
      <c r="AN52" s="7369">
        <f t="shared" si="117"/>
        <v>0</v>
      </c>
      <c r="AO52" s="1713">
        <f t="shared" si="118"/>
        <v>12141.11</v>
      </c>
      <c r="AP52" s="4811"/>
      <c r="AQ52" s="1669">
        <v>4319.8599999999997</v>
      </c>
      <c r="AR52" s="7369">
        <f t="shared" si="119"/>
        <v>0</v>
      </c>
      <c r="AS52" s="1713">
        <f t="shared" si="120"/>
        <v>16460.97</v>
      </c>
      <c r="AT52" s="4811"/>
      <c r="AU52" s="1669">
        <v>6176.4</v>
      </c>
      <c r="AV52" s="7369">
        <f t="shared" si="121"/>
        <v>0</v>
      </c>
      <c r="AW52" s="1713">
        <f t="shared" si="122"/>
        <v>22637.370000000003</v>
      </c>
      <c r="AX52" s="4811"/>
      <c r="AY52" s="1669">
        <v>4565.3</v>
      </c>
      <c r="AZ52" s="8344">
        <f t="shared" si="123"/>
        <v>0</v>
      </c>
      <c r="BA52" s="1998">
        <f t="shared" si="102"/>
        <v>15061.560000000001</v>
      </c>
      <c r="BB52" s="1998">
        <f t="shared" si="124"/>
        <v>0</v>
      </c>
      <c r="BC52" s="1998">
        <f t="shared" si="103"/>
        <v>27178.27</v>
      </c>
      <c r="BD52" s="6510">
        <f t="shared" si="125"/>
        <v>0</v>
      </c>
      <c r="BE52" s="6510">
        <f t="shared" si="126"/>
        <v>27202.670000000002</v>
      </c>
    </row>
    <row r="53" spans="1:57" ht="16" thickBot="1" x14ac:dyDescent="0.25">
      <c r="A53" s="2265"/>
      <c r="B53" s="1533" t="s">
        <v>287</v>
      </c>
      <c r="C53" s="1545" t="s">
        <v>833</v>
      </c>
      <c r="D53" s="4811"/>
      <c r="E53" s="2690">
        <v>2649.12</v>
      </c>
      <c r="F53" s="4811"/>
      <c r="G53" s="1669">
        <v>4514.3999999999996</v>
      </c>
      <c r="H53" s="4689">
        <f t="shared" si="104"/>
        <v>0</v>
      </c>
      <c r="I53" s="1713">
        <f t="shared" si="104"/>
        <v>7163.5199999999995</v>
      </c>
      <c r="J53" s="4811"/>
      <c r="K53" s="1669">
        <v>2960.4</v>
      </c>
      <c r="L53" s="4691">
        <f t="shared" si="105"/>
        <v>0</v>
      </c>
      <c r="M53" s="1998">
        <f t="shared" si="105"/>
        <v>10123.92</v>
      </c>
      <c r="N53" s="4811"/>
      <c r="O53" s="1669">
        <v>2956.08</v>
      </c>
      <c r="P53" s="2333">
        <f t="shared" si="106"/>
        <v>0</v>
      </c>
      <c r="Q53" s="1713">
        <f t="shared" si="106"/>
        <v>13080</v>
      </c>
      <c r="R53" s="4811"/>
      <c r="S53" s="1669">
        <v>3409.68</v>
      </c>
      <c r="T53" s="6445">
        <f t="shared" si="107"/>
        <v>0</v>
      </c>
      <c r="U53" s="1713">
        <f t="shared" si="108"/>
        <v>16489.68</v>
      </c>
      <c r="V53" s="4811"/>
      <c r="W53" s="1669">
        <v>2328.96</v>
      </c>
      <c r="X53" s="7011">
        <f t="shared" si="109"/>
        <v>0</v>
      </c>
      <c r="Y53" s="1998">
        <f t="shared" si="100"/>
        <v>8694.7199999999993</v>
      </c>
      <c r="Z53" s="6510">
        <f t="shared" si="110"/>
        <v>0</v>
      </c>
      <c r="AA53" s="6510">
        <f t="shared" si="111"/>
        <v>18818.64</v>
      </c>
      <c r="AB53" s="4811"/>
      <c r="AC53" s="1669">
        <v>2341.6799999999998</v>
      </c>
      <c r="AD53" s="7369">
        <f t="shared" si="112"/>
        <v>0</v>
      </c>
      <c r="AE53" s="1713">
        <f t="shared" si="113"/>
        <v>21160.32</v>
      </c>
      <c r="AF53" s="4811"/>
      <c r="AG53" s="1669">
        <v>2565.12</v>
      </c>
      <c r="AH53" s="7369">
        <f t="shared" si="114"/>
        <v>0</v>
      </c>
      <c r="AI53" s="1713">
        <f t="shared" si="115"/>
        <v>23725.439999999999</v>
      </c>
      <c r="AJ53" s="4811"/>
      <c r="AK53" s="1669">
        <v>3175.92</v>
      </c>
      <c r="AL53" s="7767">
        <f t="shared" si="116"/>
        <v>0</v>
      </c>
      <c r="AM53" s="1998">
        <f t="shared" si="101"/>
        <v>8082.7199999999993</v>
      </c>
      <c r="AN53" s="7369">
        <f t="shared" si="117"/>
        <v>0</v>
      </c>
      <c r="AO53" s="1713">
        <f t="shared" si="118"/>
        <v>26901.360000000001</v>
      </c>
      <c r="AP53" s="4811"/>
      <c r="AQ53" s="1669">
        <v>4266.4799999999996</v>
      </c>
      <c r="AR53" s="7369">
        <f t="shared" si="119"/>
        <v>0</v>
      </c>
      <c r="AS53" s="1713">
        <f t="shared" si="120"/>
        <v>31167.84</v>
      </c>
      <c r="AT53" s="4811"/>
      <c r="AU53" s="1669">
        <v>3949</v>
      </c>
      <c r="AV53" s="7369">
        <f t="shared" si="121"/>
        <v>0</v>
      </c>
      <c r="AW53" s="1713">
        <f t="shared" si="122"/>
        <v>35116.839999999997</v>
      </c>
      <c r="AX53" s="4811"/>
      <c r="AY53" s="1669">
        <v>4282.1000000000004</v>
      </c>
      <c r="AZ53" s="8344">
        <f t="shared" si="123"/>
        <v>0</v>
      </c>
      <c r="BA53" s="1998">
        <f t="shared" si="102"/>
        <v>12497.58</v>
      </c>
      <c r="BB53" s="1998">
        <f t="shared" si="124"/>
        <v>0</v>
      </c>
      <c r="BC53" s="1998">
        <f t="shared" si="103"/>
        <v>20580.3</v>
      </c>
      <c r="BD53" s="6510">
        <f t="shared" si="125"/>
        <v>0</v>
      </c>
      <c r="BE53" s="6510">
        <f t="shared" si="126"/>
        <v>39398.939999999995</v>
      </c>
    </row>
    <row r="54" spans="1:57" ht="15.75" hidden="1" customHeight="1" x14ac:dyDescent="0.2">
      <c r="A54" s="2265"/>
      <c r="B54" s="1804" t="s">
        <v>1014</v>
      </c>
      <c r="C54" s="1576" t="s">
        <v>833</v>
      </c>
      <c r="D54" s="4811">
        <f>0*$D$2*24</f>
        <v>0</v>
      </c>
      <c r="E54" s="2690">
        <f>+'2019-20 MASTER'!F1192</f>
        <v>0</v>
      </c>
      <c r="F54" s="4811">
        <f t="shared" ref="F54" si="127">0*$F$2*24</f>
        <v>0</v>
      </c>
      <c r="G54" s="1669">
        <f>+'2019-20 MASTER'!G1192</f>
        <v>0</v>
      </c>
      <c r="H54" s="4689">
        <f t="shared" si="104"/>
        <v>0</v>
      </c>
      <c r="I54" s="1713">
        <f t="shared" si="104"/>
        <v>0</v>
      </c>
      <c r="J54" s="4811">
        <f t="shared" ref="J54" si="128">0*$J$2*24</f>
        <v>0</v>
      </c>
      <c r="K54" s="1669">
        <f>+'2019-20 MASTER'!I1192</f>
        <v>0</v>
      </c>
      <c r="L54" s="4691">
        <f t="shared" si="105"/>
        <v>0</v>
      </c>
      <c r="M54" s="1998">
        <f t="shared" si="105"/>
        <v>0</v>
      </c>
      <c r="N54" s="4811">
        <f>0*$N$2*24</f>
        <v>0</v>
      </c>
      <c r="O54" s="1669">
        <f>+'2019-20 MASTER'!K1192</f>
        <v>0</v>
      </c>
      <c r="P54" s="2333">
        <f t="shared" si="106"/>
        <v>0</v>
      </c>
      <c r="Q54" s="1713">
        <f t="shared" si="106"/>
        <v>0</v>
      </c>
      <c r="R54" s="4811">
        <f>0*$N$2*24</f>
        <v>0</v>
      </c>
      <c r="S54" s="1669">
        <f>+'2019-20 MASTER'!O1192</f>
        <v>0</v>
      </c>
      <c r="T54" s="6445">
        <f t="shared" si="107"/>
        <v>0</v>
      </c>
      <c r="U54" s="1713">
        <f t="shared" si="108"/>
        <v>0</v>
      </c>
      <c r="V54" s="4811">
        <f>0*$N$2*24</f>
        <v>0</v>
      </c>
      <c r="W54" s="1669">
        <f>+'2019-20 MASTER'!S1192</f>
        <v>0</v>
      </c>
      <c r="X54" s="7011">
        <f t="shared" si="109"/>
        <v>0</v>
      </c>
      <c r="Y54" s="1998">
        <f t="shared" ref="Y54" si="129">+U54+W54</f>
        <v>0</v>
      </c>
      <c r="Z54" s="6510">
        <f t="shared" si="110"/>
        <v>0</v>
      </c>
      <c r="AA54" s="6510">
        <f t="shared" si="111"/>
        <v>0</v>
      </c>
      <c r="AB54" s="4811">
        <f>0*$N$2*24</f>
        <v>0</v>
      </c>
      <c r="AC54" s="1669">
        <f>+'2019-20 MASTER'!Y1192</f>
        <v>0</v>
      </c>
      <c r="AD54" s="7369">
        <f t="shared" si="112"/>
        <v>0</v>
      </c>
      <c r="AE54" s="1713">
        <f t="shared" si="113"/>
        <v>0</v>
      </c>
      <c r="AF54" s="4811">
        <f>0*$N$2*24</f>
        <v>0</v>
      </c>
      <c r="AG54" s="1669">
        <f>+'2019-20 MASTER'!AC1192</f>
        <v>0</v>
      </c>
      <c r="AH54" s="7369">
        <f t="shared" si="114"/>
        <v>0</v>
      </c>
      <c r="AI54" s="1713">
        <f t="shared" si="115"/>
        <v>0</v>
      </c>
      <c r="AJ54" s="4811">
        <f>0*$N$2*24</f>
        <v>0</v>
      </c>
      <c r="AK54" s="1669">
        <f>+'2019-20 MASTER'!AG1192</f>
        <v>0</v>
      </c>
      <c r="AL54" s="7767">
        <f t="shared" si="116"/>
        <v>0</v>
      </c>
      <c r="AM54" s="1998">
        <f t="shared" ref="AM54" si="130">+AI54+AK54</f>
        <v>0</v>
      </c>
      <c r="AN54" s="7369">
        <f t="shared" si="117"/>
        <v>0</v>
      </c>
      <c r="AO54" s="1713">
        <f t="shared" si="118"/>
        <v>0</v>
      </c>
      <c r="AP54" s="4811">
        <f>0*$N$2*24</f>
        <v>0</v>
      </c>
      <c r="AQ54" s="1669">
        <f>+'2019-20 MASTER'!AM1192</f>
        <v>0</v>
      </c>
      <c r="AR54" s="7369">
        <f t="shared" si="119"/>
        <v>0</v>
      </c>
      <c r="AS54" s="1713">
        <f t="shared" si="120"/>
        <v>0</v>
      </c>
      <c r="AT54" s="4811">
        <f>0*$N$2*24</f>
        <v>0</v>
      </c>
      <c r="AU54" s="1669">
        <f>+'2019-20 MASTER'!AQ1192</f>
        <v>0</v>
      </c>
      <c r="AV54" s="7369">
        <f t="shared" si="121"/>
        <v>0</v>
      </c>
      <c r="AW54" s="1713">
        <f t="shared" si="122"/>
        <v>0</v>
      </c>
      <c r="AX54" s="4811">
        <f>0*$N$2*24</f>
        <v>0</v>
      </c>
      <c r="AY54" s="1669">
        <f>+'2019-20 MASTER'!AU1192</f>
        <v>0</v>
      </c>
      <c r="AZ54" s="8344">
        <f t="shared" si="123"/>
        <v>0</v>
      </c>
      <c r="BA54" s="1998">
        <f t="shared" ref="BA54" si="131">+AW54+AY54</f>
        <v>0</v>
      </c>
      <c r="BB54" s="1998">
        <f t="shared" si="124"/>
        <v>0</v>
      </c>
      <c r="BC54" s="1998">
        <f t="shared" ref="BC54" si="132">+AY54+BA54</f>
        <v>0</v>
      </c>
      <c r="BD54" s="6510">
        <f t="shared" si="125"/>
        <v>0</v>
      </c>
      <c r="BE54" s="6510">
        <f t="shared" si="126"/>
        <v>0</v>
      </c>
    </row>
    <row r="55" spans="1:57" ht="17" thickBot="1" x14ac:dyDescent="0.25">
      <c r="A55" s="2265"/>
      <c r="B55" s="1580" t="s">
        <v>197</v>
      </c>
      <c r="C55" s="1562" t="s">
        <v>833</v>
      </c>
      <c r="D55" s="3288">
        <f t="shared" ref="D55" si="133">SUM(D45:D54)</f>
        <v>0</v>
      </c>
      <c r="E55" s="2700">
        <f t="shared" ref="E55:Q55" si="134">SUM(E45:E54)</f>
        <v>256611.96</v>
      </c>
      <c r="F55" s="3222">
        <f t="shared" si="134"/>
        <v>0</v>
      </c>
      <c r="G55" s="1684">
        <f t="shared" si="134"/>
        <v>278203.33</v>
      </c>
      <c r="H55" s="2784">
        <f t="shared" si="134"/>
        <v>0</v>
      </c>
      <c r="I55" s="1715">
        <f t="shared" si="134"/>
        <v>534815.29</v>
      </c>
      <c r="J55" s="3222">
        <f t="shared" si="134"/>
        <v>0</v>
      </c>
      <c r="K55" s="1684">
        <f t="shared" si="134"/>
        <v>278264.60000000003</v>
      </c>
      <c r="L55" s="2951">
        <f t="shared" si="134"/>
        <v>0</v>
      </c>
      <c r="M55" s="1999">
        <f t="shared" si="134"/>
        <v>813079.89</v>
      </c>
      <c r="N55" s="3222">
        <f t="shared" si="134"/>
        <v>0</v>
      </c>
      <c r="O55" s="1684">
        <f t="shared" si="134"/>
        <v>309835.75</v>
      </c>
      <c r="P55" s="1714">
        <f t="shared" si="134"/>
        <v>0</v>
      </c>
      <c r="Q55" s="1715">
        <f t="shared" si="134"/>
        <v>1122915.6399999999</v>
      </c>
      <c r="R55" s="3222">
        <f t="shared" ref="R55:U55" si="135">SUM(R45:R54)</f>
        <v>0</v>
      </c>
      <c r="S55" s="1684">
        <f t="shared" si="135"/>
        <v>310273.15999999997</v>
      </c>
      <c r="T55" s="1714">
        <f t="shared" si="135"/>
        <v>0</v>
      </c>
      <c r="U55" s="1715">
        <f t="shared" si="135"/>
        <v>1433188.8000000003</v>
      </c>
      <c r="V55" s="3222">
        <f t="shared" ref="V55:AI55" si="136">SUM(V45:V54)</f>
        <v>0</v>
      </c>
      <c r="W55" s="1684">
        <f t="shared" si="136"/>
        <v>219706.69</v>
      </c>
      <c r="X55" s="2951">
        <f t="shared" si="136"/>
        <v>0</v>
      </c>
      <c r="Y55" s="1999">
        <f t="shared" si="136"/>
        <v>839815.6</v>
      </c>
      <c r="Z55" s="6512">
        <f t="shared" si="136"/>
        <v>0</v>
      </c>
      <c r="AA55" s="6512">
        <f t="shared" si="136"/>
        <v>1652895.4899999998</v>
      </c>
      <c r="AB55" s="3222">
        <f t="shared" si="136"/>
        <v>0</v>
      </c>
      <c r="AC55" s="1684">
        <f t="shared" si="136"/>
        <v>268857.21999999997</v>
      </c>
      <c r="AD55" s="1714">
        <f t="shared" si="136"/>
        <v>0</v>
      </c>
      <c r="AE55" s="1715">
        <f t="shared" si="136"/>
        <v>1921752.71</v>
      </c>
      <c r="AF55" s="3222">
        <f t="shared" si="136"/>
        <v>0</v>
      </c>
      <c r="AG55" s="1684">
        <f t="shared" si="136"/>
        <v>269802.78999999998</v>
      </c>
      <c r="AH55" s="1714">
        <f t="shared" si="136"/>
        <v>0</v>
      </c>
      <c r="AI55" s="1715">
        <f t="shared" si="136"/>
        <v>2191555.5</v>
      </c>
      <c r="AJ55" s="3222">
        <f t="shared" ref="AJ55:AO55" si="137">SUM(AJ45:AJ54)</f>
        <v>0</v>
      </c>
      <c r="AK55" s="1684">
        <f t="shared" si="137"/>
        <v>301714.46999999997</v>
      </c>
      <c r="AL55" s="2951">
        <f t="shared" si="137"/>
        <v>0</v>
      </c>
      <c r="AM55" s="1999">
        <f t="shared" si="137"/>
        <v>840374.48</v>
      </c>
      <c r="AN55" s="1714">
        <f t="shared" si="137"/>
        <v>0</v>
      </c>
      <c r="AO55" s="1715">
        <f t="shared" si="137"/>
        <v>2493269.9699999997</v>
      </c>
      <c r="AP55" s="3222">
        <f t="shared" ref="AP55:AS55" si="138">SUM(AP45:AP54)</f>
        <v>0</v>
      </c>
      <c r="AQ55" s="1684">
        <f t="shared" si="138"/>
        <v>333726.14</v>
      </c>
      <c r="AR55" s="1714">
        <f t="shared" si="138"/>
        <v>0</v>
      </c>
      <c r="AS55" s="1715">
        <f t="shared" si="138"/>
        <v>2826996.1100000003</v>
      </c>
      <c r="AT55" s="3222">
        <f t="shared" ref="AT55:AW55" si="139">SUM(AT45:AT54)</f>
        <v>0</v>
      </c>
      <c r="AU55" s="1684">
        <f t="shared" si="139"/>
        <v>304896.90000000002</v>
      </c>
      <c r="AV55" s="1714">
        <f t="shared" si="139"/>
        <v>0</v>
      </c>
      <c r="AW55" s="1715">
        <f t="shared" si="139"/>
        <v>3131893.0100000002</v>
      </c>
      <c r="AX55" s="3222">
        <f t="shared" ref="AX55:BE55" si="140">SUM(AX45:AX54)</f>
        <v>0</v>
      </c>
      <c r="AY55" s="1684">
        <f t="shared" si="140"/>
        <v>336631.39999999997</v>
      </c>
      <c r="AZ55" s="2951">
        <f t="shared" si="140"/>
        <v>0</v>
      </c>
      <c r="BA55" s="1999">
        <f t="shared" si="140"/>
        <v>975254.44000000006</v>
      </c>
      <c r="BB55" s="1999">
        <f t="shared" ref="BB55:BC55" si="141">SUM(BB45:BB54)</f>
        <v>0</v>
      </c>
      <c r="BC55" s="1999">
        <f t="shared" si="141"/>
        <v>1815628.92</v>
      </c>
      <c r="BD55" s="6512">
        <f t="shared" si="140"/>
        <v>0</v>
      </c>
      <c r="BE55" s="6512">
        <f t="shared" si="140"/>
        <v>3468524.4100000006</v>
      </c>
    </row>
    <row r="56" spans="1:57" ht="20" x14ac:dyDescent="0.2">
      <c r="A56" s="2265"/>
      <c r="B56" s="1625" t="s">
        <v>1013</v>
      </c>
      <c r="C56" s="1626"/>
      <c r="D56" s="5279"/>
      <c r="E56" s="1595"/>
      <c r="F56" s="5279"/>
      <c r="G56" s="1595"/>
      <c r="H56" s="1595"/>
      <c r="I56" s="1595"/>
      <c r="J56" s="5279"/>
      <c r="K56" s="1595"/>
      <c r="L56" s="1595"/>
      <c r="M56" s="1595"/>
      <c r="N56" s="5279"/>
      <c r="O56" s="1595"/>
      <c r="P56" s="1595"/>
      <c r="Q56" s="1595"/>
      <c r="R56" s="5279"/>
      <c r="S56" s="1595"/>
      <c r="T56" s="1595"/>
      <c r="U56" s="1595"/>
      <c r="V56" s="5279"/>
      <c r="W56" s="1595"/>
      <c r="X56" s="1595"/>
      <c r="Y56" s="1595"/>
      <c r="Z56" s="1595"/>
      <c r="AA56" s="1595"/>
      <c r="AB56" s="5279"/>
      <c r="AC56" s="1595"/>
      <c r="AD56" s="1595"/>
      <c r="AE56" s="1595"/>
      <c r="AF56" s="5279"/>
      <c r="AG56" s="1595"/>
      <c r="AH56" s="1595"/>
      <c r="AI56" s="1595"/>
      <c r="AJ56" s="5279"/>
      <c r="AK56" s="1595"/>
      <c r="AL56" s="1595"/>
      <c r="AM56" s="1595"/>
      <c r="AN56" s="1595"/>
      <c r="AO56" s="1595"/>
      <c r="AP56" s="5279"/>
      <c r="AQ56" s="1595"/>
      <c r="AR56" s="1595"/>
      <c r="AS56" s="1595"/>
      <c r="AT56" s="5279"/>
      <c r="AU56" s="1595"/>
      <c r="AV56" s="1595"/>
      <c r="AW56" s="1595"/>
      <c r="AX56" s="5279"/>
      <c r="AY56" s="1595"/>
      <c r="AZ56" s="1595"/>
      <c r="BA56" s="1595"/>
      <c r="BB56" s="1595"/>
      <c r="BC56" s="1595"/>
      <c r="BD56" s="1595"/>
      <c r="BE56" s="1595"/>
    </row>
    <row r="57" spans="1:57" ht="16" x14ac:dyDescent="0.2">
      <c r="A57" s="2265"/>
      <c r="B57" s="1620" t="s">
        <v>837</v>
      </c>
      <c r="C57" s="1545" t="s">
        <v>836</v>
      </c>
      <c r="D57" s="6310"/>
      <c r="E57" s="2731">
        <v>1892.08</v>
      </c>
      <c r="F57" s="6310"/>
      <c r="G57" s="2039">
        <v>1926</v>
      </c>
      <c r="H57" s="4689"/>
      <c r="I57" s="2040">
        <f>+((E57*E58)+(G58*G57))/I58</f>
        <v>1909.5584501918904</v>
      </c>
      <c r="J57" s="6310"/>
      <c r="K57" s="2039">
        <v>1932.3</v>
      </c>
      <c r="L57" s="4691"/>
      <c r="M57" s="2075">
        <f>+((I57*I58)+(K58*K57))/M58</f>
        <v>1919.8611115697315</v>
      </c>
      <c r="N57" s="6310"/>
      <c r="O57" s="2039">
        <v>2058</v>
      </c>
      <c r="P57" s="2333"/>
      <c r="Q57" s="2040">
        <f>+((M57*M58)+(O58*O57))/Q58</f>
        <v>1967.0267098707966</v>
      </c>
      <c r="R57" s="6449"/>
      <c r="S57" s="2039">
        <v>1922</v>
      </c>
      <c r="T57" s="6445"/>
      <c r="U57" s="2040">
        <f>+((Q57*Q58)+(S58*S57))/U58</f>
        <v>1956.3031268279849</v>
      </c>
      <c r="V57" s="7027"/>
      <c r="W57" s="2039">
        <v>1946</v>
      </c>
      <c r="X57" s="7011"/>
      <c r="Y57" s="2075">
        <f>+((O57*O58)+(S57*S58)+(W58*W57))/Y58</f>
        <v>1983.9191274334246</v>
      </c>
      <c r="Z57" s="7109"/>
      <c r="AA57" s="7109">
        <f>+((U57*U58)+(W58*W57))/AA58</f>
        <v>1955.2050955644493</v>
      </c>
      <c r="AB57" s="7376"/>
      <c r="AC57" s="2039">
        <v>1959</v>
      </c>
      <c r="AD57" s="7369"/>
      <c r="AE57" s="2040">
        <f>+((AA57*AA58)+(AC58*AC57))/AE58</f>
        <v>1955.5779097301295</v>
      </c>
      <c r="AF57" s="7626"/>
      <c r="AG57" s="2039">
        <v>1935</v>
      </c>
      <c r="AH57" s="7369"/>
      <c r="AI57" s="2040">
        <f>+((AE57*AE58)+(AG58*AG57))/AI58</f>
        <v>1953.3037181031584</v>
      </c>
      <c r="AJ57" s="7786"/>
      <c r="AK57" s="2039">
        <v>1933</v>
      </c>
      <c r="AL57" s="7767"/>
      <c r="AM57" s="2075">
        <f>+((AC57*AC58)+(AG57*AG58)+(AK58*AK57))/AM58</f>
        <v>1940.2382336128048</v>
      </c>
      <c r="AN57" s="7369"/>
      <c r="AO57" s="2040">
        <f>+((AI57*AI58)+(AK58*AK57))/AO58</f>
        <v>1950.7089660260722</v>
      </c>
      <c r="AP57" s="8113"/>
      <c r="AQ57" s="2039">
        <v>1918</v>
      </c>
      <c r="AR57" s="7369"/>
      <c r="AS57" s="2040">
        <f>+((AO57*AO58)+(AQ58*AQ57))/AS58</f>
        <v>1946.5766520373015</v>
      </c>
      <c r="AT57" s="8176"/>
      <c r="AU57" s="2039">
        <v>1877</v>
      </c>
      <c r="AV57" s="7369"/>
      <c r="AW57" s="2040">
        <f>+((AS57*AS58)+(AU58*AU57))/AW58</f>
        <v>1939.4614157763901</v>
      </c>
      <c r="AX57" s="8357"/>
      <c r="AY57" s="2039">
        <v>1912</v>
      </c>
      <c r="AZ57" s="8344"/>
      <c r="BA57" s="2075">
        <f>+((AQ57*AQ58)+(AU57*AU58)+(AY58*AY57))/BA58</f>
        <v>1904.4212749810372</v>
      </c>
      <c r="BB57" s="2075"/>
      <c r="BC57" s="2075">
        <f>+((AM57*AM58)+(BA58*BA57))/BC58</f>
        <v>1918.0743293694054</v>
      </c>
      <c r="BD57" s="7109"/>
      <c r="BE57" s="7109">
        <f>+((AW57*AW58)+(AY58*AY57))/BE58</f>
        <v>1935.5355305586802</v>
      </c>
    </row>
    <row r="58" spans="1:57" ht="17" thickBot="1" x14ac:dyDescent="0.25">
      <c r="A58" s="2265"/>
      <c r="B58" s="1805" t="s">
        <v>1015</v>
      </c>
      <c r="C58" s="1581" t="s">
        <v>833</v>
      </c>
      <c r="D58" s="3233"/>
      <c r="E58" s="2732">
        <v>5809.8</v>
      </c>
      <c r="F58" s="3233"/>
      <c r="G58" s="2034">
        <v>6176.2</v>
      </c>
      <c r="H58" s="2399">
        <f>+D58+F58</f>
        <v>0</v>
      </c>
      <c r="I58" s="2035">
        <f>+E58+G58</f>
        <v>11986</v>
      </c>
      <c r="J58" s="3233"/>
      <c r="K58" s="2034">
        <v>9927.5509999999995</v>
      </c>
      <c r="L58" s="2400">
        <f>+H58+J58</f>
        <v>0</v>
      </c>
      <c r="M58" s="2075">
        <f>+I58+K58</f>
        <v>21913.550999999999</v>
      </c>
      <c r="N58" s="3233"/>
      <c r="O58" s="2034">
        <v>11361.2</v>
      </c>
      <c r="P58" s="1889">
        <f>+L58+N58</f>
        <v>0</v>
      </c>
      <c r="Q58" s="2035">
        <f>+M58+O58</f>
        <v>33274.751000000004</v>
      </c>
      <c r="R58" s="3233"/>
      <c r="S58" s="2034">
        <v>10402.1</v>
      </c>
      <c r="T58" s="1889">
        <f>+P58+R58</f>
        <v>0</v>
      </c>
      <c r="U58" s="2035">
        <f>+Q58+S58</f>
        <v>43676.851000000002</v>
      </c>
      <c r="V58" s="3233"/>
      <c r="W58" s="2034">
        <v>5210</v>
      </c>
      <c r="X58" s="2400">
        <f>+T58+V58</f>
        <v>0</v>
      </c>
      <c r="Y58" s="2075">
        <f t="shared" ref="Y58" si="142">+W58+S58+O58</f>
        <v>26973.300000000003</v>
      </c>
      <c r="Z58" s="7110">
        <f>+T58+V58</f>
        <v>0</v>
      </c>
      <c r="AA58" s="7110">
        <f>+U58+W58</f>
        <v>48886.851000000002</v>
      </c>
      <c r="AB58" s="3233"/>
      <c r="AC58" s="2034">
        <v>5325.9</v>
      </c>
      <c r="AD58" s="1889">
        <f>+Z58+AB58</f>
        <v>0</v>
      </c>
      <c r="AE58" s="2035">
        <f>+AA58+AC58</f>
        <v>54212.751000000004</v>
      </c>
      <c r="AF58" s="3233"/>
      <c r="AG58" s="2034">
        <v>6735.8</v>
      </c>
      <c r="AH58" s="1889">
        <f>+AD58+AF58</f>
        <v>0</v>
      </c>
      <c r="AI58" s="2035">
        <f>+AE58+AG58</f>
        <v>60948.551000000007</v>
      </c>
      <c r="AJ58" s="3233"/>
      <c r="AK58" s="2034">
        <v>8930.2999999999993</v>
      </c>
      <c r="AL58" s="2400">
        <f>+AH58+AJ58</f>
        <v>0</v>
      </c>
      <c r="AM58" s="2075">
        <f t="shared" ref="AM58" si="143">+AK58+AG58+AC58</f>
        <v>20992</v>
      </c>
      <c r="AN58" s="1889">
        <f>+AH58+AJ58</f>
        <v>0</v>
      </c>
      <c r="AO58" s="2035">
        <f>+AI58+AK58</f>
        <v>69878.85100000001</v>
      </c>
      <c r="AP58" s="3233"/>
      <c r="AQ58" s="2034">
        <v>10104.799999999999</v>
      </c>
      <c r="AR58" s="1889">
        <f>+AN58+AP58</f>
        <v>0</v>
      </c>
      <c r="AS58" s="2035">
        <f>+AO58+AQ58</f>
        <v>79983.651000000013</v>
      </c>
      <c r="AT58" s="3233"/>
      <c r="AU58" s="2034">
        <v>9111.2659999999996</v>
      </c>
      <c r="AV58" s="1889">
        <f>+AR58+AT58</f>
        <v>0</v>
      </c>
      <c r="AW58" s="2035">
        <f>+AS58+AU58</f>
        <v>89094.917000000016</v>
      </c>
      <c r="AX58" s="3233"/>
      <c r="AY58" s="2034">
        <v>14861.633</v>
      </c>
      <c r="AZ58" s="2400">
        <f>+AV58+AX58</f>
        <v>0</v>
      </c>
      <c r="BA58" s="2075">
        <f t="shared" ref="BA58" si="144">+AY58+AU58+AQ58</f>
        <v>34077.698999999993</v>
      </c>
      <c r="BB58" s="2075">
        <f>+AX58+AZ58</f>
        <v>0</v>
      </c>
      <c r="BC58" s="2075">
        <f t="shared" ref="BC58" si="145">+BA58+AM58</f>
        <v>55069.698999999993</v>
      </c>
      <c r="BD58" s="7110">
        <f>+AV58+AX58</f>
        <v>0</v>
      </c>
      <c r="BE58" s="7110">
        <f>+AW58+AY58</f>
        <v>103956.55000000002</v>
      </c>
    </row>
    <row r="59" spans="1:57" ht="16.5" hidden="1" customHeight="1" x14ac:dyDescent="0.2">
      <c r="A59" s="2265"/>
      <c r="B59" s="1531" t="s">
        <v>1092</v>
      </c>
      <c r="C59" s="1545" t="s">
        <v>833</v>
      </c>
      <c r="D59" s="6356">
        <v>0</v>
      </c>
      <c r="E59" s="2731">
        <f>+'2019-20 MASTER'!F1198</f>
        <v>0</v>
      </c>
      <c r="F59" s="4811">
        <v>0</v>
      </c>
      <c r="G59" s="1807">
        <f>+'2019-20 MASTER'!G1198</f>
        <v>0</v>
      </c>
      <c r="H59" s="4690">
        <f>+D59+F59</f>
        <v>0</v>
      </c>
      <c r="I59" s="2998">
        <f>+E59+G59</f>
        <v>0</v>
      </c>
      <c r="J59" s="4811">
        <v>0</v>
      </c>
      <c r="K59" s="1807">
        <f>+'2019-20 MASTER'!I1198</f>
        <v>0</v>
      </c>
      <c r="L59" s="4694">
        <f>+H59+J59</f>
        <v>0</v>
      </c>
      <c r="M59" s="2999">
        <f>+I59+K59</f>
        <v>0</v>
      </c>
      <c r="N59" s="4811">
        <v>0</v>
      </c>
      <c r="O59" s="1807">
        <f>+'2019-20 MASTER'!K1198</f>
        <v>0</v>
      </c>
      <c r="P59" s="1712">
        <f>+L59+N59</f>
        <v>0</v>
      </c>
      <c r="Q59" s="3000">
        <f>+M59+O59</f>
        <v>0</v>
      </c>
      <c r="R59" s="4811">
        <v>0</v>
      </c>
      <c r="S59" s="1807">
        <f>+'2019-20 MASTER'!O1198</f>
        <v>0</v>
      </c>
      <c r="T59" s="1712">
        <f>+P59+R59</f>
        <v>0</v>
      </c>
      <c r="U59" s="3000">
        <f>+Q59+S59</f>
        <v>0</v>
      </c>
      <c r="V59" s="4811">
        <v>0</v>
      </c>
      <c r="W59" s="1807">
        <f>+'2019-20 MASTER'!S1198</f>
        <v>0</v>
      </c>
      <c r="X59" s="4792">
        <f>+T59+V59</f>
        <v>0</v>
      </c>
      <c r="Y59" s="2999">
        <f>+U59+W59</f>
        <v>0</v>
      </c>
      <c r="Z59" s="7111">
        <f>+T59+V59</f>
        <v>0</v>
      </c>
      <c r="AA59" s="7111">
        <f>+U59+W59</f>
        <v>0</v>
      </c>
      <c r="AB59" s="4811">
        <v>0</v>
      </c>
      <c r="AC59" s="1807">
        <f>+'2019-20 MASTER'!Y1198</f>
        <v>0</v>
      </c>
      <c r="AD59" s="1712">
        <f>+Z59+AB59</f>
        <v>0</v>
      </c>
      <c r="AE59" s="3000">
        <f>+AA59+AC59</f>
        <v>0</v>
      </c>
      <c r="AF59" s="4811">
        <v>0</v>
      </c>
      <c r="AG59" s="1807">
        <f>+'2019-20 MASTER'!AC1198</f>
        <v>0</v>
      </c>
      <c r="AH59" s="1712">
        <f>+AD59+AF59</f>
        <v>0</v>
      </c>
      <c r="AI59" s="3000">
        <f>+AE59+AG59</f>
        <v>0</v>
      </c>
      <c r="AJ59" s="4811">
        <v>0</v>
      </c>
      <c r="AK59" s="1807">
        <f>+'2019-20 MASTER'!AG1198</f>
        <v>0</v>
      </c>
      <c r="AL59" s="4792">
        <f>+AH59+AJ59</f>
        <v>0</v>
      </c>
      <c r="AM59" s="2999">
        <f>+AI59+AK59</f>
        <v>0</v>
      </c>
      <c r="AN59" s="1712">
        <f>+AH59+AJ59</f>
        <v>0</v>
      </c>
      <c r="AO59" s="3000">
        <f>+AI59+AK59</f>
        <v>0</v>
      </c>
      <c r="AP59" s="4811">
        <v>0</v>
      </c>
      <c r="AQ59" s="1807">
        <f>+'2019-20 MASTER'!AM1198</f>
        <v>0</v>
      </c>
      <c r="AR59" s="1712">
        <f>+AN59+AP59</f>
        <v>0</v>
      </c>
      <c r="AS59" s="3000">
        <f>+AO59+AQ59</f>
        <v>0</v>
      </c>
      <c r="AT59" s="4811">
        <v>0</v>
      </c>
      <c r="AU59" s="1807">
        <f>+'2019-20 MASTER'!AQ1198</f>
        <v>0</v>
      </c>
      <c r="AV59" s="1712">
        <f>+AR59+AT59</f>
        <v>0</v>
      </c>
      <c r="AW59" s="3000">
        <f>+AS59+AU59</f>
        <v>0</v>
      </c>
      <c r="AX59" s="4811">
        <v>0</v>
      </c>
      <c r="AY59" s="1807">
        <f>+'2019-20 MASTER'!AU1198</f>
        <v>0</v>
      </c>
      <c r="AZ59" s="4792">
        <f>+AV59+AX59</f>
        <v>0</v>
      </c>
      <c r="BA59" s="2999">
        <f>+AW59+AY59</f>
        <v>0</v>
      </c>
      <c r="BB59" s="2999">
        <f>+AX59+AZ59</f>
        <v>0</v>
      </c>
      <c r="BC59" s="2999">
        <f>+AY59+BA59</f>
        <v>0</v>
      </c>
      <c r="BD59" s="7111">
        <f>+AV59+AX59</f>
        <v>0</v>
      </c>
      <c r="BE59" s="7111">
        <f>+AW59+AY59</f>
        <v>0</v>
      </c>
    </row>
    <row r="60" spans="1:57" ht="16.5" hidden="1" customHeight="1" thickBot="1" x14ac:dyDescent="0.25">
      <c r="A60" s="2265"/>
      <c r="B60" s="1564" t="s">
        <v>229</v>
      </c>
      <c r="C60" s="1548" t="s">
        <v>169</v>
      </c>
      <c r="D60" s="6357" t="e">
        <f t="shared" ref="D60" si="146">+D59/D58*100</f>
        <v>#DIV/0!</v>
      </c>
      <c r="E60" s="3001">
        <f t="shared" ref="E60:Q60" si="147">+E59/E58*100</f>
        <v>0</v>
      </c>
      <c r="F60" s="4810" t="e">
        <f t="shared" si="147"/>
        <v>#DIV/0!</v>
      </c>
      <c r="G60" s="3002">
        <f t="shared" si="147"/>
        <v>0</v>
      </c>
      <c r="H60" s="4688" t="e">
        <f t="shared" si="147"/>
        <v>#DIV/0!</v>
      </c>
      <c r="I60" s="3003">
        <f t="shared" si="147"/>
        <v>0</v>
      </c>
      <c r="J60" s="4810" t="e">
        <f t="shared" si="147"/>
        <v>#DIV/0!</v>
      </c>
      <c r="K60" s="3002">
        <f t="shared" si="147"/>
        <v>0</v>
      </c>
      <c r="L60" s="4687" t="e">
        <f t="shared" si="147"/>
        <v>#DIV/0!</v>
      </c>
      <c r="M60" s="3004">
        <f t="shared" si="147"/>
        <v>0</v>
      </c>
      <c r="N60" s="4810" t="e">
        <f t="shared" si="147"/>
        <v>#DIV/0!</v>
      </c>
      <c r="O60" s="3002">
        <f t="shared" si="147"/>
        <v>0</v>
      </c>
      <c r="P60" s="3137" t="e">
        <f t="shared" si="147"/>
        <v>#DIV/0!</v>
      </c>
      <c r="Q60" s="3003">
        <f t="shared" si="147"/>
        <v>0</v>
      </c>
      <c r="R60" s="4810" t="e">
        <f t="shared" ref="R60:U60" si="148">+R59/R58*100</f>
        <v>#DIV/0!</v>
      </c>
      <c r="S60" s="3002">
        <f t="shared" si="148"/>
        <v>0</v>
      </c>
      <c r="T60" s="6444" t="e">
        <f t="shared" si="148"/>
        <v>#DIV/0!</v>
      </c>
      <c r="U60" s="3003">
        <f t="shared" si="148"/>
        <v>0</v>
      </c>
      <c r="V60" s="4810" t="e">
        <f t="shared" ref="V60:AI60" si="149">+V59/V58*100</f>
        <v>#DIV/0!</v>
      </c>
      <c r="W60" s="3002">
        <f t="shared" si="149"/>
        <v>0</v>
      </c>
      <c r="X60" s="7013" t="e">
        <f t="shared" si="149"/>
        <v>#DIV/0!</v>
      </c>
      <c r="Y60" s="3004">
        <f t="shared" si="149"/>
        <v>0</v>
      </c>
      <c r="Z60" s="7112" t="e">
        <f t="shared" si="149"/>
        <v>#DIV/0!</v>
      </c>
      <c r="AA60" s="7112">
        <f t="shared" si="149"/>
        <v>0</v>
      </c>
      <c r="AB60" s="4810" t="e">
        <f t="shared" si="149"/>
        <v>#DIV/0!</v>
      </c>
      <c r="AC60" s="3002">
        <f t="shared" si="149"/>
        <v>0</v>
      </c>
      <c r="AD60" s="7368" t="e">
        <f t="shared" si="149"/>
        <v>#DIV/0!</v>
      </c>
      <c r="AE60" s="3003">
        <f t="shared" si="149"/>
        <v>0</v>
      </c>
      <c r="AF60" s="4810" t="e">
        <f t="shared" si="149"/>
        <v>#DIV/0!</v>
      </c>
      <c r="AG60" s="3002">
        <f t="shared" si="149"/>
        <v>0</v>
      </c>
      <c r="AH60" s="7368" t="e">
        <f t="shared" si="149"/>
        <v>#DIV/0!</v>
      </c>
      <c r="AI60" s="3003">
        <f t="shared" si="149"/>
        <v>0</v>
      </c>
      <c r="AJ60" s="4810" t="e">
        <f t="shared" ref="AJ60:AO60" si="150">+AJ59/AJ58*100</f>
        <v>#DIV/0!</v>
      </c>
      <c r="AK60" s="3002">
        <f t="shared" si="150"/>
        <v>0</v>
      </c>
      <c r="AL60" s="7768" t="e">
        <f t="shared" si="150"/>
        <v>#DIV/0!</v>
      </c>
      <c r="AM60" s="3004">
        <f t="shared" si="150"/>
        <v>0</v>
      </c>
      <c r="AN60" s="7368" t="e">
        <f t="shared" si="150"/>
        <v>#DIV/0!</v>
      </c>
      <c r="AO60" s="3003">
        <f t="shared" si="150"/>
        <v>0</v>
      </c>
      <c r="AP60" s="4810" t="e">
        <f t="shared" ref="AP60:AS60" si="151">+AP59/AP58*100</f>
        <v>#DIV/0!</v>
      </c>
      <c r="AQ60" s="3002">
        <f t="shared" si="151"/>
        <v>0</v>
      </c>
      <c r="AR60" s="7368" t="e">
        <f t="shared" si="151"/>
        <v>#DIV/0!</v>
      </c>
      <c r="AS60" s="3003">
        <f t="shared" si="151"/>
        <v>0</v>
      </c>
      <c r="AT60" s="4810" t="e">
        <f t="shared" ref="AT60:AW60" si="152">+AT59/AT58*100</f>
        <v>#DIV/0!</v>
      </c>
      <c r="AU60" s="3002">
        <f t="shared" si="152"/>
        <v>0</v>
      </c>
      <c r="AV60" s="7368" t="e">
        <f t="shared" si="152"/>
        <v>#DIV/0!</v>
      </c>
      <c r="AW60" s="3003">
        <f t="shared" si="152"/>
        <v>0</v>
      </c>
      <c r="AX60" s="4810" t="e">
        <f t="shared" ref="AX60:BE60" si="153">+AX59/AX58*100</f>
        <v>#DIV/0!</v>
      </c>
      <c r="AY60" s="3002">
        <f t="shared" si="153"/>
        <v>0</v>
      </c>
      <c r="AZ60" s="8345" t="e">
        <f t="shared" si="153"/>
        <v>#DIV/0!</v>
      </c>
      <c r="BA60" s="3004">
        <f t="shared" si="153"/>
        <v>0</v>
      </c>
      <c r="BB60" s="3004" t="e">
        <f t="shared" ref="BB60:BC60" si="154">+BB59/BB58*100</f>
        <v>#DIV/0!</v>
      </c>
      <c r="BC60" s="3004">
        <f t="shared" si="154"/>
        <v>0</v>
      </c>
      <c r="BD60" s="7112" t="e">
        <f t="shared" si="153"/>
        <v>#DIV/0!</v>
      </c>
      <c r="BE60" s="7112">
        <f t="shared" si="153"/>
        <v>0</v>
      </c>
    </row>
    <row r="61" spans="1:57" ht="19" thickBot="1" x14ac:dyDescent="0.25">
      <c r="A61" s="2265"/>
      <c r="B61" s="1601" t="s">
        <v>189</v>
      </c>
      <c r="C61" s="1795" t="s">
        <v>833</v>
      </c>
      <c r="D61" s="3222">
        <f t="shared" ref="D61" si="155">+D58-D59</f>
        <v>0</v>
      </c>
      <c r="E61" s="2733">
        <f t="shared" ref="E61:Q61" si="156">+E58-E59</f>
        <v>5809.8</v>
      </c>
      <c r="F61" s="3222">
        <f t="shared" si="156"/>
        <v>0</v>
      </c>
      <c r="G61" s="2037">
        <f t="shared" si="156"/>
        <v>6176.2</v>
      </c>
      <c r="H61" s="2784">
        <f t="shared" si="156"/>
        <v>0</v>
      </c>
      <c r="I61" s="2038">
        <f t="shared" si="156"/>
        <v>11986</v>
      </c>
      <c r="J61" s="3222">
        <f t="shared" si="156"/>
        <v>0</v>
      </c>
      <c r="K61" s="2037">
        <f t="shared" si="156"/>
        <v>9927.5509999999995</v>
      </c>
      <c r="L61" s="2951">
        <f t="shared" si="156"/>
        <v>0</v>
      </c>
      <c r="M61" s="2076">
        <f t="shared" si="156"/>
        <v>21913.550999999999</v>
      </c>
      <c r="N61" s="3222">
        <f t="shared" si="156"/>
        <v>0</v>
      </c>
      <c r="O61" s="2037">
        <f t="shared" si="156"/>
        <v>11361.2</v>
      </c>
      <c r="P61" s="1714">
        <f t="shared" si="156"/>
        <v>0</v>
      </c>
      <c r="Q61" s="2038">
        <f t="shared" si="156"/>
        <v>33274.751000000004</v>
      </c>
      <c r="R61" s="3222">
        <f t="shared" ref="R61:U61" si="157">+R58-R59</f>
        <v>0</v>
      </c>
      <c r="S61" s="2037">
        <f t="shared" si="157"/>
        <v>10402.1</v>
      </c>
      <c r="T61" s="1714">
        <f t="shared" si="157"/>
        <v>0</v>
      </c>
      <c r="U61" s="2038">
        <f t="shared" si="157"/>
        <v>43676.851000000002</v>
      </c>
      <c r="V61" s="3222">
        <f t="shared" ref="V61:AI61" si="158">+V58-V59</f>
        <v>0</v>
      </c>
      <c r="W61" s="2037">
        <f t="shared" si="158"/>
        <v>5210</v>
      </c>
      <c r="X61" s="2951">
        <f t="shared" si="158"/>
        <v>0</v>
      </c>
      <c r="Y61" s="2076">
        <f t="shared" si="158"/>
        <v>26973.300000000003</v>
      </c>
      <c r="Z61" s="7113">
        <f t="shared" si="158"/>
        <v>0</v>
      </c>
      <c r="AA61" s="7113">
        <f t="shared" si="158"/>
        <v>48886.851000000002</v>
      </c>
      <c r="AB61" s="3222">
        <f t="shared" si="158"/>
        <v>0</v>
      </c>
      <c r="AC61" s="2037">
        <f t="shared" si="158"/>
        <v>5325.9</v>
      </c>
      <c r="AD61" s="1714">
        <f t="shared" si="158"/>
        <v>0</v>
      </c>
      <c r="AE61" s="2038">
        <f t="shared" si="158"/>
        <v>54212.751000000004</v>
      </c>
      <c r="AF61" s="3222">
        <f t="shared" si="158"/>
        <v>0</v>
      </c>
      <c r="AG61" s="2037">
        <f t="shared" si="158"/>
        <v>6735.8</v>
      </c>
      <c r="AH61" s="1714">
        <f t="shared" si="158"/>
        <v>0</v>
      </c>
      <c r="AI61" s="2038">
        <f t="shared" si="158"/>
        <v>60948.551000000007</v>
      </c>
      <c r="AJ61" s="3222">
        <f t="shared" ref="AJ61:AO61" si="159">+AJ58-AJ59</f>
        <v>0</v>
      </c>
      <c r="AK61" s="2037">
        <f t="shared" si="159"/>
        <v>8930.2999999999993</v>
      </c>
      <c r="AL61" s="2951">
        <f t="shared" si="159"/>
        <v>0</v>
      </c>
      <c r="AM61" s="2076">
        <f t="shared" si="159"/>
        <v>20992</v>
      </c>
      <c r="AN61" s="1714">
        <f t="shared" si="159"/>
        <v>0</v>
      </c>
      <c r="AO61" s="2038">
        <f t="shared" si="159"/>
        <v>69878.85100000001</v>
      </c>
      <c r="AP61" s="3222">
        <f t="shared" ref="AP61:AS61" si="160">+AP58-AP59</f>
        <v>0</v>
      </c>
      <c r="AQ61" s="2037">
        <f t="shared" si="160"/>
        <v>10104.799999999999</v>
      </c>
      <c r="AR61" s="1714">
        <f t="shared" si="160"/>
        <v>0</v>
      </c>
      <c r="AS61" s="2038">
        <f t="shared" si="160"/>
        <v>79983.651000000013</v>
      </c>
      <c r="AT61" s="3222">
        <f t="shared" ref="AT61:AW61" si="161">+AT58-AT59</f>
        <v>0</v>
      </c>
      <c r="AU61" s="2037">
        <f t="shared" si="161"/>
        <v>9111.2659999999996</v>
      </c>
      <c r="AV61" s="1714">
        <f t="shared" si="161"/>
        <v>0</v>
      </c>
      <c r="AW61" s="2038">
        <f t="shared" si="161"/>
        <v>89094.917000000016</v>
      </c>
      <c r="AX61" s="3222">
        <f t="shared" ref="AX61:BE61" si="162">+AX58-AX59</f>
        <v>0</v>
      </c>
      <c r="AY61" s="2037">
        <f t="shared" si="162"/>
        <v>14861.633</v>
      </c>
      <c r="AZ61" s="2951">
        <f t="shared" si="162"/>
        <v>0</v>
      </c>
      <c r="BA61" s="2076">
        <f t="shared" si="162"/>
        <v>34077.698999999993</v>
      </c>
      <c r="BB61" s="2076">
        <f t="shared" ref="BB61:BC61" si="163">+BB58-BB59</f>
        <v>0</v>
      </c>
      <c r="BC61" s="2076">
        <f t="shared" si="163"/>
        <v>55069.698999999993</v>
      </c>
      <c r="BD61" s="7113">
        <f t="shared" si="162"/>
        <v>0</v>
      </c>
      <c r="BE61" s="7113">
        <f t="shared" si="162"/>
        <v>103956.55000000002</v>
      </c>
    </row>
    <row r="62" spans="1:57" ht="16" x14ac:dyDescent="0.2">
      <c r="A62" s="2265"/>
      <c r="B62" s="1806" t="s">
        <v>1016</v>
      </c>
      <c r="C62" s="2736"/>
      <c r="D62" s="4751"/>
      <c r="E62" s="2078"/>
      <c r="F62" s="4751"/>
      <c r="G62" s="2078"/>
      <c r="H62" s="3073"/>
      <c r="I62" s="2078"/>
      <c r="J62" s="4751"/>
      <c r="K62" s="2078"/>
      <c r="L62" s="3073"/>
      <c r="M62" s="2078"/>
      <c r="N62" s="4752"/>
      <c r="O62" s="2036"/>
      <c r="P62" s="2036"/>
      <c r="Q62" s="2078"/>
      <c r="R62" s="4752"/>
      <c r="S62" s="2036"/>
      <c r="T62" s="2036"/>
      <c r="U62" s="2078"/>
      <c r="V62" s="4752"/>
      <c r="W62" s="2036"/>
      <c r="X62" s="3073"/>
      <c r="Y62" s="2078"/>
      <c r="Z62" s="2078"/>
      <c r="AA62" s="2078"/>
      <c r="AB62" s="4752"/>
      <c r="AC62" s="2036"/>
      <c r="AD62" s="2036"/>
      <c r="AE62" s="2078"/>
      <c r="AF62" s="4752"/>
      <c r="AG62" s="2036"/>
      <c r="AH62" s="2036"/>
      <c r="AI62" s="2078"/>
      <c r="AJ62" s="4752"/>
      <c r="AK62" s="2036"/>
      <c r="AL62" s="3073"/>
      <c r="AM62" s="2078"/>
      <c r="AN62" s="2036"/>
      <c r="AO62" s="2078"/>
      <c r="AP62" s="4752"/>
      <c r="AQ62" s="2036"/>
      <c r="AR62" s="2036"/>
      <c r="AS62" s="2078"/>
      <c r="AT62" s="4752"/>
      <c r="AU62" s="2036"/>
      <c r="AV62" s="2036"/>
      <c r="AW62" s="2078"/>
      <c r="AX62" s="4752"/>
      <c r="AY62" s="2036"/>
      <c r="AZ62" s="3073"/>
      <c r="BA62" s="2078"/>
      <c r="BB62" s="2078"/>
      <c r="BC62" s="2078"/>
      <c r="BD62" s="2078"/>
      <c r="BE62" s="2078"/>
    </row>
    <row r="63" spans="1:57" ht="16" x14ac:dyDescent="0.2">
      <c r="A63" s="2265"/>
      <c r="B63" s="1533" t="s">
        <v>509</v>
      </c>
      <c r="C63" s="1545" t="s">
        <v>833</v>
      </c>
      <c r="D63" s="3233">
        <f>+D58</f>
        <v>0</v>
      </c>
      <c r="E63" s="2690">
        <v>5809.8</v>
      </c>
      <c r="F63" s="3233">
        <f>+F58</f>
        <v>0</v>
      </c>
      <c r="G63" s="1665">
        <v>6176.2</v>
      </c>
      <c r="H63" s="4690">
        <f>+D63+F63</f>
        <v>0</v>
      </c>
      <c r="I63" s="1713">
        <f>+E63+G63</f>
        <v>11986</v>
      </c>
      <c r="J63" s="3233">
        <f>+J58</f>
        <v>0</v>
      </c>
      <c r="K63" s="1700">
        <v>9927.5509999999995</v>
      </c>
      <c r="L63" s="4694">
        <f>+H63+J63</f>
        <v>0</v>
      </c>
      <c r="M63" s="2042">
        <f>+I63+K63</f>
        <v>21913.550999999999</v>
      </c>
      <c r="N63" s="3233">
        <f>+N58</f>
        <v>0</v>
      </c>
      <c r="O63" s="1669">
        <v>11361.2</v>
      </c>
      <c r="P63" s="1717">
        <f>+L63+N63</f>
        <v>0</v>
      </c>
      <c r="Q63" s="1713">
        <f>+M63+O63</f>
        <v>33274.751000000004</v>
      </c>
      <c r="R63" s="3233">
        <f>+R58</f>
        <v>0</v>
      </c>
      <c r="S63" s="1669">
        <v>10402.1</v>
      </c>
      <c r="T63" s="1717">
        <f>+P63+R63</f>
        <v>0</v>
      </c>
      <c r="U63" s="1713">
        <f>+Q63+S63</f>
        <v>43676.851000000002</v>
      </c>
      <c r="V63" s="3233">
        <f>+V58</f>
        <v>0</v>
      </c>
      <c r="W63" s="1669">
        <v>5210</v>
      </c>
      <c r="X63" s="4792">
        <f>+T63+V63</f>
        <v>0</v>
      </c>
      <c r="Y63" s="1998">
        <f t="shared" ref="Y63:Y64" si="164">+W63+S63+O63</f>
        <v>26973.300000000003</v>
      </c>
      <c r="Z63" s="6510">
        <f>+T63+V63</f>
        <v>0</v>
      </c>
      <c r="AA63" s="6510">
        <f>+U63+W63</f>
        <v>48886.851000000002</v>
      </c>
      <c r="AB63" s="3233">
        <f>+AB58</f>
        <v>0</v>
      </c>
      <c r="AC63" s="1669">
        <v>5325.9</v>
      </c>
      <c r="AD63" s="1717">
        <f>+Z63+AB63</f>
        <v>0</v>
      </c>
      <c r="AE63" s="1713">
        <f>+AA63+AC63</f>
        <v>54212.751000000004</v>
      </c>
      <c r="AF63" s="3233">
        <f>+AF58</f>
        <v>0</v>
      </c>
      <c r="AG63" s="1669">
        <v>6735.8</v>
      </c>
      <c r="AH63" s="1717">
        <f>+AD63+AF63</f>
        <v>0</v>
      </c>
      <c r="AI63" s="1713">
        <f>+AE63+AG63</f>
        <v>60948.551000000007</v>
      </c>
      <c r="AJ63" s="3233">
        <f>+AJ58</f>
        <v>0</v>
      </c>
      <c r="AK63" s="1669">
        <v>8930.2999999999993</v>
      </c>
      <c r="AL63" s="4792">
        <f>+AH63+AJ63</f>
        <v>0</v>
      </c>
      <c r="AM63" s="1998">
        <f t="shared" ref="AM63:AM64" si="165">+AK63+AG63+AC63</f>
        <v>20992</v>
      </c>
      <c r="AN63" s="1717">
        <f>+AH63+AJ63</f>
        <v>0</v>
      </c>
      <c r="AO63" s="1713">
        <f>+AI63+AK63</f>
        <v>69878.85100000001</v>
      </c>
      <c r="AP63" s="3233">
        <f>+AP58</f>
        <v>0</v>
      </c>
      <c r="AQ63" s="1669">
        <v>10104.799999999999</v>
      </c>
      <c r="AR63" s="1717">
        <f>+AN63+AP63</f>
        <v>0</v>
      </c>
      <c r="AS63" s="1713">
        <f>+AO63+AQ63</f>
        <v>79983.651000000013</v>
      </c>
      <c r="AT63" s="3233">
        <f>+AT58</f>
        <v>0</v>
      </c>
      <c r="AU63" s="1669">
        <f>+AU58</f>
        <v>9111.2659999999996</v>
      </c>
      <c r="AV63" s="1717">
        <f>+AR63+AT63</f>
        <v>0</v>
      </c>
      <c r="AW63" s="1713">
        <f>+AS63+AU63</f>
        <v>89094.917000000016</v>
      </c>
      <c r="AX63" s="3233">
        <f>+AX58</f>
        <v>0</v>
      </c>
      <c r="AY63" s="1669">
        <f>+AY58</f>
        <v>14861.633</v>
      </c>
      <c r="AZ63" s="4792">
        <f>+AV63+AX63</f>
        <v>0</v>
      </c>
      <c r="BA63" s="1998">
        <f t="shared" ref="BA63:BA64" si="166">+AY63+AU63+AQ63</f>
        <v>34077.698999999993</v>
      </c>
      <c r="BB63" s="1998">
        <f>+AX63+AZ63</f>
        <v>0</v>
      </c>
      <c r="BC63" s="1998">
        <f t="shared" ref="BC63" si="167">+BA63+AM63</f>
        <v>55069.698999999993</v>
      </c>
      <c r="BD63" s="6510">
        <f>+AV63+AX63</f>
        <v>0</v>
      </c>
      <c r="BE63" s="6510">
        <f>+AW63+AY63</f>
        <v>103956.55000000002</v>
      </c>
    </row>
    <row r="64" spans="1:57" ht="17" thickBot="1" x14ac:dyDescent="0.25">
      <c r="A64" s="2265"/>
      <c r="B64" s="2738" t="s">
        <v>188</v>
      </c>
      <c r="C64" s="1545" t="s">
        <v>833</v>
      </c>
      <c r="D64" s="6358">
        <f>0*24*D2</f>
        <v>0</v>
      </c>
      <c r="E64" s="2690">
        <v>0</v>
      </c>
      <c r="F64" s="6362">
        <v>0</v>
      </c>
      <c r="G64" s="1668">
        <v>0</v>
      </c>
      <c r="H64" s="2789">
        <f>+D64+F64</f>
        <v>0</v>
      </c>
      <c r="I64" s="2552">
        <f>+E64+G64</f>
        <v>0</v>
      </c>
      <c r="J64" s="4811">
        <v>0</v>
      </c>
      <c r="K64" s="1700">
        <v>0</v>
      </c>
      <c r="L64" s="4694">
        <f>+H64+J64</f>
        <v>0</v>
      </c>
      <c r="M64" s="2042">
        <f>+I64+K64</f>
        <v>0</v>
      </c>
      <c r="N64" s="4810">
        <v>0</v>
      </c>
      <c r="O64" s="1669">
        <v>0</v>
      </c>
      <c r="P64" s="3445">
        <f>+L64+N64</f>
        <v>0</v>
      </c>
      <c r="Q64" s="1713">
        <f>+M64+O64</f>
        <v>0</v>
      </c>
      <c r="R64" s="4810">
        <v>0</v>
      </c>
      <c r="S64" s="1669">
        <v>0</v>
      </c>
      <c r="T64" s="6308">
        <f>+P64+R64</f>
        <v>0</v>
      </c>
      <c r="U64" s="1713">
        <f>+Q64+S64</f>
        <v>0</v>
      </c>
      <c r="V64" s="4810">
        <v>0</v>
      </c>
      <c r="W64" s="1669">
        <v>0</v>
      </c>
      <c r="X64" s="4792">
        <f>+T64+V64</f>
        <v>0</v>
      </c>
      <c r="Y64" s="1998">
        <f t="shared" si="164"/>
        <v>0</v>
      </c>
      <c r="Z64" s="6510">
        <f>+T64+V64</f>
        <v>0</v>
      </c>
      <c r="AA64" s="6510">
        <f>+U64+W64</f>
        <v>0</v>
      </c>
      <c r="AB64" s="4810">
        <v>0</v>
      </c>
      <c r="AC64" s="1669">
        <v>0</v>
      </c>
      <c r="AD64" s="6308">
        <f>+Z64+AB64</f>
        <v>0</v>
      </c>
      <c r="AE64" s="1713">
        <f>+AA64+AC64</f>
        <v>0</v>
      </c>
      <c r="AF64" s="4810">
        <v>0</v>
      </c>
      <c r="AG64" s="1669">
        <v>0</v>
      </c>
      <c r="AH64" s="6308">
        <f>+AD64+AF64</f>
        <v>0</v>
      </c>
      <c r="AI64" s="1713">
        <f>+AE64+AG64</f>
        <v>0</v>
      </c>
      <c r="AJ64" s="4810">
        <v>0</v>
      </c>
      <c r="AK64" s="1669">
        <v>0</v>
      </c>
      <c r="AL64" s="4792">
        <f>+AH64+AJ64</f>
        <v>0</v>
      </c>
      <c r="AM64" s="1998">
        <f t="shared" si="165"/>
        <v>0</v>
      </c>
      <c r="AN64" s="6308">
        <f>+AH64+AJ64</f>
        <v>0</v>
      </c>
      <c r="AO64" s="1713">
        <f>+AI64+AK64</f>
        <v>0</v>
      </c>
      <c r="AP64" s="4810">
        <v>0</v>
      </c>
      <c r="AQ64" s="1669">
        <v>0</v>
      </c>
      <c r="AR64" s="6308">
        <f>+AN64+AP64</f>
        <v>0</v>
      </c>
      <c r="AS64" s="1713">
        <f>+AO64+AQ64</f>
        <v>0</v>
      </c>
      <c r="AT64" s="4810">
        <v>0</v>
      </c>
      <c r="AU64" s="1669">
        <v>0</v>
      </c>
      <c r="AV64" s="6308">
        <f>+AR64+AT64</f>
        <v>0</v>
      </c>
      <c r="AW64" s="1713">
        <f>+AS64+AU64</f>
        <v>0</v>
      </c>
      <c r="AX64" s="4810">
        <v>0</v>
      </c>
      <c r="AY64" s="1669">
        <v>0</v>
      </c>
      <c r="AZ64" s="4792">
        <f>+AV64+AX64</f>
        <v>0</v>
      </c>
      <c r="BA64" s="1998">
        <f t="shared" si="166"/>
        <v>0</v>
      </c>
      <c r="BB64" s="1998">
        <f>+AX64+AZ64</f>
        <v>0</v>
      </c>
      <c r="BC64" s="1998">
        <f t="shared" ref="BC64" si="168">+BA64+AW64+AS64</f>
        <v>0</v>
      </c>
      <c r="BD64" s="6510">
        <f>+AV64+AX64</f>
        <v>0</v>
      </c>
      <c r="BE64" s="6510">
        <f>+AW64+AY64</f>
        <v>0</v>
      </c>
    </row>
    <row r="65" spans="1:57" ht="19" thickBot="1" x14ac:dyDescent="0.25">
      <c r="A65" s="2265"/>
      <c r="B65" s="2739" t="s">
        <v>197</v>
      </c>
      <c r="C65" s="2737" t="s">
        <v>833</v>
      </c>
      <c r="D65" s="4020">
        <f>SUM(D63:D64)</f>
        <v>0</v>
      </c>
      <c r="E65" s="2727">
        <f t="shared" ref="E65:Q65" si="169">SUM(E63:E64)</f>
        <v>5809.8</v>
      </c>
      <c r="F65" s="6363">
        <f t="shared" si="169"/>
        <v>0</v>
      </c>
      <c r="G65" s="2831">
        <f t="shared" si="169"/>
        <v>6176.2</v>
      </c>
      <c r="H65" s="4712">
        <f t="shared" si="169"/>
        <v>0</v>
      </c>
      <c r="I65" s="2832">
        <f t="shared" si="169"/>
        <v>11986</v>
      </c>
      <c r="J65" s="4020">
        <f t="shared" si="169"/>
        <v>0</v>
      </c>
      <c r="K65" s="2913">
        <f t="shared" si="169"/>
        <v>9927.5509999999995</v>
      </c>
      <c r="L65" s="2556">
        <f t="shared" si="169"/>
        <v>0</v>
      </c>
      <c r="M65" s="2914">
        <f t="shared" si="169"/>
        <v>21913.550999999999</v>
      </c>
      <c r="N65" s="4020">
        <f t="shared" si="169"/>
        <v>0</v>
      </c>
      <c r="O65" s="2913">
        <f t="shared" si="169"/>
        <v>11361.2</v>
      </c>
      <c r="P65" s="1886">
        <f t="shared" si="169"/>
        <v>0</v>
      </c>
      <c r="Q65" s="2969">
        <f t="shared" si="169"/>
        <v>33274.751000000004</v>
      </c>
      <c r="R65" s="4020">
        <f t="shared" ref="R65:U65" si="170">SUM(R63:R64)</f>
        <v>0</v>
      </c>
      <c r="S65" s="2913">
        <f t="shared" si="170"/>
        <v>10402.1</v>
      </c>
      <c r="T65" s="1886">
        <f t="shared" si="170"/>
        <v>0</v>
      </c>
      <c r="U65" s="2969">
        <f t="shared" si="170"/>
        <v>43676.851000000002</v>
      </c>
      <c r="V65" s="4020">
        <f t="shared" ref="V65:AI65" si="171">SUM(V63:V64)</f>
        <v>0</v>
      </c>
      <c r="W65" s="2913">
        <f t="shared" si="171"/>
        <v>5210</v>
      </c>
      <c r="X65" s="2556">
        <f t="shared" si="171"/>
        <v>0</v>
      </c>
      <c r="Y65" s="2914">
        <f t="shared" si="171"/>
        <v>26973.300000000003</v>
      </c>
      <c r="Z65" s="7114">
        <f t="shared" si="171"/>
        <v>0</v>
      </c>
      <c r="AA65" s="7114">
        <f t="shared" si="171"/>
        <v>48886.851000000002</v>
      </c>
      <c r="AB65" s="4020">
        <f t="shared" si="171"/>
        <v>0</v>
      </c>
      <c r="AC65" s="2913">
        <f t="shared" si="171"/>
        <v>5325.9</v>
      </c>
      <c r="AD65" s="1886">
        <f t="shared" si="171"/>
        <v>0</v>
      </c>
      <c r="AE65" s="2969">
        <f t="shared" si="171"/>
        <v>54212.751000000004</v>
      </c>
      <c r="AF65" s="4020">
        <f t="shared" si="171"/>
        <v>0</v>
      </c>
      <c r="AG65" s="2913">
        <f t="shared" si="171"/>
        <v>6735.8</v>
      </c>
      <c r="AH65" s="1886">
        <f t="shared" si="171"/>
        <v>0</v>
      </c>
      <c r="AI65" s="2969">
        <f t="shared" si="171"/>
        <v>60948.551000000007</v>
      </c>
      <c r="AJ65" s="4020">
        <f t="shared" ref="AJ65:AO65" si="172">SUM(AJ63:AJ64)</f>
        <v>0</v>
      </c>
      <c r="AK65" s="2913">
        <f t="shared" si="172"/>
        <v>8930.2999999999993</v>
      </c>
      <c r="AL65" s="2556">
        <f t="shared" si="172"/>
        <v>0</v>
      </c>
      <c r="AM65" s="2914">
        <f t="shared" si="172"/>
        <v>20992</v>
      </c>
      <c r="AN65" s="1886">
        <f t="shared" si="172"/>
        <v>0</v>
      </c>
      <c r="AO65" s="2969">
        <f t="shared" si="172"/>
        <v>69878.85100000001</v>
      </c>
      <c r="AP65" s="4020">
        <f t="shared" ref="AP65:AS65" si="173">SUM(AP63:AP64)</f>
        <v>0</v>
      </c>
      <c r="AQ65" s="2913">
        <f t="shared" si="173"/>
        <v>10104.799999999999</v>
      </c>
      <c r="AR65" s="1886">
        <f t="shared" si="173"/>
        <v>0</v>
      </c>
      <c r="AS65" s="2969">
        <f t="shared" si="173"/>
        <v>79983.651000000013</v>
      </c>
      <c r="AT65" s="4020">
        <f t="shared" ref="AT65:AW65" si="174">SUM(AT63:AT64)</f>
        <v>0</v>
      </c>
      <c r="AU65" s="2913">
        <f t="shared" si="174"/>
        <v>9111.2659999999996</v>
      </c>
      <c r="AV65" s="1886">
        <f t="shared" si="174"/>
        <v>0</v>
      </c>
      <c r="AW65" s="2969">
        <f t="shared" si="174"/>
        <v>89094.917000000016</v>
      </c>
      <c r="AX65" s="4020">
        <f t="shared" ref="AX65:BE65" si="175">SUM(AX63:AX64)</f>
        <v>0</v>
      </c>
      <c r="AY65" s="2913">
        <f t="shared" si="175"/>
        <v>14861.633</v>
      </c>
      <c r="AZ65" s="2556">
        <f t="shared" si="175"/>
        <v>0</v>
      </c>
      <c r="BA65" s="2914">
        <f t="shared" si="175"/>
        <v>34077.698999999993</v>
      </c>
      <c r="BB65" s="2914">
        <f t="shared" ref="BB65:BC65" si="176">SUM(BB63:BB64)</f>
        <v>0</v>
      </c>
      <c r="BC65" s="2914">
        <f t="shared" si="176"/>
        <v>55069.698999999993</v>
      </c>
      <c r="BD65" s="7114">
        <f t="shared" si="175"/>
        <v>0</v>
      </c>
      <c r="BE65" s="7114">
        <f t="shared" si="175"/>
        <v>103956.55000000002</v>
      </c>
    </row>
    <row r="66" spans="1:57" ht="20" x14ac:dyDescent="0.2">
      <c r="A66" s="2265"/>
      <c r="B66" s="1625" t="s">
        <v>538</v>
      </c>
      <c r="C66" s="1626"/>
      <c r="D66" s="5279"/>
      <c r="E66" s="1595"/>
      <c r="F66" s="5279"/>
      <c r="G66" s="1595"/>
      <c r="H66" s="1595"/>
      <c r="I66" s="1595"/>
      <c r="J66" s="5279"/>
      <c r="K66" s="1595"/>
      <c r="L66" s="1595"/>
      <c r="M66" s="1595"/>
      <c r="N66" s="5279"/>
      <c r="O66" s="1595"/>
      <c r="P66" s="1595"/>
      <c r="Q66" s="1595"/>
      <c r="R66" s="5279"/>
      <c r="S66" s="1595"/>
      <c r="T66" s="1595"/>
      <c r="U66" s="1595"/>
      <c r="V66" s="5279"/>
      <c r="W66" s="1595"/>
      <c r="X66" s="1595"/>
      <c r="Y66" s="1595"/>
      <c r="Z66" s="1595"/>
      <c r="AA66" s="1595"/>
      <c r="AB66" s="5279"/>
      <c r="AC66" s="1595"/>
      <c r="AD66" s="1595"/>
      <c r="AE66" s="1595"/>
      <c r="AF66" s="5279"/>
      <c r="AG66" s="1595"/>
      <c r="AH66" s="1595"/>
      <c r="AI66" s="1595"/>
      <c r="AJ66" s="5279"/>
      <c r="AK66" s="1595"/>
      <c r="AL66" s="1595"/>
      <c r="AM66" s="1595"/>
      <c r="AN66" s="1595"/>
      <c r="AO66" s="1595"/>
      <c r="AP66" s="5279"/>
      <c r="AQ66" s="1595"/>
      <c r="AR66" s="1595"/>
      <c r="AS66" s="1595"/>
      <c r="AT66" s="5279"/>
      <c r="AU66" s="1595"/>
      <c r="AV66" s="1595"/>
      <c r="AW66" s="1595"/>
      <c r="AX66" s="5279"/>
      <c r="AY66" s="1595"/>
      <c r="AZ66" s="1595"/>
      <c r="BA66" s="1595"/>
      <c r="BB66" s="1595"/>
      <c r="BC66" s="1595"/>
      <c r="BD66" s="1595"/>
      <c r="BE66" s="1595"/>
    </row>
    <row r="67" spans="1:57" ht="16" thickBot="1" x14ac:dyDescent="0.25">
      <c r="A67" s="2265"/>
      <c r="B67" s="1620" t="s">
        <v>837</v>
      </c>
      <c r="C67" s="1545" t="s">
        <v>836</v>
      </c>
      <c r="D67" s="3229"/>
      <c r="E67" s="2690">
        <v>8027.98</v>
      </c>
      <c r="F67" s="3229"/>
      <c r="G67" s="1669">
        <v>8028</v>
      </c>
      <c r="H67" s="1787"/>
      <c r="I67" s="1713">
        <f>+((E67*E78)+(G67*G78))/I78</f>
        <v>8027.9901659504822</v>
      </c>
      <c r="J67" s="3229"/>
      <c r="K67" s="1668">
        <v>8028</v>
      </c>
      <c r="L67" s="2878"/>
      <c r="M67" s="2021">
        <f>+((I67*I78)+(K67*K78))/M78</f>
        <v>8027.9922197045635</v>
      </c>
      <c r="N67" s="3229"/>
      <c r="O67" s="1669">
        <v>8028</v>
      </c>
      <c r="P67" s="1702"/>
      <c r="Q67" s="1713">
        <f>+((M67*M78)+(O67*O78))/Q78</f>
        <v>8027.9938107774278</v>
      </c>
      <c r="R67" s="3229"/>
      <c r="S67" s="1669">
        <v>8028</v>
      </c>
      <c r="T67" s="1702"/>
      <c r="U67" s="1713">
        <f>+((Q67*Q78)+(S67*S78))/U78</f>
        <v>8027.9953094373277</v>
      </c>
      <c r="V67" s="3229"/>
      <c r="W67" s="1669">
        <v>8028</v>
      </c>
      <c r="X67" s="2878"/>
      <c r="Y67" s="2021">
        <f>+((O67*O78)+(S67*S78)+(W67*W78))/Y78</f>
        <v>8028.0000000000009</v>
      </c>
      <c r="Z67" s="6510"/>
      <c r="AA67" s="6510">
        <f>+((U67*U78)+(W67*W78))/AA78</f>
        <v>8027.996205572912</v>
      </c>
      <c r="AB67" s="3229"/>
      <c r="AC67" s="1669">
        <v>8028</v>
      </c>
      <c r="AD67" s="1702"/>
      <c r="AE67" s="1713">
        <f>+((AA67*AA78)+(AC67*AC78))/AE78</f>
        <v>8027.9968274798957</v>
      </c>
      <c r="AF67" s="3229"/>
      <c r="AG67" s="1669">
        <v>8028</v>
      </c>
      <c r="AH67" s="1702"/>
      <c r="AI67" s="1713">
        <f>+((AE67*AE78)+(AG67*AG78))/AI78</f>
        <v>8027.997261757464</v>
      </c>
      <c r="AJ67" s="3229"/>
      <c r="AK67" s="1669">
        <v>8028</v>
      </c>
      <c r="AL67" s="2878"/>
      <c r="AM67" s="2021">
        <f>+((AC67*AC78)+(AG67*AG78)+(AK67*AK78))/AM78</f>
        <v>8028</v>
      </c>
      <c r="AN67" s="1702"/>
      <c r="AO67" s="1713">
        <f>+((AI67*AI78)+(AK67*AK78))/AO78</f>
        <v>8027.9976007553987</v>
      </c>
      <c r="AP67" s="3229"/>
      <c r="AQ67" s="1669">
        <v>8028</v>
      </c>
      <c r="AR67" s="1702"/>
      <c r="AS67" s="1713">
        <f>+((AO67*AO78)+(AQ67*AQ78))/AS78</f>
        <v>8027.997865399896</v>
      </c>
      <c r="AT67" s="3229"/>
      <c r="AU67" s="1669">
        <v>8028</v>
      </c>
      <c r="AV67" s="1702"/>
      <c r="AW67" s="1713">
        <f>+((AS67*AS78)+(AU67*AU78))/AW78</f>
        <v>8027.9980593472465</v>
      </c>
      <c r="AX67" s="3229"/>
      <c r="AY67" s="1669">
        <v>8028</v>
      </c>
      <c r="AZ67" s="2878"/>
      <c r="BA67" s="2021">
        <f>+((AQ67*AQ78)+(AU67*AU78)+(AY67*AY78))/BA78</f>
        <v>8028</v>
      </c>
      <c r="BB67" s="2021"/>
      <c r="BC67" s="2021">
        <f>+((AM67*AM78)+(BA67*BA78))/BC78</f>
        <v>8027.9999999999991</v>
      </c>
      <c r="BD67" s="6510"/>
      <c r="BE67" s="6510">
        <f>+((AW67*AW78)+(AY67*AY78))/BE78</f>
        <v>8027.9982359602509</v>
      </c>
    </row>
    <row r="68" spans="1:57" ht="19" thickBot="1" x14ac:dyDescent="0.25">
      <c r="A68" s="2265"/>
      <c r="B68" s="1601" t="s">
        <v>845</v>
      </c>
      <c r="C68" s="1627"/>
      <c r="D68" s="6112"/>
      <c r="E68" s="1616"/>
      <c r="F68" s="6112"/>
      <c r="G68" s="1616"/>
      <c r="H68" s="4023"/>
      <c r="I68" s="1616"/>
      <c r="J68" s="6112"/>
      <c r="K68" s="1616"/>
      <c r="L68" s="4023"/>
      <c r="M68" s="1616"/>
      <c r="N68" s="6111"/>
      <c r="O68" s="1616"/>
      <c r="P68" s="1616"/>
      <c r="Q68" s="1616"/>
      <c r="R68" s="6111"/>
      <c r="S68" s="1616"/>
      <c r="T68" s="1616"/>
      <c r="U68" s="1616"/>
      <c r="V68" s="6111"/>
      <c r="W68" s="1616"/>
      <c r="X68" s="4023"/>
      <c r="Y68" s="1616"/>
      <c r="Z68" s="1616"/>
      <c r="AA68" s="1616"/>
      <c r="AB68" s="6111"/>
      <c r="AC68" s="1616"/>
      <c r="AD68" s="1616"/>
      <c r="AE68" s="1616"/>
      <c r="AF68" s="6111"/>
      <c r="AG68" s="1616"/>
      <c r="AH68" s="1616"/>
      <c r="AI68" s="1616"/>
      <c r="AJ68" s="6111"/>
      <c r="AK68" s="1616"/>
      <c r="AL68" s="4023"/>
      <c r="AM68" s="1616"/>
      <c r="AN68" s="1616"/>
      <c r="AO68" s="1616"/>
      <c r="AP68" s="6111"/>
      <c r="AQ68" s="1616"/>
      <c r="AR68" s="1616"/>
      <c r="AS68" s="1616"/>
      <c r="AT68" s="6111"/>
      <c r="AU68" s="1616"/>
      <c r="AV68" s="1616"/>
      <c r="AW68" s="1616"/>
      <c r="AX68" s="6111"/>
      <c r="AY68" s="1616"/>
      <c r="AZ68" s="4023"/>
      <c r="BA68" s="1616"/>
      <c r="BB68" s="1616"/>
      <c r="BC68" s="1616"/>
      <c r="BD68" s="1616"/>
      <c r="BE68" s="1616"/>
    </row>
    <row r="69" spans="1:57" x14ac:dyDescent="0.2">
      <c r="A69" s="2265"/>
      <c r="B69" s="1532" t="s">
        <v>509</v>
      </c>
      <c r="C69" s="1542" t="s">
        <v>834</v>
      </c>
      <c r="D69" s="4811"/>
      <c r="E69" s="2692">
        <v>2334.4259999999999</v>
      </c>
      <c r="F69" s="4811"/>
      <c r="G69" s="1671">
        <v>663.75300000000004</v>
      </c>
      <c r="H69" s="4689">
        <f>+D69+F69</f>
        <v>0</v>
      </c>
      <c r="I69" s="1703">
        <f>+E69+G69</f>
        <v>2998.1790000000001</v>
      </c>
      <c r="J69" s="4811"/>
      <c r="K69" s="1671">
        <v>939.14700000000005</v>
      </c>
      <c r="L69" s="4691">
        <f>+H69+J69</f>
        <v>0</v>
      </c>
      <c r="M69" s="2021">
        <f>+I69+K69</f>
        <v>3937.326</v>
      </c>
      <c r="N69" s="4811"/>
      <c r="O69" s="1671">
        <v>1234.3520000000001</v>
      </c>
      <c r="P69" s="2333">
        <f>+L69+N69</f>
        <v>0</v>
      </c>
      <c r="Q69" s="1703">
        <f>+M69+O69</f>
        <v>5171.6779999999999</v>
      </c>
      <c r="R69" s="4811"/>
      <c r="S69" s="1671">
        <v>1491.8440000000001</v>
      </c>
      <c r="T69" s="6445">
        <f>+P69+R69</f>
        <v>0</v>
      </c>
      <c r="U69" s="1703">
        <f>+Q69+S69</f>
        <v>6663.5219999999999</v>
      </c>
      <c r="V69" s="4811"/>
      <c r="W69" s="1671">
        <v>2382.9160000000002</v>
      </c>
      <c r="X69" s="7011">
        <f>+T69+V69</f>
        <v>0</v>
      </c>
      <c r="Y69" s="1998">
        <f t="shared" ref="Y69:Y77" si="177">+W69+S69+O69</f>
        <v>5109.1120000000001</v>
      </c>
      <c r="Z69" s="6514">
        <f>+T69+V69</f>
        <v>0</v>
      </c>
      <c r="AA69" s="6514">
        <f>+U69+W69</f>
        <v>9046.4380000000001</v>
      </c>
      <c r="AB69" s="4811"/>
      <c r="AC69" s="1671">
        <v>1798.412</v>
      </c>
      <c r="AD69" s="7369">
        <f>+Z69+AB69</f>
        <v>0</v>
      </c>
      <c r="AE69" s="1703">
        <f>+AA69+AC69</f>
        <v>10844.85</v>
      </c>
      <c r="AF69" s="4811"/>
      <c r="AG69" s="1671">
        <v>1435.222</v>
      </c>
      <c r="AH69" s="7369">
        <f>+AD69+AF69</f>
        <v>0</v>
      </c>
      <c r="AI69" s="1703">
        <f>+AE69+AG69</f>
        <v>12280.072</v>
      </c>
      <c r="AJ69" s="4811"/>
      <c r="AK69" s="1671">
        <v>1747.951</v>
      </c>
      <c r="AL69" s="7767">
        <f>+AH69+AJ69</f>
        <v>0</v>
      </c>
      <c r="AM69" s="1998">
        <f t="shared" ref="AM69:AM77" si="178">+AK69+AG69+AC69</f>
        <v>4981.585</v>
      </c>
      <c r="AN69" s="7369">
        <f>+AH69+AJ69</f>
        <v>0</v>
      </c>
      <c r="AO69" s="1703">
        <f>+AI69+AK69</f>
        <v>14028.023000000001</v>
      </c>
      <c r="AP69" s="4811"/>
      <c r="AQ69" s="1671">
        <v>1239.585</v>
      </c>
      <c r="AR69" s="7369">
        <f>+AN69+AP69</f>
        <v>0</v>
      </c>
      <c r="AS69" s="1703">
        <f>+AO69+AQ69</f>
        <v>15267.608</v>
      </c>
      <c r="AT69" s="4811"/>
      <c r="AU69" s="1671">
        <v>668.81899999999996</v>
      </c>
      <c r="AV69" s="7369">
        <f>+AR69+AT69</f>
        <v>0</v>
      </c>
      <c r="AW69" s="1703">
        <f>+AS69+AU69</f>
        <v>15936.427</v>
      </c>
      <c r="AX69" s="4811"/>
      <c r="AY69" s="1671">
        <v>1104.261</v>
      </c>
      <c r="AZ69" s="8344">
        <f>+AV69+AX69</f>
        <v>0</v>
      </c>
      <c r="BA69" s="1998">
        <f t="shared" ref="BA69:BA77" si="179">+AY69+AU69+AQ69</f>
        <v>3012.665</v>
      </c>
      <c r="BB69" s="2021">
        <f>+AX69+AZ69</f>
        <v>0</v>
      </c>
      <c r="BC69" s="2021">
        <f t="shared" ref="BC69:BC77" si="180">+BA69+AM69</f>
        <v>7994.25</v>
      </c>
      <c r="BD69" s="6514">
        <f>+AV69+AX69</f>
        <v>0</v>
      </c>
      <c r="BE69" s="6514">
        <f>+AW69+AY69</f>
        <v>17040.687999999998</v>
      </c>
    </row>
    <row r="70" spans="1:57" x14ac:dyDescent="0.2">
      <c r="A70" s="2265"/>
      <c r="B70" s="1532" t="s">
        <v>1147</v>
      </c>
      <c r="C70" s="1542" t="s">
        <v>1218</v>
      </c>
      <c r="D70" s="4811"/>
      <c r="E70" s="2692">
        <v>69.691999999999993</v>
      </c>
      <c r="F70" s="4811"/>
      <c r="G70" s="1671">
        <v>69.978999999999999</v>
      </c>
      <c r="H70" s="4689">
        <f>+D70+F70</f>
        <v>0</v>
      </c>
      <c r="I70" s="1703">
        <f>+E70+G70</f>
        <v>139.67099999999999</v>
      </c>
      <c r="J70" s="4811"/>
      <c r="K70" s="1671">
        <v>70.084999999999994</v>
      </c>
      <c r="L70" s="4691">
        <f>+H70+J70</f>
        <v>0</v>
      </c>
      <c r="M70" s="2021">
        <f>+I70+K70</f>
        <v>209.75599999999997</v>
      </c>
      <c r="N70" s="4811"/>
      <c r="O70" s="1671">
        <v>75.37</v>
      </c>
      <c r="P70" s="2333">
        <f>+L70+N70</f>
        <v>0</v>
      </c>
      <c r="Q70" s="1703">
        <f>+M70+O70</f>
        <v>285.12599999999998</v>
      </c>
      <c r="R70" s="4811"/>
      <c r="S70" s="1671">
        <v>74.894000000000005</v>
      </c>
      <c r="T70" s="6445">
        <f>+P70+R70</f>
        <v>0</v>
      </c>
      <c r="U70" s="1703">
        <f>+Q70+S70</f>
        <v>360.02</v>
      </c>
      <c r="V70" s="4811"/>
      <c r="W70" s="1671">
        <v>40.168999999999997</v>
      </c>
      <c r="X70" s="7011">
        <f>+T70+V70</f>
        <v>0</v>
      </c>
      <c r="Y70" s="1998">
        <f t="shared" si="177"/>
        <v>190.43299999999999</v>
      </c>
      <c r="Z70" s="6514">
        <f>+T70+V70</f>
        <v>0</v>
      </c>
      <c r="AA70" s="6514">
        <f>+U70+W70</f>
        <v>400.18899999999996</v>
      </c>
      <c r="AB70" s="4811"/>
      <c r="AC70" s="1671">
        <v>4.8630000000000004</v>
      </c>
      <c r="AD70" s="7369">
        <f>+Z70+AB70</f>
        <v>0</v>
      </c>
      <c r="AE70" s="1703">
        <f>+AA70+AC70</f>
        <v>405.05199999999996</v>
      </c>
      <c r="AF70" s="4811"/>
      <c r="AG70" s="1671">
        <v>63.996000000000002</v>
      </c>
      <c r="AH70" s="7369">
        <f>+AD70+AF70</f>
        <v>0</v>
      </c>
      <c r="AI70" s="1703">
        <f>+AE70+AG70</f>
        <v>469.04799999999994</v>
      </c>
      <c r="AJ70" s="4811"/>
      <c r="AK70" s="1671">
        <v>70.402000000000001</v>
      </c>
      <c r="AL70" s="7767">
        <f>+AH70+AJ70</f>
        <v>0</v>
      </c>
      <c r="AM70" s="1998">
        <f t="shared" si="178"/>
        <v>139.261</v>
      </c>
      <c r="AN70" s="7369">
        <f>+AH70+AJ70</f>
        <v>0</v>
      </c>
      <c r="AO70" s="1703">
        <f>+AI70+AK70</f>
        <v>539.44999999999993</v>
      </c>
      <c r="AP70" s="4811"/>
      <c r="AQ70" s="1671">
        <v>75.793000000000006</v>
      </c>
      <c r="AR70" s="7369">
        <f>+AN70+AP70</f>
        <v>0</v>
      </c>
      <c r="AS70" s="1703">
        <f>+AO70+AQ70</f>
        <v>615.24299999999994</v>
      </c>
      <c r="AT70" s="4811"/>
      <c r="AU70" s="1671">
        <v>70.19</v>
      </c>
      <c r="AV70" s="7369">
        <f>+AR70+AT70</f>
        <v>0</v>
      </c>
      <c r="AW70" s="1703">
        <f>+AS70+AU70</f>
        <v>685.43299999999999</v>
      </c>
      <c r="AX70" s="4811"/>
      <c r="AY70" s="1671">
        <v>77.695999999999998</v>
      </c>
      <c r="AZ70" s="8344">
        <f>+AV70+AX70</f>
        <v>0</v>
      </c>
      <c r="BA70" s="1998">
        <f t="shared" si="179"/>
        <v>223.679</v>
      </c>
      <c r="BB70" s="2021">
        <f>+AX70+AZ70</f>
        <v>0</v>
      </c>
      <c r="BC70" s="2021">
        <f t="shared" si="180"/>
        <v>362.94</v>
      </c>
      <c r="BD70" s="6514">
        <f>+AV70+AX70</f>
        <v>0</v>
      </c>
      <c r="BE70" s="6514">
        <f>+AW70+AY70</f>
        <v>763.12900000000002</v>
      </c>
    </row>
    <row r="71" spans="1:57" ht="15" customHeight="1" x14ac:dyDescent="0.2">
      <c r="A71" s="2265"/>
      <c r="B71" s="1532" t="s">
        <v>192</v>
      </c>
      <c r="C71" s="1542" t="s">
        <v>834</v>
      </c>
      <c r="D71" s="4811"/>
      <c r="E71" s="2692">
        <v>0</v>
      </c>
      <c r="F71" s="4811"/>
      <c r="G71" s="1671">
        <v>0</v>
      </c>
      <c r="H71" s="4689">
        <f t="shared" ref="H71:I77" si="181">+D71+F71</f>
        <v>0</v>
      </c>
      <c r="I71" s="1703">
        <f>+E71+G71</f>
        <v>0</v>
      </c>
      <c r="J71" s="4811"/>
      <c r="K71" s="1671">
        <v>0</v>
      </c>
      <c r="L71" s="4691">
        <f t="shared" ref="L71:M77" si="182">+H71+J71</f>
        <v>0</v>
      </c>
      <c r="M71" s="2021">
        <f>+I71+K71</f>
        <v>0</v>
      </c>
      <c r="N71" s="4811"/>
      <c r="O71" s="1671">
        <v>0</v>
      </c>
      <c r="P71" s="2333">
        <f t="shared" ref="P71:Q77" si="183">+L71+N71</f>
        <v>0</v>
      </c>
      <c r="Q71" s="1703">
        <f>+M71+O71</f>
        <v>0</v>
      </c>
      <c r="R71" s="4811"/>
      <c r="S71" s="1671">
        <v>0</v>
      </c>
      <c r="T71" s="6445">
        <f t="shared" ref="T71:T77" si="184">+P71+R71</f>
        <v>0</v>
      </c>
      <c r="U71" s="1703">
        <f>+Q71+S71</f>
        <v>0</v>
      </c>
      <c r="V71" s="4811"/>
      <c r="W71" s="1671">
        <v>0</v>
      </c>
      <c r="X71" s="7011">
        <f t="shared" ref="X71:X77" si="185">+T71+V71</f>
        <v>0</v>
      </c>
      <c r="Y71" s="1998">
        <f t="shared" si="177"/>
        <v>0</v>
      </c>
      <c r="Z71" s="6514">
        <f t="shared" ref="Z71:Z77" si="186">+T71+V71</f>
        <v>0</v>
      </c>
      <c r="AA71" s="6514">
        <f>+U71+W71</f>
        <v>0</v>
      </c>
      <c r="AB71" s="4811"/>
      <c r="AC71" s="1671">
        <v>0</v>
      </c>
      <c r="AD71" s="7369">
        <f t="shared" ref="AD71:AD77" si="187">+Z71+AB71</f>
        <v>0</v>
      </c>
      <c r="AE71" s="1703">
        <f>+AA71+AC71</f>
        <v>0</v>
      </c>
      <c r="AF71" s="4811"/>
      <c r="AG71" s="1671">
        <v>0</v>
      </c>
      <c r="AH71" s="7369">
        <f t="shared" ref="AH71:AH77" si="188">+AD71+AF71</f>
        <v>0</v>
      </c>
      <c r="AI71" s="1703">
        <f>+AE71+AG71</f>
        <v>0</v>
      </c>
      <c r="AJ71" s="4811"/>
      <c r="AK71" s="1671">
        <v>0</v>
      </c>
      <c r="AL71" s="7767">
        <f t="shared" ref="AL71:AL77" si="189">+AH71+AJ71</f>
        <v>0</v>
      </c>
      <c r="AM71" s="1998">
        <f t="shared" si="178"/>
        <v>0</v>
      </c>
      <c r="AN71" s="7369">
        <f t="shared" ref="AN71:AN77" si="190">+AH71+AJ71</f>
        <v>0</v>
      </c>
      <c r="AO71" s="1703">
        <f>+AI71+AK71</f>
        <v>0</v>
      </c>
      <c r="AP71" s="4811"/>
      <c r="AQ71" s="1671">
        <v>0</v>
      </c>
      <c r="AR71" s="7369">
        <f t="shared" ref="AR71:AR77" si="191">+AN71+AP71</f>
        <v>0</v>
      </c>
      <c r="AS71" s="1703">
        <f>+AO71+AQ71</f>
        <v>0</v>
      </c>
      <c r="AT71" s="4811"/>
      <c r="AU71" s="1671">
        <v>0</v>
      </c>
      <c r="AV71" s="7369">
        <f t="shared" ref="AV71:AV77" si="192">+AR71+AT71</f>
        <v>0</v>
      </c>
      <c r="AW71" s="1703">
        <f>+AS71+AU71</f>
        <v>0</v>
      </c>
      <c r="AX71" s="4811"/>
      <c r="AY71" s="1671">
        <v>0</v>
      </c>
      <c r="AZ71" s="8344">
        <f t="shared" ref="AZ71:AZ77" si="193">+AV71+AX71</f>
        <v>0</v>
      </c>
      <c r="BA71" s="1998">
        <f t="shared" si="179"/>
        <v>0</v>
      </c>
      <c r="BB71" s="2021">
        <f t="shared" ref="BB71:BB77" si="194">+AX71+AZ71</f>
        <v>0</v>
      </c>
      <c r="BC71" s="2021">
        <f t="shared" si="180"/>
        <v>0</v>
      </c>
      <c r="BD71" s="6514">
        <f t="shared" ref="BD71:BD77" si="195">+AV71+AX71</f>
        <v>0</v>
      </c>
      <c r="BE71" s="6514">
        <f>+AW71+AY71</f>
        <v>0</v>
      </c>
    </row>
    <row r="72" spans="1:57" x14ac:dyDescent="0.2">
      <c r="A72" s="2265"/>
      <c r="B72" s="1533" t="s">
        <v>510</v>
      </c>
      <c r="C72" s="1545" t="s">
        <v>834</v>
      </c>
      <c r="D72" s="4811"/>
      <c r="E72" s="2692">
        <v>437.154</v>
      </c>
      <c r="F72" s="4811"/>
      <c r="G72" s="1671">
        <v>400.21100000000001</v>
      </c>
      <c r="H72" s="4689">
        <f t="shared" si="181"/>
        <v>0</v>
      </c>
      <c r="I72" s="1703">
        <f t="shared" si="181"/>
        <v>837.36500000000001</v>
      </c>
      <c r="J72" s="4811"/>
      <c r="K72" s="1671">
        <v>228.858</v>
      </c>
      <c r="L72" s="4691">
        <f t="shared" si="182"/>
        <v>0</v>
      </c>
      <c r="M72" s="2021">
        <f t="shared" si="182"/>
        <v>1066.223</v>
      </c>
      <c r="N72" s="4811"/>
      <c r="O72" s="1671">
        <v>459</v>
      </c>
      <c r="P72" s="2333">
        <f t="shared" si="183"/>
        <v>0</v>
      </c>
      <c r="Q72" s="1703">
        <f t="shared" si="183"/>
        <v>1525.223</v>
      </c>
      <c r="R72" s="4811"/>
      <c r="S72" s="1671">
        <v>542.91800000000001</v>
      </c>
      <c r="T72" s="6445">
        <f t="shared" si="184"/>
        <v>0</v>
      </c>
      <c r="U72" s="1703">
        <f t="shared" ref="U72:U77" si="196">+Q72+S72</f>
        <v>2068.1410000000001</v>
      </c>
      <c r="V72" s="4811"/>
      <c r="W72" s="1671">
        <v>362.791</v>
      </c>
      <c r="X72" s="7011">
        <f t="shared" si="185"/>
        <v>0</v>
      </c>
      <c r="Y72" s="1998">
        <f t="shared" si="177"/>
        <v>1364.7090000000001</v>
      </c>
      <c r="Z72" s="6514">
        <f t="shared" si="186"/>
        <v>0</v>
      </c>
      <c r="AA72" s="6514">
        <f t="shared" ref="AA72:AA77" si="197">+U72+W72</f>
        <v>2430.9320000000002</v>
      </c>
      <c r="AB72" s="4811"/>
      <c r="AC72" s="1671">
        <v>461.73399999999998</v>
      </c>
      <c r="AD72" s="7369">
        <f t="shared" si="187"/>
        <v>0</v>
      </c>
      <c r="AE72" s="1703">
        <f t="shared" ref="AE72:AE77" si="198">+AA72+AC72</f>
        <v>2892.6660000000002</v>
      </c>
      <c r="AF72" s="4811"/>
      <c r="AG72" s="1671">
        <v>490.59300000000002</v>
      </c>
      <c r="AH72" s="7369">
        <f t="shared" si="188"/>
        <v>0</v>
      </c>
      <c r="AI72" s="1703">
        <f t="shared" ref="AI72:AI77" si="199">+AE72+AG72</f>
        <v>3383.259</v>
      </c>
      <c r="AJ72" s="4811"/>
      <c r="AK72" s="1671">
        <v>508.03399999999999</v>
      </c>
      <c r="AL72" s="7767">
        <f t="shared" si="189"/>
        <v>0</v>
      </c>
      <c r="AM72" s="1998">
        <f t="shared" si="178"/>
        <v>1460.3609999999999</v>
      </c>
      <c r="AN72" s="7369">
        <f t="shared" si="190"/>
        <v>0</v>
      </c>
      <c r="AO72" s="1703">
        <f t="shared" ref="AO72:AO77" si="200">+AI72+AK72</f>
        <v>3891.2930000000001</v>
      </c>
      <c r="AP72" s="4811"/>
      <c r="AQ72" s="1671">
        <v>467.23</v>
      </c>
      <c r="AR72" s="7369">
        <f t="shared" si="191"/>
        <v>0</v>
      </c>
      <c r="AS72" s="1703">
        <f t="shared" ref="AS72:AS77" si="201">+AO72+AQ72</f>
        <v>4358.5230000000001</v>
      </c>
      <c r="AT72" s="4811"/>
      <c r="AU72" s="1671">
        <v>426.21600000000001</v>
      </c>
      <c r="AV72" s="7369">
        <f t="shared" si="192"/>
        <v>0</v>
      </c>
      <c r="AW72" s="1703">
        <f t="shared" ref="AW72:AW77" si="202">+AS72+AU72</f>
        <v>4784.7390000000005</v>
      </c>
      <c r="AX72" s="4811"/>
      <c r="AY72" s="1671">
        <v>471.88099999999997</v>
      </c>
      <c r="AZ72" s="8344">
        <f t="shared" si="193"/>
        <v>0</v>
      </c>
      <c r="BA72" s="1998">
        <f t="shared" si="179"/>
        <v>1365.327</v>
      </c>
      <c r="BB72" s="2021">
        <f t="shared" si="194"/>
        <v>0</v>
      </c>
      <c r="BC72" s="2021">
        <f t="shared" si="180"/>
        <v>2825.6880000000001</v>
      </c>
      <c r="BD72" s="6514">
        <f t="shared" si="195"/>
        <v>0</v>
      </c>
      <c r="BE72" s="6514">
        <f t="shared" ref="BE72:BE77" si="203">+AW72+AY72</f>
        <v>5256.6200000000008</v>
      </c>
    </row>
    <row r="73" spans="1:57" x14ac:dyDescent="0.2">
      <c r="A73" s="2265"/>
      <c r="B73" s="1533" t="s">
        <v>401</v>
      </c>
      <c r="C73" s="1545" t="s">
        <v>834</v>
      </c>
      <c r="D73" s="4811"/>
      <c r="E73" s="2692">
        <v>0</v>
      </c>
      <c r="F73" s="4811"/>
      <c r="G73" s="1671">
        <v>0</v>
      </c>
      <c r="H73" s="4689">
        <f t="shared" si="181"/>
        <v>0</v>
      </c>
      <c r="I73" s="1703">
        <f t="shared" si="181"/>
        <v>0</v>
      </c>
      <c r="J73" s="4811"/>
      <c r="K73" s="1671">
        <v>0</v>
      </c>
      <c r="L73" s="4691">
        <f t="shared" si="182"/>
        <v>0</v>
      </c>
      <c r="M73" s="2021">
        <f t="shared" si="182"/>
        <v>0</v>
      </c>
      <c r="N73" s="4811"/>
      <c r="O73" s="1671">
        <v>0</v>
      </c>
      <c r="P73" s="2333">
        <f t="shared" si="183"/>
        <v>0</v>
      </c>
      <c r="Q73" s="1703">
        <f t="shared" si="183"/>
        <v>0</v>
      </c>
      <c r="R73" s="4811"/>
      <c r="S73" s="1671">
        <v>0</v>
      </c>
      <c r="T73" s="6445">
        <f t="shared" si="184"/>
        <v>0</v>
      </c>
      <c r="U73" s="1703">
        <f t="shared" si="196"/>
        <v>0</v>
      </c>
      <c r="V73" s="4811"/>
      <c r="W73" s="1671">
        <v>5.6189999999999998</v>
      </c>
      <c r="X73" s="7011">
        <f t="shared" si="185"/>
        <v>0</v>
      </c>
      <c r="Y73" s="1998">
        <f t="shared" si="177"/>
        <v>5.6189999999999998</v>
      </c>
      <c r="Z73" s="6514">
        <f t="shared" si="186"/>
        <v>0</v>
      </c>
      <c r="AA73" s="6514">
        <f t="shared" si="197"/>
        <v>5.6189999999999998</v>
      </c>
      <c r="AB73" s="4811"/>
      <c r="AC73" s="1671">
        <v>1019.7089999999999</v>
      </c>
      <c r="AD73" s="7369">
        <f t="shared" si="187"/>
        <v>0</v>
      </c>
      <c r="AE73" s="1703">
        <f t="shared" si="198"/>
        <v>1025.328</v>
      </c>
      <c r="AF73" s="4811"/>
      <c r="AG73" s="1671">
        <v>1095.6769999999999</v>
      </c>
      <c r="AH73" s="7369">
        <f t="shared" si="188"/>
        <v>0</v>
      </c>
      <c r="AI73" s="1703">
        <f t="shared" si="199"/>
        <v>2121.0050000000001</v>
      </c>
      <c r="AJ73" s="4811"/>
      <c r="AK73" s="1671">
        <v>491.61599999999999</v>
      </c>
      <c r="AL73" s="7767">
        <f t="shared" si="189"/>
        <v>0</v>
      </c>
      <c r="AM73" s="1998">
        <f t="shared" si="178"/>
        <v>2607.002</v>
      </c>
      <c r="AN73" s="7369">
        <f t="shared" si="190"/>
        <v>0</v>
      </c>
      <c r="AO73" s="1703">
        <f t="shared" si="200"/>
        <v>2612.6210000000001</v>
      </c>
      <c r="AP73" s="4811"/>
      <c r="AQ73" s="1671">
        <v>970.96699999999998</v>
      </c>
      <c r="AR73" s="7369">
        <f t="shared" si="191"/>
        <v>0</v>
      </c>
      <c r="AS73" s="1703">
        <f t="shared" si="201"/>
        <v>3583.5880000000002</v>
      </c>
      <c r="AT73" s="4811"/>
      <c r="AU73" s="1671">
        <v>1399.6890000000001</v>
      </c>
      <c r="AV73" s="7369">
        <f t="shared" si="192"/>
        <v>0</v>
      </c>
      <c r="AW73" s="1703">
        <f t="shared" si="202"/>
        <v>4983.277</v>
      </c>
      <c r="AX73" s="4811"/>
      <c r="AY73" s="1671">
        <v>1012.537</v>
      </c>
      <c r="AZ73" s="8344">
        <f t="shared" si="193"/>
        <v>0</v>
      </c>
      <c r="BA73" s="1998">
        <f t="shared" si="179"/>
        <v>3383.1930000000002</v>
      </c>
      <c r="BB73" s="2021">
        <f t="shared" si="194"/>
        <v>0</v>
      </c>
      <c r="BC73" s="2021">
        <f t="shared" si="180"/>
        <v>5990.1949999999997</v>
      </c>
      <c r="BD73" s="6514">
        <f t="shared" si="195"/>
        <v>0</v>
      </c>
      <c r="BE73" s="6514">
        <f t="shared" si="203"/>
        <v>5995.8140000000003</v>
      </c>
    </row>
    <row r="74" spans="1:57" x14ac:dyDescent="0.2">
      <c r="A74" s="2265"/>
      <c r="B74" s="1533" t="s">
        <v>318</v>
      </c>
      <c r="C74" s="1545" t="s">
        <v>834</v>
      </c>
      <c r="D74" s="4811"/>
      <c r="E74" s="2692">
        <v>708.97</v>
      </c>
      <c r="F74" s="4811"/>
      <c r="G74" s="1671">
        <v>1671.6</v>
      </c>
      <c r="H74" s="4689">
        <f t="shared" si="181"/>
        <v>0</v>
      </c>
      <c r="I74" s="1703">
        <f t="shared" si="181"/>
        <v>2380.5699999999997</v>
      </c>
      <c r="J74" s="4811"/>
      <c r="K74" s="1671">
        <v>580.27499999999998</v>
      </c>
      <c r="L74" s="4691">
        <f t="shared" si="182"/>
        <v>0</v>
      </c>
      <c r="M74" s="2021">
        <f t="shared" si="182"/>
        <v>2960.8449999999998</v>
      </c>
      <c r="N74" s="4811"/>
      <c r="O74" s="1671">
        <v>319.14299999999997</v>
      </c>
      <c r="P74" s="2333">
        <f t="shared" si="183"/>
        <v>0</v>
      </c>
      <c r="Q74" s="1703">
        <f t="shared" si="183"/>
        <v>3279.9879999999998</v>
      </c>
      <c r="R74" s="4811"/>
      <c r="S74" s="1671">
        <v>1416.942</v>
      </c>
      <c r="T74" s="6445">
        <f t="shared" si="184"/>
        <v>0</v>
      </c>
      <c r="U74" s="1703">
        <f t="shared" si="196"/>
        <v>4696.93</v>
      </c>
      <c r="V74" s="4811"/>
      <c r="W74" s="1671">
        <v>1048.2190000000001</v>
      </c>
      <c r="X74" s="7011">
        <f t="shared" si="185"/>
        <v>0</v>
      </c>
      <c r="Y74" s="1998">
        <f t="shared" si="177"/>
        <v>2784.3040000000001</v>
      </c>
      <c r="Z74" s="6514">
        <f t="shared" si="186"/>
        <v>0</v>
      </c>
      <c r="AA74" s="6514">
        <f t="shared" si="197"/>
        <v>5745.1490000000003</v>
      </c>
      <c r="AB74" s="4811"/>
      <c r="AC74" s="1671">
        <v>775.36800000000005</v>
      </c>
      <c r="AD74" s="7369">
        <f t="shared" si="187"/>
        <v>0</v>
      </c>
      <c r="AE74" s="1703">
        <f t="shared" si="198"/>
        <v>6520.5170000000007</v>
      </c>
      <c r="AF74" s="4811"/>
      <c r="AG74" s="1671">
        <v>885.88</v>
      </c>
      <c r="AH74" s="7369">
        <f t="shared" si="188"/>
        <v>0</v>
      </c>
      <c r="AI74" s="1703">
        <f t="shared" si="199"/>
        <v>7406.3970000000008</v>
      </c>
      <c r="AJ74" s="4811"/>
      <c r="AK74" s="1671">
        <v>1193.4480000000001</v>
      </c>
      <c r="AL74" s="7767">
        <f t="shared" si="189"/>
        <v>0</v>
      </c>
      <c r="AM74" s="1998">
        <f t="shared" si="178"/>
        <v>2854.6959999999999</v>
      </c>
      <c r="AN74" s="7369">
        <f t="shared" si="190"/>
        <v>0</v>
      </c>
      <c r="AO74" s="1703">
        <f t="shared" si="200"/>
        <v>8599.8450000000012</v>
      </c>
      <c r="AP74" s="4811"/>
      <c r="AQ74" s="1671">
        <v>1158.1769999999999</v>
      </c>
      <c r="AR74" s="7369">
        <f t="shared" si="191"/>
        <v>0</v>
      </c>
      <c r="AS74" s="1703">
        <f t="shared" si="201"/>
        <v>9758.0220000000008</v>
      </c>
      <c r="AT74" s="4811"/>
      <c r="AU74" s="1671">
        <v>1051.432</v>
      </c>
      <c r="AV74" s="7369">
        <f t="shared" si="192"/>
        <v>0</v>
      </c>
      <c r="AW74" s="1703">
        <f t="shared" si="202"/>
        <v>10809.454000000002</v>
      </c>
      <c r="AX74" s="4811"/>
      <c r="AY74" s="1671">
        <v>1184.117</v>
      </c>
      <c r="AZ74" s="8344">
        <f t="shared" si="193"/>
        <v>0</v>
      </c>
      <c r="BA74" s="1998">
        <f t="shared" si="179"/>
        <v>3393.7259999999997</v>
      </c>
      <c r="BB74" s="2021">
        <f t="shared" si="194"/>
        <v>0</v>
      </c>
      <c r="BC74" s="2021">
        <f t="shared" si="180"/>
        <v>6248.4219999999996</v>
      </c>
      <c r="BD74" s="6514">
        <f t="shared" si="195"/>
        <v>0</v>
      </c>
      <c r="BE74" s="6514">
        <f t="shared" si="203"/>
        <v>11993.571000000002</v>
      </c>
    </row>
    <row r="75" spans="1:57" x14ac:dyDescent="0.2">
      <c r="A75" s="2265"/>
      <c r="B75" s="1533" t="s">
        <v>56</v>
      </c>
      <c r="C75" s="1545" t="s">
        <v>834</v>
      </c>
      <c r="D75" s="4811"/>
      <c r="E75" s="2692">
        <v>901.55899999999997</v>
      </c>
      <c r="F75" s="4811"/>
      <c r="G75" s="1671">
        <v>774.11</v>
      </c>
      <c r="H75" s="4689">
        <f t="shared" si="181"/>
        <v>0</v>
      </c>
      <c r="I75" s="1703">
        <f t="shared" si="181"/>
        <v>1675.6689999999999</v>
      </c>
      <c r="J75" s="4811"/>
      <c r="K75" s="1671">
        <v>463.98700000000002</v>
      </c>
      <c r="L75" s="4691">
        <f t="shared" si="182"/>
        <v>0</v>
      </c>
      <c r="M75" s="2021">
        <f t="shared" si="182"/>
        <v>2139.6559999999999</v>
      </c>
      <c r="N75" s="4811"/>
      <c r="O75" s="1671">
        <v>875.32299999999998</v>
      </c>
      <c r="P75" s="2333">
        <f t="shared" si="183"/>
        <v>0</v>
      </c>
      <c r="Q75" s="1703">
        <f t="shared" si="183"/>
        <v>3014.9789999999998</v>
      </c>
      <c r="R75" s="4811"/>
      <c r="S75" s="1671">
        <v>1209.6199999999999</v>
      </c>
      <c r="T75" s="6445">
        <f t="shared" si="184"/>
        <v>0</v>
      </c>
      <c r="U75" s="1703">
        <f t="shared" si="196"/>
        <v>4224.5990000000002</v>
      </c>
      <c r="V75" s="4811"/>
      <c r="W75" s="1671">
        <v>808.58500000000004</v>
      </c>
      <c r="X75" s="7011">
        <f t="shared" si="185"/>
        <v>0</v>
      </c>
      <c r="Y75" s="1998">
        <f t="shared" si="177"/>
        <v>2893.5279999999998</v>
      </c>
      <c r="Z75" s="6514">
        <f t="shared" si="186"/>
        <v>0</v>
      </c>
      <c r="AA75" s="6514">
        <f t="shared" si="197"/>
        <v>5033.1840000000002</v>
      </c>
      <c r="AB75" s="4811"/>
      <c r="AC75" s="1671">
        <v>708.23500000000001</v>
      </c>
      <c r="AD75" s="7369">
        <f t="shared" si="187"/>
        <v>0</v>
      </c>
      <c r="AE75" s="1703">
        <f t="shared" si="198"/>
        <v>5741.4189999999999</v>
      </c>
      <c r="AF75" s="4811"/>
      <c r="AG75" s="1671">
        <v>642.66099999999994</v>
      </c>
      <c r="AH75" s="7369">
        <f t="shared" si="188"/>
        <v>0</v>
      </c>
      <c r="AI75" s="1703">
        <f t="shared" si="199"/>
        <v>6384.08</v>
      </c>
      <c r="AJ75" s="4811"/>
      <c r="AK75" s="1671">
        <v>737.03700000000003</v>
      </c>
      <c r="AL75" s="7767">
        <f t="shared" si="189"/>
        <v>0</v>
      </c>
      <c r="AM75" s="1998">
        <f t="shared" si="178"/>
        <v>2087.933</v>
      </c>
      <c r="AN75" s="7369">
        <f t="shared" si="190"/>
        <v>0</v>
      </c>
      <c r="AO75" s="1703">
        <f t="shared" si="200"/>
        <v>7121.1170000000002</v>
      </c>
      <c r="AP75" s="4811"/>
      <c r="AQ75" s="1671">
        <v>857.66899999999998</v>
      </c>
      <c r="AR75" s="7369">
        <f t="shared" si="191"/>
        <v>0</v>
      </c>
      <c r="AS75" s="1703">
        <f t="shared" si="201"/>
        <v>7978.7860000000001</v>
      </c>
      <c r="AT75" s="4811"/>
      <c r="AU75" s="1671">
        <v>705.38599999999997</v>
      </c>
      <c r="AV75" s="7369">
        <f t="shared" si="192"/>
        <v>0</v>
      </c>
      <c r="AW75" s="1703">
        <f t="shared" si="202"/>
        <v>8684.1720000000005</v>
      </c>
      <c r="AX75" s="4811"/>
      <c r="AY75" s="1671">
        <v>910.93399999999997</v>
      </c>
      <c r="AZ75" s="8344">
        <f t="shared" si="193"/>
        <v>0</v>
      </c>
      <c r="BA75" s="1998">
        <f t="shared" si="179"/>
        <v>2473.989</v>
      </c>
      <c r="BB75" s="2021">
        <f t="shared" si="194"/>
        <v>0</v>
      </c>
      <c r="BC75" s="2021">
        <f t="shared" si="180"/>
        <v>4561.9220000000005</v>
      </c>
      <c r="BD75" s="6514">
        <f t="shared" si="195"/>
        <v>0</v>
      </c>
      <c r="BE75" s="6514">
        <f t="shared" si="203"/>
        <v>9595.1059999999998</v>
      </c>
    </row>
    <row r="76" spans="1:57" x14ac:dyDescent="0.2">
      <c r="A76" s="2265"/>
      <c r="B76" s="2395" t="s">
        <v>287</v>
      </c>
      <c r="C76" s="1545" t="s">
        <v>834</v>
      </c>
      <c r="D76" s="4811"/>
      <c r="E76" s="2692">
        <v>163.25299999999999</v>
      </c>
      <c r="F76" s="4811"/>
      <c r="G76" s="1671">
        <v>1191.059</v>
      </c>
      <c r="H76" s="4689">
        <f t="shared" si="181"/>
        <v>0</v>
      </c>
      <c r="I76" s="1703">
        <f t="shared" si="181"/>
        <v>1354.3119999999999</v>
      </c>
      <c r="J76" s="4811"/>
      <c r="K76" s="1671">
        <v>129.07599999999999</v>
      </c>
      <c r="L76" s="4691">
        <f t="shared" si="182"/>
        <v>0</v>
      </c>
      <c r="M76" s="2021">
        <f t="shared" si="182"/>
        <v>1483.3879999999999</v>
      </c>
      <c r="N76" s="4811"/>
      <c r="O76" s="1671">
        <v>30.074000000000002</v>
      </c>
      <c r="P76" s="2333">
        <f t="shared" si="183"/>
        <v>0</v>
      </c>
      <c r="Q76" s="1703">
        <f t="shared" si="183"/>
        <v>1513.462</v>
      </c>
      <c r="R76" s="4811"/>
      <c r="S76" s="1671">
        <v>28.33</v>
      </c>
      <c r="T76" s="6445">
        <f t="shared" si="184"/>
        <v>0</v>
      </c>
      <c r="U76" s="1703">
        <f t="shared" si="196"/>
        <v>1541.7919999999999</v>
      </c>
      <c r="V76" s="4811"/>
      <c r="W76" s="1671">
        <v>0</v>
      </c>
      <c r="X76" s="7011">
        <f t="shared" si="185"/>
        <v>0</v>
      </c>
      <c r="Y76" s="1998">
        <f t="shared" si="177"/>
        <v>58.403999999999996</v>
      </c>
      <c r="Z76" s="6514">
        <f t="shared" si="186"/>
        <v>0</v>
      </c>
      <c r="AA76" s="6514">
        <f t="shared" si="197"/>
        <v>1541.7919999999999</v>
      </c>
      <c r="AB76" s="4811"/>
      <c r="AC76" s="1671">
        <v>0</v>
      </c>
      <c r="AD76" s="7369">
        <f t="shared" si="187"/>
        <v>0</v>
      </c>
      <c r="AE76" s="1703">
        <f t="shared" si="198"/>
        <v>1541.7919999999999</v>
      </c>
      <c r="AF76" s="4811"/>
      <c r="AG76" s="1671">
        <v>0</v>
      </c>
      <c r="AH76" s="7369">
        <f t="shared" si="188"/>
        <v>0</v>
      </c>
      <c r="AI76" s="1703">
        <f t="shared" si="199"/>
        <v>1541.7919999999999</v>
      </c>
      <c r="AJ76" s="4811"/>
      <c r="AK76" s="1671">
        <v>13.891</v>
      </c>
      <c r="AL76" s="7767">
        <f t="shared" si="189"/>
        <v>0</v>
      </c>
      <c r="AM76" s="1998">
        <f t="shared" si="178"/>
        <v>13.891</v>
      </c>
      <c r="AN76" s="7369">
        <f t="shared" si="190"/>
        <v>0</v>
      </c>
      <c r="AO76" s="1703">
        <f t="shared" si="200"/>
        <v>1555.683</v>
      </c>
      <c r="AP76" s="4811"/>
      <c r="AQ76" s="1671">
        <v>0</v>
      </c>
      <c r="AR76" s="7369">
        <f t="shared" si="191"/>
        <v>0</v>
      </c>
      <c r="AS76" s="1703">
        <f t="shared" si="201"/>
        <v>1555.683</v>
      </c>
      <c r="AT76" s="4811"/>
      <c r="AU76" s="1671">
        <v>0</v>
      </c>
      <c r="AV76" s="7369">
        <f t="shared" si="192"/>
        <v>0</v>
      </c>
      <c r="AW76" s="1703">
        <f t="shared" si="202"/>
        <v>1555.683</v>
      </c>
      <c r="AX76" s="4811"/>
      <c r="AY76" s="1671">
        <v>0</v>
      </c>
      <c r="AZ76" s="8344">
        <f t="shared" si="193"/>
        <v>0</v>
      </c>
      <c r="BA76" s="1998">
        <f t="shared" si="179"/>
        <v>0</v>
      </c>
      <c r="BB76" s="2021">
        <f t="shared" si="194"/>
        <v>0</v>
      </c>
      <c r="BC76" s="2021">
        <f t="shared" si="180"/>
        <v>13.891</v>
      </c>
      <c r="BD76" s="6514">
        <f t="shared" si="195"/>
        <v>0</v>
      </c>
      <c r="BE76" s="6514">
        <f t="shared" si="203"/>
        <v>1555.683</v>
      </c>
    </row>
    <row r="77" spans="1:57" ht="16" thickBot="1" x14ac:dyDescent="0.25">
      <c r="A77" s="2265"/>
      <c r="B77" s="2395" t="s">
        <v>1240</v>
      </c>
      <c r="C77" s="1548" t="s">
        <v>834</v>
      </c>
      <c r="D77" s="4811"/>
      <c r="E77" s="2692">
        <v>152.06100000000001</v>
      </c>
      <c r="F77" s="4811"/>
      <c r="G77" s="1671">
        <v>157.29400000000001</v>
      </c>
      <c r="H77" s="4689">
        <f t="shared" si="181"/>
        <v>0</v>
      </c>
      <c r="I77" s="1703">
        <f t="shared" si="181"/>
        <v>309.35500000000002</v>
      </c>
      <c r="J77" s="4811"/>
      <c r="K77" s="1671">
        <v>147.78</v>
      </c>
      <c r="L77" s="4691">
        <f t="shared" si="182"/>
        <v>0</v>
      </c>
      <c r="M77" s="2021">
        <f t="shared" si="182"/>
        <v>457.13499999999999</v>
      </c>
      <c r="N77" s="4811"/>
      <c r="O77" s="1671">
        <v>156.977</v>
      </c>
      <c r="P77" s="2333">
        <f t="shared" si="183"/>
        <v>0</v>
      </c>
      <c r="Q77" s="1703">
        <f t="shared" si="183"/>
        <v>614.11199999999997</v>
      </c>
      <c r="R77" s="4811"/>
      <c r="S77" s="1671">
        <v>157.29400000000001</v>
      </c>
      <c r="T77" s="6445">
        <f t="shared" si="184"/>
        <v>0</v>
      </c>
      <c r="U77" s="1703">
        <f t="shared" si="196"/>
        <v>771.40599999999995</v>
      </c>
      <c r="V77" s="4811"/>
      <c r="W77" s="1671">
        <v>152.22</v>
      </c>
      <c r="X77" s="7011">
        <f t="shared" si="185"/>
        <v>0</v>
      </c>
      <c r="Y77" s="1998">
        <f t="shared" si="177"/>
        <v>466.49099999999999</v>
      </c>
      <c r="Z77" s="6514">
        <f t="shared" si="186"/>
        <v>0</v>
      </c>
      <c r="AA77" s="6514">
        <f t="shared" si="197"/>
        <v>923.62599999999998</v>
      </c>
      <c r="AB77" s="4811"/>
      <c r="AC77" s="1671">
        <v>157.29400000000001</v>
      </c>
      <c r="AD77" s="7369">
        <f t="shared" si="187"/>
        <v>0</v>
      </c>
      <c r="AE77" s="1703">
        <f t="shared" si="198"/>
        <v>1080.92</v>
      </c>
      <c r="AF77" s="4811"/>
      <c r="AG77" s="1671">
        <v>152.22</v>
      </c>
      <c r="AH77" s="7369">
        <f t="shared" si="188"/>
        <v>0</v>
      </c>
      <c r="AI77" s="1703">
        <f t="shared" si="199"/>
        <v>1233.1400000000001</v>
      </c>
      <c r="AJ77" s="4811"/>
      <c r="AK77" s="1671">
        <v>157.29400000000001</v>
      </c>
      <c r="AL77" s="7767">
        <f t="shared" si="189"/>
        <v>0</v>
      </c>
      <c r="AM77" s="1998">
        <f t="shared" si="178"/>
        <v>466.80799999999999</v>
      </c>
      <c r="AN77" s="7369">
        <f t="shared" si="190"/>
        <v>0</v>
      </c>
      <c r="AO77" s="1703">
        <f t="shared" si="200"/>
        <v>1390.4340000000002</v>
      </c>
      <c r="AP77" s="4811"/>
      <c r="AQ77" s="1671">
        <v>157.29400000000001</v>
      </c>
      <c r="AR77" s="7369">
        <f t="shared" si="191"/>
        <v>0</v>
      </c>
      <c r="AS77" s="1703">
        <f t="shared" si="201"/>
        <v>1547.7280000000003</v>
      </c>
      <c r="AT77" s="4811"/>
      <c r="AU77" s="1671">
        <v>142.072</v>
      </c>
      <c r="AV77" s="7369">
        <f t="shared" si="192"/>
        <v>0</v>
      </c>
      <c r="AW77" s="1703">
        <f t="shared" si="202"/>
        <v>1689.8000000000002</v>
      </c>
      <c r="AX77" s="4811"/>
      <c r="AY77" s="1671">
        <v>157.29400000000001</v>
      </c>
      <c r="AZ77" s="8344">
        <f t="shared" si="193"/>
        <v>0</v>
      </c>
      <c r="BA77" s="1998">
        <f t="shared" si="179"/>
        <v>456.65999999999997</v>
      </c>
      <c r="BB77" s="2021">
        <f t="shared" si="194"/>
        <v>0</v>
      </c>
      <c r="BC77" s="2021">
        <f t="shared" si="180"/>
        <v>923.46799999999996</v>
      </c>
      <c r="BD77" s="6514">
        <f t="shared" si="195"/>
        <v>0</v>
      </c>
      <c r="BE77" s="6514">
        <f t="shared" si="203"/>
        <v>1847.0940000000003</v>
      </c>
    </row>
    <row r="78" spans="1:57" ht="17" thickBot="1" x14ac:dyDescent="0.25">
      <c r="A78" s="2265"/>
      <c r="B78" s="1565" t="s">
        <v>197</v>
      </c>
      <c r="C78" s="1562" t="s">
        <v>834</v>
      </c>
      <c r="D78" s="3288">
        <f t="shared" ref="D78" si="204">SUM(D69:D77)</f>
        <v>0</v>
      </c>
      <c r="E78" s="2700">
        <f t="shared" ref="E78:I78" si="205">SUM(E69:E77)</f>
        <v>4767.1149999999998</v>
      </c>
      <c r="F78" s="3222">
        <f t="shared" si="205"/>
        <v>0</v>
      </c>
      <c r="G78" s="1684">
        <f t="shared" si="205"/>
        <v>4928.0060000000003</v>
      </c>
      <c r="H78" s="2784">
        <f t="shared" si="205"/>
        <v>0</v>
      </c>
      <c r="I78" s="1715">
        <f t="shared" si="205"/>
        <v>9695.1209999999992</v>
      </c>
      <c r="J78" s="3222">
        <f t="shared" ref="J78:Q78" si="206">SUM(J69:J77)</f>
        <v>0</v>
      </c>
      <c r="K78" s="1684">
        <f t="shared" si="206"/>
        <v>2559.2080000000005</v>
      </c>
      <c r="L78" s="2951">
        <f t="shared" si="206"/>
        <v>0</v>
      </c>
      <c r="M78" s="1999">
        <f t="shared" si="206"/>
        <v>12254.329</v>
      </c>
      <c r="N78" s="3222">
        <f t="shared" si="206"/>
        <v>0</v>
      </c>
      <c r="O78" s="1684">
        <f t="shared" si="206"/>
        <v>3150.239</v>
      </c>
      <c r="P78" s="1714">
        <f t="shared" si="206"/>
        <v>0</v>
      </c>
      <c r="Q78" s="1715">
        <f t="shared" si="206"/>
        <v>15404.567999999997</v>
      </c>
      <c r="R78" s="3222">
        <f t="shared" ref="R78:U78" si="207">SUM(R69:R77)</f>
        <v>0</v>
      </c>
      <c r="S78" s="1684">
        <f t="shared" si="207"/>
        <v>4921.8419999999996</v>
      </c>
      <c r="T78" s="1714">
        <f t="shared" si="207"/>
        <v>0</v>
      </c>
      <c r="U78" s="1715">
        <f t="shared" si="207"/>
        <v>20326.41</v>
      </c>
      <c r="V78" s="3222">
        <f t="shared" ref="V78:AI78" si="208">SUM(V69:V77)</f>
        <v>0</v>
      </c>
      <c r="W78" s="1684">
        <f t="shared" si="208"/>
        <v>4800.5190000000011</v>
      </c>
      <c r="X78" s="2951">
        <f t="shared" si="208"/>
        <v>0</v>
      </c>
      <c r="Y78" s="1999">
        <f t="shared" si="208"/>
        <v>12872.6</v>
      </c>
      <c r="Z78" s="6512">
        <f t="shared" si="208"/>
        <v>0</v>
      </c>
      <c r="AA78" s="6512">
        <f t="shared" si="208"/>
        <v>25126.929000000004</v>
      </c>
      <c r="AB78" s="3222">
        <f t="shared" si="208"/>
        <v>0</v>
      </c>
      <c r="AC78" s="1684">
        <f t="shared" si="208"/>
        <v>4925.6149999999998</v>
      </c>
      <c r="AD78" s="1714">
        <f t="shared" si="208"/>
        <v>0</v>
      </c>
      <c r="AE78" s="1715">
        <f t="shared" si="208"/>
        <v>30052.544000000002</v>
      </c>
      <c r="AF78" s="3222">
        <f t="shared" si="208"/>
        <v>0</v>
      </c>
      <c r="AG78" s="1684">
        <f t="shared" si="208"/>
        <v>4766.2490000000007</v>
      </c>
      <c r="AH78" s="1714">
        <f t="shared" si="208"/>
        <v>0</v>
      </c>
      <c r="AI78" s="1715">
        <f t="shared" si="208"/>
        <v>34818.793000000005</v>
      </c>
      <c r="AJ78" s="3222">
        <f t="shared" ref="AJ78:AO78" si="209">SUM(AJ69:AJ77)</f>
        <v>0</v>
      </c>
      <c r="AK78" s="1684">
        <f t="shared" si="209"/>
        <v>4919.6729999999998</v>
      </c>
      <c r="AL78" s="2951">
        <f t="shared" si="209"/>
        <v>0</v>
      </c>
      <c r="AM78" s="1999">
        <f t="shared" si="209"/>
        <v>14611.537</v>
      </c>
      <c r="AN78" s="1714">
        <f t="shared" si="209"/>
        <v>0</v>
      </c>
      <c r="AO78" s="1715">
        <f t="shared" si="209"/>
        <v>39738.466</v>
      </c>
      <c r="AP78" s="3222">
        <f t="shared" ref="AP78:AS78" si="210">SUM(AP69:AP77)</f>
        <v>0</v>
      </c>
      <c r="AQ78" s="1684">
        <f t="shared" si="210"/>
        <v>4926.7150000000001</v>
      </c>
      <c r="AR78" s="1714">
        <f t="shared" si="210"/>
        <v>0</v>
      </c>
      <c r="AS78" s="1715">
        <f t="shared" si="210"/>
        <v>44665.180999999997</v>
      </c>
      <c r="AT78" s="3222">
        <f t="shared" ref="AT78:AW78" si="211">SUM(AT69:AT77)</f>
        <v>0</v>
      </c>
      <c r="AU78" s="1684">
        <f t="shared" si="211"/>
        <v>4463.8040000000001</v>
      </c>
      <c r="AV78" s="1714">
        <f t="shared" si="211"/>
        <v>0</v>
      </c>
      <c r="AW78" s="1715">
        <f t="shared" si="211"/>
        <v>49128.985000000001</v>
      </c>
      <c r="AX78" s="3222">
        <f t="shared" ref="AX78:BE78" si="212">SUM(AX69:AX77)</f>
        <v>0</v>
      </c>
      <c r="AY78" s="1684">
        <f t="shared" si="212"/>
        <v>4918.72</v>
      </c>
      <c r="AZ78" s="2951">
        <f t="shared" si="212"/>
        <v>0</v>
      </c>
      <c r="BA78" s="1999">
        <f t="shared" si="212"/>
        <v>14309.239</v>
      </c>
      <c r="BB78" s="1999">
        <f t="shared" ref="BB78:BC78" si="213">SUM(BB69:BB77)</f>
        <v>0</v>
      </c>
      <c r="BC78" s="1999">
        <f t="shared" si="213"/>
        <v>28920.776000000002</v>
      </c>
      <c r="BD78" s="6512">
        <f t="shared" si="212"/>
        <v>0</v>
      </c>
      <c r="BE78" s="6512">
        <f t="shared" si="212"/>
        <v>54047.704999999994</v>
      </c>
    </row>
    <row r="79" spans="1:57" ht="20" x14ac:dyDescent="0.2">
      <c r="A79" s="2265"/>
      <c r="B79" s="1628" t="s">
        <v>832</v>
      </c>
      <c r="C79" s="1629"/>
      <c r="D79" s="6359"/>
      <c r="E79" s="1629"/>
      <c r="F79" s="6359"/>
      <c r="G79" s="1629"/>
      <c r="H79" s="1629"/>
      <c r="I79" s="1629"/>
      <c r="J79" s="6359"/>
      <c r="K79" s="1629"/>
      <c r="L79" s="1629"/>
      <c r="M79" s="1629"/>
      <c r="N79" s="6359"/>
      <c r="O79" s="1629"/>
      <c r="P79" s="1629"/>
      <c r="Q79" s="1629"/>
      <c r="R79" s="6359"/>
      <c r="S79" s="1629"/>
      <c r="T79" s="1629"/>
      <c r="U79" s="1629"/>
      <c r="V79" s="6359"/>
      <c r="W79" s="1629"/>
      <c r="X79" s="1629"/>
      <c r="Y79" s="1629"/>
      <c r="Z79" s="1629"/>
      <c r="AA79" s="1629"/>
      <c r="AB79" s="6359"/>
      <c r="AC79" s="1629"/>
      <c r="AD79" s="1629"/>
      <c r="AE79" s="1629"/>
      <c r="AF79" s="6359"/>
      <c r="AG79" s="1629"/>
      <c r="AH79" s="1629"/>
      <c r="AI79" s="1629"/>
      <c r="AJ79" s="6359"/>
      <c r="AK79" s="1629"/>
      <c r="AL79" s="1629"/>
      <c r="AM79" s="1629"/>
      <c r="AN79" s="1629"/>
      <c r="AO79" s="1629"/>
      <c r="AP79" s="6359"/>
      <c r="AQ79" s="1629"/>
      <c r="AR79" s="1629"/>
      <c r="AS79" s="1629"/>
      <c r="AT79" s="6359"/>
      <c r="AU79" s="1629"/>
      <c r="AV79" s="1629"/>
      <c r="AW79" s="1629"/>
      <c r="AX79" s="6359"/>
      <c r="AY79" s="1629"/>
      <c r="AZ79" s="1629"/>
      <c r="BA79" s="1629"/>
      <c r="BB79" s="1629"/>
      <c r="BC79" s="1629"/>
      <c r="BD79" s="1629"/>
      <c r="BE79" s="1629"/>
    </row>
    <row r="80" spans="1:57" x14ac:dyDescent="0.2">
      <c r="A80" s="2265"/>
      <c r="B80" s="1618" t="s">
        <v>426</v>
      </c>
      <c r="C80" s="1545" t="s">
        <v>831</v>
      </c>
      <c r="D80" s="3227"/>
      <c r="E80" s="2709">
        <v>0.30062710476009713</v>
      </c>
      <c r="F80" s="3228">
        <v>0.33880343047820061</v>
      </c>
      <c r="G80" s="1722">
        <v>0.33880448318185419</v>
      </c>
      <c r="H80" s="2992">
        <f>+((D80*D$94)+(F80*F$94))/H$94</f>
        <v>0.17262207979481317</v>
      </c>
      <c r="I80" s="6008">
        <f>+((E80*E$94)+(G80*G$94))/I$94</f>
        <v>0.3200786742290827</v>
      </c>
      <c r="J80" s="3228"/>
      <c r="K80" s="1722">
        <v>0.31088264769530377</v>
      </c>
      <c r="L80" s="3059">
        <f>+((H80*H$94)+(J80*J$94))/L$94</f>
        <v>0.10692791104876552</v>
      </c>
      <c r="M80" s="6009">
        <f>+((I80*I$94)+(K80*K$94))/M$94</f>
        <v>0.31678085273882556</v>
      </c>
      <c r="N80" s="3228"/>
      <c r="O80" s="1722">
        <v>0.2353484800848557</v>
      </c>
      <c r="P80" s="2992">
        <f>+((L80*L$94)+(N80*N$94))/P$94</f>
        <v>7.0351099235629821E-2</v>
      </c>
      <c r="Q80" s="6008">
        <f>+((M80*M$94)+(O80*O$94))/Q$94</f>
        <v>0.29386654462030481</v>
      </c>
      <c r="R80" s="3228"/>
      <c r="S80" s="1722">
        <v>0.20675345086185254</v>
      </c>
      <c r="T80" s="2992">
        <f>+((P80*P$94)+(R80*R$94))/T$94</f>
        <v>5.2497807461132001E-2</v>
      </c>
      <c r="U80" s="6008">
        <f>+((Q80*Q$94)+(S80*S$94))/U$94</f>
        <v>0.27372387098748657</v>
      </c>
      <c r="V80" s="3228"/>
      <c r="W80" s="1722">
        <v>0.29123566831242564</v>
      </c>
      <c r="X80" s="3059">
        <f>+((T80*T$94)+(V80*V$94))/X$94</f>
        <v>6.9124303662814801E-2</v>
      </c>
      <c r="Y80" s="6009">
        <f>+((O80*O$94)+(S80*S$94)+(W80*W$94))/Y$94</f>
        <v>0.23475529949862167</v>
      </c>
      <c r="Z80" s="6637">
        <f>+((T80*T$94)+(V80*V$94))/Z$94</f>
        <v>4.1983666070172614E-2</v>
      </c>
      <c r="AA80" s="6637">
        <f>+((U80*U$94)+(W80*W$94))/AA$94</f>
        <v>0.27549280994444125</v>
      </c>
      <c r="AB80" s="3228"/>
      <c r="AC80" s="1722">
        <v>0.30881311103810638</v>
      </c>
      <c r="AD80" s="2992">
        <f>+((Z80*Z$94)+(AB80*AB$94))/AD$94</f>
        <v>3.7983010458163449E-2</v>
      </c>
      <c r="AE80" s="6008">
        <f>+((AA80*AA$94)+(AC80*AC$94))/AE$94</f>
        <v>0.27904594947148298</v>
      </c>
      <c r="AF80" s="3228"/>
      <c r="AG80" s="1722">
        <v>0.25211342626832389</v>
      </c>
      <c r="AH80" s="2992">
        <f>+((AD80*AD$94)+(AF80*AF$94))/AH$94</f>
        <v>3.2181677268525645E-2</v>
      </c>
      <c r="AI80" s="6008">
        <f>+((AE80*AE$94)+(AG80*AG$94))/AI$94</f>
        <v>0.27551812481049126</v>
      </c>
      <c r="AJ80" s="3228"/>
      <c r="AK80" s="1722">
        <v>0.24094776226991771</v>
      </c>
      <c r="AL80" s="3059">
        <f>+((AH80*AH$94)+(AJ80*AJ$94))/AL$94</f>
        <v>8.1735795084450835E-2</v>
      </c>
      <c r="AM80" s="6009">
        <f>+((AC80*AC$94)+(AG80*AG$94)+(AK80*AK$94))/AM$94</f>
        <v>0.26127884775931293</v>
      </c>
      <c r="AN80" s="2992">
        <f>+((AH80*AH$94)+(AJ80*AJ$94))/AN$94</f>
        <v>2.7736689885166064E-2</v>
      </c>
      <c r="AO80" s="6008">
        <f>+((AI80*AI$94)+(AK80*AK$94))/AO$94</f>
        <v>0.27081137590984983</v>
      </c>
      <c r="AP80" s="3228"/>
      <c r="AQ80" s="1722">
        <v>0.21602517524774284</v>
      </c>
      <c r="AR80" s="2992">
        <f>+((AN80*AN$94)+(AP80*AP$94))/AR$94</f>
        <v>2.4418089998088928E-2</v>
      </c>
      <c r="AS80" s="6008">
        <f>+((AO80*AO$94)+(AQ80*AQ$94))/AS$94</f>
        <v>0.26312489789448229</v>
      </c>
      <c r="AT80" s="3228"/>
      <c r="AU80" s="1722">
        <v>0.25485308363308129</v>
      </c>
      <c r="AV80" s="2992">
        <f>+((AR80*AR$94)+(AT80*AT$94))/AV$94</f>
        <v>2.1986623209547109E-2</v>
      </c>
      <c r="AW80" s="6008">
        <f>+((AS80*AS$94)+(AU80*AU$94))/AW$94</f>
        <v>0.26216172096600693</v>
      </c>
      <c r="AX80" s="3228"/>
      <c r="AY80" s="1722">
        <v>0.32056038422667915</v>
      </c>
      <c r="AZ80" s="3059">
        <f>+((AV80*AV$94)+(AX80*AX$94))/AZ$94</f>
        <v>6.9294258118648228E-2</v>
      </c>
      <c r="BA80" s="6009">
        <f>+((AQ80*AQ$94)+(AU80*AU$94)+(AY80*AY$94))/BA$94</f>
        <v>0.26599406621851446</v>
      </c>
      <c r="BB80" s="6009">
        <f>+((AX80*AX$94)+(AZ80*AZ$94))/BB$94</f>
        <v>3.7501286412833332E-2</v>
      </c>
      <c r="BC80" s="6009">
        <f>+((AM80*AM$94)+(BA80*BA$94))/BC$94</f>
        <v>0.26411528333777823</v>
      </c>
      <c r="BD80" s="6637">
        <f>+((AV80*AV$94)+(AX80*AX$94))/BD$94</f>
        <v>1.9808044626999245E-2</v>
      </c>
      <c r="BE80" s="6637">
        <v>0.26852390714862762</v>
      </c>
    </row>
    <row r="81" spans="1:57" x14ac:dyDescent="0.2">
      <c r="A81" s="2265"/>
      <c r="B81" s="1618" t="s">
        <v>427</v>
      </c>
      <c r="C81" s="1545" t="s">
        <v>831</v>
      </c>
      <c r="D81" s="3227"/>
      <c r="E81" s="2709">
        <v>3.1749309567190656</v>
      </c>
      <c r="F81" s="3228">
        <v>3.2680609718680436</v>
      </c>
      <c r="G81" s="1722">
        <v>3.25079339383054</v>
      </c>
      <c r="H81" s="2992">
        <f t="shared" ref="H81:H91" si="214">+((D81*D$94)+(F81*F$94))/H$94</f>
        <v>1.6650937715237157</v>
      </c>
      <c r="I81" s="6008">
        <f t="shared" ref="I81:I91" si="215">+((E81*E$94)+(G81*G$94))/I$94</f>
        <v>3.2135832562368196</v>
      </c>
      <c r="J81" s="3228"/>
      <c r="K81" s="1722">
        <v>3.2850855247129411</v>
      </c>
      <c r="L81" s="3059">
        <f t="shared" ref="L81:L91" si="216">+((H81*H$94)+(J81*J$94))/L$94</f>
        <v>1.0314149783212794</v>
      </c>
      <c r="M81" s="6009">
        <f t="shared" ref="M81:M87" si="217">+((I81*I$94)+(K81*K$94))/M$94</f>
        <v>3.239224952323335</v>
      </c>
      <c r="N81" s="3228"/>
      <c r="O81" s="1722">
        <v>3.5692898205362567</v>
      </c>
      <c r="P81" s="2992">
        <f t="shared" ref="P81:P91" si="218">+((L81*L$94)+(N81*N$94))/P$94</f>
        <v>0.67859903725139714</v>
      </c>
      <c r="Q81" s="6008">
        <f t="shared" ref="Q81:Q87" si="219">+((M81*M$94)+(O81*O$94))/Q$94</f>
        <v>3.3321021195092664</v>
      </c>
      <c r="R81" s="3228"/>
      <c r="S81" s="1722">
        <v>3.3691626060409585</v>
      </c>
      <c r="T81" s="2992">
        <f t="shared" ref="T81:T91" si="220">+((P81*P$94)+(R81*R$94))/T$94</f>
        <v>0.50638813022115325</v>
      </c>
      <c r="U81" s="6008">
        <f t="shared" ref="U81" si="221">+((Q81*Q$94)+(S81*S$94))/U$94</f>
        <v>3.3406714086100666</v>
      </c>
      <c r="V81" s="3228"/>
      <c r="W81" s="1722">
        <v>3.477547868499288</v>
      </c>
      <c r="X81" s="3059">
        <f t="shared" ref="X81:X91" si="222">+((T81*T$94)+(V81*V$94))/X$94</f>
        <v>0.66676550083673203</v>
      </c>
      <c r="Y81" s="6009">
        <f t="shared" ref="Y81:Y91" si="223">+((O81*O$94)+(S81*S$94)+(W81*W$94))/Y$94</f>
        <v>3.4682337354176567</v>
      </c>
      <c r="Z81" s="6637">
        <f t="shared" ref="Z81:Z91" si="224">+((T81*T$94)+(V81*V$94))/Z$94</f>
        <v>0.40496986806247764</v>
      </c>
      <c r="AA81" s="6637">
        <f t="shared" ref="AA81" si="225">+((U81*U$94)+(W81*W$94))/AA$94</f>
        <v>3.3544978650094492</v>
      </c>
      <c r="AB81" s="3228"/>
      <c r="AC81" s="1722">
        <v>3.4746304969772077</v>
      </c>
      <c r="AD81" s="2992">
        <f t="shared" ref="AD81:AD91" si="226">+((Z81*Z$94)+(AB81*AB$94))/AD$94</f>
        <v>0.36637997997002741</v>
      </c>
      <c r="AE81" s="6008">
        <f t="shared" ref="AE81" si="227">+((AA81*AA$94)+(AC81*AC$94))/AE$94</f>
        <v>3.3673083135684911</v>
      </c>
      <c r="AF81" s="3228"/>
      <c r="AG81" s="1722">
        <v>3.2485603118102917</v>
      </c>
      <c r="AH81" s="2992">
        <f t="shared" ref="AH81:AH91" si="228">+((AD81*AD$94)+(AF81*AF$94))/AH$94</f>
        <v>0.31042095217890253</v>
      </c>
      <c r="AI81" s="6008">
        <f t="shared" ref="AI81" si="229">+((AE81*AE$94)+(AG81*AG$94))/AI$94</f>
        <v>3.3517538062582766</v>
      </c>
      <c r="AJ81" s="3228"/>
      <c r="AK81" s="1722">
        <v>3.3505442433809116</v>
      </c>
      <c r="AL81" s="3059">
        <f t="shared" ref="AL81:AL91" si="230">+((AH81*AH$94)+(AJ81*AJ$94))/AL$94</f>
        <v>0.78841457284856098</v>
      </c>
      <c r="AM81" s="6009">
        <f t="shared" ref="AM81:AM91" si="231">+((AC81*AC$94)+(AG81*AG$94)+(AK81*AK$94))/AM$94</f>
        <v>3.3456662276154749</v>
      </c>
      <c r="AN81" s="2992">
        <f t="shared" ref="AN81:AN91" si="232">+((AH81*AH$94)+(AJ81*AJ$94))/AN$94</f>
        <v>0.26754508823767847</v>
      </c>
      <c r="AO81" s="6008">
        <f t="shared" ref="AO81" si="233">+((AI81*AI$94)+(AK81*AK$94))/AO$94</f>
        <v>3.3515891244810283</v>
      </c>
      <c r="AP81" s="3228"/>
      <c r="AQ81" s="1722">
        <v>3.1940405339028666</v>
      </c>
      <c r="AR81" s="2992">
        <f t="shared" ref="AR81:AR91" si="234">+((AN81*AN$94)+(AP81*AP$94))/AR$94</f>
        <v>0.23553423534609211</v>
      </c>
      <c r="AS81" s="6008">
        <f t="shared" ref="AS81" si="235">+((AO81*AO$94)+(AQ81*AQ$94))/AS$94</f>
        <v>3.3294851318114147</v>
      </c>
      <c r="AT81" s="3228"/>
      <c r="AU81" s="1722">
        <v>3.1200312305648259</v>
      </c>
      <c r="AV81" s="2992">
        <f t="shared" ref="AV81:AV91" si="236">+((AR81*AR$94)+(AT81*AT$94))/AV$94</f>
        <v>0.21208057165440136</v>
      </c>
      <c r="AW81" s="6008">
        <f t="shared" ref="AW81" si="237">+((AS81*AS$94)+(AU81*AU$94))/AW$94</f>
        <v>3.3050961454434225</v>
      </c>
      <c r="AX81" s="3228"/>
      <c r="AY81" s="1722">
        <v>3.2431311619115304</v>
      </c>
      <c r="AZ81" s="3059">
        <f t="shared" ref="AZ81:AZ91" si="238">+((AV81*AV$94)+(AX81*AX$94))/AZ$94</f>
        <v>0.66840486299820823</v>
      </c>
      <c r="BA81" s="6009">
        <f t="shared" ref="BA81:BA91" si="239">+((AQ81*AQ$94)+(AU81*AU$94)+(AY81*AY$94))/BA$94</f>
        <v>3.1890684950635313</v>
      </c>
      <c r="BB81" s="6009">
        <f t="shared" ref="BB81:BB91" si="240">+((AX81*AX$94)+(AZ81*AZ$94))/BB$94</f>
        <v>0.36173332232098393</v>
      </c>
      <c r="BC81" s="6009">
        <f t="shared" ref="BC81:BC92" si="241">+((AM81*AM$94)+(BA81*BA$94))/BC$94</f>
        <v>3.2514649972884833</v>
      </c>
      <c r="BD81" s="6637">
        <f t="shared" ref="BD81:BD91" si="242">+((AV81*AV$94)+(AX81*AX$94))/BD$94</f>
        <v>0.19106624004116116</v>
      </c>
      <c r="BE81" s="6637">
        <v>3.302757869865657</v>
      </c>
    </row>
    <row r="82" spans="1:57" x14ac:dyDescent="0.2">
      <c r="A82" s="2265"/>
      <c r="B82" s="1618" t="s">
        <v>428</v>
      </c>
      <c r="C82" s="1545" t="s">
        <v>831</v>
      </c>
      <c r="D82" s="3227"/>
      <c r="E82" s="2709">
        <v>0.79084344795480788</v>
      </c>
      <c r="F82" s="3228">
        <v>0.76268392354870873</v>
      </c>
      <c r="G82" s="1722">
        <v>0.76268629330084414</v>
      </c>
      <c r="H82" s="2992">
        <f t="shared" si="214"/>
        <v>0.38859135789511268</v>
      </c>
      <c r="I82" s="6008">
        <f t="shared" si="215"/>
        <v>0.77649723371898671</v>
      </c>
      <c r="J82" s="3228"/>
      <c r="K82" s="1722">
        <v>0.75496129316012828</v>
      </c>
      <c r="L82" s="3059">
        <f t="shared" si="216"/>
        <v>0.24070653186844593</v>
      </c>
      <c r="M82" s="6009">
        <f t="shared" si="217"/>
        <v>0.76877414947961165</v>
      </c>
      <c r="N82" s="3228"/>
      <c r="O82" s="1722">
        <v>0.73888601148673694</v>
      </c>
      <c r="P82" s="2992">
        <f t="shared" si="218"/>
        <v>0.15836809065145235</v>
      </c>
      <c r="Q82" s="6008">
        <f>+((M82*M$94)+(O82*O$94))/Q$94</f>
        <v>0.76036390695889089</v>
      </c>
      <c r="R82" s="3228"/>
      <c r="S82" s="1722">
        <v>0.75161179904324982</v>
      </c>
      <c r="T82" s="2992">
        <f t="shared" si="220"/>
        <v>0.11817835998781907</v>
      </c>
      <c r="U82" s="6008">
        <f>+((Q82*Q$94)+(S82*S$94))/U$94</f>
        <v>0.75834020597735086</v>
      </c>
      <c r="V82" s="3228"/>
      <c r="W82" s="1722">
        <v>0.79961919927976799</v>
      </c>
      <c r="X82" s="3059">
        <f t="shared" si="222"/>
        <v>0.15560643838734714</v>
      </c>
      <c r="Y82" s="6009">
        <f t="shared" si="223"/>
        <v>0.75632931183362673</v>
      </c>
      <c r="Z82" s="6637">
        <f t="shared" si="224"/>
        <v>9.4509867028687897E-2</v>
      </c>
      <c r="AA82" s="6637">
        <f>+((U82*U$94)+(W82*W$94))/AA$94</f>
        <v>0.76250996753874856</v>
      </c>
      <c r="AB82" s="3228"/>
      <c r="AC82" s="1722">
        <v>0.79448691777656388</v>
      </c>
      <c r="AD82" s="2992">
        <f t="shared" si="226"/>
        <v>8.5503949601501067E-2</v>
      </c>
      <c r="AE82" s="6008">
        <f>+((AA82*AA$94)+(AC82*AC$94))/AE$94</f>
        <v>0.76591985766923809</v>
      </c>
      <c r="AF82" s="3228"/>
      <c r="AG82" s="1722">
        <v>0.76423742867612188</v>
      </c>
      <c r="AH82" s="2992">
        <f t="shared" si="228"/>
        <v>7.2444508164791657E-2</v>
      </c>
      <c r="AI82" s="6008">
        <f>+((AE82*AE$94)+(AG82*AG$94))/AI$94</f>
        <v>0.76569948045290714</v>
      </c>
      <c r="AJ82" s="3228"/>
      <c r="AK82" s="1722">
        <v>0.8714568815446424</v>
      </c>
      <c r="AL82" s="3059">
        <f t="shared" si="230"/>
        <v>0.18399629779838733</v>
      </c>
      <c r="AM82" s="6009">
        <f t="shared" si="231"/>
        <v>0.81591248286186269</v>
      </c>
      <c r="AN82" s="2992">
        <f t="shared" si="232"/>
        <v>6.2438350869157895E-2</v>
      </c>
      <c r="AO82" s="6008">
        <f>+((AI82*AI$94)+(AK82*AK$94))/AO$94</f>
        <v>0.78009833238102921</v>
      </c>
      <c r="AP82" s="3228"/>
      <c r="AQ82" s="1722">
        <v>0.81314536202426491</v>
      </c>
      <c r="AR82" s="2992">
        <f t="shared" si="234"/>
        <v>5.4967816173001255E-2</v>
      </c>
      <c r="AS82" s="6008">
        <f>+((AO82*AO$94)+(AQ82*AQ$94))/AS$94</f>
        <v>0.78473481499446263</v>
      </c>
      <c r="AT82" s="3228"/>
      <c r="AU82" s="1722">
        <v>0.79628175618437658</v>
      </c>
      <c r="AV82" s="2992">
        <f t="shared" si="236"/>
        <v>4.9494316014971514E-2</v>
      </c>
      <c r="AW82" s="6008">
        <f>+((AS82*AS$94)+(AU82*AU$94))/AW$94</f>
        <v>0.78607935042491639</v>
      </c>
      <c r="AX82" s="3228"/>
      <c r="AY82" s="1722">
        <v>0.69229791887760628</v>
      </c>
      <c r="AZ82" s="3059">
        <f t="shared" si="238"/>
        <v>0.15598902462921804</v>
      </c>
      <c r="BA82" s="6009">
        <f t="shared" si="239"/>
        <v>0.76401839438921382</v>
      </c>
      <c r="BB82" s="6009">
        <f t="shared" si="240"/>
        <v>8.4419535596478884E-2</v>
      </c>
      <c r="BC82" s="6009">
        <f t="shared" si="241"/>
        <v>0.78469563890660465</v>
      </c>
      <c r="BD82" s="6637">
        <f t="shared" si="242"/>
        <v>4.4590095125733205E-2</v>
      </c>
      <c r="BE82" s="6637">
        <v>0.77936481413662284</v>
      </c>
    </row>
    <row r="83" spans="1:57" x14ac:dyDescent="0.2">
      <c r="A83" s="2265"/>
      <c r="B83" s="1618" t="s">
        <v>592</v>
      </c>
      <c r="C83" s="1545" t="s">
        <v>831</v>
      </c>
      <c r="D83" s="3227"/>
      <c r="E83" s="2709">
        <v>0.56769302657675258</v>
      </c>
      <c r="F83" s="3228">
        <v>0.57086427295314501</v>
      </c>
      <c r="G83" s="1722">
        <v>0.57086427295314501</v>
      </c>
      <c r="H83" s="2992">
        <f t="shared" si="214"/>
        <v>0.29085826533290171</v>
      </c>
      <c r="I83" s="6008">
        <f t="shared" si="215"/>
        <v>0.56930879281696445</v>
      </c>
      <c r="J83" s="3228"/>
      <c r="K83" s="1722">
        <v>0.49027346794830157</v>
      </c>
      <c r="L83" s="3059">
        <f t="shared" si="216"/>
        <v>0.18016737349174988</v>
      </c>
      <c r="M83" s="6009">
        <f t="shared" si="217"/>
        <v>0.54096563918599905</v>
      </c>
      <c r="N83" s="3228"/>
      <c r="O83" s="1722">
        <v>0.49268406377950569</v>
      </c>
      <c r="P83" s="2992">
        <f t="shared" si="218"/>
        <v>0.11853755158239586</v>
      </c>
      <c r="Q83" s="6008">
        <f t="shared" si="219"/>
        <v>0.52737965539042508</v>
      </c>
      <c r="R83" s="3228"/>
      <c r="S83" s="1722">
        <v>0.51251718392329071</v>
      </c>
      <c r="T83" s="2992">
        <f t="shared" si="220"/>
        <v>8.8455782887539539E-2</v>
      </c>
      <c r="U83" s="6008">
        <f t="shared" ref="U83:U87" si="243">+((Q83*Q$94)+(S83*S$94))/U$94</f>
        <v>0.52394308920704902</v>
      </c>
      <c r="V83" s="3228"/>
      <c r="W83" s="1722">
        <v>0.72950747470224941</v>
      </c>
      <c r="X83" s="3059">
        <f t="shared" si="222"/>
        <v>0.11647047167783674</v>
      </c>
      <c r="Y83" s="6009">
        <f t="shared" si="223"/>
        <v>0.54840045363093315</v>
      </c>
      <c r="Z83" s="6637">
        <f t="shared" si="224"/>
        <v>7.0740060020138426E-2</v>
      </c>
      <c r="AA83" s="6637">
        <f t="shared" ref="AA83:AA87" si="244">+((U83*U$94)+(W83*W$94))/AA$94</f>
        <v>0.54470799659591274</v>
      </c>
      <c r="AB83" s="3228"/>
      <c r="AC83" s="1722">
        <v>0.67275725512429096</v>
      </c>
      <c r="AD83" s="2992">
        <f t="shared" si="226"/>
        <v>6.399918566103871E-2</v>
      </c>
      <c r="AE83" s="6008">
        <f t="shared" ref="AE83:AE87" si="245">+((AA83*AA$94)+(AC83*AC$94))/AE$94</f>
        <v>0.55836264157065651</v>
      </c>
      <c r="AF83" s="3228"/>
      <c r="AG83" s="1722">
        <v>0.56378513785040396</v>
      </c>
      <c r="AH83" s="2992">
        <f t="shared" si="228"/>
        <v>5.4224273261872125E-2</v>
      </c>
      <c r="AI83" s="6008">
        <f t="shared" ref="AI83:AI87" si="246">+((AE83*AE$94)+(AG83*AG$94))/AI$94</f>
        <v>0.55907292095872319</v>
      </c>
      <c r="AJ83" s="3228"/>
      <c r="AK83" s="1722">
        <v>0.52131896437617287</v>
      </c>
      <c r="AL83" s="3059">
        <f t="shared" si="230"/>
        <v>0.13772010858707784</v>
      </c>
      <c r="AM83" s="6009">
        <f t="shared" si="231"/>
        <v>0.57271649952496462</v>
      </c>
      <c r="AN83" s="2992">
        <f t="shared" si="232"/>
        <v>4.6734725451491446E-2</v>
      </c>
      <c r="AO83" s="6008">
        <f t="shared" ref="AO83:AO87" si="247">+((AI83*AI$94)+(AK83*AK$94))/AO$94</f>
        <v>0.55393272627805623</v>
      </c>
      <c r="AP83" s="3228"/>
      <c r="AQ83" s="1722">
        <v>0.49151545604333602</v>
      </c>
      <c r="AR83" s="2992">
        <f t="shared" si="234"/>
        <v>4.1143075717943151E-2</v>
      </c>
      <c r="AS83" s="6008">
        <f t="shared" ref="AS83:AS87" si="248">+((AO83*AO$94)+(AQ83*AQ$94))/AS$94</f>
        <v>0.5451756128144416</v>
      </c>
      <c r="AT83" s="3228"/>
      <c r="AU83" s="1722">
        <v>0.47035433686205658</v>
      </c>
      <c r="AV83" s="2992">
        <f t="shared" si="236"/>
        <v>3.7046194176656777E-2</v>
      </c>
      <c r="AW83" s="6008">
        <f t="shared" ref="AW83:AW85" si="249">+((AS83*AS$94)+(AU83*AU$94))/AW$94</f>
        <v>0.53646336124797311</v>
      </c>
      <c r="AX83" s="3228"/>
      <c r="AY83" s="1722">
        <v>0.41210723908521463</v>
      </c>
      <c r="AZ83" s="3059">
        <f t="shared" si="238"/>
        <v>0.11675683515038941</v>
      </c>
      <c r="BA83" s="6009">
        <f t="shared" si="239"/>
        <v>0.45612675952740644</v>
      </c>
      <c r="BB83" s="6009">
        <f t="shared" si="240"/>
        <v>6.3187508381049903E-2</v>
      </c>
      <c r="BC83" s="6009">
        <f t="shared" si="241"/>
        <v>0.50258204245272708</v>
      </c>
      <c r="BD83" s="6637">
        <f t="shared" si="242"/>
        <v>3.337541470183826E-2</v>
      </c>
      <c r="BE83" s="6637">
        <v>0.52143618109109791</v>
      </c>
    </row>
    <row r="84" spans="1:57" x14ac:dyDescent="0.2">
      <c r="A84" s="2265"/>
      <c r="B84" s="1618" t="s">
        <v>429</v>
      </c>
      <c r="C84" s="1545" t="s">
        <v>831</v>
      </c>
      <c r="D84" s="3227"/>
      <c r="E84" s="2709">
        <v>0</v>
      </c>
      <c r="F84" s="3228">
        <v>0</v>
      </c>
      <c r="G84" s="1722">
        <v>0</v>
      </c>
      <c r="H84" s="2992">
        <f t="shared" si="214"/>
        <v>0</v>
      </c>
      <c r="I84" s="6008">
        <f t="shared" si="215"/>
        <v>0</v>
      </c>
      <c r="J84" s="3228"/>
      <c r="K84" s="1722">
        <v>0</v>
      </c>
      <c r="L84" s="3059">
        <f t="shared" si="216"/>
        <v>0</v>
      </c>
      <c r="M84" s="6009">
        <f t="shared" si="217"/>
        <v>0</v>
      </c>
      <c r="N84" s="3228"/>
      <c r="O84" s="1722">
        <v>0</v>
      </c>
      <c r="P84" s="2992">
        <f t="shared" si="218"/>
        <v>0</v>
      </c>
      <c r="Q84" s="6008">
        <f t="shared" si="219"/>
        <v>0</v>
      </c>
      <c r="R84" s="3228"/>
      <c r="S84" s="1722">
        <v>0</v>
      </c>
      <c r="T84" s="2992">
        <f t="shared" si="220"/>
        <v>0</v>
      </c>
      <c r="U84" s="6008">
        <f t="shared" si="243"/>
        <v>0</v>
      </c>
      <c r="V84" s="3228"/>
      <c r="W84" s="1722">
        <v>0</v>
      </c>
      <c r="X84" s="3059">
        <f t="shared" si="222"/>
        <v>0</v>
      </c>
      <c r="Y84" s="6009">
        <f t="shared" si="223"/>
        <v>0</v>
      </c>
      <c r="Z84" s="6637">
        <f t="shared" si="224"/>
        <v>0</v>
      </c>
      <c r="AA84" s="6637">
        <f t="shared" si="244"/>
        <v>0</v>
      </c>
      <c r="AB84" s="3228"/>
      <c r="AC84" s="1722">
        <v>0.20812851678612654</v>
      </c>
      <c r="AD84" s="2992">
        <f t="shared" si="226"/>
        <v>0</v>
      </c>
      <c r="AE84" s="6008">
        <f t="shared" si="245"/>
        <v>2.2193966903796838E-2</v>
      </c>
      <c r="AF84" s="3228"/>
      <c r="AG84" s="1722">
        <v>0.17696870724613831</v>
      </c>
      <c r="AH84" s="2992">
        <f t="shared" si="228"/>
        <v>0</v>
      </c>
      <c r="AI84" s="6008">
        <f t="shared" si="246"/>
        <v>4.2467527674896755E-2</v>
      </c>
      <c r="AJ84" s="3228"/>
      <c r="AK84" s="1722">
        <v>7.2466151848708624E-2</v>
      </c>
      <c r="AL84" s="3059">
        <f t="shared" si="230"/>
        <v>0</v>
      </c>
      <c r="AM84" s="6009">
        <f t="shared" si="231"/>
        <v>0.14134259290602447</v>
      </c>
      <c r="AN84" s="2992">
        <f t="shared" si="232"/>
        <v>0</v>
      </c>
      <c r="AO84" s="6008">
        <f t="shared" si="247"/>
        <v>4.6551835184982293E-2</v>
      </c>
      <c r="AP84" s="3228"/>
      <c r="AQ84" s="1722">
        <v>9.9655539201344248E-2</v>
      </c>
      <c r="AR84" s="2992">
        <f t="shared" si="234"/>
        <v>0</v>
      </c>
      <c r="AS84" s="6008">
        <f t="shared" si="248"/>
        <v>5.400225971749912E-2</v>
      </c>
      <c r="AT84" s="3228"/>
      <c r="AU84" s="1722">
        <v>0.14191476645617732</v>
      </c>
      <c r="AV84" s="2992">
        <f t="shared" si="236"/>
        <v>0</v>
      </c>
      <c r="AW84" s="6008">
        <f t="shared" si="249"/>
        <v>6.4238865078701898E-2</v>
      </c>
      <c r="AX84" s="3228"/>
      <c r="AY84" s="1722">
        <v>9.4663488622165504E-2</v>
      </c>
      <c r="AZ84" s="3059">
        <f t="shared" si="238"/>
        <v>0</v>
      </c>
      <c r="BA84" s="6009">
        <f t="shared" si="239"/>
        <v>0.11086911494947389</v>
      </c>
      <c r="BB84" s="6009">
        <f t="shared" si="240"/>
        <v>0</v>
      </c>
      <c r="BC84" s="6009">
        <f t="shared" si="241"/>
        <v>0.12301129864608157</v>
      </c>
      <c r="BD84" s="6637">
        <f t="shared" si="242"/>
        <v>0</v>
      </c>
      <c r="BE84" s="6637">
        <v>7.2620286837604159E-2</v>
      </c>
    </row>
    <row r="85" spans="1:57" x14ac:dyDescent="0.2">
      <c r="A85" s="2265"/>
      <c r="B85" s="1618" t="s">
        <v>341</v>
      </c>
      <c r="C85" s="1545" t="s">
        <v>831</v>
      </c>
      <c r="D85" s="3227"/>
      <c r="E85" s="2709">
        <v>9.8180027007122139E-2</v>
      </c>
      <c r="F85" s="3228">
        <v>0.27356646676382462</v>
      </c>
      <c r="G85" s="1722">
        <v>0.2735664665101869</v>
      </c>
      <c r="H85" s="2992">
        <f t="shared" si="214"/>
        <v>0.139383513290396</v>
      </c>
      <c r="I85" s="6008">
        <f t="shared" si="215"/>
        <v>0.18754031451098266</v>
      </c>
      <c r="J85" s="3228"/>
      <c r="K85" s="1722">
        <v>0.16987808866389512</v>
      </c>
      <c r="L85" s="3059">
        <f t="shared" si="216"/>
        <v>8.633882715638394E-2</v>
      </c>
      <c r="M85" s="6009">
        <f t="shared" si="217"/>
        <v>0.18120639760128832</v>
      </c>
      <c r="N85" s="3228"/>
      <c r="O85" s="1722">
        <v>0.10208733875051955</v>
      </c>
      <c r="P85" s="2992">
        <f t="shared" si="218"/>
        <v>5.6804919665890942E-2</v>
      </c>
      <c r="Q85" s="6008">
        <f t="shared" si="219"/>
        <v>0.15894303435314028</v>
      </c>
      <c r="R85" s="3228"/>
      <c r="S85" s="1722">
        <v>0.1590871036368213</v>
      </c>
      <c r="T85" s="2992">
        <f t="shared" si="220"/>
        <v>4.2389298360169615E-2</v>
      </c>
      <c r="U85" s="6008">
        <f t="shared" si="243"/>
        <v>0.1589763466881349</v>
      </c>
      <c r="V85" s="3228"/>
      <c r="W85" s="1722">
        <v>0.29576086082753755</v>
      </c>
      <c r="X85" s="3059">
        <f t="shared" si="222"/>
        <v>5.5814344895668534E-2</v>
      </c>
      <c r="Y85" s="6009">
        <f t="shared" si="223"/>
        <v>0.16449280981519535</v>
      </c>
      <c r="Z85" s="6637">
        <f t="shared" si="224"/>
        <v>3.3899666164532473E-2</v>
      </c>
      <c r="AA85" s="6637">
        <f t="shared" si="244"/>
        <v>0.17279351526766848</v>
      </c>
      <c r="AB85" s="3228"/>
      <c r="AC85" s="1722">
        <v>0.22193023719673241</v>
      </c>
      <c r="AD85" s="2992">
        <f t="shared" si="226"/>
        <v>3.0669341079064865E-2</v>
      </c>
      <c r="AE85" s="6008">
        <f t="shared" si="245"/>
        <v>0.17803325270055162</v>
      </c>
      <c r="AF85" s="3228"/>
      <c r="AG85" s="1722">
        <v>0.18765505993141898</v>
      </c>
      <c r="AH85" s="2992">
        <f t="shared" si="228"/>
        <v>2.5985060813753211E-2</v>
      </c>
      <c r="AI85" s="6008">
        <f t="shared" si="246"/>
        <v>0.17929358945312077</v>
      </c>
      <c r="AJ85" s="3228"/>
      <c r="AK85" s="1722">
        <v>0.19725083416361275</v>
      </c>
      <c r="AL85" s="3059">
        <f t="shared" si="230"/>
        <v>6.5997480125349284E-2</v>
      </c>
      <c r="AM85" s="6009">
        <f t="shared" si="231"/>
        <v>0.19995253951142519</v>
      </c>
      <c r="AN85" s="2992">
        <f t="shared" si="232"/>
        <v>2.2395960515804197E-2</v>
      </c>
      <c r="AO85" s="6008">
        <f t="shared" si="247"/>
        <v>0.18173846522497478</v>
      </c>
      <c r="AP85" s="3228"/>
      <c r="AQ85" s="1722">
        <v>0.14726825217592743</v>
      </c>
      <c r="AR85" s="2992">
        <f t="shared" si="234"/>
        <v>1.9716360594312456E-2</v>
      </c>
      <c r="AS85" s="6008">
        <f t="shared" si="248"/>
        <v>0.17690231065348622</v>
      </c>
      <c r="AT85" s="3228"/>
      <c r="AU85" s="1722">
        <v>0.15120646098466978</v>
      </c>
      <c r="AV85" s="2992">
        <f t="shared" si="236"/>
        <v>1.7753075342282612E-2</v>
      </c>
      <c r="AW85" s="6008">
        <f t="shared" si="249"/>
        <v>0.17391026455858469</v>
      </c>
      <c r="AX85" s="3228"/>
      <c r="AY85" s="1722">
        <v>0.13916993274189218</v>
      </c>
      <c r="AZ85" s="3059">
        <f t="shared" si="238"/>
        <v>5.5951574438850842E-2</v>
      </c>
      <c r="BA85" s="6009">
        <f t="shared" si="239"/>
        <v>0.1455386314038076</v>
      </c>
      <c r="BB85" s="6009">
        <f t="shared" si="240"/>
        <v>3.0280373515040707E-2</v>
      </c>
      <c r="BC85" s="6009">
        <f t="shared" si="241"/>
        <v>0.16721990023813826</v>
      </c>
      <c r="BD85" s="6637">
        <f t="shared" si="242"/>
        <v>1.5993984401102466E-2</v>
      </c>
      <c r="BE85" s="6637">
        <v>0.16971703126414991</v>
      </c>
    </row>
    <row r="86" spans="1:57" x14ac:dyDescent="0.2">
      <c r="A86" s="2265"/>
      <c r="B86" s="1618" t="s">
        <v>430</v>
      </c>
      <c r="C86" s="1545" t="s">
        <v>831</v>
      </c>
      <c r="D86" s="3227"/>
      <c r="E86" s="2709">
        <v>0.14771583945719233</v>
      </c>
      <c r="F86" s="3228">
        <v>0.16136130570118459</v>
      </c>
      <c r="G86" s="1722">
        <v>0.16136130570118457</v>
      </c>
      <c r="H86" s="2992">
        <f t="shared" si="214"/>
        <v>8.2214410135192983E-2</v>
      </c>
      <c r="I86" s="6008">
        <f t="shared" si="215"/>
        <v>0.15466827426425198</v>
      </c>
      <c r="J86" s="3228"/>
      <c r="K86" s="1722">
        <v>0.17366076310590503</v>
      </c>
      <c r="L86" s="3059">
        <f t="shared" si="216"/>
        <v>5.0926365528164541E-2</v>
      </c>
      <c r="M86" s="6009">
        <f t="shared" si="217"/>
        <v>0.16147924176477027</v>
      </c>
      <c r="N86" s="3228"/>
      <c r="O86" s="1722">
        <v>0.1802778985055947</v>
      </c>
      <c r="P86" s="2992">
        <f t="shared" si="218"/>
        <v>3.3505992587360318E-2</v>
      </c>
      <c r="Q86" s="6008">
        <f t="shared" si="219"/>
        <v>0.16676900796873409</v>
      </c>
      <c r="R86" s="3228"/>
      <c r="S86" s="1722">
        <v>0.17307004134725817</v>
      </c>
      <c r="T86" s="2992">
        <f t="shared" si="220"/>
        <v>2.5003037148771431E-2</v>
      </c>
      <c r="U86" s="6008">
        <f t="shared" si="243"/>
        <v>0.16822596068866649</v>
      </c>
      <c r="V86" s="3228"/>
      <c r="W86" s="1722">
        <v>0.29786922358660428</v>
      </c>
      <c r="X86" s="3059">
        <f t="shared" si="222"/>
        <v>3.2921708847439328E-2</v>
      </c>
      <c r="Y86" s="6009">
        <f t="shared" si="223"/>
        <v>0.20089970321641287</v>
      </c>
      <c r="Z86" s="6637">
        <f t="shared" si="224"/>
        <v>1.9995485776645529E-2</v>
      </c>
      <c r="AA86" s="6637">
        <f t="shared" si="244"/>
        <v>0.18132176199286973</v>
      </c>
      <c r="AB86" s="3228"/>
      <c r="AC86" s="1722">
        <v>0.23787871068908814</v>
      </c>
      <c r="AD86" s="2992">
        <f t="shared" si="226"/>
        <v>1.8090100662027847E-2</v>
      </c>
      <c r="AE86" s="6008">
        <f t="shared" si="245"/>
        <v>0.18735276181416513</v>
      </c>
      <c r="AF86" s="3228"/>
      <c r="AG86" s="1722">
        <v>0.19951016297866278</v>
      </c>
      <c r="AH86" s="2992">
        <f t="shared" si="228"/>
        <v>1.532711004836638E-2</v>
      </c>
      <c r="AI86" s="6008">
        <f t="shared" si="246"/>
        <v>0.18894522975035363</v>
      </c>
      <c r="AJ86" s="3228"/>
      <c r="AK86" s="1722">
        <v>0.17154257215435922</v>
      </c>
      <c r="AL86" s="3059">
        <f t="shared" si="230"/>
        <v>3.8928161378814788E-2</v>
      </c>
      <c r="AM86" s="6009">
        <f t="shared" si="231"/>
        <v>0.19727447282774466</v>
      </c>
      <c r="AN86" s="2992">
        <f t="shared" si="232"/>
        <v>1.3210103833311709E-2</v>
      </c>
      <c r="AO86" s="6008">
        <f t="shared" si="247"/>
        <v>0.18657586091853848</v>
      </c>
      <c r="AP86" s="3228"/>
      <c r="AQ86" s="1722">
        <v>0.13770755252045228</v>
      </c>
      <c r="AR86" s="2992">
        <f t="shared" si="234"/>
        <v>1.1629560182609137E-2</v>
      </c>
      <c r="AS86" s="6008">
        <f>+((AO86*AO$94)+(AQ86*AQ$94))/AS$94</f>
        <v>0.17971966038609505</v>
      </c>
      <c r="AT86" s="3228"/>
      <c r="AU86" s="1722">
        <v>0.13940599198026069</v>
      </c>
      <c r="AV86" s="2992">
        <f t="shared" si="236"/>
        <v>1.0471529830866822E-2</v>
      </c>
      <c r="AW86" s="6008">
        <f>+((AS86*AS$94)+(AU86*AU$94))/AW$94</f>
        <v>0.17502550332651304</v>
      </c>
      <c r="AX86" s="3228"/>
      <c r="AY86" s="1722">
        <v>0.13937453439067782</v>
      </c>
      <c r="AZ86" s="3059">
        <f t="shared" si="238"/>
        <v>3.3002652753067165E-2</v>
      </c>
      <c r="BA86" s="6009">
        <f t="shared" si="239"/>
        <v>0.13883711599057466</v>
      </c>
      <c r="BB86" s="6009">
        <f t="shared" si="240"/>
        <v>1.7860670809938067E-2</v>
      </c>
      <c r="BC86" s="6009">
        <f t="shared" si="241"/>
        <v>0.16212153145745462</v>
      </c>
      <c r="BD86" s="6637">
        <f t="shared" si="242"/>
        <v>9.4339420940591258E-3</v>
      </c>
      <c r="BE86" s="6637">
        <v>0.17073697319393724</v>
      </c>
    </row>
    <row r="87" spans="1:57" x14ac:dyDescent="0.2">
      <c r="A87" s="2265"/>
      <c r="B87" s="1618" t="s">
        <v>431</v>
      </c>
      <c r="C87" s="1545" t="s">
        <v>831</v>
      </c>
      <c r="D87" s="3227"/>
      <c r="E87" s="2709">
        <v>0.46970054536857397</v>
      </c>
      <c r="F87" s="3228">
        <v>0.35729869491587585</v>
      </c>
      <c r="G87" s="1722">
        <v>0.35729869491587585</v>
      </c>
      <c r="H87" s="2992">
        <f t="shared" si="214"/>
        <v>0.18204551157376611</v>
      </c>
      <c r="I87" s="6008">
        <f t="shared" si="215"/>
        <v>0.41243122796365839</v>
      </c>
      <c r="J87" s="3228"/>
      <c r="K87" s="1722">
        <v>0.37905063297501318</v>
      </c>
      <c r="L87" s="3059">
        <f t="shared" si="216"/>
        <v>0.11276510103182971</v>
      </c>
      <c r="M87" s="6009">
        <f t="shared" si="217"/>
        <v>0.40046048787208022</v>
      </c>
      <c r="N87" s="3228"/>
      <c r="O87" s="1722">
        <v>0.45976275432876629</v>
      </c>
      <c r="P87" s="2992">
        <f t="shared" si="218"/>
        <v>7.4191562663073862E-2</v>
      </c>
      <c r="Q87" s="6008">
        <f t="shared" si="219"/>
        <v>0.41714759106492671</v>
      </c>
      <c r="R87" s="3228"/>
      <c r="S87" s="1722">
        <v>0.43167027645540107</v>
      </c>
      <c r="T87" s="2992">
        <f t="shared" si="220"/>
        <v>5.536366047218725E-2</v>
      </c>
      <c r="U87" s="6008">
        <f t="shared" si="243"/>
        <v>0.42050559041349234</v>
      </c>
      <c r="V87" s="3228"/>
      <c r="W87" s="1722">
        <v>0.67465107509824018</v>
      </c>
      <c r="X87" s="3059">
        <f t="shared" si="222"/>
        <v>7.2897796373645518E-2</v>
      </c>
      <c r="Y87" s="6009">
        <f t="shared" si="223"/>
        <v>0.49128566961998599</v>
      </c>
      <c r="Z87" s="6637">
        <f t="shared" si="224"/>
        <v>4.427555256298326E-2</v>
      </c>
      <c r="AA87" s="6637">
        <f t="shared" si="244"/>
        <v>0.44617787523103863</v>
      </c>
      <c r="AB87" s="3228"/>
      <c r="AC87" s="1722">
        <v>0.66030664371268688</v>
      </c>
      <c r="AD87" s="2992">
        <f t="shared" si="226"/>
        <v>4.0056501336255136E-2</v>
      </c>
      <c r="AE87" s="6008">
        <f t="shared" si="245"/>
        <v>0.46901168423625067</v>
      </c>
      <c r="AF87" s="3228"/>
      <c r="AG87" s="1722">
        <v>0.44324606033220154</v>
      </c>
      <c r="AH87" s="2992">
        <f t="shared" si="228"/>
        <v>3.393847362176565E-2</v>
      </c>
      <c r="AI87" s="6008">
        <f t="shared" si="246"/>
        <v>0.46563670883090574</v>
      </c>
      <c r="AJ87" s="3228"/>
      <c r="AK87" s="1722">
        <v>0.41483488892822051</v>
      </c>
      <c r="AL87" s="3059">
        <f t="shared" si="230"/>
        <v>8.6197748559883033E-2</v>
      </c>
      <c r="AM87" s="6009">
        <f t="shared" si="231"/>
        <v>0.48425894052953822</v>
      </c>
      <c r="AN87" s="2992">
        <f t="shared" si="232"/>
        <v>2.9250834571741033E-2</v>
      </c>
      <c r="AO87" s="6008">
        <f t="shared" si="247"/>
        <v>0.45872004980840014</v>
      </c>
      <c r="AP87" s="3228"/>
      <c r="AQ87" s="1722">
        <v>0.3589189867628107</v>
      </c>
      <c r="AR87" s="2992">
        <f t="shared" si="234"/>
        <v>2.5751072462109954E-2</v>
      </c>
      <c r="AS87" s="6008">
        <f t="shared" si="248"/>
        <v>0.44471800791209448</v>
      </c>
      <c r="AT87" s="3228"/>
      <c r="AU87" s="1722">
        <v>0.27511610612156678</v>
      </c>
      <c r="AV87" s="2992">
        <f t="shared" si="236"/>
        <v>2.3186872008026344E-2</v>
      </c>
      <c r="AW87" s="6008">
        <f t="shared" ref="AW87" si="250">+((AS87*AS$94)+(AU87*AU$94))/AW$94</f>
        <v>0.42496942148741385</v>
      </c>
      <c r="AX87" s="3228"/>
      <c r="AY87" s="1722">
        <v>0.3467337984344358</v>
      </c>
      <c r="AZ87" s="3059">
        <f t="shared" si="238"/>
        <v>7.3077028635782623E-2</v>
      </c>
      <c r="BA87" s="6009">
        <f t="shared" si="239"/>
        <v>0.32865390332254379</v>
      </c>
      <c r="BB87" s="6009">
        <f t="shared" si="240"/>
        <v>3.9548479996379358E-2</v>
      </c>
      <c r="BC87" s="6009">
        <f t="shared" si="241"/>
        <v>0.3906548652271451</v>
      </c>
      <c r="BD87" s="6637">
        <f t="shared" si="242"/>
        <v>2.088936491603096E-2</v>
      </c>
      <c r="BE87" s="6637">
        <v>0.41556166487088825</v>
      </c>
    </row>
    <row r="88" spans="1:57" x14ac:dyDescent="0.2">
      <c r="A88" s="2265"/>
      <c r="B88" s="1618" t="s">
        <v>35</v>
      </c>
      <c r="C88" s="1545" t="s">
        <v>831</v>
      </c>
      <c r="D88" s="3227"/>
      <c r="E88" s="2709">
        <v>0.25089165114624257</v>
      </c>
      <c r="F88" s="3228">
        <v>0.26424907261937575</v>
      </c>
      <c r="G88" s="1722">
        <v>0.26424907261937575</v>
      </c>
      <c r="H88" s="2992">
        <f t="shared" si="214"/>
        <v>0.13463625334319704</v>
      </c>
      <c r="I88" s="6008">
        <f>+((E88*E$94)+(G88*G$94))/I$94</f>
        <v>0.25769732567006204</v>
      </c>
      <c r="J88" s="3228"/>
      <c r="K88" s="1722">
        <v>0.2285570639562497</v>
      </c>
      <c r="L88" s="3059">
        <f t="shared" si="216"/>
        <v>8.3398214982304972E-2</v>
      </c>
      <c r="M88" s="6009">
        <f>+((I88*I$94)+(K88*K$94))/M$94</f>
        <v>0.24724722736308846</v>
      </c>
      <c r="N88" s="3228"/>
      <c r="O88" s="1722">
        <v>0.2251810502221534</v>
      </c>
      <c r="P88" s="2992">
        <f t="shared" si="218"/>
        <v>5.4870202183401426E-2</v>
      </c>
      <c r="Q88" s="6008">
        <f>+((M88*M$94)+(O88*O$94))/Q$94</f>
        <v>0.24103801147601345</v>
      </c>
      <c r="R88" s="3228"/>
      <c r="S88" s="1722">
        <v>0.20583567774341344</v>
      </c>
      <c r="T88" s="2992">
        <f t="shared" si="220"/>
        <v>4.0945562199811505E-2</v>
      </c>
      <c r="U88" s="6008">
        <f>+((Q88*Q$94)+(S88*S$94))/U$94</f>
        <v>0.23289837265827817</v>
      </c>
      <c r="V88" s="3228"/>
      <c r="W88" s="1722">
        <v>0.3980851549126504</v>
      </c>
      <c r="X88" s="3059">
        <f t="shared" si="222"/>
        <v>5.3913365377019733E-2</v>
      </c>
      <c r="Y88" s="6009">
        <f t="shared" si="223"/>
        <v>0.2518907498609933</v>
      </c>
      <c r="Z88" s="6637">
        <f t="shared" si="224"/>
        <v>3.2745078196362853E-2</v>
      </c>
      <c r="AA88" s="6637">
        <f>+((U88*U$94)+(W88*W$94))/AA$94</f>
        <v>0.24958457161785677</v>
      </c>
      <c r="AB88" s="3228"/>
      <c r="AC88" s="1722">
        <v>0.3647980893979913</v>
      </c>
      <c r="AD88" s="2992">
        <f t="shared" si="226"/>
        <v>2.9624774680395524E-2</v>
      </c>
      <c r="AE88" s="6008">
        <f>+((AA88*AA$94)+(AC88*AC$94))/AE$94</f>
        <v>0.2618704661217317</v>
      </c>
      <c r="AF88" s="3228"/>
      <c r="AG88" s="1722">
        <v>0.23425258409163913</v>
      </c>
      <c r="AH88" s="2992">
        <f t="shared" si="228"/>
        <v>2.5100036211383972E-2</v>
      </c>
      <c r="AI88" s="6008">
        <f>+((AE88*AE$94)+(AG88*AG$94))/AI$94</f>
        <v>0.25825286800160119</v>
      </c>
      <c r="AJ88" s="3228"/>
      <c r="AK88" s="1722">
        <v>0.1978672960504777</v>
      </c>
      <c r="AL88" s="3059">
        <f t="shared" si="230"/>
        <v>6.3749673432728624E-2</v>
      </c>
      <c r="AM88" s="6009">
        <f t="shared" si="231"/>
        <v>0.25094119803922649</v>
      </c>
      <c r="AN88" s="2992">
        <f t="shared" si="232"/>
        <v>2.163317699983543E-2</v>
      </c>
      <c r="AO88" s="6008">
        <f>+((AI88*AI$94)+(AK88*AK$94))/AO$94</f>
        <v>0.25003138278975312</v>
      </c>
      <c r="AP88" s="3228"/>
      <c r="AQ88" s="1722">
        <v>0.18100977757030698</v>
      </c>
      <c r="AR88" s="2992">
        <f t="shared" si="234"/>
        <v>1.9044841511858954E-2</v>
      </c>
      <c r="AS88" s="6008">
        <f>+((AO88*AO$94)+(AQ88*AQ$94))/AS$94</f>
        <v>0.24034768425448319</v>
      </c>
      <c r="AT88" s="3228"/>
      <c r="AU88" s="1722">
        <v>0.19989771438238843</v>
      </c>
      <c r="AV88" s="2992">
        <f t="shared" si="236"/>
        <v>1.7148423748112821E-2</v>
      </c>
      <c r="AW88" s="6008">
        <f>+((AS88*AS$94)+(AU88*AU$94))/AW$94</f>
        <v>0.23563765613887033</v>
      </c>
      <c r="AX88" s="3228"/>
      <c r="AY88" s="1722">
        <v>0.16090970926374312</v>
      </c>
      <c r="AZ88" s="3059">
        <f t="shared" si="238"/>
        <v>5.4045921022274339E-2</v>
      </c>
      <c r="BA88" s="6009">
        <f t="shared" si="239"/>
        <v>0.17952640374224779</v>
      </c>
      <c r="BB88" s="6009">
        <f t="shared" si="240"/>
        <v>2.9249054953894328E-2</v>
      </c>
      <c r="BC88" s="6009">
        <f t="shared" si="241"/>
        <v>0.20798169040974704</v>
      </c>
      <c r="BD88" s="6637">
        <f t="shared" si="242"/>
        <v>1.5449245645771414E-2</v>
      </c>
      <c r="BE88" s="6637">
        <v>0.22661659666457268</v>
      </c>
    </row>
    <row r="89" spans="1:57" x14ac:dyDescent="0.2">
      <c r="A89" s="2265"/>
      <c r="B89" s="1618" t="s">
        <v>374</v>
      </c>
      <c r="C89" s="1545" t="s">
        <v>831</v>
      </c>
      <c r="D89" s="3227"/>
      <c r="E89" s="2709">
        <v>7.7017707978838515E-2</v>
      </c>
      <c r="F89" s="3228">
        <v>8.1797220538632781E-2</v>
      </c>
      <c r="G89" s="1722">
        <v>8.1797220538632781E-2</v>
      </c>
      <c r="H89" s="2992">
        <f t="shared" si="214"/>
        <v>4.1676102012557135E-2</v>
      </c>
      <c r="I89" s="6008">
        <f t="shared" si="215"/>
        <v>7.9452894060964688E-2</v>
      </c>
      <c r="J89" s="3228"/>
      <c r="K89" s="1722">
        <v>7.2151169749358826E-2</v>
      </c>
      <c r="L89" s="3059">
        <f t="shared" si="216"/>
        <v>2.581557662933388E-2</v>
      </c>
      <c r="M89" s="6009">
        <f t="shared" ref="M89:M91" si="251">+((I89*I$94)+(K89*K$94))/M$94</f>
        <v>7.6834395379790088E-2</v>
      </c>
      <c r="N89" s="3228"/>
      <c r="O89" s="1722">
        <v>6.8571072603399189E-2</v>
      </c>
      <c r="P89" s="2992">
        <f t="shared" si="218"/>
        <v>1.6984846851136923E-2</v>
      </c>
      <c r="Q89" s="6008">
        <f t="shared" ref="Q89:Q91" si="252">+((M89*M$94)+(O89*O$94))/Q$94</f>
        <v>7.4509173628170403E-2</v>
      </c>
      <c r="R89" s="3228"/>
      <c r="S89" s="1722">
        <v>6.3745795060809754E-2</v>
      </c>
      <c r="T89" s="2992">
        <f t="shared" si="220"/>
        <v>1.2674531449200284E-2</v>
      </c>
      <c r="U89" s="6008">
        <f t="shared" ref="U89:U91" si="253">+((Q89*Q$94)+(S89*S$94))/U$94</f>
        <v>7.202041777856219E-2</v>
      </c>
      <c r="V89" s="3228"/>
      <c r="W89" s="1722">
        <v>0.13338916935169662</v>
      </c>
      <c r="X89" s="3059">
        <f t="shared" si="222"/>
        <v>1.6688661927968546E-2</v>
      </c>
      <c r="Y89" s="6009">
        <f t="shared" si="223"/>
        <v>7.9586192886245577E-2</v>
      </c>
      <c r="Z89" s="6637">
        <f t="shared" si="224"/>
        <v>1.0136105138354508E-2</v>
      </c>
      <c r="AA89" s="6637">
        <f t="shared" ref="AA89:AA91" si="254">+((U89*U$94)+(W89*W$94))/AA$94</f>
        <v>7.8219528776882832E-2</v>
      </c>
      <c r="AB89" s="3228"/>
      <c r="AC89" s="1722">
        <v>0.11005165813466238</v>
      </c>
      <c r="AD89" s="2992">
        <f t="shared" si="226"/>
        <v>9.1702279365423866E-3</v>
      </c>
      <c r="AE89" s="6008">
        <f t="shared" ref="AE89:AE91" si="255">+((AA89*AA$94)+(AC89*AC$94))/AE$94</f>
        <v>8.1613975805830449E-2</v>
      </c>
      <c r="AF89" s="3228"/>
      <c r="AG89" s="1722">
        <v>7.3936643083601039E-2</v>
      </c>
      <c r="AH89" s="2992">
        <f t="shared" si="228"/>
        <v>7.7696136344347633E-3</v>
      </c>
      <c r="AI89" s="6008">
        <f t="shared" ref="AI89:AI91" si="256">+((AE89*AE$94)+(AG89*AG$94))/AI$94</f>
        <v>8.0608340964125655E-2</v>
      </c>
      <c r="AJ89" s="3228"/>
      <c r="AK89" s="1722">
        <v>6.7301903330456284E-2</v>
      </c>
      <c r="AL89" s="3059">
        <f t="shared" si="230"/>
        <v>1.9733450889168315E-2</v>
      </c>
      <c r="AM89" s="6009">
        <f t="shared" si="231"/>
        <v>7.997187403623035E-2</v>
      </c>
      <c r="AN89" s="2992">
        <f t="shared" si="232"/>
        <v>6.6964615333036676E-3</v>
      </c>
      <c r="AO89" s="6008">
        <f t="shared" ref="AO89:AO91" si="257">+((AI89*AI$94)+(AK89*AK$94))/AO$94</f>
        <v>7.879667177407243E-2</v>
      </c>
      <c r="AP89" s="3228"/>
      <c r="AQ89" s="1722">
        <v>5.077445867495671E-2</v>
      </c>
      <c r="AR89" s="2992">
        <f t="shared" si="234"/>
        <v>5.8952528605945636E-3</v>
      </c>
      <c r="AS89" s="6008">
        <f t="shared" ref="AS89:AS91" si="258">+((AO89*AO$94)+(AQ89*AQ$94))/AS$94</f>
        <v>7.486516854287148E-2</v>
      </c>
      <c r="AT89" s="3228"/>
      <c r="AU89" s="1722">
        <v>4.787385645103296E-2</v>
      </c>
      <c r="AV89" s="2992">
        <f t="shared" si="236"/>
        <v>5.3082244918026692E-3</v>
      </c>
      <c r="AW89" s="6008">
        <f t="shared" ref="AW89:AW91" si="259">+((AS89*AS$94)+(AU89*AU$94))/AW$94</f>
        <v>7.1722277726590719E-2</v>
      </c>
      <c r="AX89" s="3228"/>
      <c r="AY89" s="1722">
        <v>4.6305051062684996E-2</v>
      </c>
      <c r="AZ89" s="3059">
        <f t="shared" si="238"/>
        <v>1.6729693986249978E-2</v>
      </c>
      <c r="BA89" s="6009">
        <f t="shared" si="239"/>
        <v>4.8255596026306573E-2</v>
      </c>
      <c r="BB89" s="6009">
        <f t="shared" si="240"/>
        <v>9.0539254306350129E-3</v>
      </c>
      <c r="BC89" s="6009">
        <f t="shared" si="241"/>
        <v>6.0892974481048759E-2</v>
      </c>
      <c r="BD89" s="6637">
        <f t="shared" si="242"/>
        <v>4.7822508541512177E-3</v>
      </c>
      <c r="BE89" s="6637">
        <v>6.8653943564186651E-2</v>
      </c>
    </row>
    <row r="90" spans="1:57" x14ac:dyDescent="0.2">
      <c r="A90" s="2265"/>
      <c r="B90" s="1618" t="s">
        <v>593</v>
      </c>
      <c r="C90" s="1545" t="s">
        <v>831</v>
      </c>
      <c r="D90" s="3227"/>
      <c r="E90" s="2709">
        <v>0.20086444068361892</v>
      </c>
      <c r="F90" s="3228">
        <v>0.18517529564780247</v>
      </c>
      <c r="G90" s="1722">
        <v>0.18517529567316623</v>
      </c>
      <c r="H90" s="2992">
        <f t="shared" si="214"/>
        <v>9.4347759750324597E-2</v>
      </c>
      <c r="I90" s="6008">
        <f t="shared" si="215"/>
        <v>0.19287074109774352</v>
      </c>
      <c r="J90" s="3228"/>
      <c r="K90" s="1722">
        <v>0.17315735262826012</v>
      </c>
      <c r="L90" s="3059">
        <f t="shared" si="216"/>
        <v>5.8442169589339746E-2</v>
      </c>
      <c r="M90" s="6009">
        <f t="shared" si="251"/>
        <v>0.18580124908381232</v>
      </c>
      <c r="N90" s="3228"/>
      <c r="O90" s="1722">
        <v>0.17458652027170884</v>
      </c>
      <c r="P90" s="2992">
        <f t="shared" si="218"/>
        <v>3.8450866869082209E-2</v>
      </c>
      <c r="Q90" s="6008">
        <f t="shared" si="252"/>
        <v>0.18264552927495739</v>
      </c>
      <c r="R90" s="3228"/>
      <c r="S90" s="1722">
        <v>0.16699532880823595</v>
      </c>
      <c r="T90" s="2992">
        <f t="shared" si="220"/>
        <v>2.8693030066890123E-2</v>
      </c>
      <c r="U90" s="6008">
        <f t="shared" si="253"/>
        <v>0.17902682091908792</v>
      </c>
      <c r="V90" s="3228"/>
      <c r="W90" s="1722">
        <v>0.31057452450629586</v>
      </c>
      <c r="X90" s="3059">
        <f t="shared" si="222"/>
        <v>3.7780353490351672E-2</v>
      </c>
      <c r="Y90" s="6009">
        <f t="shared" si="223"/>
        <v>0.19874189225591704</v>
      </c>
      <c r="Z90" s="6637">
        <f t="shared" si="224"/>
        <v>2.2946455311712213E-2</v>
      </c>
      <c r="AA90" s="6637">
        <f t="shared" si="254"/>
        <v>0.19231499764107093</v>
      </c>
      <c r="AB90" s="3228"/>
      <c r="AC90" s="1722">
        <v>0.27446211678750498</v>
      </c>
      <c r="AD90" s="2992">
        <f t="shared" si="226"/>
        <v>2.0759870055791958E-2</v>
      </c>
      <c r="AE90" s="6008">
        <f t="shared" si="255"/>
        <v>0.20107482772937982</v>
      </c>
      <c r="AF90" s="3228"/>
      <c r="AG90" s="1722">
        <v>0.19459013096516625</v>
      </c>
      <c r="AH90" s="2992">
        <f t="shared" si="228"/>
        <v>1.7589112348214052E-2</v>
      </c>
      <c r="AI90" s="6008">
        <f t="shared" si="256"/>
        <v>0.2002254133246737</v>
      </c>
      <c r="AJ90" s="3228"/>
      <c r="AK90" s="1722">
        <v>0.16652115432041389</v>
      </c>
      <c r="AL90" s="3059">
        <f t="shared" si="230"/>
        <v>4.467324902350784E-2</v>
      </c>
      <c r="AM90" s="6009">
        <f t="shared" si="231"/>
        <v>0.20240013531607629</v>
      </c>
      <c r="AN90" s="2992">
        <f t="shared" si="232"/>
        <v>1.5159674571558122E-2</v>
      </c>
      <c r="AO90" s="6008">
        <f t="shared" si="257"/>
        <v>0.19563658427120198</v>
      </c>
      <c r="AP90" s="3228"/>
      <c r="AQ90" s="1722">
        <v>0.14020295386529155</v>
      </c>
      <c r="AR90" s="2992">
        <f t="shared" si="234"/>
        <v>1.3345871463487726E-2</v>
      </c>
      <c r="AS90" s="6008">
        <f t="shared" si="258"/>
        <v>0.1878592721692926</v>
      </c>
      <c r="AT90" s="3228"/>
      <c r="AU90" s="1722">
        <v>0.13223743488583295</v>
      </c>
      <c r="AV90" s="2992">
        <f t="shared" si="236"/>
        <v>1.2016936922327541E-2</v>
      </c>
      <c r="AW90" s="6008">
        <f t="shared" si="259"/>
        <v>0.18138261920080995</v>
      </c>
      <c r="AX90" s="3228"/>
      <c r="AY90" s="1722">
        <v>0.13404323847800936</v>
      </c>
      <c r="AZ90" s="3059">
        <f t="shared" si="238"/>
        <v>3.7873243242268276E-2</v>
      </c>
      <c r="BA90" s="6009">
        <f t="shared" si="239"/>
        <v>0.13550819038872003</v>
      </c>
      <c r="BB90" s="6009">
        <f t="shared" si="240"/>
        <v>2.049658053599945E-2</v>
      </c>
      <c r="BC90" s="6009">
        <f t="shared" si="241"/>
        <v>0.16216134380591082</v>
      </c>
      <c r="BD90" s="6637">
        <f t="shared" si="242"/>
        <v>1.0826220132518567E-2</v>
      </c>
      <c r="BE90" s="6637">
        <v>0.17566695320942136</v>
      </c>
    </row>
    <row r="91" spans="1:57" ht="16" thickBot="1" x14ac:dyDescent="0.25">
      <c r="A91" s="2265"/>
      <c r="B91" s="1619" t="s">
        <v>211</v>
      </c>
      <c r="C91" s="1548" t="s">
        <v>831</v>
      </c>
      <c r="D91" s="3230"/>
      <c r="E91" s="2709">
        <v>0.45537778535013229</v>
      </c>
      <c r="F91" s="6364">
        <v>0.39994426184366055</v>
      </c>
      <c r="G91" s="1722">
        <v>0.39994426184366055</v>
      </c>
      <c r="H91" s="2992">
        <f t="shared" si="214"/>
        <v>0.20377364592799235</v>
      </c>
      <c r="I91" s="6008">
        <f t="shared" si="215"/>
        <v>0.42713412174691645</v>
      </c>
      <c r="J91" s="6364"/>
      <c r="K91" s="1722">
        <v>0.33320428578986461</v>
      </c>
      <c r="L91" s="3059">
        <f t="shared" si="216"/>
        <v>0.12622423685180109</v>
      </c>
      <c r="M91" s="6009">
        <f t="shared" si="251"/>
        <v>0.3934495917536997</v>
      </c>
      <c r="N91" s="6364"/>
      <c r="O91" s="1722">
        <v>0.32913795209373253</v>
      </c>
      <c r="P91" s="2992">
        <f t="shared" si="218"/>
        <v>8.3046734249328819E-2</v>
      </c>
      <c r="Q91" s="6008">
        <f t="shared" si="252"/>
        <v>0.37535289778853964</v>
      </c>
      <c r="R91" s="6364"/>
      <c r="S91" s="1722">
        <v>0.31926253154591849</v>
      </c>
      <c r="T91" s="2992">
        <f t="shared" si="220"/>
        <v>6.197161824429636E-2</v>
      </c>
      <c r="U91" s="6008">
        <f t="shared" si="253"/>
        <v>0.36238343599553863</v>
      </c>
      <c r="V91" s="6364"/>
      <c r="W91" s="1722">
        <v>0.71866469734208061</v>
      </c>
      <c r="X91" s="3059">
        <f t="shared" si="222"/>
        <v>8.159854982832089E-2</v>
      </c>
      <c r="Y91" s="6009">
        <f t="shared" si="223"/>
        <v>0.40323051614308014</v>
      </c>
      <c r="Z91" s="6637">
        <f t="shared" si="224"/>
        <v>4.956008359250158E-2</v>
      </c>
      <c r="AA91" s="6637">
        <f t="shared" si="254"/>
        <v>0.39837287734952848</v>
      </c>
      <c r="AB91" s="6364"/>
      <c r="AC91" s="1722">
        <v>0.60885177788027933</v>
      </c>
      <c r="AD91" s="2992">
        <f t="shared" si="226"/>
        <v>4.4837465367009166E-2</v>
      </c>
      <c r="AE91" s="6008">
        <f t="shared" si="255"/>
        <v>0.42081747948507986</v>
      </c>
      <c r="AF91" s="6364"/>
      <c r="AG91" s="1722">
        <v>0.31598716501567126</v>
      </c>
      <c r="AH91" s="2992">
        <f t="shared" si="228"/>
        <v>3.7989217352034865E-2</v>
      </c>
      <c r="AI91" s="6008">
        <f t="shared" si="256"/>
        <v>0.40708601564060348</v>
      </c>
      <c r="AJ91" s="6364"/>
      <c r="AK91" s="1722">
        <v>0.23781882206224436</v>
      </c>
      <c r="AL91" s="3059">
        <f t="shared" si="230"/>
        <v>9.6485924552522251E-2</v>
      </c>
      <c r="AM91" s="6009">
        <f t="shared" si="231"/>
        <v>0.35485576749417885</v>
      </c>
      <c r="AN91" s="2992">
        <f t="shared" si="232"/>
        <v>3.2742082765962494E-2</v>
      </c>
      <c r="AO91" s="6008">
        <f t="shared" si="257"/>
        <v>0.38404031641327963</v>
      </c>
      <c r="AP91" s="6364"/>
      <c r="AQ91" s="1722">
        <v>0.19222140351171668</v>
      </c>
      <c r="AR91" s="2992">
        <f t="shared" si="234"/>
        <v>2.8824604774909744E-2</v>
      </c>
      <c r="AS91" s="6008">
        <f t="shared" si="258"/>
        <v>0.35712821374635118</v>
      </c>
      <c r="AT91" s="6364"/>
      <c r="AU91" s="1722">
        <v>0.16799866490414325</v>
      </c>
      <c r="AV91" s="2992">
        <f t="shared" si="236"/>
        <v>2.5954352875251656E-2</v>
      </c>
      <c r="AW91" s="6008">
        <f t="shared" si="259"/>
        <v>0.33510581186677624</v>
      </c>
      <c r="AX91" s="6364"/>
      <c r="AY91" s="1722">
        <v>0.13604769446296214</v>
      </c>
      <c r="AZ91" s="3059">
        <f t="shared" si="238"/>
        <v>8.1799174447999029E-2</v>
      </c>
      <c r="BA91" s="6009">
        <f t="shared" si="239"/>
        <v>0.16433457854786207</v>
      </c>
      <c r="BB91" s="6009">
        <f t="shared" si="240"/>
        <v>4.4268808882480769E-2</v>
      </c>
      <c r="BC91" s="6009">
        <f t="shared" si="241"/>
        <v>0.24024791136732787</v>
      </c>
      <c r="BD91" s="6637">
        <f t="shared" si="242"/>
        <v>2.3382625659161452E-2</v>
      </c>
      <c r="BE91" s="6637">
        <v>0.31110033324676811</v>
      </c>
    </row>
    <row r="92" spans="1:57" ht="17" thickBot="1" x14ac:dyDescent="0.25">
      <c r="A92" s="2265"/>
      <c r="B92" s="1630" t="s">
        <v>594</v>
      </c>
      <c r="C92" s="1562" t="s">
        <v>831</v>
      </c>
      <c r="D92" s="6360">
        <f t="shared" ref="D92:I92" si="260">SUM(D80:D91)</f>
        <v>0</v>
      </c>
      <c r="E92" s="1808">
        <f t="shared" si="260"/>
        <v>6.5338425330024439</v>
      </c>
      <c r="F92" s="1808">
        <f t="shared" si="260"/>
        <v>6.6638049168784539</v>
      </c>
      <c r="G92" s="1808">
        <f t="shared" si="260"/>
        <v>6.646540761068465</v>
      </c>
      <c r="H92" s="3102">
        <f t="shared" si="260"/>
        <v>3.3952426705799699</v>
      </c>
      <c r="I92" s="1891">
        <f t="shared" si="260"/>
        <v>6.5912628563164333</v>
      </c>
      <c r="J92" s="6365">
        <f t="shared" ref="J92:Q92" si="261">SUM(J80:J91)</f>
        <v>0</v>
      </c>
      <c r="K92" s="1808">
        <f t="shared" si="261"/>
        <v>6.3708622903852206</v>
      </c>
      <c r="L92" s="3074">
        <f t="shared" si="261"/>
        <v>2.1031272864993991</v>
      </c>
      <c r="M92" s="2077">
        <f t="shared" si="261"/>
        <v>6.5122241845462998</v>
      </c>
      <c r="N92" s="6365">
        <f t="shared" si="261"/>
        <v>0</v>
      </c>
      <c r="O92" s="1808">
        <f t="shared" si="261"/>
        <v>6.57581296266323</v>
      </c>
      <c r="P92" s="1890">
        <f t="shared" si="261"/>
        <v>1.3837109037901496</v>
      </c>
      <c r="Q92" s="1891">
        <f t="shared" si="261"/>
        <v>6.5301174720333703</v>
      </c>
      <c r="R92" s="6365">
        <f t="shared" ref="R92:U92" si="262">SUM(R80:R91)</f>
        <v>0</v>
      </c>
      <c r="S92" s="1808">
        <f t="shared" si="262"/>
        <v>6.3597117944672101</v>
      </c>
      <c r="T92" s="1890">
        <f t="shared" si="262"/>
        <v>1.0325608184989703</v>
      </c>
      <c r="U92" s="1891">
        <f t="shared" si="262"/>
        <v>6.4907155199237145</v>
      </c>
      <c r="V92" s="6365">
        <f t="shared" ref="V92:AI92" si="263">SUM(V80:V91)</f>
        <v>0</v>
      </c>
      <c r="W92" s="1808">
        <f t="shared" si="263"/>
        <v>8.1269049164188374</v>
      </c>
      <c r="X92" s="3074">
        <f t="shared" si="263"/>
        <v>1.3595814953051446</v>
      </c>
      <c r="Y92" s="2077">
        <f t="shared" si="263"/>
        <v>6.7978463341786677</v>
      </c>
      <c r="Z92" s="7115">
        <f t="shared" si="263"/>
        <v>0.82576188792456895</v>
      </c>
      <c r="AA92" s="7115">
        <f t="shared" si="263"/>
        <v>6.655993766965465</v>
      </c>
      <c r="AB92" s="6365">
        <f t="shared" si="263"/>
        <v>0</v>
      </c>
      <c r="AC92" s="1808">
        <f t="shared" si="263"/>
        <v>7.9370955315012406</v>
      </c>
      <c r="AD92" s="1890">
        <f t="shared" si="263"/>
        <v>0.74707440680781745</v>
      </c>
      <c r="AE92" s="1891">
        <f t="shared" si="263"/>
        <v>6.7926051770766547</v>
      </c>
      <c r="AF92" s="6365">
        <f t="shared" si="263"/>
        <v>0</v>
      </c>
      <c r="AG92" s="1808">
        <f t="shared" si="263"/>
        <v>6.6548428182496417</v>
      </c>
      <c r="AH92" s="1890">
        <f t="shared" si="263"/>
        <v>0.6329700349040448</v>
      </c>
      <c r="AI92" s="1891">
        <f t="shared" si="263"/>
        <v>6.7745600261206782</v>
      </c>
      <c r="AJ92" s="6365">
        <f t="shared" ref="AJ92:AO92" si="264">SUM(AJ80:AJ91)</f>
        <v>0</v>
      </c>
      <c r="AK92" s="1808">
        <f t="shared" si="264"/>
        <v>6.5098714744301365</v>
      </c>
      <c r="AL92" s="3074">
        <f t="shared" si="264"/>
        <v>1.607632462280451</v>
      </c>
      <c r="AM92" s="2077">
        <f t="shared" si="264"/>
        <v>6.90657157842206</v>
      </c>
      <c r="AN92" s="1890">
        <f t="shared" si="264"/>
        <v>0.54554314923501057</v>
      </c>
      <c r="AO92" s="1891">
        <f t="shared" si="264"/>
        <v>6.7385227254351667</v>
      </c>
      <c r="AP92" s="6365">
        <f t="shared" ref="AP92:AS92" si="265">SUM(AP80:AP91)</f>
        <v>0</v>
      </c>
      <c r="AQ92" s="1808">
        <f t="shared" si="265"/>
        <v>6.0224854515010167</v>
      </c>
      <c r="AR92" s="1890">
        <f t="shared" si="265"/>
        <v>0.48027078108500798</v>
      </c>
      <c r="AS92" s="1891">
        <f t="shared" si="265"/>
        <v>6.6380630348969731</v>
      </c>
      <c r="AT92" s="6365">
        <f t="shared" ref="AT92:AW92" si="266">SUM(AT80:AT91)</f>
        <v>0</v>
      </c>
      <c r="AU92" s="1808">
        <f t="shared" si="266"/>
        <v>5.8971714034104137</v>
      </c>
      <c r="AV92" s="1890">
        <f t="shared" si="266"/>
        <v>0.4324471202742472</v>
      </c>
      <c r="AW92" s="1891">
        <f t="shared" si="266"/>
        <v>6.5517929974665785</v>
      </c>
      <c r="AX92" s="6365">
        <f t="shared" ref="AX92:BE92" si="267">SUM(AX80:AX91)</f>
        <v>0</v>
      </c>
      <c r="AY92" s="1808">
        <f t="shared" si="267"/>
        <v>5.8653441515576006</v>
      </c>
      <c r="AZ92" s="3074">
        <f t="shared" si="267"/>
        <v>1.3629242694229564</v>
      </c>
      <c r="BA92" s="2077">
        <f t="shared" si="267"/>
        <v>5.9267312495702029</v>
      </c>
      <c r="BB92" s="2077">
        <f t="shared" ref="BB92" si="268">SUM(BB80:BB91)</f>
        <v>0.73759954683571372</v>
      </c>
      <c r="BC92" s="2077">
        <f t="shared" si="241"/>
        <v>6.3171494776184485</v>
      </c>
      <c r="BD92" s="7115">
        <f t="shared" si="267"/>
        <v>0.38959742819852705</v>
      </c>
      <c r="BE92" s="7115">
        <f t="shared" si="267"/>
        <v>6.4827565550935358</v>
      </c>
    </row>
    <row r="93" spans="1:57" x14ac:dyDescent="0.2">
      <c r="A93" s="2265"/>
      <c r="F93" s="4408">
        <v>0.39994426184366055</v>
      </c>
      <c r="R93" s="3380"/>
      <c r="S93" s="6435"/>
      <c r="T93" s="6435"/>
      <c r="U93" s="6435"/>
      <c r="V93" s="3380"/>
      <c r="W93" s="7006"/>
      <c r="X93" s="2100"/>
      <c r="Z93" s="7006"/>
      <c r="AA93" s="7006"/>
      <c r="AB93" s="3380"/>
      <c r="AC93" s="7354"/>
      <c r="AD93" s="7354"/>
      <c r="AE93" s="7354"/>
      <c r="AF93" s="3380"/>
      <c r="AG93" s="7612"/>
      <c r="AH93" s="7612"/>
      <c r="AI93" s="7612"/>
      <c r="AJ93" s="3380"/>
      <c r="AK93" s="7762"/>
      <c r="AL93" s="2100"/>
      <c r="AM93" s="7762"/>
      <c r="AN93" s="7762"/>
      <c r="AO93" s="7762"/>
      <c r="AP93" s="3380"/>
      <c r="AQ93" s="8094"/>
      <c r="AR93" s="8094"/>
      <c r="AS93" s="8094"/>
      <c r="AU93" s="8212"/>
      <c r="AZ93" s="2100"/>
    </row>
    <row r="94" spans="1:57" s="2265" customFormat="1" x14ac:dyDescent="0.2">
      <c r="B94" s="2265" t="s">
        <v>764</v>
      </c>
      <c r="C94" s="6367" t="s">
        <v>170</v>
      </c>
      <c r="D94" s="6368">
        <f>+SMS!D5</f>
        <v>129292</v>
      </c>
      <c r="E94" s="3206">
        <f>+SMS!E5</f>
        <v>129292</v>
      </c>
      <c r="F94" s="6368">
        <f>+SMS!F5</f>
        <v>134303</v>
      </c>
      <c r="G94" s="3206">
        <f>+SMS!G5</f>
        <v>134303</v>
      </c>
      <c r="H94" s="3206">
        <f>+SMS!H5</f>
        <v>263595</v>
      </c>
      <c r="I94" s="3206">
        <f>+SMS!I5</f>
        <v>263595</v>
      </c>
      <c r="J94" s="6368">
        <f>+SMS!J5</f>
        <v>161947</v>
      </c>
      <c r="K94" s="3206">
        <f>+SMS!K5</f>
        <v>147382</v>
      </c>
      <c r="L94" s="3206">
        <f>+SMS!L5</f>
        <v>425542</v>
      </c>
      <c r="M94" s="3206">
        <f>+SMS!M5</f>
        <v>410977</v>
      </c>
      <c r="N94" s="6368">
        <f>+SMS!N5</f>
        <v>221247</v>
      </c>
      <c r="O94" s="3206">
        <f>+SMS!O5</f>
        <v>160929</v>
      </c>
      <c r="P94" s="3206">
        <f>+SMS!P5</f>
        <v>646789</v>
      </c>
      <c r="Q94" s="3206">
        <f>+SMS!Q5</f>
        <v>571906</v>
      </c>
      <c r="R94" s="6368">
        <f>+SMS!R5</f>
        <v>219958</v>
      </c>
      <c r="S94" s="3206">
        <f>+SMS!S5</f>
        <v>172012</v>
      </c>
      <c r="T94" s="3206">
        <f>+SMS!T5</f>
        <v>866747</v>
      </c>
      <c r="U94" s="3206">
        <f>+SMS!U5</f>
        <v>743918</v>
      </c>
      <c r="V94" s="3206">
        <f>+SMS!V5</f>
        <v>217063</v>
      </c>
      <c r="W94" s="3206">
        <f>+SMS!W5</f>
        <v>83590</v>
      </c>
      <c r="X94" s="3206">
        <f>+SMS!X5</f>
        <v>658268</v>
      </c>
      <c r="Y94" s="3206">
        <f>+SMS!Y5</f>
        <v>416531</v>
      </c>
      <c r="Z94" s="3206">
        <f>+SMS!Z5</f>
        <v>1083810</v>
      </c>
      <c r="AA94" s="3206">
        <f>+SMS!AA5</f>
        <v>827508</v>
      </c>
      <c r="AB94" s="6368">
        <f>+SMS!AB5</f>
        <v>114155</v>
      </c>
      <c r="AC94" s="3206">
        <f>+SMS!AC5</f>
        <v>98775</v>
      </c>
      <c r="AD94" s="3206">
        <f>+SMS!AD5</f>
        <v>1197965</v>
      </c>
      <c r="AE94" s="3206">
        <f>+SMS!AE5</f>
        <v>926283</v>
      </c>
      <c r="AF94" s="6368">
        <f>+SMS!AF5</f>
        <v>215955</v>
      </c>
      <c r="AG94" s="3206">
        <f>+SMS!AG5</f>
        <v>139620</v>
      </c>
      <c r="AH94" s="3206">
        <f>+SMS!AH5</f>
        <v>1413920</v>
      </c>
      <c r="AI94" s="3206">
        <f>+SMS!AI5</f>
        <v>1065903</v>
      </c>
      <c r="AJ94" s="3206">
        <f>+SMS!AJ5</f>
        <v>226590</v>
      </c>
      <c r="AK94" s="3206">
        <f>+SMS!AK5</f>
        <v>167995</v>
      </c>
      <c r="AL94" s="3206">
        <f>+SMS!AL5</f>
        <v>556700</v>
      </c>
      <c r="AM94" s="3206">
        <f>+SMS!AM5</f>
        <v>406390</v>
      </c>
      <c r="AN94" s="3206">
        <f>+SMS!AN5</f>
        <v>1640510</v>
      </c>
      <c r="AO94" s="3206">
        <f>+SMS!AO5</f>
        <v>1233898</v>
      </c>
      <c r="AP94" s="3206">
        <f>+SMS!AP5</f>
        <v>222957.5</v>
      </c>
      <c r="AQ94" s="3206">
        <f>+SMS!AQ5</f>
        <v>201367</v>
      </c>
      <c r="AR94" s="3206">
        <f>+SMS!AR5</f>
        <v>1863467.5</v>
      </c>
      <c r="AS94" s="3206">
        <f>+SMS!AS5</f>
        <v>1435265</v>
      </c>
      <c r="AT94" s="3206">
        <f>+SMS!AT5</f>
        <v>206078</v>
      </c>
      <c r="AU94" s="3206">
        <f>+SMS!AU5</f>
        <v>189148</v>
      </c>
      <c r="AV94" s="3206">
        <f>+SMS!AV5</f>
        <v>2069545.5</v>
      </c>
      <c r="AW94" s="3206">
        <f>+SMS!AW5</f>
        <v>1624413</v>
      </c>
      <c r="AX94" s="3206">
        <f>+SMS!AX5</f>
        <v>227618</v>
      </c>
      <c r="AY94" s="3206">
        <f>+SMS!AY5</f>
        <v>223020</v>
      </c>
      <c r="AZ94" s="3206">
        <f>+SMS!AZ5</f>
        <v>656653.5</v>
      </c>
      <c r="BA94" s="3206">
        <f>+SMS!BA5</f>
        <v>613535</v>
      </c>
      <c r="BB94" s="3206">
        <f>+SMS!BB5</f>
        <v>1213353.5</v>
      </c>
      <c r="BC94" s="3206">
        <f>+SMS!BC5</f>
        <v>1019925</v>
      </c>
      <c r="BD94" s="3206">
        <f>+SMS!BD5</f>
        <v>2297163.5</v>
      </c>
      <c r="BE94" s="3206">
        <f>+SMS!BE5</f>
        <v>1847433</v>
      </c>
    </row>
    <row r="95" spans="1:57" x14ac:dyDescent="0.2">
      <c r="A95" s="2265"/>
      <c r="V95" s="7006"/>
      <c r="W95" s="7006"/>
      <c r="X95" s="2100"/>
      <c r="Z95" s="7006"/>
      <c r="AA95" s="7006"/>
      <c r="AF95" s="7612"/>
      <c r="AG95" s="7612"/>
      <c r="AH95" s="7612"/>
      <c r="AI95" s="7612"/>
      <c r="AJ95" s="7762"/>
      <c r="AK95" s="7762"/>
      <c r="AL95" s="2100"/>
      <c r="AM95" s="7762"/>
      <c r="AN95" s="7762"/>
      <c r="AO95" s="7762"/>
      <c r="AP95" s="8094"/>
      <c r="AQ95" s="8094"/>
      <c r="AR95" s="8094"/>
      <c r="AS95" s="8094"/>
      <c r="AU95" s="8212"/>
      <c r="AZ95" s="2100"/>
    </row>
    <row r="96" spans="1:57" x14ac:dyDescent="0.2">
      <c r="A96" s="2265"/>
      <c r="V96" s="7006"/>
      <c r="W96" s="7006"/>
      <c r="X96" s="2100"/>
      <c r="Z96" s="7006"/>
      <c r="AA96" s="7006"/>
      <c r="AF96" s="7612"/>
      <c r="AG96" s="7612"/>
      <c r="AH96" s="7612"/>
      <c r="AI96" s="7612"/>
      <c r="AN96" s="7762"/>
      <c r="AO96" s="7762"/>
      <c r="AP96" s="8094"/>
      <c r="AQ96" s="8094"/>
      <c r="AR96" s="8094"/>
      <c r="AS96" s="8094"/>
      <c r="AU96" s="8212"/>
      <c r="AZ96" s="2100"/>
    </row>
    <row r="97" spans="1:52" x14ac:dyDescent="0.2">
      <c r="A97" s="2265"/>
      <c r="V97" s="7006"/>
      <c r="W97" s="7006"/>
      <c r="X97" s="2100"/>
      <c r="Z97" s="7006"/>
      <c r="AA97" s="7006"/>
      <c r="AP97" s="8094"/>
      <c r="AQ97" s="8094"/>
      <c r="AR97" s="8094"/>
      <c r="AS97" s="8094"/>
      <c r="AZ97" s="2100"/>
    </row>
    <row r="98" spans="1:52" x14ac:dyDescent="0.2">
      <c r="A98" s="2265"/>
      <c r="X98" s="2100"/>
      <c r="AP98" s="8094"/>
      <c r="AQ98" s="8094"/>
      <c r="AR98" s="8094"/>
      <c r="AS98" s="8094"/>
      <c r="AZ98" s="2100"/>
    </row>
    <row r="99" spans="1:52" x14ac:dyDescent="0.2">
      <c r="AP99" s="8094"/>
      <c r="AQ99" s="8094"/>
    </row>
  </sheetData>
  <mergeCells count="77">
    <mergeCell ref="AX3:AY3"/>
    <mergeCell ref="AX11:AX12"/>
    <mergeCell ref="AX40:AX41"/>
    <mergeCell ref="AZ3:BA3"/>
    <mergeCell ref="BD3:BE3"/>
    <mergeCell ref="AZ11:AZ12"/>
    <mergeCell ref="AZ40:AZ41"/>
    <mergeCell ref="BB3:BC3"/>
    <mergeCell ref="AP3:AQ3"/>
    <mergeCell ref="AP11:AP12"/>
    <mergeCell ref="AP40:AP41"/>
    <mergeCell ref="AR3:AS3"/>
    <mergeCell ref="AR11:AR12"/>
    <mergeCell ref="AR40:AR41"/>
    <mergeCell ref="AF3:AG3"/>
    <mergeCell ref="AH3:AI3"/>
    <mergeCell ref="AF11:AF12"/>
    <mergeCell ref="AH11:AH12"/>
    <mergeCell ref="AF40:AF41"/>
    <mergeCell ref="AH40:AH41"/>
    <mergeCell ref="AB3:AC3"/>
    <mergeCell ref="AD3:AE3"/>
    <mergeCell ref="AB11:AB12"/>
    <mergeCell ref="AD11:AD12"/>
    <mergeCell ref="AB40:AB41"/>
    <mergeCell ref="AD40:AD41"/>
    <mergeCell ref="R3:S3"/>
    <mergeCell ref="T3:U3"/>
    <mergeCell ref="R11:R12"/>
    <mergeCell ref="T11:T12"/>
    <mergeCell ref="R40:R41"/>
    <mergeCell ref="T40:T41"/>
    <mergeCell ref="P40:P41"/>
    <mergeCell ref="D40:D41"/>
    <mergeCell ref="F40:F41"/>
    <mergeCell ref="H40:H41"/>
    <mergeCell ref="J40:J41"/>
    <mergeCell ref="L40:L41"/>
    <mergeCell ref="N40:N41"/>
    <mergeCell ref="N11:N12"/>
    <mergeCell ref="P11:P12"/>
    <mergeCell ref="D11:D12"/>
    <mergeCell ref="F11:F12"/>
    <mergeCell ref="H11:H12"/>
    <mergeCell ref="J11:J12"/>
    <mergeCell ref="L11:L12"/>
    <mergeCell ref="J3:K3"/>
    <mergeCell ref="L3:M3"/>
    <mergeCell ref="N3:O3"/>
    <mergeCell ref="P3:Q3"/>
    <mergeCell ref="B3:B4"/>
    <mergeCell ref="C3:C4"/>
    <mergeCell ref="D3:E3"/>
    <mergeCell ref="F3:G3"/>
    <mergeCell ref="H3:I3"/>
    <mergeCell ref="V3:W3"/>
    <mergeCell ref="Z3:AA3"/>
    <mergeCell ref="V11:V12"/>
    <mergeCell ref="V40:V41"/>
    <mergeCell ref="X3:Y3"/>
    <mergeCell ref="X11:X12"/>
    <mergeCell ref="X40:X41"/>
    <mergeCell ref="AJ40:AJ41"/>
    <mergeCell ref="AL40:AL41"/>
    <mergeCell ref="AN11:AN12"/>
    <mergeCell ref="AN40:AN41"/>
    <mergeCell ref="AJ3:AK3"/>
    <mergeCell ref="AL3:AM3"/>
    <mergeCell ref="AN3:AO3"/>
    <mergeCell ref="AJ11:AJ12"/>
    <mergeCell ref="AL11:AL12"/>
    <mergeCell ref="AT3:AU3"/>
    <mergeCell ref="AV3:AW3"/>
    <mergeCell ref="AT11:AT12"/>
    <mergeCell ref="AV11:AV12"/>
    <mergeCell ref="AT40:AT41"/>
    <mergeCell ref="AV40:AV41"/>
  </mergeCells>
  <pageMargins left="0.7" right="0.7" top="0.75" bottom="0.75" header="0.3" footer="0.3"/>
  <pageSetup scale="87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D2:S33"/>
  <sheetViews>
    <sheetView workbookViewId="0">
      <selection activeCell="K5" sqref="K5"/>
    </sheetView>
  </sheetViews>
  <sheetFormatPr baseColWidth="10" defaultColWidth="9.1640625" defaultRowHeight="15" x14ac:dyDescent="0.2"/>
  <cols>
    <col min="1" max="3" width="9.1640625" style="6392"/>
    <col min="4" max="4" width="17.33203125" style="6392" customWidth="1"/>
    <col min="5" max="5" width="28.1640625" style="6392" bestFit="1" customWidth="1"/>
    <col min="6" max="16384" width="9.1640625" style="6392"/>
  </cols>
  <sheetData>
    <row r="2" spans="4:19" ht="37.5" customHeight="1" x14ac:dyDescent="0.2">
      <c r="D2" s="9048" t="s">
        <v>2203</v>
      </c>
      <c r="E2" s="9048"/>
      <c r="F2" s="9048"/>
      <c r="G2" s="9048"/>
      <c r="H2" s="9048"/>
      <c r="I2" s="9048"/>
      <c r="J2" s="9048"/>
      <c r="K2" s="9048"/>
      <c r="L2" s="9048"/>
      <c r="M2" s="9048"/>
      <c r="N2" s="9048"/>
      <c r="O2" s="9048"/>
      <c r="P2" s="9048"/>
      <c r="Q2" s="9048"/>
      <c r="R2" s="9048"/>
      <c r="S2" s="9048"/>
    </row>
    <row r="4" spans="4:19" x14ac:dyDescent="0.2">
      <c r="D4" s="3938"/>
      <c r="E4" s="3938"/>
      <c r="F4" s="3938"/>
      <c r="G4" s="5416" t="s">
        <v>2179</v>
      </c>
      <c r="H4" s="5416" t="s">
        <v>2180</v>
      </c>
      <c r="I4" s="5416" t="s">
        <v>2181</v>
      </c>
      <c r="J4" s="5416" t="s">
        <v>2182</v>
      </c>
      <c r="K4" s="5416" t="s">
        <v>2183</v>
      </c>
      <c r="L4" s="5416" t="s">
        <v>2184</v>
      </c>
      <c r="M4" s="5416" t="s">
        <v>2185</v>
      </c>
      <c r="N4" s="5416" t="s">
        <v>2186</v>
      </c>
      <c r="O4" s="5416" t="s">
        <v>2187</v>
      </c>
      <c r="P4" s="5416" t="s">
        <v>2188</v>
      </c>
      <c r="Q4" s="5416" t="s">
        <v>2189</v>
      </c>
      <c r="R4" s="5416" t="s">
        <v>2190</v>
      </c>
      <c r="S4" s="5416" t="s">
        <v>1865</v>
      </c>
    </row>
    <row r="5" spans="4:19" x14ac:dyDescent="0.2">
      <c r="D5" s="9049" t="s">
        <v>758</v>
      </c>
      <c r="E5" s="6398" t="s">
        <v>2191</v>
      </c>
      <c r="F5" s="5416" t="s">
        <v>863</v>
      </c>
      <c r="G5" s="5416">
        <v>575</v>
      </c>
      <c r="H5" s="5416"/>
      <c r="I5" s="5416"/>
      <c r="J5" s="5416"/>
      <c r="K5" s="5416"/>
      <c r="L5" s="5416"/>
      <c r="M5" s="5416"/>
      <c r="N5" s="5416"/>
      <c r="O5" s="5416"/>
      <c r="P5" s="5416"/>
      <c r="Q5" s="5416"/>
      <c r="R5" s="5416"/>
      <c r="S5" s="5416">
        <f>SUM(G5:R5)</f>
        <v>575</v>
      </c>
    </row>
    <row r="6" spans="4:19" ht="16" x14ac:dyDescent="0.2">
      <c r="D6" s="9049"/>
      <c r="E6" s="6399" t="s">
        <v>2192</v>
      </c>
      <c r="F6" s="5416" t="s">
        <v>863</v>
      </c>
      <c r="G6" s="5416">
        <v>804</v>
      </c>
      <c r="H6" s="5416"/>
      <c r="I6" s="5416"/>
      <c r="J6" s="5416"/>
      <c r="K6" s="5416"/>
      <c r="L6" s="5416"/>
      <c r="M6" s="5416"/>
      <c r="N6" s="5416"/>
      <c r="O6" s="5416"/>
      <c r="P6" s="5416"/>
      <c r="Q6" s="5416"/>
      <c r="R6" s="5416"/>
      <c r="S6" s="5416">
        <f t="shared" ref="S6:S13" si="0">SUM(G6:R6)</f>
        <v>804</v>
      </c>
    </row>
    <row r="7" spans="4:19" x14ac:dyDescent="0.2">
      <c r="D7" s="9049"/>
      <c r="E7" s="6398" t="s">
        <v>2193</v>
      </c>
      <c r="F7" s="5416" t="s">
        <v>863</v>
      </c>
      <c r="G7" s="5416">
        <v>333</v>
      </c>
      <c r="H7" s="5416"/>
      <c r="I7" s="5416"/>
      <c r="J7" s="5416"/>
      <c r="K7" s="5416"/>
      <c r="L7" s="5416"/>
      <c r="M7" s="5416"/>
      <c r="N7" s="5416"/>
      <c r="O7" s="5416"/>
      <c r="P7" s="5416"/>
      <c r="Q7" s="5416"/>
      <c r="R7" s="5416"/>
      <c r="S7" s="5416">
        <f t="shared" si="0"/>
        <v>333</v>
      </c>
    </row>
    <row r="8" spans="4:19" x14ac:dyDescent="0.2">
      <c r="D8" s="9049"/>
      <c r="E8" s="6398" t="s">
        <v>2194</v>
      </c>
      <c r="F8" s="5416" t="s">
        <v>863</v>
      </c>
      <c r="G8" s="5416">
        <v>304</v>
      </c>
      <c r="H8" s="5416"/>
      <c r="I8" s="5416"/>
      <c r="J8" s="5416"/>
      <c r="K8" s="5416"/>
      <c r="L8" s="5416"/>
      <c r="M8" s="5416"/>
      <c r="N8" s="5416"/>
      <c r="O8" s="5416"/>
      <c r="P8" s="5416"/>
      <c r="Q8" s="5416"/>
      <c r="R8" s="5416"/>
      <c r="S8" s="5416">
        <f t="shared" si="0"/>
        <v>304</v>
      </c>
    </row>
    <row r="9" spans="4:19" x14ac:dyDescent="0.2">
      <c r="D9" s="9049"/>
      <c r="E9" s="6398" t="s">
        <v>2195</v>
      </c>
      <c r="F9" s="5416" t="s">
        <v>863</v>
      </c>
      <c r="G9" s="5416">
        <v>300</v>
      </c>
      <c r="H9" s="5416"/>
      <c r="I9" s="5416"/>
      <c r="J9" s="5416"/>
      <c r="K9" s="5416"/>
      <c r="L9" s="5416"/>
      <c r="M9" s="5416"/>
      <c r="N9" s="5416"/>
      <c r="O9" s="5416"/>
      <c r="P9" s="5416"/>
      <c r="Q9" s="5416"/>
      <c r="R9" s="5416"/>
      <c r="S9" s="5416">
        <f t="shared" si="0"/>
        <v>300</v>
      </c>
    </row>
    <row r="11" spans="4:19" ht="15" customHeight="1" x14ac:dyDescent="0.2">
      <c r="D11" s="9050" t="s">
        <v>1954</v>
      </c>
      <c r="E11" s="3938" t="s">
        <v>2196</v>
      </c>
      <c r="F11" s="5416" t="s">
        <v>863</v>
      </c>
      <c r="G11" s="5674"/>
      <c r="H11" s="5674"/>
      <c r="I11" s="5674"/>
      <c r="J11" s="5674"/>
      <c r="K11" s="5674"/>
      <c r="L11" s="5674"/>
      <c r="M11" s="5674"/>
      <c r="N11" s="5674"/>
      <c r="O11" s="5674"/>
      <c r="P11" s="5674"/>
      <c r="Q11" s="5674"/>
      <c r="R11" s="5674"/>
      <c r="S11" s="5674">
        <f t="shared" si="0"/>
        <v>0</v>
      </c>
    </row>
    <row r="12" spans="4:19" x14ac:dyDescent="0.2">
      <c r="D12" s="9050"/>
      <c r="E12" s="3938" t="s">
        <v>2197</v>
      </c>
      <c r="F12" s="5416" t="s">
        <v>863</v>
      </c>
      <c r="G12" s="5674">
        <f>+'B-FCE'!E17</f>
        <v>1693</v>
      </c>
      <c r="H12" s="5674">
        <f>+'B-FCE'!G17</f>
        <v>4190</v>
      </c>
      <c r="I12" s="5674"/>
      <c r="J12" s="5674"/>
      <c r="K12" s="5674"/>
      <c r="L12" s="5674"/>
      <c r="M12" s="5674"/>
      <c r="N12" s="5674"/>
      <c r="O12" s="5674"/>
      <c r="P12" s="5674"/>
      <c r="Q12" s="5674"/>
      <c r="R12" s="5674"/>
      <c r="S12" s="5674">
        <f t="shared" si="0"/>
        <v>5883</v>
      </c>
    </row>
    <row r="13" spans="4:19" x14ac:dyDescent="0.2">
      <c r="D13" s="9050"/>
      <c r="E13" s="3938" t="s">
        <v>2198</v>
      </c>
      <c r="F13" s="5416" t="s">
        <v>863</v>
      </c>
      <c r="G13" s="5674"/>
      <c r="H13" s="5674"/>
      <c r="I13" s="5674"/>
      <c r="J13" s="5674"/>
      <c r="K13" s="5674"/>
      <c r="L13" s="5674"/>
      <c r="M13" s="5674"/>
      <c r="N13" s="5674"/>
      <c r="O13" s="5674"/>
      <c r="P13" s="5674"/>
      <c r="Q13" s="5674"/>
      <c r="R13" s="5674"/>
      <c r="S13" s="5674">
        <f t="shared" si="0"/>
        <v>0</v>
      </c>
    </row>
    <row r="15" spans="4:19" x14ac:dyDescent="0.2">
      <c r="D15" s="9050" t="s">
        <v>2199</v>
      </c>
      <c r="E15" s="3938" t="s">
        <v>194</v>
      </c>
      <c r="F15" s="5416" t="s">
        <v>863</v>
      </c>
      <c r="G15" s="5674"/>
      <c r="H15" s="5674"/>
      <c r="I15" s="5674"/>
      <c r="J15" s="5674"/>
      <c r="K15" s="5674"/>
      <c r="L15" s="5674"/>
      <c r="M15" s="5674"/>
      <c r="N15" s="5674"/>
      <c r="O15" s="5674"/>
      <c r="P15" s="5674"/>
      <c r="Q15" s="5674"/>
      <c r="R15" s="5674"/>
      <c r="S15" s="5674">
        <f>SUM(G15:R15)</f>
        <v>0</v>
      </c>
    </row>
    <row r="16" spans="4:19" x14ac:dyDescent="0.2">
      <c r="D16" s="9050"/>
      <c r="E16" s="3938" t="s">
        <v>341</v>
      </c>
      <c r="F16" s="5416" t="s">
        <v>863</v>
      </c>
      <c r="G16" s="5674"/>
      <c r="H16" s="5674"/>
      <c r="I16" s="5674"/>
      <c r="J16" s="5674"/>
      <c r="K16" s="5674"/>
      <c r="L16" s="5674"/>
      <c r="M16" s="5674"/>
      <c r="N16" s="5674"/>
      <c r="O16" s="5674"/>
      <c r="P16" s="5674"/>
      <c r="Q16" s="5674"/>
      <c r="R16" s="5674"/>
      <c r="S16" s="5674">
        <f>SUM(G16:R16)</f>
        <v>0</v>
      </c>
    </row>
    <row r="17" spans="4:19" x14ac:dyDescent="0.2">
      <c r="D17" s="9050"/>
      <c r="E17" s="3938" t="s">
        <v>518</v>
      </c>
      <c r="F17" s="5416" t="s">
        <v>863</v>
      </c>
      <c r="G17" s="5674"/>
      <c r="H17" s="5674"/>
      <c r="I17" s="5674"/>
      <c r="J17" s="5674"/>
      <c r="K17" s="5674"/>
      <c r="L17" s="5674"/>
      <c r="M17" s="5674"/>
      <c r="N17" s="5551"/>
      <c r="O17" s="5551"/>
      <c r="P17" s="5551"/>
      <c r="Q17" s="5551"/>
      <c r="R17" s="5551"/>
      <c r="S17" s="5674">
        <f>SUM(G17:R17)</f>
        <v>0</v>
      </c>
    </row>
    <row r="20" spans="4:19" x14ac:dyDescent="0.2">
      <c r="D20" s="8954" t="s">
        <v>194</v>
      </c>
      <c r="E20" s="3938" t="s">
        <v>2200</v>
      </c>
      <c r="F20" s="5416" t="s">
        <v>863</v>
      </c>
      <c r="G20" s="5674"/>
      <c r="H20" s="5674"/>
      <c r="I20" s="5674"/>
      <c r="J20" s="5674"/>
      <c r="K20" s="5674"/>
      <c r="L20" s="5674"/>
      <c r="M20" s="5674"/>
      <c r="N20" s="5674"/>
      <c r="O20" s="5674"/>
      <c r="P20" s="5674"/>
      <c r="Q20" s="5674"/>
      <c r="R20" s="5674"/>
      <c r="S20" s="5674">
        <f t="shared" ref="S20:S23" si="1">SUM(G20:R20)</f>
        <v>0</v>
      </c>
    </row>
    <row r="21" spans="4:19" x14ac:dyDescent="0.2">
      <c r="D21" s="8954"/>
      <c r="E21" s="3938" t="s">
        <v>2113</v>
      </c>
      <c r="F21" s="5416" t="s">
        <v>863</v>
      </c>
      <c r="G21" s="5674"/>
      <c r="H21" s="5674"/>
      <c r="I21" s="5674"/>
      <c r="J21" s="5674"/>
      <c r="K21" s="5674"/>
      <c r="L21" s="5674"/>
      <c r="M21" s="5674"/>
      <c r="N21" s="5674"/>
      <c r="O21" s="5674"/>
      <c r="P21" s="5674"/>
      <c r="Q21" s="5674"/>
      <c r="R21" s="5674"/>
      <c r="S21" s="5674">
        <f t="shared" si="1"/>
        <v>0</v>
      </c>
    </row>
    <row r="22" spans="4:19" x14ac:dyDescent="0.2">
      <c r="D22" s="8954"/>
      <c r="E22" s="3938" t="s">
        <v>2201</v>
      </c>
      <c r="F22" s="5416" t="s">
        <v>863</v>
      </c>
      <c r="G22" s="5674">
        <f t="shared" ref="G22:R22" si="2">SUM(G20:G21)</f>
        <v>0</v>
      </c>
      <c r="H22" s="5674">
        <f t="shared" si="2"/>
        <v>0</v>
      </c>
      <c r="I22" s="5674">
        <f t="shared" si="2"/>
        <v>0</v>
      </c>
      <c r="J22" s="5674">
        <f t="shared" si="2"/>
        <v>0</v>
      </c>
      <c r="K22" s="5674">
        <f t="shared" si="2"/>
        <v>0</v>
      </c>
      <c r="L22" s="5674">
        <f t="shared" si="2"/>
        <v>0</v>
      </c>
      <c r="M22" s="5674">
        <f t="shared" si="2"/>
        <v>0</v>
      </c>
      <c r="N22" s="5674">
        <f t="shared" si="2"/>
        <v>0</v>
      </c>
      <c r="O22" s="5674">
        <f t="shared" si="2"/>
        <v>0</v>
      </c>
      <c r="P22" s="5674">
        <f t="shared" si="2"/>
        <v>0</v>
      </c>
      <c r="Q22" s="5674">
        <f t="shared" si="2"/>
        <v>0</v>
      </c>
      <c r="R22" s="5674">
        <f t="shared" si="2"/>
        <v>0</v>
      </c>
      <c r="S22" s="5674">
        <f t="shared" si="1"/>
        <v>0</v>
      </c>
    </row>
    <row r="23" spans="4:19" x14ac:dyDescent="0.2">
      <c r="D23" s="8954"/>
      <c r="E23" s="3938" t="s">
        <v>2202</v>
      </c>
      <c r="F23" s="5416" t="s">
        <v>863</v>
      </c>
      <c r="G23" s="5674"/>
      <c r="H23" s="5674"/>
      <c r="I23" s="5674"/>
      <c r="J23" s="5674"/>
      <c r="K23" s="5674"/>
      <c r="L23" s="5674"/>
      <c r="M23" s="5674"/>
      <c r="N23" s="5674"/>
      <c r="O23" s="5674"/>
      <c r="P23" s="5674"/>
      <c r="Q23" s="5674"/>
      <c r="R23" s="5674"/>
      <c r="S23" s="5674">
        <f t="shared" si="1"/>
        <v>0</v>
      </c>
    </row>
    <row r="25" spans="4:19" x14ac:dyDescent="0.2">
      <c r="D25" s="8954" t="s">
        <v>341</v>
      </c>
      <c r="E25" s="3938" t="s">
        <v>2200</v>
      </c>
      <c r="F25" s="5416" t="s">
        <v>863</v>
      </c>
      <c r="G25" s="5674"/>
      <c r="H25" s="5674"/>
      <c r="I25" s="5674"/>
      <c r="J25" s="5674"/>
      <c r="K25" s="5674"/>
      <c r="L25" s="5674"/>
      <c r="M25" s="5674"/>
      <c r="N25" s="5674"/>
      <c r="O25" s="5674"/>
      <c r="P25" s="5674"/>
      <c r="Q25" s="5674"/>
      <c r="R25" s="5674"/>
      <c r="S25" s="5674">
        <f t="shared" ref="S25:S28" si="3">SUM(G25:R25)</f>
        <v>0</v>
      </c>
    </row>
    <row r="26" spans="4:19" x14ac:dyDescent="0.2">
      <c r="D26" s="8954"/>
      <c r="E26" s="3938" t="s">
        <v>2113</v>
      </c>
      <c r="F26" s="5416" t="s">
        <v>863</v>
      </c>
      <c r="G26" s="5674"/>
      <c r="H26" s="5674"/>
      <c r="I26" s="5674"/>
      <c r="J26" s="5674"/>
      <c r="K26" s="5674"/>
      <c r="L26" s="5674"/>
      <c r="M26" s="5674"/>
      <c r="N26" s="5674"/>
      <c r="O26" s="5674"/>
      <c r="P26" s="5674"/>
      <c r="Q26" s="5674"/>
      <c r="R26" s="5674"/>
      <c r="S26" s="5674">
        <f t="shared" si="3"/>
        <v>0</v>
      </c>
    </row>
    <row r="27" spans="4:19" x14ac:dyDescent="0.2">
      <c r="D27" s="8954"/>
      <c r="E27" s="3938" t="s">
        <v>2201</v>
      </c>
      <c r="F27" s="5416" t="s">
        <v>863</v>
      </c>
      <c r="G27" s="5674">
        <f t="shared" ref="G27:R27" si="4">SUM(G25:G26)</f>
        <v>0</v>
      </c>
      <c r="H27" s="5674">
        <f t="shared" si="4"/>
        <v>0</v>
      </c>
      <c r="I27" s="5674">
        <f t="shared" si="4"/>
        <v>0</v>
      </c>
      <c r="J27" s="5674">
        <f t="shared" si="4"/>
        <v>0</v>
      </c>
      <c r="K27" s="5674">
        <f t="shared" si="4"/>
        <v>0</v>
      </c>
      <c r="L27" s="5674">
        <f t="shared" si="4"/>
        <v>0</v>
      </c>
      <c r="M27" s="5674">
        <f t="shared" si="4"/>
        <v>0</v>
      </c>
      <c r="N27" s="5674">
        <f t="shared" si="4"/>
        <v>0</v>
      </c>
      <c r="O27" s="5674">
        <f t="shared" si="4"/>
        <v>0</v>
      </c>
      <c r="P27" s="5674">
        <f t="shared" si="4"/>
        <v>0</v>
      </c>
      <c r="Q27" s="5674">
        <f t="shared" si="4"/>
        <v>0</v>
      </c>
      <c r="R27" s="5674">
        <f t="shared" si="4"/>
        <v>0</v>
      </c>
      <c r="S27" s="5674">
        <f t="shared" si="3"/>
        <v>0</v>
      </c>
    </row>
    <row r="28" spans="4:19" x14ac:dyDescent="0.2">
      <c r="D28" s="8954"/>
      <c r="E28" s="3938" t="s">
        <v>2202</v>
      </c>
      <c r="F28" s="5416" t="s">
        <v>863</v>
      </c>
      <c r="G28" s="5674"/>
      <c r="H28" s="5674"/>
      <c r="I28" s="5674"/>
      <c r="J28" s="5674"/>
      <c r="K28" s="5674"/>
      <c r="L28" s="5674"/>
      <c r="M28" s="5674"/>
      <c r="N28" s="5674"/>
      <c r="O28" s="5674"/>
      <c r="P28" s="5674"/>
      <c r="Q28" s="5674"/>
      <c r="R28" s="5674"/>
      <c r="S28" s="5674">
        <f t="shared" si="3"/>
        <v>0</v>
      </c>
    </row>
    <row r="30" spans="4:19" x14ac:dyDescent="0.2">
      <c r="D30" s="8954" t="s">
        <v>447</v>
      </c>
      <c r="E30" s="3938" t="s">
        <v>2200</v>
      </c>
      <c r="F30" s="5416" t="s">
        <v>863</v>
      </c>
      <c r="G30" s="5674"/>
      <c r="H30" s="5674"/>
      <c r="I30" s="5674"/>
      <c r="J30" s="5674"/>
      <c r="K30" s="5674"/>
      <c r="L30" s="5674"/>
      <c r="M30" s="5674"/>
      <c r="N30" s="5674"/>
      <c r="O30" s="5674"/>
      <c r="P30" s="5674"/>
      <c r="Q30" s="5674"/>
      <c r="R30" s="5674"/>
      <c r="S30" s="5674">
        <f t="shared" ref="S30:S33" si="5">SUM(G30:R30)</f>
        <v>0</v>
      </c>
    </row>
    <row r="31" spans="4:19" x14ac:dyDescent="0.2">
      <c r="D31" s="8954"/>
      <c r="E31" s="3938" t="s">
        <v>2113</v>
      </c>
      <c r="F31" s="5416" t="s">
        <v>863</v>
      </c>
      <c r="G31" s="5674"/>
      <c r="H31" s="5674"/>
      <c r="I31" s="5674"/>
      <c r="J31" s="5674"/>
      <c r="K31" s="5674"/>
      <c r="L31" s="5674"/>
      <c r="M31" s="5674"/>
      <c r="N31" s="5674"/>
      <c r="O31" s="5674"/>
      <c r="P31" s="5674"/>
      <c r="Q31" s="5674"/>
      <c r="R31" s="5674"/>
      <c r="S31" s="5674">
        <f t="shared" si="5"/>
        <v>0</v>
      </c>
    </row>
    <row r="32" spans="4:19" x14ac:dyDescent="0.2">
      <c r="D32" s="8954"/>
      <c r="E32" s="3938" t="s">
        <v>2201</v>
      </c>
      <c r="F32" s="5416" t="s">
        <v>863</v>
      </c>
      <c r="G32" s="5674">
        <f t="shared" ref="G32:R32" si="6">SUM(G30:G31)</f>
        <v>0</v>
      </c>
      <c r="H32" s="5674">
        <f t="shared" si="6"/>
        <v>0</v>
      </c>
      <c r="I32" s="5674">
        <f t="shared" si="6"/>
        <v>0</v>
      </c>
      <c r="J32" s="5674">
        <f t="shared" si="6"/>
        <v>0</v>
      </c>
      <c r="K32" s="5674">
        <f t="shared" si="6"/>
        <v>0</v>
      </c>
      <c r="L32" s="5674">
        <f t="shared" si="6"/>
        <v>0</v>
      </c>
      <c r="M32" s="5674">
        <f t="shared" si="6"/>
        <v>0</v>
      </c>
      <c r="N32" s="5674">
        <f t="shared" si="6"/>
        <v>0</v>
      </c>
      <c r="O32" s="5674">
        <f t="shared" si="6"/>
        <v>0</v>
      </c>
      <c r="P32" s="5674">
        <f t="shared" si="6"/>
        <v>0</v>
      </c>
      <c r="Q32" s="5674">
        <f t="shared" si="6"/>
        <v>0</v>
      </c>
      <c r="R32" s="5674">
        <f t="shared" si="6"/>
        <v>0</v>
      </c>
      <c r="S32" s="5674">
        <f t="shared" si="5"/>
        <v>0</v>
      </c>
    </row>
    <row r="33" spans="4:19" x14ac:dyDescent="0.2">
      <c r="D33" s="8954"/>
      <c r="E33" s="3938" t="s">
        <v>2202</v>
      </c>
      <c r="F33" s="5416" t="s">
        <v>863</v>
      </c>
      <c r="G33" s="6400"/>
      <c r="H33" s="5674"/>
      <c r="I33" s="5674"/>
      <c r="J33" s="5674"/>
      <c r="K33" s="5674"/>
      <c r="L33" s="5674"/>
      <c r="M33" s="5674"/>
      <c r="N33" s="5674"/>
      <c r="O33" s="5674"/>
      <c r="P33" s="5674"/>
      <c r="Q33" s="5674"/>
      <c r="R33" s="5674"/>
      <c r="S33" s="5674">
        <f t="shared" si="5"/>
        <v>0</v>
      </c>
    </row>
  </sheetData>
  <mergeCells count="7">
    <mergeCell ref="D30:D33"/>
    <mergeCell ref="D2:S2"/>
    <mergeCell ref="D5:D9"/>
    <mergeCell ref="D11:D13"/>
    <mergeCell ref="D15:D17"/>
    <mergeCell ref="D20:D23"/>
    <mergeCell ref="D25:D2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FF00"/>
    <pageSetUpPr fitToPage="1"/>
  </sheetPr>
  <dimension ref="B1:BE28"/>
  <sheetViews>
    <sheetView workbookViewId="0">
      <pane xSplit="3" topLeftCell="AX1" activePane="topRight" state="frozen"/>
      <selection pane="topRight" activeCell="BJ9" sqref="BJ9"/>
    </sheetView>
  </sheetViews>
  <sheetFormatPr baseColWidth="10" defaultColWidth="8.83203125" defaultRowHeight="15" x14ac:dyDescent="0.2"/>
  <cols>
    <col min="2" max="2" width="43.5" customWidth="1"/>
    <col min="4" max="4" width="11.1640625" style="2100" customWidth="1"/>
    <col min="5" max="5" width="13.1640625" style="2265" customWidth="1"/>
    <col min="6" max="6" width="9.1640625" style="2100" customWidth="1"/>
    <col min="7" max="7" width="9.1640625" style="2265" customWidth="1"/>
    <col min="8" max="8" width="9.1640625" style="2100" customWidth="1"/>
    <col min="9" max="9" width="9.1640625" style="2265" customWidth="1"/>
    <col min="10" max="10" width="9.1640625" style="2100" customWidth="1"/>
    <col min="11" max="11" width="9.1640625" style="2265" customWidth="1"/>
    <col min="12" max="12" width="9.1640625" style="2100" customWidth="1"/>
    <col min="13" max="13" width="9.1640625" style="2265" customWidth="1"/>
    <col min="14" max="14" width="10.33203125" style="2100" customWidth="1"/>
    <col min="15" max="15" width="11.5" style="2265" customWidth="1"/>
    <col min="16" max="16" width="9.1640625" style="2100" customWidth="1"/>
    <col min="17" max="17" width="9.1640625" style="2265" customWidth="1"/>
    <col min="18" max="18" width="9.1640625" customWidth="1"/>
    <col min="19" max="19" width="11.5" customWidth="1"/>
    <col min="20" max="21" width="10.5" customWidth="1"/>
    <col min="23" max="23" width="10.5" bestFit="1" customWidth="1"/>
    <col min="24" max="25" width="9.1640625" style="7006"/>
    <col min="28" max="28" width="8.6640625" bestFit="1" customWidth="1"/>
    <col min="29" max="29" width="10.5" bestFit="1" customWidth="1"/>
    <col min="33" max="33" width="10.5" bestFit="1" customWidth="1"/>
    <col min="42" max="42" width="10.5" bestFit="1" customWidth="1"/>
    <col min="46" max="46" width="12.33203125" customWidth="1"/>
    <col min="47" max="47" width="14" customWidth="1"/>
    <col min="49" max="49" width="12.6640625" customWidth="1"/>
    <col min="50" max="50" width="13.33203125" customWidth="1"/>
    <col min="51" max="51" width="15" customWidth="1"/>
    <col min="52" max="57" width="9.1640625" style="8338"/>
  </cols>
  <sheetData>
    <row r="1" spans="2:57" ht="23" x14ac:dyDescent="0.25">
      <c r="B1" s="1641" t="s">
        <v>887</v>
      </c>
      <c r="C1" s="1537"/>
      <c r="D1" s="2883"/>
      <c r="E1" s="1833"/>
      <c r="F1" s="2883"/>
      <c r="G1" s="1833"/>
      <c r="H1" s="2883"/>
      <c r="I1" s="1833"/>
    </row>
    <row r="2" spans="2:57" s="2265" customFormat="1" ht="16" thickBot="1" x14ac:dyDescent="0.25">
      <c r="B2" s="1833"/>
      <c r="C2" s="1833"/>
      <c r="D2" s="1833"/>
      <c r="E2" s="1833"/>
      <c r="F2" s="1833"/>
      <c r="G2" s="1833"/>
      <c r="H2" s="1833"/>
      <c r="I2" s="1833"/>
    </row>
    <row r="3" spans="2:57" s="2265" customFormat="1" ht="16" thickBot="1" x14ac:dyDescent="0.25">
      <c r="B3" s="8707" t="s">
        <v>657</v>
      </c>
      <c r="C3" s="8835" t="s">
        <v>658</v>
      </c>
      <c r="D3" s="8644" t="s">
        <v>1859</v>
      </c>
      <c r="E3" s="8645"/>
      <c r="F3" s="8644" t="s">
        <v>1862</v>
      </c>
      <c r="G3" s="8644"/>
      <c r="H3" s="8646" t="s">
        <v>52</v>
      </c>
      <c r="I3" s="8647"/>
      <c r="J3" s="8644" t="s">
        <v>1863</v>
      </c>
      <c r="K3" s="8704"/>
      <c r="L3" s="8698" t="s">
        <v>1568</v>
      </c>
      <c r="M3" s="8699"/>
      <c r="N3" s="8644" t="s">
        <v>1864</v>
      </c>
      <c r="O3" s="8644"/>
      <c r="P3" s="8646" t="s">
        <v>62</v>
      </c>
      <c r="Q3" s="8647"/>
      <c r="R3" s="8644" t="s">
        <v>2160</v>
      </c>
      <c r="S3" s="8644"/>
      <c r="T3" s="8646" t="s">
        <v>64</v>
      </c>
      <c r="U3" s="8647"/>
      <c r="V3" s="8644" t="s">
        <v>2227</v>
      </c>
      <c r="W3" s="8644"/>
      <c r="X3" s="8698" t="s">
        <v>1717</v>
      </c>
      <c r="Y3" s="8699"/>
      <c r="Z3" s="8701" t="s">
        <v>1697</v>
      </c>
      <c r="AA3" s="8702"/>
      <c r="AB3" s="8644" t="s">
        <v>2265</v>
      </c>
      <c r="AC3" s="8644"/>
      <c r="AD3" s="8646" t="s">
        <v>101</v>
      </c>
      <c r="AE3" s="8647"/>
      <c r="AF3" s="8644" t="s">
        <v>2423</v>
      </c>
      <c r="AG3" s="8644"/>
      <c r="AH3" s="8646" t="s">
        <v>105</v>
      </c>
      <c r="AI3" s="8647"/>
      <c r="AJ3" s="8644" t="s">
        <v>2449</v>
      </c>
      <c r="AK3" s="8644"/>
      <c r="AL3" s="8698" t="s">
        <v>1756</v>
      </c>
      <c r="AM3" s="8699"/>
      <c r="AN3" s="8646" t="s">
        <v>2448</v>
      </c>
      <c r="AO3" s="8647"/>
      <c r="AP3" s="8703" t="s">
        <v>2533</v>
      </c>
      <c r="AQ3" s="8704"/>
      <c r="AR3" s="8646" t="s">
        <v>110</v>
      </c>
      <c r="AS3" s="8647"/>
      <c r="AT3" s="8703" t="s">
        <v>2577</v>
      </c>
      <c r="AU3" s="8704"/>
      <c r="AV3" s="8646" t="s">
        <v>113</v>
      </c>
      <c r="AW3" s="8647"/>
      <c r="AX3" s="8703" t="s">
        <v>2600</v>
      </c>
      <c r="AY3" s="8704"/>
      <c r="AZ3" s="8698" t="s">
        <v>1757</v>
      </c>
      <c r="BA3" s="8699"/>
      <c r="BB3" s="8698" t="s">
        <v>1842</v>
      </c>
      <c r="BC3" s="8699"/>
      <c r="BD3" s="8701" t="s">
        <v>1865</v>
      </c>
      <c r="BE3" s="8702"/>
    </row>
    <row r="4" spans="2:57" s="2265" customFormat="1" ht="16" thickBot="1" x14ac:dyDescent="0.25">
      <c r="B4" s="9051"/>
      <c r="C4" s="9052"/>
      <c r="D4" s="6207" t="s">
        <v>659</v>
      </c>
      <c r="E4" s="5216" t="s">
        <v>660</v>
      </c>
      <c r="F4" s="3839" t="s">
        <v>659</v>
      </c>
      <c r="G4" s="5442" t="s">
        <v>660</v>
      </c>
      <c r="H4" s="6208" t="s">
        <v>659</v>
      </c>
      <c r="I4" s="5058" t="s">
        <v>660</v>
      </c>
      <c r="J4" s="3839" t="s">
        <v>659</v>
      </c>
      <c r="K4" s="6201" t="s">
        <v>660</v>
      </c>
      <c r="L4" s="6209" t="s">
        <v>659</v>
      </c>
      <c r="M4" s="5797" t="s">
        <v>660</v>
      </c>
      <c r="N4" s="3839" t="s">
        <v>659</v>
      </c>
      <c r="O4" s="6201" t="s">
        <v>660</v>
      </c>
      <c r="P4" s="6208" t="s">
        <v>659</v>
      </c>
      <c r="Q4" s="5058" t="s">
        <v>660</v>
      </c>
      <c r="R4" s="3839" t="s">
        <v>659</v>
      </c>
      <c r="S4" s="6201" t="s">
        <v>660</v>
      </c>
      <c r="T4" s="6208" t="s">
        <v>659</v>
      </c>
      <c r="U4" s="5058" t="s">
        <v>660</v>
      </c>
      <c r="V4" s="3839" t="s">
        <v>659</v>
      </c>
      <c r="W4" s="6201" t="s">
        <v>660</v>
      </c>
      <c r="X4" s="6209" t="s">
        <v>659</v>
      </c>
      <c r="Y4" s="5797" t="s">
        <v>660</v>
      </c>
      <c r="Z4" s="7117" t="s">
        <v>659</v>
      </c>
      <c r="AA4" s="7118" t="s">
        <v>660</v>
      </c>
      <c r="AB4" s="3839" t="s">
        <v>659</v>
      </c>
      <c r="AC4" s="6201" t="s">
        <v>660</v>
      </c>
      <c r="AD4" s="6208" t="s">
        <v>659</v>
      </c>
      <c r="AE4" s="5058" t="s">
        <v>660</v>
      </c>
      <c r="AF4" s="3839" t="s">
        <v>659</v>
      </c>
      <c r="AG4" s="6201" t="s">
        <v>660</v>
      </c>
      <c r="AH4" s="6208" t="s">
        <v>659</v>
      </c>
      <c r="AI4" s="5058" t="s">
        <v>660</v>
      </c>
      <c r="AJ4" s="3839" t="s">
        <v>659</v>
      </c>
      <c r="AK4" s="6201" t="s">
        <v>660</v>
      </c>
      <c r="AL4" s="6209" t="s">
        <v>659</v>
      </c>
      <c r="AM4" s="5797" t="s">
        <v>660</v>
      </c>
      <c r="AN4" s="6208" t="s">
        <v>659</v>
      </c>
      <c r="AO4" s="5058" t="s">
        <v>660</v>
      </c>
      <c r="AP4" s="3839" t="s">
        <v>659</v>
      </c>
      <c r="AQ4" s="6201" t="s">
        <v>660</v>
      </c>
      <c r="AR4" s="6208" t="s">
        <v>659</v>
      </c>
      <c r="AS4" s="5058" t="s">
        <v>660</v>
      </c>
      <c r="AT4" s="3839" t="s">
        <v>659</v>
      </c>
      <c r="AU4" s="6201" t="s">
        <v>660</v>
      </c>
      <c r="AV4" s="6208" t="s">
        <v>659</v>
      </c>
      <c r="AW4" s="5058" t="s">
        <v>660</v>
      </c>
      <c r="AX4" s="3839" t="s">
        <v>659</v>
      </c>
      <c r="AY4" s="6201" t="s">
        <v>660</v>
      </c>
      <c r="AZ4" s="6209" t="s">
        <v>659</v>
      </c>
      <c r="BA4" s="5797" t="s">
        <v>660</v>
      </c>
      <c r="BB4" s="6209" t="s">
        <v>659</v>
      </c>
      <c r="BC4" s="5797" t="s">
        <v>660</v>
      </c>
      <c r="BD4" s="7117" t="s">
        <v>659</v>
      </c>
      <c r="BE4" s="7118" t="s">
        <v>660</v>
      </c>
    </row>
    <row r="5" spans="2:57" x14ac:dyDescent="0.2">
      <c r="B5" s="1664" t="s">
        <v>953</v>
      </c>
      <c r="C5" s="1554" t="s">
        <v>952</v>
      </c>
      <c r="D5" s="6178">
        <f>+'Maj Techno Summ'!D27</f>
        <v>4.3</v>
      </c>
      <c r="E5" s="6186">
        <f>+'Maj Techno Summ'!E27</f>
        <v>5.83</v>
      </c>
      <c r="F5" s="6178">
        <f>+'Maj Techno Summ'!F27</f>
        <v>4.3</v>
      </c>
      <c r="G5" s="6186">
        <f>+'Maj Techno Summ'!G27</f>
        <v>5.81</v>
      </c>
      <c r="H5" s="5833">
        <f>+'Maj Techno Summ'!H27</f>
        <v>4.3</v>
      </c>
      <c r="I5" s="6196">
        <f>+'Maj Techno Summ'!I27</f>
        <v>5.8198098977598214</v>
      </c>
      <c r="J5" s="6178">
        <f>+'Maj Techno Summ'!J27</f>
        <v>4.3</v>
      </c>
      <c r="K5" s="6186">
        <f>+'Maj Techno Summ'!K27</f>
        <v>5.23</v>
      </c>
      <c r="L5" s="6180">
        <f>+'Maj Techno Summ'!L27</f>
        <v>4.3</v>
      </c>
      <c r="M5" s="6202">
        <f>+'Maj Techno Summ'!M27</f>
        <v>5.6082959630344282</v>
      </c>
      <c r="N5" s="6178">
        <f>+'Maj Techno Summ'!N27</f>
        <v>4.3</v>
      </c>
      <c r="O5" s="6186">
        <f>+'Maj Techno Summ'!O27</f>
        <v>5.32</v>
      </c>
      <c r="P5" s="5833">
        <f>+'Maj Techno Summ'!P27</f>
        <v>4.3</v>
      </c>
      <c r="Q5" s="6196">
        <f>+'Maj Techno Summ'!Q27</f>
        <v>5.5271721751476655</v>
      </c>
      <c r="R5" s="6186">
        <f>+'Maj Techno Summ'!R27</f>
        <v>4.3</v>
      </c>
      <c r="S5" s="6186">
        <f>+'Maj Techno Summ'!S27</f>
        <v>4.8</v>
      </c>
      <c r="T5" s="6196">
        <f>+'Maj Techno Summ'!T27</f>
        <v>4.3</v>
      </c>
      <c r="U5" s="6196">
        <f>+'Maj Techno Summ'!U27</f>
        <v>5.3590322186047397</v>
      </c>
      <c r="V5" s="6186">
        <f>+'Maj Techno Summ'!V27</f>
        <v>4.3</v>
      </c>
      <c r="W5" s="6186">
        <f>+'Maj Techno Summ'!W27</f>
        <v>7.49</v>
      </c>
      <c r="X5" s="6202">
        <f>+'Maj Techno Summ'!X27</f>
        <v>4.3</v>
      </c>
      <c r="Y5" s="6202">
        <f>+'Maj Techno Summ'!Y27</f>
        <v>5.5407376161678243</v>
      </c>
      <c r="Z5" s="7119">
        <f>+'Maj Techno Summ'!Z27</f>
        <v>4.3</v>
      </c>
      <c r="AA5" s="7119">
        <f>+'Maj Techno Summ'!AA27</f>
        <v>5.5742900733285969</v>
      </c>
      <c r="AB5" s="6186">
        <f>+'Maj Techno Summ'!AB27</f>
        <v>4.3</v>
      </c>
      <c r="AC5" s="6186">
        <f>+'Maj Techno Summ'!AC27</f>
        <v>7.72</v>
      </c>
      <c r="AD5" s="6196">
        <f>+'Maj Techno Summ'!AD27</f>
        <v>4.3</v>
      </c>
      <c r="AE5" s="6196">
        <f>+'Maj Techno Summ'!AE27</f>
        <v>5.8030997330189598</v>
      </c>
      <c r="AF5" s="6186">
        <f>+'Maj Techno Summ'!AF27</f>
        <v>4.3</v>
      </c>
      <c r="AG5" s="6186">
        <f>+'Maj Techno Summ'!AG27</f>
        <v>5.43</v>
      </c>
      <c r="AH5" s="6196">
        <f>+'Maj Techno Summ'!AH27</f>
        <v>4.3</v>
      </c>
      <c r="AI5" s="6196">
        <f>+'Maj Techno Summ'!AI27</f>
        <v>5.7542283209635405</v>
      </c>
      <c r="AJ5" s="6186">
        <f>+'Maj Techno Summ'!AJ27</f>
        <v>4.3</v>
      </c>
      <c r="AK5" s="6186">
        <f>+'Maj Techno Summ'!AK27</f>
        <v>4.84</v>
      </c>
      <c r="AL5" s="6202">
        <f>+'Maj Techno Summ'!AL27</f>
        <v>4.3</v>
      </c>
      <c r="AM5" s="6202">
        <f>+'Maj Techno Summ'!AM27</f>
        <v>5.7426988853072167</v>
      </c>
      <c r="AN5" s="6196">
        <f>+'Maj Techno Summ'!AN27</f>
        <v>4.3</v>
      </c>
      <c r="AO5" s="6196">
        <f>+'Maj Techno Summ'!AO27</f>
        <v>5.6297562926595228</v>
      </c>
      <c r="AP5" s="6178">
        <f>+'Maj Techno Summ'!AP27</f>
        <v>4.3</v>
      </c>
      <c r="AQ5" s="6186">
        <f>+'Maj Techno Summ'!AQ27</f>
        <v>3.9</v>
      </c>
      <c r="AR5" s="6196">
        <f>+'Maj Techno Summ'!AR27</f>
        <v>4.3</v>
      </c>
      <c r="AS5" s="6196">
        <f>+'Maj Techno Summ'!AS27</f>
        <v>5.3870723037209158</v>
      </c>
      <c r="AT5" s="6178">
        <v>4.3</v>
      </c>
      <c r="AU5" s="6186">
        <f>+'Maj Techno Summ'!AU27</f>
        <v>3.97</v>
      </c>
      <c r="AV5" s="6196">
        <f>+'Maj Techno Summ'!AV27</f>
        <v>4.3</v>
      </c>
      <c r="AW5" s="6196">
        <f>+'Maj Techno Summ'!AW27</f>
        <v>5.2220672267459083</v>
      </c>
      <c r="AX5" s="6178">
        <v>4.3</v>
      </c>
      <c r="AY5" s="6186">
        <f>+'Maj Techno Summ'!AY27</f>
        <v>3.72</v>
      </c>
      <c r="AZ5" s="6202">
        <f>+'Maj Techno Summ'!AZ27</f>
        <v>4.3</v>
      </c>
      <c r="BA5" s="6202">
        <f>+'Maj Techno Summ'!BA27</f>
        <v>3.8561504396652184</v>
      </c>
      <c r="BB5" s="6202">
        <f>+'Maj Techno Summ'!BB27</f>
        <v>4.3</v>
      </c>
      <c r="BC5" s="6202">
        <f>+'Maj Techno Summ'!BC27</f>
        <v>4.6078473024977331</v>
      </c>
      <c r="BD5" s="7119">
        <f>+'Maj Techno Summ'!BB27</f>
        <v>4.3</v>
      </c>
      <c r="BE5" s="7119">
        <f>+'Maj Techno Summ'!BC27</f>
        <v>4.6078473024977331</v>
      </c>
    </row>
    <row r="6" spans="2:57" x14ac:dyDescent="0.2">
      <c r="B6" s="1526" t="s">
        <v>884</v>
      </c>
      <c r="C6" s="1545" t="s">
        <v>954</v>
      </c>
      <c r="D6" s="3221">
        <f>+'Maj Techno Summ'!D28</f>
        <v>2.4500000000000002</v>
      </c>
      <c r="E6" s="6187">
        <f>+'Maj Techno Summ'!E28</f>
        <v>2.82</v>
      </c>
      <c r="F6" s="3221">
        <f>+'Maj Techno Summ'!F28</f>
        <v>2.4500000000000002</v>
      </c>
      <c r="G6" s="6187">
        <f>+'Maj Techno Summ'!G28</f>
        <v>2.56</v>
      </c>
      <c r="H6" s="2796">
        <f>+'Maj Techno Summ'!H28</f>
        <v>2.4500000000000002</v>
      </c>
      <c r="I6" s="2068">
        <f>+'Maj Techno Summ'!I28</f>
        <v>2.687528670877672</v>
      </c>
      <c r="J6" s="3221">
        <f>+'Maj Techno Summ'!J28</f>
        <v>2.4500000000000002</v>
      </c>
      <c r="K6" s="6187">
        <f>+'Maj Techno Summ'!K28</f>
        <v>2.5</v>
      </c>
      <c r="L6" s="3054">
        <f>+'Maj Techno Summ'!L28</f>
        <v>2.4500000000000002</v>
      </c>
      <c r="M6" s="6039">
        <f>+'Maj Techno Summ'!M28</f>
        <v>2.6202783124116436</v>
      </c>
      <c r="N6" s="3221">
        <f>+'Maj Techno Summ'!N28</f>
        <v>2.4500000000000002</v>
      </c>
      <c r="O6" s="6187">
        <f>+'Maj Techno Summ'!O28</f>
        <v>2.66</v>
      </c>
      <c r="P6" s="2796">
        <f>+'Maj Techno Summ'!P28</f>
        <v>2.4500000000000002</v>
      </c>
      <c r="Q6" s="2068">
        <f>+'Maj Techno Summ'!Q28</f>
        <v>2.6314556238262936</v>
      </c>
      <c r="R6" s="6187">
        <f>+'Maj Techno Summ'!R28</f>
        <v>2.4500000000000002</v>
      </c>
      <c r="S6" s="6187">
        <f>+'Maj Techno Summ'!S28</f>
        <v>2.7</v>
      </c>
      <c r="T6" s="2068">
        <f>+'Maj Techno Summ'!T28</f>
        <v>2.4500000000000006</v>
      </c>
      <c r="U6" s="2068">
        <f>+'Maj Techno Summ'!U28</f>
        <v>2.6473047567070567</v>
      </c>
      <c r="V6" s="6187">
        <f>+'Maj Techno Summ'!V28</f>
        <v>2.4500000000000002</v>
      </c>
      <c r="W6" s="6187">
        <f>+'Maj Techno Summ'!W28</f>
        <v>3.47</v>
      </c>
      <c r="X6" s="6039">
        <f>+'Maj Techno Summ'!X28</f>
        <v>2.4500000000000002</v>
      </c>
      <c r="Y6" s="6039">
        <f>+'Maj Techno Summ'!Y28</f>
        <v>2.839070417327882</v>
      </c>
      <c r="Z6" s="6639">
        <f>+'Maj Techno Summ'!Z28</f>
        <v>2.4500000000000006</v>
      </c>
      <c r="AA6" s="6639">
        <f>+'Maj Techno Summ'!AA28</f>
        <v>2.730408600279393</v>
      </c>
      <c r="AB6" s="6187">
        <f>+'Maj Techno Summ'!AB28</f>
        <v>2.4500000000000002</v>
      </c>
      <c r="AC6" s="6187">
        <f>+'Maj Techno Summ'!AC28</f>
        <v>3.62</v>
      </c>
      <c r="AD6" s="2068">
        <f>+'Maj Techno Summ'!AD28</f>
        <v>2.4500000000000002</v>
      </c>
      <c r="AE6" s="2068">
        <f>+'Maj Techno Summ'!AE28</f>
        <v>2.8252709593072529</v>
      </c>
      <c r="AF6" s="6187">
        <f>+'Maj Techno Summ'!AF28</f>
        <v>2.4500000000000002</v>
      </c>
      <c r="AG6" s="6187">
        <f>+'Maj Techno Summ'!AG28</f>
        <v>2.58</v>
      </c>
      <c r="AH6" s="2068">
        <f>+'Maj Techno Summ'!AH28</f>
        <v>2.4500000000000002</v>
      </c>
      <c r="AI6" s="2068">
        <f>+'Maj Techno Summ'!AI28</f>
        <v>2.7931435224405972</v>
      </c>
      <c r="AJ6" s="6187">
        <f>+'Maj Techno Summ'!AJ28</f>
        <v>2.4500000000000002</v>
      </c>
      <c r="AK6" s="6187">
        <f>+'Maj Techno Summ'!AK28</f>
        <v>2.39</v>
      </c>
      <c r="AL6" s="6039">
        <f>+'Maj Techno Summ'!AL28</f>
        <v>2.4500000000000002</v>
      </c>
      <c r="AM6" s="6039">
        <f>+'Maj Techno Summ'!AM28</f>
        <v>2.7542339870567685</v>
      </c>
      <c r="AN6" s="2068">
        <f>+'Maj Techno Summ'!AN28</f>
        <v>2.4500000000000002</v>
      </c>
      <c r="AO6" s="2068">
        <f>+'Maj Techno Summ'!AO28</f>
        <v>2.7382556013544073</v>
      </c>
      <c r="AP6" s="3221">
        <f>+'Maj Techno Summ'!AP28</f>
        <v>2.4500000000000002</v>
      </c>
      <c r="AQ6" s="6187">
        <f>+'Maj Techno Summ'!AQ28</f>
        <v>2.4300000000000002</v>
      </c>
      <c r="AR6" s="2068">
        <f>+'Maj Techno Summ'!AR28</f>
        <v>2.4500000000000002</v>
      </c>
      <c r="AS6" s="2068">
        <f>+'Maj Techno Summ'!AS28</f>
        <v>2.6950074864223681</v>
      </c>
      <c r="AT6" s="3221">
        <v>2.4500000000000002</v>
      </c>
      <c r="AU6" s="6187">
        <f>+'Maj Techno Summ'!AU28</f>
        <v>2.38</v>
      </c>
      <c r="AV6" s="2068">
        <f>+'Maj Techno Summ'!AV28</f>
        <v>2.4499999999999997</v>
      </c>
      <c r="AW6" s="2068">
        <f>+'Maj Techno Summ'!AW28</f>
        <v>2.6583277528559548</v>
      </c>
      <c r="AX6" s="3221">
        <v>2.4500000000000002</v>
      </c>
      <c r="AY6" s="6187">
        <f>+'Maj Techno Summ'!AY28</f>
        <v>2.35</v>
      </c>
      <c r="AZ6" s="6039">
        <f>+'Maj Techno Summ'!AZ28</f>
        <v>2.4500000000000002</v>
      </c>
      <c r="BA6" s="6039">
        <f>+'Maj Techno Summ'!BA28</f>
        <v>2.3855053908904953</v>
      </c>
      <c r="BB6" s="6039">
        <f>+'Maj Techno Summ'!BB28</f>
        <v>2.4500000000000002</v>
      </c>
      <c r="BC6" s="6039">
        <f>+'Maj Techno Summ'!BC28</f>
        <v>2.5324256195308479</v>
      </c>
      <c r="BD6" s="6639">
        <f>+'Maj Techno Summ'!BB28</f>
        <v>2.4500000000000002</v>
      </c>
      <c r="BE6" s="6639">
        <f>+'Maj Techno Summ'!BC28</f>
        <v>2.5324256195308479</v>
      </c>
    </row>
    <row r="7" spans="2:57" ht="16" thickBot="1" x14ac:dyDescent="0.25">
      <c r="B7" s="2940" t="s">
        <v>955</v>
      </c>
      <c r="C7" s="1577" t="s">
        <v>883</v>
      </c>
      <c r="D7" s="5456">
        <f>+'Maj Techno Summ'!D29</f>
        <v>0.55000000000000016</v>
      </c>
      <c r="E7" s="6188">
        <f>+'Maj Techno Summ'!E29</f>
        <v>0.76</v>
      </c>
      <c r="F7" s="5456">
        <f>+'Maj Techno Summ'!F29</f>
        <v>0.55000000000000016</v>
      </c>
      <c r="G7" s="6188">
        <f>+'Maj Techno Summ'!G29</f>
        <v>0.66</v>
      </c>
      <c r="H7" s="6179">
        <f>+'Maj Techno Summ'!H29</f>
        <v>0.55000000000000027</v>
      </c>
      <c r="I7" s="6197">
        <f>+'Maj Techno Summ'!I29</f>
        <v>0.70904948879910479</v>
      </c>
      <c r="J7" s="5456">
        <f>+'Maj Techno Summ'!J29</f>
        <v>0.55000000000000016</v>
      </c>
      <c r="K7" s="6188">
        <f>+'Maj Techno Summ'!K29</f>
        <v>0.63</v>
      </c>
      <c r="L7" s="6181">
        <f>+'Maj Techno Summ'!L29</f>
        <v>0.55000000000000027</v>
      </c>
      <c r="M7" s="6203">
        <f>+'Maj Techno Summ'!M29</f>
        <v>0.68070125578803697</v>
      </c>
      <c r="N7" s="5456">
        <f>+'Maj Techno Summ'!N29</f>
        <v>0.55000000000000016</v>
      </c>
      <c r="O7" s="6188">
        <f>+'Maj Techno Summ'!O29</f>
        <v>0.6</v>
      </c>
      <c r="P7" s="6179">
        <f>+'Maj Techno Summ'!P29</f>
        <v>0.55000000000000027</v>
      </c>
      <c r="Q7" s="6197">
        <f>+'Maj Techno Summ'!Q29</f>
        <v>0.65799267711826781</v>
      </c>
      <c r="R7" s="6188">
        <f>+'Maj Techno Summ'!R29</f>
        <v>0.55000000000000016</v>
      </c>
      <c r="S7" s="6188">
        <f>+'Maj Techno Summ'!S29</f>
        <v>0.57999999999999996</v>
      </c>
      <c r="T7" s="6197">
        <f>+'Maj Techno Summ'!T29</f>
        <v>0.55000000000000027</v>
      </c>
      <c r="U7" s="6197">
        <f>+'Maj Techno Summ'!U29</f>
        <v>0.63995886643420385</v>
      </c>
      <c r="V7" s="6188">
        <f>+'Maj Techno Summ'!V29</f>
        <v>0.55000000000000016</v>
      </c>
      <c r="W7" s="6188">
        <f>+'Maj Techno Summ'!W29</f>
        <v>0.94</v>
      </c>
      <c r="X7" s="6203">
        <f>+'Maj Techno Summ'!X29</f>
        <v>0.55000000000000016</v>
      </c>
      <c r="Y7" s="6203">
        <f>+'Maj Techno Summ'!Y29</f>
        <v>0.65997239101051297</v>
      </c>
      <c r="Z7" s="7120">
        <f>+'Maj Techno Summ'!Z29</f>
        <v>0.55000000000000027</v>
      </c>
      <c r="AA7" s="7120">
        <f>+'Maj Techno Summ'!AA29</f>
        <v>0.67026726025609418</v>
      </c>
      <c r="AB7" s="6188">
        <f>+'Maj Techno Summ'!AB29</f>
        <v>0.55000000000000016</v>
      </c>
      <c r="AC7" s="6188">
        <f>+'Maj Techno Summ'!AC29</f>
        <v>0.9</v>
      </c>
      <c r="AD7" s="6197">
        <f>+'Maj Techno Summ'!AD29</f>
        <v>0.55000000000000016</v>
      </c>
      <c r="AE7" s="6197">
        <f>+'Maj Techno Summ'!AE29</f>
        <v>0.69476501242061017</v>
      </c>
      <c r="AF7" s="6188">
        <f>+'Maj Techno Summ'!AF29</f>
        <v>0.55000000000000016</v>
      </c>
      <c r="AG7" s="6188">
        <f>+'Maj Techno Summ'!AG29</f>
        <v>0.63</v>
      </c>
      <c r="AH7" s="6197">
        <f>+'Maj Techno Summ'!AH29</f>
        <v>0.55000000000000016</v>
      </c>
      <c r="AI7" s="6197">
        <f>+'Maj Techno Summ'!AI29</f>
        <v>0.68628160348549538</v>
      </c>
      <c r="AJ7" s="6188">
        <f>+'Maj Techno Summ'!AJ29</f>
        <v>0.55000000000000016</v>
      </c>
      <c r="AK7" s="6188">
        <f>+'Maj Techno Summ'!AK29</f>
        <v>0.61</v>
      </c>
      <c r="AL7" s="6203">
        <f>+'Maj Techno Summ'!AL29</f>
        <v>0.55000000000000016</v>
      </c>
      <c r="AM7" s="6203">
        <f>+'Maj Techno Summ'!AM29</f>
        <v>0.68735709540096945</v>
      </c>
      <c r="AN7" s="6197">
        <f>+'Maj Techno Summ'!AN29</f>
        <v>0.55000000000000016</v>
      </c>
      <c r="AO7" s="6197">
        <f>+'Maj Techno Summ'!AO29</f>
        <v>0.67589587632040893</v>
      </c>
      <c r="AP7" s="5456">
        <f>+'Maj Techno Summ'!AP29</f>
        <v>0.55000000000000016</v>
      </c>
      <c r="AQ7" s="6188">
        <f>+'Maj Techno Summ'!AQ29</f>
        <v>0.52</v>
      </c>
      <c r="AR7" s="6197">
        <f>+'Maj Techno Summ'!AR29</f>
        <v>0.55000000000000016</v>
      </c>
      <c r="AS7" s="6197">
        <f>+'Maj Techno Summ'!AS29</f>
        <v>0.65402375867871088</v>
      </c>
      <c r="AT7" s="5456">
        <v>0.55000000000000016</v>
      </c>
      <c r="AU7" s="6188">
        <f>+'Maj Techno Summ'!AU29</f>
        <v>0.5</v>
      </c>
      <c r="AV7" s="6197">
        <f>+'Maj Techno Summ'!AV29</f>
        <v>0.55000000000000004</v>
      </c>
      <c r="AW7" s="6197">
        <f>+'Maj Techno Summ'!AW29</f>
        <v>0.63608910418717401</v>
      </c>
      <c r="AX7" s="5456">
        <v>0.55000000000000016</v>
      </c>
      <c r="AY7" s="6188">
        <f>+'Maj Techno Summ'!AY29</f>
        <v>0.53</v>
      </c>
      <c r="AZ7" s="6203">
        <f>+'Maj Techno Summ'!AZ29</f>
        <v>0.55000000000000004</v>
      </c>
      <c r="BA7" s="6203">
        <f>+'Maj Techno Summ'!BA29</f>
        <v>0.5174691582387313</v>
      </c>
      <c r="BB7" s="6203">
        <f>+'Maj Techno Summ'!BB29</f>
        <v>0.55000000000000004</v>
      </c>
      <c r="BC7" s="6203">
        <f>+'Maj Techno Summ'!BC29</f>
        <v>2.2447280535333478</v>
      </c>
      <c r="BD7" s="7120">
        <f>+'Maj Techno Summ'!BB29</f>
        <v>0.55000000000000004</v>
      </c>
      <c r="BE7" s="7120">
        <f>+'Maj Techno Summ'!BC29</f>
        <v>2.2447280535333478</v>
      </c>
    </row>
    <row r="8" spans="2:57" ht="18.75" customHeight="1" x14ac:dyDescent="0.2">
      <c r="B8" s="2939" t="s">
        <v>1345</v>
      </c>
      <c r="C8" s="1581" t="s">
        <v>170</v>
      </c>
      <c r="D8" s="3234">
        <f>+'B-FCE'!D18</f>
        <v>53250.926399999997</v>
      </c>
      <c r="E8" s="6189">
        <f>+'B-FCE'!E18</f>
        <v>53267</v>
      </c>
      <c r="F8" s="3234">
        <f>+'B-FCE'!F18</f>
        <v>56520</v>
      </c>
      <c r="G8" s="6189">
        <f>+'B-FCE'!G18</f>
        <v>56520</v>
      </c>
      <c r="H8" s="6183">
        <f>+'B-FCE'!H18</f>
        <v>109770.9264</v>
      </c>
      <c r="I8" s="6198">
        <f>+'B-FCE'!I18</f>
        <v>109787</v>
      </c>
      <c r="J8" s="3234">
        <f>+'B-FCE'!J18</f>
        <v>66337.52</v>
      </c>
      <c r="K8" s="6189">
        <f>+'B-FCE'!K18</f>
        <v>62698</v>
      </c>
      <c r="L8" s="6182">
        <f>+'B-FCE'!L18</f>
        <v>176108.44640000002</v>
      </c>
      <c r="M8" s="6204">
        <f>+'B-FCE'!M18</f>
        <v>172485</v>
      </c>
      <c r="N8" s="3234">
        <f>+'B-FCE'!N18</f>
        <v>82246.304350260005</v>
      </c>
      <c r="O8" s="6189">
        <f>+'B-FCE'!O18</f>
        <v>73739</v>
      </c>
      <c r="P8" s="6183">
        <f>+'B-FCE'!P18</f>
        <v>258354.75075026002</v>
      </c>
      <c r="Q8" s="6198">
        <f>+'B-FCE'!Q18</f>
        <v>246224</v>
      </c>
      <c r="R8" s="6189">
        <f>+'B-FCE'!R18</f>
        <v>81766.956524400011</v>
      </c>
      <c r="S8" s="6189">
        <f>+'B-FCE'!S18</f>
        <v>74584</v>
      </c>
      <c r="T8" s="6198">
        <f>+'B-FCE'!T18</f>
        <v>340121.70727466</v>
      </c>
      <c r="U8" s="6198">
        <f>+'B-FCE'!U18</f>
        <v>320808</v>
      </c>
      <c r="V8" s="6189">
        <f>+'B-FCE'!V18</f>
        <v>80690.869568132999</v>
      </c>
      <c r="W8" s="6189">
        <f>+'B-FCE'!W18</f>
        <v>42857</v>
      </c>
      <c r="X8" s="6204">
        <f>+'B-FCE'!X18</f>
        <v>244704.13044279302</v>
      </c>
      <c r="Y8" s="6204">
        <f>+'B-FCE'!Y18</f>
        <v>191180</v>
      </c>
      <c r="Z8" s="7121">
        <f>+'B-FCE'!Z18</f>
        <v>420812.57684279303</v>
      </c>
      <c r="AA8" s="7121">
        <f>+'B-FCE'!AA18</f>
        <v>363665</v>
      </c>
      <c r="AB8" s="6189">
        <f>+'B-FCE'!AB18</f>
        <v>42750</v>
      </c>
      <c r="AC8" s="6189">
        <f>+'B-FCE'!AC18</f>
        <v>49309</v>
      </c>
      <c r="AD8" s="6198">
        <f>+'B-FCE'!AD18</f>
        <v>463562.57684279303</v>
      </c>
      <c r="AE8" s="6198">
        <f>+'B-FCE'!AE18</f>
        <v>412974</v>
      </c>
      <c r="AF8" s="6189">
        <f>+'B-FCE'!AF18</f>
        <v>79344</v>
      </c>
      <c r="AG8" s="6189">
        <f>+'B-FCE'!AG18</f>
        <v>60502</v>
      </c>
      <c r="AH8" s="6198">
        <f>+'B-FCE'!AH18</f>
        <v>542906.57684279303</v>
      </c>
      <c r="AI8" s="6198">
        <f>+'B-FCE'!AI18</f>
        <v>473476</v>
      </c>
      <c r="AJ8" s="6189">
        <f>+'B-FCE'!AJ18</f>
        <v>83448</v>
      </c>
      <c r="AK8" s="6189">
        <f>+'B-FCE'!AK18</f>
        <v>73547</v>
      </c>
      <c r="AL8" s="6204">
        <f>+'B-FCE'!AL18</f>
        <v>205542</v>
      </c>
      <c r="AM8" s="6204">
        <f>+'B-FCE'!AM18</f>
        <v>183358</v>
      </c>
      <c r="AN8" s="6198">
        <f>+'B-FCE'!AN18</f>
        <v>626354.57684279303</v>
      </c>
      <c r="AO8" s="6198">
        <f>+'B-FCE'!AO18</f>
        <v>547023</v>
      </c>
      <c r="AP8" s="3234">
        <f>+'B-FCE'!AP18</f>
        <v>82080</v>
      </c>
      <c r="AQ8" s="6189">
        <f>+'B-FCE'!AQ18</f>
        <v>82843</v>
      </c>
      <c r="AR8" s="6198">
        <f>+'B-FCE'!AR18</f>
        <v>708434.57684279303</v>
      </c>
      <c r="AS8" s="6198">
        <f>+'B-FCE'!AS18</f>
        <v>629866</v>
      </c>
      <c r="AT8" s="3234">
        <f>+'B-FCE'!AT18</f>
        <v>75240</v>
      </c>
      <c r="AU8" s="6189">
        <f>+'B-FCE'!AU18</f>
        <v>82384</v>
      </c>
      <c r="AV8" s="6198">
        <f>+'B-FCE'!AV18</f>
        <v>783674.57684279303</v>
      </c>
      <c r="AW8" s="6198">
        <f>+'B-FCE'!AW18</f>
        <v>712250</v>
      </c>
      <c r="AX8" s="3234">
        <f>+'B-FCE'!AX18</f>
        <v>83448</v>
      </c>
      <c r="AY8" s="6189">
        <f>+'B-FCE'!AY18</f>
        <v>88417</v>
      </c>
      <c r="AZ8" s="6204">
        <f>+'B-FCE'!AZ18</f>
        <v>240768</v>
      </c>
      <c r="BA8" s="6204">
        <f>+'B-FCE'!BA18</f>
        <v>253644</v>
      </c>
      <c r="BB8" s="6204">
        <f>+'B-FCE'!BB18</f>
        <v>446310</v>
      </c>
      <c r="BC8" s="6204">
        <f>+'B-FCE'!BC18</f>
        <v>437002</v>
      </c>
      <c r="BD8" s="7121">
        <f>+'B-FCE'!BB18</f>
        <v>446310</v>
      </c>
      <c r="BE8" s="7121">
        <f>+'B-FCE'!BC18</f>
        <v>437002</v>
      </c>
    </row>
    <row r="9" spans="2:57" ht="16" x14ac:dyDescent="0.2">
      <c r="B9" s="2925" t="s">
        <v>1351</v>
      </c>
      <c r="C9" s="1545" t="s">
        <v>170</v>
      </c>
      <c r="D9" s="6079">
        <f>+'Maj Prod Summ'!D26</f>
        <v>55719</v>
      </c>
      <c r="E9" s="6190">
        <f>+'Maj Prod Summ'!E26</f>
        <v>55719</v>
      </c>
      <c r="F9" s="6079">
        <f>+'Maj Prod Summ'!F26</f>
        <v>52052</v>
      </c>
      <c r="G9" s="6190">
        <f>+'Maj Prod Summ'!G26</f>
        <v>52052</v>
      </c>
      <c r="H9" s="6065">
        <f>+'Maj Prod Summ'!H26</f>
        <v>107771</v>
      </c>
      <c r="I9" s="6199">
        <f>+'Maj Prod Summ'!I26</f>
        <v>107771</v>
      </c>
      <c r="J9" s="6079">
        <f>+'Maj Prod Summ'!J26</f>
        <v>67868.385846153848</v>
      </c>
      <c r="K9" s="6190">
        <f>+'Maj Prod Summ'!K26</f>
        <v>61691</v>
      </c>
      <c r="L9" s="6066">
        <f>+'Maj Prod Summ'!L26</f>
        <v>175639.38584615383</v>
      </c>
      <c r="M9" s="2250">
        <f>+'Maj Prod Summ'!M26</f>
        <v>169462</v>
      </c>
      <c r="N9" s="6079">
        <f>+'Maj Prod Summ'!N26</f>
        <v>84144.295989112157</v>
      </c>
      <c r="O9" s="6190">
        <f>+'Maj Prod Summ'!O26</f>
        <v>63617</v>
      </c>
      <c r="P9" s="6065">
        <f>+'Maj Prod Summ'!P26</f>
        <v>259783.681835266</v>
      </c>
      <c r="Q9" s="6199">
        <f>+'Maj Prod Summ'!Q26</f>
        <v>233079</v>
      </c>
      <c r="R9" s="6190">
        <f>+'Maj Prod Summ'!R26</f>
        <v>83653.886290347698</v>
      </c>
      <c r="S9" s="6190">
        <f>+'Maj Prod Summ'!S26</f>
        <v>75389</v>
      </c>
      <c r="T9" s="6199">
        <f>+'Maj Prod Summ'!T26</f>
        <v>343437.56812561373</v>
      </c>
      <c r="U9" s="6199">
        <f>+'Maj Prod Summ'!U26</f>
        <v>308468</v>
      </c>
      <c r="V9" s="6190">
        <f>+'Maj Prod Summ'!V26</f>
        <v>82552.966558166838</v>
      </c>
      <c r="W9" s="6190">
        <f>+'Maj Prod Summ'!W26</f>
        <v>40763</v>
      </c>
      <c r="X9" s="2250">
        <f>+'Maj Prod Summ'!X26</f>
        <v>250351.14883762668</v>
      </c>
      <c r="Y9" s="2250">
        <f>+'Maj Prod Summ'!Y26</f>
        <v>179769</v>
      </c>
      <c r="Z9" s="7122">
        <f>+'Maj Prod Summ'!Z26</f>
        <v>425990.53468378057</v>
      </c>
      <c r="AA9" s="7122">
        <f>+'Maj Prod Summ'!AA26</f>
        <v>349231</v>
      </c>
      <c r="AB9" s="6190">
        <f>+'Maj Prod Summ'!AB26</f>
        <v>43736.538461538454</v>
      </c>
      <c r="AC9" s="6190">
        <f>+'Maj Prod Summ'!AC26</f>
        <v>47916</v>
      </c>
      <c r="AD9" s="6199">
        <f>+'Maj Prod Summ'!AD26</f>
        <v>469727.07314531901</v>
      </c>
      <c r="AE9" s="6199">
        <f>+'Maj Prod Summ'!AE26</f>
        <v>397147</v>
      </c>
      <c r="AF9" s="6190">
        <f>+'Maj Prod Summ'!AF26</f>
        <v>81175.01538461537</v>
      </c>
      <c r="AG9" s="6190">
        <f>+'Maj Prod Summ'!AG26</f>
        <v>57141</v>
      </c>
      <c r="AH9" s="6199">
        <f>+'Maj Prod Summ'!AH26</f>
        <v>550902.08852993441</v>
      </c>
      <c r="AI9" s="6199">
        <f>+'Maj Prod Summ'!AI26</f>
        <v>454288</v>
      </c>
      <c r="AJ9" s="6190">
        <f>+'Maj Prod Summ'!AJ26</f>
        <v>85373.723076923066</v>
      </c>
      <c r="AK9" s="6190">
        <f>+'Maj Prod Summ'!AK26</f>
        <v>68072</v>
      </c>
      <c r="AL9" s="2250">
        <f>+'Maj Prod Summ'!AL26</f>
        <v>210285.27692307689</v>
      </c>
      <c r="AM9" s="2250">
        <f>+'Maj Prod Summ'!AM26</f>
        <v>173129</v>
      </c>
      <c r="AN9" s="6199">
        <f>+'Maj Prod Summ'!AN26</f>
        <v>636275.81160685746</v>
      </c>
      <c r="AO9" s="6199">
        <f>+'Maj Prod Summ'!AO26</f>
        <v>522360</v>
      </c>
      <c r="AP9" s="8080">
        <f>+'Maj Prod Summ'!AP26</f>
        <v>83974.153846153844</v>
      </c>
      <c r="AQ9" s="6190">
        <f>+'Maj Prod Summ'!AQ26</f>
        <v>81284</v>
      </c>
      <c r="AR9" s="6199">
        <f>+'Maj Prod Summ'!AR26</f>
        <v>720249.96545301133</v>
      </c>
      <c r="AS9" s="6199">
        <f>+'Maj Prod Summ'!AS26</f>
        <v>603644</v>
      </c>
      <c r="AT9" s="8147">
        <f>+'Maj Prod Summ'!AT26</f>
        <v>76976</v>
      </c>
      <c r="AU9" s="6190">
        <f>+'Maj Prod Summ'!AU26</f>
        <v>80505</v>
      </c>
      <c r="AV9" s="6199">
        <f>+'Maj Prod Summ'!AV26</f>
        <v>797225.96545301133</v>
      </c>
      <c r="AW9" s="6199">
        <f>+'Maj Prod Summ'!AW26</f>
        <v>684149</v>
      </c>
      <c r="AX9" s="8342">
        <f>+'Maj Prod Summ'!AX26</f>
        <v>85374</v>
      </c>
      <c r="AY9" s="6190">
        <f>+'Maj Prod Summ'!AY26</f>
        <v>92550</v>
      </c>
      <c r="AZ9" s="2250">
        <f>+'Maj Prod Summ'!AZ26</f>
        <v>246324.15384615384</v>
      </c>
      <c r="BA9" s="2250">
        <f>+'Maj Prod Summ'!BA26</f>
        <v>254339</v>
      </c>
      <c r="BB9" s="2250">
        <f>+AZ9+AL9</f>
        <v>456609.4307692307</v>
      </c>
      <c r="BC9" s="2250">
        <f>+'Maj Prod Summ'!BC26</f>
        <v>427468</v>
      </c>
      <c r="BD9" s="7122">
        <f>+'Maj Prod Summ'!BB26</f>
        <v>456609.4307692307</v>
      </c>
      <c r="BE9" s="7122">
        <f>+'Maj Prod Summ'!BC26</f>
        <v>427468</v>
      </c>
    </row>
    <row r="10" spans="2:57" ht="16" x14ac:dyDescent="0.2">
      <c r="B10" s="2925" t="s">
        <v>1354</v>
      </c>
      <c r="C10" s="1545" t="s">
        <v>170</v>
      </c>
      <c r="D10" s="6079">
        <v>0</v>
      </c>
      <c r="E10" s="1645">
        <f>+'secondary sales'!E59</f>
        <v>0</v>
      </c>
      <c r="F10" s="6079">
        <v>0</v>
      </c>
      <c r="G10" s="2840">
        <f>+'secondary sales'!F59</f>
        <v>0</v>
      </c>
      <c r="H10" s="4809">
        <f t="shared" ref="H10" si="0">+D10+F10</f>
        <v>0</v>
      </c>
      <c r="I10" s="1823">
        <f t="shared" ref="I10" si="1">+E10+G10</f>
        <v>0</v>
      </c>
      <c r="J10" s="6082">
        <v>0</v>
      </c>
      <c r="K10" s="1645">
        <f>+'secondary sales'!H59</f>
        <v>1001.18</v>
      </c>
      <c r="L10" s="4792">
        <f>+H10+J10</f>
        <v>0</v>
      </c>
      <c r="M10" s="2011">
        <f>+I10+K10</f>
        <v>1001.18</v>
      </c>
      <c r="N10" s="6079">
        <v>0</v>
      </c>
      <c r="O10" s="1645">
        <f>+'secondary sales'!J59</f>
        <v>447.70999999999992</v>
      </c>
      <c r="P10" s="4809">
        <f>+L10+N10</f>
        <v>0</v>
      </c>
      <c r="Q10" s="1823">
        <f>+M10+O10</f>
        <v>1448.8899999999999</v>
      </c>
      <c r="R10" s="7009">
        <v>0</v>
      </c>
      <c r="S10" s="5600">
        <f>+'secondary sales'!L59</f>
        <v>0</v>
      </c>
      <c r="T10" s="4809">
        <f t="shared" ref="T10" si="2">+P10+R10</f>
        <v>0</v>
      </c>
      <c r="U10" s="1823">
        <f t="shared" ref="U10" si="3">+Q10+S10</f>
        <v>1448.8899999999999</v>
      </c>
      <c r="V10" s="7009">
        <v>0</v>
      </c>
      <c r="W10" s="5600">
        <f>+'secondary sales'!N59</f>
        <v>997.68999999999994</v>
      </c>
      <c r="X10" s="4792">
        <f>+N10+R10+V10</f>
        <v>0</v>
      </c>
      <c r="Y10" s="4792">
        <f>+O10+S10+W10</f>
        <v>1445.3999999999999</v>
      </c>
      <c r="Z10" s="6519">
        <f>+T10+V10</f>
        <v>0</v>
      </c>
      <c r="AA10" s="6519">
        <f>+U10+W10</f>
        <v>2446.58</v>
      </c>
      <c r="AB10" s="7358">
        <v>0</v>
      </c>
      <c r="AC10" s="5600">
        <f>+'secondary sales'!Q59</f>
        <v>0</v>
      </c>
      <c r="AD10" s="4809">
        <f t="shared" ref="AD10:AD11" si="4">+Z10+AB10</f>
        <v>0</v>
      </c>
      <c r="AE10" s="1823">
        <f t="shared" ref="AE10:AE11" si="5">+AA10+AC10</f>
        <v>2446.58</v>
      </c>
      <c r="AF10" s="7557">
        <v>0</v>
      </c>
      <c r="AG10" s="5600">
        <f>+'secondary sales'!S59</f>
        <v>128.5</v>
      </c>
      <c r="AH10" s="4809">
        <f t="shared" ref="AH10:AH11" si="6">+AD10+AF10</f>
        <v>0</v>
      </c>
      <c r="AI10" s="1823">
        <f t="shared" ref="AI10:AI11" si="7">+AE10+AG10</f>
        <v>2575.08</v>
      </c>
      <c r="AJ10" s="7765">
        <v>0</v>
      </c>
      <c r="AK10" s="5600">
        <f>+'secondary sales'!U59</f>
        <v>871.22999999999979</v>
      </c>
      <c r="AL10" s="4792">
        <f>+AB10+AF10+AJ10</f>
        <v>0</v>
      </c>
      <c r="AM10" s="4792">
        <f>+AC10+AG10+AK10</f>
        <v>999.72999999999979</v>
      </c>
      <c r="AN10" s="4809">
        <f>+AH10+AJ10</f>
        <v>0</v>
      </c>
      <c r="AO10" s="1823">
        <f>+AI10+AK10</f>
        <v>3446.3099999999995</v>
      </c>
      <c r="AP10" s="8080">
        <v>0</v>
      </c>
      <c r="AQ10" s="5600">
        <f>+'secondary sales'!X59</f>
        <v>0</v>
      </c>
      <c r="AR10" s="4809">
        <f t="shared" ref="AR10:AR11" si="8">+AN10+AP10</f>
        <v>0</v>
      </c>
      <c r="AS10" s="1823">
        <f t="shared" ref="AS10:AS11" si="9">+AO10+AQ10</f>
        <v>3446.3099999999995</v>
      </c>
      <c r="AT10" s="8147">
        <v>0</v>
      </c>
      <c r="AU10" s="5600">
        <f>+'secondary sales'!Z59</f>
        <v>0</v>
      </c>
      <c r="AV10" s="4809">
        <f t="shared" ref="AV10:AV11" si="10">+AR10+AT10</f>
        <v>0</v>
      </c>
      <c r="AW10" s="1823">
        <f t="shared" ref="AW10:AW11" si="11">+AS10+AU10</f>
        <v>3446.3099999999995</v>
      </c>
      <c r="AX10" s="8342">
        <v>0</v>
      </c>
      <c r="AY10" s="5600">
        <f>+'secondary sales'!AB59</f>
        <v>965.9</v>
      </c>
      <c r="AZ10" s="4792">
        <f t="shared" ref="AZ10:BB11" si="12">+AP10+AT10+AX10</f>
        <v>0</v>
      </c>
      <c r="BA10" s="4792">
        <f t="shared" si="12"/>
        <v>965.9</v>
      </c>
      <c r="BB10" s="4792">
        <f t="shared" si="12"/>
        <v>0</v>
      </c>
      <c r="BC10" s="4792">
        <f>+BA10+AM10</f>
        <v>1965.6299999999997</v>
      </c>
      <c r="BD10" s="6519">
        <f>+AV10+AX10</f>
        <v>0</v>
      </c>
      <c r="BE10" s="6519">
        <f>+AW10+AY10</f>
        <v>4412.2099999999991</v>
      </c>
    </row>
    <row r="11" spans="2:57" ht="32" x14ac:dyDescent="0.2">
      <c r="B11" s="2932" t="s">
        <v>1355</v>
      </c>
      <c r="C11" s="1545" t="s">
        <v>170</v>
      </c>
      <c r="D11" s="6077">
        <f>+'Maj Desp Summ'!D32</f>
        <v>55704.058964494376</v>
      </c>
      <c r="E11" s="2717">
        <f>+'secondary sales'!E93</f>
        <v>19751.66</v>
      </c>
      <c r="F11" s="6442">
        <f>+'Maj Desp Summ'!F32</f>
        <v>59123.730337078654</v>
      </c>
      <c r="G11" s="2717">
        <f>+'secondary sales'!F93</f>
        <v>69551.360000000001</v>
      </c>
      <c r="H11" s="4809">
        <f t="shared" ref="H11" si="13">+D11+F11</f>
        <v>114827.78930157304</v>
      </c>
      <c r="I11" s="1823">
        <f t="shared" ref="I11" si="14">+E11+G11</f>
        <v>89303.02</v>
      </c>
      <c r="J11" s="6442">
        <f>+'Maj Desp Summ'!J32</f>
        <v>67868.385846153848</v>
      </c>
      <c r="K11" s="2717">
        <f>+'secondary sales'!H93</f>
        <v>77900.91</v>
      </c>
      <c r="L11" s="4792">
        <f>+H11+J11</f>
        <v>182696.1751477269</v>
      </c>
      <c r="M11" s="2011">
        <f>+I11+K11</f>
        <v>167203.93</v>
      </c>
      <c r="N11" s="6442">
        <f>+'Maj Desp Summ'!N32</f>
        <v>84144</v>
      </c>
      <c r="O11" s="2717">
        <f>+'secondary sales'!J93</f>
        <v>73503.63</v>
      </c>
      <c r="P11" s="4809">
        <f>+L11+N11</f>
        <v>266840.1751477269</v>
      </c>
      <c r="Q11" s="1823">
        <f>+M11+O11</f>
        <v>240707.56</v>
      </c>
      <c r="R11" s="7027">
        <f>+'Maj Desp Summ'!R32</f>
        <v>83654</v>
      </c>
      <c r="S11" s="5245">
        <f>+'secondary sales'!L93</f>
        <v>77428.87000000001</v>
      </c>
      <c r="T11" s="4809">
        <f t="shared" ref="T11" si="15">+P11+R11</f>
        <v>350494.1751477269</v>
      </c>
      <c r="U11" s="1823">
        <f t="shared" ref="U11" si="16">+Q11+S11</f>
        <v>318136.43</v>
      </c>
      <c r="V11" s="7027">
        <f>+'Maj Desp Summ'!V32</f>
        <v>82552.966558166838</v>
      </c>
      <c r="W11" s="5245">
        <f>+'secondary sales'!N93</f>
        <v>46883.219999999994</v>
      </c>
      <c r="X11" s="4792">
        <f>+N11+R11+V11</f>
        <v>250350.96655816684</v>
      </c>
      <c r="Y11" s="4792">
        <f>+O11+S11+W11</f>
        <v>197815.72</v>
      </c>
      <c r="Z11" s="6519">
        <f>+T11+V11</f>
        <v>433047.14170589374</v>
      </c>
      <c r="AA11" s="6519">
        <f>+U11+W11</f>
        <v>365019.64999999997</v>
      </c>
      <c r="AB11" s="7376">
        <f>+'Maj Desp Summ'!AB32</f>
        <v>43737</v>
      </c>
      <c r="AC11" s="5245">
        <f>+'secondary sales'!Q93</f>
        <v>28974.929999999997</v>
      </c>
      <c r="AD11" s="4809">
        <f t="shared" si="4"/>
        <v>476784.14170589374</v>
      </c>
      <c r="AE11" s="1823">
        <f t="shared" si="5"/>
        <v>393994.57999999996</v>
      </c>
      <c r="AF11" s="7587">
        <f>+'Maj Desp Summ'!AF32</f>
        <v>81175.01538461537</v>
      </c>
      <c r="AG11" s="5245">
        <f>+'secondary sales'!S93</f>
        <v>70613.84</v>
      </c>
      <c r="AH11" s="4809">
        <f t="shared" si="6"/>
        <v>557959.15709050908</v>
      </c>
      <c r="AI11" s="1823">
        <f t="shared" si="7"/>
        <v>464608.41999999993</v>
      </c>
      <c r="AJ11" s="7786">
        <f>+'Maj Desp Summ'!AJ32</f>
        <v>85373.723076923066</v>
      </c>
      <c r="AK11" s="5245">
        <f>+'secondary sales'!U93</f>
        <v>70626.11</v>
      </c>
      <c r="AL11" s="4792">
        <f>+AB11+AF11+AJ11</f>
        <v>210285.73846153845</v>
      </c>
      <c r="AM11" s="4792">
        <f>+AC11+AG11+AK11</f>
        <v>170214.88</v>
      </c>
      <c r="AN11" s="4809">
        <f>+AH11+AJ11</f>
        <v>643332.88016743213</v>
      </c>
      <c r="AO11" s="1823">
        <f>+AI11+AK11</f>
        <v>535234.52999999991</v>
      </c>
      <c r="AP11" s="8091">
        <f>+'Maj Desp Summ'!AP32</f>
        <v>85373.723076923066</v>
      </c>
      <c r="AQ11" s="5245">
        <f>+'secondary sales'!X93</f>
        <v>74386.92</v>
      </c>
      <c r="AR11" s="4809">
        <f t="shared" si="8"/>
        <v>728706.60324435518</v>
      </c>
      <c r="AS11" s="1823">
        <f t="shared" si="9"/>
        <v>609621.44999999995</v>
      </c>
      <c r="AT11" s="8176">
        <f>+'Maj Desp Summ'!AT32</f>
        <v>76976</v>
      </c>
      <c r="AU11" s="5245">
        <f>+'secondary sales'!Z93</f>
        <v>85262.59</v>
      </c>
      <c r="AV11" s="4809">
        <f t="shared" si="10"/>
        <v>805682.60324435518</v>
      </c>
      <c r="AW11" s="1823">
        <f t="shared" si="11"/>
        <v>694884.03999999992</v>
      </c>
      <c r="AX11" s="8357">
        <f>+'Maj Desp Summ'!AX32</f>
        <v>85374</v>
      </c>
      <c r="AY11" s="5245">
        <f>+'secondary sales'!AB91</f>
        <v>104578.25</v>
      </c>
      <c r="AZ11" s="4792">
        <f t="shared" si="12"/>
        <v>247723.72307692305</v>
      </c>
      <c r="BA11" s="4792">
        <f t="shared" si="12"/>
        <v>264227.76</v>
      </c>
      <c r="BB11" s="4792">
        <f t="shared" si="12"/>
        <v>1782112.9295656334</v>
      </c>
      <c r="BC11" s="4792">
        <f>+BA11+AM11</f>
        <v>434442.64</v>
      </c>
      <c r="BD11" s="6519">
        <f>+AV11+AX11</f>
        <v>891056.60324435518</v>
      </c>
      <c r="BE11" s="6519">
        <f>+AW11+AY11</f>
        <v>799462.28999999992</v>
      </c>
    </row>
    <row r="12" spans="2:57" ht="18" thickBot="1" x14ac:dyDescent="0.25">
      <c r="B12" s="2926" t="s">
        <v>1353</v>
      </c>
      <c r="C12" s="2115" t="s">
        <v>170</v>
      </c>
      <c r="D12" s="3235">
        <f t="shared" ref="D12:F12" si="17">SUM(D10:D11)</f>
        <v>55704.058964494376</v>
      </c>
      <c r="E12" s="6191">
        <f t="shared" ref="E12:O12" si="18">SUM(E10:E11)</f>
        <v>19751.66</v>
      </c>
      <c r="F12" s="3235">
        <f t="shared" si="17"/>
        <v>59123.730337078654</v>
      </c>
      <c r="G12" s="6194">
        <f t="shared" ref="G12" si="19">SUM(G10:G11)</f>
        <v>69551.360000000001</v>
      </c>
      <c r="H12" s="6080">
        <f t="shared" si="18"/>
        <v>114827.78930157304</v>
      </c>
      <c r="I12" s="4401">
        <f t="shared" si="18"/>
        <v>89303.02</v>
      </c>
      <c r="J12" s="3449">
        <f t="shared" ref="J12" si="20">SUM(J10:J11)</f>
        <v>67868.385846153848</v>
      </c>
      <c r="K12" s="6191">
        <f t="shared" ref="K12" si="21">SUM(K10:K11)</f>
        <v>78902.09</v>
      </c>
      <c r="L12" s="6081">
        <f>SUM(L10:L11)</f>
        <v>182696.1751477269</v>
      </c>
      <c r="M12" s="6205">
        <f>SUM(M10:M11)</f>
        <v>168205.11</v>
      </c>
      <c r="N12" s="3235">
        <f t="shared" si="18"/>
        <v>84144</v>
      </c>
      <c r="O12" s="6191">
        <f t="shared" si="18"/>
        <v>73951.340000000011</v>
      </c>
      <c r="P12" s="6080">
        <f t="shared" ref="P12:S12" si="22">SUM(P10:P11)</f>
        <v>266840.1751477269</v>
      </c>
      <c r="Q12" s="4401">
        <f t="shared" si="22"/>
        <v>242156.45</v>
      </c>
      <c r="R12" s="3235">
        <f t="shared" si="22"/>
        <v>83654</v>
      </c>
      <c r="S12" s="7116">
        <f t="shared" si="22"/>
        <v>77428.87000000001</v>
      </c>
      <c r="T12" s="6080">
        <f t="shared" ref="T12:W12" si="23">SUM(T10:T11)</f>
        <v>350494.1751477269</v>
      </c>
      <c r="U12" s="4401">
        <f t="shared" si="23"/>
        <v>319585.32</v>
      </c>
      <c r="V12" s="3235">
        <f t="shared" si="23"/>
        <v>82552.966558166838</v>
      </c>
      <c r="W12" s="7116">
        <f t="shared" si="23"/>
        <v>47880.909999999996</v>
      </c>
      <c r="X12" s="7022">
        <f>SUM(X10:X11)</f>
        <v>250350.96655816684</v>
      </c>
      <c r="Y12" s="6205">
        <f>SUM(Y10:Y11)</f>
        <v>199261.12</v>
      </c>
      <c r="Z12" s="7023">
        <f t="shared" ref="Z12:AK12" si="24">SUM(Z10:Z11)</f>
        <v>433047.14170589374</v>
      </c>
      <c r="AA12" s="7123">
        <f t="shared" si="24"/>
        <v>367466.23</v>
      </c>
      <c r="AB12" s="3235">
        <f t="shared" si="24"/>
        <v>43737</v>
      </c>
      <c r="AC12" s="7116">
        <f t="shared" si="24"/>
        <v>28974.929999999997</v>
      </c>
      <c r="AD12" s="7367">
        <f t="shared" si="24"/>
        <v>476784.14170589374</v>
      </c>
      <c r="AE12" s="4401">
        <f t="shared" si="24"/>
        <v>396441.16</v>
      </c>
      <c r="AF12" s="3235">
        <f t="shared" si="24"/>
        <v>81175.01538461537</v>
      </c>
      <c r="AG12" s="7116">
        <f t="shared" si="24"/>
        <v>70742.34</v>
      </c>
      <c r="AH12" s="7581">
        <f t="shared" si="24"/>
        <v>557959.15709050908</v>
      </c>
      <c r="AI12" s="4401">
        <f t="shared" si="24"/>
        <v>467183.49999999994</v>
      </c>
      <c r="AJ12" s="3235">
        <f t="shared" si="24"/>
        <v>85373.723076923066</v>
      </c>
      <c r="AK12" s="7116">
        <f t="shared" si="24"/>
        <v>71497.34</v>
      </c>
      <c r="AL12" s="7780">
        <f>SUM(AL10:AL11)</f>
        <v>210285.73846153845</v>
      </c>
      <c r="AM12" s="6205">
        <f>SUM(AM10:AM11)</f>
        <v>171214.61000000002</v>
      </c>
      <c r="AN12" s="7778">
        <f t="shared" ref="AN12:AS12" si="25">SUM(AN10:AN11)</f>
        <v>643332.88016743213</v>
      </c>
      <c r="AO12" s="4401">
        <f t="shared" si="25"/>
        <v>538680.84</v>
      </c>
      <c r="AP12" s="3235">
        <f t="shared" si="25"/>
        <v>85373.723076923066</v>
      </c>
      <c r="AQ12" s="7116">
        <f t="shared" si="25"/>
        <v>74386.92</v>
      </c>
      <c r="AR12" s="8106">
        <f>SUM(AR10:AR11)</f>
        <v>728706.60324435518</v>
      </c>
      <c r="AS12" s="4401">
        <f t="shared" si="25"/>
        <v>613067.76</v>
      </c>
      <c r="AT12" s="8184">
        <f t="shared" ref="AT12:AU12" si="26">SUM(AT10:AT11)</f>
        <v>76976</v>
      </c>
      <c r="AU12" s="7116">
        <f t="shared" si="26"/>
        <v>85262.59</v>
      </c>
      <c r="AV12" s="8168">
        <f>SUM(AV10:AV11)</f>
        <v>805682.60324435518</v>
      </c>
      <c r="AW12" s="4401">
        <f t="shared" ref="AW12:AY12" si="27">SUM(AW10:AW11)</f>
        <v>698330.35</v>
      </c>
      <c r="AX12" s="8362">
        <f t="shared" si="27"/>
        <v>85374</v>
      </c>
      <c r="AY12" s="7116">
        <f t="shared" si="27"/>
        <v>105544.15</v>
      </c>
      <c r="AZ12" s="8352">
        <f>SUM(AZ10:AZ11)</f>
        <v>247723.72307692305</v>
      </c>
      <c r="BA12" s="6205">
        <f>SUM(BA10:BA11)</f>
        <v>265193.66000000003</v>
      </c>
      <c r="BB12" s="8352">
        <f>SUM(BB10:BB11)</f>
        <v>1782112.9295656334</v>
      </c>
      <c r="BC12" s="6205">
        <f>SUM(BC10:BC11)</f>
        <v>436408.27</v>
      </c>
      <c r="BD12" s="8353">
        <f t="shared" ref="BD12:BE12" si="28">SUM(BD10:BD11)</f>
        <v>891056.60324435518</v>
      </c>
      <c r="BE12" s="7123">
        <f t="shared" si="28"/>
        <v>803874.49999999988</v>
      </c>
    </row>
    <row r="13" spans="2:57" ht="20" thickBot="1" x14ac:dyDescent="0.3">
      <c r="B13" s="2936" t="s">
        <v>1346</v>
      </c>
      <c r="C13" s="1733" t="s">
        <v>169</v>
      </c>
      <c r="D13" s="3288">
        <f t="shared" ref="D13" si="29">+D12/D8*100</f>
        <v>104.60674157303372</v>
      </c>
      <c r="E13" s="6192">
        <f>+E12/E8*100</f>
        <v>37.080481348677417</v>
      </c>
      <c r="F13" s="3288">
        <f t="shared" ref="F13:J13" si="30">+F12/F8*100</f>
        <v>104.60674157303372</v>
      </c>
      <c r="G13" s="6192">
        <f t="shared" ref="G13" si="31">+G12/G8*100</f>
        <v>123.05619249823071</v>
      </c>
      <c r="H13" s="2934">
        <f t="shared" si="30"/>
        <v>104.60674157303372</v>
      </c>
      <c r="I13" s="6200">
        <f t="shared" si="30"/>
        <v>81.342071465656232</v>
      </c>
      <c r="J13" s="3222">
        <f t="shared" si="30"/>
        <v>102.30769230769229</v>
      </c>
      <c r="K13" s="6192">
        <f>+K12/K8*100</f>
        <v>125.84466809148616</v>
      </c>
      <c r="L13" s="2935">
        <f t="shared" ref="L13:M13" si="32">+L12/L8*100</f>
        <v>103.74072276622326</v>
      </c>
      <c r="M13" s="6206">
        <f t="shared" si="32"/>
        <v>97.518688581615791</v>
      </c>
      <c r="N13" s="3288">
        <f t="shared" ref="N13" si="33">+N12/N8*100</f>
        <v>102.3073324263402</v>
      </c>
      <c r="O13" s="6192">
        <f>+O12/O8*100</f>
        <v>100.28796159427171</v>
      </c>
      <c r="P13" s="2934">
        <f t="shared" ref="P13:R13" si="34">+P12/P8*100</f>
        <v>103.28440811435644</v>
      </c>
      <c r="Q13" s="6200">
        <f t="shared" si="34"/>
        <v>98.348028624342064</v>
      </c>
      <c r="R13" s="3288">
        <f t="shared" si="34"/>
        <v>102.30783137322335</v>
      </c>
      <c r="S13" s="6113">
        <f>+S12/S8*100</f>
        <v>103.81431674353749</v>
      </c>
      <c r="T13" s="2934">
        <f t="shared" ref="T13:V13" si="35">+T12/T8*100</f>
        <v>103.0496341901197</v>
      </c>
      <c r="U13" s="6200">
        <f t="shared" si="35"/>
        <v>99.618874841026411</v>
      </c>
      <c r="V13" s="3288">
        <f t="shared" si="35"/>
        <v>102.30769230769229</v>
      </c>
      <c r="W13" s="6113">
        <f>+W12/W8*100</f>
        <v>111.72249574165247</v>
      </c>
      <c r="X13" s="2935">
        <f t="shared" ref="X13:Y13" si="36">+X12/X8*100</f>
        <v>102.30761781795667</v>
      </c>
      <c r="Y13" s="6206">
        <f t="shared" si="36"/>
        <v>104.22696934825819</v>
      </c>
      <c r="Z13" s="7124">
        <f t="shared" ref="Z13:AB13" si="37">+Z12/Z8*100</f>
        <v>102.90736673197658</v>
      </c>
      <c r="AA13" s="7125">
        <f t="shared" si="37"/>
        <v>101.04525593609503</v>
      </c>
      <c r="AB13" s="3288">
        <f t="shared" si="37"/>
        <v>102.30877192982457</v>
      </c>
      <c r="AC13" s="6113">
        <f>+AC12/AC8*100</f>
        <v>58.76195015108803</v>
      </c>
      <c r="AD13" s="2934">
        <f t="shared" ref="AD13:AF13" si="38">+AD12/AD8*100</f>
        <v>102.85216398466619</v>
      </c>
      <c r="AE13" s="6200">
        <f t="shared" si="38"/>
        <v>95.996639013594063</v>
      </c>
      <c r="AF13" s="3288">
        <f t="shared" si="38"/>
        <v>102.30769230769229</v>
      </c>
      <c r="AG13" s="6113">
        <f>+AG12/AG8*100</f>
        <v>116.92562229347789</v>
      </c>
      <c r="AH13" s="2934">
        <f t="shared" ref="AH13:AJ13" si="39">+AH12/AH8*100</f>
        <v>102.77259125046017</v>
      </c>
      <c r="AI13" s="6200">
        <f t="shared" si="39"/>
        <v>98.670999163632359</v>
      </c>
      <c r="AJ13" s="3288">
        <f t="shared" si="39"/>
        <v>102.30769230769229</v>
      </c>
      <c r="AK13" s="6113">
        <f>+AK12/AK8*100</f>
        <v>97.213129019538528</v>
      </c>
      <c r="AL13" s="2935">
        <f t="shared" ref="AL13:AP13" si="40">+AL12/AL8*100</f>
        <v>102.30791685472479</v>
      </c>
      <c r="AM13" s="6206">
        <f t="shared" si="40"/>
        <v>93.377223791708033</v>
      </c>
      <c r="AN13" s="2934">
        <f t="shared" si="40"/>
        <v>102.71065367003783</v>
      </c>
      <c r="AO13" s="6200">
        <f t="shared" si="40"/>
        <v>98.47498916864555</v>
      </c>
      <c r="AP13" s="3288">
        <f t="shared" si="40"/>
        <v>104.0128205128205</v>
      </c>
      <c r="AQ13" s="6113">
        <f>+AQ12/AQ8*100</f>
        <v>89.792643916806497</v>
      </c>
      <c r="AR13" s="2934">
        <f t="shared" ref="AR13:AT13" si="41">+AR12/AR8*100</f>
        <v>102.86152413563809</v>
      </c>
      <c r="AS13" s="6200">
        <f t="shared" si="41"/>
        <v>97.333045441411343</v>
      </c>
      <c r="AT13" s="3288">
        <f t="shared" si="41"/>
        <v>102.30728335991495</v>
      </c>
      <c r="AU13" s="6113">
        <f>+AU12/AU8*100</f>
        <v>103.4941129345504</v>
      </c>
      <c r="AV13" s="2934">
        <f t="shared" ref="AV13:AX13" si="42">+AV12/AV8*100</f>
        <v>102.80831190035873</v>
      </c>
      <c r="AW13" s="6200">
        <f t="shared" si="42"/>
        <v>98.045679185679177</v>
      </c>
      <c r="AX13" s="3288">
        <f t="shared" si="42"/>
        <v>102.30802415875755</v>
      </c>
      <c r="AY13" s="6113">
        <f>+AY12/AY8*100</f>
        <v>119.3708789033783</v>
      </c>
      <c r="AZ13" s="2935">
        <f t="shared" ref="AZ13:BE13" si="43">+AZ12/AZ8*100</f>
        <v>102.88897323436797</v>
      </c>
      <c r="BA13" s="6206">
        <f t="shared" si="43"/>
        <v>104.55349229628929</v>
      </c>
      <c r="BB13" s="2935">
        <f t="shared" ref="BB13:BC13" si="44">+BB12/BB8*100</f>
        <v>399.29935013009646</v>
      </c>
      <c r="BC13" s="6206">
        <f t="shared" si="44"/>
        <v>99.864135633246534</v>
      </c>
      <c r="BD13" s="7124">
        <f t="shared" si="43"/>
        <v>199.64970608867273</v>
      </c>
      <c r="BE13" s="7125">
        <f t="shared" si="43"/>
        <v>183.95213294218331</v>
      </c>
    </row>
    <row r="14" spans="2:57" ht="16" x14ac:dyDescent="0.2">
      <c r="B14" s="2927" t="s">
        <v>998</v>
      </c>
      <c r="C14" s="1598" t="s">
        <v>170</v>
      </c>
      <c r="D14" s="6078">
        <f>+(D17*D18)/1000</f>
        <v>17185</v>
      </c>
      <c r="E14" s="6193">
        <f>+SMS!E87</f>
        <v>17185</v>
      </c>
      <c r="F14" s="6078">
        <f>+(F17*F18)/1000</f>
        <v>17319.999999999996</v>
      </c>
      <c r="G14" s="6193">
        <f>+SMS!G87</f>
        <v>17320</v>
      </c>
      <c r="H14" s="2403">
        <f t="shared" ref="H14:I15" si="45">+D14+F14</f>
        <v>34505</v>
      </c>
      <c r="I14" s="3919">
        <f t="shared" si="45"/>
        <v>34505</v>
      </c>
      <c r="J14" s="4651">
        <f>+(J17*J18)/1000</f>
        <v>19757.534</v>
      </c>
      <c r="K14" s="6193">
        <f>+SMS!K87</f>
        <v>18558</v>
      </c>
      <c r="L14" s="2402">
        <f t="shared" ref="L14:L15" si="46">+H14+J14</f>
        <v>54262.534</v>
      </c>
      <c r="M14" s="4655">
        <f t="shared" ref="M14:M15" si="47">+I14+K14</f>
        <v>53063</v>
      </c>
      <c r="N14" s="6078">
        <f>+(N17*N18)/1000</f>
        <v>26992.133999999998</v>
      </c>
      <c r="O14" s="6193">
        <f>+SMS!O87</f>
        <v>20495</v>
      </c>
      <c r="P14" s="2403">
        <f t="shared" ref="P14:P15" si="48">+L14+N14</f>
        <v>81254.668000000005</v>
      </c>
      <c r="Q14" s="3919">
        <f t="shared" ref="Q14:Q15" si="49">+M14+O14</f>
        <v>73558</v>
      </c>
      <c r="R14" s="6078">
        <f>+(R17*R18)/1000</f>
        <v>26834.876</v>
      </c>
      <c r="S14" s="6193">
        <f>+SMS!S87</f>
        <v>23707</v>
      </c>
      <c r="T14" s="2403">
        <f t="shared" ref="T14:T15" si="50">+P14+R14</f>
        <v>108089.54400000001</v>
      </c>
      <c r="U14" s="3919">
        <f t="shared" ref="U14:U15" si="51">+Q14+S14</f>
        <v>97265</v>
      </c>
      <c r="V14" s="7008">
        <f>+(V17*V18)/1000</f>
        <v>26481.686000000002</v>
      </c>
      <c r="W14" s="6193">
        <f>+SMS!W87</f>
        <v>11104</v>
      </c>
      <c r="X14" s="2402">
        <f t="shared" ref="X14:X15" si="52">+T14+V14</f>
        <v>134571.23000000001</v>
      </c>
      <c r="Y14" s="4655">
        <f t="shared" ref="Y14:Y15" si="53">+U14+W14</f>
        <v>108369</v>
      </c>
      <c r="Z14" s="6532">
        <f t="shared" ref="Z14:Z15" si="54">+T14+V14</f>
        <v>134571.23000000001</v>
      </c>
      <c r="AA14" s="7126">
        <f t="shared" ref="AA14:AA15" si="55">+U14+W14</f>
        <v>108369</v>
      </c>
      <c r="AB14" s="7357">
        <f>+(AB17*AB18)/1000</f>
        <v>13926.91</v>
      </c>
      <c r="AC14" s="6193">
        <f>+SMS!AC87</f>
        <v>16560</v>
      </c>
      <c r="AD14" s="2403">
        <f t="shared" ref="AD14:AD15" si="56">+Z14+AB14</f>
        <v>148498.14000000001</v>
      </c>
      <c r="AE14" s="3919">
        <f t="shared" ref="AE14:AE15" si="57">+AA14+AC14</f>
        <v>124929</v>
      </c>
      <c r="AF14" s="7556">
        <f>+(AF17*AF18)/1000</f>
        <v>26346.51</v>
      </c>
      <c r="AG14" s="6193">
        <f>+SMS!AG87</f>
        <v>21414</v>
      </c>
      <c r="AH14" s="2403">
        <f t="shared" ref="AH14:AH15" si="58">+AD14+AF14</f>
        <v>174844.65000000002</v>
      </c>
      <c r="AI14" s="3919">
        <f t="shared" ref="AI14:AI15" si="59">+AE14+AG14</f>
        <v>146343</v>
      </c>
      <c r="AJ14" s="7764">
        <f>+(AJ17*AJ18)/1000</f>
        <v>27643.98</v>
      </c>
      <c r="AK14" s="6193">
        <f>+SMS!AK87</f>
        <v>23978</v>
      </c>
      <c r="AL14" s="2402">
        <f t="shared" ref="AL14:AL15" si="60">+AH14+AJ14</f>
        <v>202488.63000000003</v>
      </c>
      <c r="AM14" s="4655">
        <f t="shared" ref="AM14:AM15" si="61">+AI14+AK14</f>
        <v>170321</v>
      </c>
      <c r="AN14" s="2403">
        <f t="shared" ref="AN14:AN15" si="62">+AH14+AJ14</f>
        <v>202488.63000000003</v>
      </c>
      <c r="AO14" s="3919">
        <f t="shared" ref="AO14:AO15" si="63">+AI14+AK14</f>
        <v>170321</v>
      </c>
      <c r="AP14" s="8079">
        <f>+(AP17*AP18)/1000</f>
        <v>27200.814999999999</v>
      </c>
      <c r="AQ14" s="6193">
        <f>+SMS!AQ87</f>
        <v>26943.697760000003</v>
      </c>
      <c r="AR14" s="2403">
        <f>+AN14+AP14</f>
        <v>229689.44500000004</v>
      </c>
      <c r="AS14" s="3919">
        <f t="shared" ref="AS14:AS15" si="64">+AO14+AQ14</f>
        <v>197264.69776000001</v>
      </c>
      <c r="AT14" s="8146">
        <f>+(AT17*AT18)/1000</f>
        <v>25141.516</v>
      </c>
      <c r="AU14" s="6193">
        <f>+SMS!AU87</f>
        <v>24774</v>
      </c>
      <c r="AV14" s="2403">
        <f>+AR14+AT14</f>
        <v>254830.96100000004</v>
      </c>
      <c r="AW14" s="3919">
        <f t="shared" ref="AW14:AW15" si="65">+AS14+AU14</f>
        <v>222038.69776000001</v>
      </c>
      <c r="AX14" s="8341">
        <f>+(AX17*AX18)/1000</f>
        <v>27769.396000000001</v>
      </c>
      <c r="AY14" s="6193">
        <f>+SMS!AY87</f>
        <v>26092</v>
      </c>
      <c r="AZ14" s="2402">
        <f t="shared" ref="AZ14:AZ15" si="66">+AV14+AX14</f>
        <v>282600.35700000002</v>
      </c>
      <c r="BA14" s="4655">
        <f t="shared" ref="BA14:BA15" si="67">+AW14+AY14</f>
        <v>248130.69776000001</v>
      </c>
      <c r="BB14" s="2402">
        <f t="shared" ref="BB14:BB15" si="68">+AX14+AZ14</f>
        <v>310369.75300000003</v>
      </c>
      <c r="BC14" s="4655">
        <f>+BA14+AM14</f>
        <v>418451.69776000001</v>
      </c>
      <c r="BD14" s="6532">
        <f t="shared" ref="BD14:BD15" si="69">+AV14+AX14</f>
        <v>282600.35700000002</v>
      </c>
      <c r="BE14" s="7126">
        <f t="shared" ref="BE14:BE15" si="70">+AW14+AY14</f>
        <v>248130.69776000001</v>
      </c>
    </row>
    <row r="15" spans="2:57" ht="17" thickBot="1" x14ac:dyDescent="0.25">
      <c r="B15" s="2927" t="s">
        <v>956</v>
      </c>
      <c r="C15" s="2115" t="s">
        <v>170</v>
      </c>
      <c r="D15" s="6067">
        <f>+(D16/100)*D14</f>
        <v>8592.5</v>
      </c>
      <c r="E15" s="6193">
        <v>7350</v>
      </c>
      <c r="F15" s="6067">
        <f>+(F16/100)*F14</f>
        <v>8659.9999999999982</v>
      </c>
      <c r="G15" s="6195">
        <v>10747</v>
      </c>
      <c r="H15" s="6080">
        <f t="shared" si="45"/>
        <v>17252.5</v>
      </c>
      <c r="I15" s="4401">
        <f t="shared" si="45"/>
        <v>18097</v>
      </c>
      <c r="J15" s="4810">
        <f>+(J16/100)*J14</f>
        <v>9878.7669999999998</v>
      </c>
      <c r="K15" s="6193">
        <v>10123</v>
      </c>
      <c r="L15" s="6081">
        <f t="shared" si="46"/>
        <v>27131.267</v>
      </c>
      <c r="M15" s="6205">
        <f t="shared" si="47"/>
        <v>28220</v>
      </c>
      <c r="N15" s="6067">
        <f>+(N16/100)*N14</f>
        <v>13496.066999999999</v>
      </c>
      <c r="O15" s="6193">
        <v>14551</v>
      </c>
      <c r="P15" s="6080">
        <f t="shared" si="48"/>
        <v>40627.334000000003</v>
      </c>
      <c r="Q15" s="4401">
        <f t="shared" si="49"/>
        <v>42771</v>
      </c>
      <c r="R15" s="6067">
        <f>+(R16/100)*R14</f>
        <v>13417.438</v>
      </c>
      <c r="S15" s="6193">
        <v>11913</v>
      </c>
      <c r="T15" s="6080">
        <f t="shared" si="50"/>
        <v>54044.772000000004</v>
      </c>
      <c r="U15" s="4401">
        <f t="shared" si="51"/>
        <v>54684</v>
      </c>
      <c r="V15" s="7007">
        <f>+(V16/100)*V14</f>
        <v>13240.843000000001</v>
      </c>
      <c r="W15" s="6193">
        <v>9427</v>
      </c>
      <c r="X15" s="7022">
        <f t="shared" si="52"/>
        <v>67285.615000000005</v>
      </c>
      <c r="Y15" s="6205">
        <f t="shared" si="53"/>
        <v>64111</v>
      </c>
      <c r="Z15" s="7023">
        <f t="shared" si="54"/>
        <v>67285.615000000005</v>
      </c>
      <c r="AA15" s="7123">
        <f t="shared" si="55"/>
        <v>64111</v>
      </c>
      <c r="AB15" s="7356">
        <f>+(AB16/100)*AB14</f>
        <v>6963.4549999999999</v>
      </c>
      <c r="AC15" s="6193">
        <v>11093</v>
      </c>
      <c r="AD15" s="7367">
        <f t="shared" si="56"/>
        <v>74249.070000000007</v>
      </c>
      <c r="AE15" s="4401">
        <f t="shared" si="57"/>
        <v>75204</v>
      </c>
      <c r="AF15" s="7555">
        <f>+(AF16/100)*AF14</f>
        <v>13173.254999999999</v>
      </c>
      <c r="AG15" s="6193">
        <v>11118</v>
      </c>
      <c r="AH15" s="7581">
        <f t="shared" si="58"/>
        <v>87422.325000000012</v>
      </c>
      <c r="AI15" s="4401">
        <f t="shared" si="59"/>
        <v>86322</v>
      </c>
      <c r="AJ15" s="7763">
        <f>+(AJ16/100)*AJ14</f>
        <v>13821.99</v>
      </c>
      <c r="AK15" s="6193">
        <v>14990</v>
      </c>
      <c r="AL15" s="7780">
        <f t="shared" si="60"/>
        <v>101244.31500000002</v>
      </c>
      <c r="AM15" s="6205">
        <f t="shared" si="61"/>
        <v>101312</v>
      </c>
      <c r="AN15" s="7778">
        <f t="shared" si="62"/>
        <v>101244.31500000002</v>
      </c>
      <c r="AO15" s="4401">
        <f t="shared" si="63"/>
        <v>101312</v>
      </c>
      <c r="AP15" s="8078">
        <f>+(AP16/100)*AP14</f>
        <v>13600.407499999999</v>
      </c>
      <c r="AQ15" s="6193">
        <v>10680</v>
      </c>
      <c r="AR15" s="8106">
        <f t="shared" ref="AR15" si="71">+AN15+AP15</f>
        <v>114844.72250000002</v>
      </c>
      <c r="AS15" s="4401">
        <f t="shared" si="64"/>
        <v>111992</v>
      </c>
      <c r="AT15" s="8145">
        <f>+(AT16/100)*AT14</f>
        <v>12570.758</v>
      </c>
      <c r="AU15" s="6193">
        <v>3914</v>
      </c>
      <c r="AV15" s="8168">
        <f t="shared" ref="AV15" si="72">+AR15+AT15</f>
        <v>127415.48050000002</v>
      </c>
      <c r="AW15" s="4401">
        <f t="shared" si="65"/>
        <v>115906</v>
      </c>
      <c r="AX15" s="8340">
        <f>+(AX16/100)*AX14</f>
        <v>13884.698</v>
      </c>
      <c r="AY15" s="6193">
        <v>7363</v>
      </c>
      <c r="AZ15" s="8352">
        <f t="shared" si="66"/>
        <v>141300.17850000001</v>
      </c>
      <c r="BA15" s="6205">
        <f t="shared" si="67"/>
        <v>123269</v>
      </c>
      <c r="BB15" s="8352">
        <f t="shared" si="68"/>
        <v>155184.87650000001</v>
      </c>
      <c r="BC15" s="6205">
        <f>+BA15+AM15</f>
        <v>224581</v>
      </c>
      <c r="BD15" s="8353">
        <f t="shared" si="69"/>
        <v>141300.17850000001</v>
      </c>
      <c r="BE15" s="7123">
        <f t="shared" si="70"/>
        <v>123269</v>
      </c>
    </row>
    <row r="16" spans="2:57" ht="20" thickBot="1" x14ac:dyDescent="0.3">
      <c r="B16" s="2936" t="s">
        <v>1348</v>
      </c>
      <c r="C16" s="1733" t="s">
        <v>169</v>
      </c>
      <c r="D16" s="2726">
        <v>50</v>
      </c>
      <c r="E16" s="2724">
        <f t="shared" ref="E16:I16" si="73">+E15/E14*100</f>
        <v>42.769857433808554</v>
      </c>
      <c r="F16" s="2726">
        <v>50</v>
      </c>
      <c r="G16" s="1865">
        <f t="shared" ref="G16" si="74">+G15/G14*100</f>
        <v>62.049653579676679</v>
      </c>
      <c r="H16" s="2937">
        <v>50</v>
      </c>
      <c r="I16" s="3881">
        <f t="shared" si="73"/>
        <v>52.447471380959279</v>
      </c>
      <c r="J16" s="2827">
        <v>50</v>
      </c>
      <c r="K16" s="2724">
        <f t="shared" ref="K16" si="75">+K15/K14*100</f>
        <v>54.547903868951394</v>
      </c>
      <c r="L16" s="2938">
        <v>50</v>
      </c>
      <c r="M16" s="3907">
        <f t="shared" ref="M16" si="76">+M15/M14*100</f>
        <v>53.182066600079146</v>
      </c>
      <c r="N16" s="2726">
        <v>50</v>
      </c>
      <c r="O16" s="2724">
        <f t="shared" ref="O16" si="77">+O15/O14*100</f>
        <v>70.997804342522556</v>
      </c>
      <c r="P16" s="2937">
        <v>50</v>
      </c>
      <c r="Q16" s="3881">
        <f t="shared" ref="Q16" si="78">+Q15/Q14*100</f>
        <v>58.145952853530545</v>
      </c>
      <c r="R16" s="2726">
        <v>50</v>
      </c>
      <c r="S16" s="2724">
        <f t="shared" ref="S16" si="79">+S15/S14*100</f>
        <v>50.250980722993212</v>
      </c>
      <c r="T16" s="2937">
        <v>50</v>
      </c>
      <c r="U16" s="3881">
        <f t="shared" ref="U16" si="80">+U15/U14*100</f>
        <v>56.221662468513856</v>
      </c>
      <c r="V16" s="5280">
        <v>50</v>
      </c>
      <c r="W16" s="7128">
        <f t="shared" ref="W16" si="81">+W15/W14*100</f>
        <v>84.89733429394812</v>
      </c>
      <c r="X16" s="2938">
        <v>50</v>
      </c>
      <c r="Y16" s="3907">
        <f t="shared" ref="Y16" si="82">+Y15/Y14*100</f>
        <v>59.15990735357898</v>
      </c>
      <c r="Z16" s="6538">
        <v>50</v>
      </c>
      <c r="AA16" s="7127">
        <f t="shared" ref="AA16" si="83">+AA15/AA14*100</f>
        <v>59.15990735357898</v>
      </c>
      <c r="AB16" s="2726">
        <v>50</v>
      </c>
      <c r="AC16" s="2724">
        <f t="shared" ref="AC16" si="84">+AC15/AC14*100</f>
        <v>66.986714975845402</v>
      </c>
      <c r="AD16" s="2937">
        <v>50</v>
      </c>
      <c r="AE16" s="3881">
        <f t="shared" ref="AE16" si="85">+AE15/AE14*100</f>
        <v>60.197392118723435</v>
      </c>
      <c r="AF16" s="2726">
        <v>50</v>
      </c>
      <c r="AG16" s="2724">
        <f t="shared" ref="AG16" si="86">+AG15/AG14*100</f>
        <v>51.919305127486695</v>
      </c>
      <c r="AH16" s="2937">
        <v>50</v>
      </c>
      <c r="AI16" s="3881">
        <f t="shared" ref="AI16" si="87">+AI15/AI14*100</f>
        <v>58.986080646153219</v>
      </c>
      <c r="AJ16" s="5280">
        <v>50</v>
      </c>
      <c r="AK16" s="7128">
        <f t="shared" ref="AK16" si="88">+AK15/AK14*100</f>
        <v>62.515639336058051</v>
      </c>
      <c r="AL16" s="2938">
        <v>50</v>
      </c>
      <c r="AM16" s="3907">
        <f t="shared" ref="AM16" si="89">+AM15/AM14*100</f>
        <v>59.482976262469101</v>
      </c>
      <c r="AN16" s="2937">
        <v>50</v>
      </c>
      <c r="AO16" s="3881">
        <f t="shared" ref="AO16" si="90">+AO15/AO14*100</f>
        <v>59.482976262469101</v>
      </c>
      <c r="AP16" s="4020">
        <v>50</v>
      </c>
      <c r="AQ16" s="7128">
        <f t="shared" ref="AQ16" si="91">+AQ15/AQ14*100</f>
        <v>39.638211856188811</v>
      </c>
      <c r="AR16" s="2937">
        <v>50</v>
      </c>
      <c r="AS16" s="3881">
        <f t="shared" ref="AS16" si="92">+AS15/AS14*100</f>
        <v>56.772449035079696</v>
      </c>
      <c r="AT16" s="4020">
        <v>50</v>
      </c>
      <c r="AU16" s="7128">
        <f t="shared" ref="AU16" si="93">+AU15/AU14*100</f>
        <v>15.798821344958425</v>
      </c>
      <c r="AV16" s="2937">
        <v>50</v>
      </c>
      <c r="AW16" s="3881">
        <f t="shared" ref="AW16" si="94">+AW15/AW14*100</f>
        <v>52.200810565589762</v>
      </c>
      <c r="AX16" s="4020">
        <v>50</v>
      </c>
      <c r="AY16" s="7128">
        <f t="shared" ref="AY16" si="95">+AY15/AY14*100</f>
        <v>28.219377586999844</v>
      </c>
      <c r="AZ16" s="2938">
        <v>50</v>
      </c>
      <c r="BA16" s="3907">
        <f t="shared" ref="BA16" si="96">+BA15/BA14*100</f>
        <v>49.679060717924443</v>
      </c>
      <c r="BB16" s="2938">
        <v>50</v>
      </c>
      <c r="BC16" s="3907">
        <f t="shared" ref="BC16" si="97">+BC15/BC14*100</f>
        <v>53.669515789324585</v>
      </c>
      <c r="BD16" s="6538">
        <v>50</v>
      </c>
      <c r="BE16" s="7127">
        <f t="shared" ref="BE16" si="98">+BE15/BE14*100</f>
        <v>49.679060717924443</v>
      </c>
    </row>
    <row r="17" spans="2:57" x14ac:dyDescent="0.2">
      <c r="B17" t="s">
        <v>2120</v>
      </c>
      <c r="D17" s="6184">
        <f>+'Maj Prod Summ'!D18</f>
        <v>129292</v>
      </c>
      <c r="E17" s="1959">
        <f>+'Maj Prod Summ'!E18</f>
        <v>129292</v>
      </c>
      <c r="F17" s="6184">
        <f>+'Maj Prod Summ'!F18</f>
        <v>134303</v>
      </c>
      <c r="G17" s="1959">
        <f>+'Maj Prod Summ'!G18</f>
        <v>134303</v>
      </c>
      <c r="H17" s="6184">
        <f>+'Maj Prod Summ'!H18</f>
        <v>263595</v>
      </c>
      <c r="I17" s="1959">
        <f>+'Maj Prod Summ'!I18</f>
        <v>263595</v>
      </c>
      <c r="J17" s="6184">
        <f>+'Maj Prod Summ'!J18</f>
        <v>161947</v>
      </c>
      <c r="K17" s="1959">
        <f>+'Maj Prod Summ'!K18</f>
        <v>147382</v>
      </c>
      <c r="L17" s="1959">
        <f>+'Maj Prod Summ'!L18</f>
        <v>425542</v>
      </c>
      <c r="M17" s="1959">
        <f>+'Maj Prod Summ'!M18</f>
        <v>410977</v>
      </c>
      <c r="N17" s="1959">
        <f>+'Maj Prod Summ'!N18</f>
        <v>221247</v>
      </c>
      <c r="O17" s="1959">
        <f>+'Maj Prod Summ'!O18</f>
        <v>160929</v>
      </c>
      <c r="P17" s="1959">
        <f>+'Maj Prod Summ'!P18</f>
        <v>646789</v>
      </c>
      <c r="Q17" s="1959">
        <f>+'Maj Prod Summ'!Q18</f>
        <v>571906</v>
      </c>
      <c r="R17" s="1959">
        <f>+'Maj Prod Summ'!R18</f>
        <v>219958</v>
      </c>
      <c r="S17" s="1959">
        <f>+'Maj Prod Summ'!S18</f>
        <v>172012</v>
      </c>
      <c r="T17" s="1959">
        <f>+'Maj Prod Summ'!T18</f>
        <v>866747</v>
      </c>
      <c r="U17" s="1959">
        <f>+'Maj Prod Summ'!U18</f>
        <v>743918</v>
      </c>
      <c r="V17" s="1959">
        <f>+'Maj Prod Summ'!V18</f>
        <v>217063</v>
      </c>
      <c r="W17" s="1959">
        <f>+'Maj Prod Summ'!W18</f>
        <v>83590</v>
      </c>
      <c r="X17" s="1959">
        <f>+'Maj Prod Summ'!X18</f>
        <v>658268</v>
      </c>
      <c r="Y17" s="1959">
        <f>+'Maj Prod Summ'!Y18</f>
        <v>416531</v>
      </c>
      <c r="Z17" s="1959">
        <f>+'Maj Prod Summ'!Z18</f>
        <v>1083810</v>
      </c>
      <c r="AA17" s="1959">
        <f>+'Maj Prod Summ'!AA18</f>
        <v>827508</v>
      </c>
      <c r="AB17" s="1959">
        <f>+'Maj Prod Summ'!AB18</f>
        <v>114155</v>
      </c>
      <c r="AC17" s="1959">
        <f>+'Maj Prod Summ'!AC18</f>
        <v>98775</v>
      </c>
      <c r="AD17" s="1959">
        <f>+'Maj Prod Summ'!AD18</f>
        <v>1197965</v>
      </c>
      <c r="AE17" s="1959">
        <f>+'Maj Prod Summ'!AE18</f>
        <v>926283</v>
      </c>
      <c r="AF17" s="1959">
        <f>+'Maj Prod Summ'!AF18</f>
        <v>215955</v>
      </c>
      <c r="AG17" s="1959">
        <f>+'Maj Prod Summ'!AG18</f>
        <v>139620</v>
      </c>
      <c r="AH17" s="1959">
        <f>+'Maj Prod Summ'!AH18</f>
        <v>1413920</v>
      </c>
      <c r="AI17" s="1959">
        <f>+'Maj Prod Summ'!AI18</f>
        <v>1065903</v>
      </c>
      <c r="AJ17" s="1959">
        <f>+'Maj Prod Summ'!AJ18</f>
        <v>226590</v>
      </c>
      <c r="AK17" s="1959">
        <f>+'Maj Prod Summ'!AK18</f>
        <v>167995</v>
      </c>
      <c r="AL17" s="1959">
        <f>+'Maj Prod Summ'!AL18</f>
        <v>556700</v>
      </c>
      <c r="AM17" s="1959">
        <f>+'Maj Prod Summ'!AM18</f>
        <v>406390</v>
      </c>
      <c r="AN17" s="1959">
        <f>+'Maj Prod Summ'!AN18</f>
        <v>1640510</v>
      </c>
      <c r="AO17" s="1959">
        <f>+'Maj Prod Summ'!AO18</f>
        <v>1233898</v>
      </c>
      <c r="AP17" s="6184">
        <f>+'Maj Prod Summ'!AP18</f>
        <v>222957.5</v>
      </c>
      <c r="AQ17" s="1959">
        <f>+'Maj Prod Summ'!AQ18</f>
        <v>201367</v>
      </c>
      <c r="AR17" s="1959">
        <f>+'Maj Prod Summ'!AR18</f>
        <v>1863467.5</v>
      </c>
      <c r="AS17" s="1959">
        <f>+'Maj Prod Summ'!AS18</f>
        <v>1435265</v>
      </c>
      <c r="AT17" s="6184">
        <f>+'Maj Prod Summ'!AT18</f>
        <v>206078</v>
      </c>
      <c r="AU17" s="1959">
        <f>+'Maj Prod Summ'!AU18</f>
        <v>189148</v>
      </c>
      <c r="AV17" s="1959">
        <f>+'Maj Prod Summ'!AV18</f>
        <v>2069545.5</v>
      </c>
      <c r="AW17" s="1959">
        <f>+'Maj Prod Summ'!AW18</f>
        <v>1624413</v>
      </c>
      <c r="AX17" s="6184">
        <f>+'Maj Prod Summ'!AX18</f>
        <v>227618</v>
      </c>
      <c r="AY17" s="1959">
        <f>+'Maj Prod Summ'!AY18</f>
        <v>223020</v>
      </c>
      <c r="AZ17" s="1959">
        <f>+'Maj Prod Summ'!AZ18</f>
        <v>656653.5</v>
      </c>
      <c r="BA17" s="1959">
        <f>+'Maj Prod Summ'!BA18</f>
        <v>613535</v>
      </c>
      <c r="BB17" s="1959">
        <f>+'Maj Prod Summ'!BB18</f>
        <v>1213353.5</v>
      </c>
      <c r="BC17" s="1959">
        <f>+'Maj Prod Summ'!BC18</f>
        <v>1019925</v>
      </c>
      <c r="BD17" s="1959">
        <f>+'Maj Prod Summ'!BB18</f>
        <v>1213353.5</v>
      </c>
      <c r="BE17" s="1959">
        <f>+'Maj Prod Summ'!BC18</f>
        <v>1019925</v>
      </c>
    </row>
    <row r="18" spans="2:57" x14ac:dyDescent="0.2">
      <c r="B18" t="s">
        <v>1908</v>
      </c>
      <c r="D18" s="6185">
        <f>+SMS!D89</f>
        <v>132.91618971011354</v>
      </c>
      <c r="E18" s="6185">
        <f>+SMS!E89</f>
        <v>132.91618971011354</v>
      </c>
      <c r="F18" s="6185">
        <f>+SMS!F89</f>
        <v>128.9621229607678</v>
      </c>
      <c r="G18" s="6185">
        <f>+SMS!G89</f>
        <v>128.9621229607678</v>
      </c>
      <c r="H18" s="6185">
        <f>+SMS!H89</f>
        <v>130.90157248809729</v>
      </c>
      <c r="I18" s="6185">
        <f>+SMS!I89</f>
        <v>130.90157248809729</v>
      </c>
      <c r="J18" s="6185">
        <f>+SMS!J89</f>
        <v>122</v>
      </c>
      <c r="K18" s="6185">
        <f>+SMS!K89</f>
        <v>125.9176832991817</v>
      </c>
      <c r="L18" s="6185">
        <f>+SMS!L89</f>
        <v>127.51393281979217</v>
      </c>
      <c r="M18" s="6185">
        <f>+SMS!M89</f>
        <v>129.11428133447859</v>
      </c>
      <c r="N18" s="6185">
        <f>+SMS!N89</f>
        <v>122</v>
      </c>
      <c r="O18" s="6185">
        <f>+SMS!O89</f>
        <v>127.35429910084572</v>
      </c>
      <c r="P18" s="6185">
        <f>+SMS!P89</f>
        <v>125.62778278542153</v>
      </c>
      <c r="Q18" s="6185">
        <f>+SMS!Q89</f>
        <v>128.61903879308835</v>
      </c>
      <c r="R18" s="6185">
        <f>+SMS!R89</f>
        <v>122</v>
      </c>
      <c r="S18" s="6185">
        <f>+SMS!S89</f>
        <v>137.82177987582261</v>
      </c>
      <c r="T18" s="6185">
        <f>+SMS!T89</f>
        <v>124.70714522230824</v>
      </c>
      <c r="U18" s="6185">
        <f>+SMS!U89</f>
        <v>130.74693716242919</v>
      </c>
      <c r="V18" s="6185">
        <f>+SMS!V89</f>
        <v>122</v>
      </c>
      <c r="W18" s="6185">
        <f>+SMS!W89</f>
        <v>132.83885632252662</v>
      </c>
      <c r="X18" s="6185">
        <f>+SMS!X89</f>
        <v>122</v>
      </c>
      <c r="Y18" s="6185">
        <f>+SMS!Y89</f>
        <v>132.7776323971085</v>
      </c>
      <c r="Z18" s="6185">
        <f>+SMS!Z89</f>
        <v>124.16496433876787</v>
      </c>
      <c r="AA18" s="6185">
        <f>+SMS!AA89</f>
        <v>130.95825055467742</v>
      </c>
      <c r="AB18" s="6185">
        <f>+SMS!AB89</f>
        <v>122</v>
      </c>
      <c r="AC18" s="6185">
        <f>+SMS!AC89</f>
        <v>167.65375854214125</v>
      </c>
      <c r="AD18" s="6185">
        <f>+SMS!AD89</f>
        <v>123.95866323306609</v>
      </c>
      <c r="AE18" s="6185">
        <f>+SMS!AE89</f>
        <v>134.87130822869469</v>
      </c>
      <c r="AF18" s="6185">
        <f>+SMS!AF89</f>
        <v>122</v>
      </c>
      <c r="AG18" s="6185">
        <f>+SMS!AG89</f>
        <v>153.37344220025784</v>
      </c>
      <c r="AH18" s="8258">
        <f>+SMS!AH89</f>
        <v>123.65950690279507</v>
      </c>
      <c r="AI18" s="8258">
        <f>+SMS!AI89</f>
        <v>137.29485703670971</v>
      </c>
      <c r="AJ18" s="8258">
        <f>+SMS!AJ89</f>
        <v>122</v>
      </c>
      <c r="AK18" s="8258">
        <f>+SMS!AK89</f>
        <v>142.73043840590495</v>
      </c>
      <c r="AL18" s="8258">
        <f>+SMS!AL89</f>
        <v>121.99999999999999</v>
      </c>
      <c r="AM18" s="8258">
        <f>+SMS!AM89</f>
        <v>152.44469598169246</v>
      </c>
      <c r="AN18" s="8258">
        <f>+SMS!AN89</f>
        <v>123.43029301863447</v>
      </c>
      <c r="AO18" s="8258">
        <f>+SMS!AO89</f>
        <v>138.03491050313721</v>
      </c>
      <c r="AP18" s="8258">
        <f>+SMS!AP89</f>
        <v>122</v>
      </c>
      <c r="AQ18" s="8259">
        <f>+SMS!AQ89</f>
        <v>133.80393887777046</v>
      </c>
      <c r="AR18" s="8258">
        <f>+SMS!AR89</f>
        <v>123.25916336077771</v>
      </c>
      <c r="AS18" s="8258">
        <f>+SMS!AS89</f>
        <v>137.44130718717452</v>
      </c>
      <c r="AT18" s="8258">
        <f>+SMS!AT89</f>
        <v>122</v>
      </c>
      <c r="AU18" s="8259">
        <f>+SMS!AU89</f>
        <v>130.97680123501175</v>
      </c>
      <c r="AV18" s="8258">
        <f>+SMS!AV89</f>
        <v>123.13378033969296</v>
      </c>
      <c r="AW18" s="8258">
        <f>+SMS!AW89</f>
        <v>136.68857474053706</v>
      </c>
      <c r="AX18" s="8258">
        <f>+SMS!AX89</f>
        <v>122</v>
      </c>
      <c r="AY18" s="8259">
        <f>+SMS!AY89</f>
        <v>116.99399157026276</v>
      </c>
      <c r="AZ18" s="6185">
        <f>+SMS!AZ89</f>
        <v>122</v>
      </c>
      <c r="BA18" s="6185">
        <f>+SMS!BA89</f>
        <v>126.82193804754417</v>
      </c>
      <c r="BB18" s="6185">
        <f>+SMS!BB89</f>
        <v>465.34841907160614</v>
      </c>
      <c r="BC18" s="6185">
        <f>+SMS!BC89</f>
        <v>137.03134814814817</v>
      </c>
      <c r="BD18" s="6185">
        <f>+SMS!BB89</f>
        <v>465.34841907160614</v>
      </c>
      <c r="BE18" s="6185">
        <f>+SMS!BC89</f>
        <v>137.03134814814817</v>
      </c>
    </row>
    <row r="19" spans="2:57" ht="15" customHeight="1" x14ac:dyDescent="0.2"/>
    <row r="28" spans="2:57" x14ac:dyDescent="0.2">
      <c r="BD28" s="1673">
        <f>+BA10+AM10</f>
        <v>1965.6299999999997</v>
      </c>
    </row>
  </sheetData>
  <mergeCells count="29">
    <mergeCell ref="AX3:AY3"/>
    <mergeCell ref="AZ3:BA3"/>
    <mergeCell ref="BD3:BE3"/>
    <mergeCell ref="BB3:BC3"/>
    <mergeCell ref="AF3:AG3"/>
    <mergeCell ref="AH3:AI3"/>
    <mergeCell ref="AT3:AU3"/>
    <mergeCell ref="AV3:AW3"/>
    <mergeCell ref="AR3:AS3"/>
    <mergeCell ref="AP3:AQ3"/>
    <mergeCell ref="AJ3:AK3"/>
    <mergeCell ref="AL3:AM3"/>
    <mergeCell ref="AN3:AO3"/>
    <mergeCell ref="AB3:AC3"/>
    <mergeCell ref="AD3:AE3"/>
    <mergeCell ref="B3:B4"/>
    <mergeCell ref="C3:C4"/>
    <mergeCell ref="D3:E3"/>
    <mergeCell ref="F3:G3"/>
    <mergeCell ref="H3:I3"/>
    <mergeCell ref="J3:K3"/>
    <mergeCell ref="L3:M3"/>
    <mergeCell ref="N3:O3"/>
    <mergeCell ref="P3:Q3"/>
    <mergeCell ref="V3:W3"/>
    <mergeCell ref="Z3:AA3"/>
    <mergeCell ref="X3:Y3"/>
    <mergeCell ref="R3:S3"/>
    <mergeCell ref="T3:U3"/>
  </mergeCells>
  <pageMargins left="0.7" right="0.7" top="0.75" bottom="0.75" header="0.3" footer="0.3"/>
  <pageSetup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3300"/>
    <pageSetUpPr fitToPage="1"/>
  </sheetPr>
  <dimension ref="A1:BE44"/>
  <sheetViews>
    <sheetView workbookViewId="0">
      <pane xSplit="3" topLeftCell="AR1" activePane="topRight" state="frozen"/>
      <selection pane="topRight" activeCell="AT29" sqref="AT29"/>
    </sheetView>
  </sheetViews>
  <sheetFormatPr baseColWidth="10" defaultColWidth="8.83203125" defaultRowHeight="15" x14ac:dyDescent="0.2"/>
  <cols>
    <col min="1" max="1" width="9.1640625" style="2100"/>
    <col min="2" max="2" width="31.33203125" customWidth="1"/>
    <col min="3" max="3" width="13.5" customWidth="1"/>
    <col min="4" max="4" width="14.5" style="2100" customWidth="1"/>
    <col min="5" max="5" width="9.1640625" style="2265" customWidth="1"/>
    <col min="6" max="6" width="9.1640625" style="2100" customWidth="1"/>
    <col min="7" max="7" width="9.1640625" style="2265" customWidth="1"/>
    <col min="8" max="8" width="9.1640625" style="2100" customWidth="1"/>
    <col min="9" max="9" width="9.1640625" style="2265" customWidth="1"/>
    <col min="10" max="10" width="11.5" style="2100" customWidth="1"/>
    <col min="11" max="11" width="13.33203125" style="2265" customWidth="1"/>
    <col min="12" max="12" width="9.1640625" style="2100" customWidth="1"/>
    <col min="13" max="13" width="9.1640625" style="2265" customWidth="1"/>
    <col min="14" max="14" width="9.1640625" style="2100" customWidth="1"/>
    <col min="15" max="15" width="9.1640625" style="2265" customWidth="1"/>
    <col min="16" max="16" width="9.1640625" style="2100" customWidth="1"/>
    <col min="17" max="17" width="9.1640625" style="2265" customWidth="1"/>
    <col min="18" max="18" width="8" customWidth="1"/>
    <col min="19" max="19" width="9.1640625" customWidth="1"/>
    <col min="20" max="21" width="7.83203125" customWidth="1"/>
    <col min="22" max="23" width="9.1640625" customWidth="1"/>
    <col min="24" max="25" width="9.1640625" style="7129" customWidth="1"/>
    <col min="26" max="27" width="9.1640625" customWidth="1"/>
    <col min="50" max="51" width="9.1640625" style="8338"/>
    <col min="52" max="57" width="9.1640625" style="8338" customWidth="1"/>
  </cols>
  <sheetData>
    <row r="1" spans="1:57" ht="23" x14ac:dyDescent="0.25">
      <c r="B1" s="1641" t="s">
        <v>374</v>
      </c>
      <c r="C1" s="1537"/>
      <c r="D1" s="2883"/>
      <c r="E1" s="1833"/>
      <c r="F1" s="2883"/>
      <c r="G1" s="1833"/>
      <c r="H1" s="2883"/>
      <c r="I1" s="1833"/>
    </row>
    <row r="2" spans="1:57" s="2265" customFormat="1" ht="16" thickBot="1" x14ac:dyDescent="0.25">
      <c r="B2" s="1833"/>
      <c r="C2" s="1833"/>
      <c r="D2" s="1690">
        <v>30</v>
      </c>
      <c r="E2" s="1690">
        <v>30</v>
      </c>
      <c r="F2" s="1690">
        <v>31</v>
      </c>
      <c r="G2" s="1690">
        <v>31</v>
      </c>
      <c r="H2" s="1690">
        <f>+D2+F2</f>
        <v>61</v>
      </c>
      <c r="I2" s="1690">
        <f>+E2+G2</f>
        <v>61</v>
      </c>
      <c r="J2" s="1690">
        <v>30</v>
      </c>
      <c r="K2" s="1690">
        <v>30</v>
      </c>
      <c r="L2" s="1690">
        <f>+H2+J2</f>
        <v>91</v>
      </c>
      <c r="M2" s="1690">
        <f>+I2+K2</f>
        <v>91</v>
      </c>
      <c r="N2" s="1690">
        <v>31</v>
      </c>
      <c r="O2" s="1690">
        <v>31</v>
      </c>
      <c r="P2" s="1690">
        <f>+L2+N2</f>
        <v>122</v>
      </c>
      <c r="Q2" s="1690">
        <f>+M2+O2</f>
        <v>122</v>
      </c>
      <c r="R2" s="1690">
        <v>31</v>
      </c>
      <c r="S2" s="1690">
        <v>31</v>
      </c>
      <c r="T2" s="1690">
        <f>+P2+R2</f>
        <v>153</v>
      </c>
      <c r="U2" s="1690">
        <f>+Q2+S2</f>
        <v>153</v>
      </c>
      <c r="V2" s="1690">
        <v>30</v>
      </c>
      <c r="W2" s="1690">
        <v>30</v>
      </c>
      <c r="X2" s="1690">
        <f>+N2+R2+V2</f>
        <v>92</v>
      </c>
      <c r="Y2" s="1690">
        <f>+O2+S2+W2</f>
        <v>92</v>
      </c>
      <c r="Z2" s="1690">
        <f>+T2+V2</f>
        <v>183</v>
      </c>
      <c r="AA2" s="1690">
        <f>+U2+W2</f>
        <v>183</v>
      </c>
      <c r="AB2" s="1690">
        <v>31</v>
      </c>
      <c r="AC2" s="1690">
        <v>31</v>
      </c>
      <c r="AD2" s="1690">
        <f>+Z2+AB2</f>
        <v>214</v>
      </c>
      <c r="AE2" s="1690">
        <f>+AA2+AC2</f>
        <v>214</v>
      </c>
      <c r="AF2" s="1690">
        <v>30</v>
      </c>
      <c r="AG2" s="1690">
        <v>30</v>
      </c>
      <c r="AH2" s="1690">
        <f>+AD2+AF2</f>
        <v>244</v>
      </c>
      <c r="AI2" s="1690">
        <f>+AE2+AG2</f>
        <v>244</v>
      </c>
      <c r="AJ2" s="1690">
        <v>31</v>
      </c>
      <c r="AK2" s="1690">
        <v>31</v>
      </c>
      <c r="AL2" s="1690">
        <f>+AB2+AF2+AJ2</f>
        <v>92</v>
      </c>
      <c r="AM2" s="1690">
        <f>+AC2+AG2+AK2</f>
        <v>92</v>
      </c>
      <c r="AN2" s="1690">
        <f>+AH2+AJ2</f>
        <v>275</v>
      </c>
      <c r="AO2" s="1690">
        <f>+AI2+AK2</f>
        <v>275</v>
      </c>
      <c r="AP2" s="1690">
        <v>31</v>
      </c>
      <c r="AQ2" s="1690">
        <v>31</v>
      </c>
      <c r="AR2" s="1690">
        <f>+AN2+AP2</f>
        <v>306</v>
      </c>
      <c r="AS2" s="1690">
        <f>+AO2+AQ2</f>
        <v>306</v>
      </c>
      <c r="AT2" s="1690">
        <v>28</v>
      </c>
      <c r="AU2" s="1690">
        <v>28</v>
      </c>
      <c r="AV2" s="1690">
        <f>+AR2+AT2</f>
        <v>334</v>
      </c>
      <c r="AW2" s="1690">
        <f>+AS2+AU2</f>
        <v>334</v>
      </c>
      <c r="AX2" s="1690">
        <v>31</v>
      </c>
      <c r="AY2" s="1690">
        <v>31</v>
      </c>
      <c r="AZ2" s="1690">
        <f>+AP2+AT2+AX2</f>
        <v>90</v>
      </c>
      <c r="BA2" s="1690">
        <f>+AQ2+AU2+AY2</f>
        <v>90</v>
      </c>
      <c r="BB2" s="1690">
        <f>+AZ2+AL2</f>
        <v>182</v>
      </c>
      <c r="BC2" s="1690">
        <f>+BA2+AM2</f>
        <v>182</v>
      </c>
      <c r="BD2" s="1690">
        <f>+AV2+AX2</f>
        <v>365</v>
      </c>
      <c r="BE2" s="1690">
        <f>+AW2+AY2</f>
        <v>365</v>
      </c>
    </row>
    <row r="3" spans="1:57" s="2265" customFormat="1" ht="16" thickBot="1" x14ac:dyDescent="0.25">
      <c r="B3" s="8707" t="s">
        <v>657</v>
      </c>
      <c r="C3" s="8709" t="s">
        <v>658</v>
      </c>
      <c r="D3" s="8644" t="s">
        <v>1859</v>
      </c>
      <c r="E3" s="8645"/>
      <c r="F3" s="8644" t="s">
        <v>1862</v>
      </c>
      <c r="G3" s="8644"/>
      <c r="H3" s="8646" t="s">
        <v>52</v>
      </c>
      <c r="I3" s="8647"/>
      <c r="J3" s="8703" t="s">
        <v>1863</v>
      </c>
      <c r="K3" s="8704"/>
      <c r="L3" s="8700" t="s">
        <v>1568</v>
      </c>
      <c r="M3" s="8699"/>
      <c r="N3" s="8644" t="s">
        <v>1864</v>
      </c>
      <c r="O3" s="8644"/>
      <c r="P3" s="8646" t="s">
        <v>62</v>
      </c>
      <c r="Q3" s="8647"/>
      <c r="R3" s="8644" t="s">
        <v>2160</v>
      </c>
      <c r="S3" s="8644"/>
      <c r="T3" s="8646" t="s">
        <v>64</v>
      </c>
      <c r="U3" s="8647"/>
      <c r="V3" s="8644" t="s">
        <v>2227</v>
      </c>
      <c r="W3" s="8644"/>
      <c r="X3" s="8698" t="s">
        <v>1717</v>
      </c>
      <c r="Y3" s="8699"/>
      <c r="Z3" s="8701" t="s">
        <v>1697</v>
      </c>
      <c r="AA3" s="8702"/>
      <c r="AB3" s="8644" t="s">
        <v>2265</v>
      </c>
      <c r="AC3" s="8644"/>
      <c r="AD3" s="8646" t="s">
        <v>101</v>
      </c>
      <c r="AE3" s="8647"/>
      <c r="AF3" s="8644" t="s">
        <v>2423</v>
      </c>
      <c r="AG3" s="8644"/>
      <c r="AH3" s="8646" t="s">
        <v>105</v>
      </c>
      <c r="AI3" s="8647"/>
      <c r="AJ3" s="8644" t="s">
        <v>2449</v>
      </c>
      <c r="AK3" s="8644"/>
      <c r="AL3" s="8698" t="s">
        <v>1756</v>
      </c>
      <c r="AM3" s="8699"/>
      <c r="AN3" s="8646" t="s">
        <v>2448</v>
      </c>
      <c r="AO3" s="8647"/>
      <c r="AP3" s="8644" t="s">
        <v>2533</v>
      </c>
      <c r="AQ3" s="8644"/>
      <c r="AR3" s="8646" t="s">
        <v>110</v>
      </c>
      <c r="AS3" s="8647"/>
      <c r="AT3" s="8644" t="s">
        <v>2531</v>
      </c>
      <c r="AU3" s="8644"/>
      <c r="AV3" s="8646" t="s">
        <v>113</v>
      </c>
      <c r="AW3" s="8647"/>
      <c r="AX3" s="8644" t="s">
        <v>2600</v>
      </c>
      <c r="AY3" s="8644"/>
      <c r="AZ3" s="8698" t="s">
        <v>1757</v>
      </c>
      <c r="BA3" s="8699"/>
      <c r="BB3" s="8698" t="s">
        <v>1842</v>
      </c>
      <c r="BC3" s="8699"/>
      <c r="BD3" s="8701" t="s">
        <v>1865</v>
      </c>
      <c r="BE3" s="8702"/>
    </row>
    <row r="4" spans="1:57" s="2265" customFormat="1" ht="16" thickBot="1" x14ac:dyDescent="0.25">
      <c r="B4" s="8708"/>
      <c r="C4" s="8710"/>
      <c r="D4" s="5965" t="s">
        <v>659</v>
      </c>
      <c r="E4" s="3833" t="s">
        <v>660</v>
      </c>
      <c r="F4" s="5965" t="s">
        <v>659</v>
      </c>
      <c r="G4" s="3909" t="s">
        <v>660</v>
      </c>
      <c r="H4" s="3373" t="s">
        <v>659</v>
      </c>
      <c r="I4" s="3866" t="s">
        <v>660</v>
      </c>
      <c r="J4" s="3910" t="s">
        <v>659</v>
      </c>
      <c r="K4" s="3909" t="s">
        <v>660</v>
      </c>
      <c r="L4" s="5970" t="s">
        <v>659</v>
      </c>
      <c r="M4" s="3888" t="s">
        <v>660</v>
      </c>
      <c r="N4" s="5965" t="s">
        <v>659</v>
      </c>
      <c r="O4" s="3909" t="s">
        <v>660</v>
      </c>
      <c r="P4" s="3373" t="s">
        <v>659</v>
      </c>
      <c r="Q4" s="3866" t="s">
        <v>660</v>
      </c>
      <c r="R4" s="6425" t="s">
        <v>659</v>
      </c>
      <c r="S4" s="3909" t="s">
        <v>660</v>
      </c>
      <c r="T4" s="3373" t="s">
        <v>659</v>
      </c>
      <c r="U4" s="3866" t="s">
        <v>660</v>
      </c>
      <c r="V4" s="7132" t="s">
        <v>659</v>
      </c>
      <c r="W4" s="3856" t="s">
        <v>660</v>
      </c>
      <c r="X4" s="7134" t="s">
        <v>659</v>
      </c>
      <c r="Y4" s="3888" t="s">
        <v>660</v>
      </c>
      <c r="Z4" s="7164" t="s">
        <v>659</v>
      </c>
      <c r="AA4" s="6624" t="s">
        <v>660</v>
      </c>
      <c r="AB4" s="7360" t="s">
        <v>659</v>
      </c>
      <c r="AC4" s="3909" t="s">
        <v>660</v>
      </c>
      <c r="AD4" s="3373" t="s">
        <v>659</v>
      </c>
      <c r="AE4" s="3866" t="s">
        <v>660</v>
      </c>
      <c r="AF4" s="7617" t="s">
        <v>659</v>
      </c>
      <c r="AG4" s="3909" t="s">
        <v>660</v>
      </c>
      <c r="AH4" s="3373" t="s">
        <v>659</v>
      </c>
      <c r="AI4" s="3866" t="s">
        <v>660</v>
      </c>
      <c r="AJ4" s="7771" t="s">
        <v>659</v>
      </c>
      <c r="AK4" s="3856" t="s">
        <v>660</v>
      </c>
      <c r="AL4" s="7774" t="s">
        <v>659</v>
      </c>
      <c r="AM4" s="3888" t="s">
        <v>660</v>
      </c>
      <c r="AN4" s="3373" t="s">
        <v>659</v>
      </c>
      <c r="AO4" s="3866" t="s">
        <v>660</v>
      </c>
      <c r="AP4" s="8101" t="s">
        <v>659</v>
      </c>
      <c r="AQ4" s="3856" t="s">
        <v>660</v>
      </c>
      <c r="AR4" s="3373" t="s">
        <v>659</v>
      </c>
      <c r="AS4" s="3866" t="s">
        <v>660</v>
      </c>
      <c r="AT4" s="8155" t="s">
        <v>659</v>
      </c>
      <c r="AU4" s="3856" t="s">
        <v>660</v>
      </c>
      <c r="AV4" s="3373" t="s">
        <v>659</v>
      </c>
      <c r="AW4" s="3866" t="s">
        <v>660</v>
      </c>
      <c r="AX4" s="8346" t="s">
        <v>659</v>
      </c>
      <c r="AY4" s="3856" t="s">
        <v>660</v>
      </c>
      <c r="AZ4" s="8350" t="s">
        <v>659</v>
      </c>
      <c r="BA4" s="3888" t="s">
        <v>660</v>
      </c>
      <c r="BB4" s="8350" t="s">
        <v>659</v>
      </c>
      <c r="BC4" s="3888" t="s">
        <v>660</v>
      </c>
      <c r="BD4" s="8355" t="s">
        <v>659</v>
      </c>
      <c r="BE4" s="6624" t="s">
        <v>660</v>
      </c>
    </row>
    <row r="5" spans="1:57" ht="19" thickBot="1" x14ac:dyDescent="0.25">
      <c r="B5" s="1661" t="s">
        <v>2</v>
      </c>
      <c r="C5" s="1662"/>
      <c r="D5" s="5940"/>
      <c r="E5" s="5987"/>
      <c r="F5" s="5940"/>
      <c r="G5" s="5991"/>
      <c r="H5" s="5940"/>
      <c r="I5" s="5991"/>
      <c r="J5" s="5940"/>
      <c r="K5" s="5991"/>
      <c r="L5" s="5940"/>
      <c r="M5" s="6000"/>
      <c r="N5" s="5940"/>
      <c r="O5" s="5991"/>
      <c r="P5" s="5940"/>
      <c r="Q5" s="5991"/>
      <c r="R5" s="5940"/>
      <c r="S5" s="5991"/>
      <c r="T5" s="5940"/>
      <c r="U5" s="5991"/>
      <c r="V5" s="5940"/>
      <c r="W5" s="5991"/>
      <c r="X5" s="5940"/>
      <c r="Y5" s="6000"/>
      <c r="Z5" s="5940"/>
      <c r="AA5" s="5991"/>
      <c r="AB5" s="5940"/>
      <c r="AC5" s="5991"/>
      <c r="AD5" s="5940"/>
      <c r="AE5" s="5991"/>
      <c r="AF5" s="5940"/>
      <c r="AG5" s="5991"/>
      <c r="AH5" s="5940"/>
      <c r="AI5" s="5991"/>
      <c r="AJ5" s="5940"/>
      <c r="AK5" s="5991"/>
      <c r="AL5" s="5940"/>
      <c r="AM5" s="6000"/>
      <c r="AN5" s="5940"/>
      <c r="AO5" s="5991"/>
      <c r="AP5" s="5940"/>
      <c r="AQ5" s="5991"/>
      <c r="AR5" s="5940"/>
      <c r="AS5" s="5991"/>
      <c r="AT5" s="5940"/>
      <c r="AU5" s="5991"/>
      <c r="AV5" s="5940"/>
      <c r="AW5" s="5991"/>
      <c r="AX5" s="5940"/>
      <c r="AY5" s="5991"/>
      <c r="AZ5" s="5940"/>
      <c r="BA5" s="6000"/>
      <c r="BB5" s="5940"/>
      <c r="BC5" s="6000"/>
      <c r="BD5" s="5940"/>
      <c r="BE5" s="5991"/>
    </row>
    <row r="6" spans="1:57" x14ac:dyDescent="0.2">
      <c r="B6" s="9063" t="s">
        <v>947</v>
      </c>
      <c r="C6" s="1554" t="s">
        <v>946</v>
      </c>
      <c r="D6" s="4184">
        <v>1093.8144</v>
      </c>
      <c r="E6" s="3834">
        <v>942.69</v>
      </c>
      <c r="F6" s="5978">
        <v>1200.48</v>
      </c>
      <c r="G6" s="3834">
        <v>972.0200000000001</v>
      </c>
      <c r="H6" s="5493">
        <f>+D6+F6</f>
        <v>2294.2943999999998</v>
      </c>
      <c r="I6" s="5993">
        <f>+E6+G6</f>
        <v>1914.71</v>
      </c>
      <c r="J6" s="5966">
        <v>1082.4000000000001</v>
      </c>
      <c r="K6" s="2263">
        <v>1136.52</v>
      </c>
      <c r="L6" s="2875">
        <f>+H6+J6</f>
        <v>3376.6943999999999</v>
      </c>
      <c r="M6" s="2016">
        <f>+I6+K6</f>
        <v>3051.23</v>
      </c>
      <c r="N6" s="5979">
        <v>1180.8</v>
      </c>
      <c r="O6" s="5427">
        <v>1214.43</v>
      </c>
      <c r="P6" s="2785">
        <f>+L6+N6</f>
        <v>4557.4943999999996</v>
      </c>
      <c r="Q6" s="1827">
        <f>+M6+O6</f>
        <v>4265.66</v>
      </c>
      <c r="R6" s="6429">
        <v>1180.8</v>
      </c>
      <c r="S6" s="5427">
        <v>1221.08</v>
      </c>
      <c r="T6" s="2785">
        <f>+P6+R6</f>
        <v>5738.2943999999998</v>
      </c>
      <c r="U6" s="1827">
        <f>+Q6+S6</f>
        <v>5486.74</v>
      </c>
      <c r="V6" s="7165">
        <v>1161.1199999999999</v>
      </c>
      <c r="W6" s="5427">
        <v>1123.57</v>
      </c>
      <c r="X6" s="2875">
        <f>+V6+R6+N6</f>
        <v>3522.7200000000003</v>
      </c>
      <c r="Y6" s="2016">
        <f>+W6+S6+O6</f>
        <v>3559.08</v>
      </c>
      <c r="Z6" s="6518">
        <f>+T6+V6</f>
        <v>6899.4143999999997</v>
      </c>
      <c r="AA6" s="6590">
        <f>+U6+W6</f>
        <v>6610.3099999999995</v>
      </c>
      <c r="AB6" s="7375">
        <v>787.2</v>
      </c>
      <c r="AC6" s="5427">
        <v>1179.22</v>
      </c>
      <c r="AD6" s="2785">
        <f>+Z6+AB6</f>
        <v>7686.6143999999995</v>
      </c>
      <c r="AE6" s="1827">
        <f>+AA6+AC6</f>
        <v>7789.53</v>
      </c>
      <c r="AF6" s="7625">
        <v>1141.44</v>
      </c>
      <c r="AG6" s="5427">
        <v>1092.77</v>
      </c>
      <c r="AH6" s="2785">
        <f>+AD6+AF6</f>
        <v>8828.0543999999991</v>
      </c>
      <c r="AI6" s="1827">
        <f>+AE6+AG6</f>
        <v>8882.2999999999993</v>
      </c>
      <c r="AJ6" s="7785">
        <v>1200.48</v>
      </c>
      <c r="AK6" s="5427">
        <v>1134.8400000000001</v>
      </c>
      <c r="AL6" s="2875">
        <f>+AJ6+AF6+AB6</f>
        <v>3129.12</v>
      </c>
      <c r="AM6" s="2016">
        <f>+AK6+AG6+AC6</f>
        <v>3406.83</v>
      </c>
      <c r="AN6" s="2785">
        <f>+AH6+AJ6</f>
        <v>10028.534399999999</v>
      </c>
      <c r="AO6" s="1827">
        <f>+AI6+AK6</f>
        <v>10017.14</v>
      </c>
      <c r="AP6" s="8112">
        <v>1180.8</v>
      </c>
      <c r="AQ6" s="5427">
        <v>1173.9000000000003</v>
      </c>
      <c r="AR6" s="2785">
        <f>+AN6+AP6</f>
        <v>11209.334399999998</v>
      </c>
      <c r="AS6" s="1827">
        <f>+AO6+AQ6</f>
        <v>11191.039999999999</v>
      </c>
      <c r="AT6" s="8238">
        <v>1082</v>
      </c>
      <c r="AU6" s="5427">
        <v>1062.67</v>
      </c>
      <c r="AV6" s="2785">
        <f>+AR6+AT6</f>
        <v>12291.334399999998</v>
      </c>
      <c r="AW6" s="1827">
        <f>+AS6+AU6</f>
        <v>12253.71</v>
      </c>
      <c r="AX6" s="8356">
        <v>1200</v>
      </c>
      <c r="AY6" s="5427">
        <v>1199.73</v>
      </c>
      <c r="AZ6" s="2875">
        <f>+AX6+AT6+AP6</f>
        <v>3462.8</v>
      </c>
      <c r="BA6" s="2016">
        <f>+AY6+AU6+AQ6</f>
        <v>3436.3</v>
      </c>
      <c r="BB6" s="2875">
        <f>+AZ6+AL6</f>
        <v>6591.92</v>
      </c>
      <c r="BC6" s="2016">
        <f>+BA6+AM6</f>
        <v>6843.13</v>
      </c>
      <c r="BD6" s="6518">
        <f>+AV6+AX6</f>
        <v>13491.334399999998</v>
      </c>
      <c r="BE6" s="6590">
        <f>+AW6+AY6</f>
        <v>13453.439999999999</v>
      </c>
    </row>
    <row r="7" spans="1:57" ht="17" thickBot="1" x14ac:dyDescent="0.25">
      <c r="B7" s="9058"/>
      <c r="C7" s="1654" t="s">
        <v>170</v>
      </c>
      <c r="D7" s="1667">
        <v>1562.5920000000001</v>
      </c>
      <c r="E7" s="5988">
        <v>1346.7</v>
      </c>
      <c r="F7" s="1667">
        <v>1714.9714285714288</v>
      </c>
      <c r="G7" s="5988">
        <v>1388.6000000000001</v>
      </c>
      <c r="H7" s="5494">
        <f t="shared" ref="H7:I15" si="0">+D7+F7</f>
        <v>3277.5634285714286</v>
      </c>
      <c r="I7" s="5994">
        <f t="shared" si="0"/>
        <v>2735.3</v>
      </c>
      <c r="J7" s="2915">
        <v>1546.2857142857144</v>
      </c>
      <c r="K7" s="1967">
        <v>1623.6</v>
      </c>
      <c r="L7" s="2046">
        <f t="shared" ref="L7:M15" si="1">+H7+J7</f>
        <v>4823.8491428571433</v>
      </c>
      <c r="M7" s="2254">
        <f t="shared" si="1"/>
        <v>4358.8999999999996</v>
      </c>
      <c r="N7" s="3449">
        <v>1686.8571428571429</v>
      </c>
      <c r="O7" s="6005">
        <v>1734.9</v>
      </c>
      <c r="P7" s="1882">
        <f t="shared" ref="P7:Q15" si="2">+L7+N7</f>
        <v>6510.7062857142864</v>
      </c>
      <c r="Q7" s="2412">
        <f t="shared" si="2"/>
        <v>6093.7999999999993</v>
      </c>
      <c r="R7" s="3449">
        <v>1686.8571428571429</v>
      </c>
      <c r="S7" s="6005">
        <v>1744.4</v>
      </c>
      <c r="T7" s="1882">
        <f t="shared" ref="T7:T15" si="3">+P7+R7</f>
        <v>8197.5634285714295</v>
      </c>
      <c r="U7" s="2412">
        <f t="shared" ref="U7:U15" si="4">+Q7+S7</f>
        <v>7838.1999999999989</v>
      </c>
      <c r="V7" s="3449">
        <v>1658.742857142857</v>
      </c>
      <c r="W7" s="6005">
        <v>1605.1</v>
      </c>
      <c r="X7" s="2046">
        <f t="shared" ref="X7:X15" si="5">+V7+R7+N7</f>
        <v>5032.4571428571426</v>
      </c>
      <c r="Y7" s="2254">
        <f t="shared" ref="Y7:Y15" si="6">+W7+S7+O7</f>
        <v>5084.3999999999996</v>
      </c>
      <c r="Z7" s="6626">
        <f t="shared" ref="Z7:Z15" si="7">+T7+V7</f>
        <v>9856.3062857142868</v>
      </c>
      <c r="AA7" s="6627">
        <f t="shared" ref="AA7:AA15" si="8">+U7+W7</f>
        <v>9443.2999999999993</v>
      </c>
      <c r="AB7" s="3449">
        <v>1124.5714285714287</v>
      </c>
      <c r="AC7" s="6005">
        <v>1684.6</v>
      </c>
      <c r="AD7" s="1882">
        <f t="shared" ref="AD7:AD15" si="9">+Z7+AB7</f>
        <v>10980.877714285716</v>
      </c>
      <c r="AE7" s="2412">
        <f t="shared" ref="AE7:AE15" si="10">+AA7+AC7</f>
        <v>11127.9</v>
      </c>
      <c r="AF7" s="3449">
        <v>1630.6285714285716</v>
      </c>
      <c r="AG7" s="6005">
        <v>1561.1</v>
      </c>
      <c r="AH7" s="1882">
        <f t="shared" ref="AH7:AH15" si="11">+AD7+AF7</f>
        <v>12611.506285714288</v>
      </c>
      <c r="AI7" s="2412">
        <f t="shared" ref="AI7:AI15" si="12">+AE7+AG7</f>
        <v>12689</v>
      </c>
      <c r="AJ7" s="3449">
        <v>1714.9714285714288</v>
      </c>
      <c r="AK7" s="6005">
        <v>1621.2000000000003</v>
      </c>
      <c r="AL7" s="2046">
        <f t="shared" ref="AL7:AL15" si="13">+AJ7+AF7+AB7</f>
        <v>4470.1714285714288</v>
      </c>
      <c r="AM7" s="2254">
        <f t="shared" ref="AM7:AM15" si="14">+AK7+AG7+AC7</f>
        <v>4866.8999999999996</v>
      </c>
      <c r="AN7" s="1882">
        <f t="shared" ref="AN7:AN15" si="15">+AH7+AJ7</f>
        <v>14326.477714285717</v>
      </c>
      <c r="AO7" s="2412">
        <f t="shared" ref="AO7:AO15" si="16">+AI7+AK7</f>
        <v>14310.2</v>
      </c>
      <c r="AP7" s="3449">
        <v>1686.8571428571429</v>
      </c>
      <c r="AQ7" s="6005">
        <v>1677.0000000000002</v>
      </c>
      <c r="AR7" s="1882">
        <f t="shared" ref="AR7:AR15" si="17">+AN7+AP7</f>
        <v>16013.33485714286</v>
      </c>
      <c r="AS7" s="2412">
        <f t="shared" ref="AS7:AS15" si="18">+AO7+AQ7</f>
        <v>15987.2</v>
      </c>
      <c r="AT7" s="3449">
        <v>1546</v>
      </c>
      <c r="AU7" s="6005">
        <v>1518.1</v>
      </c>
      <c r="AV7" s="1882">
        <f t="shared" ref="AV7:AV15" si="19">+AR7+AT7</f>
        <v>17559.334857142858</v>
      </c>
      <c r="AW7" s="2412">
        <f t="shared" ref="AW7:AW15" si="20">+AS7+AU7</f>
        <v>17505.3</v>
      </c>
      <c r="AX7" s="3449">
        <v>1715</v>
      </c>
      <c r="AY7" s="6005">
        <v>1713.9</v>
      </c>
      <c r="AZ7" s="2046">
        <f t="shared" ref="AZ7:AZ15" si="21">+AX7+AT7+AP7</f>
        <v>4947.8571428571431</v>
      </c>
      <c r="BA7" s="2254">
        <f t="shared" ref="BA7:BA15" si="22">+AY7+AU7+AQ7</f>
        <v>4909</v>
      </c>
      <c r="BB7" s="2046">
        <f t="shared" ref="BB7:BC15" si="23">+AZ7+AL7</f>
        <v>9418.028571428571</v>
      </c>
      <c r="BC7" s="2254">
        <f t="shared" si="23"/>
        <v>9775.9</v>
      </c>
      <c r="BD7" s="6626">
        <f t="shared" ref="BD7:BD15" si="24">+AV7+AX7</f>
        <v>19274.334857142858</v>
      </c>
      <c r="BE7" s="6627">
        <f t="shared" ref="BE7:BE15" si="25">+AW7+AY7</f>
        <v>19219.2</v>
      </c>
    </row>
    <row r="8" spans="1:57" x14ac:dyDescent="0.2">
      <c r="B8" s="9063" t="s">
        <v>948</v>
      </c>
      <c r="C8" s="1554" t="s">
        <v>946</v>
      </c>
      <c r="D8" s="5978">
        <v>27452.073599999996</v>
      </c>
      <c r="E8" s="3834">
        <v>29553.159999999996</v>
      </c>
      <c r="F8" s="5978">
        <v>30129.119999999999</v>
      </c>
      <c r="G8" s="3834">
        <v>29789.249000000003</v>
      </c>
      <c r="H8" s="5976">
        <f t="shared" si="0"/>
        <v>57581.193599999999</v>
      </c>
      <c r="I8" s="5993">
        <f t="shared" si="0"/>
        <v>59342.409</v>
      </c>
      <c r="J8" s="5966">
        <v>27165.599999999999</v>
      </c>
      <c r="K8" s="2263">
        <v>28897.189999999995</v>
      </c>
      <c r="L8" s="2875">
        <f t="shared" si="1"/>
        <v>84746.793600000005</v>
      </c>
      <c r="M8" s="2016">
        <f t="shared" si="1"/>
        <v>88239.598999999987</v>
      </c>
      <c r="N8" s="5979">
        <v>29635.200000000001</v>
      </c>
      <c r="O8" s="5427">
        <v>30519.790000000015</v>
      </c>
      <c r="P8" s="2785">
        <f t="shared" si="2"/>
        <v>114381.9936</v>
      </c>
      <c r="Q8" s="1827">
        <f t="shared" si="2"/>
        <v>118759.389</v>
      </c>
      <c r="R8" s="6429">
        <v>29635.200000000001</v>
      </c>
      <c r="S8" s="5427">
        <v>30508.029999999995</v>
      </c>
      <c r="T8" s="2785">
        <f t="shared" si="3"/>
        <v>144017.1936</v>
      </c>
      <c r="U8" s="1827">
        <f t="shared" si="4"/>
        <v>149267.41899999999</v>
      </c>
      <c r="V8" s="7165">
        <v>29141.279999999999</v>
      </c>
      <c r="W8" s="5427">
        <v>29451.03</v>
      </c>
      <c r="X8" s="2875">
        <f t="shared" si="5"/>
        <v>88411.68</v>
      </c>
      <c r="Y8" s="2016">
        <f t="shared" si="6"/>
        <v>90478.85</v>
      </c>
      <c r="Z8" s="6518">
        <f t="shared" si="7"/>
        <v>173158.4736</v>
      </c>
      <c r="AA8" s="6590">
        <f t="shared" si="8"/>
        <v>178718.44899999999</v>
      </c>
      <c r="AB8" s="7375">
        <v>19756.8</v>
      </c>
      <c r="AC8" s="5427">
        <v>30720.340000000004</v>
      </c>
      <c r="AD8" s="2785">
        <f t="shared" si="9"/>
        <v>192915.27359999999</v>
      </c>
      <c r="AE8" s="1827">
        <f t="shared" si="10"/>
        <v>209438.78899999999</v>
      </c>
      <c r="AF8" s="7625">
        <v>28647.360000000001</v>
      </c>
      <c r="AG8" s="5427">
        <v>28531.790000000008</v>
      </c>
      <c r="AH8" s="2785">
        <f t="shared" si="11"/>
        <v>221562.6336</v>
      </c>
      <c r="AI8" s="1827">
        <f t="shared" si="12"/>
        <v>237970.579</v>
      </c>
      <c r="AJ8" s="7785">
        <v>30129.119999999999</v>
      </c>
      <c r="AK8" s="5427">
        <v>29694.035000000007</v>
      </c>
      <c r="AL8" s="2875">
        <f t="shared" si="13"/>
        <v>78533.279999999999</v>
      </c>
      <c r="AM8" s="2016">
        <f t="shared" si="14"/>
        <v>88946.165000000008</v>
      </c>
      <c r="AN8" s="2785">
        <f t="shared" si="15"/>
        <v>251691.7536</v>
      </c>
      <c r="AO8" s="1827">
        <f t="shared" si="16"/>
        <v>267664.614</v>
      </c>
      <c r="AP8" s="8112">
        <v>29635.200000000001</v>
      </c>
      <c r="AQ8" s="5427">
        <v>30336.138000000003</v>
      </c>
      <c r="AR8" s="2785">
        <f t="shared" si="17"/>
        <v>281326.95360000001</v>
      </c>
      <c r="AS8" s="1827">
        <f t="shared" si="18"/>
        <v>298000.75199999998</v>
      </c>
      <c r="AT8" s="8238">
        <v>27166</v>
      </c>
      <c r="AU8" s="5427">
        <v>27398.91</v>
      </c>
      <c r="AV8" s="2785">
        <f t="shared" si="19"/>
        <v>308492.95360000001</v>
      </c>
      <c r="AW8" s="1827">
        <f t="shared" si="20"/>
        <v>325399.66199999995</v>
      </c>
      <c r="AX8" s="8417">
        <v>30129</v>
      </c>
      <c r="AY8" s="5427">
        <v>30512.37</v>
      </c>
      <c r="AZ8" s="2875">
        <f t="shared" si="21"/>
        <v>86930.2</v>
      </c>
      <c r="BA8" s="2016">
        <f t="shared" si="22"/>
        <v>88247.418000000005</v>
      </c>
      <c r="BB8" s="2875">
        <f t="shared" si="23"/>
        <v>165463.47999999998</v>
      </c>
      <c r="BC8" s="2016">
        <f t="shared" si="23"/>
        <v>177193.58300000001</v>
      </c>
      <c r="BD8" s="6518">
        <f t="shared" si="24"/>
        <v>338621.95360000001</v>
      </c>
      <c r="BE8" s="6590">
        <f t="shared" si="25"/>
        <v>355912.03199999995</v>
      </c>
    </row>
    <row r="9" spans="1:57" ht="17" thickBot="1" x14ac:dyDescent="0.25">
      <c r="B9" s="9058"/>
      <c r="C9" s="1654" t="s">
        <v>170</v>
      </c>
      <c r="D9" s="1667">
        <v>39217.248</v>
      </c>
      <c r="E9" s="3914">
        <v>42218.799999999996</v>
      </c>
      <c r="F9" s="1667">
        <v>43041.599999999999</v>
      </c>
      <c r="G9" s="3914">
        <v>42556.070000000007</v>
      </c>
      <c r="H9" s="5494">
        <f t="shared" si="0"/>
        <v>82258.847999999998</v>
      </c>
      <c r="I9" s="5995">
        <f t="shared" si="0"/>
        <v>84774.87</v>
      </c>
      <c r="J9" s="2915">
        <v>38808</v>
      </c>
      <c r="K9" s="1967">
        <v>41281.699999999997</v>
      </c>
      <c r="L9" s="2046">
        <f t="shared" si="1"/>
        <v>121066.848</v>
      </c>
      <c r="M9" s="2254">
        <f t="shared" si="1"/>
        <v>126056.56999999999</v>
      </c>
      <c r="N9" s="3449">
        <v>42336.000000000007</v>
      </c>
      <c r="O9" s="6005">
        <v>43599.700000000019</v>
      </c>
      <c r="P9" s="1882">
        <f t="shared" si="2"/>
        <v>163402.848</v>
      </c>
      <c r="Q9" s="2412">
        <f t="shared" si="2"/>
        <v>169656.27000000002</v>
      </c>
      <c r="R9" s="3449">
        <v>42336.000000000007</v>
      </c>
      <c r="S9" s="6005">
        <v>43582.899999999994</v>
      </c>
      <c r="T9" s="1882">
        <f t="shared" si="3"/>
        <v>205738.848</v>
      </c>
      <c r="U9" s="2412">
        <f t="shared" si="4"/>
        <v>213239.17</v>
      </c>
      <c r="V9" s="3449">
        <v>41630.400000000001</v>
      </c>
      <c r="W9" s="6005">
        <v>42072.9</v>
      </c>
      <c r="X9" s="2046">
        <f t="shared" si="5"/>
        <v>126302.40000000002</v>
      </c>
      <c r="Y9" s="2254">
        <f t="shared" si="6"/>
        <v>129255.5</v>
      </c>
      <c r="Z9" s="6626">
        <f t="shared" si="7"/>
        <v>247369.24799999999</v>
      </c>
      <c r="AA9" s="6627">
        <f t="shared" si="8"/>
        <v>255312.07</v>
      </c>
      <c r="AB9" s="3449">
        <v>28224</v>
      </c>
      <c r="AC9" s="6005">
        <v>43886.200000000004</v>
      </c>
      <c r="AD9" s="1882">
        <f t="shared" si="9"/>
        <v>275593.24800000002</v>
      </c>
      <c r="AE9" s="2412">
        <f t="shared" si="10"/>
        <v>299198.27</v>
      </c>
      <c r="AF9" s="3449">
        <v>40924.800000000003</v>
      </c>
      <c r="AG9" s="6005">
        <v>40759.700000000012</v>
      </c>
      <c r="AH9" s="1882">
        <f t="shared" si="11"/>
        <v>316518.04800000001</v>
      </c>
      <c r="AI9" s="2412">
        <f t="shared" si="12"/>
        <v>339957.97000000003</v>
      </c>
      <c r="AJ9" s="3449">
        <v>43041.599999999999</v>
      </c>
      <c r="AK9" s="6005">
        <v>42420.05000000001</v>
      </c>
      <c r="AL9" s="2046">
        <f t="shared" si="13"/>
        <v>112190.39999999999</v>
      </c>
      <c r="AM9" s="2254">
        <f t="shared" si="14"/>
        <v>127065.95000000004</v>
      </c>
      <c r="AN9" s="1882">
        <f t="shared" si="15"/>
        <v>359559.64799999999</v>
      </c>
      <c r="AO9" s="2412">
        <f t="shared" si="16"/>
        <v>382378.02</v>
      </c>
      <c r="AP9" s="3449">
        <v>42336.000000000007</v>
      </c>
      <c r="AQ9" s="6005">
        <v>43337.340000000004</v>
      </c>
      <c r="AR9" s="1882">
        <f t="shared" si="17"/>
        <v>401895.64799999999</v>
      </c>
      <c r="AS9" s="2412">
        <f t="shared" si="18"/>
        <v>425715.36000000004</v>
      </c>
      <c r="AT9" s="3449">
        <v>38808</v>
      </c>
      <c r="AU9" s="6005">
        <v>39141.300000000003</v>
      </c>
      <c r="AV9" s="1882">
        <f t="shared" si="19"/>
        <v>440703.64799999999</v>
      </c>
      <c r="AW9" s="2412">
        <f t="shared" si="20"/>
        <v>464856.66000000003</v>
      </c>
      <c r="AX9" s="3449">
        <v>43042</v>
      </c>
      <c r="AY9" s="6005">
        <v>43589.1</v>
      </c>
      <c r="AZ9" s="2046">
        <f t="shared" si="21"/>
        <v>124186</v>
      </c>
      <c r="BA9" s="2254">
        <f t="shared" si="22"/>
        <v>126067.73999999999</v>
      </c>
      <c r="BB9" s="2046">
        <f t="shared" si="23"/>
        <v>236376.4</v>
      </c>
      <c r="BC9" s="2254">
        <f t="shared" si="23"/>
        <v>253133.69000000003</v>
      </c>
      <c r="BD9" s="6626">
        <f t="shared" si="24"/>
        <v>483745.64799999999</v>
      </c>
      <c r="BE9" s="6627">
        <f t="shared" si="25"/>
        <v>508445.76</v>
      </c>
    </row>
    <row r="10" spans="1:57" x14ac:dyDescent="0.2">
      <c r="B10" s="9063" t="s">
        <v>949</v>
      </c>
      <c r="C10" s="1554" t="s">
        <v>946</v>
      </c>
      <c r="D10" s="4184">
        <v>546.90719999999999</v>
      </c>
      <c r="E10" s="3834">
        <v>627.12</v>
      </c>
      <c r="F10" s="5978">
        <v>600.24</v>
      </c>
      <c r="G10" s="3834">
        <v>659.67999999999984</v>
      </c>
      <c r="H10" s="5493">
        <f t="shared" si="0"/>
        <v>1147.1471999999999</v>
      </c>
      <c r="I10" s="5993">
        <f t="shared" si="0"/>
        <v>1286.7999999999997</v>
      </c>
      <c r="J10" s="5966">
        <v>541.20000000000005</v>
      </c>
      <c r="K10" s="2263">
        <v>662.72000000000014</v>
      </c>
      <c r="L10" s="2875">
        <f t="shared" si="1"/>
        <v>1688.3471999999999</v>
      </c>
      <c r="M10" s="2016">
        <f t="shared" si="1"/>
        <v>1949.52</v>
      </c>
      <c r="N10" s="5979">
        <v>590.4</v>
      </c>
      <c r="O10" s="5427">
        <v>680.63999999999987</v>
      </c>
      <c r="P10" s="2785">
        <f t="shared" si="2"/>
        <v>2278.7471999999998</v>
      </c>
      <c r="Q10" s="1827">
        <f t="shared" si="2"/>
        <v>2630.16</v>
      </c>
      <c r="R10" s="6429">
        <v>590.4</v>
      </c>
      <c r="S10" s="5427">
        <v>682.31999999999994</v>
      </c>
      <c r="T10" s="2785">
        <f t="shared" si="3"/>
        <v>2869.1471999999999</v>
      </c>
      <c r="U10" s="1827">
        <f t="shared" si="4"/>
        <v>3312.4799999999996</v>
      </c>
      <c r="V10" s="7165">
        <v>580.55999999999995</v>
      </c>
      <c r="W10" s="5427">
        <v>654.16</v>
      </c>
      <c r="X10" s="2875">
        <f t="shared" si="5"/>
        <v>1761.3600000000001</v>
      </c>
      <c r="Y10" s="2016">
        <f t="shared" si="6"/>
        <v>2017.12</v>
      </c>
      <c r="Z10" s="6518">
        <f t="shared" si="7"/>
        <v>3449.7071999999998</v>
      </c>
      <c r="AA10" s="6590">
        <f t="shared" si="8"/>
        <v>3966.6399999999994</v>
      </c>
      <c r="AB10" s="7375">
        <v>393.6</v>
      </c>
      <c r="AC10" s="5427">
        <v>672.9599999999997</v>
      </c>
      <c r="AD10" s="2785">
        <f t="shared" si="9"/>
        <v>3843.3071999999997</v>
      </c>
      <c r="AE10" s="1827">
        <f t="shared" si="10"/>
        <v>4639.5999999999995</v>
      </c>
      <c r="AF10" s="7625">
        <v>570.72</v>
      </c>
      <c r="AG10" s="5427">
        <v>635.28000000000009</v>
      </c>
      <c r="AH10" s="2785">
        <f t="shared" si="11"/>
        <v>4414.0271999999995</v>
      </c>
      <c r="AI10" s="1827">
        <f t="shared" si="12"/>
        <v>5274.8799999999992</v>
      </c>
      <c r="AJ10" s="7785">
        <v>600.24</v>
      </c>
      <c r="AK10" s="5427">
        <v>661.28</v>
      </c>
      <c r="AL10" s="2875">
        <f t="shared" si="13"/>
        <v>1564.56</v>
      </c>
      <c r="AM10" s="2016">
        <f t="shared" si="14"/>
        <v>1969.5199999999995</v>
      </c>
      <c r="AN10" s="2785">
        <f t="shared" si="15"/>
        <v>5014.2671999999993</v>
      </c>
      <c r="AO10" s="1827">
        <f t="shared" si="16"/>
        <v>5936.1599999999989</v>
      </c>
      <c r="AP10" s="8112">
        <v>590.4</v>
      </c>
      <c r="AQ10" s="5427">
        <v>689.43999999999971</v>
      </c>
      <c r="AR10" s="2785">
        <f t="shared" si="17"/>
        <v>5604.667199999999</v>
      </c>
      <c r="AS10" s="1827">
        <f t="shared" si="18"/>
        <v>6625.5999999999985</v>
      </c>
      <c r="AT10" s="8238">
        <v>541</v>
      </c>
      <c r="AU10" s="5427">
        <v>623.84</v>
      </c>
      <c r="AV10" s="2785">
        <f t="shared" si="19"/>
        <v>6145.667199999999</v>
      </c>
      <c r="AW10" s="1827">
        <f t="shared" si="20"/>
        <v>7249.4399999999987</v>
      </c>
      <c r="AX10" s="8356">
        <v>1041</v>
      </c>
      <c r="AY10" s="5427">
        <v>693.04</v>
      </c>
      <c r="AZ10" s="2875">
        <f t="shared" si="21"/>
        <v>2172.4</v>
      </c>
      <c r="BA10" s="2016">
        <f t="shared" si="22"/>
        <v>2006.3199999999997</v>
      </c>
      <c r="BB10" s="2875">
        <f t="shared" si="23"/>
        <v>3736.96</v>
      </c>
      <c r="BC10" s="2016">
        <f t="shared" si="23"/>
        <v>3975.8399999999992</v>
      </c>
      <c r="BD10" s="6518">
        <f t="shared" si="24"/>
        <v>7186.667199999999</v>
      </c>
      <c r="BE10" s="6590">
        <f t="shared" si="25"/>
        <v>7942.4799999999987</v>
      </c>
    </row>
    <row r="11" spans="1:57" ht="17" thickBot="1" x14ac:dyDescent="0.25">
      <c r="B11" s="9058"/>
      <c r="C11" s="1654" t="s">
        <v>170</v>
      </c>
      <c r="D11" s="2833">
        <v>683.6339999999999</v>
      </c>
      <c r="E11" s="3914">
        <v>783.9</v>
      </c>
      <c r="F11" s="1667">
        <v>750.3</v>
      </c>
      <c r="G11" s="3914">
        <v>824.59999999999991</v>
      </c>
      <c r="H11" s="5495">
        <f t="shared" si="0"/>
        <v>1433.9339999999997</v>
      </c>
      <c r="I11" s="5995">
        <f t="shared" si="0"/>
        <v>1608.5</v>
      </c>
      <c r="J11" s="2915">
        <v>676.5</v>
      </c>
      <c r="K11" s="1967">
        <v>828.40000000000009</v>
      </c>
      <c r="L11" s="2046">
        <f t="shared" si="1"/>
        <v>2110.4339999999997</v>
      </c>
      <c r="M11" s="2254">
        <f t="shared" si="1"/>
        <v>2436.9</v>
      </c>
      <c r="N11" s="3450">
        <v>737.99999999999989</v>
      </c>
      <c r="O11" s="6005">
        <v>850.79999999999984</v>
      </c>
      <c r="P11" s="1882">
        <f t="shared" si="2"/>
        <v>2848.4339999999997</v>
      </c>
      <c r="Q11" s="2412">
        <f t="shared" si="2"/>
        <v>3287.7</v>
      </c>
      <c r="R11" s="3450">
        <v>737.99999999999989</v>
      </c>
      <c r="S11" s="6005">
        <v>852.89999999999986</v>
      </c>
      <c r="T11" s="1882">
        <f t="shared" si="3"/>
        <v>3586.4339999999997</v>
      </c>
      <c r="U11" s="2412">
        <f t="shared" si="4"/>
        <v>4140.5999999999995</v>
      </c>
      <c r="V11" s="3450">
        <v>725.69999999999993</v>
      </c>
      <c r="W11" s="6005">
        <v>817.69999999999993</v>
      </c>
      <c r="X11" s="2046">
        <f t="shared" si="5"/>
        <v>2201.6999999999998</v>
      </c>
      <c r="Y11" s="2254">
        <f t="shared" si="6"/>
        <v>2521.3999999999996</v>
      </c>
      <c r="Z11" s="6626">
        <f t="shared" si="7"/>
        <v>4312.134</v>
      </c>
      <c r="AA11" s="6627">
        <f t="shared" si="8"/>
        <v>4958.2999999999993</v>
      </c>
      <c r="AB11" s="3450">
        <v>492</v>
      </c>
      <c r="AC11" s="6005">
        <v>841.19999999999959</v>
      </c>
      <c r="AD11" s="1882">
        <f t="shared" si="9"/>
        <v>4804.134</v>
      </c>
      <c r="AE11" s="2412">
        <f t="shared" si="10"/>
        <v>5799.4999999999991</v>
      </c>
      <c r="AF11" s="3450">
        <v>713.4</v>
      </c>
      <c r="AG11" s="6005">
        <v>794.10000000000014</v>
      </c>
      <c r="AH11" s="1882">
        <f t="shared" si="11"/>
        <v>5517.5339999999997</v>
      </c>
      <c r="AI11" s="2412">
        <f t="shared" si="12"/>
        <v>6593.5999999999995</v>
      </c>
      <c r="AJ11" s="3450">
        <v>750.3</v>
      </c>
      <c r="AK11" s="6005">
        <v>826.6</v>
      </c>
      <c r="AL11" s="2046">
        <f t="shared" si="13"/>
        <v>1955.6999999999998</v>
      </c>
      <c r="AM11" s="2254">
        <f t="shared" si="14"/>
        <v>2461.8999999999996</v>
      </c>
      <c r="AN11" s="1882">
        <f t="shared" si="15"/>
        <v>6267.8339999999998</v>
      </c>
      <c r="AO11" s="2412">
        <f t="shared" si="16"/>
        <v>7420.2</v>
      </c>
      <c r="AP11" s="3450">
        <v>737.99999999999989</v>
      </c>
      <c r="AQ11" s="6005">
        <v>861.79999999999973</v>
      </c>
      <c r="AR11" s="1882">
        <f t="shared" si="17"/>
        <v>7005.8339999999998</v>
      </c>
      <c r="AS11" s="2412">
        <f t="shared" si="18"/>
        <v>8282</v>
      </c>
      <c r="AT11" s="3450">
        <v>677</v>
      </c>
      <c r="AU11" s="6005">
        <v>779.8</v>
      </c>
      <c r="AV11" s="1882">
        <f t="shared" si="19"/>
        <v>7682.8339999999998</v>
      </c>
      <c r="AW11" s="2412">
        <f t="shared" si="20"/>
        <v>9061.7999999999993</v>
      </c>
      <c r="AX11" s="3450">
        <v>1859</v>
      </c>
      <c r="AY11" s="6005">
        <v>866.3</v>
      </c>
      <c r="AZ11" s="2046">
        <f t="shared" si="21"/>
        <v>3274</v>
      </c>
      <c r="BA11" s="2254">
        <f t="shared" si="22"/>
        <v>2507.8999999999996</v>
      </c>
      <c r="BB11" s="2046">
        <f t="shared" si="23"/>
        <v>5229.7</v>
      </c>
      <c r="BC11" s="2254">
        <f t="shared" si="23"/>
        <v>4969.7999999999993</v>
      </c>
      <c r="BD11" s="6626">
        <f t="shared" si="24"/>
        <v>9541.8339999999989</v>
      </c>
      <c r="BE11" s="6627">
        <f t="shared" si="25"/>
        <v>9928.0999999999985</v>
      </c>
    </row>
    <row r="12" spans="1:57" ht="16" x14ac:dyDescent="0.2">
      <c r="B12" s="9063" t="s">
        <v>950</v>
      </c>
      <c r="C12" s="1554" t="s">
        <v>946</v>
      </c>
      <c r="D12" s="5978">
        <v>21542.808000000001</v>
      </c>
      <c r="E12" s="3834">
        <v>24253.200000000001</v>
      </c>
      <c r="F12" s="5978">
        <v>23643.599999999999</v>
      </c>
      <c r="G12" s="3834">
        <v>24025.279999999999</v>
      </c>
      <c r="H12" s="5976">
        <f t="shared" si="0"/>
        <v>45186.407999999996</v>
      </c>
      <c r="I12" s="5993">
        <f t="shared" si="0"/>
        <v>48278.479999999996</v>
      </c>
      <c r="J12" s="5966">
        <v>21318</v>
      </c>
      <c r="K12" s="2263">
        <v>23097.119999999999</v>
      </c>
      <c r="L12" s="2875">
        <f t="shared" si="1"/>
        <v>66504.407999999996</v>
      </c>
      <c r="M12" s="2016">
        <f t="shared" si="1"/>
        <v>71375.599999999991</v>
      </c>
      <c r="N12" s="5979">
        <v>23256</v>
      </c>
      <c r="O12" s="5427">
        <v>24751.919999999995</v>
      </c>
      <c r="P12" s="3103">
        <f t="shared" si="2"/>
        <v>89760.407999999996</v>
      </c>
      <c r="Q12" s="1827">
        <f t="shared" si="2"/>
        <v>96127.51999999999</v>
      </c>
      <c r="R12" s="6429">
        <v>23256</v>
      </c>
      <c r="S12" s="5427">
        <v>24762.639999999999</v>
      </c>
      <c r="T12" s="3103">
        <f t="shared" si="3"/>
        <v>113016.408</v>
      </c>
      <c r="U12" s="1827">
        <f t="shared" si="4"/>
        <v>120890.15999999999</v>
      </c>
      <c r="V12" s="7165">
        <v>22868.400000000001</v>
      </c>
      <c r="W12" s="5427">
        <v>23878.560000000001</v>
      </c>
      <c r="X12" s="2875">
        <f t="shared" si="5"/>
        <v>69380.399999999994</v>
      </c>
      <c r="Y12" s="2016">
        <f t="shared" si="6"/>
        <v>73393.119999999995</v>
      </c>
      <c r="Z12" s="7085">
        <f t="shared" si="7"/>
        <v>135884.80799999999</v>
      </c>
      <c r="AA12" s="6590">
        <f t="shared" si="8"/>
        <v>144768.72</v>
      </c>
      <c r="AB12" s="7375">
        <v>15504</v>
      </c>
      <c r="AC12" s="5427">
        <v>25030.560000000001</v>
      </c>
      <c r="AD12" s="3103">
        <f t="shared" si="9"/>
        <v>151388.80799999999</v>
      </c>
      <c r="AE12" s="1827">
        <f t="shared" si="10"/>
        <v>169799.28</v>
      </c>
      <c r="AF12" s="7625">
        <v>22480.800000000003</v>
      </c>
      <c r="AG12" s="5427">
        <v>23873.119999999995</v>
      </c>
      <c r="AH12" s="3103">
        <f t="shared" si="11"/>
        <v>173869.60800000001</v>
      </c>
      <c r="AI12" s="1827">
        <f t="shared" si="12"/>
        <v>193672.4</v>
      </c>
      <c r="AJ12" s="7785">
        <v>23643.599999999999</v>
      </c>
      <c r="AK12" s="5427">
        <v>25322.416000000005</v>
      </c>
      <c r="AL12" s="2875">
        <f t="shared" si="13"/>
        <v>61628.4</v>
      </c>
      <c r="AM12" s="2016">
        <f t="shared" si="14"/>
        <v>74226.096000000005</v>
      </c>
      <c r="AN12" s="3103">
        <f t="shared" si="15"/>
        <v>197513.20800000001</v>
      </c>
      <c r="AO12" s="1827">
        <f t="shared" si="16"/>
        <v>218994.81599999999</v>
      </c>
      <c r="AP12" s="8112">
        <v>23256</v>
      </c>
      <c r="AQ12" s="5427">
        <v>25702.799999999999</v>
      </c>
      <c r="AR12" s="3103">
        <f t="shared" si="17"/>
        <v>220769.20800000001</v>
      </c>
      <c r="AS12" s="1827">
        <f t="shared" si="18"/>
        <v>244697.61599999998</v>
      </c>
      <c r="AT12" s="8238">
        <v>21318</v>
      </c>
      <c r="AU12" s="5427">
        <v>23172</v>
      </c>
      <c r="AV12" s="3103">
        <f t="shared" si="19"/>
        <v>242087.20800000001</v>
      </c>
      <c r="AW12" s="1827">
        <f t="shared" si="20"/>
        <v>267869.61599999998</v>
      </c>
      <c r="AX12" s="8417">
        <v>23644</v>
      </c>
      <c r="AY12" s="5427">
        <v>25989.616000000002</v>
      </c>
      <c r="AZ12" s="2875">
        <f t="shared" si="21"/>
        <v>68218</v>
      </c>
      <c r="BA12" s="2016">
        <f t="shared" si="22"/>
        <v>74864.415999999997</v>
      </c>
      <c r="BB12" s="2875">
        <f t="shared" si="23"/>
        <v>129846.39999999999</v>
      </c>
      <c r="BC12" s="2016">
        <f t="shared" si="23"/>
        <v>149090.51199999999</v>
      </c>
      <c r="BD12" s="7085">
        <f t="shared" si="24"/>
        <v>265731.20799999998</v>
      </c>
      <c r="BE12" s="6590">
        <f t="shared" si="25"/>
        <v>293859.23199999996</v>
      </c>
    </row>
    <row r="13" spans="1:57" ht="17" thickBot="1" x14ac:dyDescent="0.25">
      <c r="B13" s="9058"/>
      <c r="C13" s="1654" t="s">
        <v>170</v>
      </c>
      <c r="D13" s="1667">
        <v>26928.510000000002</v>
      </c>
      <c r="E13" s="3914">
        <v>30316.5</v>
      </c>
      <c r="F13" s="1667">
        <v>29554.5</v>
      </c>
      <c r="G13" s="3914">
        <v>30031.599999999999</v>
      </c>
      <c r="H13" s="5494">
        <f t="shared" si="0"/>
        <v>56483.01</v>
      </c>
      <c r="I13" s="5995">
        <f t="shared" si="0"/>
        <v>60348.1</v>
      </c>
      <c r="J13" s="2915">
        <v>26647.5</v>
      </c>
      <c r="K13" s="1967">
        <v>28871.399999999998</v>
      </c>
      <c r="L13" s="2046">
        <f t="shared" si="1"/>
        <v>83130.510000000009</v>
      </c>
      <c r="M13" s="2254">
        <f t="shared" si="1"/>
        <v>89219.5</v>
      </c>
      <c r="N13" s="3449">
        <v>29070</v>
      </c>
      <c r="O13" s="6005">
        <v>30939.899999999994</v>
      </c>
      <c r="P13" s="1882">
        <f t="shared" si="2"/>
        <v>112200.51000000001</v>
      </c>
      <c r="Q13" s="2412">
        <f t="shared" si="2"/>
        <v>120159.4</v>
      </c>
      <c r="R13" s="3449">
        <v>29070</v>
      </c>
      <c r="S13" s="6005">
        <v>30953.3</v>
      </c>
      <c r="T13" s="1882">
        <f t="shared" si="3"/>
        <v>141270.51</v>
      </c>
      <c r="U13" s="2412">
        <f t="shared" si="4"/>
        <v>151112.69999999998</v>
      </c>
      <c r="V13" s="3449">
        <v>28585.5</v>
      </c>
      <c r="W13" s="6005">
        <v>29848.2</v>
      </c>
      <c r="X13" s="2046">
        <f t="shared" si="5"/>
        <v>86725.5</v>
      </c>
      <c r="Y13" s="2254">
        <f t="shared" si="6"/>
        <v>91741.4</v>
      </c>
      <c r="Z13" s="6626">
        <f t="shared" si="7"/>
        <v>169856.01</v>
      </c>
      <c r="AA13" s="6627">
        <f t="shared" si="8"/>
        <v>180960.9</v>
      </c>
      <c r="AB13" s="3449">
        <v>19380</v>
      </c>
      <c r="AC13" s="6005">
        <v>31288.2</v>
      </c>
      <c r="AD13" s="1882">
        <f t="shared" si="9"/>
        <v>189236.01</v>
      </c>
      <c r="AE13" s="2412">
        <f t="shared" si="10"/>
        <v>212249.1</v>
      </c>
      <c r="AF13" s="3449">
        <v>28101</v>
      </c>
      <c r="AG13" s="6005">
        <v>29841.399999999994</v>
      </c>
      <c r="AH13" s="1882">
        <f t="shared" si="11"/>
        <v>217337.01</v>
      </c>
      <c r="AI13" s="2412">
        <f t="shared" si="12"/>
        <v>242090.5</v>
      </c>
      <c r="AJ13" s="3449">
        <v>29554.5</v>
      </c>
      <c r="AK13" s="6005">
        <v>31653.020000000004</v>
      </c>
      <c r="AL13" s="2046">
        <f t="shared" si="13"/>
        <v>77035.5</v>
      </c>
      <c r="AM13" s="2254">
        <f t="shared" si="14"/>
        <v>92782.62</v>
      </c>
      <c r="AN13" s="1882">
        <f t="shared" si="15"/>
        <v>246891.51</v>
      </c>
      <c r="AO13" s="2412">
        <f t="shared" si="16"/>
        <v>273743.52</v>
      </c>
      <c r="AP13" s="3449">
        <v>29070</v>
      </c>
      <c r="AQ13" s="6005">
        <v>32128.5</v>
      </c>
      <c r="AR13" s="1882">
        <f t="shared" si="17"/>
        <v>275961.51</v>
      </c>
      <c r="AS13" s="2412">
        <f t="shared" si="18"/>
        <v>305872.02</v>
      </c>
      <c r="AT13" s="3449">
        <v>26648</v>
      </c>
      <c r="AU13" s="6005">
        <v>28965</v>
      </c>
      <c r="AV13" s="1882">
        <f t="shared" si="19"/>
        <v>302609.51</v>
      </c>
      <c r="AW13" s="2412">
        <f t="shared" si="20"/>
        <v>334837.02</v>
      </c>
      <c r="AX13" s="3449">
        <v>29555</v>
      </c>
      <c r="AY13" s="6005">
        <v>32487.02</v>
      </c>
      <c r="AZ13" s="2046">
        <f t="shared" si="21"/>
        <v>85273</v>
      </c>
      <c r="BA13" s="2254">
        <f t="shared" si="22"/>
        <v>93580.52</v>
      </c>
      <c r="BB13" s="2046">
        <f t="shared" si="23"/>
        <v>162308.5</v>
      </c>
      <c r="BC13" s="2254">
        <f t="shared" si="23"/>
        <v>186363.14</v>
      </c>
      <c r="BD13" s="6626">
        <f t="shared" si="24"/>
        <v>332164.51</v>
      </c>
      <c r="BE13" s="6627">
        <f t="shared" si="25"/>
        <v>367324.04000000004</v>
      </c>
    </row>
    <row r="14" spans="1:57" x14ac:dyDescent="0.2">
      <c r="B14" s="9063" t="s">
        <v>951</v>
      </c>
      <c r="C14" s="1554" t="s">
        <v>946</v>
      </c>
      <c r="D14" s="5978">
        <v>948.41711999999995</v>
      </c>
      <c r="E14" s="3834">
        <v>552.27200000000005</v>
      </c>
      <c r="F14" s="5978">
        <v>1040.904</v>
      </c>
      <c r="G14" s="3834">
        <v>612.30399999999986</v>
      </c>
      <c r="H14" s="5976">
        <f t="shared" si="0"/>
        <v>1989.3211200000001</v>
      </c>
      <c r="I14" s="5993">
        <f t="shared" si="0"/>
        <v>1164.576</v>
      </c>
      <c r="J14" s="5966">
        <v>938.52</v>
      </c>
      <c r="K14" s="2263">
        <v>911.06399999999996</v>
      </c>
      <c r="L14" s="2875">
        <f t="shared" si="1"/>
        <v>2927.84112</v>
      </c>
      <c r="M14" s="2016">
        <f t="shared" si="1"/>
        <v>2075.64</v>
      </c>
      <c r="N14" s="5979">
        <v>1023.84</v>
      </c>
      <c r="O14" s="5427">
        <v>1066.184</v>
      </c>
      <c r="P14" s="2785">
        <f t="shared" si="2"/>
        <v>3951.6811200000002</v>
      </c>
      <c r="Q14" s="1827">
        <f t="shared" si="2"/>
        <v>3141.8239999999996</v>
      </c>
      <c r="R14" s="6429">
        <v>1023.84</v>
      </c>
      <c r="S14" s="5427">
        <v>1133.2159999999999</v>
      </c>
      <c r="T14" s="2785">
        <f t="shared" si="3"/>
        <v>4975.5211200000003</v>
      </c>
      <c r="U14" s="1827">
        <f t="shared" si="4"/>
        <v>4275.0399999999991</v>
      </c>
      <c r="V14" s="7165">
        <v>1006.776</v>
      </c>
      <c r="W14" s="5427">
        <v>1092.7840000000001</v>
      </c>
      <c r="X14" s="2875">
        <f t="shared" si="5"/>
        <v>3054.4560000000001</v>
      </c>
      <c r="Y14" s="2016">
        <f t="shared" si="6"/>
        <v>3292.1840000000002</v>
      </c>
      <c r="Z14" s="6518">
        <f t="shared" si="7"/>
        <v>5982.2971200000002</v>
      </c>
      <c r="AA14" s="6590">
        <f t="shared" si="8"/>
        <v>5367.8239999999987</v>
      </c>
      <c r="AB14" s="7375">
        <v>682.56</v>
      </c>
      <c r="AC14" s="5427">
        <v>1157.6320000000003</v>
      </c>
      <c r="AD14" s="2785">
        <f t="shared" si="9"/>
        <v>6664.8571200000006</v>
      </c>
      <c r="AE14" s="1827">
        <f t="shared" si="10"/>
        <v>6525.4559999999992</v>
      </c>
      <c r="AF14" s="7625">
        <v>989.71199999999999</v>
      </c>
      <c r="AG14" s="5427">
        <v>1036.1679999999999</v>
      </c>
      <c r="AH14" s="2785">
        <f t="shared" si="11"/>
        <v>7654.5691200000001</v>
      </c>
      <c r="AI14" s="1827">
        <f t="shared" si="12"/>
        <v>7561.6239999999989</v>
      </c>
      <c r="AJ14" s="7785">
        <v>1040.904</v>
      </c>
      <c r="AK14" s="5427">
        <v>967.28800000000012</v>
      </c>
      <c r="AL14" s="2875">
        <f t="shared" si="13"/>
        <v>2713.1759999999999</v>
      </c>
      <c r="AM14" s="2016">
        <f t="shared" si="14"/>
        <v>3161.0880000000006</v>
      </c>
      <c r="AN14" s="2785">
        <f t="shared" si="15"/>
        <v>8695.4731200000006</v>
      </c>
      <c r="AO14" s="1827">
        <f t="shared" si="16"/>
        <v>8528.9119999999984</v>
      </c>
      <c r="AP14" s="8112">
        <v>1023.84</v>
      </c>
      <c r="AQ14" s="5427">
        <v>1106.7840000000001</v>
      </c>
      <c r="AR14" s="2785">
        <f t="shared" si="17"/>
        <v>9719.3131200000007</v>
      </c>
      <c r="AS14" s="1827">
        <f t="shared" si="18"/>
        <v>9635.6959999999981</v>
      </c>
      <c r="AT14" s="8238">
        <v>939</v>
      </c>
      <c r="AU14" s="5427">
        <v>989.97</v>
      </c>
      <c r="AV14" s="2785">
        <f t="shared" si="19"/>
        <v>10658.313120000001</v>
      </c>
      <c r="AW14" s="1827">
        <f t="shared" si="20"/>
        <v>10625.665999999997</v>
      </c>
      <c r="AX14" s="8417">
        <v>1041</v>
      </c>
      <c r="AY14" s="5427">
        <v>1121.1199999999999</v>
      </c>
      <c r="AZ14" s="2875">
        <f t="shared" si="21"/>
        <v>3003.84</v>
      </c>
      <c r="BA14" s="2016">
        <f t="shared" si="22"/>
        <v>3217.8740000000003</v>
      </c>
      <c r="BB14" s="2875">
        <f t="shared" si="23"/>
        <v>5717.0159999999996</v>
      </c>
      <c r="BC14" s="2016">
        <f t="shared" si="23"/>
        <v>6378.9620000000014</v>
      </c>
      <c r="BD14" s="6518">
        <f t="shared" si="24"/>
        <v>11699.313120000001</v>
      </c>
      <c r="BE14" s="6590">
        <f t="shared" si="25"/>
        <v>11746.785999999996</v>
      </c>
    </row>
    <row r="15" spans="1:57" ht="17" thickBot="1" x14ac:dyDescent="0.25">
      <c r="B15" s="9058"/>
      <c r="C15" s="1654" t="s">
        <v>170</v>
      </c>
      <c r="D15" s="1667">
        <v>1693.6019999999999</v>
      </c>
      <c r="E15" s="3914">
        <v>986.2</v>
      </c>
      <c r="F15" s="1667">
        <v>1858.7571428571428</v>
      </c>
      <c r="G15" s="3914">
        <v>1093.3999999999999</v>
      </c>
      <c r="H15" s="5494">
        <f t="shared" si="0"/>
        <v>3552.3591428571426</v>
      </c>
      <c r="I15" s="5995">
        <f t="shared" si="0"/>
        <v>2079.6</v>
      </c>
      <c r="J15" s="2915">
        <v>1675.9285714285713</v>
      </c>
      <c r="K15" s="1967">
        <v>1626.9</v>
      </c>
      <c r="L15" s="2046">
        <f t="shared" si="1"/>
        <v>5228.2877142857142</v>
      </c>
      <c r="M15" s="2254">
        <f t="shared" si="1"/>
        <v>3706.5</v>
      </c>
      <c r="N15" s="3449">
        <v>1828.2857142857142</v>
      </c>
      <c r="O15" s="6005">
        <v>1903.8999999999999</v>
      </c>
      <c r="P15" s="1882">
        <f t="shared" si="2"/>
        <v>7056.5734285714279</v>
      </c>
      <c r="Q15" s="2412">
        <f t="shared" si="2"/>
        <v>5610.4</v>
      </c>
      <c r="R15" s="3449">
        <v>1828.2857142857142</v>
      </c>
      <c r="S15" s="6005">
        <v>2023.6000000000001</v>
      </c>
      <c r="T15" s="1882">
        <f t="shared" si="3"/>
        <v>8884.8591428571417</v>
      </c>
      <c r="U15" s="2412">
        <f t="shared" si="4"/>
        <v>7634</v>
      </c>
      <c r="V15" s="3449">
        <v>1797.8142857142855</v>
      </c>
      <c r="W15" s="6005">
        <v>1951.4</v>
      </c>
      <c r="X15" s="2046">
        <f t="shared" si="5"/>
        <v>5454.3857142857141</v>
      </c>
      <c r="Y15" s="2254">
        <f t="shared" si="6"/>
        <v>5878.9</v>
      </c>
      <c r="Z15" s="6626">
        <f t="shared" si="7"/>
        <v>10682.673428571426</v>
      </c>
      <c r="AA15" s="6627">
        <f t="shared" si="8"/>
        <v>9585.4</v>
      </c>
      <c r="AB15" s="3449">
        <v>1218.8571428571427</v>
      </c>
      <c r="AC15" s="6005">
        <v>2067.2000000000003</v>
      </c>
      <c r="AD15" s="1882">
        <f t="shared" si="9"/>
        <v>11901.53057142857</v>
      </c>
      <c r="AE15" s="2412">
        <f t="shared" si="10"/>
        <v>11652.6</v>
      </c>
      <c r="AF15" s="3449">
        <v>1767.3428571428569</v>
      </c>
      <c r="AG15" s="6005">
        <v>1850.3</v>
      </c>
      <c r="AH15" s="1882">
        <f t="shared" si="11"/>
        <v>13668.873428571427</v>
      </c>
      <c r="AI15" s="2412">
        <f t="shared" si="12"/>
        <v>13502.9</v>
      </c>
      <c r="AJ15" s="3449">
        <v>1858.7571428571428</v>
      </c>
      <c r="AK15" s="6005">
        <v>1727.3000000000002</v>
      </c>
      <c r="AL15" s="2046">
        <f t="shared" si="13"/>
        <v>4844.9571428571417</v>
      </c>
      <c r="AM15" s="2254">
        <f t="shared" si="14"/>
        <v>5644.8000000000011</v>
      </c>
      <c r="AN15" s="1882">
        <f t="shared" si="15"/>
        <v>15527.63057142857</v>
      </c>
      <c r="AO15" s="2412">
        <f t="shared" si="16"/>
        <v>15230.2</v>
      </c>
      <c r="AP15" s="3449">
        <v>1828.2857142857142</v>
      </c>
      <c r="AQ15" s="6005">
        <v>1976.4</v>
      </c>
      <c r="AR15" s="1882">
        <f t="shared" si="17"/>
        <v>17355.916285714284</v>
      </c>
      <c r="AS15" s="2412">
        <f t="shared" si="18"/>
        <v>17206.600000000002</v>
      </c>
      <c r="AT15" s="3449">
        <v>1676</v>
      </c>
      <c r="AU15" s="6005">
        <v>1767.8</v>
      </c>
      <c r="AV15" s="1882">
        <f t="shared" si="19"/>
        <v>19031.916285714284</v>
      </c>
      <c r="AW15" s="2412">
        <f t="shared" si="20"/>
        <v>18974.400000000001</v>
      </c>
      <c r="AX15" s="3449">
        <v>1859</v>
      </c>
      <c r="AY15" s="6005">
        <v>2002</v>
      </c>
      <c r="AZ15" s="2046">
        <f t="shared" si="21"/>
        <v>5363.2857142857138</v>
      </c>
      <c r="BA15" s="2254">
        <f t="shared" si="22"/>
        <v>5746.2000000000007</v>
      </c>
      <c r="BB15" s="2046">
        <f t="shared" si="23"/>
        <v>10208.242857142855</v>
      </c>
      <c r="BC15" s="2254">
        <f t="shared" si="23"/>
        <v>11391.000000000002</v>
      </c>
      <c r="BD15" s="6626">
        <f t="shared" si="24"/>
        <v>20890.916285714284</v>
      </c>
      <c r="BE15" s="6627">
        <f t="shared" si="25"/>
        <v>20976.400000000001</v>
      </c>
    </row>
    <row r="16" spans="1:57" s="3380" customFormat="1" ht="18" x14ac:dyDescent="0.2">
      <c r="A16" s="4408">
        <v>4</v>
      </c>
      <c r="B16" s="5943" t="s">
        <v>842</v>
      </c>
      <c r="C16" s="5944"/>
      <c r="D16" s="5399"/>
      <c r="E16" s="5398"/>
      <c r="F16" s="5399"/>
      <c r="G16" s="5398"/>
      <c r="H16" s="5399"/>
      <c r="I16" s="5398"/>
      <c r="J16" s="5399"/>
      <c r="K16" s="5397"/>
      <c r="L16" s="5399"/>
      <c r="M16" s="5400"/>
      <c r="N16" s="5399"/>
      <c r="O16" s="5397"/>
      <c r="P16" s="5399"/>
      <c r="Q16" s="5397"/>
      <c r="R16" s="5399"/>
      <c r="S16" s="5397"/>
      <c r="T16" s="5399"/>
      <c r="U16" s="5397"/>
      <c r="V16" s="5399"/>
      <c r="W16" s="5397"/>
      <c r="X16" s="5399"/>
      <c r="Y16" s="5400"/>
      <c r="Z16" s="5399"/>
      <c r="AA16" s="5397"/>
      <c r="AB16" s="5399"/>
      <c r="AC16" s="5397"/>
      <c r="AD16" s="5399"/>
      <c r="AE16" s="5397"/>
      <c r="AF16" s="5399"/>
      <c r="AG16" s="5397"/>
      <c r="AH16" s="5399"/>
      <c r="AI16" s="5397"/>
      <c r="AJ16" s="5399"/>
      <c r="AK16" s="5397"/>
      <c r="AL16" s="5399"/>
      <c r="AM16" s="5400"/>
      <c r="AN16" s="5399"/>
      <c r="AO16" s="5397"/>
      <c r="AP16" s="5399"/>
      <c r="AQ16" s="5397"/>
      <c r="AR16" s="5399"/>
      <c r="AS16" s="5397"/>
      <c r="AT16" s="5399"/>
      <c r="AU16" s="5397"/>
      <c r="AV16" s="5399"/>
      <c r="AW16" s="5397"/>
      <c r="AX16" s="5399"/>
      <c r="AY16" s="5397"/>
      <c r="AZ16" s="5399"/>
      <c r="BA16" s="5400"/>
      <c r="BB16" s="5399"/>
      <c r="BC16" s="5400"/>
      <c r="BD16" s="5399"/>
      <c r="BE16" s="5397"/>
    </row>
    <row r="17" spans="1:57" s="3380" customFormat="1" ht="17" thickBot="1" x14ac:dyDescent="0.25">
      <c r="A17" s="4408"/>
      <c r="B17" s="5945" t="s">
        <v>383</v>
      </c>
      <c r="C17" s="5946"/>
      <c r="D17" s="5947"/>
      <c r="E17" s="5989"/>
      <c r="F17" s="5947"/>
      <c r="G17" s="5989"/>
      <c r="H17" s="5947"/>
      <c r="I17" s="5989"/>
      <c r="J17" s="5947"/>
      <c r="K17" s="5998"/>
      <c r="L17" s="5947"/>
      <c r="M17" s="6001"/>
      <c r="N17" s="5947"/>
      <c r="O17" s="5998"/>
      <c r="P17" s="5947"/>
      <c r="Q17" s="5998"/>
      <c r="R17" s="5947"/>
      <c r="S17" s="5998"/>
      <c r="T17" s="5947"/>
      <c r="U17" s="5998"/>
      <c r="V17" s="5947"/>
      <c r="W17" s="5998"/>
      <c r="X17" s="5947"/>
      <c r="Y17" s="6001"/>
      <c r="Z17" s="5947"/>
      <c r="AA17" s="5998"/>
      <c r="AB17" s="5947"/>
      <c r="AC17" s="5998"/>
      <c r="AD17" s="5947"/>
      <c r="AE17" s="5998"/>
      <c r="AF17" s="5947"/>
      <c r="AG17" s="5998"/>
      <c r="AH17" s="5947"/>
      <c r="AI17" s="5998"/>
      <c r="AJ17" s="5947"/>
      <c r="AK17" s="5998"/>
      <c r="AL17" s="5947"/>
      <c r="AM17" s="6001"/>
      <c r="AN17" s="5947"/>
      <c r="AO17" s="5998"/>
      <c r="AP17" s="5947"/>
      <c r="AQ17" s="5998"/>
      <c r="AR17" s="5947"/>
      <c r="AS17" s="5998"/>
      <c r="AT17" s="5947"/>
      <c r="AU17" s="5998"/>
      <c r="AV17" s="5947"/>
      <c r="AW17" s="5998"/>
      <c r="AX17" s="5947"/>
      <c r="AY17" s="5998"/>
      <c r="AZ17" s="5947"/>
      <c r="BA17" s="6001"/>
      <c r="BB17" s="5947"/>
      <c r="BC17" s="6001"/>
      <c r="BD17" s="5947"/>
      <c r="BE17" s="5998"/>
    </row>
    <row r="18" spans="1:57" x14ac:dyDescent="0.2">
      <c r="B18" s="4889" t="s">
        <v>2127</v>
      </c>
      <c r="C18" s="1554" t="s">
        <v>1243</v>
      </c>
      <c r="D18" s="3826">
        <v>2.5</v>
      </c>
      <c r="E18" s="2266">
        <f>629.58/(24*E$2)</f>
        <v>0.87441666666666673</v>
      </c>
      <c r="F18" s="3826">
        <v>2.5</v>
      </c>
      <c r="G18" s="3863">
        <f>795.324/(24*G$2)</f>
        <v>1.0689838709677419</v>
      </c>
      <c r="H18" s="3195">
        <f>+((D18*D$2)+(F18*F$2))/H$2</f>
        <v>2.5</v>
      </c>
      <c r="I18" s="5996">
        <f>+((E18*E$2)+(G18*G$2))/I$2</f>
        <v>0.97329508196721315</v>
      </c>
      <c r="J18" s="3826">
        <v>2.5</v>
      </c>
      <c r="K18" s="2266">
        <f>806.551/(24*K$2)</f>
        <v>1.1202097222222223</v>
      </c>
      <c r="L18" s="3192">
        <f>+((H18*H$2)+(J18*J$2))/L$2</f>
        <v>2.5</v>
      </c>
      <c r="M18" s="6002">
        <f>+((I18*I$2)+(K18*K$2))/M$2</f>
        <v>1.02172847985348</v>
      </c>
      <c r="N18" s="3826">
        <v>2.5</v>
      </c>
      <c r="O18" s="2266">
        <f>846.32/(24*O$2)</f>
        <v>1.1375268817204303</v>
      </c>
      <c r="P18" s="3195">
        <f>+((L18*L$2)+(N18*N$2))/P$2</f>
        <v>2.5</v>
      </c>
      <c r="Q18" s="5996">
        <f>+((M18*M$2)+(O18*O$2))/Q$2</f>
        <v>1.0511526639344264</v>
      </c>
      <c r="R18" s="3826">
        <v>2.5</v>
      </c>
      <c r="S18" s="2266">
        <f>949.76/(24*S$2)</f>
        <v>1.2765591397849463</v>
      </c>
      <c r="T18" s="3195">
        <f>+((P18*P$2)+(R18*R$2))/T$2</f>
        <v>2.5</v>
      </c>
      <c r="U18" s="5996">
        <f>+((Q18*Q$2)+(S18*S$2))/U$2</f>
        <v>1.09682325708061</v>
      </c>
      <c r="V18" s="3826">
        <v>2.5</v>
      </c>
      <c r="W18" s="4619">
        <f>830.06/(24*W$2)</f>
        <v>1.1528611111111111</v>
      </c>
      <c r="X18" s="3192">
        <f>+((N18*N$2)+(R18*R$2)+(V18*V$2))/X$2</f>
        <v>2.5</v>
      </c>
      <c r="Y18" s="6002">
        <f>+((O18*O$2)+(S18*S$2)+(W18*W$2))/Y$2</f>
        <v>1.1893750000000001</v>
      </c>
      <c r="Z18" s="7213">
        <f>+((T18*T$2)+(V18*V$2))/Z$2</f>
        <v>2.5</v>
      </c>
      <c r="AA18" s="6841">
        <f>+((U18*U$2)+(W18*W$2))/AA$2</f>
        <v>1.1060097905282333</v>
      </c>
      <c r="AB18" s="3826">
        <v>2.5</v>
      </c>
      <c r="AC18" s="4619">
        <f>826.98/(24*AC$2)</f>
        <v>1.1115322580645162</v>
      </c>
      <c r="AD18" s="3195">
        <f>+((Z18*Z$2)+(AB18*AB$2))/AD$2</f>
        <v>2.5</v>
      </c>
      <c r="AE18" s="5996">
        <f>+((AA18*AA$2)+(AC18*AC$2))/AE$2</f>
        <v>1.1068097741433025</v>
      </c>
      <c r="AF18" s="3826">
        <v>2.5</v>
      </c>
      <c r="AG18" s="2266">
        <f>847.91/(24*AG$2)</f>
        <v>1.1776527777777777</v>
      </c>
      <c r="AH18" s="3195">
        <f>+((AD18*AD$2)+(AF18*AF$2))/AH$2</f>
        <v>2.5</v>
      </c>
      <c r="AI18" s="5996">
        <f>+((AE18*AE$2)+(AG18*AG$2))/AI$2</f>
        <v>1.1155199795081969</v>
      </c>
      <c r="AJ18" s="3826">
        <v>2.5</v>
      </c>
      <c r="AK18" s="4619">
        <f>814.51/(24*AK$2)</f>
        <v>1.094771505376344</v>
      </c>
      <c r="AL18" s="3192">
        <f>+((AB18*AB$2)+(AF18*AF$2)+(AJ18*AJ$2))/AL$2</f>
        <v>2.5</v>
      </c>
      <c r="AM18" s="6002">
        <f>+((AC18*AC$2)+(AG18*AG$2)+(AK18*AK$2))/AM$2</f>
        <v>1.1274456521739129</v>
      </c>
      <c r="AN18" s="3195">
        <f>+((AH18*AH$2)+(AJ18*AJ$2))/AN$2</f>
        <v>2.5</v>
      </c>
      <c r="AO18" s="5996">
        <f>+((AI18*AI$2)+(AK18*AK$2))/AO$2</f>
        <v>1.1131810606060608</v>
      </c>
      <c r="AP18" s="3826">
        <v>2.5</v>
      </c>
      <c r="AQ18" s="4619">
        <f>868.98/(24*AQ$2)</f>
        <v>1.1679838709677419</v>
      </c>
      <c r="AR18" s="3195">
        <f>+((AN18*AN$2)+(AP18*AP$2))/AR$2</f>
        <v>2.5</v>
      </c>
      <c r="AS18" s="5996">
        <f>+((AO18*AO$2)+(AQ18*AQ$2))/AS$2</f>
        <v>1.1187329793028324</v>
      </c>
      <c r="AT18" s="3826">
        <v>2.5</v>
      </c>
      <c r="AU18" s="4619">
        <f>740.18/(24*AU$2)</f>
        <v>1.1014583333333332</v>
      </c>
      <c r="AV18" s="3195">
        <f>+((AR18*AR$2)+(AT18*AT$2))/AV$2</f>
        <v>2.5</v>
      </c>
      <c r="AW18" s="5996">
        <f>+((AS18*AS$2)+(AU18*AU$2))/AW$2</f>
        <v>1.1172848053892217</v>
      </c>
      <c r="AX18" s="3826">
        <v>2.5</v>
      </c>
      <c r="AY18" s="4619">
        <v>1.0316532</v>
      </c>
      <c r="AZ18" s="3192">
        <f>+((AP18*AP$2)+(AT18*AT$2)+(AX18*AX$2))/AZ$2</f>
        <v>2.5</v>
      </c>
      <c r="BA18" s="6002">
        <f>+((AQ18*AQ$2)+(AU18*AU$2)+(AY18*AY$2))/BA$2</f>
        <v>1.1003286948148148</v>
      </c>
      <c r="BB18" s="3192">
        <f>+(((AL18*AL$2)+(AZ18*AZ$2)))/(BB$2)</f>
        <v>2.5</v>
      </c>
      <c r="BC18" s="6002">
        <f>+((AM18*AM$2)+(BA18*BA$2))/BC$2</f>
        <v>1.1140361677655677</v>
      </c>
      <c r="BD18" s="7213">
        <f>+((AV18*AV$2)+(AX18*AX$2))/BD$2</f>
        <v>2.5</v>
      </c>
      <c r="BE18" s="6841">
        <f>+((AW18*AW$2)+(AY18*AY$2))/BE$2</f>
        <v>1.110011984109589</v>
      </c>
    </row>
    <row r="19" spans="1:57" x14ac:dyDescent="0.2">
      <c r="B19" s="1658" t="s">
        <v>53</v>
      </c>
      <c r="C19" s="1545" t="s">
        <v>1243</v>
      </c>
      <c r="D19" s="2707">
        <v>22.5</v>
      </c>
      <c r="E19" s="2067">
        <f>1251.6/(24*E$2)</f>
        <v>1.7383333333333333</v>
      </c>
      <c r="F19" s="2707">
        <v>22.5</v>
      </c>
      <c r="G19" s="2339">
        <f>1707.65/(24*G$2)</f>
        <v>2.2952284946236561</v>
      </c>
      <c r="H19" s="3195">
        <f>+((D19*D$2)+(F19*F$2))/H$2</f>
        <v>22.5</v>
      </c>
      <c r="I19" s="5996">
        <f t="shared" ref="I19:I23" si="26">+((E19*E$2)+(G19*G$2))/I$2</f>
        <v>2.0213456284153009</v>
      </c>
      <c r="J19" s="2707">
        <f>22500/1000</f>
        <v>22.5</v>
      </c>
      <c r="K19" s="2067">
        <f>4732.63/(24*K$2)</f>
        <v>6.5730972222222226</v>
      </c>
      <c r="L19" s="3192">
        <f>+((H19*H$2)+(J19*J$2))/L$2</f>
        <v>22.5</v>
      </c>
      <c r="M19" s="6002">
        <f t="shared" ref="M19:M23" si="27">+((I19*I$2)+(K19*K$2))/M$2</f>
        <v>3.5219230769230774</v>
      </c>
      <c r="N19" s="2707">
        <v>22.5</v>
      </c>
      <c r="O19" s="2067">
        <f>7589.89/(24*O$2)</f>
        <v>10.201465053763441</v>
      </c>
      <c r="P19" s="3195">
        <f>+((L19*L$2)+(N19*N$2))/P$2</f>
        <v>22.5</v>
      </c>
      <c r="Q19" s="5996">
        <f t="shared" ref="Q19:Q23" si="28">+((M19*M$2)+(O19*O$2))/Q$2</f>
        <v>5.2191837431693999</v>
      </c>
      <c r="R19" s="2707">
        <v>22.5</v>
      </c>
      <c r="S19" s="2067">
        <f>8554.21/(24*S$2)</f>
        <v>11.497594086021504</v>
      </c>
      <c r="T19" s="3195">
        <f>+((P19*P$2)+(R19*R$2))/T$2</f>
        <v>22.5</v>
      </c>
      <c r="U19" s="5996">
        <f t="shared" ref="U19:U23" si="29">+((Q19*Q$2)+(S19*S$2))/U$2</f>
        <v>6.4912799564270163</v>
      </c>
      <c r="V19" s="2707">
        <v>22.5</v>
      </c>
      <c r="W19" s="3861">
        <f>3919.3/(24*W$2)</f>
        <v>5.4434722222222227</v>
      </c>
      <c r="X19" s="3192">
        <f t="shared" ref="X19:X23" si="30">+((N19*N$2)+(R19*R$2)+(V19*V$2))/X$2</f>
        <v>22.5</v>
      </c>
      <c r="Y19" s="6002">
        <f t="shared" ref="Y19:Y23" si="31">+((O19*O$2)+(S19*S$2)+(W19*W$2))/Y$2</f>
        <v>9.0866847826086961</v>
      </c>
      <c r="Z19" s="7213">
        <f>+((T19*T$2)+(V19*V$2))/Z$2</f>
        <v>22.5</v>
      </c>
      <c r="AA19" s="6841">
        <f t="shared" ref="AA19:AA23" si="32">+((U19*U$2)+(W19*W$2))/AA$2</f>
        <v>6.3195081967213129</v>
      </c>
      <c r="AB19" s="2707">
        <v>22.5</v>
      </c>
      <c r="AC19" s="3861">
        <f>1363.53/(24*AC$2)</f>
        <v>1.8327016129032259</v>
      </c>
      <c r="AD19" s="3195">
        <f>+((Z19*Z$2)+(AB19*AB$2))/AD$2</f>
        <v>22.5</v>
      </c>
      <c r="AE19" s="5996">
        <f t="shared" ref="AE19:AE23" si="33">+((AA19*AA$2)+(AC19*AC$2))/AE$2</f>
        <v>5.6695502336448609</v>
      </c>
      <c r="AF19" s="2707">
        <v>22.5</v>
      </c>
      <c r="AG19" s="2067">
        <f>5982.06/(24*AG$2)</f>
        <v>8.3084166666666679</v>
      </c>
      <c r="AH19" s="3195">
        <f>+((AD19*AD$2)+(AF19*AF$2))/AH$2</f>
        <v>22.5</v>
      </c>
      <c r="AI19" s="5996">
        <f t="shared" ref="AI19:AI23" si="34">+((AE19*AE$2)+(AG19*AG$2))/AI$2</f>
        <v>5.9940010245901654</v>
      </c>
      <c r="AJ19" s="2707">
        <v>22.5</v>
      </c>
      <c r="AK19" s="3861">
        <f>8704.14/(24*AK$2)</f>
        <v>11.699112903225807</v>
      </c>
      <c r="AL19" s="3192">
        <f t="shared" ref="AL19:AL23" si="35">+((AB19*AB$2)+(AF19*AF$2)+(AJ19*AJ$2))/AL$2</f>
        <v>22.5</v>
      </c>
      <c r="AM19" s="6002">
        <f t="shared" ref="AM19:AM23" si="36">+((AC19*AC$2)+(AG19*AG$2)+(AK19*AK$2))/AM$2</f>
        <v>7.2688994565217389</v>
      </c>
      <c r="AN19" s="3195">
        <f>+((AH19*AH$2)+(AJ19*AJ$2))/AN$2</f>
        <v>22.5</v>
      </c>
      <c r="AO19" s="5996">
        <f t="shared" ref="AO19:AO23" si="37">+((AI19*AI$2)+(AK19*AK$2))/AO$2</f>
        <v>6.637122727272728</v>
      </c>
      <c r="AP19" s="2707">
        <v>22.5</v>
      </c>
      <c r="AQ19" s="3861">
        <f>9611.7/(24*AQ$2)</f>
        <v>12.918951612903227</v>
      </c>
      <c r="AR19" s="3195">
        <f>+((AN19*AN$2)+(AP19*AP$2))/AR$2</f>
        <v>22.5</v>
      </c>
      <c r="AS19" s="5996">
        <f t="shared" ref="AS19:AS23" si="38">+((AO19*AO$2)+(AQ19*AQ$2))/AS$2</f>
        <v>7.2735171568627468</v>
      </c>
      <c r="AT19" s="2707">
        <v>22.5</v>
      </c>
      <c r="AU19" s="3861">
        <f>9927.12/(24*AU$2)</f>
        <v>14.772500000000001</v>
      </c>
      <c r="AV19" s="3195">
        <f>+((AR19*AR$2)+(AT19*AT$2))/AV$2</f>
        <v>22.5</v>
      </c>
      <c r="AW19" s="5996">
        <f t="shared" ref="AW19:AW23" si="39">+((AS19*AS$2)+(AU19*AU$2))/AW$2</f>
        <v>7.9021744011976063</v>
      </c>
      <c r="AX19" s="2707">
        <v>22.5</v>
      </c>
      <c r="AY19" s="3861">
        <v>18.941116000000001</v>
      </c>
      <c r="AZ19" s="3192">
        <f t="shared" ref="AZ19:AZ23" si="40">+((AP19*AP$2)+(AT19*AT$2)+(AX19*AX$2))/AZ$2</f>
        <v>22.5</v>
      </c>
      <c r="BA19" s="6002">
        <f t="shared" ref="BA19:BA23" si="41">+((AQ19*AQ$2)+(AU19*AU$2)+(AY19*AY$2))/BA$2</f>
        <v>15.569912177777779</v>
      </c>
      <c r="BB19" s="3192">
        <f t="shared" ref="BB19:BB23" si="42">+(((AL19*AL$2)+(AZ19*AZ$2)))/(BB$2)</f>
        <v>22.5</v>
      </c>
      <c r="BC19" s="6002">
        <f t="shared" ref="BC19:BC24" si="43">+((AM19*AM$2)+(BA19*BA$2))/BC$2</f>
        <v>11.373795857142857</v>
      </c>
      <c r="BD19" s="7213">
        <f>+((AV19*AV$2)+(AX19*AX$2))/BD$2</f>
        <v>22.5</v>
      </c>
      <c r="BE19" s="6841">
        <f t="shared" ref="BE19:BE23" si="44">+((AW19*AW$2)+(AY19*AY$2))/BE$2</f>
        <v>8.8397283452054811</v>
      </c>
    </row>
    <row r="20" spans="1:57" x14ac:dyDescent="0.2">
      <c r="B20" s="1658" t="s">
        <v>192</v>
      </c>
      <c r="C20" s="1545" t="s">
        <v>1243</v>
      </c>
      <c r="D20" s="2707">
        <v>9.6969999999999992</v>
      </c>
      <c r="E20" s="2067">
        <f>6447.7/(24*E$2)</f>
        <v>8.9551388888888894</v>
      </c>
      <c r="F20" s="2707">
        <v>9.7479999999999993</v>
      </c>
      <c r="G20" s="2339">
        <f>6807.36/(24*G$2)</f>
        <v>9.1496774193548376</v>
      </c>
      <c r="H20" s="3195">
        <f>+((D20*D$2)+(F20*F$2))/H$2</f>
        <v>9.7229180327868843</v>
      </c>
      <c r="I20" s="5996">
        <f t="shared" si="26"/>
        <v>9.0540027322404377</v>
      </c>
      <c r="J20" s="2707">
        <v>12.146000000000001</v>
      </c>
      <c r="K20" s="2067">
        <f>7331.03/(24*K$2)</f>
        <v>10.181986111111112</v>
      </c>
      <c r="L20" s="3192">
        <f>+((H20*H$2)+(J20*J$2))/L$2</f>
        <v>10.521736263736264</v>
      </c>
      <c r="M20" s="6002">
        <f t="shared" si="27"/>
        <v>9.4258653846153848</v>
      </c>
      <c r="N20" s="2707">
        <v>16.058</v>
      </c>
      <c r="O20" s="2067">
        <f>8418.48/(24*O$2)</f>
        <v>11.31516129032258</v>
      </c>
      <c r="P20" s="3195">
        <f>+((L20*L$2)+(N20*N$2))/P$2</f>
        <v>11.928491803278687</v>
      </c>
      <c r="Q20" s="5996">
        <f t="shared" si="28"/>
        <v>9.9059323770491794</v>
      </c>
      <c r="R20" s="2707">
        <v>15.965</v>
      </c>
      <c r="S20" s="2067">
        <f>9014.11/(24*S$2)</f>
        <v>12.115739247311829</v>
      </c>
      <c r="T20" s="3195">
        <f>+((P20*P$2)+(R20*R$2))/T$2</f>
        <v>12.746346405228756</v>
      </c>
      <c r="U20" s="5996">
        <f t="shared" si="29"/>
        <v>10.353671023965141</v>
      </c>
      <c r="V20" s="2707">
        <v>16.28</v>
      </c>
      <c r="W20" s="3861">
        <f>4359.74/(24*W$2)</f>
        <v>6.0551944444444441</v>
      </c>
      <c r="X20" s="3192">
        <f t="shared" si="30"/>
        <v>16.099054347826087</v>
      </c>
      <c r="Y20" s="6002">
        <f t="shared" si="31"/>
        <v>9.8697146739130446</v>
      </c>
      <c r="Z20" s="7213">
        <f>+((T20*T$2)+(V20*V$2))/Z$2</f>
        <v>13.325633879781421</v>
      </c>
      <c r="AA20" s="6841">
        <f t="shared" si="32"/>
        <v>9.6490027322404366</v>
      </c>
      <c r="AB20" s="2707">
        <v>8.2850000000000001</v>
      </c>
      <c r="AC20" s="3861">
        <f>5502.42/(24*AC$2)</f>
        <v>7.3957258064516127</v>
      </c>
      <c r="AD20" s="3195">
        <f>+((Z20*Z$2)+(AB20*AB$2))/AD$2</f>
        <v>12.59544859813084</v>
      </c>
      <c r="AE20" s="5996">
        <f t="shared" si="33"/>
        <v>9.322593457943924</v>
      </c>
      <c r="AF20" s="2707">
        <v>16.196999999999999</v>
      </c>
      <c r="AG20" s="2067">
        <f>7630.77/(24*AG$2)</f>
        <v>10.598291666666666</v>
      </c>
      <c r="AH20" s="3195">
        <f>+((AD20*AD$2)+(AF20*AF$2))/AH$2</f>
        <v>13.038262295081966</v>
      </c>
      <c r="AI20" s="5996">
        <f t="shared" si="34"/>
        <v>9.4794415983606548</v>
      </c>
      <c r="AJ20" s="2707">
        <v>16.446000000000002</v>
      </c>
      <c r="AK20" s="3861">
        <f>10302.95/(24*AK$2)</f>
        <v>13.848051075268819</v>
      </c>
      <c r="AL20" s="3192">
        <f t="shared" si="35"/>
        <v>13.614902173913043</v>
      </c>
      <c r="AM20" s="6002">
        <f t="shared" si="36"/>
        <v>10.614193840579711</v>
      </c>
      <c r="AN20" s="3195">
        <f>+((AH20*AH$2)+(AJ20*AJ$2))/AN$2</f>
        <v>13.422407272727272</v>
      </c>
      <c r="AO20" s="5996">
        <f t="shared" si="37"/>
        <v>9.9719030303030287</v>
      </c>
      <c r="AP20" s="2707">
        <v>16.181999999999999</v>
      </c>
      <c r="AQ20" s="3861">
        <f>11989.88/(24*AQ$2)</f>
        <v>16.11543010752688</v>
      </c>
      <c r="AR20" s="3195">
        <f>+((AN20*AN$2)+(AP20*AP$2))/AR$2</f>
        <v>13.70197385620915</v>
      </c>
      <c r="AS20" s="5996">
        <f t="shared" si="38"/>
        <v>10.594286492374726</v>
      </c>
      <c r="AT20" s="2707">
        <v>16.559999999999999</v>
      </c>
      <c r="AU20" s="3861">
        <f>10318.35/(24*AU$2)</f>
        <v>15.354687500000001</v>
      </c>
      <c r="AV20" s="3195">
        <f>+((AR20*AR$2)+(AT20*AT$2))/AV$2</f>
        <v>13.941568862275449</v>
      </c>
      <c r="AW20" s="5996">
        <f t="shared" si="39"/>
        <v>10.993362025948102</v>
      </c>
      <c r="AX20" s="2707">
        <v>16.559999999999999</v>
      </c>
      <c r="AY20" s="3861">
        <v>16.651532</v>
      </c>
      <c r="AZ20" s="3192">
        <f t="shared" si="40"/>
        <v>16.429799999999997</v>
      </c>
      <c r="BA20" s="6002">
        <f t="shared" si="41"/>
        <v>16.063411948148147</v>
      </c>
      <c r="BB20" s="3192">
        <f t="shared" si="42"/>
        <v>15.006884615384614</v>
      </c>
      <c r="BC20" s="6002">
        <f t="shared" si="43"/>
        <v>13.308862135531134</v>
      </c>
      <c r="BD20" s="7213">
        <f>+((AV20*AV$2)+(AX20*AX$2))/BD$2</f>
        <v>14.163956164383562</v>
      </c>
      <c r="BE20" s="6841">
        <f t="shared" si="44"/>
        <v>11.47391892785388</v>
      </c>
    </row>
    <row r="21" spans="1:57" x14ac:dyDescent="0.2">
      <c r="B21" s="2763" t="s">
        <v>1974</v>
      </c>
      <c r="C21" s="1547" t="s">
        <v>1243</v>
      </c>
      <c r="D21" s="3377">
        <v>8.1029999999999998</v>
      </c>
      <c r="E21" s="2067">
        <f>154/(24*E$2)</f>
        <v>0.21388888888888888</v>
      </c>
      <c r="F21" s="3377">
        <v>8.0519999999999996</v>
      </c>
      <c r="G21" s="2339">
        <f>154/(24*G$2)</f>
        <v>0.20698924731182797</v>
      </c>
      <c r="H21" s="3195">
        <f t="shared" ref="H21:H23" si="45">+((D21*D$2)+(F21*F$2))/H$2</f>
        <v>8.0770819672131147</v>
      </c>
      <c r="I21" s="5996">
        <f t="shared" si="26"/>
        <v>0.21038251366120217</v>
      </c>
      <c r="J21" s="3377">
        <v>5.6539999999999999</v>
      </c>
      <c r="K21" s="2067">
        <f>154/(24*K$2)</f>
        <v>0.21388888888888888</v>
      </c>
      <c r="L21" s="3192">
        <f t="shared" ref="L21:L23" si="46">+((H21*H$2)+(J21*J$2))/L$2</f>
        <v>7.2782637362637361</v>
      </c>
      <c r="M21" s="6002">
        <f t="shared" si="27"/>
        <v>0.21153846153846154</v>
      </c>
      <c r="N21" s="3377">
        <v>1.742</v>
      </c>
      <c r="O21" s="2067">
        <f>154/(24*O$2)</f>
        <v>0.20698924731182797</v>
      </c>
      <c r="P21" s="3195">
        <f t="shared" ref="P21:P23" si="47">+((L21*L$2)+(N21*N$2))/P$2</f>
        <v>5.8715081967213107</v>
      </c>
      <c r="Q21" s="5996">
        <f t="shared" si="28"/>
        <v>0.2103825136612022</v>
      </c>
      <c r="R21" s="3377">
        <v>1.835</v>
      </c>
      <c r="S21" s="2067">
        <f>154/(24*S$2)</f>
        <v>0.20698924731182797</v>
      </c>
      <c r="T21" s="3195">
        <f t="shared" ref="T21:T23" si="48">+((P21*P$2)+(R21*R$2))/T$2</f>
        <v>5.0536535947712418</v>
      </c>
      <c r="U21" s="5996">
        <f t="shared" si="29"/>
        <v>0.20969498910675383</v>
      </c>
      <c r="V21" s="3377">
        <v>1.52</v>
      </c>
      <c r="W21" s="3861">
        <f>154/(24*W$2)</f>
        <v>0.21388888888888888</v>
      </c>
      <c r="X21" s="3192">
        <f t="shared" si="30"/>
        <v>1.700945652173913</v>
      </c>
      <c r="Y21" s="6002">
        <f t="shared" si="31"/>
        <v>0.20923913043478262</v>
      </c>
      <c r="Z21" s="7213">
        <f t="shared" ref="Z21:Z23" si="49">+((T21*T$2)+(V21*V$2))/Z$2</f>
        <v>4.4743661202185789</v>
      </c>
      <c r="AA21" s="6841">
        <f t="shared" si="32"/>
        <v>0.2103825136612022</v>
      </c>
      <c r="AB21" s="3377">
        <v>9.5150000000000006</v>
      </c>
      <c r="AC21" s="3861">
        <f>154/(24*AC$2)</f>
        <v>0.20698924731182797</v>
      </c>
      <c r="AD21" s="3195">
        <f t="shared" ref="AD21:AD23" si="50">+((Z21*Z$2)+(AB21*AB$2))/AD$2</f>
        <v>5.2045514018691588</v>
      </c>
      <c r="AE21" s="5996">
        <f t="shared" si="33"/>
        <v>0.20989096573208721</v>
      </c>
      <c r="AF21" s="3377">
        <v>1.603</v>
      </c>
      <c r="AG21" s="2067">
        <f>154/(24*AG$2)</f>
        <v>0.21388888888888888</v>
      </c>
      <c r="AH21" s="3195">
        <f t="shared" ref="AH21:AH23" si="51">+((AD21*AD$2)+(AF21*AF$2))/AH$2</f>
        <v>4.7617377049180316</v>
      </c>
      <c r="AI21" s="5996">
        <f t="shared" si="34"/>
        <v>0.21038251366120217</v>
      </c>
      <c r="AJ21" s="3377">
        <v>1.3540000000000001</v>
      </c>
      <c r="AK21" s="3861">
        <f>154/(24*AK$2)</f>
        <v>0.20698924731182797</v>
      </c>
      <c r="AL21" s="3192">
        <f t="shared" si="35"/>
        <v>4.1850978260869569</v>
      </c>
      <c r="AM21" s="6002">
        <f t="shared" si="36"/>
        <v>0.20923913043478262</v>
      </c>
      <c r="AN21" s="3195">
        <f t="shared" ref="AN21:AN23" si="52">+((AH21*AH$2)+(AJ21*AJ$2))/AN$2</f>
        <v>4.3775927272727264</v>
      </c>
      <c r="AO21" s="5996">
        <f t="shared" si="37"/>
        <v>0.20999999999999996</v>
      </c>
      <c r="AP21" s="3377">
        <v>1.6180000000000001</v>
      </c>
      <c r="AQ21" s="3861">
        <f>154/(24*AQ$2)</f>
        <v>0.20698924731182797</v>
      </c>
      <c r="AR21" s="3195">
        <f t="shared" ref="AR21:AR23" si="53">+((AN21*AN$2)+(AP21*AP$2))/AR$2</f>
        <v>4.0980261437908485</v>
      </c>
      <c r="AS21" s="5996">
        <f t="shared" si="38"/>
        <v>0.20969498910675377</v>
      </c>
      <c r="AT21" s="3377">
        <v>1.24</v>
      </c>
      <c r="AU21" s="3861">
        <f>154/(24*AU$2)</f>
        <v>0.22916666666666666</v>
      </c>
      <c r="AV21" s="3195">
        <f t="shared" ref="AV21:AV23" si="54">+((AR21*AR$2)+(AT21*AT$2))/AV$2</f>
        <v>3.8584311377245499</v>
      </c>
      <c r="AW21" s="5996">
        <f t="shared" si="39"/>
        <v>0.21132734530938121</v>
      </c>
      <c r="AX21" s="3377">
        <v>1.24</v>
      </c>
      <c r="AY21" s="3861">
        <v>0.20698920000000001</v>
      </c>
      <c r="AZ21" s="3192">
        <f t="shared" si="40"/>
        <v>1.3702000000000001</v>
      </c>
      <c r="BA21" s="6002">
        <f t="shared" si="41"/>
        <v>0.21388887259259259</v>
      </c>
      <c r="BB21" s="3192">
        <f t="shared" si="42"/>
        <v>2.7931153846153851</v>
      </c>
      <c r="BC21" s="6002">
        <f t="shared" si="43"/>
        <v>0.21153845347985348</v>
      </c>
      <c r="BD21" s="7213">
        <f t="shared" ref="BD21:BD23" si="55">+((AV21*AV$2)+(AX21*AX$2))/BD$2</f>
        <v>3.6360438356164377</v>
      </c>
      <c r="BE21" s="6841">
        <f t="shared" si="44"/>
        <v>0.21095890009132418</v>
      </c>
    </row>
    <row r="22" spans="1:57" x14ac:dyDescent="0.2">
      <c r="B22" s="2763" t="s">
        <v>1951</v>
      </c>
      <c r="C22" s="1547" t="s">
        <v>1243</v>
      </c>
      <c r="D22" s="3377">
        <v>0</v>
      </c>
      <c r="E22" s="2067">
        <f>0/(24*E$2)</f>
        <v>0</v>
      </c>
      <c r="F22" s="3377">
        <v>0</v>
      </c>
      <c r="G22" s="2339">
        <f>67.566/(24*G$2)</f>
        <v>9.0814516129032255E-2</v>
      </c>
      <c r="H22" s="3195">
        <f t="shared" si="45"/>
        <v>0</v>
      </c>
      <c r="I22" s="5996">
        <f t="shared" si="26"/>
        <v>4.6151639344262294E-2</v>
      </c>
      <c r="J22" s="3377">
        <v>0</v>
      </c>
      <c r="K22" s="2067">
        <f>58.089/(24*K$2)</f>
        <v>8.0679166666666663E-2</v>
      </c>
      <c r="L22" s="3192">
        <f t="shared" si="46"/>
        <v>0</v>
      </c>
      <c r="M22" s="6002">
        <f t="shared" si="27"/>
        <v>5.7534340659340655E-2</v>
      </c>
      <c r="N22" s="3377">
        <v>0</v>
      </c>
      <c r="O22" s="2067">
        <f>41.77/(24*O$2)</f>
        <v>5.6142473118279572E-2</v>
      </c>
      <c r="P22" s="3195">
        <f t="shared" si="47"/>
        <v>0</v>
      </c>
      <c r="Q22" s="5996">
        <f t="shared" si="28"/>
        <v>5.7180669398907098E-2</v>
      </c>
      <c r="R22" s="3377">
        <v>0</v>
      </c>
      <c r="S22" s="2067">
        <f>0/(24*S$2)</f>
        <v>0</v>
      </c>
      <c r="T22" s="3195">
        <f t="shared" si="48"/>
        <v>0</v>
      </c>
      <c r="U22" s="5996">
        <f t="shared" si="29"/>
        <v>4.5595043572984745E-2</v>
      </c>
      <c r="V22" s="3377">
        <v>0</v>
      </c>
      <c r="W22" s="3861">
        <f>0/(24*W$2)</f>
        <v>0</v>
      </c>
      <c r="X22" s="3192">
        <f t="shared" si="30"/>
        <v>0</v>
      </c>
      <c r="Y22" s="6002">
        <f t="shared" si="31"/>
        <v>1.8917572463768118E-2</v>
      </c>
      <c r="Z22" s="7213">
        <f t="shared" si="49"/>
        <v>0</v>
      </c>
      <c r="AA22" s="6841">
        <f t="shared" si="32"/>
        <v>3.8120446265938066E-2</v>
      </c>
      <c r="AB22" s="3377">
        <v>0</v>
      </c>
      <c r="AC22" s="3861">
        <f>0/(24*AC$2)</f>
        <v>0</v>
      </c>
      <c r="AD22" s="3195">
        <f t="shared" si="50"/>
        <v>0</v>
      </c>
      <c r="AE22" s="5996">
        <f t="shared" si="33"/>
        <v>3.2598325545171336E-2</v>
      </c>
      <c r="AF22" s="3377">
        <v>0</v>
      </c>
      <c r="AG22" s="2067">
        <f>0/(24*AG$2)</f>
        <v>0</v>
      </c>
      <c r="AH22" s="3195">
        <f t="shared" si="51"/>
        <v>0</v>
      </c>
      <c r="AI22" s="5996">
        <f t="shared" si="34"/>
        <v>2.8590334699453549E-2</v>
      </c>
      <c r="AJ22" s="3377">
        <v>0</v>
      </c>
      <c r="AK22" s="3861">
        <f>0/(24*AK$2)</f>
        <v>0</v>
      </c>
      <c r="AL22" s="3192">
        <f t="shared" si="35"/>
        <v>0</v>
      </c>
      <c r="AM22" s="6002">
        <f t="shared" si="36"/>
        <v>0</v>
      </c>
      <c r="AN22" s="3195">
        <f t="shared" si="52"/>
        <v>0</v>
      </c>
      <c r="AO22" s="5996">
        <f t="shared" si="37"/>
        <v>2.536742424242424E-2</v>
      </c>
      <c r="AP22" s="3377">
        <v>0</v>
      </c>
      <c r="AQ22" s="3861">
        <f>0/(24*AQ$2)</f>
        <v>0</v>
      </c>
      <c r="AR22" s="3195">
        <f t="shared" si="53"/>
        <v>0</v>
      </c>
      <c r="AS22" s="5996">
        <f t="shared" si="38"/>
        <v>2.2797521786492372E-2</v>
      </c>
      <c r="AT22" s="3377">
        <v>0</v>
      </c>
      <c r="AU22" s="3861">
        <f>0/(24*AU$2)</f>
        <v>0</v>
      </c>
      <c r="AV22" s="3195">
        <f t="shared" si="54"/>
        <v>0</v>
      </c>
      <c r="AW22" s="5996">
        <f t="shared" si="39"/>
        <v>2.088635229540918E-2</v>
      </c>
      <c r="AX22" s="3377">
        <v>0</v>
      </c>
      <c r="AY22" s="3861">
        <v>0</v>
      </c>
      <c r="AZ22" s="3192">
        <f t="shared" si="40"/>
        <v>0</v>
      </c>
      <c r="BA22" s="6002">
        <f t="shared" si="41"/>
        <v>0</v>
      </c>
      <c r="BB22" s="3192">
        <f t="shared" si="42"/>
        <v>0</v>
      </c>
      <c r="BC22" s="6002">
        <f t="shared" si="43"/>
        <v>0</v>
      </c>
      <c r="BD22" s="7213">
        <f t="shared" si="55"/>
        <v>0</v>
      </c>
      <c r="BE22" s="6841">
        <f t="shared" si="44"/>
        <v>1.9112442922374427E-2</v>
      </c>
    </row>
    <row r="23" spans="1:57" s="5717" customFormat="1" ht="16" thickBot="1" x14ac:dyDescent="0.25">
      <c r="A23" s="2100"/>
      <c r="B23" s="2763" t="s">
        <v>384</v>
      </c>
      <c r="C23" s="1547" t="s">
        <v>1243</v>
      </c>
      <c r="D23" s="5725">
        <v>0</v>
      </c>
      <c r="E23" s="2067">
        <v>2.9637096774193548E-2</v>
      </c>
      <c r="F23" s="5725">
        <v>0</v>
      </c>
      <c r="G23" s="2339">
        <f>0/(24*G$2)</f>
        <v>0</v>
      </c>
      <c r="H23" s="3195">
        <f t="shared" si="45"/>
        <v>0</v>
      </c>
      <c r="I23" s="5996">
        <f t="shared" si="26"/>
        <v>1.4575621364357482E-2</v>
      </c>
      <c r="J23" s="5725">
        <v>0</v>
      </c>
      <c r="K23" s="2067">
        <f>351.155/(24*K$2)</f>
        <v>0.48771527777777773</v>
      </c>
      <c r="L23" s="3192">
        <f t="shared" si="46"/>
        <v>0</v>
      </c>
      <c r="M23" s="6002">
        <f t="shared" si="27"/>
        <v>0.17055572787427625</v>
      </c>
      <c r="N23" s="5725">
        <v>0</v>
      </c>
      <c r="O23" s="2067">
        <f>266.08/(24*O$2)</f>
        <v>0.35763440860215051</v>
      </c>
      <c r="P23" s="3195">
        <f t="shared" si="47"/>
        <v>0</v>
      </c>
      <c r="Q23" s="5996">
        <f t="shared" si="28"/>
        <v>0.21809211396086725</v>
      </c>
      <c r="R23" s="5725">
        <v>0</v>
      </c>
      <c r="S23" s="2067">
        <f>231.427/(24*S$2)</f>
        <v>0.31105779569892472</v>
      </c>
      <c r="T23" s="3195">
        <f t="shared" si="48"/>
        <v>0</v>
      </c>
      <c r="U23" s="5996">
        <f t="shared" si="29"/>
        <v>0.23692829784243444</v>
      </c>
      <c r="V23" s="5725">
        <v>0</v>
      </c>
      <c r="W23" s="3861">
        <f>106.757/(24*W$2)</f>
        <v>0.14827361111111112</v>
      </c>
      <c r="X23" s="3192">
        <f t="shared" si="30"/>
        <v>0</v>
      </c>
      <c r="Y23" s="6002">
        <f t="shared" si="31"/>
        <v>0.27367028985507247</v>
      </c>
      <c r="Z23" s="7213">
        <f t="shared" si="49"/>
        <v>0</v>
      </c>
      <c r="AA23" s="6841">
        <f t="shared" si="32"/>
        <v>0.22239474264057815</v>
      </c>
      <c r="AB23" s="5725">
        <v>0</v>
      </c>
      <c r="AC23" s="3861">
        <f>119.77/(24*AC$2)</f>
        <v>0.16098118279569892</v>
      </c>
      <c r="AD23" s="3195">
        <f t="shared" si="50"/>
        <v>0</v>
      </c>
      <c r="AE23" s="5996">
        <f t="shared" si="33"/>
        <v>0.21349838584061903</v>
      </c>
      <c r="AF23" s="5725">
        <v>0</v>
      </c>
      <c r="AG23" s="2067">
        <f>10.68/(24*AG$2)</f>
        <v>1.4833333333333334E-2</v>
      </c>
      <c r="AH23" s="3195">
        <f t="shared" si="51"/>
        <v>0</v>
      </c>
      <c r="AI23" s="5996">
        <f t="shared" si="34"/>
        <v>0.18907235479464127</v>
      </c>
      <c r="AJ23" s="5725">
        <v>0</v>
      </c>
      <c r="AK23" s="3861">
        <f>31.26/(24*AK$2)</f>
        <v>4.2016129032258064E-2</v>
      </c>
      <c r="AL23" s="3192">
        <f t="shared" si="35"/>
        <v>0</v>
      </c>
      <c r="AM23" s="6002">
        <f t="shared" si="36"/>
        <v>7.3238224637681162E-2</v>
      </c>
      <c r="AN23" s="3195">
        <f t="shared" si="52"/>
        <v>0</v>
      </c>
      <c r="AO23" s="5996">
        <f t="shared" si="37"/>
        <v>0.17249510752688171</v>
      </c>
      <c r="AP23" s="5725">
        <v>0</v>
      </c>
      <c r="AQ23" s="3861">
        <f>15.694/(24*AQ$2)</f>
        <v>2.1094086021505379E-2</v>
      </c>
      <c r="AR23" s="3195">
        <f t="shared" si="53"/>
        <v>0</v>
      </c>
      <c r="AS23" s="5996">
        <f t="shared" si="38"/>
        <v>0.15715709554431093</v>
      </c>
      <c r="AT23" s="5725">
        <v>0</v>
      </c>
      <c r="AU23" s="3861">
        <v>0</v>
      </c>
      <c r="AV23" s="3195">
        <f t="shared" si="54"/>
        <v>0</v>
      </c>
      <c r="AW23" s="5996">
        <f t="shared" si="39"/>
        <v>0.14398224921125491</v>
      </c>
      <c r="AX23" s="5725">
        <v>0</v>
      </c>
      <c r="AY23" s="3861">
        <v>0.12846505376344086</v>
      </c>
      <c r="AZ23" s="3192">
        <f t="shared" si="40"/>
        <v>0</v>
      </c>
      <c r="BA23" s="6002">
        <f t="shared" si="41"/>
        <v>5.1514814814814812E-2</v>
      </c>
      <c r="BB23" s="3192">
        <f t="shared" si="42"/>
        <v>0</v>
      </c>
      <c r="BC23" s="6002">
        <f t="shared" si="43"/>
        <v>6.2495879120879123E-2</v>
      </c>
      <c r="BD23" s="7213">
        <f t="shared" si="55"/>
        <v>0</v>
      </c>
      <c r="BE23" s="6841">
        <f t="shared" si="44"/>
        <v>0.14266435041979672</v>
      </c>
    </row>
    <row r="24" spans="1:57" ht="16" thickBot="1" x14ac:dyDescent="0.25">
      <c r="B24" s="2763" t="s">
        <v>384</v>
      </c>
      <c r="C24" s="2774" t="s">
        <v>170</v>
      </c>
      <c r="D24" s="5971">
        <v>0</v>
      </c>
      <c r="E24" s="2906">
        <v>0</v>
      </c>
      <c r="F24" s="5971">
        <v>0</v>
      </c>
      <c r="G24" s="5992">
        <v>0</v>
      </c>
      <c r="H24" s="5975">
        <f t="shared" ref="H24" si="56">+D24+F24</f>
        <v>0</v>
      </c>
      <c r="I24" s="5993">
        <f t="shared" ref="I24" si="57">+E24+G24</f>
        <v>0</v>
      </c>
      <c r="J24" s="5971">
        <v>0</v>
      </c>
      <c r="K24" s="2906">
        <v>501.65</v>
      </c>
      <c r="L24" s="2875">
        <f t="shared" ref="L24" si="58">+H24+J24</f>
        <v>0</v>
      </c>
      <c r="M24" s="2016">
        <f t="shared" ref="M24" si="59">+I24+K24</f>
        <v>501.65</v>
      </c>
      <c r="N24" s="5967">
        <v>0</v>
      </c>
      <c r="O24" s="2906">
        <v>380.12</v>
      </c>
      <c r="P24" s="2785">
        <f t="shared" ref="P24" si="60">+L24+N24</f>
        <v>0</v>
      </c>
      <c r="Q24" s="1827">
        <f t="shared" ref="Q24" si="61">+M24+O24</f>
        <v>881.77</v>
      </c>
      <c r="R24" s="6426">
        <v>0</v>
      </c>
      <c r="S24" s="2906">
        <v>330.60999999999996</v>
      </c>
      <c r="T24" s="2785">
        <f t="shared" ref="T24" si="62">+P24+R24</f>
        <v>0</v>
      </c>
      <c r="U24" s="1827">
        <f t="shared" ref="U24" si="63">+Q24+S24</f>
        <v>1212.3799999999999</v>
      </c>
      <c r="V24" s="7133">
        <v>0</v>
      </c>
      <c r="W24" s="2906">
        <v>152.51</v>
      </c>
      <c r="X24" s="2875">
        <f>+V24+R24+N24</f>
        <v>0</v>
      </c>
      <c r="Y24" s="2016">
        <f>+W24+S24+O24</f>
        <v>863.24</v>
      </c>
      <c r="Z24" s="6518">
        <f t="shared" ref="Z24" si="64">+T24+V24</f>
        <v>0</v>
      </c>
      <c r="AA24" s="6590">
        <f t="shared" ref="AA24" si="65">+U24+W24</f>
        <v>1364.8899999999999</v>
      </c>
      <c r="AB24" s="7362">
        <v>0</v>
      </c>
      <c r="AC24" s="2906">
        <v>171.1</v>
      </c>
      <c r="AD24" s="2785">
        <f t="shared" ref="AD24" si="66">+Z24+AB24</f>
        <v>0</v>
      </c>
      <c r="AE24" s="1827">
        <f t="shared" ref="AE24" si="67">+AA24+AC24</f>
        <v>1535.9899999999998</v>
      </c>
      <c r="AF24" s="7619">
        <v>0</v>
      </c>
      <c r="AG24" s="2906">
        <v>15.26</v>
      </c>
      <c r="AH24" s="2785">
        <f t="shared" ref="AH24" si="68">+AD24+AF24</f>
        <v>0</v>
      </c>
      <c r="AI24" s="1827">
        <f t="shared" ref="AI24" si="69">+AE24+AG24</f>
        <v>1551.2499999999998</v>
      </c>
      <c r="AJ24" s="7773">
        <v>0</v>
      </c>
      <c r="AK24" s="2906">
        <v>44.66</v>
      </c>
      <c r="AL24" s="2875">
        <f>+AJ24+AF24+AB24</f>
        <v>0</v>
      </c>
      <c r="AM24" s="2016">
        <f>+AK24+AG24+AC24</f>
        <v>231.01999999999998</v>
      </c>
      <c r="AN24" s="2785">
        <f t="shared" ref="AN24" si="70">+AH24+AJ24</f>
        <v>0</v>
      </c>
      <c r="AO24" s="1827">
        <f t="shared" ref="AO24" si="71">+AI24+AK24</f>
        <v>1595.9099999999999</v>
      </c>
      <c r="AP24" s="8103">
        <v>0</v>
      </c>
      <c r="AQ24" s="2906">
        <v>22.419999999999998</v>
      </c>
      <c r="AR24" s="2785">
        <f t="shared" ref="AR24" si="72">+AN24+AP24</f>
        <v>0</v>
      </c>
      <c r="AS24" s="1827">
        <f t="shared" ref="AS24" si="73">+AO24+AQ24</f>
        <v>1618.33</v>
      </c>
      <c r="AT24" s="8157">
        <v>0</v>
      </c>
      <c r="AU24" s="2906">
        <v>0</v>
      </c>
      <c r="AV24" s="2785">
        <f t="shared" ref="AV24" si="74">+AR24+AT24</f>
        <v>0</v>
      </c>
      <c r="AW24" s="1827">
        <f t="shared" ref="AW24" si="75">+AS24+AU24</f>
        <v>1618.33</v>
      </c>
      <c r="AX24" s="8347">
        <v>0</v>
      </c>
      <c r="AY24" s="2906">
        <v>136.54</v>
      </c>
      <c r="AZ24" s="2875">
        <f>+AX24+AT24+AP24</f>
        <v>0</v>
      </c>
      <c r="BA24" s="2016">
        <f>+AY24+AU24+AQ24</f>
        <v>158.95999999999998</v>
      </c>
      <c r="BB24" s="2875">
        <f t="shared" ref="BB24" si="76">+((AN24*AN$2)+(AZ24*AZ$2))/BB$2</f>
        <v>0</v>
      </c>
      <c r="BC24" s="2016">
        <f t="shared" si="43"/>
        <v>195.38593406593401</v>
      </c>
      <c r="BD24" s="6518">
        <f t="shared" ref="BD24" si="77">+AV24+AX24</f>
        <v>0</v>
      </c>
      <c r="BE24" s="6590">
        <f t="shared" ref="BE24" si="78">+AW24+AY24</f>
        <v>1754.87</v>
      </c>
    </row>
    <row r="25" spans="1:57" ht="17" thickBot="1" x14ac:dyDescent="0.25">
      <c r="B25" s="1655" t="s">
        <v>97</v>
      </c>
      <c r="C25" s="1562" t="s">
        <v>1243</v>
      </c>
      <c r="D25" s="2820">
        <f t="shared" ref="D25:AE25" si="79">SUM(D18:D23)</f>
        <v>42.800000000000004</v>
      </c>
      <c r="E25" s="2820">
        <f t="shared" si="79"/>
        <v>11.811414874551971</v>
      </c>
      <c r="F25" s="2820">
        <f t="shared" si="79"/>
        <v>42.8</v>
      </c>
      <c r="G25" s="2820">
        <f t="shared" si="79"/>
        <v>12.811693548387098</v>
      </c>
      <c r="H25" s="2820">
        <f t="shared" si="79"/>
        <v>42.8</v>
      </c>
      <c r="I25" s="2820">
        <f t="shared" si="79"/>
        <v>12.319753216992774</v>
      </c>
      <c r="J25" s="2820">
        <f t="shared" si="79"/>
        <v>42.8</v>
      </c>
      <c r="K25" s="2820">
        <f t="shared" si="79"/>
        <v>18.657576388888888</v>
      </c>
      <c r="L25" s="2820">
        <f t="shared" si="79"/>
        <v>42.800000000000004</v>
      </c>
      <c r="M25" s="2820">
        <f t="shared" si="79"/>
        <v>14.409145471464022</v>
      </c>
      <c r="N25" s="2820">
        <f t="shared" si="79"/>
        <v>42.8</v>
      </c>
      <c r="O25" s="2820">
        <f t="shared" si="79"/>
        <v>23.274919354838712</v>
      </c>
      <c r="P25" s="2820">
        <f t="shared" si="79"/>
        <v>42.8</v>
      </c>
      <c r="Q25" s="2820">
        <f t="shared" si="79"/>
        <v>16.661924081173982</v>
      </c>
      <c r="R25" s="2820">
        <f t="shared" si="79"/>
        <v>42.800000000000004</v>
      </c>
      <c r="S25" s="2820">
        <f t="shared" si="79"/>
        <v>25.407939516129034</v>
      </c>
      <c r="T25" s="2820">
        <f t="shared" si="79"/>
        <v>42.8</v>
      </c>
      <c r="U25" s="2820">
        <f t="shared" si="79"/>
        <v>18.433992567994942</v>
      </c>
      <c r="V25" s="2820">
        <f t="shared" si="79"/>
        <v>42.800000000000004</v>
      </c>
      <c r="W25" s="2820">
        <f t="shared" si="79"/>
        <v>13.013690277777778</v>
      </c>
      <c r="X25" s="2820">
        <f t="shared" si="79"/>
        <v>42.8</v>
      </c>
      <c r="Y25" s="2820">
        <f t="shared" si="79"/>
        <v>20.647601449275363</v>
      </c>
      <c r="Z25" s="2820">
        <f t="shared" si="79"/>
        <v>42.8</v>
      </c>
      <c r="AA25" s="2820">
        <f t="shared" si="79"/>
        <v>17.545418422057701</v>
      </c>
      <c r="AB25" s="2820">
        <f t="shared" si="79"/>
        <v>42.8</v>
      </c>
      <c r="AC25" s="2820">
        <f t="shared" si="79"/>
        <v>10.707930107526881</v>
      </c>
      <c r="AD25" s="2820">
        <f t="shared" si="79"/>
        <v>42.800000000000004</v>
      </c>
      <c r="AE25" s="2820">
        <f t="shared" si="79"/>
        <v>16.554941142849962</v>
      </c>
      <c r="AF25" s="2820">
        <f>SUM(AF18:AF24)</f>
        <v>42.800000000000004</v>
      </c>
      <c r="AG25" s="2820">
        <f>SUM(AG18:AG23)</f>
        <v>20.313083333333335</v>
      </c>
      <c r="AH25" s="2820">
        <f t="shared" ref="AH25:AI25" si="80">SUM(AH18:AH23)</f>
        <v>42.8</v>
      </c>
      <c r="AI25" s="2820">
        <f t="shared" si="80"/>
        <v>17.017007805614316</v>
      </c>
      <c r="AJ25" s="2820">
        <f>SUM(AJ18:AJ24)</f>
        <v>42.8</v>
      </c>
      <c r="AK25" s="2820">
        <f t="shared" ref="AK25:AO25" si="81">SUM(AK18:AK23)</f>
        <v>26.890940860215053</v>
      </c>
      <c r="AL25" s="2820">
        <f t="shared" si="81"/>
        <v>42.800000000000004</v>
      </c>
      <c r="AM25" s="2820">
        <f t="shared" si="81"/>
        <v>19.293016304347827</v>
      </c>
      <c r="AN25" s="2820">
        <f t="shared" si="81"/>
        <v>42.8</v>
      </c>
      <c r="AO25" s="2820">
        <f t="shared" si="81"/>
        <v>18.130069349951125</v>
      </c>
      <c r="AP25" s="2820">
        <f>SUM(AP18:AP24)</f>
        <v>42.800000000000004</v>
      </c>
      <c r="AQ25" s="2820">
        <f t="shared" ref="AQ25:AS25" si="82">SUM(AQ18:AQ23)</f>
        <v>30.430448924731184</v>
      </c>
      <c r="AR25" s="2820">
        <f t="shared" si="82"/>
        <v>42.8</v>
      </c>
      <c r="AS25" s="2820">
        <f t="shared" si="82"/>
        <v>19.376186234977865</v>
      </c>
      <c r="AT25" s="2820">
        <f>SUM(AT18:AT24)</f>
        <v>42.800000000000004</v>
      </c>
      <c r="AU25" s="2820">
        <f t="shared" ref="AU25:AY25" si="83">SUM(AU18:AU23)</f>
        <v>31.457812500000003</v>
      </c>
      <c r="AV25" s="2820">
        <f t="shared" si="83"/>
        <v>42.8</v>
      </c>
      <c r="AW25" s="2820">
        <f t="shared" si="83"/>
        <v>20.389017179350976</v>
      </c>
      <c r="AX25" s="2820">
        <f>SUM(AX18:AX24)</f>
        <v>42.800000000000004</v>
      </c>
      <c r="AY25" s="2820">
        <f t="shared" si="83"/>
        <v>36.959755453763449</v>
      </c>
      <c r="AZ25" s="2820">
        <f t="shared" ref="AZ25:BE25" si="84">SUM(AZ18:AZ23)</f>
        <v>42.8</v>
      </c>
      <c r="BA25" s="2820">
        <f t="shared" si="84"/>
        <v>32.999056508148151</v>
      </c>
      <c r="BB25" s="2820">
        <f t="shared" ref="BB25:BC25" si="85">SUM(BB18:BB23)</f>
        <v>42.8</v>
      </c>
      <c r="BC25" s="2820">
        <f t="shared" si="85"/>
        <v>26.070728493040288</v>
      </c>
      <c r="BD25" s="2820">
        <f t="shared" si="84"/>
        <v>42.800000000000004</v>
      </c>
      <c r="BE25" s="2820">
        <f t="shared" si="84"/>
        <v>21.796394950602444</v>
      </c>
    </row>
    <row r="26" spans="1:57" s="3380" customFormat="1" ht="16" x14ac:dyDescent="0.2">
      <c r="A26" s="4408"/>
      <c r="B26" s="5948" t="s">
        <v>385</v>
      </c>
      <c r="C26" s="5949"/>
      <c r="D26" s="5950"/>
      <c r="E26" s="5990"/>
      <c r="F26" s="5950"/>
      <c r="G26" s="5990"/>
      <c r="H26" s="5950"/>
      <c r="I26" s="5990"/>
      <c r="J26" s="5950"/>
      <c r="K26" s="5999"/>
      <c r="L26" s="5950"/>
      <c r="M26" s="6003"/>
      <c r="N26" s="5950"/>
      <c r="O26" s="6006"/>
      <c r="P26" s="5951"/>
      <c r="Q26" s="6003"/>
      <c r="R26" s="5950"/>
      <c r="S26" s="6006"/>
      <c r="T26" s="5951"/>
      <c r="U26" s="6003"/>
      <c r="V26" s="5950"/>
      <c r="W26" s="6006"/>
      <c r="X26" s="5950"/>
      <c r="Y26" s="6003"/>
      <c r="Z26" s="5951"/>
      <c r="AA26" s="6003"/>
      <c r="AB26" s="5950"/>
      <c r="AC26" s="6006"/>
      <c r="AD26" s="5951"/>
      <c r="AE26" s="6003"/>
      <c r="AF26" s="5950"/>
      <c r="AG26" s="6006"/>
      <c r="AH26" s="5951"/>
      <c r="AI26" s="6003"/>
      <c r="AJ26" s="5950"/>
      <c r="AK26" s="6006"/>
      <c r="AL26" s="5950"/>
      <c r="AM26" s="6003"/>
      <c r="AN26" s="5951"/>
      <c r="AO26" s="6003"/>
      <c r="AP26" s="5950"/>
      <c r="AQ26" s="6006"/>
      <c r="AR26" s="5951"/>
      <c r="AS26" s="6003"/>
      <c r="AT26" s="5950"/>
      <c r="AU26" s="6006"/>
      <c r="AV26" s="5951"/>
      <c r="AW26" s="6003"/>
      <c r="AX26" s="5950"/>
      <c r="AY26" s="6006"/>
      <c r="AZ26" s="5950"/>
      <c r="BA26" s="6003"/>
      <c r="BB26" s="5950"/>
      <c r="BC26" s="6003"/>
      <c r="BD26" s="5951"/>
      <c r="BE26" s="6003"/>
    </row>
    <row r="27" spans="1:57" x14ac:dyDescent="0.2">
      <c r="B27" s="1658" t="s">
        <v>53</v>
      </c>
      <c r="C27" s="1545" t="s">
        <v>1243</v>
      </c>
      <c r="D27" s="3221">
        <v>17</v>
      </c>
      <c r="E27" s="2067">
        <f>4100/(24*E$2)</f>
        <v>5.6944444444444446</v>
      </c>
      <c r="F27" s="3221">
        <v>17</v>
      </c>
      <c r="G27" s="2339">
        <f>4100/(24*G$2)</f>
        <v>5.510752688172043</v>
      </c>
      <c r="H27" s="3195">
        <f>+((D27*D$2)+(F27*F$2))/H$2</f>
        <v>17</v>
      </c>
      <c r="I27" s="5996">
        <f t="shared" ref="I27:I32" si="86">+((E27*E$2)+(G27*G$2))/I$2</f>
        <v>5.6010928961748636</v>
      </c>
      <c r="J27" s="3231">
        <v>17</v>
      </c>
      <c r="K27" s="2339">
        <f>4100/(24*K$2)</f>
        <v>5.6944444444444446</v>
      </c>
      <c r="L27" s="3192">
        <f>+((H27*H$2)+(J27*J$2))/L$2</f>
        <v>17</v>
      </c>
      <c r="M27" s="6002">
        <f t="shared" ref="M27:M32" si="87">+((I27*I$2)+(K27*K$2))/M$2</f>
        <v>5.6318681318681323</v>
      </c>
      <c r="N27" s="3451">
        <v>15</v>
      </c>
      <c r="O27" s="2339">
        <f>4100/(24*O$2)</f>
        <v>5.510752688172043</v>
      </c>
      <c r="P27" s="3195">
        <f t="shared" ref="P27:P32" si="88">+((L27*L$2)+(N27*N$2))/P$2</f>
        <v>16.491803278688526</v>
      </c>
      <c r="Q27" s="5996">
        <f t="shared" ref="Q27:Q32" si="89">+((M27*M$2)+(O27*O$2))/Q$2</f>
        <v>5.6010928961748636</v>
      </c>
      <c r="R27" s="3451">
        <v>12</v>
      </c>
      <c r="S27" s="2339">
        <f>4100/(24*S$2)</f>
        <v>5.510752688172043</v>
      </c>
      <c r="T27" s="3195">
        <f t="shared" ref="T27:T32" si="90">+((P27*P$2)+(R27*R$2))/T$2</f>
        <v>15.581699346405228</v>
      </c>
      <c r="U27" s="5996">
        <f t="shared" ref="U27:U28" si="91">+((Q27*Q$2)+(S27*S$2))/U$2</f>
        <v>5.582788671023966</v>
      </c>
      <c r="V27" s="3451">
        <v>17</v>
      </c>
      <c r="W27" s="6086">
        <f>4100/(24*W$2)</f>
        <v>5.6944444444444446</v>
      </c>
      <c r="X27" s="3192">
        <f t="shared" ref="X27:X31" si="92">+((N27*N$2)+(R27*R$2)+(V27*V$2))/X$2</f>
        <v>14.641304347826088</v>
      </c>
      <c r="Y27" s="6002">
        <f t="shared" ref="Y27:Y31" si="93">+((O27*O$2)+(S27*S$2)+(W27*W$2))/Y$2</f>
        <v>5.5706521739130439</v>
      </c>
      <c r="Z27" s="7213">
        <f t="shared" ref="Z27:Z32" si="94">+((T27*T$2)+(V27*V$2))/Z$2</f>
        <v>15.814207650273223</v>
      </c>
      <c r="AA27" s="6841">
        <f t="shared" ref="AA27:AA28" si="95">+((U27*U$2)+(W27*W$2))/AA$2</f>
        <v>5.6010928961748645</v>
      </c>
      <c r="AB27" s="3451">
        <v>17</v>
      </c>
      <c r="AC27" s="6086">
        <f>4100/(24*AC$2)</f>
        <v>5.510752688172043</v>
      </c>
      <c r="AD27" s="3195">
        <f t="shared" ref="AD27:AD32" si="96">+((Z27*Z$2)+(AB27*AB$2))/AD$2</f>
        <v>15.985981308411215</v>
      </c>
      <c r="AE27" s="5996">
        <f t="shared" ref="AE27:AE28" si="97">+((AA27*AA$2)+(AC27*AC$2))/AE$2</f>
        <v>5.5880062305295954</v>
      </c>
      <c r="AF27" s="3451">
        <v>17</v>
      </c>
      <c r="AG27" s="2339">
        <f>4100/(24*AG$2)</f>
        <v>5.6944444444444446</v>
      </c>
      <c r="AH27" s="3195">
        <f t="shared" ref="AH27:AH32" si="98">+((AD27*AD$2)+(AF27*AF$2))/AH$2</f>
        <v>16.110655737704917</v>
      </c>
      <c r="AI27" s="5996">
        <f t="shared" ref="AI27:AI28" si="99">+((AE27*AE$2)+(AG27*AG$2))/AI$2</f>
        <v>5.6010928961748636</v>
      </c>
      <c r="AJ27" s="3451">
        <v>15.355</v>
      </c>
      <c r="AK27" s="2339">
        <f>4100/(24*AK$2)</f>
        <v>5.510752688172043</v>
      </c>
      <c r="AL27" s="3192">
        <f t="shared" ref="AL27:AL32" si="100">+((AB27*AB$2)+(AF27*AF$2)+(AJ27*AJ$2))/AL$2</f>
        <v>16.445706521739133</v>
      </c>
      <c r="AM27" s="6002">
        <f t="shared" ref="AM27:AM28" si="101">+((AC27*AC$2)+(AG27*AG$2)+(AK27*AK$2))/AM$2</f>
        <v>5.5706521739130439</v>
      </c>
      <c r="AN27" s="3195">
        <f t="shared" ref="AN27:AN32" si="102">+((AH27*AH$2)+(AJ27*AJ$2))/AN$2</f>
        <v>16.025472727272728</v>
      </c>
      <c r="AO27" s="5996">
        <f t="shared" ref="AO27:AO28" si="103">+((AI27*AI$2)+(AK27*AK$2))/AO$2</f>
        <v>5.5909090909090908</v>
      </c>
      <c r="AP27" s="3451">
        <v>17</v>
      </c>
      <c r="AQ27" s="2339">
        <f>4100/(24*AQ$2)</f>
        <v>5.510752688172043</v>
      </c>
      <c r="AR27" s="3195">
        <f t="shared" ref="AR27:AR32" si="104">+((AN27*AN$2)+(AP27*AP$2))/AR$2</f>
        <v>16.124199346405231</v>
      </c>
      <c r="AS27" s="5996">
        <f t="shared" ref="AS27:AS28" si="105">+((AO27*AO$2)+(AQ27*AQ$2))/AS$2</f>
        <v>5.5827886710239651</v>
      </c>
      <c r="AT27" s="3451">
        <v>17</v>
      </c>
      <c r="AU27" s="2339">
        <f>4100/(24*AU$2)</f>
        <v>6.1011904761904763</v>
      </c>
      <c r="AV27" s="3195">
        <f t="shared" ref="AV27:AV32" si="106">+((AR27*AR$2)+(AT27*AT$2))/AV$2</f>
        <v>16.197619760479046</v>
      </c>
      <c r="AW27" s="5996">
        <f t="shared" ref="AW27:AW28" si="107">+((AS27*AS$2)+(AU27*AU$2))/AW$2</f>
        <v>5.6262475049900198</v>
      </c>
      <c r="AX27" s="3451">
        <v>17</v>
      </c>
      <c r="AY27" s="2339">
        <v>5.5107527000000003</v>
      </c>
      <c r="AZ27" s="3192">
        <f t="shared" ref="AZ27:AZ32" si="108">+((AP27*AP$2)+(AT27*AT$2)+(AX27*AX$2))/AZ$2</f>
        <v>17</v>
      </c>
      <c r="BA27" s="6002">
        <f t="shared" ref="BA27:BA28" si="109">+((AQ27*AQ$2)+(AU27*AU$2)+(AY27*AY$2))/BA$2</f>
        <v>5.6944444485185182</v>
      </c>
      <c r="BB27" s="3192">
        <f>+(((AL27*AL$2)+(AZ27*AZ$2)))/(BB$2)</f>
        <v>16.719807692307693</v>
      </c>
      <c r="BC27" s="6002">
        <f t="shared" ref="BC27:BC28" si="110">+((AS27*AS$2)+(AW27*AW$2)+(BA27*BA$2))/BC$2</f>
        <v>22.527472529487177</v>
      </c>
      <c r="BD27" s="7213">
        <f t="shared" ref="BD27:BD32" si="111">+((AV27*AV$2)+(AX27*AX$2))/BD$2</f>
        <v>16.265767123287677</v>
      </c>
      <c r="BE27" s="6841">
        <f t="shared" ref="BE27:BE28" si="112">+((AW27*AW$2)+(AY27*AY$2))/BE$2</f>
        <v>5.6164383571689491</v>
      </c>
    </row>
    <row r="28" spans="1:57" x14ac:dyDescent="0.2">
      <c r="B28" s="1658" t="s">
        <v>192</v>
      </c>
      <c r="C28" s="1545" t="s">
        <v>1243</v>
      </c>
      <c r="D28" s="3221">
        <v>10</v>
      </c>
      <c r="E28" s="2067">
        <f>4631.28/(24*E$2)</f>
        <v>6.4323333333333332</v>
      </c>
      <c r="F28" s="3221">
        <v>10</v>
      </c>
      <c r="G28" s="2339">
        <f>5477.44/(24*G$2)</f>
        <v>7.3621505376344079</v>
      </c>
      <c r="H28" s="3195">
        <f>+((D28*D$2)+(F28*F$2))/H$2</f>
        <v>10</v>
      </c>
      <c r="I28" s="5996">
        <f t="shared" si="86"/>
        <v>6.9048633879781409</v>
      </c>
      <c r="J28" s="3231">
        <v>10</v>
      </c>
      <c r="K28" s="2339">
        <f>5586.96/(24*K$2)</f>
        <v>7.7596666666666669</v>
      </c>
      <c r="L28" s="3192">
        <f t="shared" ref="L28:L32" si="113">+((H28*H$2)+(J28*J$2))/L$2</f>
        <v>10</v>
      </c>
      <c r="M28" s="6002">
        <f>+((I28*I$2)+(K28*K$2))/M$2</f>
        <v>7.1866666666666665</v>
      </c>
      <c r="N28" s="3451">
        <v>10</v>
      </c>
      <c r="O28" s="2339">
        <f>5554.48/(24*O$2)</f>
        <v>7.465698924731182</v>
      </c>
      <c r="P28" s="3195">
        <f t="shared" si="88"/>
        <v>10</v>
      </c>
      <c r="Q28" s="5996">
        <f t="shared" si="89"/>
        <v>7.2575683060109286</v>
      </c>
      <c r="R28" s="3451">
        <v>10</v>
      </c>
      <c r="S28" s="2339">
        <f>5427.12/(24*S$2)</f>
        <v>7.2945161290322575</v>
      </c>
      <c r="T28" s="3195">
        <f t="shared" si="90"/>
        <v>10</v>
      </c>
      <c r="U28" s="5996">
        <f t="shared" si="91"/>
        <v>7.2650544662309366</v>
      </c>
      <c r="V28" s="3451">
        <v>10</v>
      </c>
      <c r="W28" s="6086">
        <f>3861.76/(24*W$2)</f>
        <v>5.3635555555555561</v>
      </c>
      <c r="X28" s="3192">
        <f t="shared" si="92"/>
        <v>10</v>
      </c>
      <c r="Y28" s="6002">
        <f t="shared" si="93"/>
        <v>6.7225362318840585</v>
      </c>
      <c r="Z28" s="7213">
        <f t="shared" si="94"/>
        <v>10</v>
      </c>
      <c r="AA28" s="6841">
        <f t="shared" si="95"/>
        <v>6.9533333333333331</v>
      </c>
      <c r="AB28" s="3451">
        <v>10</v>
      </c>
      <c r="AC28" s="6086">
        <f>4045.92/(24*AC$2)</f>
        <v>5.4380645161290326</v>
      </c>
      <c r="AD28" s="3195">
        <f t="shared" si="96"/>
        <v>10</v>
      </c>
      <c r="AE28" s="5996">
        <f t="shared" si="97"/>
        <v>6.7338317757009341</v>
      </c>
      <c r="AF28" s="3451">
        <v>10</v>
      </c>
      <c r="AG28" s="2339">
        <f>4607.44/(24*AG$2)</f>
        <v>6.3992222222222219</v>
      </c>
      <c r="AH28" s="3195">
        <f t="shared" si="98"/>
        <v>10</v>
      </c>
      <c r="AI28" s="5996">
        <f t="shared" si="99"/>
        <v>6.6926912568306012</v>
      </c>
      <c r="AJ28" s="3451">
        <v>10</v>
      </c>
      <c r="AK28" s="2339">
        <f>4883.14/(24*AK$2)</f>
        <v>6.5633602150537635</v>
      </c>
      <c r="AL28" s="3192">
        <f t="shared" si="100"/>
        <v>10</v>
      </c>
      <c r="AM28" s="6002">
        <f t="shared" si="101"/>
        <v>6.1306612318840585</v>
      </c>
      <c r="AN28" s="3195">
        <f t="shared" si="102"/>
        <v>10</v>
      </c>
      <c r="AO28" s="5996">
        <f t="shared" si="103"/>
        <v>6.6781121212121208</v>
      </c>
      <c r="AP28" s="3451">
        <v>10</v>
      </c>
      <c r="AQ28" s="2339">
        <f>6449.6/(24*AQ$2)</f>
        <v>8.6688172043010763</v>
      </c>
      <c r="AR28" s="3195">
        <f t="shared" si="104"/>
        <v>10</v>
      </c>
      <c r="AS28" s="5996">
        <f t="shared" si="105"/>
        <v>6.8797848583877999</v>
      </c>
      <c r="AT28" s="3451">
        <v>10</v>
      </c>
      <c r="AU28" s="2339">
        <f>4941.76/(24*AU$2)</f>
        <v>7.3538095238095238</v>
      </c>
      <c r="AV28" s="3195">
        <f t="shared" si="106"/>
        <v>10</v>
      </c>
      <c r="AW28" s="5996">
        <f t="shared" si="107"/>
        <v>6.9195234530938121</v>
      </c>
      <c r="AX28" s="3451">
        <v>10</v>
      </c>
      <c r="AY28" s="2339">
        <v>7.8940859999999997</v>
      </c>
      <c r="AZ28" s="3192">
        <f t="shared" si="108"/>
        <v>10</v>
      </c>
      <c r="BA28" s="6002">
        <f t="shared" si="109"/>
        <v>7.992851844444445</v>
      </c>
      <c r="BB28" s="3192">
        <f t="shared" ref="BB28:BB32" si="114">+(((AL28*AL$2)+(AZ28*AZ$2)))/(BB$2)</f>
        <v>10</v>
      </c>
      <c r="BC28" s="6002">
        <f t="shared" si="110"/>
        <v>28.218086076923075</v>
      </c>
      <c r="BD28" s="7213">
        <f t="shared" si="111"/>
        <v>10</v>
      </c>
      <c r="BE28" s="6841">
        <f t="shared" si="112"/>
        <v>7.0022945187214605</v>
      </c>
    </row>
    <row r="29" spans="1:57" s="5200" customFormat="1" x14ac:dyDescent="0.2">
      <c r="A29" s="2100"/>
      <c r="B29" s="1658" t="s">
        <v>2125</v>
      </c>
      <c r="C29" s="1545" t="s">
        <v>1243</v>
      </c>
      <c r="D29" s="3231">
        <v>1.8</v>
      </c>
      <c r="E29" s="9064">
        <f>11425.6/(24*E$2)</f>
        <v>15.86888888888889</v>
      </c>
      <c r="F29" s="3231">
        <v>1.8</v>
      </c>
      <c r="G29" s="9055">
        <f>11978.88/(24*G$2)</f>
        <v>16.10064516129032</v>
      </c>
      <c r="H29" s="3195">
        <f>+((D29*D$2)+(F29*F$2))/H$2</f>
        <v>1.8000000000000003</v>
      </c>
      <c r="I29" s="9053">
        <f t="shared" si="86"/>
        <v>15.986666666666666</v>
      </c>
      <c r="J29" s="3231">
        <v>1.8</v>
      </c>
      <c r="K29" s="2339">
        <f>993.6/(24*K$2)</f>
        <v>1.3800000000000001</v>
      </c>
      <c r="L29" s="3192">
        <f t="shared" si="113"/>
        <v>1.8</v>
      </c>
      <c r="M29" s="9059">
        <f>+((I29*I$2)+((K29+K30)*K$2))/M$2</f>
        <v>15.973809523809523</v>
      </c>
      <c r="N29" s="3451">
        <v>1.8</v>
      </c>
      <c r="O29" s="2339">
        <f>892.8/(24*O$2)</f>
        <v>1.2</v>
      </c>
      <c r="P29" s="3195">
        <f t="shared" si="88"/>
        <v>1.8000000000000003</v>
      </c>
      <c r="Q29" s="9053">
        <f>+((M29*M$2)+((O29+O30)*O$2))/Q$2</f>
        <v>16.081338797814205</v>
      </c>
      <c r="R29" s="3451">
        <v>1.8</v>
      </c>
      <c r="S29" s="2339">
        <f>892.8/(24*S$2)</f>
        <v>1.2</v>
      </c>
      <c r="T29" s="3195">
        <f t="shared" si="90"/>
        <v>1.8000000000000003</v>
      </c>
      <c r="U29" s="9053">
        <f>+((Q29*Q$2)+((S29+S30)*S$2))/U$2</f>
        <v>16.165294117647054</v>
      </c>
      <c r="V29" s="3451">
        <v>1.8</v>
      </c>
      <c r="W29" s="6086">
        <f>864/(24*W$2)</f>
        <v>1.2</v>
      </c>
      <c r="X29" s="3192">
        <f t="shared" si="92"/>
        <v>1.8000000000000003</v>
      </c>
      <c r="Y29" s="9059">
        <f>+(((O29+O30)*O$2)+((S29+S30)*S$2)+((W29+W30)*W$2))/Y$2</f>
        <v>16.531666666666666</v>
      </c>
      <c r="Z29" s="7213">
        <f t="shared" si="94"/>
        <v>1.8000000000000003</v>
      </c>
      <c r="AA29" s="9061">
        <f>+((U29*U$2)+((W29+W30)*W$2))/AA$2</f>
        <v>16.254262295081965</v>
      </c>
      <c r="AB29" s="3451">
        <v>1.8</v>
      </c>
      <c r="AC29" s="6086">
        <f>892.8/(24*AC$2)</f>
        <v>1.2</v>
      </c>
      <c r="AD29" s="3195">
        <f t="shared" si="96"/>
        <v>1.8000000000000003</v>
      </c>
      <c r="AE29" s="9053">
        <f>+((AA29*AA$2)+((AC29+AC30)*AC$2))/AE$2</f>
        <v>16.552725856697815</v>
      </c>
      <c r="AF29" s="3451">
        <v>1.8</v>
      </c>
      <c r="AG29" s="2339">
        <f>864/(24*AG$2)</f>
        <v>1.2</v>
      </c>
      <c r="AH29" s="3195">
        <f t="shared" si="98"/>
        <v>1.8000000000000003</v>
      </c>
      <c r="AI29" s="9053">
        <f>+((AE29*AE$2)+((AG29+AG30)*AG$2))/AI$2</f>
        <v>17.025942622950815</v>
      </c>
      <c r="AJ29" s="3451">
        <v>1.8</v>
      </c>
      <c r="AK29" s="2339">
        <f>892.8/(24*AK$2)</f>
        <v>1.2</v>
      </c>
      <c r="AL29" s="3192">
        <f t="shared" si="100"/>
        <v>1.8000000000000003</v>
      </c>
      <c r="AM29" s="9059">
        <f>+(((AC29+AC30)*AC$2)+((AG29+AG30)*AG$2)+((AK29+AK30)*AK$2))/AM$2</f>
        <v>19.367450181159423</v>
      </c>
      <c r="AN29" s="3195">
        <f t="shared" si="102"/>
        <v>1.8000000000000003</v>
      </c>
      <c r="AO29" s="9053">
        <f>+((AI29*AI$2)+((AK29+AK30)*AK$2))/AO$2</f>
        <v>17.295765151515148</v>
      </c>
      <c r="AP29" s="3451">
        <v>1.8</v>
      </c>
      <c r="AQ29" s="2339">
        <f>892.8/(24*AQ$2)</f>
        <v>1.2</v>
      </c>
      <c r="AR29" s="3195">
        <f t="shared" si="104"/>
        <v>1.8000000000000003</v>
      </c>
      <c r="AS29" s="9053">
        <f>+((AO29*AO$2)+((AQ29+AQ30)*AQ$2))/AS$2</f>
        <v>17.49093273420479</v>
      </c>
      <c r="AT29" s="3451">
        <v>1.8</v>
      </c>
      <c r="AU29" s="2339">
        <f>806.4/(24*AU$2)</f>
        <v>1.2</v>
      </c>
      <c r="AV29" s="3195">
        <f t="shared" si="106"/>
        <v>1.8</v>
      </c>
      <c r="AW29" s="9053">
        <f>+((AS29*AS$2)+((AU29+AU30)*AU$2))/AW$2</f>
        <v>17.549836576846307</v>
      </c>
      <c r="AX29" s="3451">
        <v>1.8</v>
      </c>
      <c r="AY29" s="2339">
        <v>1.2</v>
      </c>
      <c r="AZ29" s="3192">
        <f t="shared" si="108"/>
        <v>1.8</v>
      </c>
      <c r="BA29" s="9059">
        <f>+(((AQ29+AQ30)*AQ$2)+((AU29+AU30)*AU$2)+((AY29+AY30)*AY$2))/BA$2</f>
        <v>18.564444477777776</v>
      </c>
      <c r="BB29" s="3192">
        <f t="shared" si="114"/>
        <v>1.8</v>
      </c>
      <c r="BC29" s="9059">
        <f>+(((AS29+AS30)*AS$2)+((AW29+AW30)*AW$2)+((BA29+BA30)*BA$2))/BC$2</f>
        <v>70.7948947051282</v>
      </c>
      <c r="BD29" s="7213">
        <f t="shared" si="111"/>
        <v>1.8</v>
      </c>
      <c r="BE29" s="9061">
        <f>+((AW29*AW$2)+((AY29+AY30)*AY$2))/BE$2</f>
        <v>17.608590190867577</v>
      </c>
    </row>
    <row r="30" spans="1:57" s="5200" customFormat="1" x14ac:dyDescent="0.2">
      <c r="A30" s="2100"/>
      <c r="B30" s="1658" t="s">
        <v>2126</v>
      </c>
      <c r="C30" s="1545" t="s">
        <v>1243</v>
      </c>
      <c r="D30" s="3231">
        <v>3.1</v>
      </c>
      <c r="E30" s="9065"/>
      <c r="F30" s="3231">
        <v>3.1</v>
      </c>
      <c r="G30" s="9056"/>
      <c r="H30" s="3195">
        <f t="shared" ref="H30:H32" si="115">+((D30*D$2)+(F30*F$2))/H$2</f>
        <v>3.1000000000000005</v>
      </c>
      <c r="I30" s="9054"/>
      <c r="J30" s="3231">
        <v>3.1</v>
      </c>
      <c r="K30" s="2339">
        <f>10488.72/(24*K$2)</f>
        <v>14.567666666666666</v>
      </c>
      <c r="L30" s="3192">
        <f t="shared" si="113"/>
        <v>3.1</v>
      </c>
      <c r="M30" s="9060"/>
      <c r="N30" s="3451">
        <v>3.1</v>
      </c>
      <c r="O30" s="2339">
        <f>11306.56/(24*O$2)</f>
        <v>15.196989247311826</v>
      </c>
      <c r="P30" s="3195">
        <f t="shared" si="88"/>
        <v>3.1000000000000005</v>
      </c>
      <c r="Q30" s="9054"/>
      <c r="R30" s="3451">
        <v>3.1</v>
      </c>
      <c r="S30" s="2339">
        <f>11380/(24*S$2)</f>
        <v>15.295698924731182</v>
      </c>
      <c r="T30" s="3195">
        <f t="shared" si="90"/>
        <v>3.1000000000000005</v>
      </c>
      <c r="U30" s="9054"/>
      <c r="V30" s="3451">
        <v>3.1</v>
      </c>
      <c r="W30" s="6086">
        <f>11165.76/(24*W$2)</f>
        <v>15.508000000000001</v>
      </c>
      <c r="X30" s="3192">
        <f t="shared" si="92"/>
        <v>3.1000000000000005</v>
      </c>
      <c r="Y30" s="9060"/>
      <c r="Z30" s="7213">
        <f t="shared" si="94"/>
        <v>3.1000000000000005</v>
      </c>
      <c r="AA30" s="9062"/>
      <c r="AB30" s="3451">
        <v>3.1</v>
      </c>
      <c r="AC30" s="6086">
        <f>12733.28/(24*AC$2)</f>
        <v>17.114623655913981</v>
      </c>
      <c r="AD30" s="3195">
        <f t="shared" si="96"/>
        <v>3.1000000000000005</v>
      </c>
      <c r="AE30" s="9054"/>
      <c r="AF30" s="3451">
        <v>3.1</v>
      </c>
      <c r="AG30" s="2339">
        <f>13825.12/(24*AG$2)</f>
        <v>19.201555555555558</v>
      </c>
      <c r="AH30" s="3195">
        <f t="shared" si="98"/>
        <v>3.1000000000000005</v>
      </c>
      <c r="AI30" s="9054"/>
      <c r="AJ30" s="3451">
        <v>3.1</v>
      </c>
      <c r="AK30" s="2339">
        <f>13555.33/(24*AK$2)</f>
        <v>18.219529569892472</v>
      </c>
      <c r="AL30" s="3192">
        <f t="shared" si="100"/>
        <v>3.1000000000000005</v>
      </c>
      <c r="AM30" s="9060"/>
      <c r="AN30" s="3195">
        <f t="shared" si="102"/>
        <v>3.1000000000000005</v>
      </c>
      <c r="AO30" s="9054"/>
      <c r="AP30" s="3451">
        <v>3.1</v>
      </c>
      <c r="AQ30" s="2339">
        <f>13408.56/(24*AQ$2)</f>
        <v>18.02225806451613</v>
      </c>
      <c r="AR30" s="3195">
        <f t="shared" si="104"/>
        <v>3.1000000000000005</v>
      </c>
      <c r="AS30" s="9054"/>
      <c r="AT30" s="3451">
        <v>3.1</v>
      </c>
      <c r="AU30" s="2339">
        <f>11419.68/(24*AU$2)</f>
        <v>16.993571428571428</v>
      </c>
      <c r="AV30" s="3195">
        <f t="shared" si="106"/>
        <v>3.1</v>
      </c>
      <c r="AW30" s="9054"/>
      <c r="AX30" s="3451">
        <v>3.1</v>
      </c>
      <c r="AY30" s="2339">
        <v>17.041613000000002</v>
      </c>
      <c r="AZ30" s="3192">
        <f t="shared" si="108"/>
        <v>3.1</v>
      </c>
      <c r="BA30" s="9060"/>
      <c r="BB30" s="3192">
        <f t="shared" si="114"/>
        <v>3.1</v>
      </c>
      <c r="BC30" s="9060"/>
      <c r="BD30" s="7213">
        <f t="shared" si="111"/>
        <v>3.1</v>
      </c>
      <c r="BE30" s="9062"/>
    </row>
    <row r="31" spans="1:57" x14ac:dyDescent="0.2">
      <c r="B31" s="1658" t="s">
        <v>1904</v>
      </c>
      <c r="C31" s="1547" t="s">
        <v>1243</v>
      </c>
      <c r="D31" s="3377">
        <v>1.22</v>
      </c>
      <c r="E31" s="2067">
        <f>0/(24*E$2)</f>
        <v>0</v>
      </c>
      <c r="F31" s="3377">
        <v>1.22</v>
      </c>
      <c r="G31" s="2339">
        <f>0/(24*G$2)</f>
        <v>0</v>
      </c>
      <c r="H31" s="3195">
        <f t="shared" si="115"/>
        <v>1.22</v>
      </c>
      <c r="I31" s="5996">
        <f t="shared" si="86"/>
        <v>0</v>
      </c>
      <c r="J31" s="2707">
        <v>1.22</v>
      </c>
      <c r="K31" s="2339">
        <f>0/(24*K$2)</f>
        <v>0</v>
      </c>
      <c r="L31" s="3192">
        <f t="shared" si="113"/>
        <v>1.2200000000000002</v>
      </c>
      <c r="M31" s="6002">
        <f t="shared" si="87"/>
        <v>0</v>
      </c>
      <c r="N31" s="3451">
        <v>3.22</v>
      </c>
      <c r="O31" s="2339">
        <f>0/(24*O$2)</f>
        <v>0</v>
      </c>
      <c r="P31" s="3195">
        <f t="shared" si="88"/>
        <v>1.7281967213114757</v>
      </c>
      <c r="Q31" s="5996">
        <f t="shared" si="89"/>
        <v>0</v>
      </c>
      <c r="R31" s="3451">
        <v>6.22</v>
      </c>
      <c r="S31" s="2339">
        <f>0/(24*S$2)</f>
        <v>0</v>
      </c>
      <c r="T31" s="3195">
        <f t="shared" si="90"/>
        <v>2.6383006535947713</v>
      </c>
      <c r="U31" s="5996">
        <f t="shared" ref="U31:U32" si="116">+((Q31*Q$2)+(S31*S$2))/U$2</f>
        <v>0</v>
      </c>
      <c r="V31" s="3451">
        <v>1.22</v>
      </c>
      <c r="W31" s="6086">
        <f>0/(24*W$2)</f>
        <v>0</v>
      </c>
      <c r="X31" s="3192">
        <f t="shared" si="92"/>
        <v>3.5786956521739133</v>
      </c>
      <c r="Y31" s="6002">
        <f t="shared" si="93"/>
        <v>0</v>
      </c>
      <c r="Z31" s="7213">
        <f t="shared" si="94"/>
        <v>2.4057923497267764</v>
      </c>
      <c r="AA31" s="6841">
        <f t="shared" ref="AA31:AA32" si="117">+((U31*U$2)+(W31*W$2))/AA$2</f>
        <v>0</v>
      </c>
      <c r="AB31" s="3451">
        <v>1.22</v>
      </c>
      <c r="AC31" s="6086">
        <f>0/(24*AC$2)</f>
        <v>0</v>
      </c>
      <c r="AD31" s="3195">
        <f t="shared" si="96"/>
        <v>2.2340186915887852</v>
      </c>
      <c r="AE31" s="5996">
        <f t="shared" ref="AE31:AE32" si="118">+((AA31*AA$2)+(AC31*AC$2))/AE$2</f>
        <v>0</v>
      </c>
      <c r="AF31" s="3451">
        <v>1.22</v>
      </c>
      <c r="AG31" s="2339">
        <f>0/(24*AG$2)</f>
        <v>0</v>
      </c>
      <c r="AH31" s="3195">
        <f t="shared" si="98"/>
        <v>2.1093442622950822</v>
      </c>
      <c r="AI31" s="5996">
        <f t="shared" ref="AI31:AI32" si="119">+((AE31*AE$2)+(AG31*AG$2))/AI$2</f>
        <v>0</v>
      </c>
      <c r="AJ31" s="3451">
        <v>2.8650000000000002</v>
      </c>
      <c r="AK31" s="2339">
        <f>0/(24*AK$2)</f>
        <v>0</v>
      </c>
      <c r="AL31" s="3192">
        <f t="shared" si="100"/>
        <v>1.7742934782608697</v>
      </c>
      <c r="AM31" s="6002">
        <f t="shared" ref="AM31:AM32" si="120">+((AC31*AC$2)+(AG31*AG$2)+(AK31*AK$2))/AM$2</f>
        <v>0</v>
      </c>
      <c r="AN31" s="3195">
        <f t="shared" si="102"/>
        <v>2.1945272727272731</v>
      </c>
      <c r="AO31" s="5996">
        <f t="shared" ref="AO31:AO32" si="121">+((AI31*AI$2)+(AK31*AK$2))/AO$2</f>
        <v>0</v>
      </c>
      <c r="AP31" s="3451">
        <v>1.22</v>
      </c>
      <c r="AQ31" s="2339">
        <f>0/(24*AQ$2)</f>
        <v>0</v>
      </c>
      <c r="AR31" s="3195">
        <f t="shared" si="104"/>
        <v>2.0958006535947717</v>
      </c>
      <c r="AS31" s="5996">
        <f t="shared" ref="AS31:AS32" si="122">+((AO31*AO$2)+(AQ31*AQ$2))/AS$2</f>
        <v>0</v>
      </c>
      <c r="AT31" s="3451">
        <v>1.22</v>
      </c>
      <c r="AU31" s="2339">
        <f>0/(24*AU$2)</f>
        <v>0</v>
      </c>
      <c r="AV31" s="3195">
        <f t="shared" si="106"/>
        <v>2.0223802395209587</v>
      </c>
      <c r="AW31" s="5996">
        <f t="shared" ref="AW31:AW32" si="123">+((AS31*AS$2)+(AU31*AU$2))/AW$2</f>
        <v>0</v>
      </c>
      <c r="AX31" s="3451">
        <v>1.22</v>
      </c>
      <c r="AY31" s="2339">
        <v>0</v>
      </c>
      <c r="AZ31" s="3192">
        <f t="shared" si="108"/>
        <v>1.2199999999999998</v>
      </c>
      <c r="BA31" s="6002">
        <f t="shared" ref="BA31:BA32" si="124">+((AQ31*AQ$2)+(AU31*AU$2)+(AY31*AY$2))/BA$2</f>
        <v>0</v>
      </c>
      <c r="BB31" s="3192">
        <f t="shared" si="114"/>
        <v>1.5001923076923076</v>
      </c>
      <c r="BC31" s="6002">
        <f t="shared" ref="BC31:BC32" si="125">+((AS31*AS$2)+(AW31*AW$2)+(BA31*BA$2))/BC$2</f>
        <v>0</v>
      </c>
      <c r="BD31" s="7213">
        <f t="shared" si="111"/>
        <v>1.9542328767123296</v>
      </c>
      <c r="BE31" s="6841">
        <f t="shared" ref="BE31:BE32" si="126">+((AW31*AW$2)+(AY31*AY$2))/BE$2</f>
        <v>0</v>
      </c>
    </row>
    <row r="32" spans="1:57" x14ac:dyDescent="0.2">
      <c r="B32" s="9057" t="s">
        <v>384</v>
      </c>
      <c r="C32" s="1547" t="s">
        <v>1243</v>
      </c>
      <c r="D32" s="3377">
        <v>0</v>
      </c>
      <c r="E32" s="2067">
        <f>0/(24*E$2)</f>
        <v>0</v>
      </c>
      <c r="F32" s="3377">
        <v>0</v>
      </c>
      <c r="G32" s="2339">
        <f>0/(24*G$2)</f>
        <v>0</v>
      </c>
      <c r="H32" s="3195">
        <f t="shared" si="115"/>
        <v>0</v>
      </c>
      <c r="I32" s="5996">
        <f t="shared" si="86"/>
        <v>0</v>
      </c>
      <c r="J32" s="2707">
        <v>0</v>
      </c>
      <c r="K32" s="2339">
        <f>0/(24*K$2)</f>
        <v>0</v>
      </c>
      <c r="L32" s="3192">
        <f t="shared" si="113"/>
        <v>0</v>
      </c>
      <c r="M32" s="6002">
        <f t="shared" si="87"/>
        <v>0</v>
      </c>
      <c r="N32" s="3452">
        <v>0</v>
      </c>
      <c r="O32" s="1675">
        <v>0</v>
      </c>
      <c r="P32" s="3195">
        <f t="shared" si="88"/>
        <v>0</v>
      </c>
      <c r="Q32" s="5996">
        <f t="shared" si="89"/>
        <v>0</v>
      </c>
      <c r="R32" s="3452">
        <v>0</v>
      </c>
      <c r="S32" s="1675">
        <v>0</v>
      </c>
      <c r="T32" s="3195">
        <f t="shared" si="90"/>
        <v>0</v>
      </c>
      <c r="U32" s="5996">
        <f t="shared" si="116"/>
        <v>0</v>
      </c>
      <c r="V32" s="3452">
        <v>0</v>
      </c>
      <c r="W32" s="1675">
        <v>0</v>
      </c>
      <c r="X32" s="3192">
        <f t="shared" ref="X32" si="127">+((N32*N$2)+(R32*R$2)+(V32*V$2))/X$2</f>
        <v>0</v>
      </c>
      <c r="Y32" s="6002">
        <f t="shared" ref="Y32" si="128">+((O32*O$2)+(S32*S$2)+(W32*W$2))/Y$2</f>
        <v>0</v>
      </c>
      <c r="Z32" s="7213">
        <f t="shared" si="94"/>
        <v>0</v>
      </c>
      <c r="AA32" s="6841">
        <f t="shared" si="117"/>
        <v>0</v>
      </c>
      <c r="AB32" s="3452">
        <v>0</v>
      </c>
      <c r="AC32" s="1675">
        <v>0</v>
      </c>
      <c r="AD32" s="3195">
        <f t="shared" si="96"/>
        <v>0</v>
      </c>
      <c r="AE32" s="5996">
        <f t="shared" si="118"/>
        <v>0</v>
      </c>
      <c r="AF32" s="3452">
        <v>0</v>
      </c>
      <c r="AG32" s="2339">
        <f>0/(24*AG$2)</f>
        <v>0</v>
      </c>
      <c r="AH32" s="3195">
        <f t="shared" si="98"/>
        <v>0</v>
      </c>
      <c r="AI32" s="5996">
        <f t="shared" si="119"/>
        <v>0</v>
      </c>
      <c r="AJ32" s="3452">
        <v>0</v>
      </c>
      <c r="AK32" s="2339">
        <f>0/(24*AK$2)</f>
        <v>0</v>
      </c>
      <c r="AL32" s="3192">
        <f t="shared" si="100"/>
        <v>0</v>
      </c>
      <c r="AM32" s="6002">
        <f t="shared" si="120"/>
        <v>0</v>
      </c>
      <c r="AN32" s="3195">
        <f t="shared" si="102"/>
        <v>0</v>
      </c>
      <c r="AO32" s="5996">
        <f t="shared" si="121"/>
        <v>0</v>
      </c>
      <c r="AP32" s="3452">
        <v>0</v>
      </c>
      <c r="AQ32" s="2339">
        <f>0/(24*AQ$2)</f>
        <v>0</v>
      </c>
      <c r="AR32" s="3195">
        <f t="shared" si="104"/>
        <v>0</v>
      </c>
      <c r="AS32" s="5996">
        <f t="shared" si="122"/>
        <v>0</v>
      </c>
      <c r="AT32" s="3452">
        <v>0</v>
      </c>
      <c r="AU32" s="2339">
        <f>0/(24*AU$2)</f>
        <v>0</v>
      </c>
      <c r="AV32" s="3195">
        <f t="shared" si="106"/>
        <v>0</v>
      </c>
      <c r="AW32" s="5996">
        <f t="shared" si="123"/>
        <v>0</v>
      </c>
      <c r="AX32" s="3452">
        <v>0</v>
      </c>
      <c r="AY32" s="2339">
        <v>0</v>
      </c>
      <c r="AZ32" s="3192">
        <f t="shared" si="108"/>
        <v>0</v>
      </c>
      <c r="BA32" s="6002">
        <f t="shared" si="124"/>
        <v>0</v>
      </c>
      <c r="BB32" s="3192">
        <f t="shared" si="114"/>
        <v>0</v>
      </c>
      <c r="BC32" s="6002">
        <f t="shared" si="125"/>
        <v>0</v>
      </c>
      <c r="BD32" s="7213">
        <f t="shared" si="111"/>
        <v>0</v>
      </c>
      <c r="BE32" s="6841">
        <f t="shared" si="126"/>
        <v>0</v>
      </c>
    </row>
    <row r="33" spans="1:57" ht="15.75" customHeight="1" thickBot="1" x14ac:dyDescent="0.25">
      <c r="B33" s="9058"/>
      <c r="C33" s="2774" t="s">
        <v>170</v>
      </c>
      <c r="D33" s="5973" t="s">
        <v>1024</v>
      </c>
      <c r="E33" s="5043">
        <v>0</v>
      </c>
      <c r="F33" s="5973" t="s">
        <v>1024</v>
      </c>
      <c r="G33" s="5043">
        <v>0</v>
      </c>
      <c r="H33" s="5972" t="s">
        <v>1024</v>
      </c>
      <c r="I33" s="5997">
        <f t="shared" ref="I33" si="129">+E33+G33</f>
        <v>0</v>
      </c>
      <c r="J33" s="5973" t="s">
        <v>1024</v>
      </c>
      <c r="K33" s="5043">
        <v>0</v>
      </c>
      <c r="L33" s="5974" t="s">
        <v>1024</v>
      </c>
      <c r="M33" s="6004">
        <f>+'2019-20 MASTER'!J1414</f>
        <v>0</v>
      </c>
      <c r="N33" s="5977" t="s">
        <v>1024</v>
      </c>
      <c r="O33" s="1675">
        <v>0</v>
      </c>
      <c r="P33" s="5942" t="s">
        <v>1024</v>
      </c>
      <c r="Q33" s="6007">
        <f t="shared" ref="Q33" si="130">+M33+O33</f>
        <v>0</v>
      </c>
      <c r="R33" s="6427" t="s">
        <v>1024</v>
      </c>
      <c r="S33" s="1675">
        <v>0</v>
      </c>
      <c r="T33" s="5942" t="s">
        <v>1024</v>
      </c>
      <c r="U33" s="6007">
        <f t="shared" ref="U33" si="131">+Q33+S33</f>
        <v>0</v>
      </c>
      <c r="V33" s="7163" t="s">
        <v>1024</v>
      </c>
      <c r="W33" s="1675">
        <v>0</v>
      </c>
      <c r="X33" s="7130" t="s">
        <v>1024</v>
      </c>
      <c r="Y33" s="6004">
        <f>+'2019-20 MASTER'!V1414</f>
        <v>0</v>
      </c>
      <c r="Z33" s="7213" t="s">
        <v>1024</v>
      </c>
      <c r="AA33" s="6841">
        <f t="shared" ref="AA33" si="132">+U33+W33</f>
        <v>0</v>
      </c>
      <c r="AB33" s="7370" t="s">
        <v>1024</v>
      </c>
      <c r="AC33" s="1675">
        <v>0</v>
      </c>
      <c r="AD33" s="5942" t="s">
        <v>1024</v>
      </c>
      <c r="AE33" s="6007">
        <f t="shared" ref="AE33" si="133">+AA33+AC33</f>
        <v>0</v>
      </c>
      <c r="AF33" s="7393">
        <v>0</v>
      </c>
      <c r="AG33" s="1675">
        <v>0</v>
      </c>
      <c r="AH33" s="5942" t="s">
        <v>1024</v>
      </c>
      <c r="AI33" s="6007">
        <f t="shared" ref="AI33" si="134">+AE33+AG33</f>
        <v>0</v>
      </c>
      <c r="AJ33" s="7393">
        <v>0</v>
      </c>
      <c r="AK33" s="1675">
        <v>0</v>
      </c>
      <c r="AL33" s="7768" t="s">
        <v>1024</v>
      </c>
      <c r="AM33" s="6004">
        <f>+'2019-20 MASTER'!AJ1414</f>
        <v>0</v>
      </c>
      <c r="AN33" s="5942" t="s">
        <v>1024</v>
      </c>
      <c r="AO33" s="6007">
        <f t="shared" ref="AO33" si="135">+AI33+AK33</f>
        <v>0</v>
      </c>
      <c r="AP33" s="7393">
        <v>0</v>
      </c>
      <c r="AQ33" s="1675">
        <v>0</v>
      </c>
      <c r="AR33" s="5942" t="s">
        <v>1024</v>
      </c>
      <c r="AS33" s="6007">
        <f t="shared" ref="AS33" si="136">+AO33+AQ33</f>
        <v>0</v>
      </c>
      <c r="AT33" s="7393">
        <v>0</v>
      </c>
      <c r="AU33" s="1675">
        <v>0</v>
      </c>
      <c r="AV33" s="5942" t="s">
        <v>1024</v>
      </c>
      <c r="AW33" s="6007">
        <f t="shared" ref="AW33" si="137">+AS33+AU33</f>
        <v>0</v>
      </c>
      <c r="AX33" s="7393">
        <v>0</v>
      </c>
      <c r="AY33" s="1675">
        <v>0</v>
      </c>
      <c r="AZ33" s="8345" t="s">
        <v>1024</v>
      </c>
      <c r="BA33" s="6004">
        <f>+'2019-20 MASTER'!AX1414</f>
        <v>0</v>
      </c>
      <c r="BB33" s="8345" t="s">
        <v>1024</v>
      </c>
      <c r="BC33" s="6004">
        <f>+'2019-20 MASTER'!AZ1414</f>
        <v>0</v>
      </c>
      <c r="BD33" s="7213" t="s">
        <v>1024</v>
      </c>
      <c r="BE33" s="6841">
        <f t="shared" ref="BE33" si="138">+AW33+AY33</f>
        <v>0</v>
      </c>
    </row>
    <row r="34" spans="1:57" ht="17" thickBot="1" x14ac:dyDescent="0.25">
      <c r="B34" s="1655" t="s">
        <v>97</v>
      </c>
      <c r="C34" s="1562" t="s">
        <v>1243</v>
      </c>
      <c r="D34" s="1961">
        <f t="shared" ref="D34:AE34" si="139">SUM(D27:D32)</f>
        <v>33.120000000000005</v>
      </c>
      <c r="E34" s="1961">
        <f t="shared" si="139"/>
        <v>27.995666666666668</v>
      </c>
      <c r="F34" s="1961">
        <f t="shared" si="139"/>
        <v>33.120000000000005</v>
      </c>
      <c r="G34" s="1961">
        <f t="shared" si="139"/>
        <v>28.97354838709677</v>
      </c>
      <c r="H34" s="1961">
        <f t="shared" si="139"/>
        <v>33.120000000000005</v>
      </c>
      <c r="I34" s="1961">
        <f t="shared" si="139"/>
        <v>28.492622950819673</v>
      </c>
      <c r="J34" s="1961">
        <f t="shared" si="139"/>
        <v>33.120000000000005</v>
      </c>
      <c r="K34" s="1961">
        <f t="shared" si="139"/>
        <v>29.401777777777777</v>
      </c>
      <c r="L34" s="1961">
        <f t="shared" si="139"/>
        <v>33.120000000000005</v>
      </c>
      <c r="M34" s="1961">
        <f t="shared" si="139"/>
        <v>28.79234432234432</v>
      </c>
      <c r="N34" s="1961">
        <f t="shared" si="139"/>
        <v>33.120000000000005</v>
      </c>
      <c r="O34" s="1961">
        <f t="shared" si="139"/>
        <v>29.373440860215052</v>
      </c>
      <c r="P34" s="1961">
        <f t="shared" si="139"/>
        <v>33.120000000000005</v>
      </c>
      <c r="Q34" s="1961">
        <f t="shared" si="139"/>
        <v>28.939999999999998</v>
      </c>
      <c r="R34" s="1961">
        <f t="shared" si="139"/>
        <v>33.120000000000005</v>
      </c>
      <c r="S34" s="1961">
        <f t="shared" si="139"/>
        <v>29.30096774193548</v>
      </c>
      <c r="T34" s="1961">
        <f t="shared" si="139"/>
        <v>33.120000000000005</v>
      </c>
      <c r="U34" s="1961">
        <f t="shared" si="139"/>
        <v>29.013137254901956</v>
      </c>
      <c r="V34" s="1961">
        <f t="shared" si="139"/>
        <v>33.120000000000005</v>
      </c>
      <c r="W34" s="1961">
        <f t="shared" si="139"/>
        <v>27.765999999999998</v>
      </c>
      <c r="X34" s="1961">
        <f t="shared" si="139"/>
        <v>33.120000000000005</v>
      </c>
      <c r="Y34" s="1961">
        <f t="shared" si="139"/>
        <v>28.82485507246377</v>
      </c>
      <c r="Z34" s="1961">
        <f t="shared" si="139"/>
        <v>33.120000000000005</v>
      </c>
      <c r="AA34" s="1961">
        <f t="shared" si="139"/>
        <v>28.808688524590163</v>
      </c>
      <c r="AB34" s="1961">
        <f t="shared" si="139"/>
        <v>33.120000000000005</v>
      </c>
      <c r="AC34" s="1961">
        <f t="shared" si="139"/>
        <v>29.263440860215056</v>
      </c>
      <c r="AD34" s="1961">
        <f t="shared" si="139"/>
        <v>33.120000000000005</v>
      </c>
      <c r="AE34" s="1961">
        <f t="shared" si="139"/>
        <v>28.874563862928344</v>
      </c>
      <c r="AF34" s="1961">
        <f>SUM(AF27:AF33)</f>
        <v>33.120000000000005</v>
      </c>
      <c r="AG34" s="1961">
        <f>SUM(AG27:AG32)</f>
        <v>32.495222222222225</v>
      </c>
      <c r="AH34" s="1961">
        <f t="shared" ref="AH34:AI34" si="140">SUM(AH27:AH32)</f>
        <v>33.120000000000005</v>
      </c>
      <c r="AI34" s="1961">
        <f t="shared" si="140"/>
        <v>29.31972677595628</v>
      </c>
      <c r="AJ34" s="1961">
        <f>SUM(AJ27:AJ33)</f>
        <v>33.120000000000005</v>
      </c>
      <c r="AK34" s="1961">
        <f t="shared" ref="AK34:AO34" si="141">SUM(AK27:AK32)</f>
        <v>31.493642473118278</v>
      </c>
      <c r="AL34" s="1961">
        <f t="shared" si="141"/>
        <v>33.120000000000005</v>
      </c>
      <c r="AM34" s="1961">
        <f t="shared" si="141"/>
        <v>31.068763586956525</v>
      </c>
      <c r="AN34" s="1961">
        <f t="shared" si="141"/>
        <v>33.120000000000005</v>
      </c>
      <c r="AO34" s="1961">
        <f t="shared" si="141"/>
        <v>29.564786363636358</v>
      </c>
      <c r="AP34" s="1961">
        <f>SUM(AP27:AP33)</f>
        <v>33.120000000000005</v>
      </c>
      <c r="AQ34" s="1961">
        <f t="shared" ref="AQ34:AS34" si="142">SUM(AQ27:AQ32)</f>
        <v>33.401827956989251</v>
      </c>
      <c r="AR34" s="1961">
        <f t="shared" si="142"/>
        <v>33.120000000000005</v>
      </c>
      <c r="AS34" s="1961">
        <f t="shared" si="142"/>
        <v>29.953506263616553</v>
      </c>
      <c r="AT34" s="1961">
        <f>SUM(AT27:AT33)</f>
        <v>33.120000000000005</v>
      </c>
      <c r="AU34" s="1961">
        <f t="shared" ref="AU34:AW34" si="143">SUM(AU27:AU32)</f>
        <v>31.648571428571429</v>
      </c>
      <c r="AV34" s="1961">
        <f t="shared" si="143"/>
        <v>33.120000000000005</v>
      </c>
      <c r="AW34" s="1961">
        <f t="shared" si="143"/>
        <v>30.095607534930139</v>
      </c>
      <c r="AX34" s="1961">
        <f>SUM(AX27:AX33)</f>
        <v>33.120000000000005</v>
      </c>
      <c r="AY34" s="1961">
        <f>SUM(AY27:AY33)</f>
        <v>31.6464517</v>
      </c>
      <c r="AZ34" s="1961">
        <f t="shared" ref="AZ34:BE34" si="144">SUM(AZ27:AZ32)</f>
        <v>33.120000000000005</v>
      </c>
      <c r="BA34" s="1961">
        <f t="shared" si="144"/>
        <v>32.251740770740739</v>
      </c>
      <c r="BB34" s="1961">
        <f t="shared" ref="BB34:BC34" si="145">SUM(BB27:BB32)</f>
        <v>33.120000000000005</v>
      </c>
      <c r="BC34" s="1961">
        <f t="shared" si="145"/>
        <v>121.54045331153846</v>
      </c>
      <c r="BD34" s="1961">
        <f t="shared" si="144"/>
        <v>33.120000000000012</v>
      </c>
      <c r="BE34" s="1961">
        <f t="shared" si="144"/>
        <v>30.227323066757986</v>
      </c>
    </row>
    <row r="35" spans="1:57" s="3380" customFormat="1" ht="16" x14ac:dyDescent="0.2">
      <c r="A35" s="4408"/>
      <c r="B35" s="5948" t="s">
        <v>386</v>
      </c>
      <c r="C35" s="5949"/>
      <c r="D35" s="5950"/>
      <c r="E35" s="5990"/>
      <c r="F35" s="5950"/>
      <c r="G35" s="5990"/>
      <c r="H35" s="5950"/>
      <c r="I35" s="5990"/>
      <c r="J35" s="5950"/>
      <c r="K35" s="5999"/>
      <c r="L35" s="5950"/>
      <c r="M35" s="6003"/>
      <c r="N35" s="5950"/>
      <c r="O35" s="6006"/>
      <c r="P35" s="5951"/>
      <c r="Q35" s="6003"/>
      <c r="R35" s="5950"/>
      <c r="S35" s="6006"/>
      <c r="T35" s="5951"/>
      <c r="U35" s="6003"/>
      <c r="V35" s="5950"/>
      <c r="W35" s="6006"/>
      <c r="X35" s="5950"/>
      <c r="Y35" s="6003"/>
      <c r="Z35" s="5951"/>
      <c r="AA35" s="6003"/>
      <c r="AB35" s="5950"/>
      <c r="AC35" s="6006"/>
      <c r="AD35" s="5951"/>
      <c r="AE35" s="6003"/>
      <c r="AF35" s="5950"/>
      <c r="AG35" s="6006"/>
      <c r="AH35" s="5951"/>
      <c r="AI35" s="6003"/>
      <c r="AJ35" s="5950"/>
      <c r="AK35" s="6006"/>
      <c r="AL35" s="5950"/>
      <c r="AM35" s="6003"/>
      <c r="AN35" s="5951"/>
      <c r="AO35" s="6003"/>
      <c r="AP35" s="5950"/>
      <c r="AQ35" s="6006"/>
      <c r="AR35" s="5951"/>
      <c r="AS35" s="6003"/>
      <c r="AT35" s="5950"/>
      <c r="AU35" s="6006"/>
      <c r="AV35" s="5951"/>
      <c r="AW35" s="6003"/>
      <c r="AX35" s="5950"/>
      <c r="AY35" s="6006"/>
      <c r="AZ35" s="5950"/>
      <c r="BA35" s="6003"/>
      <c r="BB35" s="5950"/>
      <c r="BC35" s="6003"/>
      <c r="BD35" s="5951"/>
      <c r="BE35" s="6003"/>
    </row>
    <row r="36" spans="1:57" x14ac:dyDescent="0.2">
      <c r="B36" s="1658" t="s">
        <v>192</v>
      </c>
      <c r="C36" s="1545" t="s">
        <v>1243</v>
      </c>
      <c r="D36" s="2707">
        <v>0.5</v>
      </c>
      <c r="E36" s="2067">
        <f>319.7/(24*E$2)</f>
        <v>0.44402777777777774</v>
      </c>
      <c r="F36" s="2707">
        <v>0.5</v>
      </c>
      <c r="G36" s="2067">
        <f>243.712/(24*G$2)</f>
        <v>0.32756989247311824</v>
      </c>
      <c r="H36" s="3195">
        <f t="shared" ref="H36:I38" si="146">+((D36*D$2)+(F36*F$2))/H$2</f>
        <v>0.5</v>
      </c>
      <c r="I36" s="5996">
        <f t="shared" si="146"/>
        <v>0.3848442622950819</v>
      </c>
      <c r="J36" s="2687">
        <v>0.5</v>
      </c>
      <c r="K36" s="2067">
        <f>316.456/(24*K$2)</f>
        <v>0.43952222222222226</v>
      </c>
      <c r="L36" s="3192">
        <f t="shared" ref="L36:L38" si="147">+((H36*H$2)+(J36*J$2))/L$2</f>
        <v>0.5</v>
      </c>
      <c r="M36" s="6002">
        <f t="shared" ref="M36:M38" si="148">+((I36*I$2)+(K36*K$2))/M$2</f>
        <v>0.40286996336996339</v>
      </c>
      <c r="N36" s="3231">
        <v>0.5</v>
      </c>
      <c r="O36" s="2067">
        <f>342.55/(24*O$2)</f>
        <v>0.4604166666666667</v>
      </c>
      <c r="P36" s="3195">
        <f t="shared" ref="P36:P38" si="149">+((L36*L$2)+(N36*N$2))/P$2</f>
        <v>0.5</v>
      </c>
      <c r="Q36" s="5996">
        <f t="shared" ref="Q36:Q38" si="150">+((M36*M$2)+(O36*O$2))/Q$2</f>
        <v>0.41749248633879782</v>
      </c>
      <c r="R36" s="3231">
        <v>0.5</v>
      </c>
      <c r="S36" s="2067">
        <f>391.6416/(24*S$2)</f>
        <v>0.52639999999999998</v>
      </c>
      <c r="T36" s="3195">
        <f t="shared" ref="T36:T38" si="151">+((P36*P$2)+(R36*R$2))/T$2</f>
        <v>0.5</v>
      </c>
      <c r="U36" s="5996">
        <f t="shared" ref="U36:U38" si="152">+((Q36*Q$2)+(S36*S$2))/U$2</f>
        <v>0.4395587145969499</v>
      </c>
      <c r="V36" s="3231">
        <v>0.5</v>
      </c>
      <c r="W36" s="3861">
        <f>202.664/(24*W$2)</f>
        <v>0.28147777777777777</v>
      </c>
      <c r="X36" s="3192">
        <f t="shared" ref="X36:X38" si="153">+((N36*N$2)+(R36*R$2)+(V36*V$2))/X$2</f>
        <v>0.5</v>
      </c>
      <c r="Y36" s="6002">
        <f t="shared" ref="Y36:Y38" si="154">+((O36*O$2)+(S36*S$2)+(W36*W$2))/Y$2</f>
        <v>0.42430054347826091</v>
      </c>
      <c r="Z36" s="7213">
        <f t="shared" ref="Z36:Z38" si="155">+((T36*T$2)+(V36*V$2))/Z$2</f>
        <v>0.5</v>
      </c>
      <c r="AA36" s="6841">
        <f t="shared" ref="AA36:AA38" si="156">+((U36*U$2)+(W36*W$2))/AA$2</f>
        <v>0.41364380692167574</v>
      </c>
      <c r="AB36" s="3231">
        <v>0.5</v>
      </c>
      <c r="AC36" s="3861">
        <f>298.26/(24*AC$2)</f>
        <v>0.40088709677419354</v>
      </c>
      <c r="AD36" s="3195">
        <f t="shared" ref="AD36:AD38" si="157">+((Z36*Z$2)+(AB36*AB$2))/AD$2</f>
        <v>0.5</v>
      </c>
      <c r="AE36" s="5996">
        <f t="shared" ref="AE36:AE38" si="158">+((AA36*AA$2)+(AC36*AC$2))/AE$2</f>
        <v>0.41179587227414327</v>
      </c>
      <c r="AF36" s="3231">
        <v>0.5</v>
      </c>
      <c r="AG36" s="2067">
        <f>261.69/(24*AG$2)</f>
        <v>0.36345833333333333</v>
      </c>
      <c r="AH36" s="3195">
        <f t="shared" ref="AH36:AH38" si="159">+((AD36*AD$2)+(AF36*AF$2))/AH$2</f>
        <v>0.5</v>
      </c>
      <c r="AI36" s="5996">
        <f t="shared" ref="AI36:AI38" si="160">+((AE36*AE$2)+(AG36*AG$2))/AI$2</f>
        <v>0.40585273224043711</v>
      </c>
      <c r="AJ36" s="3231">
        <v>0.5</v>
      </c>
      <c r="AK36" s="3861">
        <f>306.66/(24*AK$2)</f>
        <v>0.41217741935483876</v>
      </c>
      <c r="AL36" s="3192">
        <f t="shared" ref="AL36:AL38" si="161">+((AB36*AB$2)+(AF36*AF$2)+(AJ36*AJ$2))/AL$2</f>
        <v>0.5</v>
      </c>
      <c r="AM36" s="6002">
        <f t="shared" ref="AM36:AM38" si="162">+((AC36*AC$2)+(AG36*AG$2)+(AK36*AK$2))/AM$2</f>
        <v>0.39248641304347825</v>
      </c>
      <c r="AN36" s="3195">
        <f t="shared" ref="AN36:AN38" si="163">+((AH36*AH$2)+(AJ36*AJ$2))/AN$2</f>
        <v>0.5</v>
      </c>
      <c r="AO36" s="5996">
        <f t="shared" ref="AO36:AO38" si="164">+((AI36*AI$2)+(AK36*AK$2))/AO$2</f>
        <v>0.40656569696969697</v>
      </c>
      <c r="AP36" s="3231">
        <v>0.5</v>
      </c>
      <c r="AQ36" s="3861">
        <f>436.184/(24*AQ$2)</f>
        <v>0.58626881720430113</v>
      </c>
      <c r="AR36" s="3195">
        <f t="shared" ref="AR36:AR38" si="165">+((AN36*AN$2)+(AP36*AP$2))/AR$2</f>
        <v>0.5</v>
      </c>
      <c r="AS36" s="5996">
        <f t="shared" ref="AS36:AS38" si="166">+((AO36*AO$2)+(AQ36*AQ$2))/AS$2</f>
        <v>0.42477091503267972</v>
      </c>
      <c r="AT36" s="3231">
        <v>0.5</v>
      </c>
      <c r="AU36" s="3861">
        <f>362.66/(24*AU$2)</f>
        <v>0.5396726190476191</v>
      </c>
      <c r="AV36" s="3195">
        <f t="shared" ref="AV36:AV38" si="167">+((AR36*AR$2)+(AT36*AT$2))/AV$2</f>
        <v>0.5</v>
      </c>
      <c r="AW36" s="5996">
        <f t="shared" ref="AW36:AW38" si="168">+((AS36*AS$2)+(AU36*AU$2))/AW$2</f>
        <v>0.43440339321357285</v>
      </c>
      <c r="AX36" s="3231">
        <v>0.5</v>
      </c>
      <c r="AY36" s="3861">
        <v>0.49263439999999997</v>
      </c>
      <c r="AZ36" s="3192">
        <f t="shared" ref="AZ36:AZ38" si="169">+((AP36*AP$2)+(AT36*AT$2)+(AX36*AX$2))/AZ$2</f>
        <v>0.5</v>
      </c>
      <c r="BA36" s="6002">
        <f t="shared" ref="BA36:BA38" si="170">+((AQ36*AQ$2)+(AU36*AU$2)+(AY36*AY$2))/BA$2</f>
        <v>0.53952036740740739</v>
      </c>
      <c r="BB36" s="3192">
        <f t="shared" ref="BB36:BB38" si="171">+(((AL36*AL$2)+(AZ36*AZ$2)))/(BB$2)</f>
        <v>0.5</v>
      </c>
      <c r="BC36" s="6002">
        <f t="shared" ref="BC36:BC38" si="172">+((AS36*AS$2)+(AW36*AW$2)+(BA36*BA$2))/BC$2</f>
        <v>1.7781728923076923</v>
      </c>
      <c r="BD36" s="7213">
        <f t="shared" ref="BD36:BD38" si="173">+((AV36*AV$2)+(AX36*AX$2))/BD$2</f>
        <v>0.5</v>
      </c>
      <c r="BE36" s="6841">
        <f t="shared" ref="BE36:BE38" si="174">+((AW36*AW$2)+(AY36*AY$2))/BE$2</f>
        <v>0.43934904036529676</v>
      </c>
    </row>
    <row r="37" spans="1:57" x14ac:dyDescent="0.2">
      <c r="B37" s="1658" t="s">
        <v>1244</v>
      </c>
      <c r="C37" s="1547" t="s">
        <v>1243</v>
      </c>
      <c r="D37" s="3377">
        <v>0.122</v>
      </c>
      <c r="E37" s="2067">
        <f>0/(24*E$2)</f>
        <v>0</v>
      </c>
      <c r="F37" s="3377">
        <v>0.122</v>
      </c>
      <c r="G37" s="2067">
        <f>0/(24*G$2)</f>
        <v>0</v>
      </c>
      <c r="H37" s="3195">
        <f t="shared" si="146"/>
        <v>0.122</v>
      </c>
      <c r="I37" s="5996">
        <f t="shared" si="146"/>
        <v>0</v>
      </c>
      <c r="J37" s="3377">
        <v>0.122</v>
      </c>
      <c r="K37" s="2067">
        <f t="shared" ref="K37:K38" si="175">0/(24*K$2)</f>
        <v>0</v>
      </c>
      <c r="L37" s="3192">
        <f t="shared" si="147"/>
        <v>0.122</v>
      </c>
      <c r="M37" s="6002">
        <f t="shared" si="148"/>
        <v>0</v>
      </c>
      <c r="N37" s="3451">
        <v>0.122</v>
      </c>
      <c r="O37" s="2067">
        <f>0/(24*O$2)</f>
        <v>0</v>
      </c>
      <c r="P37" s="3195">
        <f t="shared" si="149"/>
        <v>0.122</v>
      </c>
      <c r="Q37" s="5996">
        <f t="shared" si="150"/>
        <v>0</v>
      </c>
      <c r="R37" s="3451">
        <v>0.122</v>
      </c>
      <c r="S37" s="2067">
        <f>0/(24*S$2)</f>
        <v>0</v>
      </c>
      <c r="T37" s="3195">
        <f t="shared" si="151"/>
        <v>0.122</v>
      </c>
      <c r="U37" s="5996">
        <f t="shared" si="152"/>
        <v>0</v>
      </c>
      <c r="V37" s="3451">
        <v>0.122</v>
      </c>
      <c r="W37" s="3861">
        <f>0/(24*W$2)</f>
        <v>0</v>
      </c>
      <c r="X37" s="3192">
        <f t="shared" si="153"/>
        <v>0.122</v>
      </c>
      <c r="Y37" s="6002">
        <f t="shared" si="154"/>
        <v>0</v>
      </c>
      <c r="Z37" s="7213">
        <f t="shared" si="155"/>
        <v>0.122</v>
      </c>
      <c r="AA37" s="6841">
        <f t="shared" si="156"/>
        <v>0</v>
      </c>
      <c r="AB37" s="3451">
        <v>0.122</v>
      </c>
      <c r="AC37" s="3861">
        <f>0/(24*AC$2)</f>
        <v>0</v>
      </c>
      <c r="AD37" s="3195">
        <f t="shared" si="157"/>
        <v>0.122</v>
      </c>
      <c r="AE37" s="5996">
        <f t="shared" si="158"/>
        <v>0</v>
      </c>
      <c r="AF37" s="3451">
        <v>0.122</v>
      </c>
      <c r="AG37" s="2067">
        <f>0/(24*AG$2)</f>
        <v>0</v>
      </c>
      <c r="AH37" s="3195">
        <f t="shared" si="159"/>
        <v>0.122</v>
      </c>
      <c r="AI37" s="5996">
        <f t="shared" si="160"/>
        <v>0</v>
      </c>
      <c r="AJ37" s="3451">
        <v>0.122</v>
      </c>
      <c r="AK37" s="3861">
        <f>0/(24*AK$2)</f>
        <v>0</v>
      </c>
      <c r="AL37" s="3192">
        <f t="shared" si="161"/>
        <v>0.122</v>
      </c>
      <c r="AM37" s="6002">
        <f t="shared" si="162"/>
        <v>0</v>
      </c>
      <c r="AN37" s="3195">
        <f t="shared" si="163"/>
        <v>0.12199999999999998</v>
      </c>
      <c r="AO37" s="5996">
        <f t="shared" si="164"/>
        <v>0</v>
      </c>
      <c r="AP37" s="3451">
        <v>0.122</v>
      </c>
      <c r="AQ37" s="3861">
        <f>0/(24*AQ$2)</f>
        <v>0</v>
      </c>
      <c r="AR37" s="3195">
        <f t="shared" si="165"/>
        <v>0.12199999999999998</v>
      </c>
      <c r="AS37" s="5996">
        <f t="shared" si="166"/>
        <v>0</v>
      </c>
      <c r="AT37" s="3451">
        <v>0.122</v>
      </c>
      <c r="AU37" s="3861">
        <f>0/(24*AU$2)</f>
        <v>0</v>
      </c>
      <c r="AV37" s="3195">
        <f t="shared" si="167"/>
        <v>0.12199999999999997</v>
      </c>
      <c r="AW37" s="5996">
        <f t="shared" si="168"/>
        <v>0</v>
      </c>
      <c r="AX37" s="3451">
        <v>0.122</v>
      </c>
      <c r="AY37" s="3861">
        <v>0</v>
      </c>
      <c r="AZ37" s="3192">
        <f t="shared" si="169"/>
        <v>0.12200000000000001</v>
      </c>
      <c r="BA37" s="6002">
        <f t="shared" si="170"/>
        <v>0</v>
      </c>
      <c r="BB37" s="3192">
        <f t="shared" si="171"/>
        <v>0.122</v>
      </c>
      <c r="BC37" s="6002">
        <f t="shared" si="172"/>
        <v>0</v>
      </c>
      <c r="BD37" s="7213">
        <f t="shared" si="173"/>
        <v>0.12199999999999997</v>
      </c>
      <c r="BE37" s="6841">
        <f t="shared" si="174"/>
        <v>0</v>
      </c>
    </row>
    <row r="38" spans="1:57" ht="16" thickBot="1" x14ac:dyDescent="0.25">
      <c r="B38" s="9057" t="s">
        <v>384</v>
      </c>
      <c r="C38" s="1547" t="s">
        <v>1243</v>
      </c>
      <c r="D38" s="3377">
        <v>0.8</v>
      </c>
      <c r="E38" s="2067">
        <f>27.25/(24*E$2)</f>
        <v>3.784722222222222E-2</v>
      </c>
      <c r="F38" s="3377">
        <v>0.8</v>
      </c>
      <c r="G38" s="2067">
        <f>317.66/(24*G$2)</f>
        <v>0.42696236559139789</v>
      </c>
      <c r="H38" s="3195">
        <f t="shared" si="146"/>
        <v>0.79999999999999993</v>
      </c>
      <c r="I38" s="5996">
        <f t="shared" si="146"/>
        <v>0.23559426229508196</v>
      </c>
      <c r="J38" s="3065">
        <v>0.8</v>
      </c>
      <c r="K38" s="2067">
        <f>512.4/(24*K$2)</f>
        <v>0.71166666666666667</v>
      </c>
      <c r="L38" s="3192">
        <f t="shared" si="147"/>
        <v>0.79999999999999993</v>
      </c>
      <c r="M38" s="6002">
        <f t="shared" si="148"/>
        <v>0.39254120879120874</v>
      </c>
      <c r="N38" s="3451">
        <v>0.8</v>
      </c>
      <c r="O38" s="2067">
        <f>575.18/(24*O$2)</f>
        <v>0.77309139784946235</v>
      </c>
      <c r="P38" s="3195">
        <f t="shared" si="149"/>
        <v>0.79999999999999993</v>
      </c>
      <c r="Q38" s="5996">
        <f t="shared" si="150"/>
        <v>0.48923838797814206</v>
      </c>
      <c r="R38" s="3451">
        <v>0.8</v>
      </c>
      <c r="S38" s="2067">
        <f>449.3104/(24*S$2)</f>
        <v>0.60391182795698928</v>
      </c>
      <c r="T38" s="3195">
        <f t="shared" si="151"/>
        <v>0.79999999999999993</v>
      </c>
      <c r="U38" s="5996">
        <f t="shared" si="152"/>
        <v>0.51247287581699341</v>
      </c>
      <c r="V38" s="3451">
        <v>0.8</v>
      </c>
      <c r="W38" s="3861">
        <f>504.4424/(24*W$2)</f>
        <v>0.70061444444444443</v>
      </c>
      <c r="X38" s="3192">
        <f t="shared" si="153"/>
        <v>0.79999999999999993</v>
      </c>
      <c r="Y38" s="6002">
        <f t="shared" si="154"/>
        <v>0.69245144927536229</v>
      </c>
      <c r="Z38" s="7213">
        <f t="shared" si="155"/>
        <v>0.79999999999999982</v>
      </c>
      <c r="AA38" s="6841">
        <f t="shared" si="156"/>
        <v>0.54331575591985426</v>
      </c>
      <c r="AB38" s="3451">
        <v>0.8</v>
      </c>
      <c r="AC38" s="3861">
        <f>642.68/(24*AC$2)</f>
        <v>0.86381720430107523</v>
      </c>
      <c r="AD38" s="3195">
        <f t="shared" si="157"/>
        <v>0.79999999999999993</v>
      </c>
      <c r="AE38" s="5996">
        <f t="shared" si="158"/>
        <v>0.58974353582554517</v>
      </c>
      <c r="AF38" s="3451">
        <v>0.8</v>
      </c>
      <c r="AG38" s="2067">
        <f>563.07/(24*AG$2)</f>
        <v>0.78204166666666675</v>
      </c>
      <c r="AH38" s="3195">
        <f t="shared" si="159"/>
        <v>0.79999999999999993</v>
      </c>
      <c r="AI38" s="5996">
        <f t="shared" si="160"/>
        <v>0.61338674863387976</v>
      </c>
      <c r="AJ38" s="3451">
        <v>0.8</v>
      </c>
      <c r="AK38" s="3861">
        <f>446.89/(24*AK$2)</f>
        <v>0.60065860215053757</v>
      </c>
      <c r="AL38" s="3192">
        <f t="shared" si="161"/>
        <v>0.79999999999999993</v>
      </c>
      <c r="AM38" s="6002">
        <f t="shared" si="162"/>
        <v>0.74847826086956526</v>
      </c>
      <c r="AN38" s="3195">
        <f t="shared" si="163"/>
        <v>0.8</v>
      </c>
      <c r="AO38" s="5996">
        <f t="shared" si="164"/>
        <v>0.61195193939393944</v>
      </c>
      <c r="AP38" s="3451">
        <v>0.8</v>
      </c>
      <c r="AQ38" s="3861">
        <f>508.2672/(24*AQ$2)</f>
        <v>0.68315483870967741</v>
      </c>
      <c r="AR38" s="3195">
        <f t="shared" si="165"/>
        <v>0.8</v>
      </c>
      <c r="AS38" s="5996">
        <f t="shared" si="166"/>
        <v>0.61916530501089329</v>
      </c>
      <c r="AT38" s="3451">
        <v>0.8</v>
      </c>
      <c r="AU38" s="3861">
        <f>402.29/(24*AU$2)</f>
        <v>0.59864583333333332</v>
      </c>
      <c r="AV38" s="3195">
        <f t="shared" si="167"/>
        <v>0.79999999999999993</v>
      </c>
      <c r="AW38" s="5996">
        <f t="shared" si="168"/>
        <v>0.61744510978043909</v>
      </c>
      <c r="AX38" s="3451">
        <v>0.8</v>
      </c>
      <c r="AY38" s="3861">
        <v>0.73947850000000004</v>
      </c>
      <c r="AZ38" s="3192">
        <f t="shared" si="169"/>
        <v>0.8</v>
      </c>
      <c r="BA38" s="6002">
        <f t="shared" si="170"/>
        <v>0.67626352037037041</v>
      </c>
      <c r="BB38" s="3192">
        <f t="shared" si="171"/>
        <v>0.79999999999999993</v>
      </c>
      <c r="BC38" s="6002">
        <f t="shared" si="172"/>
        <v>2.5085437738095235</v>
      </c>
      <c r="BD38" s="7213">
        <f t="shared" si="173"/>
        <v>0.8</v>
      </c>
      <c r="BE38" s="6841">
        <f t="shared" si="174"/>
        <v>0.62780958949771692</v>
      </c>
    </row>
    <row r="39" spans="1:57" ht="16" thickBot="1" x14ac:dyDescent="0.25">
      <c r="B39" s="9058"/>
      <c r="C39" s="2774" t="s">
        <v>170</v>
      </c>
      <c r="D39" s="5971">
        <v>1029</v>
      </c>
      <c r="E39" s="1675">
        <v>48.66</v>
      </c>
      <c r="F39" s="5971">
        <v>1063</v>
      </c>
      <c r="G39" s="1675">
        <v>567.25</v>
      </c>
      <c r="H39" s="5976">
        <f t="shared" ref="H39" si="176">+D39+F39</f>
        <v>2092</v>
      </c>
      <c r="I39" s="5993">
        <f t="shared" ref="I39" si="177">+E39+G39</f>
        <v>615.91</v>
      </c>
      <c r="J39" s="5973">
        <v>1028.5714285714284</v>
      </c>
      <c r="K39" s="1646">
        <v>915.11</v>
      </c>
      <c r="L39" s="2875">
        <f t="shared" ref="L39" si="178">+H39+J39</f>
        <v>3120.5714285714284</v>
      </c>
      <c r="M39" s="2016">
        <f t="shared" ref="M39" si="179">+I39+K39</f>
        <v>1531.02</v>
      </c>
      <c r="N39" s="4810">
        <v>1063</v>
      </c>
      <c r="O39" s="1675">
        <v>1027.1099999999999</v>
      </c>
      <c r="P39" s="2785">
        <f t="shared" ref="P39" si="180">+L39+N39</f>
        <v>4183.5714285714284</v>
      </c>
      <c r="Q39" s="1827">
        <f t="shared" ref="Q39" si="181">+M39+O39</f>
        <v>2558.13</v>
      </c>
      <c r="R39" s="4810">
        <v>1062.8571428571429</v>
      </c>
      <c r="S39" s="1675">
        <v>802.33999999999992</v>
      </c>
      <c r="T39" s="2785">
        <f t="shared" ref="T39" si="182">+P39+R39</f>
        <v>5246.4285714285716</v>
      </c>
      <c r="U39" s="1827">
        <f t="shared" ref="U39" si="183">+Q39+S39</f>
        <v>3360.4700000000003</v>
      </c>
      <c r="V39" s="4810">
        <v>1028.5714285714284</v>
      </c>
      <c r="W39" s="1675">
        <v>900.79</v>
      </c>
      <c r="X39" s="2875">
        <f>+V39+R39+N39</f>
        <v>3154.4285714285716</v>
      </c>
      <c r="Y39" s="2016">
        <f>+W39+S39+O39</f>
        <v>2730.24</v>
      </c>
      <c r="Z39" s="6518">
        <f t="shared" ref="Z39" si="184">+T39+V39</f>
        <v>6275</v>
      </c>
      <c r="AA39" s="6590">
        <f t="shared" ref="AA39" si="185">+U39+W39</f>
        <v>4261.26</v>
      </c>
      <c r="AB39" s="4810">
        <v>1063</v>
      </c>
      <c r="AC39" s="1675">
        <v>1147.6400000000003</v>
      </c>
      <c r="AD39" s="2785">
        <f t="shared" ref="AD39" si="186">+Z39+AB39</f>
        <v>7338</v>
      </c>
      <c r="AE39" s="1827">
        <f t="shared" ref="AE39" si="187">+AA39+AC39</f>
        <v>5408.9000000000005</v>
      </c>
      <c r="AF39" s="4810">
        <v>1028.5714285714284</v>
      </c>
      <c r="AG39" s="1675">
        <v>1005.4800000000002</v>
      </c>
      <c r="AH39" s="2785">
        <f t="shared" ref="AH39" si="188">+AD39+AF39</f>
        <v>8366.5714285714275</v>
      </c>
      <c r="AI39" s="1827">
        <f t="shared" ref="AI39" si="189">+AE39+AG39</f>
        <v>6414.380000000001</v>
      </c>
      <c r="AJ39" s="4810">
        <v>1062.8571428571429</v>
      </c>
      <c r="AK39" s="1675">
        <v>798.02</v>
      </c>
      <c r="AL39" s="2875">
        <f>+AJ39+AF39+AB39</f>
        <v>3154.4285714285716</v>
      </c>
      <c r="AM39" s="2016">
        <f>+AK39+AG39+AC39</f>
        <v>2951.1400000000003</v>
      </c>
      <c r="AN39" s="2785">
        <f t="shared" ref="AN39" si="190">+AH39+AJ39</f>
        <v>9429.4285714285706</v>
      </c>
      <c r="AO39" s="1827">
        <f t="shared" ref="AO39" si="191">+AI39+AK39</f>
        <v>7212.4000000000015</v>
      </c>
      <c r="AP39" s="4810">
        <v>1062.8571428571429</v>
      </c>
      <c r="AQ39" s="1675">
        <v>907.62</v>
      </c>
      <c r="AR39" s="2785">
        <f t="shared" ref="AR39" si="192">+AN39+AP39</f>
        <v>10492.285714285714</v>
      </c>
      <c r="AS39" s="1827">
        <f t="shared" ref="AS39" si="193">+AO39+AQ39</f>
        <v>8120.0200000000013</v>
      </c>
      <c r="AT39" s="4810">
        <v>960</v>
      </c>
      <c r="AU39" s="1675">
        <v>718.37</v>
      </c>
      <c r="AV39" s="2785">
        <f t="shared" ref="AV39" si="194">+AR39+AT39</f>
        <v>11452.285714285714</v>
      </c>
      <c r="AW39" s="1827">
        <f t="shared" ref="AW39" si="195">+AS39+AU39</f>
        <v>8838.3900000000012</v>
      </c>
      <c r="AX39" s="4810">
        <v>1063</v>
      </c>
      <c r="AY39" s="1675">
        <v>982.45</v>
      </c>
      <c r="AZ39" s="2875">
        <f>+AX39+AT39+AP39</f>
        <v>3085.8571428571431</v>
      </c>
      <c r="BA39" s="2016">
        <f>+AY39+AU39+AQ39</f>
        <v>2608.44</v>
      </c>
      <c r="BB39" s="2875">
        <f t="shared" ref="BB39" si="196">+AZ39+AL39</f>
        <v>6240.2857142857147</v>
      </c>
      <c r="BC39" s="2016">
        <f>+BA39+AW39+AS39</f>
        <v>19566.850000000002</v>
      </c>
      <c r="BD39" s="6518">
        <f t="shared" ref="BD39" si="197">+AV39+AX39</f>
        <v>12515.285714285714</v>
      </c>
      <c r="BE39" s="6590">
        <f t="shared" ref="BE39" si="198">+AW39+AY39</f>
        <v>9820.840000000002</v>
      </c>
    </row>
    <row r="40" spans="1:57" ht="17" thickBot="1" x14ac:dyDescent="0.25">
      <c r="B40" s="1655" t="s">
        <v>97</v>
      </c>
      <c r="C40" s="1562" t="s">
        <v>1243</v>
      </c>
      <c r="D40" s="2685">
        <f>SUM(D36:D38)</f>
        <v>1.4220000000000002</v>
      </c>
      <c r="E40" s="2685">
        <f t="shared" ref="E40:AI40" si="199">SUM(E36:E38)</f>
        <v>0.48187499999999994</v>
      </c>
      <c r="F40" s="2685">
        <f t="shared" si="199"/>
        <v>1.4220000000000002</v>
      </c>
      <c r="G40" s="2685">
        <f t="shared" si="199"/>
        <v>0.75453225806451618</v>
      </c>
      <c r="H40" s="2685">
        <f t="shared" si="199"/>
        <v>1.4219999999999999</v>
      </c>
      <c r="I40" s="2685">
        <f t="shared" si="199"/>
        <v>0.6204385245901638</v>
      </c>
      <c r="J40" s="2685">
        <f t="shared" si="199"/>
        <v>1.4220000000000002</v>
      </c>
      <c r="K40" s="2685">
        <f t="shared" si="199"/>
        <v>1.151188888888889</v>
      </c>
      <c r="L40" s="2685">
        <f t="shared" si="199"/>
        <v>1.4219999999999999</v>
      </c>
      <c r="M40" s="2685">
        <f t="shared" si="199"/>
        <v>0.79541117216117208</v>
      </c>
      <c r="N40" s="2685">
        <f t="shared" si="199"/>
        <v>1.4220000000000002</v>
      </c>
      <c r="O40" s="2685">
        <f t="shared" si="199"/>
        <v>1.2335080645161289</v>
      </c>
      <c r="P40" s="2685">
        <f t="shared" si="199"/>
        <v>1.4219999999999999</v>
      </c>
      <c r="Q40" s="2685">
        <f t="shared" si="199"/>
        <v>0.90673087431693988</v>
      </c>
      <c r="R40" s="2685">
        <f t="shared" si="199"/>
        <v>1.4220000000000002</v>
      </c>
      <c r="S40" s="2685">
        <f t="shared" si="199"/>
        <v>1.1303118279569893</v>
      </c>
      <c r="T40" s="2685">
        <f t="shared" si="199"/>
        <v>1.4219999999999999</v>
      </c>
      <c r="U40" s="2685">
        <f t="shared" si="199"/>
        <v>0.95203159041394336</v>
      </c>
      <c r="V40" s="2685">
        <f t="shared" si="199"/>
        <v>1.4220000000000002</v>
      </c>
      <c r="W40" s="2685">
        <f t="shared" si="199"/>
        <v>0.98209222222222214</v>
      </c>
      <c r="X40" s="2685">
        <f t="shared" si="199"/>
        <v>1.4219999999999999</v>
      </c>
      <c r="Y40" s="2685">
        <f t="shared" si="199"/>
        <v>1.1167519927536231</v>
      </c>
      <c r="Z40" s="2685">
        <f t="shared" si="199"/>
        <v>1.4219999999999997</v>
      </c>
      <c r="AA40" s="2685">
        <f t="shared" si="199"/>
        <v>0.95695956284152994</v>
      </c>
      <c r="AB40" s="2685">
        <f t="shared" si="199"/>
        <v>1.4220000000000002</v>
      </c>
      <c r="AC40" s="2685">
        <f t="shared" si="199"/>
        <v>1.2647043010752688</v>
      </c>
      <c r="AD40" s="2685">
        <f t="shared" si="199"/>
        <v>1.4219999999999999</v>
      </c>
      <c r="AE40" s="2685">
        <f t="shared" si="199"/>
        <v>1.0015394080996884</v>
      </c>
      <c r="AF40" s="2685">
        <f t="shared" si="199"/>
        <v>1.4220000000000002</v>
      </c>
      <c r="AG40" s="2685">
        <f t="shared" si="199"/>
        <v>1.1455000000000002</v>
      </c>
      <c r="AH40" s="2685">
        <f t="shared" si="199"/>
        <v>1.4219999999999999</v>
      </c>
      <c r="AI40" s="2685">
        <f t="shared" si="199"/>
        <v>1.0192394808743168</v>
      </c>
      <c r="AJ40" s="2685">
        <f t="shared" ref="AJ40:AO40" si="200">SUM(AJ36:AJ38)</f>
        <v>1.4220000000000002</v>
      </c>
      <c r="AK40" s="2685">
        <f t="shared" si="200"/>
        <v>1.0128360215053762</v>
      </c>
      <c r="AL40" s="2685">
        <f t="shared" si="200"/>
        <v>1.4219999999999999</v>
      </c>
      <c r="AM40" s="2685">
        <f t="shared" si="200"/>
        <v>1.1409646739130435</v>
      </c>
      <c r="AN40" s="2685">
        <f t="shared" si="200"/>
        <v>1.4220000000000002</v>
      </c>
      <c r="AO40" s="2685">
        <f t="shared" si="200"/>
        <v>1.0185176363636363</v>
      </c>
      <c r="AP40" s="2685">
        <f t="shared" ref="AP40:AT40" si="201">SUM(AP36:AP38)</f>
        <v>1.4220000000000002</v>
      </c>
      <c r="AQ40" s="2685">
        <f t="shared" si="201"/>
        <v>1.2694236559139784</v>
      </c>
      <c r="AR40" s="2685">
        <f t="shared" si="201"/>
        <v>1.4220000000000002</v>
      </c>
      <c r="AS40" s="2685">
        <f t="shared" si="201"/>
        <v>1.0439362200435731</v>
      </c>
      <c r="AT40" s="2685">
        <f t="shared" si="201"/>
        <v>1.4220000000000002</v>
      </c>
      <c r="AU40" s="2685">
        <f t="shared" ref="AU40:AX40" si="202">SUM(AU36:AU38)</f>
        <v>1.1383184523809524</v>
      </c>
      <c r="AV40" s="2685">
        <f t="shared" si="202"/>
        <v>1.4219999999999999</v>
      </c>
      <c r="AW40" s="2685">
        <f t="shared" si="202"/>
        <v>1.0518485029940119</v>
      </c>
      <c r="AX40" s="2685">
        <f t="shared" si="202"/>
        <v>1.4220000000000002</v>
      </c>
      <c r="AY40" s="2685">
        <f t="shared" ref="AY40:BE40" si="203">SUM(AY36:AY38)</f>
        <v>1.2321129</v>
      </c>
      <c r="AZ40" s="2685">
        <f t="shared" si="203"/>
        <v>1.4220000000000002</v>
      </c>
      <c r="BA40" s="2685">
        <f t="shared" si="203"/>
        <v>1.2157838877777778</v>
      </c>
      <c r="BB40" s="2685">
        <f t="shared" ref="BB40:BC40" si="204">SUM(BB36:BB38)</f>
        <v>1.4219999999999999</v>
      </c>
      <c r="BC40" s="2685">
        <f t="shared" si="204"/>
        <v>4.2867166661172158</v>
      </c>
      <c r="BD40" s="2685">
        <f t="shared" si="203"/>
        <v>1.4220000000000002</v>
      </c>
      <c r="BE40" s="2685">
        <f t="shared" si="203"/>
        <v>1.0671586298630138</v>
      </c>
    </row>
    <row r="41" spans="1:57" x14ac:dyDescent="0.2">
      <c r="B41" s="1832"/>
      <c r="C41" s="1832"/>
      <c r="D41" s="5941"/>
      <c r="E41" s="1832"/>
      <c r="F41" s="5941"/>
      <c r="G41" s="1832"/>
      <c r="AP41" s="8094"/>
      <c r="AQ41" s="8094"/>
    </row>
    <row r="42" spans="1:57" x14ac:dyDescent="0.2">
      <c r="B42" s="1832" t="s">
        <v>1026</v>
      </c>
      <c r="C42" s="3405" t="s">
        <v>1241</v>
      </c>
    </row>
    <row r="43" spans="1:57" x14ac:dyDescent="0.2">
      <c r="B43" s="1832" t="s">
        <v>1025</v>
      </c>
      <c r="C43" s="3405" t="s">
        <v>1242</v>
      </c>
    </row>
    <row r="44" spans="1:57" x14ac:dyDescent="0.2">
      <c r="B44" s="1833" t="s">
        <v>1025</v>
      </c>
      <c r="C44" s="1833"/>
    </row>
  </sheetData>
  <mergeCells count="53">
    <mergeCell ref="AX3:AY3"/>
    <mergeCell ref="AZ3:BA3"/>
    <mergeCell ref="BD3:BE3"/>
    <mergeCell ref="BA29:BA30"/>
    <mergeCell ref="BE29:BE30"/>
    <mergeCell ref="BB3:BC3"/>
    <mergeCell ref="BC29:BC30"/>
    <mergeCell ref="AN3:AO3"/>
    <mergeCell ref="AM29:AM30"/>
    <mergeCell ref="AO29:AO30"/>
    <mergeCell ref="B38:B39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E29:E30"/>
    <mergeCell ref="B32:B33"/>
    <mergeCell ref="V3:W3"/>
    <mergeCell ref="Z3:AA3"/>
    <mergeCell ref="X3:Y3"/>
    <mergeCell ref="M29:M30"/>
    <mergeCell ref="Q29:Q30"/>
    <mergeCell ref="U29:U30"/>
    <mergeCell ref="Y29:Y30"/>
    <mergeCell ref="AA29:AA30"/>
    <mergeCell ref="T3:U3"/>
    <mergeCell ref="L3:M3"/>
    <mergeCell ref="P3:Q3"/>
    <mergeCell ref="N3:O3"/>
    <mergeCell ref="R3:S3"/>
    <mergeCell ref="AT3:AU3"/>
    <mergeCell ref="AV3:AW3"/>
    <mergeCell ref="AW29:AW30"/>
    <mergeCell ref="G29:G30"/>
    <mergeCell ref="I29:I30"/>
    <mergeCell ref="AB3:AC3"/>
    <mergeCell ref="AD3:AE3"/>
    <mergeCell ref="AE29:AE30"/>
    <mergeCell ref="AP3:AQ3"/>
    <mergeCell ref="AR3:AS3"/>
    <mergeCell ref="AS29:AS30"/>
    <mergeCell ref="AF3:AG3"/>
    <mergeCell ref="AH3:AI3"/>
    <mergeCell ref="AI29:AI30"/>
    <mergeCell ref="AJ3:AK3"/>
    <mergeCell ref="AL3:AM3"/>
  </mergeCells>
  <pageMargins left="0.7" right="0.7" top="0.75" bottom="0.75" header="0.3" footer="0.3"/>
  <pageSetup scale="87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660066"/>
    <pageSetUpPr fitToPage="1"/>
  </sheetPr>
  <dimension ref="C2:BF106"/>
  <sheetViews>
    <sheetView zoomScale="95" zoomScaleNormal="95" workbookViewId="0">
      <pane xSplit="4" topLeftCell="AT1" activePane="topRight" state="frozen"/>
      <selection pane="topRight" activeCell="AU77" sqref="AU77"/>
    </sheetView>
  </sheetViews>
  <sheetFormatPr baseColWidth="10" defaultColWidth="8.83203125" defaultRowHeight="15" x14ac:dyDescent="0.2"/>
  <cols>
    <col min="3" max="3" width="40.33203125" customWidth="1"/>
    <col min="4" max="4" width="12.6640625" customWidth="1"/>
    <col min="5" max="5" width="12.5" customWidth="1"/>
    <col min="6" max="6" width="13.33203125" customWidth="1"/>
    <col min="7" max="7" width="12.5" customWidth="1"/>
    <col min="8" max="8" width="10.33203125" customWidth="1"/>
    <col min="9" max="18" width="9.33203125" customWidth="1"/>
    <col min="19" max="19" width="9.1640625" customWidth="1"/>
    <col min="20" max="20" width="10.33203125" customWidth="1"/>
    <col min="21" max="24" width="9.1640625" customWidth="1"/>
    <col min="25" max="25" width="10.33203125" style="7129" customWidth="1"/>
    <col min="26" max="26" width="9.1640625" style="7129" customWidth="1"/>
    <col min="27" max="32" width="9.1640625" customWidth="1"/>
    <col min="34" max="34" width="13.33203125" bestFit="1" customWidth="1"/>
    <col min="36" max="36" width="13.33203125" bestFit="1" customWidth="1"/>
    <col min="38" max="38" width="13.33203125" bestFit="1" customWidth="1"/>
    <col min="40" max="40" width="13.33203125" bestFit="1" customWidth="1"/>
    <col min="42" max="42" width="13.33203125" bestFit="1" customWidth="1"/>
    <col min="45" max="46" width="9" bestFit="1" customWidth="1"/>
    <col min="51" max="51" width="11" style="8338" customWidth="1"/>
    <col min="52" max="52" width="9.1640625" style="8338"/>
    <col min="53" max="53" width="10.33203125" style="8338" customWidth="1"/>
    <col min="54" max="54" width="9.1640625" style="8338" customWidth="1"/>
    <col min="55" max="55" width="12.5" style="8338" customWidth="1"/>
    <col min="56" max="56" width="13" style="8338" customWidth="1"/>
    <col min="57" max="57" width="12.83203125" style="8338" customWidth="1"/>
    <col min="58" max="58" width="13.33203125" style="8338" customWidth="1"/>
  </cols>
  <sheetData>
    <row r="2" spans="3:58" x14ac:dyDescent="0.2">
      <c r="C2" s="9098" t="s">
        <v>287</v>
      </c>
    </row>
    <row r="3" spans="3:58" ht="16" thickBot="1" x14ac:dyDescent="0.25">
      <c r="C3" s="9099"/>
      <c r="E3" s="5780">
        <v>30</v>
      </c>
      <c r="F3" s="5780">
        <v>30</v>
      </c>
      <c r="G3" s="5780">
        <v>31</v>
      </c>
      <c r="H3" s="5780">
        <v>31</v>
      </c>
      <c r="I3" s="5780">
        <f>+E3+G3</f>
        <v>61</v>
      </c>
      <c r="J3" s="5780">
        <f>+F3+H3</f>
        <v>61</v>
      </c>
      <c r="K3" s="5780">
        <v>30</v>
      </c>
      <c r="L3" s="5780">
        <v>30</v>
      </c>
      <c r="M3" s="5780">
        <f>+I3+K3</f>
        <v>91</v>
      </c>
      <c r="N3" s="5780">
        <f>+J3+L3</f>
        <v>91</v>
      </c>
      <c r="O3" s="5780">
        <v>31</v>
      </c>
      <c r="P3" s="5780">
        <v>31</v>
      </c>
      <c r="Q3" s="5780">
        <f>+M3+O3</f>
        <v>122</v>
      </c>
      <c r="R3" s="5780">
        <f>+N3+P3</f>
        <v>122</v>
      </c>
      <c r="S3" s="5780">
        <v>31</v>
      </c>
      <c r="T3" s="5780">
        <v>31</v>
      </c>
      <c r="U3" s="5780">
        <f>+Q3+S3</f>
        <v>153</v>
      </c>
      <c r="V3" s="5780">
        <f>+R3+T3</f>
        <v>153</v>
      </c>
      <c r="W3" s="5780">
        <v>30</v>
      </c>
      <c r="X3" s="5780">
        <v>30</v>
      </c>
      <c r="Y3" s="5780">
        <f>+O3+S3+W3</f>
        <v>92</v>
      </c>
      <c r="Z3" s="5780">
        <f>+P3+T3+X3</f>
        <v>92</v>
      </c>
      <c r="AA3" s="5780">
        <f>+U3+W3</f>
        <v>183</v>
      </c>
      <c r="AB3" s="5780">
        <f>+V3+X3</f>
        <v>183</v>
      </c>
      <c r="AC3" s="5780">
        <v>31</v>
      </c>
      <c r="AD3" s="5780">
        <v>31</v>
      </c>
      <c r="AE3" s="5780">
        <f>+AA3+AC3</f>
        <v>214</v>
      </c>
      <c r="AF3" s="5780">
        <f>+AB3+AD3</f>
        <v>214</v>
      </c>
      <c r="AG3" s="5780">
        <v>30</v>
      </c>
      <c r="AH3" s="5780">
        <v>30</v>
      </c>
      <c r="AI3" s="5780">
        <f>+AE3+AG3</f>
        <v>244</v>
      </c>
      <c r="AJ3" s="5780">
        <f>+AF3+AH3</f>
        <v>244</v>
      </c>
      <c r="AK3" s="5780">
        <v>31</v>
      </c>
      <c r="AL3" s="5780">
        <v>31</v>
      </c>
      <c r="AM3" s="5780">
        <f>+AC3+AG3+AK3</f>
        <v>92</v>
      </c>
      <c r="AN3" s="5780">
        <f>+AD3+AH3+AL3</f>
        <v>92</v>
      </c>
      <c r="AO3" s="5780">
        <f>+AI3+AK3</f>
        <v>275</v>
      </c>
      <c r="AP3" s="5780">
        <f>+AJ3+AL3</f>
        <v>275</v>
      </c>
      <c r="AQ3" s="5780">
        <v>31</v>
      </c>
      <c r="AR3" s="5780">
        <v>31</v>
      </c>
      <c r="AS3" s="5780">
        <f>+AO3+AQ3</f>
        <v>306</v>
      </c>
      <c r="AT3" s="5780">
        <f>+AP3+AR3</f>
        <v>306</v>
      </c>
      <c r="AU3">
        <v>28</v>
      </c>
      <c r="AV3" s="5780">
        <v>28</v>
      </c>
      <c r="AW3">
        <f>+AS3+AU3</f>
        <v>334</v>
      </c>
      <c r="AX3">
        <f>+AT3+AV3</f>
        <v>334</v>
      </c>
      <c r="AY3" s="8338">
        <v>31</v>
      </c>
      <c r="AZ3" s="5780">
        <v>31</v>
      </c>
      <c r="BA3" s="5780">
        <f>+AQ3+AU3+AY3</f>
        <v>90</v>
      </c>
      <c r="BB3" s="5780">
        <f>+AR3+AV3+AZ3</f>
        <v>90</v>
      </c>
      <c r="BC3" s="5780">
        <f>+BA3+AM3</f>
        <v>182</v>
      </c>
      <c r="BD3" s="5780">
        <f>+BB3+AN3</f>
        <v>182</v>
      </c>
      <c r="BE3" s="5780">
        <f>+AW3+AY3</f>
        <v>365</v>
      </c>
      <c r="BF3" s="5780">
        <f>+AX3+AZ3</f>
        <v>365</v>
      </c>
    </row>
    <row r="4" spans="3:58" s="3380" customFormat="1" ht="16" thickBot="1" x14ac:dyDescent="0.25">
      <c r="C4" s="9100" t="s">
        <v>1174</v>
      </c>
      <c r="D4" s="9102" t="s">
        <v>658</v>
      </c>
      <c r="E4" s="9104" t="s">
        <v>1859</v>
      </c>
      <c r="F4" s="9105"/>
      <c r="G4" s="9086" t="s">
        <v>1862</v>
      </c>
      <c r="H4" s="9086"/>
      <c r="I4" s="8605" t="s">
        <v>52</v>
      </c>
      <c r="J4" s="8606"/>
      <c r="K4" s="9066" t="s">
        <v>1863</v>
      </c>
      <c r="L4" s="9067"/>
      <c r="M4" s="9080" t="s">
        <v>1568</v>
      </c>
      <c r="N4" s="9069"/>
      <c r="O4" s="9086" t="s">
        <v>1864</v>
      </c>
      <c r="P4" s="9086"/>
      <c r="Q4" s="9068" t="s">
        <v>62</v>
      </c>
      <c r="R4" s="9069"/>
      <c r="S4" s="9086" t="s">
        <v>2160</v>
      </c>
      <c r="T4" s="9086"/>
      <c r="U4" s="9068" t="s">
        <v>64</v>
      </c>
      <c r="V4" s="9069"/>
      <c r="W4" s="9086" t="s">
        <v>2227</v>
      </c>
      <c r="X4" s="9086"/>
      <c r="Y4" s="9080" t="s">
        <v>1717</v>
      </c>
      <c r="Z4" s="9069"/>
      <c r="AA4" s="9068" t="s">
        <v>1697</v>
      </c>
      <c r="AB4" s="9069"/>
      <c r="AC4" s="8644" t="s">
        <v>2265</v>
      </c>
      <c r="AD4" s="8644"/>
      <c r="AE4" s="9111" t="s">
        <v>101</v>
      </c>
      <c r="AF4" s="9112"/>
      <c r="AG4" s="9086" t="s">
        <v>2423</v>
      </c>
      <c r="AH4" s="9086"/>
      <c r="AI4" s="9068" t="s">
        <v>105</v>
      </c>
      <c r="AJ4" s="9069"/>
      <c r="AK4" s="9086" t="s">
        <v>2449</v>
      </c>
      <c r="AL4" s="9086"/>
      <c r="AM4" s="9080" t="s">
        <v>1756</v>
      </c>
      <c r="AN4" s="9069"/>
      <c r="AO4" s="9068" t="s">
        <v>2448</v>
      </c>
      <c r="AP4" s="9081"/>
      <c r="AQ4" s="9066" t="s">
        <v>2533</v>
      </c>
      <c r="AR4" s="9067"/>
      <c r="AS4" s="9068" t="s">
        <v>110</v>
      </c>
      <c r="AT4" s="9069"/>
      <c r="AU4" s="9066" t="s">
        <v>2577</v>
      </c>
      <c r="AV4" s="9067"/>
      <c r="AW4" s="9068" t="s">
        <v>113</v>
      </c>
      <c r="AX4" s="9069"/>
      <c r="AY4" s="9066" t="s">
        <v>2600</v>
      </c>
      <c r="AZ4" s="9067"/>
      <c r="BA4" s="9080" t="s">
        <v>1717</v>
      </c>
      <c r="BB4" s="9069"/>
      <c r="BC4" s="9066" t="s">
        <v>1842</v>
      </c>
      <c r="BD4" s="9067"/>
      <c r="BE4" s="9068" t="s">
        <v>1865</v>
      </c>
      <c r="BF4" s="9069"/>
    </row>
    <row r="5" spans="3:58" s="3380" customFormat="1" ht="16" thickBot="1" x14ac:dyDescent="0.25">
      <c r="C5" s="9101"/>
      <c r="D5" s="9103"/>
      <c r="E5" s="5671" t="s">
        <v>659</v>
      </c>
      <c r="F5" s="5672" t="s">
        <v>660</v>
      </c>
      <c r="G5" s="4659" t="s">
        <v>659</v>
      </c>
      <c r="H5" s="4767" t="s">
        <v>660</v>
      </c>
      <c r="I5" s="5446" t="s">
        <v>659</v>
      </c>
      <c r="J5" s="1701" t="s">
        <v>660</v>
      </c>
      <c r="K5" s="4659" t="s">
        <v>659</v>
      </c>
      <c r="L5" s="4767" t="s">
        <v>660</v>
      </c>
      <c r="M5" s="4657" t="s">
        <v>659</v>
      </c>
      <c r="N5" s="4766" t="s">
        <v>660</v>
      </c>
      <c r="O5" s="4659" t="s">
        <v>659</v>
      </c>
      <c r="P5" s="4767" t="s">
        <v>660</v>
      </c>
      <c r="Q5" s="4657" t="s">
        <v>659</v>
      </c>
      <c r="R5" s="4766" t="s">
        <v>660</v>
      </c>
      <c r="S5" s="6433" t="s">
        <v>659</v>
      </c>
      <c r="T5" s="4767" t="s">
        <v>660</v>
      </c>
      <c r="U5" s="6430" t="s">
        <v>659</v>
      </c>
      <c r="V5" s="4766" t="s">
        <v>660</v>
      </c>
      <c r="W5" s="7166" t="s">
        <v>659</v>
      </c>
      <c r="X5" s="4767" t="s">
        <v>660</v>
      </c>
      <c r="Y5" s="7168" t="s">
        <v>659</v>
      </c>
      <c r="Z5" s="4766" t="s">
        <v>660</v>
      </c>
      <c r="AA5" s="7168" t="s">
        <v>659</v>
      </c>
      <c r="AB5" s="4766" t="s">
        <v>660</v>
      </c>
      <c r="AC5" s="7381" t="s">
        <v>659</v>
      </c>
      <c r="AD5" s="4767" t="s">
        <v>660</v>
      </c>
      <c r="AE5" s="7378" t="s">
        <v>659</v>
      </c>
      <c r="AF5" s="4766" t="s">
        <v>660</v>
      </c>
      <c r="AG5" s="7631" t="s">
        <v>659</v>
      </c>
      <c r="AH5" s="4767" t="s">
        <v>660</v>
      </c>
      <c r="AI5" s="7630" t="s">
        <v>659</v>
      </c>
      <c r="AJ5" s="4766" t="s">
        <v>660</v>
      </c>
      <c r="AK5" s="7791" t="s">
        <v>659</v>
      </c>
      <c r="AL5" s="4767" t="s">
        <v>660</v>
      </c>
      <c r="AM5" s="7789" t="s">
        <v>659</v>
      </c>
      <c r="AN5" s="4766" t="s">
        <v>660</v>
      </c>
      <c r="AO5" s="7789" t="s">
        <v>659</v>
      </c>
      <c r="AP5" s="4767" t="s">
        <v>660</v>
      </c>
      <c r="AQ5" s="8092" t="s">
        <v>659</v>
      </c>
      <c r="AR5" s="4766" t="s">
        <v>660</v>
      </c>
      <c r="AS5" s="8115" t="s">
        <v>659</v>
      </c>
      <c r="AT5" s="4766" t="s">
        <v>660</v>
      </c>
      <c r="AU5" s="8180" t="s">
        <v>659</v>
      </c>
      <c r="AV5" s="4766" t="s">
        <v>660</v>
      </c>
      <c r="AW5" s="8180" t="s">
        <v>659</v>
      </c>
      <c r="AX5" s="4766" t="s">
        <v>660</v>
      </c>
      <c r="AY5" s="8359" t="s">
        <v>659</v>
      </c>
      <c r="AZ5" s="4766" t="s">
        <v>660</v>
      </c>
      <c r="BA5" s="8359" t="s">
        <v>659</v>
      </c>
      <c r="BB5" s="4766" t="s">
        <v>660</v>
      </c>
      <c r="BC5" s="8359" t="s">
        <v>659</v>
      </c>
      <c r="BD5" s="4767" t="s">
        <v>660</v>
      </c>
      <c r="BE5" s="8359" t="s">
        <v>659</v>
      </c>
      <c r="BF5" s="4766" t="s">
        <v>660</v>
      </c>
    </row>
    <row r="6" spans="3:58" ht="18" x14ac:dyDescent="0.2">
      <c r="C6" s="5240" t="s">
        <v>1159</v>
      </c>
      <c r="D6" s="5229"/>
      <c r="E6" s="5237"/>
      <c r="F6" s="5670"/>
      <c r="G6" s="2094"/>
      <c r="H6" s="2094"/>
      <c r="I6" s="5485"/>
      <c r="J6" s="5486"/>
      <c r="K6" s="2094"/>
      <c r="L6" s="2094"/>
      <c r="M6" s="2094"/>
      <c r="N6" s="2097"/>
      <c r="O6" s="2094"/>
      <c r="P6" s="2094"/>
      <c r="Q6" s="2094"/>
      <c r="R6" s="2094"/>
      <c r="S6" s="2094"/>
      <c r="T6" s="2094"/>
      <c r="U6" s="2094"/>
      <c r="V6" s="2094"/>
      <c r="W6" s="2094"/>
      <c r="X6" s="2094"/>
      <c r="Y6" s="2094"/>
      <c r="Z6" s="2097"/>
      <c r="AA6" s="2094"/>
      <c r="AB6" s="2094"/>
      <c r="AC6" s="2094"/>
      <c r="AD6" s="2094"/>
      <c r="AE6" s="2094"/>
      <c r="AF6" s="2094"/>
      <c r="AG6" s="2094"/>
      <c r="AH6" s="2094"/>
      <c r="AI6" s="2094"/>
      <c r="AJ6" s="2094"/>
      <c r="AK6" s="2094"/>
      <c r="AL6" s="2094"/>
      <c r="AM6" s="2094"/>
      <c r="AN6" s="2097"/>
      <c r="AO6" s="2094"/>
      <c r="AP6" s="2094"/>
      <c r="AQ6" s="8123"/>
      <c r="AR6" s="2097"/>
      <c r="AS6" s="2094"/>
      <c r="AT6" s="2094"/>
      <c r="AU6" s="8123"/>
      <c r="AV6" s="2097"/>
      <c r="AW6" s="2094"/>
      <c r="AX6" s="2094"/>
      <c r="AY6" s="8123"/>
      <c r="AZ6" s="2097"/>
      <c r="BA6" s="2094"/>
      <c r="BB6" s="2097"/>
      <c r="BC6" s="2094"/>
      <c r="BD6" s="2094"/>
      <c r="BE6" s="2094"/>
      <c r="BF6" s="2094"/>
    </row>
    <row r="7" spans="3:58" x14ac:dyDescent="0.2">
      <c r="C7" s="1605" t="s">
        <v>1160</v>
      </c>
      <c r="D7" s="1923" t="s">
        <v>170</v>
      </c>
      <c r="E7" s="5203">
        <f>+E33*$E$35/1000</f>
        <v>27581.621601682647</v>
      </c>
      <c r="F7" s="3443">
        <v>34720</v>
      </c>
      <c r="G7" s="5450">
        <f>+G33*$E$35/1000</f>
        <v>28650.608900556763</v>
      </c>
      <c r="H7" s="3443">
        <v>32538</v>
      </c>
      <c r="I7" s="5449">
        <f>+E7+G7</f>
        <v>56232.230502239414</v>
      </c>
      <c r="J7" s="1706">
        <f>+F7+H7</f>
        <v>67258</v>
      </c>
      <c r="K7" s="5782">
        <f>+K33*$E$35/1000</f>
        <v>34547.851943876653</v>
      </c>
      <c r="L7" s="3443">
        <v>37180</v>
      </c>
      <c r="M7" s="5783">
        <f>+I7+K7</f>
        <v>90780.082446116066</v>
      </c>
      <c r="N7" s="1997">
        <f>+J7+L7</f>
        <v>104438</v>
      </c>
      <c r="O7" s="5918">
        <f>+O33*$F$35/1000</f>
        <v>47198.21051965691</v>
      </c>
      <c r="P7" s="3443">
        <v>41075</v>
      </c>
      <c r="Q7" s="5919">
        <f>+M7+O7</f>
        <v>137978.29296577297</v>
      </c>
      <c r="R7" s="1706">
        <f>+N7+P7</f>
        <v>145513</v>
      </c>
      <c r="S7" s="5986">
        <f>+S33*$F$35/1000</f>
        <v>46923.230549940541</v>
      </c>
      <c r="T7" s="3443">
        <v>41632</v>
      </c>
      <c r="U7" s="6428">
        <f>+Q7+S7</f>
        <v>184901.52351571352</v>
      </c>
      <c r="V7" s="1706">
        <f>+R7+T7</f>
        <v>187145</v>
      </c>
      <c r="W7" s="5986">
        <f>+W33*$E$35/1000</f>
        <v>46305.645590802531</v>
      </c>
      <c r="X7" s="3443">
        <v>26275</v>
      </c>
      <c r="Y7" s="5783">
        <f>+O7+S7+W7</f>
        <v>140427.08666039997</v>
      </c>
      <c r="Z7" s="5783">
        <f>+P7+T7+X7</f>
        <v>108982</v>
      </c>
      <c r="AA7" s="6614">
        <f>+U7+W7</f>
        <v>231207.16910651606</v>
      </c>
      <c r="AB7" s="6614">
        <f>+V7+X7</f>
        <v>213420</v>
      </c>
      <c r="AC7" s="5986">
        <f>+AC33*$F$35/1000</f>
        <v>24352.473578721678</v>
      </c>
      <c r="AD7" s="3443">
        <v>23294</v>
      </c>
      <c r="AE7" s="7371">
        <f>+AA7+AC7</f>
        <v>255559.64268523775</v>
      </c>
      <c r="AF7" s="1706">
        <f>+AB7+AD7</f>
        <v>236714</v>
      </c>
      <c r="AG7" s="5986">
        <f>+AG33*$F$35/1000</f>
        <v>46069.278014040901</v>
      </c>
      <c r="AH7" s="3443">
        <v>29922</v>
      </c>
      <c r="AI7" s="7394">
        <f>+AE7+AG7</f>
        <v>301628.92069927865</v>
      </c>
      <c r="AJ7" s="1706">
        <f>+AF7+AH7</f>
        <v>266636</v>
      </c>
      <c r="AK7" s="5986">
        <f>+AK33*$E$35/1000</f>
        <v>48338.02276030436</v>
      </c>
      <c r="AL7" s="3443">
        <v>36232</v>
      </c>
      <c r="AM7" s="5783">
        <f>+AC7+AG7+AK7</f>
        <v>118759.77435306694</v>
      </c>
      <c r="AN7" s="5783">
        <f>+AD7+AH7+AL7</f>
        <v>89448</v>
      </c>
      <c r="AO7" s="7394">
        <f>+AI7+AK7</f>
        <v>349966.94345958298</v>
      </c>
      <c r="AP7" s="8117">
        <f>+AJ7+AL7</f>
        <v>302868</v>
      </c>
      <c r="AQ7" s="2677">
        <f>+AQ33*$E$35/1000</f>
        <v>47563.108299486114</v>
      </c>
      <c r="AR7" s="3443">
        <v>46761</v>
      </c>
      <c r="AS7" s="7394">
        <f>+AO7+AQ7</f>
        <v>397530.05175906909</v>
      </c>
      <c r="AT7" s="1706">
        <f>+AP7+AR7</f>
        <v>349629</v>
      </c>
      <c r="AU7" s="2677">
        <f>+AU33*$E$35/1000</f>
        <v>43962.235996284042</v>
      </c>
      <c r="AV7" s="3443">
        <v>42885</v>
      </c>
      <c r="AW7" s="7394">
        <f>+AS7+AU7</f>
        <v>441492.28775535314</v>
      </c>
      <c r="AX7" s="1706">
        <f>+AT7+AV7</f>
        <v>392514</v>
      </c>
      <c r="AY7" s="2677">
        <f>+AY33*$E$35/1000</f>
        <v>48557.324086036271</v>
      </c>
      <c r="AZ7" s="3443">
        <v>47135</v>
      </c>
      <c r="BA7" s="5783">
        <f>+AQ7+AU7+AY7</f>
        <v>140082.66838180643</v>
      </c>
      <c r="BB7" s="5783">
        <f>+AR7+AV7+AZ7</f>
        <v>136781</v>
      </c>
      <c r="BC7" s="5783">
        <f>+BA7+AM7</f>
        <v>258842.44273487339</v>
      </c>
      <c r="BD7" s="5783">
        <f>+BB7+AN7</f>
        <v>226229</v>
      </c>
      <c r="BE7" s="6614">
        <f>+AW7+AY7</f>
        <v>490049.61184138944</v>
      </c>
      <c r="BF7" s="6614">
        <f>+AX7+AZ7</f>
        <v>439649</v>
      </c>
    </row>
    <row r="8" spans="3:58" x14ac:dyDescent="0.2">
      <c r="C8" s="9095" t="s">
        <v>1161</v>
      </c>
      <c r="D8" s="1923" t="s">
        <v>170</v>
      </c>
      <c r="E8" s="5203">
        <f>+E7*E9/100</f>
        <v>4137.2432402523973</v>
      </c>
      <c r="F8" s="3443">
        <v>9923</v>
      </c>
      <c r="G8" s="5450">
        <f>+G7*G9/100</f>
        <v>4297.5913350835144</v>
      </c>
      <c r="H8" s="3443">
        <v>8440</v>
      </c>
      <c r="I8" s="5449">
        <f>+E8+G8</f>
        <v>8434.8345753359117</v>
      </c>
      <c r="J8" s="1706">
        <f>+F8+H8</f>
        <v>18363</v>
      </c>
      <c r="K8" s="5782">
        <f>+K7*K9/100</f>
        <v>5182.1777915814982</v>
      </c>
      <c r="L8" s="3443">
        <v>13266</v>
      </c>
      <c r="M8" s="5783">
        <f>+I8+K8</f>
        <v>13617.01236691741</v>
      </c>
      <c r="N8" s="1997">
        <f>+J8+L8</f>
        <v>31629</v>
      </c>
      <c r="O8" s="5918">
        <f>+O7*O9/100</f>
        <v>7079.7315779485371</v>
      </c>
      <c r="P8" s="3443">
        <v>13779</v>
      </c>
      <c r="Q8" s="5919">
        <f>+M8+O8</f>
        <v>20696.743944865946</v>
      </c>
      <c r="R8" s="1706">
        <f>+N8+P8</f>
        <v>45408</v>
      </c>
      <c r="S8" s="5986">
        <f>+S7*S9/100</f>
        <v>7038.4845824910817</v>
      </c>
      <c r="T8" s="3443">
        <v>12868</v>
      </c>
      <c r="U8" s="6428">
        <f>+Q8+S8</f>
        <v>27735.228527357027</v>
      </c>
      <c r="V8" s="1706">
        <f>+R8+T8</f>
        <v>58276</v>
      </c>
      <c r="W8" s="5986">
        <f>+W7*W9/100</f>
        <v>6945.8468386203795</v>
      </c>
      <c r="X8" s="3443">
        <v>10010</v>
      </c>
      <c r="Y8" s="5783">
        <f>+O8+S8+W8</f>
        <v>21064.062999059999</v>
      </c>
      <c r="Z8" s="5783">
        <f>+P8+T8+X8</f>
        <v>36657</v>
      </c>
      <c r="AA8" s="6614">
        <f>+U8+W8</f>
        <v>34681.075365977405</v>
      </c>
      <c r="AB8" s="6614">
        <f>+V8+X8</f>
        <v>68286</v>
      </c>
      <c r="AC8" s="5986">
        <f>+AC7*AC9/100</f>
        <v>3652.8710368082516</v>
      </c>
      <c r="AD8" s="3443">
        <v>4400</v>
      </c>
      <c r="AE8" s="7371">
        <f>+AA8+AC8</f>
        <v>38333.946402785659</v>
      </c>
      <c r="AF8" s="1706">
        <f>+AB8+AD8</f>
        <v>72686</v>
      </c>
      <c r="AG8" s="5986">
        <f>+AG7*AG9/100</f>
        <v>6910.3917021061352</v>
      </c>
      <c r="AH8" s="3443">
        <v>5705</v>
      </c>
      <c r="AI8" s="7394">
        <f>+AE8+AG8</f>
        <v>45244.338104891795</v>
      </c>
      <c r="AJ8" s="1706">
        <f>+AF8+AH8</f>
        <v>78391</v>
      </c>
      <c r="AK8" s="5986">
        <f>+AK7*AK9/100</f>
        <v>7250.7034140456535</v>
      </c>
      <c r="AL8" s="3443">
        <v>5888</v>
      </c>
      <c r="AM8" s="5783">
        <f>+AC8+AG8+AK8</f>
        <v>17813.966152960042</v>
      </c>
      <c r="AN8" s="5783">
        <f>+AD8+AH8+AL8</f>
        <v>15993</v>
      </c>
      <c r="AO8" s="7394">
        <f>+AI8+AK8</f>
        <v>52495.041518937447</v>
      </c>
      <c r="AP8" s="8117">
        <f>+AJ8+AL8</f>
        <v>84279</v>
      </c>
      <c r="AQ8" s="2677">
        <f>+AQ7*AQ9/100</f>
        <v>7134.4662449229172</v>
      </c>
      <c r="AR8" s="3443">
        <v>8510</v>
      </c>
      <c r="AS8" s="7394">
        <f>+AO8+AQ8</f>
        <v>59629.507763860362</v>
      </c>
      <c r="AT8" s="1706">
        <f>+AP8+AR8</f>
        <v>92789</v>
      </c>
      <c r="AU8" s="2677">
        <f>+AU7*AU9/100</f>
        <v>6594.3353994426061</v>
      </c>
      <c r="AV8" s="3443">
        <v>8785</v>
      </c>
      <c r="AW8" s="7394">
        <f>+AS8+AU8</f>
        <v>66223.843163302969</v>
      </c>
      <c r="AX8" s="1706">
        <f>+AT8+AV8</f>
        <v>101574</v>
      </c>
      <c r="AY8" s="2677">
        <f>+AY7*AY9/100</f>
        <v>7283.5986129054399</v>
      </c>
      <c r="AZ8" s="3443">
        <v>10024</v>
      </c>
      <c r="BA8" s="5783">
        <f>+AQ8+AU8+AY8</f>
        <v>21012.400257270965</v>
      </c>
      <c r="BB8" s="5783">
        <f>+AR8+AV8+AZ8</f>
        <v>27319</v>
      </c>
      <c r="BC8" s="5783">
        <f>+BA8+AM8</f>
        <v>38826.366410231007</v>
      </c>
      <c r="BD8" s="5783">
        <f>+BB8+AN8</f>
        <v>43312</v>
      </c>
      <c r="BE8" s="6614">
        <f>+AW8+AY8</f>
        <v>73507.441776208405</v>
      </c>
      <c r="BF8" s="6614">
        <f>+AX8+AZ8</f>
        <v>111598</v>
      </c>
    </row>
    <row r="9" spans="3:58" x14ac:dyDescent="0.2">
      <c r="C9" s="9095"/>
      <c r="D9" s="1923" t="s">
        <v>169</v>
      </c>
      <c r="E9" s="5239">
        <v>15</v>
      </c>
      <c r="F9" s="3274">
        <f>+F8/F7*100</f>
        <v>28.580069124423961</v>
      </c>
      <c r="G9" s="5239">
        <v>15</v>
      </c>
      <c r="H9" s="3274">
        <f>+H8/H7*100</f>
        <v>25.938902206650688</v>
      </c>
      <c r="I9" s="3194">
        <f>+I8/I7*100</f>
        <v>15</v>
      </c>
      <c r="J9" s="1705">
        <f t="shared" ref="J9:N9" si="0">+J8/J7*100</f>
        <v>27.302328347557172</v>
      </c>
      <c r="K9" s="5239">
        <v>15</v>
      </c>
      <c r="L9" s="3274">
        <f>+L8/L7*100</f>
        <v>35.680473372781066</v>
      </c>
      <c r="M9" s="5714">
        <f>+M8/M7*100</f>
        <v>15</v>
      </c>
      <c r="N9" s="2027">
        <f t="shared" si="0"/>
        <v>30.284953752465576</v>
      </c>
      <c r="O9" s="5922">
        <v>15</v>
      </c>
      <c r="P9" s="3274">
        <f>+P8/P7*100</f>
        <v>33.545952525867321</v>
      </c>
      <c r="Q9" s="3194">
        <f>+Q8/Q7*100</f>
        <v>15</v>
      </c>
      <c r="R9" s="1705">
        <f t="shared" ref="R9" si="1">+R8/R7*100</f>
        <v>31.205459306041384</v>
      </c>
      <c r="S9" s="6427">
        <v>15</v>
      </c>
      <c r="T9" s="3274">
        <f>+T8/T7*100</f>
        <v>30.908916218293619</v>
      </c>
      <c r="U9" s="3194">
        <f>+U8/U7*100</f>
        <v>15</v>
      </c>
      <c r="V9" s="1705">
        <f t="shared" ref="V9" si="2">+V8/V7*100</f>
        <v>31.139490769189663</v>
      </c>
      <c r="W9" s="7163">
        <v>15</v>
      </c>
      <c r="X9" s="3274">
        <f>+X8/X7*100</f>
        <v>38.097050428163655</v>
      </c>
      <c r="Y9" s="5714">
        <f>+Y8/Y7*100</f>
        <v>15.000000000000002</v>
      </c>
      <c r="Z9" s="2027">
        <f t="shared" ref="Z9" si="3">+Z8/Z7*100</f>
        <v>33.635829770053775</v>
      </c>
      <c r="AA9" s="6616">
        <f>+AA8/AA7*100</f>
        <v>15</v>
      </c>
      <c r="AB9" s="7215">
        <f t="shared" ref="AB9" si="4">+AB8/AB7*100</f>
        <v>31.996064098959799</v>
      </c>
      <c r="AC9" s="7370">
        <v>15</v>
      </c>
      <c r="AD9" s="3274">
        <f>+AD8/AD7*100</f>
        <v>18.888984287799435</v>
      </c>
      <c r="AE9" s="3194">
        <f>+AE8/AE7*100</f>
        <v>15</v>
      </c>
      <c r="AF9" s="1705">
        <f t="shared" ref="AF9" si="5">+AF8/AF7*100</f>
        <v>30.706253115574068</v>
      </c>
      <c r="AG9" s="7393">
        <v>15</v>
      </c>
      <c r="AH9" s="3274">
        <f>+AH8/AH7*100</f>
        <v>19.06623888777488</v>
      </c>
      <c r="AI9" s="3194">
        <f>+AI8/AI7*100</f>
        <v>15</v>
      </c>
      <c r="AJ9" s="1705">
        <f t="shared" ref="AJ9" si="6">+AJ8/AJ7*100</f>
        <v>29.400006000690084</v>
      </c>
      <c r="AK9" s="7393">
        <v>15</v>
      </c>
      <c r="AL9" s="7970">
        <f>+AL8/AL7*100</f>
        <v>16.25082799735041</v>
      </c>
      <c r="AM9" s="5714">
        <f>+AM8/AM7*100</f>
        <v>15</v>
      </c>
      <c r="AN9" s="2027">
        <f t="shared" ref="AN9" si="7">+AN8/AN7*100</f>
        <v>17.879661926482427</v>
      </c>
      <c r="AO9" s="3194">
        <f>+AO8/AO7*100</f>
        <v>15</v>
      </c>
      <c r="AP9" s="8118">
        <f t="shared" ref="AP9" si="8">+AP8/AP7*100</f>
        <v>27.826974127342609</v>
      </c>
      <c r="AQ9" s="3174">
        <v>15</v>
      </c>
      <c r="AR9" s="7970">
        <f>+AR8/AR7*100</f>
        <v>18.198926455807189</v>
      </c>
      <c r="AS9" s="3194">
        <f>+AS8/AS7*100</f>
        <v>15</v>
      </c>
      <c r="AT9" s="1705">
        <f t="shared" ref="AT9" si="9">+AT8/AT7*100</f>
        <v>26.539274488100244</v>
      </c>
      <c r="AU9" s="3174">
        <v>15</v>
      </c>
      <c r="AV9" s="7970">
        <f>+AV8/AV7*100</f>
        <v>20.485018071586801</v>
      </c>
      <c r="AW9" s="3194">
        <f>+AW8/AW7*100</f>
        <v>15</v>
      </c>
      <c r="AX9" s="1705">
        <f t="shared" ref="AX9" si="10">+AX8/AX7*100</f>
        <v>25.87780308473074</v>
      </c>
      <c r="AY9" s="3174">
        <v>15</v>
      </c>
      <c r="AZ9" s="7970">
        <f>+AZ8/AZ7*100</f>
        <v>21.266574732152328</v>
      </c>
      <c r="BA9" s="5714">
        <f>+BA8/BA7*100</f>
        <v>15</v>
      </c>
      <c r="BB9" s="2027">
        <f t="shared" ref="BB9" si="11">+BB8/BB7*100</f>
        <v>19.972803240216113</v>
      </c>
      <c r="BC9" s="5714">
        <f>+BC8/BC7*100</f>
        <v>15</v>
      </c>
      <c r="BD9" s="8370">
        <f t="shared" ref="BD9" si="12">+BD8/BD7*100</f>
        <v>19.145202427628639</v>
      </c>
      <c r="BE9" s="6616">
        <f>+BE8/BE7*100</f>
        <v>14.999999999999996</v>
      </c>
      <c r="BF9" s="7215">
        <f t="shared" ref="BF9" si="13">+BF8/BF7*100</f>
        <v>25.38343087326481</v>
      </c>
    </row>
    <row r="10" spans="3:58" x14ac:dyDescent="0.2">
      <c r="C10" s="1605" t="s">
        <v>1162</v>
      </c>
      <c r="D10" s="1923" t="s">
        <v>170</v>
      </c>
      <c r="E10" s="5203">
        <f>+E7-E8</f>
        <v>23444.378361430252</v>
      </c>
      <c r="F10" s="3443">
        <f>+F7-F8</f>
        <v>24797</v>
      </c>
      <c r="G10" s="5450">
        <f>+G7-G8</f>
        <v>24353.017565473248</v>
      </c>
      <c r="H10" s="3443">
        <f>+H7-H8</f>
        <v>24098</v>
      </c>
      <c r="I10" s="5449">
        <f>+E10+G10</f>
        <v>47797.395926903497</v>
      </c>
      <c r="J10" s="1706">
        <f>+F10+H10</f>
        <v>48895</v>
      </c>
      <c r="K10" s="5782">
        <f>+K7-K8</f>
        <v>29365.674152295156</v>
      </c>
      <c r="L10" s="3443">
        <f>+L7-L8</f>
        <v>23914</v>
      </c>
      <c r="M10" s="5783">
        <f>+I10+K10</f>
        <v>77163.07007919866</v>
      </c>
      <c r="N10" s="1997">
        <f>+F10+H10+L10</f>
        <v>72809</v>
      </c>
      <c r="O10" s="5918">
        <f>+O7-O8</f>
        <v>40118.478941708374</v>
      </c>
      <c r="P10" s="3443">
        <f>+P7-P8</f>
        <v>27296</v>
      </c>
      <c r="Q10" s="5919">
        <f>+M10+O10</f>
        <v>117281.54902090703</v>
      </c>
      <c r="R10" s="1706">
        <f>+N10+P10</f>
        <v>100105</v>
      </c>
      <c r="S10" s="5986">
        <f>+S7-S8</f>
        <v>39884.74596744946</v>
      </c>
      <c r="T10" s="3443">
        <f>+T7-T8</f>
        <v>28764</v>
      </c>
      <c r="U10" s="6428">
        <f>+Q10+S10</f>
        <v>157166.29498835647</v>
      </c>
      <c r="V10" s="1706">
        <f>+R10+T10</f>
        <v>128869</v>
      </c>
      <c r="W10" s="5986">
        <f>+W7-W8</f>
        <v>39359.798752182149</v>
      </c>
      <c r="X10" s="3443">
        <f>+X7-X8</f>
        <v>16265</v>
      </c>
      <c r="Y10" s="5783">
        <f t="shared" ref="Y10:Y11" si="14">+O10+S10+W10</f>
        <v>119363.02366133999</v>
      </c>
      <c r="Z10" s="5783">
        <f t="shared" ref="Z10:Z11" si="15">+P10+T10+X10</f>
        <v>72325</v>
      </c>
      <c r="AA10" s="6614">
        <f t="shared" ref="AA10:AA11" si="16">+U10+W10</f>
        <v>196526.09374053864</v>
      </c>
      <c r="AB10" s="6614">
        <f t="shared" ref="AB10:AB11" si="17">+V10+X10</f>
        <v>145134</v>
      </c>
      <c r="AC10" s="5986">
        <f>+AC7-AC8</f>
        <v>20699.602541913428</v>
      </c>
      <c r="AD10" s="3443">
        <f>+AD7-AD8</f>
        <v>18894</v>
      </c>
      <c r="AE10" s="7371">
        <f>+AA10+AC10</f>
        <v>217225.69628245206</v>
      </c>
      <c r="AF10" s="1706">
        <f>+AB10+AD10</f>
        <v>164028</v>
      </c>
      <c r="AG10" s="5986">
        <f>+AG7-AG8</f>
        <v>39158.886311934766</v>
      </c>
      <c r="AH10" s="3443">
        <f>+AH7-AH8</f>
        <v>24217</v>
      </c>
      <c r="AI10" s="7394">
        <f>+AE10+AG10</f>
        <v>256384.58259438683</v>
      </c>
      <c r="AJ10" s="1706">
        <f>+AF10+AH10</f>
        <v>188245</v>
      </c>
      <c r="AK10" s="5986">
        <f>+AK7-AK8</f>
        <v>41087.319346258708</v>
      </c>
      <c r="AL10" s="3443">
        <f>+AL7-AL8</f>
        <v>30344</v>
      </c>
      <c r="AM10" s="5783">
        <f t="shared" ref="AM10:AM11" si="18">+AC10+AG10+AK10</f>
        <v>100945.8082001069</v>
      </c>
      <c r="AN10" s="5783">
        <f t="shared" ref="AN10:AN11" si="19">+AD10+AH10+AL10</f>
        <v>73455</v>
      </c>
      <c r="AO10" s="7394">
        <f t="shared" ref="AO10:AO11" si="20">+AI10+AK10</f>
        <v>297471.90194064553</v>
      </c>
      <c r="AP10" s="8117">
        <f t="shared" ref="AP10:AP11" si="21">+AJ10+AL10</f>
        <v>218589</v>
      </c>
      <c r="AQ10" s="2677">
        <f>+AQ7-AQ8</f>
        <v>40428.642054563199</v>
      </c>
      <c r="AR10" s="3443">
        <f>+AR7-AR8</f>
        <v>38251</v>
      </c>
      <c r="AS10" s="7394">
        <f>+AO10+AQ10</f>
        <v>337900.54399520875</v>
      </c>
      <c r="AT10" s="1706">
        <f>+AP10+AR10</f>
        <v>256840</v>
      </c>
      <c r="AU10" s="2677">
        <f>+AU7-AU8</f>
        <v>37367.900596841435</v>
      </c>
      <c r="AV10" s="3443">
        <f>+AV7-AV8</f>
        <v>34100</v>
      </c>
      <c r="AW10" s="7394">
        <f>+AS10+AU10</f>
        <v>375268.44459205016</v>
      </c>
      <c r="AX10" s="1706">
        <f>+AT10+AV10</f>
        <v>290940</v>
      </c>
      <c r="AY10" s="2677">
        <f>+AY7-AY8</f>
        <v>41273.725473130835</v>
      </c>
      <c r="AZ10" s="3443">
        <f>+AZ7-AZ8</f>
        <v>37111</v>
      </c>
      <c r="BA10" s="5783">
        <f t="shared" ref="BA10:BA11" si="22">+AQ10+AU10+AY10</f>
        <v>119070.26812453546</v>
      </c>
      <c r="BB10" s="5783">
        <f t="shared" ref="BB10:BB11" si="23">+AR10+AV10+AZ10</f>
        <v>109462</v>
      </c>
      <c r="BC10" s="5783">
        <f t="shared" ref="BC10:BC11" si="24">+BA10+AM10</f>
        <v>220016.07632464234</v>
      </c>
      <c r="BD10" s="5783">
        <f t="shared" ref="BD10:BD11" si="25">+BB10+AN10</f>
        <v>182917</v>
      </c>
      <c r="BE10" s="6614">
        <f t="shared" ref="BE10:BE11" si="26">+AW10+AY10</f>
        <v>416542.17006518098</v>
      </c>
      <c r="BF10" s="6614">
        <f t="shared" ref="BF10:BF11" si="27">+AX10+AZ10</f>
        <v>328051</v>
      </c>
    </row>
    <row r="11" spans="3:58" ht="16" x14ac:dyDescent="0.2">
      <c r="C11" s="2397" t="s">
        <v>1163</v>
      </c>
      <c r="D11" s="4479" t="s">
        <v>170</v>
      </c>
      <c r="E11" s="5204">
        <f>+E10*E12/100</f>
        <v>13128.851882400941</v>
      </c>
      <c r="F11" s="5230">
        <v>14653</v>
      </c>
      <c r="G11" s="5452">
        <f>+G10*G12/100</f>
        <v>13637.68983666502</v>
      </c>
      <c r="H11" s="5230">
        <v>13939</v>
      </c>
      <c r="I11" s="5451">
        <f>+E11+G11</f>
        <v>26766.541719065961</v>
      </c>
      <c r="J11" s="4424">
        <f>+F11+H11</f>
        <v>28592</v>
      </c>
      <c r="K11" s="5784">
        <f>+K10*K12/100</f>
        <v>16444.777525285288</v>
      </c>
      <c r="L11" s="5230">
        <v>13527</v>
      </c>
      <c r="M11" s="5786">
        <f>+I11+K11</f>
        <v>43211.319244351253</v>
      </c>
      <c r="N11" s="5834">
        <f>+J11+L11</f>
        <v>42119</v>
      </c>
      <c r="O11" s="5921">
        <f>+O10*O12/100</f>
        <v>22466.348207356688</v>
      </c>
      <c r="P11" s="5230">
        <v>14241</v>
      </c>
      <c r="Q11" s="5920">
        <f>+M11+O11</f>
        <v>65677.667451707937</v>
      </c>
      <c r="R11" s="4424">
        <f>+N11+P11</f>
        <v>56360</v>
      </c>
      <c r="S11" s="5964">
        <f>+S10*S12/100</f>
        <v>22335.457741771697</v>
      </c>
      <c r="T11" s="5230">
        <v>16129</v>
      </c>
      <c r="U11" s="5920">
        <f>+Q11+S11</f>
        <v>88013.125193479631</v>
      </c>
      <c r="V11" s="4424">
        <f>+R11+T11</f>
        <v>72489</v>
      </c>
      <c r="W11" s="5964">
        <f>+W10*W12/100</f>
        <v>22041.487301222001</v>
      </c>
      <c r="X11" s="5230">
        <v>9484</v>
      </c>
      <c r="Y11" s="5783">
        <f t="shared" si="14"/>
        <v>66843.293250350383</v>
      </c>
      <c r="Z11" s="5783">
        <f t="shared" si="15"/>
        <v>39854</v>
      </c>
      <c r="AA11" s="6614">
        <f t="shared" si="16"/>
        <v>110054.61249470164</v>
      </c>
      <c r="AB11" s="6614">
        <f t="shared" si="17"/>
        <v>81973</v>
      </c>
      <c r="AC11" s="5964">
        <f>+AC10*AC12/100</f>
        <v>11591.77742347152</v>
      </c>
      <c r="AD11" s="5230">
        <v>11638</v>
      </c>
      <c r="AE11" s="5920">
        <f>+AA11+AC11</f>
        <v>121646.38991817315</v>
      </c>
      <c r="AF11" s="4424">
        <f>+AB11+AD11</f>
        <v>93611</v>
      </c>
      <c r="AG11" s="5964">
        <f>+AG10*AG12/100</f>
        <v>21928.976334683466</v>
      </c>
      <c r="AH11" s="5230">
        <v>13807</v>
      </c>
      <c r="AI11" s="5920">
        <f>+AE11+AG11</f>
        <v>143575.36625285662</v>
      </c>
      <c r="AJ11" s="4424">
        <f>+AF11+AH11</f>
        <v>107418</v>
      </c>
      <c r="AK11" s="5964">
        <f>+AK10*AK12/100</f>
        <v>23008.898833904877</v>
      </c>
      <c r="AL11" s="5230">
        <v>16738</v>
      </c>
      <c r="AM11" s="5783">
        <f t="shared" si="18"/>
        <v>56529.652592059865</v>
      </c>
      <c r="AN11" s="5783">
        <f t="shared" si="19"/>
        <v>42183</v>
      </c>
      <c r="AO11" s="5920">
        <f t="shared" si="20"/>
        <v>166584.2650867615</v>
      </c>
      <c r="AP11" s="8119">
        <f t="shared" si="21"/>
        <v>124156</v>
      </c>
      <c r="AQ11" s="2398">
        <f>+AQ10*AQ12/100</f>
        <v>22640.03955055539</v>
      </c>
      <c r="AR11" s="5230">
        <v>22125</v>
      </c>
      <c r="AS11" s="5920">
        <f>+AO11+AQ11</f>
        <v>189224.30463731691</v>
      </c>
      <c r="AT11" s="4424">
        <f>+AP11+AR11</f>
        <v>146281</v>
      </c>
      <c r="AU11" s="2398">
        <f>+AU10*AU12/100</f>
        <v>20926.024334231202</v>
      </c>
      <c r="AV11" s="5230">
        <v>19680</v>
      </c>
      <c r="AW11" s="5920">
        <f>+AS11+AU11</f>
        <v>210150.32897154812</v>
      </c>
      <c r="AX11" s="4424">
        <f>+AT11+AV11</f>
        <v>165961</v>
      </c>
      <c r="AY11" s="2398">
        <f>+AY10*AY12/100</f>
        <v>23113.286264953269</v>
      </c>
      <c r="AZ11" s="5230">
        <v>23072</v>
      </c>
      <c r="BA11" s="5783">
        <f t="shared" si="22"/>
        <v>66679.350149739854</v>
      </c>
      <c r="BB11" s="5783">
        <f t="shared" si="23"/>
        <v>64877</v>
      </c>
      <c r="BC11" s="5783">
        <f t="shared" si="24"/>
        <v>123209.00274179972</v>
      </c>
      <c r="BD11" s="5783">
        <f t="shared" si="25"/>
        <v>107060</v>
      </c>
      <c r="BE11" s="6614">
        <f t="shared" si="26"/>
        <v>233263.61523650138</v>
      </c>
      <c r="BF11" s="6614">
        <f t="shared" si="27"/>
        <v>189033</v>
      </c>
    </row>
    <row r="12" spans="3:58" ht="16" x14ac:dyDescent="0.2">
      <c r="C12" s="2397" t="s">
        <v>1164</v>
      </c>
      <c r="D12" s="4479" t="s">
        <v>169</v>
      </c>
      <c r="E12" s="4480">
        <v>56</v>
      </c>
      <c r="F12" s="4229">
        <f>+F11/F10*100</f>
        <v>59.091825624067425</v>
      </c>
      <c r="G12" s="5459">
        <v>56</v>
      </c>
      <c r="H12" s="4229">
        <f>+H11/H10*100</f>
        <v>57.842974520707116</v>
      </c>
      <c r="I12" s="4481">
        <f>+I11/I10*100</f>
        <v>56.000000000000007</v>
      </c>
      <c r="J12" s="5487">
        <f t="shared" ref="J12:N12" si="28">+J11/J10*100</f>
        <v>58.47632682278352</v>
      </c>
      <c r="K12" s="5792">
        <v>56</v>
      </c>
      <c r="L12" s="4229">
        <f>+L11/L10*100</f>
        <v>56.565191937777037</v>
      </c>
      <c r="M12" s="5835">
        <f>+M11/M10*100</f>
        <v>56.000000000000007</v>
      </c>
      <c r="N12" s="5836">
        <f t="shared" si="28"/>
        <v>57.848617615954069</v>
      </c>
      <c r="O12" s="4623">
        <v>56</v>
      </c>
      <c r="P12" s="4229">
        <f>+P11/P10*100</f>
        <v>52.172479484173508</v>
      </c>
      <c r="Q12" s="5923">
        <f>+Q11/Q10*100</f>
        <v>56.000000000000007</v>
      </c>
      <c r="R12" s="5487">
        <f t="shared" ref="R12" si="29">+R11/R10*100</f>
        <v>56.300884071724688</v>
      </c>
      <c r="S12" s="6431">
        <v>56</v>
      </c>
      <c r="T12" s="4229">
        <f>+T11/T10*100</f>
        <v>56.073564177444027</v>
      </c>
      <c r="U12" s="6432">
        <f>+U11/U10*100</f>
        <v>56.000000000000007</v>
      </c>
      <c r="V12" s="5487">
        <f t="shared" ref="V12" si="30">+V11/V10*100</f>
        <v>56.250145496589568</v>
      </c>
      <c r="W12" s="7170">
        <v>56</v>
      </c>
      <c r="X12" s="4229">
        <f>+X11/X10*100</f>
        <v>58.309252997233315</v>
      </c>
      <c r="Y12" s="7169">
        <f>+Y11/Y10*100</f>
        <v>55.999999999999993</v>
      </c>
      <c r="Z12" s="5836">
        <f t="shared" ref="Z12" si="31">+Z11/Z10*100</f>
        <v>55.104044244728655</v>
      </c>
      <c r="AA12" s="7217">
        <f>+AA11/AA10*100</f>
        <v>56.000000000000007</v>
      </c>
      <c r="AB12" s="7218">
        <f t="shared" ref="AB12" si="32">+AB11/AB10*100</f>
        <v>56.480907299461194</v>
      </c>
      <c r="AC12" s="7379">
        <v>56</v>
      </c>
      <c r="AD12" s="4229">
        <f>+AD11/AD10*100</f>
        <v>61.596273949401926</v>
      </c>
      <c r="AE12" s="7380">
        <f>+AE11/AE10*100</f>
        <v>56.000000000000007</v>
      </c>
      <c r="AF12" s="5487">
        <f t="shared" ref="AF12" si="33">+AF11/AF10*100</f>
        <v>57.07013436730314</v>
      </c>
      <c r="AG12" s="7628">
        <v>56</v>
      </c>
      <c r="AH12" s="4229">
        <f>+AH11/AH10*100</f>
        <v>57.013668084403513</v>
      </c>
      <c r="AI12" s="7629">
        <f>+AI11/AI10*100</f>
        <v>55.999999999999993</v>
      </c>
      <c r="AJ12" s="5487">
        <f t="shared" ref="AJ12" si="34">+AJ11/AJ10*100</f>
        <v>57.062870195755536</v>
      </c>
      <c r="AK12" s="7790">
        <v>56</v>
      </c>
      <c r="AL12" s="4229">
        <f>+AL11/AL10*100</f>
        <v>55.160822567888211</v>
      </c>
      <c r="AM12" s="7792">
        <f>+AM11/AM10*100</f>
        <v>56.000000000000007</v>
      </c>
      <c r="AN12" s="5836">
        <f t="shared" ref="AN12" si="35">+AN11/AN10*100</f>
        <v>57.426996120073511</v>
      </c>
      <c r="AO12" s="7793">
        <f>+AO11/AO10*100</f>
        <v>56.000000000000007</v>
      </c>
      <c r="AP12" s="8120">
        <f t="shared" ref="AP12" si="36">+AP11/AP10*100</f>
        <v>56.798832512157517</v>
      </c>
      <c r="AQ12" s="8124">
        <v>56</v>
      </c>
      <c r="AR12" s="4229">
        <f>+AR11/AR10*100</f>
        <v>57.841625055554104</v>
      </c>
      <c r="AS12" s="8116">
        <f>+AS11/AS10*100</f>
        <v>56.000000000000007</v>
      </c>
      <c r="AT12" s="5487">
        <f t="shared" ref="AT12" si="37">+AT11/AT10*100</f>
        <v>56.954134869957954</v>
      </c>
      <c r="AU12" s="8183">
        <v>56</v>
      </c>
      <c r="AV12" s="4229">
        <f>+AV11/AV10*100</f>
        <v>57.712609970674492</v>
      </c>
      <c r="AW12" s="8182">
        <f>+AW11/AW10*100</f>
        <v>56.000000000000007</v>
      </c>
      <c r="AX12" s="5487">
        <f t="shared" ref="AX12" si="38">+AX11/AX10*100</f>
        <v>57.043032927751426</v>
      </c>
      <c r="AY12" s="8361">
        <v>56</v>
      </c>
      <c r="AZ12" s="4229">
        <f>+AZ11/AZ10*100</f>
        <v>62.170246018700659</v>
      </c>
      <c r="BA12" s="8363">
        <f>+BA11/BA10*100</f>
        <v>55.999999999999993</v>
      </c>
      <c r="BB12" s="5836">
        <f t="shared" ref="BB12" si="39">+BB11/BB10*100</f>
        <v>59.268970053534566</v>
      </c>
      <c r="BC12" s="8363">
        <f>+BC11/BC10*100</f>
        <v>56.000000000000007</v>
      </c>
      <c r="BD12" s="8371">
        <f t="shared" ref="BD12" si="40">+BD11/BD10*100</f>
        <v>58.529278306554346</v>
      </c>
      <c r="BE12" s="8364">
        <f>+BE11/BE10*100</f>
        <v>56.000000000000007</v>
      </c>
      <c r="BF12" s="7218">
        <f t="shared" ref="BF12" si="41">+BF11/BF10*100</f>
        <v>57.623052513176312</v>
      </c>
    </row>
    <row r="13" spans="3:58" ht="16" x14ac:dyDescent="0.2">
      <c r="C13" s="2397" t="s">
        <v>1394</v>
      </c>
      <c r="D13" s="4479" t="s">
        <v>170</v>
      </c>
      <c r="E13" s="5204">
        <f>+E11*E14/100</f>
        <v>4595.0981588403292</v>
      </c>
      <c r="F13" s="5231">
        <v>3260</v>
      </c>
      <c r="G13" s="5452">
        <f>+G11*G14/100</f>
        <v>4773.1914428327573</v>
      </c>
      <c r="H13" s="5231">
        <v>3153</v>
      </c>
      <c r="I13" s="5451">
        <f>+E13+G13</f>
        <v>9368.2896016730865</v>
      </c>
      <c r="J13" s="3919">
        <f>+F13+H13</f>
        <v>6413</v>
      </c>
      <c r="K13" s="5784">
        <f>+K11*K14/100</f>
        <v>5755.672133849851</v>
      </c>
      <c r="L13" s="5231">
        <v>3487</v>
      </c>
      <c r="M13" s="5786">
        <f>+I13+K13</f>
        <v>15123.961735522938</v>
      </c>
      <c r="N13" s="4655">
        <f>+J13+L13</f>
        <v>9900</v>
      </c>
      <c r="O13" s="5921">
        <f>+O11*O14/100</f>
        <v>7863.2218725748407</v>
      </c>
      <c r="P13" s="5231">
        <v>3700</v>
      </c>
      <c r="Q13" s="5920">
        <f>+M13+O13</f>
        <v>22987.183608097781</v>
      </c>
      <c r="R13" s="3919">
        <f>+N13+P13</f>
        <v>13600</v>
      </c>
      <c r="S13" s="5964">
        <f>+S11*S14/100</f>
        <v>7817.4102096200941</v>
      </c>
      <c r="T13" s="5231">
        <v>3304</v>
      </c>
      <c r="U13" s="5920">
        <f>+Q13+S13</f>
        <v>30804.593817717876</v>
      </c>
      <c r="V13" s="3919">
        <f>+R13+T13</f>
        <v>16904</v>
      </c>
      <c r="W13" s="5964">
        <f>+W11*W14/100</f>
        <v>7714.5205554277009</v>
      </c>
      <c r="X13" s="5231">
        <v>2901</v>
      </c>
      <c r="Y13" s="5783">
        <f>+O13+S13+W13</f>
        <v>23395.152637622636</v>
      </c>
      <c r="Z13" s="5783">
        <f>+P13+T13+X13</f>
        <v>9905</v>
      </c>
      <c r="AA13" s="6614">
        <f>+U13+W13</f>
        <v>38519.114373145574</v>
      </c>
      <c r="AB13" s="6614">
        <f>+V13+X13</f>
        <v>19805</v>
      </c>
      <c r="AC13" s="5964">
        <f>+AC11*AC14/100</f>
        <v>4057.1220982150321</v>
      </c>
      <c r="AD13" s="5231">
        <v>3180</v>
      </c>
      <c r="AE13" s="5920">
        <f>+AA13+AC13</f>
        <v>42576.236471360608</v>
      </c>
      <c r="AF13" s="3919">
        <f>+AB13+AD13</f>
        <v>22985</v>
      </c>
      <c r="AG13" s="5964">
        <f>+AG11*AG14/100</f>
        <v>7675.1417171392131</v>
      </c>
      <c r="AH13" s="5231">
        <v>4124</v>
      </c>
      <c r="AI13" s="5920">
        <f>+AE13+AG13</f>
        <v>50251.378188499817</v>
      </c>
      <c r="AJ13" s="3919">
        <f>+AF13+AH13</f>
        <v>27109</v>
      </c>
      <c r="AK13" s="5964">
        <f>+AK11*AK14/100</f>
        <v>8053.1145918667071</v>
      </c>
      <c r="AL13" s="5231">
        <v>3891</v>
      </c>
      <c r="AM13" s="5783">
        <f>+AC13+AG13+AK13</f>
        <v>19785.378407220953</v>
      </c>
      <c r="AN13" s="5783">
        <f>+AD13+AH13+AL13</f>
        <v>11195</v>
      </c>
      <c r="AO13" s="5920">
        <f>+AI13+AK13</f>
        <v>58304.492780366527</v>
      </c>
      <c r="AP13" s="8121">
        <f>+AJ13+AL13</f>
        <v>31000</v>
      </c>
      <c r="AQ13" s="2398">
        <f>+AQ11*AQ14/100</f>
        <v>7924.0138426943868</v>
      </c>
      <c r="AR13" s="5231">
        <v>6688</v>
      </c>
      <c r="AS13" s="5920">
        <f>+AO13+AQ13</f>
        <v>66228.506623060908</v>
      </c>
      <c r="AT13" s="3919">
        <f>+AP13+AR13</f>
        <v>37688</v>
      </c>
      <c r="AU13" s="2398">
        <f>+AU11*AU14/100</f>
        <v>7324.1085169809203</v>
      </c>
      <c r="AV13" s="5231">
        <v>6100</v>
      </c>
      <c r="AW13" s="5920">
        <f>+AS13+AU13</f>
        <v>73552.615140041831</v>
      </c>
      <c r="AX13" s="3919">
        <f>+AT13+AV13</f>
        <v>43788</v>
      </c>
      <c r="AY13" s="2398">
        <f>+AY11*AY14/100</f>
        <v>8089.6501927336449</v>
      </c>
      <c r="AZ13" s="5231">
        <v>6194</v>
      </c>
      <c r="BA13" s="5783">
        <f>+AQ13+AU13+AY13</f>
        <v>23337.772552408955</v>
      </c>
      <c r="BB13" s="5783">
        <f>+AR13+AV13+AZ13</f>
        <v>18982</v>
      </c>
      <c r="BC13" s="5783">
        <f>+BA13+AM13</f>
        <v>43123.150959629907</v>
      </c>
      <c r="BD13" s="5783">
        <f>+BB13+AN13</f>
        <v>30177</v>
      </c>
      <c r="BE13" s="6614">
        <f>+AW13+AY13</f>
        <v>81642.265332775482</v>
      </c>
      <c r="BF13" s="6614">
        <f>+AX13+AZ13</f>
        <v>49982</v>
      </c>
    </row>
    <row r="14" spans="3:58" ht="16" x14ac:dyDescent="0.2">
      <c r="C14" s="2397" t="s">
        <v>1395</v>
      </c>
      <c r="D14" s="4479" t="s">
        <v>169</v>
      </c>
      <c r="E14" s="4480">
        <v>35</v>
      </c>
      <c r="F14" s="4229">
        <f>+F13/F11*100</f>
        <v>22.248003821742987</v>
      </c>
      <c r="G14" s="5459">
        <v>35</v>
      </c>
      <c r="H14" s="4229">
        <f>+H13/H11*100</f>
        <v>22.619987086591578</v>
      </c>
      <c r="I14" s="2916">
        <f>+I13/I11*100</f>
        <v>35</v>
      </c>
      <c r="J14" s="5487">
        <f>+J13/J11*100</f>
        <v>22.42935086737549</v>
      </c>
      <c r="K14" s="5792">
        <v>35</v>
      </c>
      <c r="L14" s="4229">
        <f>+L13/L11*100</f>
        <v>25.778073482664297</v>
      </c>
      <c r="M14" s="2401">
        <f>+M13/M11*100</f>
        <v>35</v>
      </c>
      <c r="N14" s="5836">
        <f>+N13/N11*100</f>
        <v>23.504831548707234</v>
      </c>
      <c r="O14" s="4623">
        <v>35</v>
      </c>
      <c r="P14" s="4229">
        <f>+P13/P11*100</f>
        <v>25.981321536408959</v>
      </c>
      <c r="Q14" s="2916">
        <f>+Q13/Q11*100</f>
        <v>35</v>
      </c>
      <c r="R14" s="5487">
        <f>+R13/R11*100</f>
        <v>24.130589070262598</v>
      </c>
      <c r="S14" s="6431">
        <v>35</v>
      </c>
      <c r="T14" s="4229">
        <f>+T13/T11*100</f>
        <v>20.48484096968194</v>
      </c>
      <c r="U14" s="2916">
        <f>+U13/U11*100</f>
        <v>35</v>
      </c>
      <c r="V14" s="5487">
        <f>+V13/V11*100</f>
        <v>23.319400184855631</v>
      </c>
      <c r="W14" s="7170">
        <v>35</v>
      </c>
      <c r="X14" s="4229">
        <f>+X13/X11*100</f>
        <v>30.58835934204977</v>
      </c>
      <c r="Y14" s="2401">
        <f>+Y13/Y11*100</f>
        <v>35</v>
      </c>
      <c r="Z14" s="5836">
        <f>+Z13/Z11*100</f>
        <v>24.853214231946605</v>
      </c>
      <c r="AA14" s="7219">
        <f>+AA13/AA11*100</f>
        <v>35</v>
      </c>
      <c r="AB14" s="7218">
        <f>+AB13/AB11*100</f>
        <v>24.160394276164102</v>
      </c>
      <c r="AC14" s="7379">
        <v>35</v>
      </c>
      <c r="AD14" s="4229">
        <f>+AD13/AD11*100</f>
        <v>27.32428252277024</v>
      </c>
      <c r="AE14" s="2916">
        <f>+AE13/AE11*100</f>
        <v>35</v>
      </c>
      <c r="AF14" s="5487">
        <f>+AF13/AF11*100</f>
        <v>24.553738342716134</v>
      </c>
      <c r="AG14" s="7628">
        <v>35</v>
      </c>
      <c r="AH14" s="4229">
        <f>+AH13/AH11*100</f>
        <v>29.868907076120809</v>
      </c>
      <c r="AI14" s="2916">
        <f>+AI13/AI11*100</f>
        <v>35</v>
      </c>
      <c r="AJ14" s="5487">
        <f>+AJ13/AJ11*100</f>
        <v>25.236924910164031</v>
      </c>
      <c r="AK14" s="7790">
        <v>35</v>
      </c>
      <c r="AL14" s="4229">
        <f>+AL13/AL11*100</f>
        <v>23.246504958776438</v>
      </c>
      <c r="AM14" s="2401">
        <f>+AM13/AM11*100</f>
        <v>35</v>
      </c>
      <c r="AN14" s="5836">
        <f>+AN13/AN11*100</f>
        <v>26.539127136524193</v>
      </c>
      <c r="AO14" s="2916">
        <f>+AO13/AO11*100</f>
        <v>35</v>
      </c>
      <c r="AP14" s="8120">
        <f>+AP13/AP11*100</f>
        <v>24.968587905538193</v>
      </c>
      <c r="AQ14" s="8124">
        <v>35</v>
      </c>
      <c r="AR14" s="4229">
        <f>+AR13/AR11*100</f>
        <v>30.228248587570622</v>
      </c>
      <c r="AS14" s="2916">
        <f>+AS13/AS11*100</f>
        <v>35</v>
      </c>
      <c r="AT14" s="5487">
        <f>+AT13/AT11*100</f>
        <v>25.764111538750761</v>
      </c>
      <c r="AU14" s="8183">
        <v>35</v>
      </c>
      <c r="AV14" s="4229">
        <f>+AV13/AV11*100</f>
        <v>30.99593495934959</v>
      </c>
      <c r="AW14" s="2916">
        <f>+AW13/AW11*100</f>
        <v>34.999999999999993</v>
      </c>
      <c r="AX14" s="5487">
        <f>+AX13/AX11*100</f>
        <v>26.384512023909227</v>
      </c>
      <c r="AY14" s="8361">
        <v>35</v>
      </c>
      <c r="AZ14" s="4229">
        <f t="shared" ref="AZ14:BF14" si="42">+AZ13/AZ11*100</f>
        <v>26.846393897364774</v>
      </c>
      <c r="BA14" s="2401">
        <f t="shared" si="42"/>
        <v>35.000000000000007</v>
      </c>
      <c r="BB14" s="5836">
        <f t="shared" si="42"/>
        <v>29.258442899640858</v>
      </c>
      <c r="BC14" s="2401">
        <f t="shared" si="42"/>
        <v>35</v>
      </c>
      <c r="BD14" s="5836">
        <f t="shared" si="42"/>
        <v>28.186997945077525</v>
      </c>
      <c r="BE14" s="7219">
        <f t="shared" si="42"/>
        <v>35</v>
      </c>
      <c r="BF14" s="7218">
        <f t="shared" si="42"/>
        <v>26.440885982870714</v>
      </c>
    </row>
    <row r="15" spans="3:58" ht="17" x14ac:dyDescent="0.2">
      <c r="C15" s="2775" t="s">
        <v>1428</v>
      </c>
      <c r="D15" s="4479"/>
      <c r="E15" s="9096">
        <v>310</v>
      </c>
      <c r="F15" s="5231"/>
      <c r="G15" s="9096">
        <v>310</v>
      </c>
      <c r="H15" s="5231"/>
      <c r="I15" s="9072">
        <f>+((E15*E11)+(G11*G15))/(E11+G11)</f>
        <v>310</v>
      </c>
      <c r="J15" s="5059"/>
      <c r="K15" s="9096">
        <v>290</v>
      </c>
      <c r="L15" s="5231"/>
      <c r="M15" s="9084">
        <f>+((I15*I11)+(K15*K11))/M11</f>
        <v>302.38867138848809</v>
      </c>
      <c r="N15" s="4655"/>
      <c r="O15" s="9082">
        <v>280</v>
      </c>
      <c r="P15" s="5231"/>
      <c r="Q15" s="9072">
        <f>+((M15*M11)+(O11*O15))/(M11+O11)</f>
        <v>294.73018248609674</v>
      </c>
      <c r="R15" s="5059"/>
      <c r="S15" s="9082">
        <v>280</v>
      </c>
      <c r="T15" s="5231"/>
      <c r="U15" s="9072">
        <f>+((Q15*Q11)+(S11*S15))/(Q11+S11)</f>
        <v>290.99204266066107</v>
      </c>
      <c r="V15" s="5059"/>
      <c r="W15" s="9082">
        <v>290</v>
      </c>
      <c r="X15" s="5231"/>
      <c r="Y15" s="9084">
        <f>+((O15*O11)+(S15*S11)+(W15*W11))/Y11</f>
        <v>283.29748673792437</v>
      </c>
      <c r="Z15" s="4655"/>
      <c r="AA15" s="9087">
        <f>+((U15*U11)+(W11*W15))/(U11+W11)</f>
        <v>290.79335861451733</v>
      </c>
      <c r="AB15" s="7220"/>
      <c r="AC15" s="9082">
        <v>300</v>
      </c>
      <c r="AD15" s="5231"/>
      <c r="AE15" s="9072">
        <f>+((AA15*AA11)+(AC11*AC15))/(AA11+AC11)</f>
        <v>291.67066650528193</v>
      </c>
      <c r="AF15" s="5059"/>
      <c r="AG15" s="9082">
        <v>300</v>
      </c>
      <c r="AH15" s="5231"/>
      <c r="AI15" s="9072">
        <f>+((AE15*AE11)+(AG11*AG15))/(AE11+AG11)</f>
        <v>292.94284683716199</v>
      </c>
      <c r="AJ15" s="5059"/>
      <c r="AK15" s="9082">
        <v>310</v>
      </c>
      <c r="AL15" s="5231"/>
      <c r="AM15" s="9084">
        <f>+((AC15*AC11)+(AG15*AG11)+(AK15*AK11))/AM11</f>
        <v>304.07023531525056</v>
      </c>
      <c r="AN15" s="4655"/>
      <c r="AO15" s="9072">
        <f>+((AI15*AI11)+(AK11*AK15))/(AI11+AK11)</f>
        <v>295.29880951655281</v>
      </c>
      <c r="AP15" s="8121"/>
      <c r="AQ15" s="9070">
        <v>310</v>
      </c>
      <c r="AR15" s="5231"/>
      <c r="AS15" s="9072">
        <f>+((AO15*AO11)+(AQ11*AQ15))/(AO11+AQ11)</f>
        <v>297.05775657477261</v>
      </c>
      <c r="AT15" s="5059"/>
      <c r="AU15" s="9070">
        <v>310</v>
      </c>
      <c r="AV15" s="5231"/>
      <c r="AW15" s="9072">
        <f>+((AS15*AS11)+(AU11*AU15))/(AS11+AU11)</f>
        <v>298.34649926759283</v>
      </c>
      <c r="AX15" s="5059"/>
      <c r="AY15" s="9070">
        <v>310</v>
      </c>
      <c r="AZ15" s="5231"/>
      <c r="BA15" s="9084">
        <f>+((AQ15*AQ11)+(AU15*AU11)+(AY15*AY11))/BA11</f>
        <v>310</v>
      </c>
      <c r="BB15" s="4655"/>
      <c r="BC15" s="9084">
        <f>+((AM15*AM11)+(BA15*BA11))/BC11</f>
        <v>307.27935840626827</v>
      </c>
      <c r="BD15" s="8372"/>
      <c r="BE15" s="9087">
        <f>+((AW15*AW11)+(AY11*AY15))/(AW11+AY11)</f>
        <v>299.50120442014685</v>
      </c>
      <c r="BF15" s="7220"/>
    </row>
    <row r="16" spans="3:58" s="5200" customFormat="1" ht="19" x14ac:dyDescent="0.25">
      <c r="C16" s="5241" t="s">
        <v>1899</v>
      </c>
      <c r="D16" s="9109"/>
      <c r="E16" s="9096"/>
      <c r="F16" s="5231">
        <v>231</v>
      </c>
      <c r="G16" s="9096"/>
      <c r="H16" s="5231">
        <v>265</v>
      </c>
      <c r="I16" s="9072"/>
      <c r="J16" s="3919">
        <f>+((F16*F11)+(H11*H16))/(F11+H11)</f>
        <v>247.57547565752657</v>
      </c>
      <c r="K16" s="9096"/>
      <c r="L16" s="5231">
        <v>247</v>
      </c>
      <c r="M16" s="9084"/>
      <c r="N16" s="4655">
        <f>+((J16*J11)+(L11*L16))/(J11+L11)</f>
        <v>247.39065504879034</v>
      </c>
      <c r="O16" s="9082"/>
      <c r="P16" s="5231">
        <v>237</v>
      </c>
      <c r="Q16" s="9072"/>
      <c r="R16" s="3919">
        <f>+((N16*N11)+(P11*P16))/(N11+P11)</f>
        <v>244.76515259048972</v>
      </c>
      <c r="S16" s="9082"/>
      <c r="T16" s="5231">
        <v>253</v>
      </c>
      <c r="U16" s="9072"/>
      <c r="V16" s="3919">
        <f>+((R16*R11)+(T11*T16))/(R11+T11)</f>
        <v>246.59742857537006</v>
      </c>
      <c r="W16" s="9082"/>
      <c r="X16" s="5231">
        <v>245</v>
      </c>
      <c r="Y16" s="9084"/>
      <c r="Z16" s="4655">
        <f>+((P16*P$11)+(T16*T$11)+(X$11*X16))/Z$11</f>
        <v>245.37898328900488</v>
      </c>
      <c r="AA16" s="9087"/>
      <c r="AB16" s="7126">
        <f>+((V16*V11)+(X11*X16))/(V11+X11)</f>
        <v>246.41261146963024</v>
      </c>
      <c r="AC16" s="9082"/>
      <c r="AD16" s="5231">
        <v>230</v>
      </c>
      <c r="AE16" s="9072"/>
      <c r="AF16" s="3919">
        <f>+((AB16*AB11)+(AD11*AD16))/(AB11+AD11)</f>
        <v>244.37214643578213</v>
      </c>
      <c r="AG16" s="9082"/>
      <c r="AH16" s="5231"/>
      <c r="AI16" s="9072"/>
      <c r="AJ16" s="3919">
        <f>+((AF16*AF11)+(AH11*AH16))/(AF11+AH11)</f>
        <v>212.96171032787802</v>
      </c>
      <c r="AK16" s="9082"/>
      <c r="AL16" s="5231">
        <v>259</v>
      </c>
      <c r="AM16" s="9084"/>
      <c r="AN16" s="4655">
        <f>+((AD16*AD$11)+(AH16*AH$11)+(AL$11*AL16))/AN$11</f>
        <v>166.22530403243013</v>
      </c>
      <c r="AO16" s="9072"/>
      <c r="AP16" s="8121">
        <f>+((AJ16*AJ11)+(AL11*AL16))/(AJ11+AL11)</f>
        <v>219.1683285543993</v>
      </c>
      <c r="AQ16" s="9070"/>
      <c r="AR16" s="5231">
        <v>270</v>
      </c>
      <c r="AS16" s="9072"/>
      <c r="AT16" s="3919">
        <f>+((AP16*AP11)+(AR11*AR16))/(AP11+AR11)</f>
        <v>226.85661842617975</v>
      </c>
      <c r="AU16" s="9070"/>
      <c r="AV16" s="5231">
        <v>271</v>
      </c>
      <c r="AW16" s="9072"/>
      <c r="AX16" s="3919">
        <f>+((AT16*AT11)+(AV11*AV16))/(AT11+AV11)</f>
        <v>232.09123227746278</v>
      </c>
      <c r="AY16" s="9070"/>
      <c r="AZ16" s="5231">
        <v>265</v>
      </c>
      <c r="BA16" s="9084"/>
      <c r="BB16" s="4655">
        <f>+((AR16*AR$11)+(AV16*AV$11)+(AZ$11*AZ16))/BB$11</f>
        <v>268.52520924210427</v>
      </c>
      <c r="BC16" s="9084"/>
      <c r="BD16" s="8372">
        <f>+((AM16*AM$11)+(BB$11*BB16))/BD$11</f>
        <v>162.72286568279469</v>
      </c>
      <c r="BE16" s="9087"/>
      <c r="BF16" s="7126">
        <f>+((AX16*AX11)+(AZ11*AZ16))/(AX11+AZ11)</f>
        <v>236.10783831394519</v>
      </c>
    </row>
    <row r="17" spans="3:58" s="5200" customFormat="1" ht="19" x14ac:dyDescent="0.25">
      <c r="C17" s="5241" t="s">
        <v>1900</v>
      </c>
      <c r="D17" s="9109"/>
      <c r="E17" s="9096"/>
      <c r="F17" s="5231">
        <v>242</v>
      </c>
      <c r="G17" s="9096"/>
      <c r="H17" s="5231">
        <v>264</v>
      </c>
      <c r="I17" s="9072"/>
      <c r="J17" s="3919">
        <f>+((F17*F11)+(H11*H17))/(F11+H11)</f>
        <v>252.72530777839955</v>
      </c>
      <c r="K17" s="9096"/>
      <c r="L17" s="5231">
        <v>221</v>
      </c>
      <c r="M17" s="9084"/>
      <c r="N17" s="4655">
        <f>+((J17*J11)+(L11*L17))/(J11+L11)</f>
        <v>242.53636126213823</v>
      </c>
      <c r="O17" s="9082"/>
      <c r="P17" s="5231">
        <v>195</v>
      </c>
      <c r="Q17" s="9072"/>
      <c r="R17" s="3919">
        <f>+((N17*N11)+(P11*P17))/(N11+P11)</f>
        <v>230.524911284599</v>
      </c>
      <c r="S17" s="9082"/>
      <c r="T17" s="5231">
        <v>255</v>
      </c>
      <c r="U17" s="9072"/>
      <c r="V17" s="3919">
        <f>+((R17*R11)+(T11*T17))/(R11+T11)</f>
        <v>235.97068520741078</v>
      </c>
      <c r="W17" s="9082"/>
      <c r="X17" s="5231">
        <v>256</v>
      </c>
      <c r="Y17" s="9084"/>
      <c r="Z17" s="4655">
        <f t="shared" ref="Z17:Z19" si="43">+((P17*P$11)+(T17*T$11)+(X$11*X17))/Z$11</f>
        <v>233.79821347919906</v>
      </c>
      <c r="AA17" s="9087"/>
      <c r="AB17" s="7126">
        <f>+((V17*V11)+(X11*X17))/(V11+X11)</f>
        <v>238.28800946653166</v>
      </c>
      <c r="AC17" s="9082"/>
      <c r="AD17" s="5231">
        <v>252</v>
      </c>
      <c r="AE17" s="9072"/>
      <c r="AF17" s="3919">
        <f>+((AB17*AB11)+(AD11*AD17))/(AB11+AD11)</f>
        <v>239.99272521391717</v>
      </c>
      <c r="AG17" s="9082"/>
      <c r="AH17" s="5231">
        <v>275</v>
      </c>
      <c r="AI17" s="9072"/>
      <c r="AJ17" s="3919">
        <f>+((AF17*AF11)+(AH11*AH17))/(AF11+AH11)</f>
        <v>244.49239419836528</v>
      </c>
      <c r="AK17" s="9082"/>
      <c r="AL17" s="5231">
        <v>263</v>
      </c>
      <c r="AM17" s="9084"/>
      <c r="AN17" s="4655">
        <f t="shared" ref="AN17:AN19" si="44">+((AD17*AD$11)+(AH17*AH$11)+(AL$11*AL17))/AN$11</f>
        <v>263.89291894839153</v>
      </c>
      <c r="AO17" s="9072"/>
      <c r="AP17" s="8121">
        <f>+((AJ17*AJ11)+(AL11*AL17))/(AJ11+AL11)</f>
        <v>246.98748348851444</v>
      </c>
      <c r="AQ17" s="9070"/>
      <c r="AR17" s="5231">
        <v>268</v>
      </c>
      <c r="AS17" s="9072"/>
      <c r="AT17" s="3919">
        <f>+((AP17*AP11)+(AR11*AR17))/(AP11+AR11)</f>
        <v>250.16562643132053</v>
      </c>
      <c r="AU17" s="9070"/>
      <c r="AV17" s="5231">
        <v>271</v>
      </c>
      <c r="AW17" s="9072"/>
      <c r="AX17" s="3919">
        <f>+((AT17*AT11)+(AV11*AV17))/(AT11+AV11)</f>
        <v>252.63620971192026</v>
      </c>
      <c r="AY17" s="9070"/>
      <c r="AZ17" s="5231">
        <v>264</v>
      </c>
      <c r="BA17" s="9084"/>
      <c r="BB17" s="4655">
        <f t="shared" ref="BB17:BB19" si="45">+((AR17*AR$11)+(AV17*AV$11)+(AZ$11*AZ17))/BB$11</f>
        <v>267.48752254265764</v>
      </c>
      <c r="BC17" s="9084"/>
      <c r="BD17" s="8372">
        <f t="shared" ref="BD17:BD19" si="46">+((AM17*AM$11)+(BB$11*BB17))/BD$11</f>
        <v>162.09404072482721</v>
      </c>
      <c r="BE17" s="9087"/>
      <c r="BF17" s="7126">
        <f>+((AX17*AX11)+(AZ11*AZ17))/(AX11+AZ11)</f>
        <v>254.02319171784819</v>
      </c>
    </row>
    <row r="18" spans="3:58" s="5200" customFormat="1" ht="19" x14ac:dyDescent="0.25">
      <c r="C18" s="5242" t="s">
        <v>1901</v>
      </c>
      <c r="D18" s="9109"/>
      <c r="E18" s="9096"/>
      <c r="F18" s="5231">
        <v>258</v>
      </c>
      <c r="G18" s="9096"/>
      <c r="H18" s="5231">
        <v>272</v>
      </c>
      <c r="I18" s="9072"/>
      <c r="J18" s="3919">
        <f>+((F18*F11)+(H11*H18))/(F11+H11)</f>
        <v>264.82519585898154</v>
      </c>
      <c r="K18" s="9096"/>
      <c r="L18" s="5231">
        <v>259</v>
      </c>
      <c r="M18" s="9084"/>
      <c r="N18" s="4655">
        <f>+((J18*J11)+(L11*L18))/(J11+L11)</f>
        <v>262.95436738763976</v>
      </c>
      <c r="O18" s="9082"/>
      <c r="P18" s="5231">
        <v>256</v>
      </c>
      <c r="Q18" s="9072"/>
      <c r="R18" s="3919">
        <f>+((N18*N11)+(P11*P18))/(N11+P11)</f>
        <v>261.19714336408799</v>
      </c>
      <c r="S18" s="9082"/>
      <c r="T18" s="5231">
        <v>261</v>
      </c>
      <c r="U18" s="9072"/>
      <c r="V18" s="3919">
        <f>+((R18*R11)+(T11*T18))/(R11+T11)</f>
        <v>261.15327842845119</v>
      </c>
      <c r="W18" s="9082"/>
      <c r="X18" s="5231">
        <v>267</v>
      </c>
      <c r="Y18" s="9084"/>
      <c r="Z18" s="4655">
        <f t="shared" si="43"/>
        <v>260.64116525317411</v>
      </c>
      <c r="AA18" s="9087"/>
      <c r="AB18" s="7126">
        <f>+((V18*V11)+(X11*X18))/(V11+X11)</f>
        <v>261.82972442145586</v>
      </c>
      <c r="AC18" s="9082"/>
      <c r="AD18" s="5231">
        <v>261</v>
      </c>
      <c r="AE18" s="9072"/>
      <c r="AF18" s="3919">
        <f>+((AB18*AB11)+(AD11*AD18))/(AB11+AD11)</f>
        <v>261.726570595336</v>
      </c>
      <c r="AG18" s="9082"/>
      <c r="AH18" s="5231">
        <v>273</v>
      </c>
      <c r="AI18" s="9072"/>
      <c r="AJ18" s="3919">
        <f>+((AF18*AF11)+(AH11*AH18))/(AF11+AH11)</f>
        <v>263.17560371632317</v>
      </c>
      <c r="AK18" s="9082"/>
      <c r="AL18" s="5231">
        <v>267</v>
      </c>
      <c r="AM18" s="9084"/>
      <c r="AN18" s="4655">
        <f t="shared" si="44"/>
        <v>267.3085129080435</v>
      </c>
      <c r="AO18" s="9072"/>
      <c r="AP18" s="8121">
        <f>+((AJ18*AJ11)+(AL11*AL18))/(AJ11+AL11)</f>
        <v>263.69118689390768</v>
      </c>
      <c r="AQ18" s="9070"/>
      <c r="AR18" s="5231">
        <v>283</v>
      </c>
      <c r="AS18" s="9072"/>
      <c r="AT18" s="3919">
        <f>+((AP18*AP11)+(AR11*AR18))/(AP11+AR11)</f>
        <v>266.61164471120651</v>
      </c>
      <c r="AU18" s="9070"/>
      <c r="AV18" s="5231">
        <v>278</v>
      </c>
      <c r="AW18" s="9072"/>
      <c r="AX18" s="3919">
        <f>+((AT18*AT11)+(AV11*AV18))/(AT11+AV11)</f>
        <v>267.96209952940751</v>
      </c>
      <c r="AY18" s="9070"/>
      <c r="AZ18" s="5231">
        <v>279</v>
      </c>
      <c r="BA18" s="9084"/>
      <c r="BB18" s="4655">
        <f t="shared" si="45"/>
        <v>280.06077654638779</v>
      </c>
      <c r="BC18" s="9084"/>
      <c r="BD18" s="8372">
        <f t="shared" si="46"/>
        <v>169.71327293106668</v>
      </c>
      <c r="BE18" s="9087"/>
      <c r="BF18" s="7126">
        <f>+((AX18*AX11)+(AZ11*AZ18))/(AX11+AZ11)</f>
        <v>269.30930578258824</v>
      </c>
    </row>
    <row r="19" spans="3:58" s="5200" customFormat="1" ht="21" thickBot="1" x14ac:dyDescent="0.3">
      <c r="C19" s="5243" t="s">
        <v>1902</v>
      </c>
      <c r="D19" s="9110"/>
      <c r="E19" s="9097"/>
      <c r="F19" s="5244">
        <v>217</v>
      </c>
      <c r="G19" s="9097"/>
      <c r="H19" s="5244">
        <v>256</v>
      </c>
      <c r="I19" s="9073"/>
      <c r="J19" s="5488">
        <f>+((F19*F11)+(H11*H19))/(F11+H11)</f>
        <v>236.01304560716284</v>
      </c>
      <c r="K19" s="9097"/>
      <c r="L19" s="5244">
        <v>206</v>
      </c>
      <c r="M19" s="9085"/>
      <c r="N19" s="3068">
        <f>+((J19*J11)+(L11*L19))/(J11+L11)</f>
        <v>226.37401172867351</v>
      </c>
      <c r="O19" s="9083"/>
      <c r="P19" s="5244">
        <v>205</v>
      </c>
      <c r="Q19" s="9073"/>
      <c r="R19" s="5488">
        <f>+((N19*N11)+(P11*P19))/(N11+P11)</f>
        <v>220.97324343506034</v>
      </c>
      <c r="S19" s="9083"/>
      <c r="T19" s="5244">
        <v>245</v>
      </c>
      <c r="U19" s="9073"/>
      <c r="V19" s="5488">
        <f>+((R19*R11)+(T11*T19))/(R11+T11)</f>
        <v>226.31926223289051</v>
      </c>
      <c r="W19" s="9083"/>
      <c r="X19" s="5244">
        <v>228</v>
      </c>
      <c r="Y19" s="9085"/>
      <c r="Z19" s="4655">
        <f t="shared" si="43"/>
        <v>226.66136397852159</v>
      </c>
      <c r="AA19" s="9088"/>
      <c r="AB19" s="7221">
        <f>+((V19*V11)+(X11*X19))/(V11+X11)</f>
        <v>226.51371793151404</v>
      </c>
      <c r="AC19" s="9083"/>
      <c r="AD19" s="5244">
        <v>198</v>
      </c>
      <c r="AE19" s="9073"/>
      <c r="AF19" s="5488">
        <f>+((AB19*AB11)+(AD11*AD19))/(AB11+AD11)</f>
        <v>222.96880708463749</v>
      </c>
      <c r="AG19" s="9083"/>
      <c r="AH19" s="5244">
        <v>246</v>
      </c>
      <c r="AI19" s="9073"/>
      <c r="AJ19" s="5488">
        <f>+((AF19*AF11)+(AH11*AH19))/(AF11+AH11)</f>
        <v>225.92912733433874</v>
      </c>
      <c r="AK19" s="9083"/>
      <c r="AL19" s="5244">
        <v>238</v>
      </c>
      <c r="AM19" s="9085"/>
      <c r="AN19" s="4655">
        <f t="shared" si="44"/>
        <v>229.58277031031457</v>
      </c>
      <c r="AO19" s="9073"/>
      <c r="AP19" s="8122">
        <f>+((AJ19*AJ11)+(AL11*AL19))/(AJ11+AL11)</f>
        <v>227.55645317181612</v>
      </c>
      <c r="AQ19" s="9071"/>
      <c r="AR19" s="5244">
        <v>249</v>
      </c>
      <c r="AS19" s="9073"/>
      <c r="AT19" s="5488">
        <f>+((AP19*AP11)+(AR11*AR19))/(AP11+AR11)</f>
        <v>230.79978944633959</v>
      </c>
      <c r="AU19" s="9071"/>
      <c r="AV19" s="5244">
        <v>241</v>
      </c>
      <c r="AW19" s="9073"/>
      <c r="AX19" s="5488">
        <f>+((AT19*AT11)+(AV11*AV19))/(AT11+AV11)</f>
        <v>232.00935159465175</v>
      </c>
      <c r="AY19" s="9071"/>
      <c r="AZ19" s="5244">
        <v>237</v>
      </c>
      <c r="BA19" s="9085"/>
      <c r="BB19" s="4655">
        <f t="shared" si="45"/>
        <v>242.30573238589946</v>
      </c>
      <c r="BC19" s="9085"/>
      <c r="BD19" s="8373">
        <f t="shared" si="46"/>
        <v>146.83419577806836</v>
      </c>
      <c r="BE19" s="9088"/>
      <c r="BF19" s="7221">
        <f>+((AX19*AX11)+(AZ11*AZ19))/(AX11+AZ11)</f>
        <v>232.61847402305418</v>
      </c>
    </row>
    <row r="20" spans="3:58" ht="18" x14ac:dyDescent="0.2">
      <c r="C20" s="5236" t="s">
        <v>1166</v>
      </c>
      <c r="D20" s="5237"/>
      <c r="E20" s="5237"/>
      <c r="F20" s="5238"/>
      <c r="G20" s="5237"/>
      <c r="H20" s="5238"/>
      <c r="I20" s="5489"/>
      <c r="J20" s="5490"/>
      <c r="K20" s="5237"/>
      <c r="L20" s="5238"/>
      <c r="M20" s="5837"/>
      <c r="N20" s="5838"/>
      <c r="O20" s="5237"/>
      <c r="P20" s="5238"/>
      <c r="Q20" s="5489"/>
      <c r="R20" s="5490"/>
      <c r="S20" s="5237"/>
      <c r="T20" s="5238"/>
      <c r="U20" s="5489"/>
      <c r="V20" s="5490"/>
      <c r="W20" s="5237"/>
      <c r="X20" s="5238"/>
      <c r="Y20" s="5837"/>
      <c r="Z20" s="5838"/>
      <c r="AA20" s="7222"/>
      <c r="AB20" s="7223"/>
      <c r="AC20" s="5237"/>
      <c r="AD20" s="5238"/>
      <c r="AE20" s="5489"/>
      <c r="AF20" s="5490"/>
      <c r="AG20" s="5237"/>
      <c r="AH20" s="5238"/>
      <c r="AI20" s="5489"/>
      <c r="AJ20" s="5490"/>
      <c r="AK20" s="5237"/>
      <c r="AL20" s="5238"/>
      <c r="AM20" s="5837"/>
      <c r="AN20" s="5838"/>
      <c r="AO20" s="5489"/>
      <c r="AP20" s="5490"/>
      <c r="AQ20" s="5237"/>
      <c r="AR20" s="5238"/>
      <c r="AS20" s="5489"/>
      <c r="AT20" s="5490"/>
      <c r="AU20" s="5237"/>
      <c r="AV20" s="5238"/>
      <c r="AW20" s="5489"/>
      <c r="AX20" s="5490"/>
      <c r="AY20" s="5237"/>
      <c r="AZ20" s="5238"/>
      <c r="BA20" s="5837"/>
      <c r="BB20" s="5838"/>
      <c r="BC20" s="5837"/>
      <c r="BD20" s="8374"/>
      <c r="BE20" s="7222"/>
      <c r="BF20" s="7223"/>
    </row>
    <row r="21" spans="3:58" x14ac:dyDescent="0.2">
      <c r="C21" s="1605" t="s">
        <v>1167</v>
      </c>
      <c r="D21" s="1923" t="s">
        <v>170</v>
      </c>
      <c r="E21" s="5203">
        <f>+E33*$E$36/1000</f>
        <v>8526.4468862045087</v>
      </c>
      <c r="F21" s="3443">
        <v>9017</v>
      </c>
      <c r="G21" s="5450">
        <f>+G33*$E$36/1000</f>
        <v>8856.9083636878077</v>
      </c>
      <c r="H21" s="3443">
        <v>9535</v>
      </c>
      <c r="I21" s="5449">
        <f>+E21+G21</f>
        <v>17383.355249892316</v>
      </c>
      <c r="J21" s="1706">
        <f>+F21+H21</f>
        <v>18552</v>
      </c>
      <c r="K21" s="5782">
        <f>+K33*$E$36/1000</f>
        <v>10679.953082017151</v>
      </c>
      <c r="L21" s="3443">
        <v>10460</v>
      </c>
      <c r="M21" s="5783">
        <f>+I21+K21</f>
        <v>28063.308331909466</v>
      </c>
      <c r="N21" s="1997">
        <f>+J21+L21</f>
        <v>29012</v>
      </c>
      <c r="O21" s="5918">
        <f>+O33*$F$36/1000</f>
        <v>14590.622731739699</v>
      </c>
      <c r="P21" s="3443">
        <v>13226</v>
      </c>
      <c r="Q21" s="5919">
        <f>+M21+O21</f>
        <v>42653.931063649165</v>
      </c>
      <c r="R21" s="1706">
        <f>+N21+P21</f>
        <v>42238</v>
      </c>
      <c r="S21" s="5986">
        <f>+S33*$F$36/1000</f>
        <v>14505.616775947246</v>
      </c>
      <c r="T21" s="3443">
        <v>12665</v>
      </c>
      <c r="U21" s="6428">
        <f>+Q21+S21</f>
        <v>57159.547839596409</v>
      </c>
      <c r="V21" s="1706">
        <f>+R21+T21</f>
        <v>54903</v>
      </c>
      <c r="W21" s="5986">
        <f>+W33*$E$36/1000</f>
        <v>14314.699598275294</v>
      </c>
      <c r="X21" s="3443">
        <v>8091</v>
      </c>
      <c r="Y21" s="5783">
        <f t="shared" ref="Y21:Y22" si="47">+O21+S21+W21</f>
        <v>43410.939105962236</v>
      </c>
      <c r="Z21" s="5783">
        <f t="shared" ref="Z21:Z22" si="48">+P21+T21+X21</f>
        <v>33982</v>
      </c>
      <c r="AA21" s="6614">
        <f>+U21+W21</f>
        <v>71474.247437871702</v>
      </c>
      <c r="AB21" s="7214">
        <f>+V21+X21</f>
        <v>62994</v>
      </c>
      <c r="AC21" s="5986">
        <f>+AC33*$F$36/1000</f>
        <v>7528.2039437449776</v>
      </c>
      <c r="AD21" s="3443">
        <v>8488</v>
      </c>
      <c r="AE21" s="7371">
        <f>+AA21+AC21</f>
        <v>79002.451381616673</v>
      </c>
      <c r="AF21" s="1706">
        <f>+AB21+AD21</f>
        <v>71482</v>
      </c>
      <c r="AG21" s="5986">
        <f>+AG33*$F$36/1000</f>
        <v>14241.630087788066</v>
      </c>
      <c r="AH21" s="3443">
        <v>11592</v>
      </c>
      <c r="AI21" s="7394">
        <f>+AE21+AG21</f>
        <v>93244.081469404744</v>
      </c>
      <c r="AJ21" s="1706">
        <f>+AF21+AH21</f>
        <v>83074</v>
      </c>
      <c r="AK21" s="5986">
        <f>+AK33*$E$36/1000</f>
        <v>14942.978683484513</v>
      </c>
      <c r="AL21" s="3443">
        <v>12900</v>
      </c>
      <c r="AM21" s="5783">
        <f t="shared" ref="AM21:AM22" si="49">+AC21+AG21+AK21</f>
        <v>36712.812715017557</v>
      </c>
      <c r="AN21" s="5783">
        <f t="shared" ref="AN21:AN22" si="50">+AD21+AH21+AL21</f>
        <v>32980</v>
      </c>
      <c r="AO21" s="7394">
        <f>+AI21+AK21</f>
        <v>108187.06015288926</v>
      </c>
      <c r="AP21" s="1706">
        <f>+AJ21+AL21</f>
        <v>95974</v>
      </c>
      <c r="AQ21" s="5986">
        <f>+AQ33*$E$36/1000</f>
        <v>14703.425437234646</v>
      </c>
      <c r="AR21" s="3443">
        <v>13228</v>
      </c>
      <c r="AS21" s="7394">
        <f>+AO21+AQ21</f>
        <v>122890.48559012391</v>
      </c>
      <c r="AT21" s="1706">
        <f>+AP21+AR21</f>
        <v>109202</v>
      </c>
      <c r="AU21" s="5986">
        <f>+AU33*$E$36/1000</f>
        <v>13590.269478507973</v>
      </c>
      <c r="AV21" s="3443">
        <v>8141</v>
      </c>
      <c r="AW21" s="7394">
        <f>+AS21+AU21</f>
        <v>136480.75506863187</v>
      </c>
      <c r="AX21" s="1706">
        <f>+AT21+AV21</f>
        <v>117343</v>
      </c>
      <c r="AY21" s="5986">
        <f>+AY33*$E$36/1000</f>
        <v>15010.772417041255</v>
      </c>
      <c r="AZ21" s="3443">
        <v>10375</v>
      </c>
      <c r="BA21" s="5783">
        <f t="shared" ref="BA21:BA22" si="51">+AQ21+AU21+AY21</f>
        <v>43304.467332783875</v>
      </c>
      <c r="BB21" s="5783">
        <f t="shared" ref="BB21:BB22" si="52">+AR21+AV21+AZ21</f>
        <v>31744</v>
      </c>
      <c r="BC21" s="5783">
        <f t="shared" ref="BC21:BC22" si="53">+BA21+AM21</f>
        <v>80017.28004780144</v>
      </c>
      <c r="BD21" s="5783">
        <f t="shared" ref="BD21:BD22" si="54">+BB21+AN21</f>
        <v>64724</v>
      </c>
      <c r="BE21" s="6614">
        <f>+AW21+AY21</f>
        <v>151491.52748567314</v>
      </c>
      <c r="BF21" s="7214">
        <f>+AX21+AZ21</f>
        <v>127718</v>
      </c>
    </row>
    <row r="22" spans="3:58" x14ac:dyDescent="0.2">
      <c r="C22" s="9095" t="s">
        <v>1161</v>
      </c>
      <c r="D22" s="1923" t="s">
        <v>170</v>
      </c>
      <c r="E22" s="5203">
        <f>+E21*E23/100</f>
        <v>2131.6117215511272</v>
      </c>
      <c r="F22" s="3443">
        <v>2424</v>
      </c>
      <c r="G22" s="5450">
        <f>+G21*G23/100</f>
        <v>2214.2270909219519</v>
      </c>
      <c r="H22" s="3443">
        <v>1083</v>
      </c>
      <c r="I22" s="5449">
        <f>+E22+G22</f>
        <v>4345.8388124730791</v>
      </c>
      <c r="J22" s="1706">
        <f>+F22+H22</f>
        <v>3507</v>
      </c>
      <c r="K22" s="5782">
        <f>+K21*K23/100</f>
        <v>2669.9882705042878</v>
      </c>
      <c r="L22" s="3443">
        <v>2387</v>
      </c>
      <c r="M22" s="5783">
        <f>+I22+K22</f>
        <v>7015.8270829773664</v>
      </c>
      <c r="N22" s="1997">
        <f>+J22+L22</f>
        <v>5894</v>
      </c>
      <c r="O22" s="5918">
        <f>+O21*O23/100</f>
        <v>3647.6556829349247</v>
      </c>
      <c r="P22" s="3443">
        <v>4479</v>
      </c>
      <c r="Q22" s="5919">
        <f>+M22+O22</f>
        <v>10663.482765912291</v>
      </c>
      <c r="R22" s="1706">
        <f>+N22+P22</f>
        <v>10373</v>
      </c>
      <c r="S22" s="5986">
        <f>+S21*S23/100</f>
        <v>3626.4041939868116</v>
      </c>
      <c r="T22" s="3443">
        <v>2687</v>
      </c>
      <c r="U22" s="6428">
        <f>+Q22+S22</f>
        <v>14289.886959899102</v>
      </c>
      <c r="V22" s="1706">
        <f>+R22+T22</f>
        <v>13060</v>
      </c>
      <c r="W22" s="5986">
        <f>+W21*W23/100</f>
        <v>3578.6748995688235</v>
      </c>
      <c r="X22" s="3443">
        <v>2159</v>
      </c>
      <c r="Y22" s="5783">
        <f t="shared" si="47"/>
        <v>10852.734776490559</v>
      </c>
      <c r="Z22" s="5783">
        <f t="shared" si="48"/>
        <v>9325</v>
      </c>
      <c r="AA22" s="6614">
        <f>+U22+W22</f>
        <v>17868.561859467925</v>
      </c>
      <c r="AB22" s="7214">
        <f>+V22+X22</f>
        <v>15219</v>
      </c>
      <c r="AC22" s="5986">
        <f>+AC21*AC23/100</f>
        <v>1882.0509859362442</v>
      </c>
      <c r="AD22" s="3443">
        <v>2777</v>
      </c>
      <c r="AE22" s="7371">
        <f>+AA22+AC22</f>
        <v>19750.612845404168</v>
      </c>
      <c r="AF22" s="1706">
        <f>+AB22+AD22</f>
        <v>17996</v>
      </c>
      <c r="AG22" s="5986">
        <f>+AG21*AG23/100</f>
        <v>3560.4075219470164</v>
      </c>
      <c r="AH22" s="3443">
        <v>3928</v>
      </c>
      <c r="AI22" s="7394">
        <f>+AE22+AG22</f>
        <v>23311.020367351186</v>
      </c>
      <c r="AJ22" s="1706">
        <f>+AF22+AH22</f>
        <v>21924</v>
      </c>
      <c r="AK22" s="5986">
        <f>+AK21*AK23/100</f>
        <v>3735.7446708711282</v>
      </c>
      <c r="AL22" s="3443">
        <v>2612</v>
      </c>
      <c r="AM22" s="5783">
        <f t="shared" si="49"/>
        <v>9178.2031787543892</v>
      </c>
      <c r="AN22" s="5783">
        <f t="shared" si="50"/>
        <v>9317</v>
      </c>
      <c r="AO22" s="7394">
        <f>+AI22+AK22</f>
        <v>27046.765038222315</v>
      </c>
      <c r="AP22" s="1706">
        <f>+AJ22+AL22</f>
        <v>24536</v>
      </c>
      <c r="AQ22" s="5986">
        <f>+AQ21*AQ23/100</f>
        <v>3675.856359308661</v>
      </c>
      <c r="AR22" s="3443">
        <v>2789</v>
      </c>
      <c r="AS22" s="7394">
        <f>+AO22+AQ22</f>
        <v>30722.621397530977</v>
      </c>
      <c r="AT22" s="1706">
        <f>+AP22+AR22</f>
        <v>27325</v>
      </c>
      <c r="AU22" s="5986">
        <f>+AU21*AU23/100</f>
        <v>3397.5673696269932</v>
      </c>
      <c r="AV22" s="3443">
        <v>1510</v>
      </c>
      <c r="AW22" s="7394">
        <f>+AS22+AU22</f>
        <v>34120.188767157968</v>
      </c>
      <c r="AX22" s="1706">
        <f>+AT22+AV22</f>
        <v>28835</v>
      </c>
      <c r="AY22" s="5986">
        <f>+AY21*AY23/100</f>
        <v>3752.6931042603137</v>
      </c>
      <c r="AZ22" s="3443">
        <v>1839</v>
      </c>
      <c r="BA22" s="5783">
        <f t="shared" si="51"/>
        <v>10826.116833195967</v>
      </c>
      <c r="BB22" s="5783">
        <f t="shared" si="52"/>
        <v>6138</v>
      </c>
      <c r="BC22" s="5783">
        <f t="shared" si="53"/>
        <v>20004.320011950356</v>
      </c>
      <c r="BD22" s="5783">
        <f t="shared" si="54"/>
        <v>15455</v>
      </c>
      <c r="BE22" s="6614">
        <f>+AW22+AY22</f>
        <v>37872.881871418285</v>
      </c>
      <c r="BF22" s="7214">
        <f>+AX22+AZ22</f>
        <v>30674</v>
      </c>
    </row>
    <row r="23" spans="3:58" x14ac:dyDescent="0.2">
      <c r="C23" s="9095"/>
      <c r="D23" s="1923" t="s">
        <v>169</v>
      </c>
      <c r="E23" s="3829">
        <v>25</v>
      </c>
      <c r="F23" s="3274">
        <f>+F22/F21*100</f>
        <v>26.882555173561052</v>
      </c>
      <c r="G23" s="3829">
        <v>25</v>
      </c>
      <c r="H23" s="3274">
        <f>+H22/H21*100</f>
        <v>11.358154168851598</v>
      </c>
      <c r="I23" s="3194">
        <f>+I22/I21*100</f>
        <v>25</v>
      </c>
      <c r="J23" s="1705">
        <f>+J22/J21*100</f>
        <v>18.903622250970244</v>
      </c>
      <c r="K23" s="3829">
        <v>25</v>
      </c>
      <c r="L23" s="3274">
        <f>+L22/L21*100</f>
        <v>22.820267686424476</v>
      </c>
      <c r="M23" s="5714">
        <f>+M22/M21*100</f>
        <v>25</v>
      </c>
      <c r="N23" s="2027">
        <f>+N22/N21*100</f>
        <v>20.315731421480766</v>
      </c>
      <c r="O23" s="5918">
        <v>25</v>
      </c>
      <c r="P23" s="3274">
        <f>+P22/P21*100</f>
        <v>33.865114169060938</v>
      </c>
      <c r="Q23" s="5919">
        <f>+Q22/Q21*100</f>
        <v>25</v>
      </c>
      <c r="R23" s="1705">
        <f>+R22/R21*100</f>
        <v>24.55845447227615</v>
      </c>
      <c r="S23" s="5986">
        <v>25</v>
      </c>
      <c r="T23" s="3274">
        <f>+T22/T21*100</f>
        <v>21.215949467035138</v>
      </c>
      <c r="U23" s="6428">
        <f>+U22/U21*100</f>
        <v>25</v>
      </c>
      <c r="V23" s="1705">
        <f>+V22/V21*100</f>
        <v>23.787406881226893</v>
      </c>
      <c r="W23" s="5986">
        <v>25</v>
      </c>
      <c r="X23" s="3274">
        <f>+X22/X21*100</f>
        <v>26.68396984303547</v>
      </c>
      <c r="Y23" s="5714">
        <f>+Y22/Y21*100</f>
        <v>25</v>
      </c>
      <c r="Z23" s="2027">
        <f>+Z22/Z21*100</f>
        <v>27.440998175504678</v>
      </c>
      <c r="AA23" s="6614">
        <f>+AA22/AA21*100</f>
        <v>25</v>
      </c>
      <c r="AB23" s="7215">
        <f>+AB22/AB21*100</f>
        <v>24.159443756548242</v>
      </c>
      <c r="AC23" s="5986">
        <v>25</v>
      </c>
      <c r="AD23" s="3274">
        <f>+AD22/AD21*100</f>
        <v>32.716776625824693</v>
      </c>
      <c r="AE23" s="7371">
        <f>+AE22/AE21*100</f>
        <v>25</v>
      </c>
      <c r="AF23" s="1705">
        <f>+AF22/AF21*100</f>
        <v>25.175568674631378</v>
      </c>
      <c r="AG23" s="5986">
        <v>25</v>
      </c>
      <c r="AH23" s="3274">
        <f>+AH22/AH21*100</f>
        <v>33.885438233264317</v>
      </c>
      <c r="AI23" s="7394">
        <f>+AI22/AI21*100</f>
        <v>25</v>
      </c>
      <c r="AJ23" s="1705">
        <f>+AJ22/AJ21*100</f>
        <v>26.390928569708933</v>
      </c>
      <c r="AK23" s="5986">
        <v>25</v>
      </c>
      <c r="AL23" s="3274">
        <f>+AL22/AL21*100</f>
        <v>20.248062015503876</v>
      </c>
      <c r="AM23" s="5714">
        <f>+AM22/AM21*100</f>
        <v>25</v>
      </c>
      <c r="AN23" s="2027">
        <f>+AN22/AN21*100</f>
        <v>28.250454821103698</v>
      </c>
      <c r="AO23" s="7394">
        <f>+AO22/AO21*100</f>
        <v>25</v>
      </c>
      <c r="AP23" s="1705">
        <f>+AP22/AP21*100</f>
        <v>25.565257257173819</v>
      </c>
      <c r="AQ23" s="5986">
        <v>25</v>
      </c>
      <c r="AR23" s="3274">
        <f>+AR22/AR21*100</f>
        <v>21.084064106440884</v>
      </c>
      <c r="AS23" s="7394">
        <f>+AS22/AS21*100</f>
        <v>25</v>
      </c>
      <c r="AT23" s="1705">
        <f>+AT22/AT21*100</f>
        <v>25.022435486529549</v>
      </c>
      <c r="AU23" s="5986">
        <v>25</v>
      </c>
      <c r="AV23" s="3274">
        <f>+AV22/AV21*100</f>
        <v>18.548089915243828</v>
      </c>
      <c r="AW23" s="7394">
        <f>+AW22/AW21*100</f>
        <v>25</v>
      </c>
      <c r="AX23" s="1705">
        <f>+AX22/AX21*100</f>
        <v>24.573259589408828</v>
      </c>
      <c r="AY23" s="5986">
        <v>25</v>
      </c>
      <c r="AZ23" s="3274">
        <f t="shared" ref="AZ23:BF23" si="55">+AZ22/AZ21*100</f>
        <v>17.725301204819278</v>
      </c>
      <c r="BA23" s="5714">
        <f t="shared" si="55"/>
        <v>24.999999999999993</v>
      </c>
      <c r="BB23" s="2027">
        <f t="shared" si="55"/>
        <v>19.3359375</v>
      </c>
      <c r="BC23" s="5714">
        <f t="shared" si="55"/>
        <v>24.999999999999993</v>
      </c>
      <c r="BD23" s="8370">
        <f t="shared" si="55"/>
        <v>23.878314072059823</v>
      </c>
      <c r="BE23" s="6614">
        <f t="shared" si="55"/>
        <v>25</v>
      </c>
      <c r="BF23" s="7215">
        <f t="shared" si="55"/>
        <v>24.016974897821765</v>
      </c>
    </row>
    <row r="24" spans="3:58" x14ac:dyDescent="0.2">
      <c r="C24" s="1605" t="s">
        <v>1168</v>
      </c>
      <c r="D24" s="1923" t="s">
        <v>170</v>
      </c>
      <c r="E24" s="5203">
        <f>+E21-E22</f>
        <v>6394.8351646533811</v>
      </c>
      <c r="F24" s="3443">
        <f>+F21-F22</f>
        <v>6593</v>
      </c>
      <c r="G24" s="5450">
        <f>+G21-G22</f>
        <v>6642.6812727658562</v>
      </c>
      <c r="H24" s="3443">
        <f>+H21-H22</f>
        <v>8452</v>
      </c>
      <c r="I24" s="5449">
        <f>+E24+G24</f>
        <v>13037.516437419237</v>
      </c>
      <c r="J24" s="1706">
        <f>+F24+H24</f>
        <v>15045</v>
      </c>
      <c r="K24" s="5782">
        <f>+K21-K22</f>
        <v>8009.9648115128639</v>
      </c>
      <c r="L24" s="3443">
        <f>+L21-L22</f>
        <v>8073</v>
      </c>
      <c r="M24" s="5783">
        <f>+I24+K24</f>
        <v>21047.481248932101</v>
      </c>
      <c r="N24" s="1997">
        <f>+J24+L24</f>
        <v>23118</v>
      </c>
      <c r="O24" s="5918">
        <f>+O21-O22</f>
        <v>10942.967048804774</v>
      </c>
      <c r="P24" s="3443">
        <f>+P21-P22</f>
        <v>8747</v>
      </c>
      <c r="Q24" s="5919">
        <f>+M24+O24</f>
        <v>31990.448297736875</v>
      </c>
      <c r="R24" s="1706">
        <f>+N24+P24</f>
        <v>31865</v>
      </c>
      <c r="S24" s="5986">
        <f>+S21-S22</f>
        <v>10879.212581960435</v>
      </c>
      <c r="T24" s="3443">
        <f>+T21-T22</f>
        <v>9978</v>
      </c>
      <c r="U24" s="6428">
        <f>+Q24+S24</f>
        <v>42869.660879697309</v>
      </c>
      <c r="V24" s="1706">
        <f>+R24+T24</f>
        <v>41843</v>
      </c>
      <c r="W24" s="5986">
        <f>+W21-W22</f>
        <v>10736.024698706471</v>
      </c>
      <c r="X24" s="3443">
        <f>+X21-X22</f>
        <v>5932</v>
      </c>
      <c r="Y24" s="5783">
        <f t="shared" ref="Y24:Y25" si="56">+O24+S24+W24</f>
        <v>32558.204329471682</v>
      </c>
      <c r="Z24" s="5783">
        <f t="shared" ref="Z24:Z25" si="57">+P24+T24+X24</f>
        <v>24657</v>
      </c>
      <c r="AA24" s="6614">
        <f>+U24+W24</f>
        <v>53605.685578403776</v>
      </c>
      <c r="AB24" s="7214">
        <f>+V24+X24</f>
        <v>47775</v>
      </c>
      <c r="AC24" s="5986">
        <f>+AC21-AC22</f>
        <v>5646.1529578087338</v>
      </c>
      <c r="AD24" s="3443">
        <f>+AD21-AD22</f>
        <v>5711</v>
      </c>
      <c r="AE24" s="7371">
        <f>+AA24+AC24</f>
        <v>59251.838536212512</v>
      </c>
      <c r="AF24" s="1706">
        <f>+AB24+AD24</f>
        <v>53486</v>
      </c>
      <c r="AG24" s="5986">
        <f>+AG21-AG22</f>
        <v>10681.22256584105</v>
      </c>
      <c r="AH24" s="3443">
        <f>+AH21-AH22</f>
        <v>7664</v>
      </c>
      <c r="AI24" s="7394">
        <f>+AE24+AG24</f>
        <v>69933.061102053558</v>
      </c>
      <c r="AJ24" s="1706">
        <f>+AF24+AH24</f>
        <v>61150</v>
      </c>
      <c r="AK24" s="5986">
        <f>+AK21-AK22</f>
        <v>11207.234012613384</v>
      </c>
      <c r="AL24" s="3443">
        <f>+AL21-AL22</f>
        <v>10288</v>
      </c>
      <c r="AM24" s="5783">
        <f t="shared" ref="AM24:AM25" si="58">+AC24+AG24+AK24</f>
        <v>27534.609536263168</v>
      </c>
      <c r="AN24" s="5783">
        <f t="shared" ref="AN24:AN25" si="59">+AD24+AH24+AL24</f>
        <v>23663</v>
      </c>
      <c r="AO24" s="7394">
        <f>+AI24+AK24</f>
        <v>81140.295114666937</v>
      </c>
      <c r="AP24" s="1706">
        <f>+AJ24+AL24</f>
        <v>71438</v>
      </c>
      <c r="AQ24" s="5986">
        <f>+AQ21-AQ22</f>
        <v>11027.569077925986</v>
      </c>
      <c r="AR24" s="3443">
        <f>+AR21-AR22</f>
        <v>10439</v>
      </c>
      <c r="AS24" s="7394">
        <f>+AO24+AQ24</f>
        <v>92167.864192592926</v>
      </c>
      <c r="AT24" s="1706">
        <f>+AP24+AR24</f>
        <v>81877</v>
      </c>
      <c r="AU24" s="5986">
        <f>+AU21-AU22</f>
        <v>10192.70210888098</v>
      </c>
      <c r="AV24" s="3443">
        <f>+AV21-AV22</f>
        <v>6631</v>
      </c>
      <c r="AW24" s="7394">
        <f>+AS24+AU24</f>
        <v>102360.56630147391</v>
      </c>
      <c r="AX24" s="1706">
        <f>+AT24+AV24</f>
        <v>88508</v>
      </c>
      <c r="AY24" s="5986">
        <f>+AY21-AY22</f>
        <v>11258.079312780941</v>
      </c>
      <c r="AZ24" s="3443">
        <f>+AZ21-AZ22</f>
        <v>8536</v>
      </c>
      <c r="BA24" s="5783">
        <f t="shared" ref="BA24:BA25" si="60">+AQ24+AU24+AY24</f>
        <v>32478.350499587908</v>
      </c>
      <c r="BB24" s="5783">
        <f t="shared" ref="BB24:BB25" si="61">+AR24+AV24+AZ24</f>
        <v>25606</v>
      </c>
      <c r="BC24" s="5783">
        <f t="shared" ref="BC24:BC25" si="62">+BA24+AM24</f>
        <v>60012.96003585108</v>
      </c>
      <c r="BD24" s="5783">
        <f t="shared" ref="BD24:BD25" si="63">+BB24+AN24</f>
        <v>49269</v>
      </c>
      <c r="BE24" s="6614">
        <f>+AW24+AY24</f>
        <v>113618.64561425486</v>
      </c>
      <c r="BF24" s="7214">
        <f>+AX24+AZ24</f>
        <v>97044</v>
      </c>
    </row>
    <row r="25" spans="3:58" ht="16" x14ac:dyDescent="0.2">
      <c r="C25" s="2397" t="s">
        <v>1250</v>
      </c>
      <c r="D25" s="4479" t="s">
        <v>170</v>
      </c>
      <c r="E25" s="5204">
        <f>+E24*E26/100</f>
        <v>3325.3142856197583</v>
      </c>
      <c r="F25" s="5230">
        <v>3700</v>
      </c>
      <c r="G25" s="5452">
        <f>+G24*G26/100</f>
        <v>3454.1942618382454</v>
      </c>
      <c r="H25" s="5230">
        <v>4698</v>
      </c>
      <c r="I25" s="5451">
        <f>+E25+G25</f>
        <v>6779.5085474580037</v>
      </c>
      <c r="J25" s="4424">
        <f>+F25+H25</f>
        <v>8398</v>
      </c>
      <c r="K25" s="5784">
        <f>+K24*K26/100</f>
        <v>4165.1817019866894</v>
      </c>
      <c r="L25" s="5230">
        <v>4579</v>
      </c>
      <c r="M25" s="5786">
        <f>+I25+K25</f>
        <v>10944.690249444693</v>
      </c>
      <c r="N25" s="5834">
        <f>+J25+L25</f>
        <v>12977</v>
      </c>
      <c r="O25" s="5921">
        <f>+O24*O26/100</f>
        <v>5690.3428653784831</v>
      </c>
      <c r="P25" s="5230">
        <v>4880</v>
      </c>
      <c r="Q25" s="5920">
        <f>+M25+O25</f>
        <v>16635.033114823178</v>
      </c>
      <c r="R25" s="4424">
        <f>+N25+P25</f>
        <v>17857</v>
      </c>
      <c r="S25" s="5964">
        <f>+S24*S26/100</f>
        <v>5657.1905426194262</v>
      </c>
      <c r="T25" s="5230">
        <v>5542</v>
      </c>
      <c r="U25" s="5920">
        <f>+Q25+S25</f>
        <v>22292.223657442606</v>
      </c>
      <c r="V25" s="4424">
        <f>+R25+T25</f>
        <v>23399</v>
      </c>
      <c r="W25" s="5964">
        <f>+W24*W26/100</f>
        <v>5582.7328433273651</v>
      </c>
      <c r="X25" s="5230">
        <v>3306</v>
      </c>
      <c r="Y25" s="5783">
        <f t="shared" si="56"/>
        <v>16930.266251325273</v>
      </c>
      <c r="Z25" s="5783">
        <f t="shared" si="57"/>
        <v>13728</v>
      </c>
      <c r="AA25" s="7216">
        <f>+U25+W25</f>
        <v>27874.956500769971</v>
      </c>
      <c r="AB25" s="6929">
        <f>+V25+X25</f>
        <v>26705</v>
      </c>
      <c r="AC25" s="5964">
        <f>+AC24*AC26/100</f>
        <v>2935.9995380605415</v>
      </c>
      <c r="AD25" s="5230">
        <v>3006</v>
      </c>
      <c r="AE25" s="5920">
        <f>+AA25+AC25</f>
        <v>30810.956038830511</v>
      </c>
      <c r="AF25" s="4424">
        <f>+AB25+AD25</f>
        <v>29711</v>
      </c>
      <c r="AG25" s="5964">
        <f>+AG24*AG26/100</f>
        <v>5554.2357342373462</v>
      </c>
      <c r="AH25" s="5230">
        <v>4272</v>
      </c>
      <c r="AI25" s="5920">
        <f>+AE25+AG25</f>
        <v>36365.191773067854</v>
      </c>
      <c r="AJ25" s="4424">
        <f>+AF25+AH25</f>
        <v>33983</v>
      </c>
      <c r="AK25" s="5964">
        <f>+AK24*AK26/100</f>
        <v>5827.7616865589598</v>
      </c>
      <c r="AL25" s="5230">
        <v>4518</v>
      </c>
      <c r="AM25" s="5783">
        <f t="shared" si="58"/>
        <v>14317.996958856846</v>
      </c>
      <c r="AN25" s="5783">
        <f t="shared" si="59"/>
        <v>11796</v>
      </c>
      <c r="AO25" s="5920">
        <f>+AI25+AK25</f>
        <v>42192.953459626813</v>
      </c>
      <c r="AP25" s="4424">
        <f>+AJ25+AL25</f>
        <v>38501</v>
      </c>
      <c r="AQ25" s="5964">
        <f>+AQ24*AQ26/100</f>
        <v>5734.335920521512</v>
      </c>
      <c r="AR25" s="5230">
        <v>5820</v>
      </c>
      <c r="AS25" s="5920">
        <f>+AO25+AQ25</f>
        <v>47927.289380148322</v>
      </c>
      <c r="AT25" s="4424">
        <f>+AP25+AR25</f>
        <v>44321</v>
      </c>
      <c r="AU25" s="5964">
        <f>+AU24*AU26/100</f>
        <v>5300.2050966181096</v>
      </c>
      <c r="AV25" s="5230">
        <v>4121</v>
      </c>
      <c r="AW25" s="5920">
        <f>+AS25+AU25</f>
        <v>53227.494476766435</v>
      </c>
      <c r="AX25" s="4424">
        <f>+AT25+AV25</f>
        <v>48442</v>
      </c>
      <c r="AY25" s="5964">
        <f>+AY24*AY26/100</f>
        <v>5854.2012426460897</v>
      </c>
      <c r="AZ25" s="5230">
        <v>4817</v>
      </c>
      <c r="BA25" s="5783">
        <f t="shared" si="60"/>
        <v>16888.742259785711</v>
      </c>
      <c r="BB25" s="5783">
        <f t="shared" si="61"/>
        <v>14758</v>
      </c>
      <c r="BC25" s="5783">
        <f t="shared" si="62"/>
        <v>31206.739218642557</v>
      </c>
      <c r="BD25" s="5783">
        <f t="shared" si="63"/>
        <v>26554</v>
      </c>
      <c r="BE25" s="7216">
        <f>+AW25+AY25</f>
        <v>59081.695719412528</v>
      </c>
      <c r="BF25" s="6929">
        <f>+AX25+AZ25</f>
        <v>53259</v>
      </c>
    </row>
    <row r="26" spans="3:58" ht="16" x14ac:dyDescent="0.2">
      <c r="C26" s="2397" t="s">
        <v>1169</v>
      </c>
      <c r="D26" s="4479" t="s">
        <v>169</v>
      </c>
      <c r="E26" s="4480">
        <v>52</v>
      </c>
      <c r="F26" s="4229">
        <f>+F25/F24*100</f>
        <v>56.120127407856813</v>
      </c>
      <c r="G26" s="5459">
        <v>52</v>
      </c>
      <c r="H26" s="4229">
        <f>+H25/H24*100</f>
        <v>55.584477046852818</v>
      </c>
      <c r="I26" s="4481">
        <f>+I25/I24*100</f>
        <v>52</v>
      </c>
      <c r="J26" s="5487">
        <f>+J25/J24*100</f>
        <v>55.819209039548021</v>
      </c>
      <c r="K26" s="5792">
        <v>52</v>
      </c>
      <c r="L26" s="4229">
        <f>+L25/L24*100</f>
        <v>56.719930632974112</v>
      </c>
      <c r="M26" s="5835">
        <f>+M25/M24*100</f>
        <v>52</v>
      </c>
      <c r="N26" s="5836">
        <f>+N25/N24*100</f>
        <v>56.133748594169042</v>
      </c>
      <c r="O26" s="4623">
        <v>52</v>
      </c>
      <c r="P26" s="4229">
        <f>+P25/P24*100</f>
        <v>55.790556762318509</v>
      </c>
      <c r="Q26" s="5920">
        <f>+Q25/Q24*100</f>
        <v>52.000000000000014</v>
      </c>
      <c r="R26" s="5487">
        <f>+R25/R24*100</f>
        <v>56.039541817040636</v>
      </c>
      <c r="S26" s="6431">
        <v>52</v>
      </c>
      <c r="T26" s="4229">
        <f>+T25/T24*100</f>
        <v>55.542192824213267</v>
      </c>
      <c r="U26" s="5920">
        <f>+U25/U24*100</f>
        <v>52.000000000000014</v>
      </c>
      <c r="V26" s="5487">
        <f>+V25/V24*100</f>
        <v>55.920942571039355</v>
      </c>
      <c r="W26" s="7170">
        <v>52</v>
      </c>
      <c r="X26" s="4229">
        <f>+X25/X24*100</f>
        <v>55.731625084288602</v>
      </c>
      <c r="Y26" s="7169">
        <f>+Y25/Y24*100</f>
        <v>51.999999999999993</v>
      </c>
      <c r="Z26" s="5836">
        <f>+Z25/Z24*100</f>
        <v>55.675872977247842</v>
      </c>
      <c r="AA26" s="7216">
        <f>+AA25/AA24*100</f>
        <v>52.000000000000014</v>
      </c>
      <c r="AB26" s="7218">
        <f>+AB25/AB24*100</f>
        <v>55.897435897435898</v>
      </c>
      <c r="AC26" s="7379">
        <v>52</v>
      </c>
      <c r="AD26" s="4229">
        <f>+AD25/AD24*100</f>
        <v>52.635265277534579</v>
      </c>
      <c r="AE26" s="5920">
        <f>+AE25/AE24*100</f>
        <v>52.000000000000014</v>
      </c>
      <c r="AF26" s="5487">
        <f>+AF25/AF24*100</f>
        <v>55.549115656433457</v>
      </c>
      <c r="AG26" s="7628">
        <v>52</v>
      </c>
      <c r="AH26" s="4229">
        <f>+AH25/AH24*100</f>
        <v>55.741127348643005</v>
      </c>
      <c r="AI26" s="5920">
        <f>+AI25/AI24*100</f>
        <v>52</v>
      </c>
      <c r="AJ26" s="5487">
        <f>+AJ25/AJ24*100</f>
        <v>55.573180703188882</v>
      </c>
      <c r="AK26" s="7790">
        <v>52</v>
      </c>
      <c r="AL26" s="4229">
        <f>+AL25/AL24*100</f>
        <v>43.915241057542772</v>
      </c>
      <c r="AM26" s="7792">
        <f>+AM25/AM24*100</f>
        <v>51.999999999999993</v>
      </c>
      <c r="AN26" s="5836">
        <f>+AN25/AN24*100</f>
        <v>49.849976756962342</v>
      </c>
      <c r="AO26" s="5920">
        <f>+AO25/AO24*100</f>
        <v>52.000000000000014</v>
      </c>
      <c r="AP26" s="5487">
        <f>+AP25/AP24*100</f>
        <v>53.894285954254038</v>
      </c>
      <c r="AQ26" s="8093">
        <v>52</v>
      </c>
      <c r="AR26" s="4229">
        <f>+AR25/AR24*100</f>
        <v>55.752466711370815</v>
      </c>
      <c r="AS26" s="5920">
        <f>+AS25/AS24*100</f>
        <v>52</v>
      </c>
      <c r="AT26" s="5487">
        <f>+AT25/AT24*100</f>
        <v>54.131196795192793</v>
      </c>
      <c r="AU26" s="8181">
        <v>52</v>
      </c>
      <c r="AV26" s="4229">
        <f>+AV25/AV24*100</f>
        <v>62.147489066505798</v>
      </c>
      <c r="AW26" s="5920">
        <f>+AW25/AW24*100</f>
        <v>52</v>
      </c>
      <c r="AX26" s="5487">
        <f>+AX25/AX24*100</f>
        <v>54.731775658697522</v>
      </c>
      <c r="AY26" s="8360">
        <v>52</v>
      </c>
      <c r="AZ26" s="4229">
        <f t="shared" ref="AZ26:BF26" si="64">+AZ25/AZ24*100</f>
        <v>56.431583880037486</v>
      </c>
      <c r="BA26" s="8363">
        <f t="shared" si="64"/>
        <v>52</v>
      </c>
      <c r="BB26" s="5836">
        <f t="shared" si="64"/>
        <v>57.634929313442164</v>
      </c>
      <c r="BC26" s="8363">
        <f t="shared" si="64"/>
        <v>51.999999999999993</v>
      </c>
      <c r="BD26" s="8371">
        <f t="shared" si="64"/>
        <v>53.895958919401657</v>
      </c>
      <c r="BE26" s="7216">
        <f t="shared" si="64"/>
        <v>52</v>
      </c>
      <c r="BF26" s="7218">
        <f t="shared" si="64"/>
        <v>54.881290960801287</v>
      </c>
    </row>
    <row r="27" spans="3:58" ht="16" x14ac:dyDescent="0.2">
      <c r="C27" s="2397" t="s">
        <v>1394</v>
      </c>
      <c r="D27" s="4479" t="s">
        <v>170</v>
      </c>
      <c r="E27" s="5204">
        <f>+E25*E28/100</f>
        <v>665.06285712395174</v>
      </c>
      <c r="F27" s="5231">
        <v>540</v>
      </c>
      <c r="G27" s="5452">
        <f>+G25*G28/100</f>
        <v>690.83885236764911</v>
      </c>
      <c r="H27" s="5231">
        <v>600</v>
      </c>
      <c r="I27" s="5451">
        <f>+E27+G27</f>
        <v>1355.9017094916007</v>
      </c>
      <c r="J27" s="3919">
        <f>+F27+H27</f>
        <v>1140</v>
      </c>
      <c r="K27" s="5784">
        <f>+K25*K28/100</f>
        <v>833.03634039733788</v>
      </c>
      <c r="L27" s="5231">
        <v>495</v>
      </c>
      <c r="M27" s="5786">
        <f>+I27+K27</f>
        <v>2188.9380498889386</v>
      </c>
      <c r="N27" s="4655">
        <f>+J27+L27</f>
        <v>1635</v>
      </c>
      <c r="O27" s="5921">
        <f>+O25*O28/100</f>
        <v>1138.0685730756966</v>
      </c>
      <c r="P27" s="5231">
        <v>601</v>
      </c>
      <c r="Q27" s="5920">
        <f>+M27+O27</f>
        <v>3327.0066229646354</v>
      </c>
      <c r="R27" s="3919">
        <f>+N27+P27</f>
        <v>2236</v>
      </c>
      <c r="S27" s="5964">
        <f>+S25*S28/100</f>
        <v>1131.4381085238854</v>
      </c>
      <c r="T27" s="5231">
        <v>604</v>
      </c>
      <c r="U27" s="5920">
        <f>+Q27+S27</f>
        <v>4458.444731488521</v>
      </c>
      <c r="V27" s="3919">
        <f>+R27+T27</f>
        <v>2840</v>
      </c>
      <c r="W27" s="5964">
        <f>+W25*W28/100</f>
        <v>1116.5465686654729</v>
      </c>
      <c r="X27" s="5231">
        <v>365</v>
      </c>
      <c r="Y27" s="5783">
        <f>+O27+S27+W27</f>
        <v>3386.0532502650549</v>
      </c>
      <c r="Z27" s="5783">
        <f>+P27+T27+X27</f>
        <v>1570</v>
      </c>
      <c r="AA27" s="7216">
        <f>+U27+W27</f>
        <v>5574.9913001539935</v>
      </c>
      <c r="AB27" s="7126">
        <f>+V27+X27</f>
        <v>3205</v>
      </c>
      <c r="AC27" s="5964">
        <f>+AC25*AC28/100</f>
        <v>587.19990761210829</v>
      </c>
      <c r="AD27" s="5231">
        <v>318</v>
      </c>
      <c r="AE27" s="5920">
        <f>+AA27+AC27</f>
        <v>6162.1912077661018</v>
      </c>
      <c r="AF27" s="3919">
        <f>+AB27+AD27</f>
        <v>3523</v>
      </c>
      <c r="AG27" s="5964">
        <f>+AG25*AG28/100</f>
        <v>1110.8471468474693</v>
      </c>
      <c r="AH27" s="5231">
        <v>300</v>
      </c>
      <c r="AI27" s="5920">
        <f>+AE27+AG27</f>
        <v>7273.0383546135708</v>
      </c>
      <c r="AJ27" s="3919">
        <f>+AF27+AH27</f>
        <v>3823</v>
      </c>
      <c r="AK27" s="5964">
        <f>+AK25*AK28/100</f>
        <v>1165.5523373117919</v>
      </c>
      <c r="AL27" s="5231">
        <v>453.28999999999996</v>
      </c>
      <c r="AM27" s="5783">
        <f>+AC27+AG27+AK27</f>
        <v>2863.5993917713695</v>
      </c>
      <c r="AN27" s="5783">
        <f>+AD27+AH27+AL27</f>
        <v>1071.29</v>
      </c>
      <c r="AO27" s="5920">
        <f>+AI27+AK27</f>
        <v>8438.590691925363</v>
      </c>
      <c r="AP27" s="3919">
        <f>+AJ27+AL27</f>
        <v>4276.29</v>
      </c>
      <c r="AQ27" s="5964">
        <f>+AQ25*AQ28/100</f>
        <v>1146.8671841043024</v>
      </c>
      <c r="AR27" s="5231">
        <v>630</v>
      </c>
      <c r="AS27" s="5920">
        <f>+AO27+AQ27</f>
        <v>9585.4578760296645</v>
      </c>
      <c r="AT27" s="3919">
        <f>+AP27+AR27</f>
        <v>4906.29</v>
      </c>
      <c r="AU27" s="5964">
        <f>+AU25*AU28/100</f>
        <v>1060.0410193236219</v>
      </c>
      <c r="AV27" s="5231">
        <v>520</v>
      </c>
      <c r="AW27" s="5920">
        <f>+AS27+AU27</f>
        <v>10645.498895353287</v>
      </c>
      <c r="AX27" s="3919">
        <f>+AT27+AV27</f>
        <v>5426.29</v>
      </c>
      <c r="AY27" s="5964">
        <f>+AY25*AY28/100</f>
        <v>1170.8402485292179</v>
      </c>
      <c r="AZ27" s="5231">
        <v>600</v>
      </c>
      <c r="BA27" s="5783">
        <f>+AQ27+AU27+AY27</f>
        <v>3377.7484519571426</v>
      </c>
      <c r="BB27" s="5783">
        <f>+AR27+AV27+AZ27</f>
        <v>1750</v>
      </c>
      <c r="BC27" s="5783">
        <f>+BA27+AM27</f>
        <v>6241.3478437285121</v>
      </c>
      <c r="BD27" s="5783">
        <f>+BB27+AN27</f>
        <v>2821.29</v>
      </c>
      <c r="BE27" s="7216">
        <f>+AW27+AY27</f>
        <v>11816.339143882504</v>
      </c>
      <c r="BF27" s="7126">
        <f>+AX27+AZ27</f>
        <v>6026.29</v>
      </c>
    </row>
    <row r="28" spans="3:58" ht="16" x14ac:dyDescent="0.2">
      <c r="C28" s="2397" t="s">
        <v>1395</v>
      </c>
      <c r="D28" s="4479" t="s">
        <v>169</v>
      </c>
      <c r="E28" s="4482">
        <v>20</v>
      </c>
      <c r="F28" s="4229">
        <f>+F27/F25*100</f>
        <v>14.594594594594595</v>
      </c>
      <c r="G28" s="4482">
        <v>20</v>
      </c>
      <c r="H28" s="4229">
        <f>+H27/H25*100</f>
        <v>12.771392081736909</v>
      </c>
      <c r="I28" s="4481">
        <f>+I27/I25*100</f>
        <v>20</v>
      </c>
      <c r="J28" s="5487">
        <f>+J27/J25*100</f>
        <v>13.574660633484163</v>
      </c>
      <c r="K28" s="4482">
        <v>20</v>
      </c>
      <c r="L28" s="4229">
        <f>+L27/L25*100</f>
        <v>10.810220572177332</v>
      </c>
      <c r="M28" s="5835">
        <f>+M27/M25*100</f>
        <v>20</v>
      </c>
      <c r="N28" s="5836">
        <f>+N27/N25*100</f>
        <v>12.599213993989366</v>
      </c>
      <c r="O28" s="5921">
        <v>20</v>
      </c>
      <c r="P28" s="4229">
        <f>+P27/P25*100</f>
        <v>12.315573770491802</v>
      </c>
      <c r="Q28" s="5923">
        <f>+Q27/Q25*100</f>
        <v>20</v>
      </c>
      <c r="R28" s="5487">
        <f>+R27/R25*100</f>
        <v>12.521700173601388</v>
      </c>
      <c r="S28" s="5964">
        <v>20</v>
      </c>
      <c r="T28" s="4229">
        <f>+T27/T25*100</f>
        <v>10.898592565860699</v>
      </c>
      <c r="U28" s="6432">
        <f>+U27/U25*100</f>
        <v>20</v>
      </c>
      <c r="V28" s="5487">
        <f>+V27/V25*100</f>
        <v>12.137270823539467</v>
      </c>
      <c r="W28" s="5964">
        <v>20</v>
      </c>
      <c r="X28" s="4229">
        <f>+X27/X25*100</f>
        <v>11.040532365396249</v>
      </c>
      <c r="Y28" s="7169">
        <f>+Y27/Y25*100</f>
        <v>20</v>
      </c>
      <c r="Z28" s="5836">
        <f>+Z27/Z25*100</f>
        <v>11.436480186480187</v>
      </c>
      <c r="AA28" s="7217">
        <f>+AA27/AA25*100</f>
        <v>20</v>
      </c>
      <c r="AB28" s="7218">
        <f>+AB27/AB25*100</f>
        <v>12.00149784684516</v>
      </c>
      <c r="AC28" s="5964">
        <v>20</v>
      </c>
      <c r="AD28" s="4229">
        <f>+AD27/AD25*100</f>
        <v>10.578842315369261</v>
      </c>
      <c r="AE28" s="7380">
        <f>+AE27/AE25*100</f>
        <v>20</v>
      </c>
      <c r="AF28" s="5487">
        <f>+AF27/AF25*100</f>
        <v>11.857561172629666</v>
      </c>
      <c r="AG28" s="5964">
        <v>20</v>
      </c>
      <c r="AH28" s="4229">
        <f>+AH27/AH25*100</f>
        <v>7.02247191011236</v>
      </c>
      <c r="AI28" s="7629">
        <f>+AI27/AI25*100</f>
        <v>20</v>
      </c>
      <c r="AJ28" s="5487">
        <f>+AJ27/AJ25*100</f>
        <v>11.249742518317984</v>
      </c>
      <c r="AK28" s="5964">
        <v>20</v>
      </c>
      <c r="AL28" s="4229">
        <f>+AL27/AL25*100</f>
        <v>10.032979194333775</v>
      </c>
      <c r="AM28" s="7792">
        <f>+AM27/AM25*100</f>
        <v>20.000000000000004</v>
      </c>
      <c r="AN28" s="5836">
        <f>+AN27/AN25*100</f>
        <v>9.0818073923363851</v>
      </c>
      <c r="AO28" s="7793">
        <f>+AO27/AO25*100</f>
        <v>20</v>
      </c>
      <c r="AP28" s="5487">
        <f>+AP27/AP25*100</f>
        <v>11.106958260824394</v>
      </c>
      <c r="AQ28" s="5964">
        <v>20</v>
      </c>
      <c r="AR28" s="4229">
        <f>+AR27/AR25*100</f>
        <v>10.824742268041238</v>
      </c>
      <c r="AS28" s="8116">
        <f>+AS27/AS25*100</f>
        <v>20</v>
      </c>
      <c r="AT28" s="5487">
        <f>+AT27/AT25*100</f>
        <v>11.06989914487489</v>
      </c>
      <c r="AU28" s="5964">
        <v>20</v>
      </c>
      <c r="AV28" s="4229">
        <f>+AV27/AV25*100</f>
        <v>12.618296529968454</v>
      </c>
      <c r="AW28" s="8182">
        <f>+AW27/AW25*100</f>
        <v>20</v>
      </c>
      <c r="AX28" s="5487">
        <f>+AX27/AX25*100</f>
        <v>11.20162255893646</v>
      </c>
      <c r="AY28" s="5964">
        <v>20</v>
      </c>
      <c r="AZ28" s="4229">
        <f t="shared" ref="AZ28:BF28" si="65">+AZ27/AZ25*100</f>
        <v>12.455885405854266</v>
      </c>
      <c r="BA28" s="8363">
        <f t="shared" si="65"/>
        <v>20</v>
      </c>
      <c r="BB28" s="5836">
        <f t="shared" si="65"/>
        <v>11.857975335411302</v>
      </c>
      <c r="BC28" s="8363">
        <f t="shared" si="65"/>
        <v>20</v>
      </c>
      <c r="BD28" s="8371">
        <f t="shared" si="65"/>
        <v>10.624726971454395</v>
      </c>
      <c r="BE28" s="8364">
        <f t="shared" si="65"/>
        <v>19.999999999999996</v>
      </c>
      <c r="BF28" s="7218">
        <f t="shared" si="65"/>
        <v>11.315064120618111</v>
      </c>
    </row>
    <row r="29" spans="3:58" s="5200" customFormat="1" ht="15.75" customHeight="1" x14ac:dyDescent="0.2">
      <c r="C29" s="2775" t="s">
        <v>1432</v>
      </c>
      <c r="D29" s="4479"/>
      <c r="E29" s="9106">
        <v>100</v>
      </c>
      <c r="F29" s="4229"/>
      <c r="G29" s="9106">
        <v>100</v>
      </c>
      <c r="H29" s="4229"/>
      <c r="I29" s="9077">
        <f>+((E29*E25)+(G29*G25))/(I25)</f>
        <v>100</v>
      </c>
      <c r="J29" s="5491"/>
      <c r="K29" s="9106">
        <v>90</v>
      </c>
      <c r="L29" s="4229"/>
      <c r="M29" s="9092">
        <f>+((I29*I25)+(K29*K25))/(M25)</f>
        <v>96.19433569424406</v>
      </c>
      <c r="N29" s="5836"/>
      <c r="O29" s="9074">
        <v>90</v>
      </c>
      <c r="P29" s="4229"/>
      <c r="Q29" s="9077">
        <f>+((M29*M25)+(O29*O25))/(Q25)</f>
        <v>94.075440367724241</v>
      </c>
      <c r="R29" s="5491"/>
      <c r="S29" s="9074">
        <v>90</v>
      </c>
      <c r="T29" s="4229"/>
      <c r="U29" s="9077">
        <f>+((Q29*Q25)+(S29*S25))/(U25)</f>
        <v>93.041198873489023</v>
      </c>
      <c r="V29" s="5491"/>
      <c r="W29" s="9074">
        <v>90</v>
      </c>
      <c r="X29" s="4229"/>
      <c r="Y29" s="9092">
        <f>+((O29*O25)+(S29*S25)+(W29*W25))/(Y25)</f>
        <v>90</v>
      </c>
      <c r="Z29" s="5836"/>
      <c r="AA29" s="9089">
        <f>+((U29*U25)+(W29*W25))/(AA25)</f>
        <v>92.432114485011212</v>
      </c>
      <c r="AB29" s="7224"/>
      <c r="AC29" s="9074">
        <v>100</v>
      </c>
      <c r="AD29" s="4229"/>
      <c r="AE29" s="9077">
        <f>+((AA29*AA25)+(AC29*AC25))/(AE25)</f>
        <v>93.153264076997246</v>
      </c>
      <c r="AF29" s="5491"/>
      <c r="AG29" s="9074">
        <v>100</v>
      </c>
      <c r="AH29" s="4229"/>
      <c r="AI29" s="9077">
        <f>+((AE29*AE25)+(AG29*AG25))/(AI25)</f>
        <v>94.198999943419722</v>
      </c>
      <c r="AJ29" s="5491"/>
      <c r="AK29" s="9074">
        <v>110</v>
      </c>
      <c r="AL29" s="4229"/>
      <c r="AM29" s="9092">
        <f>+((AC29*AC25)+(AG29*AG25)+(AK29*AK25))/(AM25)</f>
        <v>104.0702353152506</v>
      </c>
      <c r="AN29" s="5836"/>
      <c r="AO29" s="9077">
        <f>+((AI29*AI25)+(AK29*AK25))/(AO25)</f>
        <v>96.381460643336538</v>
      </c>
      <c r="AP29" s="5491"/>
      <c r="AQ29" s="9074">
        <v>110</v>
      </c>
      <c r="AR29" s="4229"/>
      <c r="AS29" s="9077">
        <f>+((AO29*AO25)+(AQ29*AQ25))/(AS25)</f>
        <v>98.010872204640037</v>
      </c>
      <c r="AT29" s="5491"/>
      <c r="AU29" s="9074">
        <v>110</v>
      </c>
      <c r="AV29" s="4229"/>
      <c r="AW29" s="9077">
        <f>+((AS29*AS25)+(AU29*AU25))/(AW25)</f>
        <v>99.204707023836903</v>
      </c>
      <c r="AX29" s="5491"/>
      <c r="AY29" s="9074">
        <v>110</v>
      </c>
      <c r="AZ29" s="4229"/>
      <c r="BA29" s="9092">
        <f>+((AQ29*AQ25)+(AU29*AU25)+(AY29*AY25))/(BA25)</f>
        <v>110</v>
      </c>
      <c r="BB29" s="5836"/>
      <c r="BC29" s="9092">
        <f>+((AM29*AM25)+(BA29*BA25))/(BC25)</f>
        <v>107.27935840626826</v>
      </c>
      <c r="BD29" s="8375"/>
      <c r="BE29" s="9089">
        <f>+((AW29*AW25)+(AY29*AY25))/(BE25)</f>
        <v>100.27437533288338</v>
      </c>
      <c r="BF29" s="7224"/>
    </row>
    <row r="30" spans="3:58" s="5200" customFormat="1" ht="20" x14ac:dyDescent="0.25">
      <c r="C30" s="5232" t="s">
        <v>1902</v>
      </c>
      <c r="D30" s="4479"/>
      <c r="E30" s="9107"/>
      <c r="F30" s="5233">
        <v>61</v>
      </c>
      <c r="G30" s="9107"/>
      <c r="H30" s="5233">
        <v>78</v>
      </c>
      <c r="I30" s="9078"/>
      <c r="J30" s="5492">
        <f>+((F30*F25)+(H25*H30))/(F25+H25)</f>
        <v>70.510121457489873</v>
      </c>
      <c r="K30" s="9107"/>
      <c r="L30" s="5233">
        <v>66</v>
      </c>
      <c r="M30" s="9093"/>
      <c r="N30" s="5840">
        <f>+((J30*J25)+(L25*L30))/(J25+L25)</f>
        <v>68.918702319488332</v>
      </c>
      <c r="O30" s="9075"/>
      <c r="P30" s="6016">
        <v>59</v>
      </c>
      <c r="Q30" s="9078"/>
      <c r="R30" s="5492">
        <f>+((N30*N25)+(P25*P30))/(N25+P25)</f>
        <v>66.20809766478132</v>
      </c>
      <c r="S30" s="9075"/>
      <c r="T30" s="6016">
        <v>62</v>
      </c>
      <c r="U30" s="9078"/>
      <c r="V30" s="5492">
        <f>+((R30*R25)+(T25*T30))/(R25+T25)</f>
        <v>65.211419291422715</v>
      </c>
      <c r="W30" s="9075"/>
      <c r="X30" s="6016">
        <v>56</v>
      </c>
      <c r="Y30" s="9093"/>
      <c r="Z30" s="5840">
        <f>+((P30*P$25)+(T30*T$25)+(X$25*X30))/Z$25</f>
        <v>59.488636363636367</v>
      </c>
      <c r="AA30" s="9090"/>
      <c r="AB30" s="7225">
        <f>+((V30*V25)+(X25*X30))/(V25+X25)</f>
        <v>64.071072832802841</v>
      </c>
      <c r="AC30" s="9075"/>
      <c r="AD30" s="6016">
        <v>46</v>
      </c>
      <c r="AE30" s="9078"/>
      <c r="AF30" s="5492">
        <f>+((AB30*AB25)+(AD25*AD30))/(AB25+AD25)</f>
        <v>62.24273837972467</v>
      </c>
      <c r="AG30" s="9075"/>
      <c r="AH30" s="6016">
        <v>43</v>
      </c>
      <c r="AI30" s="9078"/>
      <c r="AJ30" s="5492">
        <f>+((AF30*AF25)+(AH25*AH30))/(AF25+AH25)</f>
        <v>59.823735397110312</v>
      </c>
      <c r="AK30" s="9075"/>
      <c r="AL30" s="6016">
        <v>56</v>
      </c>
      <c r="AM30" s="9093"/>
      <c r="AN30" s="5840">
        <f>+((AD30*AD$25)+(AH30*AH$25)+(AL$25*AL30))/AN$25</f>
        <v>48.743641912512714</v>
      </c>
      <c r="AO30" s="9078"/>
      <c r="AP30" s="5492">
        <f>+((AJ30*AJ25)+(AL25*AL30))/(AJ25+AL25)</f>
        <v>59.375029220020259</v>
      </c>
      <c r="AQ30" s="9075"/>
      <c r="AR30" s="6016">
        <v>47</v>
      </c>
      <c r="AS30" s="9078"/>
      <c r="AT30" s="5492">
        <f>+((AP30*AP25)+(AR25*AR30))/(AP25+AR25)</f>
        <v>57.750005640666956</v>
      </c>
      <c r="AU30" s="9075"/>
      <c r="AV30" s="6016">
        <v>57</v>
      </c>
      <c r="AW30" s="9078"/>
      <c r="AX30" s="5492">
        <f>+((AT30*AT25)+(AV25*AV30))/(AT25+AV25)</f>
        <v>57.686202056067046</v>
      </c>
      <c r="AY30" s="9075"/>
      <c r="AZ30" s="6016">
        <v>61</v>
      </c>
      <c r="BA30" s="9093"/>
      <c r="BB30" s="5840">
        <f>+((AR30*AR$25)+(AV30*AV$25)+(AZ$25*AZ30))/BB$25</f>
        <v>54.361973167095812</v>
      </c>
      <c r="BC30" s="9093"/>
      <c r="BD30" s="8376">
        <f t="shared" ref="BD30:BD31" si="66">+((AM30*AM$11)+(BB$11*BB30))/BD$11</f>
        <v>32.942665170574209</v>
      </c>
      <c r="BE30" s="9090"/>
      <c r="BF30" s="7225">
        <f>+((AX30*AX25)+(AZ25*AZ30))/(AX25+AZ25)</f>
        <v>57.985917873035547</v>
      </c>
    </row>
    <row r="31" spans="3:58" ht="20" thickBot="1" x14ac:dyDescent="0.3">
      <c r="C31" s="5234" t="s">
        <v>1903</v>
      </c>
      <c r="D31" s="4656"/>
      <c r="E31" s="9108"/>
      <c r="F31" s="5235">
        <v>77</v>
      </c>
      <c r="G31" s="9108"/>
      <c r="H31" s="5235">
        <v>93</v>
      </c>
      <c r="I31" s="9079"/>
      <c r="J31" s="5492">
        <f>+((F31*F25)+(H25*H31))/(F25+H25)</f>
        <v>85.950702548225763</v>
      </c>
      <c r="K31" s="9108">
        <v>90</v>
      </c>
      <c r="L31" s="5235">
        <v>84</v>
      </c>
      <c r="M31" s="9094"/>
      <c r="N31" s="5840">
        <f>+((J31*J25)+(L25*L31))/(J25+L25)</f>
        <v>85.262387300608765</v>
      </c>
      <c r="O31" s="9076"/>
      <c r="P31" s="6017">
        <v>78</v>
      </c>
      <c r="Q31" s="9079"/>
      <c r="R31" s="5492">
        <f>+((N31*N25)+(P25*P31))/(N25+P25)</f>
        <v>83.27770622164978</v>
      </c>
      <c r="S31" s="9076"/>
      <c r="T31" s="6017">
        <v>81</v>
      </c>
      <c r="U31" s="9079"/>
      <c r="V31" s="5492">
        <f>+((R31*R25)+(T25*T31))/(R25+T25)</f>
        <v>82.738236676781057</v>
      </c>
      <c r="W31" s="9076"/>
      <c r="X31" s="6017">
        <v>79</v>
      </c>
      <c r="Y31" s="9094"/>
      <c r="Z31" s="5840">
        <f>+((P31*P$25)+(T31*T$25)+(X$25*X31))/Z$25</f>
        <v>79.45192307692308</v>
      </c>
      <c r="AA31" s="9091"/>
      <c r="AB31" s="7225">
        <f>+((V31*V25)+(X25*X31))/(V25+X25)</f>
        <v>82.275454034824932</v>
      </c>
      <c r="AC31" s="9076"/>
      <c r="AD31" s="6017">
        <v>70</v>
      </c>
      <c r="AE31" s="9079"/>
      <c r="AF31" s="5492">
        <f>+((AB31*AB25)+(AD25*AD31))/(AB25+AD25)</f>
        <v>81.033489280064629</v>
      </c>
      <c r="AG31" s="9076"/>
      <c r="AH31" s="6017">
        <v>56</v>
      </c>
      <c r="AI31" s="9079"/>
      <c r="AJ31" s="5492">
        <f>+((AF31*AF25)+(AH25*AH31))/(AF25+AH25)</f>
        <v>77.886531501044644</v>
      </c>
      <c r="AK31" s="9076"/>
      <c r="AL31" s="6017">
        <v>73</v>
      </c>
      <c r="AM31" s="9094"/>
      <c r="AN31" s="5840">
        <f>+((AD31*AD$25)+(AH31*AH$25)+(AL$25*AL31))/AN$25</f>
        <v>66.078840284842315</v>
      </c>
      <c r="AO31" s="9079"/>
      <c r="AP31" s="5492">
        <f>+((AJ31*AJ25)+(AL25*AL31))/(AJ25+AL25)</f>
        <v>77.31310875042206</v>
      </c>
      <c r="AQ31" s="9076"/>
      <c r="AR31" s="6017">
        <v>67</v>
      </c>
      <c r="AS31" s="9079"/>
      <c r="AT31" s="5492">
        <f>+((AP31*AP25)+(AR25*AR31))/(AP25+AR25)</f>
        <v>75.958845693914839</v>
      </c>
      <c r="AU31" s="9076"/>
      <c r="AV31" s="6017">
        <v>75</v>
      </c>
      <c r="AW31" s="9079"/>
      <c r="AX31" s="5492">
        <f>+((AT31*AT25)+(AV25*AV31))/(AT25+AV25)</f>
        <v>75.877275917592158</v>
      </c>
      <c r="AY31" s="9076"/>
      <c r="AZ31" s="6017">
        <v>86.29</v>
      </c>
      <c r="BA31" s="9094"/>
      <c r="BB31" s="5840">
        <f>+((AR31*AR$25)+(AV31*AV$25)+(AZ$25*AZ31))/BB$25</f>
        <v>75.530148394091356</v>
      </c>
      <c r="BC31" s="9094"/>
      <c r="BD31" s="8377">
        <f t="shared" si="66"/>
        <v>45.770310455477912</v>
      </c>
      <c r="BE31" s="9091"/>
      <c r="BF31" s="7225">
        <f>+((AX31*AX25)+(AZ25*AZ31))/(AX25+AZ25)</f>
        <v>76.819052742259515</v>
      </c>
    </row>
    <row r="32" spans="3:58" s="3380" customFormat="1" ht="16" thickBot="1" x14ac:dyDescent="0.25">
      <c r="C32" s="5839"/>
    </row>
    <row r="33" spans="3:58" s="3380" customFormat="1" ht="17" thickBot="1" x14ac:dyDescent="0.25">
      <c r="C33" s="7226" t="s">
        <v>764</v>
      </c>
      <c r="D33" s="7167" t="s">
        <v>170</v>
      </c>
      <c r="E33" s="7227">
        <f>+'Maj Prod Summ'!D18</f>
        <v>129292</v>
      </c>
      <c r="F33" s="7228">
        <f>+SMS!E5</f>
        <v>129292</v>
      </c>
      <c r="G33" s="7227">
        <f>+'Maj Prod Summ'!F18</f>
        <v>134303</v>
      </c>
      <c r="H33" s="7228">
        <f>+SMS!G5</f>
        <v>134303</v>
      </c>
      <c r="I33" s="7227">
        <f>+SMS!H5</f>
        <v>263595</v>
      </c>
      <c r="J33" s="7228">
        <f>+SMS!I5</f>
        <v>263595</v>
      </c>
      <c r="K33" s="7227">
        <f>+SMS!J5</f>
        <v>161947</v>
      </c>
      <c r="L33" s="7228">
        <f>+SMS!K5</f>
        <v>147382</v>
      </c>
      <c r="M33" s="7227">
        <f>+SMS!L5</f>
        <v>425542</v>
      </c>
      <c r="N33" s="7228">
        <f>+SMS!M5</f>
        <v>410977</v>
      </c>
      <c r="O33" s="7227">
        <f>+'Maj Prod Summ'!N18</f>
        <v>221247</v>
      </c>
      <c r="P33" s="7228">
        <f>+SMS!O5</f>
        <v>160929</v>
      </c>
      <c r="Q33" s="7227">
        <f>+SMS!P5</f>
        <v>646789</v>
      </c>
      <c r="R33" s="7228">
        <f>+SMS!Q5</f>
        <v>571906</v>
      </c>
      <c r="S33" s="7227">
        <f>+'Maj Prod Summ'!R18</f>
        <v>219958</v>
      </c>
      <c r="T33" s="7228">
        <f>+SMS!S5</f>
        <v>172012</v>
      </c>
      <c r="U33" s="7227">
        <f>+SMS!T5</f>
        <v>866747</v>
      </c>
      <c r="V33" s="7228">
        <f>+SMS!U5</f>
        <v>743918</v>
      </c>
      <c r="W33" s="7227">
        <f>+'Maj Prod Summ'!V18</f>
        <v>217063</v>
      </c>
      <c r="X33" s="7228">
        <f>+SMS!W5</f>
        <v>83590</v>
      </c>
      <c r="Y33" s="7228">
        <f>+SMS!X5</f>
        <v>658268</v>
      </c>
      <c r="Z33" s="7228">
        <f>+SMS!Y5</f>
        <v>416531</v>
      </c>
      <c r="AA33" s="7228">
        <f>+SMS!Z5</f>
        <v>1083810</v>
      </c>
      <c r="AB33" s="7228">
        <f>+SMS!AA5</f>
        <v>827508</v>
      </c>
      <c r="AC33" s="7227">
        <f>+'Maj Prod Summ'!AB18</f>
        <v>114155</v>
      </c>
      <c r="AD33" s="7228">
        <f>+SMS!AC5</f>
        <v>98775</v>
      </c>
      <c r="AE33" s="7227">
        <f>+SMS!AD5</f>
        <v>1197965</v>
      </c>
      <c r="AF33" s="7228">
        <f>+SMS!AE5</f>
        <v>926283</v>
      </c>
      <c r="AG33" s="7227">
        <f>+'Maj Prod Summ'!AF18</f>
        <v>215955</v>
      </c>
      <c r="AH33" s="7228">
        <f>+SMS!AG5</f>
        <v>139620</v>
      </c>
      <c r="AI33" s="7227">
        <f>+SMS!AH5</f>
        <v>1413920</v>
      </c>
      <c r="AJ33" s="7228">
        <f>+SMS!AI5</f>
        <v>1065903</v>
      </c>
      <c r="AK33" s="7227">
        <f>+'Maj Prod Summ'!AJ18</f>
        <v>226590</v>
      </c>
      <c r="AL33" s="7228">
        <f>+SMS!AK5</f>
        <v>167995</v>
      </c>
      <c r="AM33" s="7228">
        <f>+SMS!AL5</f>
        <v>556700</v>
      </c>
      <c r="AN33" s="7228">
        <f>+SMS!AM5</f>
        <v>406390</v>
      </c>
      <c r="AO33" s="7227">
        <f>+SMS!AN5</f>
        <v>1640510</v>
      </c>
      <c r="AP33" s="7228">
        <f>+SMS!AO5</f>
        <v>1233898</v>
      </c>
      <c r="AQ33" s="7227">
        <f>+'Maj Prod Summ'!AP18</f>
        <v>222957.5</v>
      </c>
      <c r="AR33" s="7228">
        <f>+SMS!AQ5</f>
        <v>201367</v>
      </c>
      <c r="AS33" s="7227">
        <f>+SMS!AR5</f>
        <v>1863467.5</v>
      </c>
      <c r="AT33" s="7228">
        <f>+SMS!AS5</f>
        <v>1435265</v>
      </c>
      <c r="AU33" s="7227">
        <f>+'Maj Prod Summ'!AT18</f>
        <v>206078</v>
      </c>
      <c r="AV33" s="7228">
        <f>+SMS!AU5</f>
        <v>189148</v>
      </c>
      <c r="AW33" s="7227">
        <f>+SMS!AV5</f>
        <v>2069545.5</v>
      </c>
      <c r="AX33" s="7228">
        <f>+SMS!AW5</f>
        <v>1624413</v>
      </c>
      <c r="AY33" s="7227">
        <f>+'Maj Prod Summ'!AX18</f>
        <v>227618</v>
      </c>
      <c r="AZ33" s="7228">
        <f>+SMS!AY5</f>
        <v>223020</v>
      </c>
      <c r="BA33" s="7228">
        <f>+SMS!AZ5</f>
        <v>656653.5</v>
      </c>
      <c r="BB33" s="7228">
        <f>+SMS!BA5</f>
        <v>613535</v>
      </c>
      <c r="BC33" s="7228">
        <f>+SMS!BB5</f>
        <v>1213353.5</v>
      </c>
      <c r="BD33" s="7228">
        <f>+SMS!BC5</f>
        <v>1019925</v>
      </c>
      <c r="BE33" s="7228">
        <f>+SMS!BD5</f>
        <v>2297163.5</v>
      </c>
      <c r="BF33" s="7228">
        <f>+SMS!BE5</f>
        <v>1847433</v>
      </c>
    </row>
    <row r="34" spans="3:58" ht="15.75" customHeight="1" thickBot="1" x14ac:dyDescent="0.25">
      <c r="C34" s="2404" t="s">
        <v>1176</v>
      </c>
      <c r="D34" s="2405"/>
      <c r="E34" s="2405"/>
      <c r="F34" s="1685"/>
      <c r="G34" s="1685"/>
      <c r="H34" s="1685"/>
      <c r="I34" s="1685"/>
      <c r="J34" s="7129"/>
      <c r="K34" s="7129"/>
      <c r="L34" s="7129"/>
      <c r="M34" s="1685"/>
      <c r="N34" s="1685"/>
      <c r="O34" s="1685"/>
      <c r="P34" s="1685"/>
      <c r="Q34" s="1685"/>
      <c r="R34" s="1685"/>
      <c r="S34" s="1685"/>
      <c r="T34" s="1685"/>
      <c r="U34" s="1685"/>
      <c r="V34" s="1685"/>
      <c r="W34" s="1685"/>
      <c r="X34" s="1685"/>
      <c r="Y34" s="1685"/>
      <c r="Z34" s="1685"/>
      <c r="AA34" s="1685"/>
      <c r="AB34" s="1685"/>
      <c r="AC34" s="1685"/>
      <c r="AD34" s="1685"/>
      <c r="AE34" s="1685"/>
      <c r="AF34" s="1685"/>
      <c r="AG34" s="1685"/>
      <c r="AH34" s="1685"/>
      <c r="AI34" s="1685"/>
      <c r="AJ34" s="1685"/>
      <c r="AO34" s="1685"/>
      <c r="AP34" s="1685"/>
      <c r="AQ34" s="8077"/>
      <c r="AR34" s="8077"/>
      <c r="AS34" s="1685"/>
      <c r="AT34" s="1685"/>
      <c r="AU34" s="8143"/>
      <c r="AV34" s="8143"/>
      <c r="AW34" s="1685"/>
      <c r="AX34" s="1685"/>
      <c r="BA34" s="1685"/>
      <c r="BB34" s="1685"/>
      <c r="BC34" s="1685"/>
      <c r="BD34" s="1685"/>
      <c r="BE34" s="1685"/>
      <c r="BF34" s="1685"/>
    </row>
    <row r="35" spans="3:58" ht="15.75" customHeight="1" x14ac:dyDescent="0.2">
      <c r="C35" s="2406" t="s">
        <v>1171</v>
      </c>
      <c r="D35" s="2407" t="s">
        <v>1172</v>
      </c>
      <c r="E35" s="5952">
        <v>213.32813787150519</v>
      </c>
      <c r="F35" s="5952">
        <v>213.32813787150519</v>
      </c>
      <c r="G35" s="1685"/>
      <c r="H35" s="1685"/>
      <c r="I35" s="1685"/>
      <c r="J35" s="7129"/>
      <c r="K35" s="7129"/>
      <c r="L35" s="7129"/>
      <c r="M35" s="1685"/>
      <c r="N35" s="1685"/>
      <c r="O35" s="1685"/>
      <c r="P35" s="1685"/>
      <c r="Q35" s="1685"/>
      <c r="R35" s="1685"/>
      <c r="S35" s="1685"/>
      <c r="T35" s="1685"/>
      <c r="U35" s="1685"/>
      <c r="V35" s="1685"/>
      <c r="W35" s="1685"/>
      <c r="X35" s="1685"/>
      <c r="Y35" s="1685"/>
      <c r="Z35" s="1685"/>
      <c r="AA35" s="1685"/>
      <c r="AB35" s="1685"/>
      <c r="AC35" s="1685"/>
      <c r="AD35" s="1685"/>
      <c r="AE35" s="1685"/>
      <c r="AF35" s="1685"/>
      <c r="AG35" s="1685"/>
      <c r="AH35" s="1685"/>
      <c r="AI35" s="1685"/>
      <c r="AJ35" s="1685"/>
      <c r="AO35" s="1685"/>
      <c r="AP35" s="1685"/>
      <c r="AQ35" s="8077"/>
      <c r="AR35" s="8077"/>
      <c r="AS35" s="1685"/>
      <c r="AT35" s="1685"/>
      <c r="AU35" s="8143"/>
      <c r="AV35" s="8143"/>
      <c r="AW35" s="1685"/>
      <c r="AX35" s="1685"/>
      <c r="BA35" s="1685"/>
      <c r="BB35" s="1685"/>
      <c r="BC35" s="1685"/>
      <c r="BD35" s="1685"/>
      <c r="BE35" s="1685"/>
      <c r="BF35" s="1685"/>
    </row>
    <row r="36" spans="3:58" ht="15.75" customHeight="1" x14ac:dyDescent="0.2">
      <c r="C36" s="2408" t="s">
        <v>1173</v>
      </c>
      <c r="D36" s="2409" t="s">
        <v>1172</v>
      </c>
      <c r="E36" s="5953">
        <v>65.947211631071596</v>
      </c>
      <c r="F36" s="5953">
        <v>65.947211631071596</v>
      </c>
      <c r="G36" s="1685"/>
      <c r="H36" s="1685"/>
      <c r="I36" s="1685"/>
      <c r="J36" s="7129"/>
      <c r="K36" s="7129"/>
      <c r="L36" s="7129"/>
      <c r="M36" s="1685"/>
      <c r="N36" s="1685"/>
      <c r="O36" s="1685"/>
      <c r="P36" s="1685"/>
      <c r="Q36" s="1685"/>
      <c r="R36" s="1685"/>
      <c r="S36" s="1685"/>
      <c r="T36" s="1685"/>
      <c r="U36" s="1685"/>
      <c r="V36" s="1685"/>
      <c r="W36" s="1685"/>
      <c r="X36" s="1685"/>
      <c r="Y36" s="1685"/>
      <c r="Z36" s="1685"/>
      <c r="AA36" s="1685"/>
      <c r="AB36" s="1685"/>
      <c r="AC36" s="1685"/>
      <c r="AD36" s="1685"/>
      <c r="AE36" s="1685"/>
      <c r="AF36" s="1685"/>
      <c r="AG36" s="1685"/>
      <c r="AH36" s="1685"/>
      <c r="AI36" s="1685"/>
      <c r="AJ36" s="1685"/>
      <c r="AO36" s="1685"/>
      <c r="AP36" s="1685"/>
      <c r="AQ36" s="8077"/>
      <c r="AR36" s="8077"/>
      <c r="AS36" s="1685"/>
      <c r="AT36" s="1685"/>
      <c r="AU36" s="8143"/>
      <c r="AV36" s="8143"/>
      <c r="AW36" s="1685"/>
      <c r="AX36" s="1685"/>
      <c r="BA36" s="1685"/>
      <c r="BB36" s="1685"/>
      <c r="BC36" s="8378"/>
      <c r="BD36" s="1685"/>
      <c r="BE36" s="1685"/>
      <c r="BF36" s="1685"/>
    </row>
    <row r="37" spans="3:58" ht="15.75" customHeight="1" x14ac:dyDescent="0.2">
      <c r="C37" s="2740" t="s">
        <v>1165</v>
      </c>
      <c r="D37" s="2410" t="s">
        <v>1175</v>
      </c>
      <c r="E37" s="5938">
        <v>300</v>
      </c>
      <c r="F37" s="5938">
        <v>300</v>
      </c>
      <c r="G37" s="1685"/>
      <c r="H37" s="1685"/>
      <c r="I37" s="1685"/>
      <c r="J37" s="7129"/>
      <c r="K37" s="7129"/>
      <c r="L37" s="7129"/>
      <c r="M37" s="1685"/>
      <c r="N37" s="1685"/>
      <c r="O37" s="1685"/>
      <c r="P37" s="1685"/>
      <c r="Q37" s="1685"/>
      <c r="R37" s="1685"/>
      <c r="S37" s="1685"/>
      <c r="T37" s="1685"/>
      <c r="U37" s="1685"/>
      <c r="V37" s="1685"/>
      <c r="W37" s="1685"/>
      <c r="X37" s="1685"/>
      <c r="Y37" s="1685"/>
      <c r="Z37" s="1685"/>
      <c r="AA37" s="1685"/>
      <c r="AB37" s="1685"/>
      <c r="AC37" s="1685"/>
      <c r="AD37" s="1685"/>
      <c r="AE37" s="1685"/>
      <c r="AF37" s="1685"/>
      <c r="AG37" s="1685"/>
      <c r="AH37" s="1685"/>
      <c r="AI37" s="1685"/>
      <c r="AJ37" s="1685"/>
      <c r="AO37" s="1685"/>
      <c r="AP37" s="1685"/>
      <c r="AQ37" s="8077"/>
      <c r="AR37" s="8077"/>
      <c r="AS37" s="1685"/>
      <c r="AT37" s="1685"/>
      <c r="AU37" s="8143"/>
      <c r="AV37" s="8143"/>
      <c r="AW37" s="1685"/>
      <c r="AX37" s="1685"/>
      <c r="BA37" s="1685"/>
      <c r="BB37" s="1685"/>
      <c r="BC37" s="1685"/>
      <c r="BD37" s="1685"/>
      <c r="BE37" s="1685"/>
      <c r="BF37" s="1685"/>
    </row>
    <row r="38" spans="3:58" ht="16.5" customHeight="1" thickBot="1" x14ac:dyDescent="0.25">
      <c r="C38" s="2741" t="s">
        <v>1170</v>
      </c>
      <c r="D38" s="2742" t="s">
        <v>1175</v>
      </c>
      <c r="E38" s="5939">
        <v>100</v>
      </c>
      <c r="F38" s="5939">
        <v>100</v>
      </c>
      <c r="G38" s="1685"/>
      <c r="H38" s="1685"/>
      <c r="I38" s="1685"/>
      <c r="J38" s="7129"/>
      <c r="K38" s="7129"/>
      <c r="L38" s="7129"/>
      <c r="M38" s="1685"/>
      <c r="N38" s="1685"/>
      <c r="O38" s="1685"/>
      <c r="P38" s="1685"/>
      <c r="Q38" s="1685"/>
      <c r="R38" s="1685"/>
      <c r="S38" s="1685"/>
      <c r="T38" s="1685"/>
      <c r="U38" s="1685"/>
      <c r="V38" s="1685"/>
      <c r="W38" s="1685"/>
      <c r="X38" s="1685"/>
      <c r="Y38" s="1685"/>
      <c r="Z38" s="1685"/>
      <c r="AA38" s="1685"/>
      <c r="AB38" s="1685"/>
      <c r="AC38" s="1685"/>
      <c r="AD38" s="1685"/>
      <c r="AE38" s="1685"/>
      <c r="AF38" s="1685"/>
      <c r="AG38" s="1685"/>
      <c r="AH38" s="1685"/>
      <c r="AI38" s="1685"/>
      <c r="AJ38" s="1685"/>
      <c r="AO38" s="1685"/>
      <c r="AP38" s="1685"/>
      <c r="AQ38" s="8077"/>
      <c r="AR38" s="8077"/>
      <c r="AS38" s="1685"/>
      <c r="AT38" s="1685"/>
      <c r="AU38" s="8143"/>
      <c r="AV38" s="8143"/>
      <c r="AW38" s="1685"/>
      <c r="AX38" s="1685"/>
      <c r="BA38" s="1685"/>
      <c r="BB38" s="1685"/>
      <c r="BC38" s="1685"/>
      <c r="BD38" s="1685"/>
      <c r="BE38" s="1685"/>
      <c r="BF38" s="1685"/>
    </row>
    <row r="39" spans="3:58" ht="15" customHeight="1" x14ac:dyDescent="0.2">
      <c r="C39" s="1537"/>
      <c r="D39" s="1537"/>
      <c r="E39" s="1537"/>
      <c r="F39" s="1537"/>
      <c r="G39" s="1537"/>
      <c r="H39" s="1537"/>
      <c r="I39" s="1537"/>
      <c r="J39" s="7129"/>
      <c r="K39" s="7129"/>
      <c r="L39" s="7129"/>
      <c r="M39" s="1537"/>
      <c r="N39" s="1537"/>
      <c r="O39" s="1537"/>
      <c r="P39" s="1537"/>
      <c r="Q39" s="1537"/>
      <c r="R39" s="1537"/>
      <c r="S39" s="1537"/>
      <c r="T39" s="1537"/>
      <c r="U39" s="1537"/>
      <c r="V39" s="1537"/>
      <c r="W39" s="1537"/>
      <c r="X39" s="1537"/>
      <c r="Y39" s="1537"/>
      <c r="Z39" s="1537"/>
      <c r="AA39" s="1537"/>
      <c r="AB39" s="1537"/>
      <c r="AC39" s="1537"/>
      <c r="AD39" s="1537"/>
      <c r="AE39" s="1537"/>
      <c r="AF39" s="1537"/>
      <c r="AG39" s="1537"/>
      <c r="AH39" s="1537"/>
      <c r="AI39" s="1537"/>
      <c r="AJ39" s="1537"/>
      <c r="AO39" s="1537"/>
      <c r="AP39" s="1537"/>
      <c r="AQ39" s="8077"/>
      <c r="AR39" s="8077"/>
      <c r="AS39" s="1537"/>
      <c r="AT39" s="1537"/>
      <c r="AU39" s="8143"/>
      <c r="AV39" s="8143"/>
      <c r="AW39" s="1537"/>
      <c r="AX39" s="1537"/>
      <c r="BA39" s="1537"/>
      <c r="BB39" s="1537"/>
      <c r="BC39" s="1537"/>
      <c r="BD39" s="1537"/>
      <c r="BE39" s="1537"/>
      <c r="BF39" s="1537"/>
    </row>
    <row r="40" spans="3:58" ht="15" customHeight="1" x14ac:dyDescent="0.2">
      <c r="C40" s="1537"/>
      <c r="D40" s="1537"/>
      <c r="E40" s="1537"/>
      <c r="F40" s="1537"/>
      <c r="G40" s="1537"/>
      <c r="H40" s="1537"/>
      <c r="I40" s="1537"/>
      <c r="J40" s="7129"/>
      <c r="K40" s="7129"/>
      <c r="L40" s="7129"/>
      <c r="M40" s="1537"/>
      <c r="N40" s="1537"/>
      <c r="O40" s="1537"/>
      <c r="P40" s="1537"/>
      <c r="Q40" s="1537"/>
      <c r="R40" s="1537"/>
      <c r="S40" s="1537"/>
      <c r="T40" s="1537"/>
      <c r="U40" s="1537"/>
      <c r="V40" s="1537"/>
      <c r="W40" s="1537"/>
      <c r="X40" s="1537"/>
      <c r="Y40" s="1537"/>
      <c r="Z40" s="1537"/>
      <c r="AA40" s="1537"/>
      <c r="AB40" s="1537"/>
      <c r="AC40" s="1537"/>
      <c r="AD40" s="1537"/>
      <c r="AE40" s="1537"/>
      <c r="AF40" s="1537"/>
      <c r="AG40" s="1537"/>
      <c r="AH40" s="1537"/>
      <c r="AI40" s="1537"/>
      <c r="AJ40" s="1537"/>
      <c r="AO40" s="1537"/>
      <c r="AP40" s="1537"/>
      <c r="AQ40" s="8077"/>
      <c r="AR40" s="8077"/>
      <c r="AS40" s="1537"/>
      <c r="AT40" s="1537"/>
      <c r="AU40" s="8143"/>
      <c r="AV40" s="8143"/>
      <c r="AW40" s="1537"/>
      <c r="AX40" s="1537"/>
      <c r="BA40" s="1537"/>
      <c r="BB40" s="1537"/>
      <c r="BC40" s="1537"/>
      <c r="BD40" s="1537"/>
      <c r="BE40" s="1537"/>
      <c r="BF40" s="1537"/>
    </row>
    <row r="41" spans="3:58" x14ac:dyDescent="0.2">
      <c r="C41" s="1537"/>
      <c r="D41" s="1537"/>
      <c r="E41" s="1537"/>
      <c r="F41" s="1537"/>
      <c r="G41" s="1537"/>
      <c r="H41" s="1537"/>
      <c r="I41" s="1537"/>
      <c r="J41" s="7129"/>
      <c r="K41" s="7129"/>
      <c r="L41" s="7129"/>
      <c r="M41" s="1537"/>
      <c r="N41" s="1537"/>
      <c r="O41" s="1537"/>
      <c r="P41" s="1537"/>
      <c r="Q41" s="1537"/>
      <c r="R41" s="1537"/>
      <c r="S41" s="1537"/>
      <c r="T41" s="1537"/>
      <c r="U41" s="1537"/>
      <c r="V41" s="1537"/>
      <c r="W41" s="1537"/>
      <c r="X41" s="1537"/>
      <c r="Y41" s="1537"/>
      <c r="Z41" s="1537"/>
      <c r="AA41" s="1537"/>
      <c r="AB41" s="1537"/>
      <c r="AC41" s="1537"/>
      <c r="AD41" s="1537"/>
      <c r="AE41" s="1537"/>
      <c r="AF41" s="1537"/>
      <c r="AG41" s="1537"/>
      <c r="AH41" s="1537"/>
      <c r="AI41" s="1537"/>
      <c r="AJ41" s="1537"/>
      <c r="AO41" s="1537"/>
      <c r="AP41" s="1537"/>
      <c r="AQ41" s="8077"/>
      <c r="AR41" s="8077"/>
      <c r="AS41" s="1537"/>
      <c r="AT41" s="1537"/>
      <c r="AU41" s="8143"/>
      <c r="AV41" s="8143"/>
      <c r="AW41" s="1537"/>
      <c r="AX41" s="1537"/>
      <c r="BA41" s="1537"/>
      <c r="BB41" s="1537"/>
      <c r="BC41" s="1537"/>
      <c r="BD41" s="1537"/>
      <c r="BE41" s="1537"/>
      <c r="BF41" s="1537"/>
    </row>
    <row r="42" spans="3:58" x14ac:dyDescent="0.2">
      <c r="C42" s="1699"/>
      <c r="D42" s="1537"/>
      <c r="E42" s="1537"/>
      <c r="F42" s="1537"/>
      <c r="G42" s="1537"/>
      <c r="H42" s="1537"/>
      <c r="I42" s="1537"/>
      <c r="J42" s="7129"/>
      <c r="K42" s="7129"/>
      <c r="L42" s="7129"/>
      <c r="M42" s="1537"/>
      <c r="N42" s="1537"/>
      <c r="O42" s="1537"/>
      <c r="P42" s="1537"/>
      <c r="Q42" s="1537"/>
      <c r="R42" s="1537"/>
      <c r="S42" s="1537"/>
      <c r="T42" s="1537"/>
      <c r="U42" s="1537"/>
      <c r="V42" s="1537"/>
      <c r="W42" s="1537"/>
      <c r="X42" s="1537"/>
      <c r="Y42" s="1537"/>
      <c r="Z42" s="1537"/>
      <c r="AA42" s="1537"/>
      <c r="AB42" s="1537"/>
      <c r="AC42" s="1537"/>
      <c r="AD42" s="1537"/>
      <c r="AE42" s="1537"/>
      <c r="AF42" s="1537"/>
      <c r="AG42" s="1537"/>
      <c r="AH42" s="1537"/>
      <c r="AI42" s="1537"/>
      <c r="AJ42" s="1537"/>
      <c r="AO42" s="1537"/>
      <c r="AP42" s="1537"/>
      <c r="AQ42" s="8077"/>
      <c r="AR42" s="8077"/>
      <c r="AS42" s="1537"/>
      <c r="AT42" s="1537"/>
      <c r="AU42" s="8143"/>
      <c r="AV42" s="8143"/>
      <c r="AW42" s="1537"/>
      <c r="AX42" s="1537"/>
      <c r="BA42" s="1537"/>
      <c r="BB42" s="1537"/>
      <c r="BC42" s="1537"/>
      <c r="BD42" s="1537"/>
      <c r="BE42" s="1537"/>
      <c r="BF42" s="1537"/>
    </row>
    <row r="43" spans="3:58" x14ac:dyDescent="0.2">
      <c r="C43" s="7972" t="s">
        <v>1162</v>
      </c>
      <c r="D43" s="1923" t="s">
        <v>170</v>
      </c>
      <c r="E43" s="5986"/>
      <c r="F43" s="3443">
        <f>+F7*(1-F9/100)</f>
        <v>24797</v>
      </c>
      <c r="G43" s="5986"/>
      <c r="H43" s="3443">
        <f>+H7*(1-H9/100)</f>
        <v>24097.999999999996</v>
      </c>
      <c r="I43" s="7394"/>
      <c r="J43" s="1706">
        <f>+J7*(1-J9/100)</f>
        <v>48895</v>
      </c>
      <c r="K43" s="5986"/>
      <c r="L43" s="3443">
        <f>+L7*(1-L9/100)</f>
        <v>23914</v>
      </c>
      <c r="M43" s="5783"/>
      <c r="N43" s="1997">
        <f>+N7*(1-N9/100)</f>
        <v>72809</v>
      </c>
      <c r="O43" s="5986"/>
      <c r="P43" s="3443">
        <f>+P7*(1-P9/100)</f>
        <v>27296</v>
      </c>
      <c r="Q43" s="7394"/>
      <c r="R43" s="1706">
        <f>+R7*(1-R9/100)</f>
        <v>100105</v>
      </c>
      <c r="S43" s="5986"/>
      <c r="T43" s="3443">
        <f>+T7*(1-T9/100)</f>
        <v>28764.000000000004</v>
      </c>
      <c r="U43" s="7394"/>
      <c r="V43" s="1706">
        <f>+V7*(1-V9/100)</f>
        <v>128868.99999999999</v>
      </c>
      <c r="W43" s="5986"/>
      <c r="X43" s="3443">
        <f>+X7*(1-X9/100)</f>
        <v>16265.000000000002</v>
      </c>
      <c r="Y43" s="5783"/>
      <c r="Z43" s="5783">
        <f>+Z7*(1-Z9/100)</f>
        <v>72325</v>
      </c>
      <c r="AA43" s="6614"/>
      <c r="AB43" s="7214">
        <f>+AB7*(1-AB9/100)</f>
        <v>145134</v>
      </c>
      <c r="AC43" s="5986"/>
      <c r="AD43" s="3443">
        <f>+AD7*(1-AD9/100)</f>
        <v>18894</v>
      </c>
      <c r="AE43" s="7394"/>
      <c r="AF43" s="1706">
        <f>+AF7*(1-AF9/100)</f>
        <v>164028</v>
      </c>
      <c r="AG43" s="5986"/>
      <c r="AH43" s="3443">
        <f>+AH7*(1-AH9/100)</f>
        <v>24217</v>
      </c>
      <c r="AI43" s="7394"/>
      <c r="AJ43" s="1706">
        <f>+AJ7*(1-AJ9/100)</f>
        <v>188245</v>
      </c>
      <c r="AK43" s="5986"/>
      <c r="AL43" s="3443">
        <f>+AL7*(1-AL9/100)</f>
        <v>30344.000000000004</v>
      </c>
      <c r="AM43" s="5783"/>
      <c r="AN43" s="5783">
        <f>+AN7*(1-AN9/100)</f>
        <v>73455</v>
      </c>
      <c r="AO43" s="7394"/>
      <c r="AP43" s="1706">
        <f>+AP7*(1-AP9/100)</f>
        <v>218589</v>
      </c>
      <c r="AQ43" s="5986"/>
      <c r="AR43" s="3443">
        <f>+AR7*(1-AR9/100)</f>
        <v>38251</v>
      </c>
      <c r="AS43" s="7394"/>
      <c r="AT43" s="1706">
        <f>+AT7*(1-AT9/100)</f>
        <v>256839.99999999997</v>
      </c>
      <c r="AU43" s="5986"/>
      <c r="AV43" s="3443">
        <f>+AV7*(1-AV9/100)</f>
        <v>34100</v>
      </c>
      <c r="AW43" s="7394"/>
      <c r="AX43" s="1706">
        <f>+AX7*(1-AX9/100)</f>
        <v>290940</v>
      </c>
      <c r="AY43" s="5986"/>
      <c r="AZ43" s="3443">
        <f>+AZ7*(1-AZ9/100)</f>
        <v>37111</v>
      </c>
      <c r="BA43" s="5783"/>
      <c r="BB43" s="5783">
        <f>+BB7*(1-BB9/100)</f>
        <v>109462</v>
      </c>
      <c r="BC43" s="5783"/>
      <c r="BD43" s="5783">
        <f>+BD7*(1-BD9/100)</f>
        <v>182917</v>
      </c>
      <c r="BE43" s="6614"/>
      <c r="BF43" s="7214">
        <f>+BF7*(1-BF9/100)</f>
        <v>328051</v>
      </c>
    </row>
    <row r="44" spans="3:58" x14ac:dyDescent="0.2">
      <c r="C44" s="7972" t="s">
        <v>2503</v>
      </c>
      <c r="D44" s="2708" t="s">
        <v>170</v>
      </c>
      <c r="E44" s="5986"/>
      <c r="F44" s="3443">
        <f>+F8</f>
        <v>9923</v>
      </c>
      <c r="G44" s="5986"/>
      <c r="H44" s="3443">
        <f>+H8</f>
        <v>8440</v>
      </c>
      <c r="I44" s="7394"/>
      <c r="J44" s="1706">
        <f>+J8</f>
        <v>18363</v>
      </c>
      <c r="K44" s="5986"/>
      <c r="L44" s="3443">
        <f>+L8</f>
        <v>13266</v>
      </c>
      <c r="M44" s="5783"/>
      <c r="N44" s="1997">
        <f>+N8</f>
        <v>31629</v>
      </c>
      <c r="O44" s="5986"/>
      <c r="P44" s="3443">
        <f>+P8</f>
        <v>13779</v>
      </c>
      <c r="Q44" s="7394"/>
      <c r="R44" s="1706">
        <f>+R8</f>
        <v>45408</v>
      </c>
      <c r="S44" s="5986"/>
      <c r="T44" s="3443">
        <f>+T8</f>
        <v>12868</v>
      </c>
      <c r="U44" s="7394"/>
      <c r="V44" s="1706">
        <f>+V8</f>
        <v>58276</v>
      </c>
      <c r="W44" s="5986"/>
      <c r="X44" s="3443">
        <f>+X8</f>
        <v>10010</v>
      </c>
      <c r="Y44" s="5783"/>
      <c r="Z44" s="5783">
        <f>+Z8</f>
        <v>36657</v>
      </c>
      <c r="AA44" s="6614"/>
      <c r="AB44" s="7214">
        <f>+AB8</f>
        <v>68286</v>
      </c>
      <c r="AC44" s="5986"/>
      <c r="AD44" s="3443">
        <f>+AD8</f>
        <v>4400</v>
      </c>
      <c r="AE44" s="7394"/>
      <c r="AF44" s="1706">
        <f>+AF8</f>
        <v>72686</v>
      </c>
      <c r="AG44" s="5986"/>
      <c r="AH44" s="3443">
        <f>+AH8</f>
        <v>5705</v>
      </c>
      <c r="AI44" s="7394"/>
      <c r="AJ44" s="1706">
        <f>+AJ8</f>
        <v>78391</v>
      </c>
      <c r="AK44" s="5986"/>
      <c r="AL44" s="3443">
        <f>+AL8</f>
        <v>5888</v>
      </c>
      <c r="AM44" s="5783"/>
      <c r="AN44" s="5783">
        <f>+AN8</f>
        <v>15993</v>
      </c>
      <c r="AO44" s="7394"/>
      <c r="AP44" s="1706">
        <f>+AP8</f>
        <v>84279</v>
      </c>
      <c r="AQ44" s="5986"/>
      <c r="AR44" s="3443">
        <f>+AR8</f>
        <v>8510</v>
      </c>
      <c r="AS44" s="7394"/>
      <c r="AT44" s="1706">
        <f>+AT8</f>
        <v>92789</v>
      </c>
      <c r="AU44" s="5986"/>
      <c r="AV44" s="3443">
        <f>+AV8</f>
        <v>8785</v>
      </c>
      <c r="AW44" s="7394"/>
      <c r="AX44" s="1706">
        <f>+AX8</f>
        <v>101574</v>
      </c>
      <c r="AY44" s="5986"/>
      <c r="AZ44" s="3443">
        <f>+AZ8</f>
        <v>10024</v>
      </c>
      <c r="BA44" s="5783"/>
      <c r="BB44" s="5783">
        <f>+BB8</f>
        <v>27319</v>
      </c>
      <c r="BC44" s="5783"/>
      <c r="BD44" s="5783">
        <f>+BD8</f>
        <v>43312</v>
      </c>
      <c r="BE44" s="6614"/>
      <c r="BF44" s="7214">
        <f>+BF8</f>
        <v>111598</v>
      </c>
    </row>
    <row r="45" spans="3:58" x14ac:dyDescent="0.2">
      <c r="C45" s="7972" t="s">
        <v>2068</v>
      </c>
      <c r="D45" s="1923" t="s">
        <v>170</v>
      </c>
      <c r="E45" s="5986"/>
      <c r="F45" s="3443">
        <f>SUM(F43:F44)</f>
        <v>34720</v>
      </c>
      <c r="G45" s="5986"/>
      <c r="H45" s="3443">
        <f>SUM(H43:H44)</f>
        <v>32537.999999999996</v>
      </c>
      <c r="I45" s="7394"/>
      <c r="J45" s="1706">
        <f>SUM(J43:J44)</f>
        <v>67258</v>
      </c>
      <c r="K45" s="5986"/>
      <c r="L45" s="3443">
        <f>SUM(L43:L44)</f>
        <v>37180</v>
      </c>
      <c r="M45" s="5783"/>
      <c r="N45" s="1997">
        <f>SUM(N43:N44)</f>
        <v>104438</v>
      </c>
      <c r="O45" s="5986"/>
      <c r="P45" s="3443">
        <f>SUM(P43:P44)</f>
        <v>41075</v>
      </c>
      <c r="Q45" s="7394"/>
      <c r="R45" s="1706">
        <f>SUM(R43:R44)</f>
        <v>145513</v>
      </c>
      <c r="S45" s="5986"/>
      <c r="T45" s="3443">
        <f>SUM(T43:T44)</f>
        <v>41632</v>
      </c>
      <c r="U45" s="7394"/>
      <c r="V45" s="1706">
        <f>SUM(V43:V44)</f>
        <v>187145</v>
      </c>
      <c r="W45" s="5986"/>
      <c r="X45" s="3443">
        <f>SUM(X43:X44)</f>
        <v>26275</v>
      </c>
      <c r="Y45" s="5783"/>
      <c r="Z45" s="5783">
        <f>SUM(Z43:Z44)</f>
        <v>108982</v>
      </c>
      <c r="AA45" s="6614"/>
      <c r="AB45" s="7214">
        <f>SUM(AB43:AB44)</f>
        <v>213420</v>
      </c>
      <c r="AC45" s="5986"/>
      <c r="AD45" s="3443">
        <f>SUM(AD43:AD44)</f>
        <v>23294</v>
      </c>
      <c r="AE45" s="7394"/>
      <c r="AF45" s="1706">
        <f>SUM(AF43:AF44)</f>
        <v>236714</v>
      </c>
      <c r="AG45" s="5986"/>
      <c r="AH45" s="3443">
        <f>SUM(AH43:AH44)</f>
        <v>29922</v>
      </c>
      <c r="AI45" s="7394"/>
      <c r="AJ45" s="1706">
        <f>SUM(AJ43:AJ44)</f>
        <v>266636</v>
      </c>
      <c r="AK45" s="5986"/>
      <c r="AL45" s="3443">
        <f>SUM(AL43:AL44)</f>
        <v>36232</v>
      </c>
      <c r="AM45" s="5783"/>
      <c r="AN45" s="5783">
        <f>SUM(AN43:AN44)</f>
        <v>89448</v>
      </c>
      <c r="AO45" s="7394"/>
      <c r="AP45" s="1706">
        <f>SUM(AP43:AP44)</f>
        <v>302868</v>
      </c>
      <c r="AQ45" s="5986"/>
      <c r="AR45" s="3443">
        <f>SUM(AR43:AR44)</f>
        <v>46761</v>
      </c>
      <c r="AS45" s="7394"/>
      <c r="AT45" s="1706">
        <f>SUM(AT43:AT44)</f>
        <v>349629</v>
      </c>
      <c r="AU45" s="5986"/>
      <c r="AV45" s="3443">
        <f>SUM(AV43:AV44)</f>
        <v>42885</v>
      </c>
      <c r="AW45" s="7394"/>
      <c r="AX45" s="1706">
        <f>SUM(AX43:AX44)</f>
        <v>392514</v>
      </c>
      <c r="AY45" s="5986"/>
      <c r="AZ45" s="3443">
        <f>SUM(AZ43:AZ44)</f>
        <v>47135</v>
      </c>
      <c r="BA45" s="5783"/>
      <c r="BB45" s="5783">
        <f>SUM(BB43:BB44)</f>
        <v>136781</v>
      </c>
      <c r="BC45" s="5783"/>
      <c r="BD45" s="5783">
        <f>SUM(BD43:BD44)</f>
        <v>226229</v>
      </c>
      <c r="BE45" s="6614"/>
      <c r="BF45" s="7214">
        <f>SUM(BF43:BF44)</f>
        <v>439649</v>
      </c>
    </row>
    <row r="46" spans="3:58" x14ac:dyDescent="0.2">
      <c r="C46" s="7972" t="s">
        <v>698</v>
      </c>
      <c r="D46" s="1923" t="s">
        <v>169</v>
      </c>
      <c r="E46" s="5986"/>
      <c r="F46" s="7970">
        <v>1.25</v>
      </c>
      <c r="G46" s="3377"/>
      <c r="H46" s="7970">
        <v>1.25</v>
      </c>
      <c r="I46" s="3195"/>
      <c r="J46" s="1718">
        <v>1.25</v>
      </c>
      <c r="K46" s="3377"/>
      <c r="L46" s="7970">
        <v>1.25</v>
      </c>
      <c r="M46" s="3192"/>
      <c r="N46" s="7976">
        <v>1.25</v>
      </c>
      <c r="O46" s="3377"/>
      <c r="P46" s="7970">
        <v>1.25</v>
      </c>
      <c r="Q46" s="3195"/>
      <c r="R46" s="1718">
        <v>1.25</v>
      </c>
      <c r="S46" s="3377"/>
      <c r="T46" s="7970">
        <v>1.25</v>
      </c>
      <c r="U46" s="3195"/>
      <c r="V46" s="1718">
        <v>1.25</v>
      </c>
      <c r="W46" s="3377"/>
      <c r="X46" s="7970">
        <v>1.25</v>
      </c>
      <c r="Y46" s="3192"/>
      <c r="Z46" s="3192">
        <v>1.25</v>
      </c>
      <c r="AA46" s="7213"/>
      <c r="AB46" s="7977">
        <v>1.25</v>
      </c>
      <c r="AC46" s="3377"/>
      <c r="AD46" s="7970">
        <v>1.25</v>
      </c>
      <c r="AE46" s="3195"/>
      <c r="AF46" s="1718">
        <v>1.25</v>
      </c>
      <c r="AG46" s="3377"/>
      <c r="AH46" s="7970">
        <v>1.25</v>
      </c>
      <c r="AI46" s="3195"/>
      <c r="AJ46" s="1718">
        <v>1.25</v>
      </c>
      <c r="AK46" s="3377"/>
      <c r="AL46" s="7970">
        <v>1.25</v>
      </c>
      <c r="AM46" s="3192"/>
      <c r="AN46" s="3192">
        <v>1.25</v>
      </c>
      <c r="AO46" s="3195"/>
      <c r="AP46" s="1718">
        <v>1.25</v>
      </c>
      <c r="AQ46" s="3377"/>
      <c r="AR46" s="7970">
        <v>1.25</v>
      </c>
      <c r="AS46" s="3195"/>
      <c r="AT46" s="1718">
        <v>1.25</v>
      </c>
      <c r="AU46" s="3377"/>
      <c r="AV46" s="7970">
        <v>1.25</v>
      </c>
      <c r="AW46" s="3195"/>
      <c r="AX46" s="1718">
        <v>1.25</v>
      </c>
      <c r="AY46" s="3377"/>
      <c r="AZ46" s="7970">
        <v>1.25</v>
      </c>
      <c r="BA46" s="3192"/>
      <c r="BB46" s="3192">
        <v>1.25</v>
      </c>
      <c r="BC46" s="3192"/>
      <c r="BD46" s="3192">
        <v>1.25</v>
      </c>
      <c r="BE46" s="7213"/>
      <c r="BF46" s="7977">
        <v>1.25</v>
      </c>
    </row>
    <row r="47" spans="3:58" x14ac:dyDescent="0.2">
      <c r="C47" s="7972" t="s">
        <v>698</v>
      </c>
      <c r="D47" s="1923" t="s">
        <v>170</v>
      </c>
      <c r="E47" s="5986"/>
      <c r="F47" s="7984">
        <f>+F45*F46/(100-F46)</f>
        <v>439.49367088607596</v>
      </c>
      <c r="G47" s="5986"/>
      <c r="H47" s="7984">
        <f>+H45*H46/(100-H46)</f>
        <v>411.87341772151893</v>
      </c>
      <c r="I47" s="7394"/>
      <c r="J47" s="1713">
        <f>+J45*J46/(100-J46)</f>
        <v>851.36708860759495</v>
      </c>
      <c r="K47" s="5986"/>
      <c r="L47" s="7984">
        <f>+L45*L46/(100-L46)</f>
        <v>470.63291139240505</v>
      </c>
      <c r="M47" s="5783"/>
      <c r="N47" s="1998">
        <f>+N45*N46/(100-N46)</f>
        <v>1322</v>
      </c>
      <c r="O47" s="5986"/>
      <c r="P47" s="7984">
        <f>+P45*P46/(100-P46)</f>
        <v>519.9367088607595</v>
      </c>
      <c r="Q47" s="7394"/>
      <c r="R47" s="1713">
        <f>+R45*R46/(100-R46)</f>
        <v>1841.9367088607594</v>
      </c>
      <c r="S47" s="5986"/>
      <c r="T47" s="7984">
        <f>+T45*T46/(100-T46)</f>
        <v>526.98734177215192</v>
      </c>
      <c r="U47" s="7394"/>
      <c r="V47" s="1713">
        <f>+V45*V46/(100-V46)</f>
        <v>2368.9240506329115</v>
      </c>
      <c r="W47" s="5986"/>
      <c r="X47" s="7984">
        <f>+X45*X46/(100-X46)</f>
        <v>332.59493670886076</v>
      </c>
      <c r="Y47" s="5783"/>
      <c r="Z47" s="5783">
        <f>+Z45*Z46/(100-Z46)</f>
        <v>1379.5189873417721</v>
      </c>
      <c r="AA47" s="6614"/>
      <c r="AB47" s="6510">
        <f>+AB45*AB46/(100-AB46)</f>
        <v>2701.5189873417721</v>
      </c>
      <c r="AC47" s="5986"/>
      <c r="AD47" s="7984">
        <f>+AD45*AD46/(100-AD46)</f>
        <v>294.86075949367091</v>
      </c>
      <c r="AE47" s="7394"/>
      <c r="AF47" s="1713">
        <f>+AF45*AF46/(100-AF46)</f>
        <v>2996.3797468354433</v>
      </c>
      <c r="AG47" s="5986"/>
      <c r="AH47" s="7984">
        <f>+AH45*AH46/(100-AH46)</f>
        <v>378.75949367088606</v>
      </c>
      <c r="AI47" s="7394"/>
      <c r="AJ47" s="1713">
        <f>+AJ45*AJ46/(100-AJ46)</f>
        <v>3375.1392405063293</v>
      </c>
      <c r="AK47" s="5986"/>
      <c r="AL47" s="7984">
        <f>+AL45*AL46/(100-AL46)</f>
        <v>458.63291139240505</v>
      </c>
      <c r="AM47" s="5783"/>
      <c r="AN47" s="5783">
        <f>+AN45*AN46/(100-AN46)</f>
        <v>1132.253164556962</v>
      </c>
      <c r="AO47" s="7394"/>
      <c r="AP47" s="1713">
        <f>+AP45*AP46/(100-AP46)</f>
        <v>3833.7721518987341</v>
      </c>
      <c r="AQ47" s="5986"/>
      <c r="AR47" s="7984">
        <f>+AR45*AR46/(100-AR46)</f>
        <v>591.91139240506334</v>
      </c>
      <c r="AS47" s="7394"/>
      <c r="AT47" s="1713">
        <f>+AT45*AT46/(100-AT46)</f>
        <v>4425.6835443037971</v>
      </c>
      <c r="AU47" s="5986"/>
      <c r="AV47" s="7984">
        <f>+AV45*AV46/(100-AV46)</f>
        <v>542.84810126582283</v>
      </c>
      <c r="AW47" s="7394"/>
      <c r="AX47" s="1713">
        <f>+AX45*AX46/(100-AX46)</f>
        <v>4968.5316455696202</v>
      </c>
      <c r="AY47" s="5986"/>
      <c r="AZ47" s="7984">
        <f>+AZ45*AZ46/(100-AZ46)</f>
        <v>596.64556962025313</v>
      </c>
      <c r="BA47" s="5783"/>
      <c r="BB47" s="5783">
        <f>+BB45*BB46/(100-BB46)</f>
        <v>1731.4050632911392</v>
      </c>
      <c r="BC47" s="5783"/>
      <c r="BD47" s="5783">
        <f>+BD45*BD46/(100-BD46)</f>
        <v>2863.6582278481014</v>
      </c>
      <c r="BE47" s="6614"/>
      <c r="BF47" s="6510">
        <f>+BF45*BF46/(100-BF46)</f>
        <v>5565.1772151898731</v>
      </c>
    </row>
    <row r="48" spans="3:58" x14ac:dyDescent="0.2">
      <c r="C48" s="7972" t="s">
        <v>97</v>
      </c>
      <c r="D48" s="1923" t="s">
        <v>170</v>
      </c>
      <c r="E48" s="5986"/>
      <c r="F48" s="7984">
        <f>+F45+F47</f>
        <v>35159.493670886077</v>
      </c>
      <c r="G48" s="5986"/>
      <c r="H48" s="7984">
        <f>+H45+H47</f>
        <v>32949.873417721516</v>
      </c>
      <c r="I48" s="7394"/>
      <c r="J48" s="1713">
        <f>+J45+J47</f>
        <v>68109.3670886076</v>
      </c>
      <c r="K48" s="5986"/>
      <c r="L48" s="7984">
        <f>+L45+L47</f>
        <v>37650.632911392408</v>
      </c>
      <c r="M48" s="5783"/>
      <c r="N48" s="1998">
        <f>+N45+N47</f>
        <v>105760</v>
      </c>
      <c r="O48" s="5986"/>
      <c r="P48" s="7984">
        <f>+P45+P47</f>
        <v>41594.936708860761</v>
      </c>
      <c r="Q48" s="7394"/>
      <c r="R48" s="1713">
        <f>+R45+R47</f>
        <v>147354.93670886077</v>
      </c>
      <c r="S48" s="5986"/>
      <c r="T48" s="7984">
        <f>+T45+T47</f>
        <v>42158.987341772154</v>
      </c>
      <c r="U48" s="7394"/>
      <c r="V48" s="1713">
        <f>+V45+V47</f>
        <v>189513.92405063292</v>
      </c>
      <c r="W48" s="5986"/>
      <c r="X48" s="7984">
        <f>+X45+X47</f>
        <v>26607.594936708861</v>
      </c>
      <c r="Y48" s="5783"/>
      <c r="Z48" s="5783">
        <f>+Z45+Z47</f>
        <v>110361.51898734177</v>
      </c>
      <c r="AA48" s="6614"/>
      <c r="AB48" s="6510">
        <f>+AB45+AB47</f>
        <v>216121.51898734178</v>
      </c>
      <c r="AC48" s="5986"/>
      <c r="AD48" s="7984">
        <f>+AD45+AD47</f>
        <v>23588.860759493669</v>
      </c>
      <c r="AE48" s="7394"/>
      <c r="AF48" s="1713">
        <f>+AF45+AF47</f>
        <v>239710.37974683545</v>
      </c>
      <c r="AG48" s="5986"/>
      <c r="AH48" s="7984">
        <f>+AH45+AH47</f>
        <v>30300.759493670885</v>
      </c>
      <c r="AI48" s="7394"/>
      <c r="AJ48" s="1713">
        <f>+AJ45+AJ47</f>
        <v>270011.13924050634</v>
      </c>
      <c r="AK48" s="5986"/>
      <c r="AL48" s="7984">
        <f>+AL45+AL47</f>
        <v>36690.632911392408</v>
      </c>
      <c r="AM48" s="5783"/>
      <c r="AN48" s="5783">
        <f>+AN45+AN47</f>
        <v>90580.253164556969</v>
      </c>
      <c r="AO48" s="7394"/>
      <c r="AP48" s="1713">
        <f>+AP45+AP47</f>
        <v>306701.77215189871</v>
      </c>
      <c r="AQ48" s="5986"/>
      <c r="AR48" s="7984">
        <f>+AR45+AR47</f>
        <v>47352.911392405062</v>
      </c>
      <c r="AS48" s="7394"/>
      <c r="AT48" s="1713">
        <f>+AT45+AT47</f>
        <v>354054.68354430381</v>
      </c>
      <c r="AU48" s="5986"/>
      <c r="AV48" s="7984">
        <f>+AV45+AV47</f>
        <v>43427.848101265823</v>
      </c>
      <c r="AW48" s="7394"/>
      <c r="AX48" s="1713">
        <f>+AX45+AX47</f>
        <v>397482.5316455696</v>
      </c>
      <c r="AY48" s="5986"/>
      <c r="AZ48" s="7984">
        <f>+AZ45+AZ47</f>
        <v>47731.645569620254</v>
      </c>
      <c r="BA48" s="5783"/>
      <c r="BB48" s="5783">
        <f>+BB45+BB47</f>
        <v>138512.40506329114</v>
      </c>
      <c r="BC48" s="5783"/>
      <c r="BD48" s="5783">
        <f>+BD45+BD47</f>
        <v>229092.65822784809</v>
      </c>
      <c r="BE48" s="6614"/>
      <c r="BF48" s="6510">
        <f>+BF45+BF47</f>
        <v>445214.17721518985</v>
      </c>
    </row>
    <row r="49" spans="3:58" x14ac:dyDescent="0.2">
      <c r="C49" s="1537"/>
      <c r="D49" s="1537"/>
      <c r="E49" s="1537"/>
      <c r="F49" s="1537"/>
      <c r="G49" s="1537"/>
      <c r="H49" s="1537"/>
      <c r="I49" s="1537"/>
      <c r="J49" s="1537"/>
      <c r="K49" s="1537"/>
      <c r="L49" s="1537"/>
      <c r="M49" s="1537"/>
      <c r="N49" s="1537"/>
      <c r="O49" s="1537"/>
      <c r="P49" s="1537"/>
      <c r="Q49" s="1537"/>
      <c r="R49" s="1537"/>
      <c r="S49" s="1537"/>
      <c r="T49" s="1537"/>
      <c r="U49" s="1537"/>
      <c r="V49" s="1537"/>
      <c r="W49" s="1537"/>
      <c r="X49" s="1537"/>
      <c r="Y49" s="1537"/>
      <c r="Z49" s="1537"/>
      <c r="AA49" s="1537"/>
      <c r="AB49" s="1537"/>
      <c r="AC49" s="1537"/>
      <c r="AD49" s="1537"/>
      <c r="AE49" s="1537"/>
      <c r="AF49" s="1537"/>
      <c r="AG49" s="1537"/>
      <c r="AH49" s="1537"/>
      <c r="AI49" s="1537"/>
      <c r="AJ49" s="1537"/>
      <c r="AO49" s="1537"/>
      <c r="AP49" s="1537"/>
      <c r="AQ49" s="8077"/>
      <c r="AR49" s="8077"/>
      <c r="AS49" s="1537"/>
      <c r="AT49" s="1537"/>
      <c r="AU49" s="8143"/>
      <c r="AV49" s="8143"/>
      <c r="AW49" s="1537"/>
      <c r="AX49" s="1537"/>
      <c r="BA49" s="1537"/>
      <c r="BB49" s="1537"/>
      <c r="BC49" s="1537"/>
      <c r="BD49" s="1537"/>
      <c r="BE49" s="1537"/>
      <c r="BF49" s="1537"/>
    </row>
    <row r="50" spans="3:58" x14ac:dyDescent="0.2">
      <c r="C50" s="1537"/>
      <c r="D50" s="1537"/>
      <c r="E50" s="1537"/>
      <c r="F50" s="1537"/>
      <c r="G50" s="1537"/>
      <c r="H50" s="1537"/>
      <c r="I50" s="1537"/>
      <c r="J50" s="1537"/>
      <c r="K50" s="1537"/>
      <c r="L50" s="1537"/>
      <c r="M50" s="1537"/>
      <c r="N50" s="1537"/>
      <c r="O50" s="1537"/>
      <c r="P50" s="1537"/>
      <c r="Q50" s="1537"/>
      <c r="R50" s="1537"/>
      <c r="S50" s="1537"/>
      <c r="T50" s="1537"/>
      <c r="U50" s="1537"/>
      <c r="V50" s="1537"/>
      <c r="W50" s="1537"/>
      <c r="X50" s="1537"/>
      <c r="Y50" s="1537"/>
      <c r="Z50" s="1537"/>
      <c r="AA50" s="1537"/>
      <c r="AB50" s="1537"/>
      <c r="AC50" s="1537"/>
      <c r="AD50" s="1537"/>
      <c r="AE50" s="1537"/>
      <c r="AF50" s="1537"/>
      <c r="AG50" s="1537"/>
      <c r="AH50" s="1537"/>
      <c r="AI50" s="1537"/>
      <c r="AJ50" s="1537"/>
      <c r="AO50" s="1537"/>
      <c r="AP50" s="1537"/>
      <c r="AQ50" s="8077"/>
      <c r="AR50" s="8077"/>
      <c r="AS50" s="1537"/>
      <c r="AT50" s="1537"/>
      <c r="AU50" s="8143"/>
      <c r="AV50" s="8143"/>
      <c r="AW50" s="1537"/>
      <c r="AX50" s="1537"/>
      <c r="BA50" s="1537"/>
      <c r="BB50" s="1537"/>
      <c r="BC50" s="1537"/>
      <c r="BD50" s="1537"/>
      <c r="BE50" s="1537"/>
      <c r="BF50" s="1537"/>
    </row>
    <row r="51" spans="3:58" s="7897" customFormat="1" x14ac:dyDescent="0.2">
      <c r="C51" s="7972" t="s">
        <v>1168</v>
      </c>
      <c r="D51" s="1923" t="s">
        <v>170</v>
      </c>
      <c r="E51" s="5986"/>
      <c r="F51" s="3443">
        <f>+F21*(1-F23/100)</f>
        <v>6593</v>
      </c>
      <c r="G51" s="5986"/>
      <c r="H51" s="3443">
        <f>+H21*(1-H23/100)</f>
        <v>8452</v>
      </c>
      <c r="I51" s="7394"/>
      <c r="J51" s="1706">
        <f>+J21*(1-J23/100)</f>
        <v>15045</v>
      </c>
      <c r="K51" s="5986"/>
      <c r="L51" s="3443">
        <f>+L21*(1-L23/100)</f>
        <v>8073</v>
      </c>
      <c r="M51" s="5783"/>
      <c r="N51" s="1997">
        <f>+N21*(1-N23/100)</f>
        <v>23118</v>
      </c>
      <c r="O51" s="5986"/>
      <c r="P51" s="3443">
        <f>+P21*(1-P23/100)</f>
        <v>8747</v>
      </c>
      <c r="Q51" s="7394"/>
      <c r="R51" s="1706">
        <f>+R21*(1-R23/100)</f>
        <v>31865</v>
      </c>
      <c r="S51" s="5986"/>
      <c r="T51" s="3443">
        <f>+T21*(1-T23/100)</f>
        <v>9978</v>
      </c>
      <c r="U51" s="7394"/>
      <c r="V51" s="1706">
        <f>+V21*(1-V23/100)</f>
        <v>41843</v>
      </c>
      <c r="W51" s="5986"/>
      <c r="X51" s="3443">
        <f>+X21*(1-X23/100)</f>
        <v>5932</v>
      </c>
      <c r="Y51" s="5783"/>
      <c r="Z51" s="5783">
        <f>+Z21*(1-Z23/100)</f>
        <v>24657.000000000004</v>
      </c>
      <c r="AA51" s="6614"/>
      <c r="AB51" s="7214">
        <f>+AB21*(1-AB23/100)</f>
        <v>47775</v>
      </c>
      <c r="AC51" s="5986"/>
      <c r="AD51" s="3443">
        <f>+AD21*(1-AD23/100)</f>
        <v>5711</v>
      </c>
      <c r="AE51" s="7394"/>
      <c r="AF51" s="1706">
        <f>+AF21*(1-AF23/100)</f>
        <v>53486</v>
      </c>
      <c r="AG51" s="5986"/>
      <c r="AH51" s="3443">
        <f>+AH21*(1-AH23/100)</f>
        <v>7664.0000000000009</v>
      </c>
      <c r="AI51" s="7394"/>
      <c r="AJ51" s="1706">
        <f>+AJ21*(1-AJ23/100)</f>
        <v>61150.000000000007</v>
      </c>
      <c r="AK51" s="5986"/>
      <c r="AL51" s="3443">
        <f>+AL21*(1-AL23/100)</f>
        <v>10288</v>
      </c>
      <c r="AM51" s="5783"/>
      <c r="AN51" s="5783">
        <f>+AN21*(1-AN23/100)</f>
        <v>23663</v>
      </c>
      <c r="AO51" s="7394"/>
      <c r="AP51" s="1706">
        <f>+AP21*(1-AP23/100)</f>
        <v>71438</v>
      </c>
      <c r="AQ51" s="5986"/>
      <c r="AR51" s="3443">
        <f>+AR21*(1-AR23/100)</f>
        <v>10439</v>
      </c>
      <c r="AS51" s="7394"/>
      <c r="AT51" s="1706">
        <f>+AT21*(1-AT23/100)</f>
        <v>81877</v>
      </c>
      <c r="AU51" s="5986"/>
      <c r="AV51" s="3443">
        <f>+AV21*(1-AV23/100)</f>
        <v>6631</v>
      </c>
      <c r="AW51" s="7394"/>
      <c r="AX51" s="1706">
        <f>+AX21*(1-AX23/100)</f>
        <v>88508</v>
      </c>
      <c r="AY51" s="5986"/>
      <c r="AZ51" s="3443">
        <f>+AZ21*(1-AZ23/100)</f>
        <v>8536</v>
      </c>
      <c r="BA51" s="5783"/>
      <c r="BB51" s="5783">
        <f>+BB21*(1-BB23/100)</f>
        <v>25606</v>
      </c>
      <c r="BC51" s="5783"/>
      <c r="BD51" s="5783">
        <f>+BD21*(1-BD23/100)</f>
        <v>49269</v>
      </c>
      <c r="BE51" s="6614"/>
      <c r="BF51" s="7214">
        <f>+BF21*(1-BF23/100)</f>
        <v>97044</v>
      </c>
    </row>
    <row r="52" spans="3:58" s="7897" customFormat="1" x14ac:dyDescent="0.2">
      <c r="C52" s="7972" t="s">
        <v>2503</v>
      </c>
      <c r="D52" s="2708" t="s">
        <v>170</v>
      </c>
      <c r="E52" s="5986"/>
      <c r="F52" s="3443">
        <f>+F22</f>
        <v>2424</v>
      </c>
      <c r="G52" s="5986"/>
      <c r="H52" s="3443">
        <f>+H22</f>
        <v>1083</v>
      </c>
      <c r="I52" s="7394"/>
      <c r="J52" s="1706">
        <f>+J22</f>
        <v>3507</v>
      </c>
      <c r="K52" s="5986"/>
      <c r="L52" s="3443">
        <f>+L22</f>
        <v>2387</v>
      </c>
      <c r="M52" s="5783"/>
      <c r="N52" s="1997">
        <f>+N22</f>
        <v>5894</v>
      </c>
      <c r="O52" s="5986"/>
      <c r="P52" s="3443">
        <f>+P22</f>
        <v>4479</v>
      </c>
      <c r="Q52" s="7394"/>
      <c r="R52" s="1706">
        <f>+R22</f>
        <v>10373</v>
      </c>
      <c r="S52" s="5986"/>
      <c r="T52" s="3443">
        <f>+T22</f>
        <v>2687</v>
      </c>
      <c r="U52" s="7394"/>
      <c r="V52" s="1706">
        <f>+V22</f>
        <v>13060</v>
      </c>
      <c r="W52" s="5986"/>
      <c r="X52" s="3443">
        <f>+X22</f>
        <v>2159</v>
      </c>
      <c r="Y52" s="5783"/>
      <c r="Z52" s="5783">
        <f>+Z22</f>
        <v>9325</v>
      </c>
      <c r="AA52" s="6614"/>
      <c r="AB52" s="7214">
        <f>+AB22</f>
        <v>15219</v>
      </c>
      <c r="AC52" s="5986"/>
      <c r="AD52" s="3443">
        <f>+AD22</f>
        <v>2777</v>
      </c>
      <c r="AE52" s="7394"/>
      <c r="AF52" s="1706">
        <f>+AF22</f>
        <v>17996</v>
      </c>
      <c r="AG52" s="5986"/>
      <c r="AH52" s="3443">
        <f>+AH22</f>
        <v>3928</v>
      </c>
      <c r="AI52" s="7394"/>
      <c r="AJ52" s="1706">
        <f>+AJ22</f>
        <v>21924</v>
      </c>
      <c r="AK52" s="5986"/>
      <c r="AL52" s="3443">
        <f>+AL22</f>
        <v>2612</v>
      </c>
      <c r="AM52" s="5783"/>
      <c r="AN52" s="5783">
        <f>+AN22</f>
        <v>9317</v>
      </c>
      <c r="AO52" s="7394"/>
      <c r="AP52" s="1706">
        <f>+AP22</f>
        <v>24536</v>
      </c>
      <c r="AQ52" s="5986"/>
      <c r="AR52" s="3443">
        <f>+AR22</f>
        <v>2789</v>
      </c>
      <c r="AS52" s="7394"/>
      <c r="AT52" s="1706">
        <f>+AT22</f>
        <v>27325</v>
      </c>
      <c r="AU52" s="5986"/>
      <c r="AV52" s="3443">
        <f>+AV22</f>
        <v>1510</v>
      </c>
      <c r="AW52" s="7394"/>
      <c r="AX52" s="1706">
        <f>+AX22</f>
        <v>28835</v>
      </c>
      <c r="AY52" s="5986"/>
      <c r="AZ52" s="3443">
        <f>+AZ22</f>
        <v>1839</v>
      </c>
      <c r="BA52" s="5783"/>
      <c r="BB52" s="5783">
        <f>+BB22</f>
        <v>6138</v>
      </c>
      <c r="BC52" s="5783"/>
      <c r="BD52" s="5783">
        <f>+BD22</f>
        <v>15455</v>
      </c>
      <c r="BE52" s="6614"/>
      <c r="BF52" s="7214">
        <f>+BF22</f>
        <v>30674</v>
      </c>
    </row>
    <row r="53" spans="3:58" x14ac:dyDescent="0.2">
      <c r="C53" s="7972" t="s">
        <v>2504</v>
      </c>
      <c r="D53" s="1923" t="s">
        <v>170</v>
      </c>
      <c r="E53" s="5986"/>
      <c r="F53" s="3443">
        <f>SUM(F51:F52)</f>
        <v>9017</v>
      </c>
      <c r="G53" s="5986"/>
      <c r="H53" s="3443">
        <f>SUM(H51:H52)</f>
        <v>9535</v>
      </c>
      <c r="I53" s="7394"/>
      <c r="J53" s="1706">
        <f>SUM(J51:J52)</f>
        <v>18552</v>
      </c>
      <c r="K53" s="5986"/>
      <c r="L53" s="3443">
        <f>SUM(L51:L52)</f>
        <v>10460</v>
      </c>
      <c r="M53" s="5783"/>
      <c r="N53" s="1997">
        <f>SUM(N51:N52)</f>
        <v>29012</v>
      </c>
      <c r="O53" s="5986"/>
      <c r="P53" s="3443">
        <f>SUM(P51:P52)</f>
        <v>13226</v>
      </c>
      <c r="Q53" s="7394"/>
      <c r="R53" s="1706">
        <f>SUM(R51:R52)</f>
        <v>42238</v>
      </c>
      <c r="S53" s="5986"/>
      <c r="T53" s="3443">
        <f>SUM(T51:T52)</f>
        <v>12665</v>
      </c>
      <c r="U53" s="7394"/>
      <c r="V53" s="1706">
        <f>SUM(V51:V52)</f>
        <v>54903</v>
      </c>
      <c r="W53" s="5986"/>
      <c r="X53" s="3443">
        <f>SUM(X51:X52)</f>
        <v>8091</v>
      </c>
      <c r="Y53" s="5783"/>
      <c r="Z53" s="5783">
        <f>SUM(Z51:Z52)</f>
        <v>33982</v>
      </c>
      <c r="AA53" s="6614"/>
      <c r="AB53" s="7214">
        <f>SUM(AB51:AB52)</f>
        <v>62994</v>
      </c>
      <c r="AC53" s="5986"/>
      <c r="AD53" s="3443">
        <f>SUM(AD51:AD52)</f>
        <v>8488</v>
      </c>
      <c r="AE53" s="7394"/>
      <c r="AF53" s="1706">
        <f>SUM(AF51:AF52)</f>
        <v>71482</v>
      </c>
      <c r="AG53" s="5986"/>
      <c r="AH53" s="3443">
        <f>SUM(AH51:AH52)</f>
        <v>11592</v>
      </c>
      <c r="AI53" s="7394"/>
      <c r="AJ53" s="1706">
        <f>SUM(AJ51:AJ52)</f>
        <v>83074</v>
      </c>
      <c r="AK53" s="5986"/>
      <c r="AL53" s="3443">
        <f>SUM(AL51:AL52)</f>
        <v>12900</v>
      </c>
      <c r="AM53" s="5783"/>
      <c r="AN53" s="5783">
        <f>SUM(AN51:AN52)</f>
        <v>32980</v>
      </c>
      <c r="AO53" s="7394"/>
      <c r="AP53" s="1706">
        <f>SUM(AP51:AP52)</f>
        <v>95974</v>
      </c>
      <c r="AQ53" s="5986"/>
      <c r="AR53" s="3443">
        <f>SUM(AR51:AR52)</f>
        <v>13228</v>
      </c>
      <c r="AS53" s="7394"/>
      <c r="AT53" s="1706">
        <f>SUM(AT51:AT52)</f>
        <v>109202</v>
      </c>
      <c r="AU53" s="5986"/>
      <c r="AV53" s="3443">
        <f>SUM(AV51:AV52)</f>
        <v>8141</v>
      </c>
      <c r="AW53" s="7394"/>
      <c r="AX53" s="1706">
        <f>SUM(AX51:AX52)</f>
        <v>117343</v>
      </c>
      <c r="AY53" s="5986"/>
      <c r="AZ53" s="3443">
        <f>SUM(AZ51:AZ52)</f>
        <v>10375</v>
      </c>
      <c r="BA53" s="5783"/>
      <c r="BB53" s="5783">
        <f>SUM(BB51:BB52)</f>
        <v>31744</v>
      </c>
      <c r="BC53" s="5783"/>
      <c r="BD53" s="5783">
        <f>SUM(BD51:BD52)</f>
        <v>64724</v>
      </c>
      <c r="BE53" s="6614"/>
      <c r="BF53" s="7214">
        <f>SUM(BF51:BF52)</f>
        <v>127718</v>
      </c>
    </row>
    <row r="54" spans="3:58" x14ac:dyDescent="0.2">
      <c r="C54" s="7972" t="s">
        <v>698</v>
      </c>
      <c r="D54" s="1923" t="s">
        <v>169</v>
      </c>
      <c r="E54" s="5986"/>
      <c r="F54" s="7970">
        <v>1.25</v>
      </c>
      <c r="G54" s="3377"/>
      <c r="H54" s="7970">
        <v>1.25</v>
      </c>
      <c r="I54" s="3195"/>
      <c r="J54" s="1718">
        <v>1.25</v>
      </c>
      <c r="K54" s="3377"/>
      <c r="L54" s="7970">
        <v>1.25</v>
      </c>
      <c r="M54" s="3192"/>
      <c r="N54" s="7976">
        <v>1.25</v>
      </c>
      <c r="O54" s="3377"/>
      <c r="P54" s="7970">
        <v>1.25</v>
      </c>
      <c r="Q54" s="3195"/>
      <c r="R54" s="1718">
        <v>1.25</v>
      </c>
      <c r="S54" s="3377"/>
      <c r="T54" s="7970">
        <v>1.25</v>
      </c>
      <c r="U54" s="3195"/>
      <c r="V54" s="1718">
        <v>1.25</v>
      </c>
      <c r="W54" s="3377"/>
      <c r="X54" s="7970">
        <v>1.25</v>
      </c>
      <c r="Y54" s="3192"/>
      <c r="Z54" s="3192">
        <v>1.25</v>
      </c>
      <c r="AA54" s="7213"/>
      <c r="AB54" s="7977">
        <v>1.25</v>
      </c>
      <c r="AC54" s="3377"/>
      <c r="AD54" s="7970">
        <v>1.25</v>
      </c>
      <c r="AE54" s="3195"/>
      <c r="AF54" s="1718">
        <v>1.25</v>
      </c>
      <c r="AG54" s="3377"/>
      <c r="AH54" s="7970">
        <v>1.25</v>
      </c>
      <c r="AI54" s="3195"/>
      <c r="AJ54" s="1718">
        <v>1.25</v>
      </c>
      <c r="AK54" s="3377"/>
      <c r="AL54" s="7970">
        <v>1.25</v>
      </c>
      <c r="AM54" s="3192"/>
      <c r="AN54" s="3192">
        <v>1.25</v>
      </c>
      <c r="AO54" s="3195"/>
      <c r="AP54" s="1718">
        <v>1.25</v>
      </c>
      <c r="AQ54" s="3377"/>
      <c r="AR54" s="7970">
        <v>1.25</v>
      </c>
      <c r="AS54" s="3195"/>
      <c r="AT54" s="1718">
        <v>1.25</v>
      </c>
      <c r="AU54" s="3377"/>
      <c r="AV54" s="7970">
        <v>1.25</v>
      </c>
      <c r="AW54" s="3195"/>
      <c r="AX54" s="1718">
        <v>1.25</v>
      </c>
      <c r="AY54" s="3377"/>
      <c r="AZ54" s="7970">
        <v>1.25</v>
      </c>
      <c r="BA54" s="3192"/>
      <c r="BB54" s="3192">
        <v>1.25</v>
      </c>
      <c r="BC54" s="3192"/>
      <c r="BD54" s="3192">
        <v>1.25</v>
      </c>
      <c r="BE54" s="7213"/>
      <c r="BF54" s="7977">
        <v>1.25</v>
      </c>
    </row>
    <row r="55" spans="3:58" x14ac:dyDescent="0.2">
      <c r="C55" s="7972" t="s">
        <v>698</v>
      </c>
      <c r="D55" s="1923" t="s">
        <v>170</v>
      </c>
      <c r="E55" s="5986"/>
      <c r="F55" s="7984">
        <f>+F53*F54/(100-F54)</f>
        <v>114.13924050632912</v>
      </c>
      <c r="G55" s="5986"/>
      <c r="H55" s="7984">
        <f>+H53*H54/(100-H54)</f>
        <v>120.69620253164557</v>
      </c>
      <c r="I55" s="7394"/>
      <c r="J55" s="1713">
        <f>+J53*J54/(100-J54)</f>
        <v>234.83544303797467</v>
      </c>
      <c r="K55" s="5986"/>
      <c r="L55" s="7984">
        <f>+L53*L54/(100-L54)</f>
        <v>132.40506329113924</v>
      </c>
      <c r="M55" s="5783"/>
      <c r="N55" s="1998">
        <f>+N53*N54/(100-N54)</f>
        <v>367.24050632911394</v>
      </c>
      <c r="O55" s="5986"/>
      <c r="P55" s="7984">
        <f>+P53*P54/(100-P54)</f>
        <v>167.41772151898735</v>
      </c>
      <c r="Q55" s="7394"/>
      <c r="R55" s="1713">
        <f>+R53*R54/(100-R54)</f>
        <v>534.65822784810132</v>
      </c>
      <c r="S55" s="5986"/>
      <c r="T55" s="7984">
        <f>+T53*T54/(100-T54)</f>
        <v>160.31645569620252</v>
      </c>
      <c r="U55" s="7394"/>
      <c r="V55" s="1713">
        <f>+V53*V54/(100-V54)</f>
        <v>694.97468354430384</v>
      </c>
      <c r="W55" s="5986"/>
      <c r="X55" s="7984">
        <f>+X53*X54/(100-X54)</f>
        <v>102.41772151898734</v>
      </c>
      <c r="Y55" s="5783"/>
      <c r="Z55" s="5783">
        <f>+Z53*Z54/(100-Z54)</f>
        <v>430.15189873417722</v>
      </c>
      <c r="AA55" s="6614"/>
      <c r="AB55" s="6510">
        <f>+AB53*AB54/(100-AB54)</f>
        <v>797.39240506329111</v>
      </c>
      <c r="AC55" s="5986"/>
      <c r="AD55" s="7984">
        <f>+AD53*AD54/(100-AD54)</f>
        <v>107.44303797468355</v>
      </c>
      <c r="AE55" s="7394"/>
      <c r="AF55" s="1713">
        <f>+AF53*AF54/(100-AF54)</f>
        <v>904.83544303797464</v>
      </c>
      <c r="AG55" s="5986"/>
      <c r="AH55" s="7984">
        <f>+AH53*AH54/(100-AH54)</f>
        <v>146.73417721518987</v>
      </c>
      <c r="AI55" s="7394"/>
      <c r="AJ55" s="1713">
        <f>+AJ53*AJ54/(100-AJ54)</f>
        <v>1051.5696202531647</v>
      </c>
      <c r="AK55" s="5986"/>
      <c r="AL55" s="7984">
        <f>+AL53*AL54/(100-AL54)</f>
        <v>163.29113924050634</v>
      </c>
      <c r="AM55" s="5783"/>
      <c r="AN55" s="5783">
        <f>+AN53*AN54/(100-AN54)</f>
        <v>417.46835443037975</v>
      </c>
      <c r="AO55" s="7394"/>
      <c r="AP55" s="1713">
        <f>+AP53*AP54/(100-AP54)</f>
        <v>1214.8607594936709</v>
      </c>
      <c r="AQ55" s="5986"/>
      <c r="AR55" s="7984">
        <f>+AR53*AR54/(100-AR54)</f>
        <v>167.44303797468353</v>
      </c>
      <c r="AS55" s="7394"/>
      <c r="AT55" s="1713">
        <f>+AT53*AT54/(100-AT54)</f>
        <v>1382.3037974683543</v>
      </c>
      <c r="AU55" s="5986"/>
      <c r="AV55" s="7984">
        <f>+AV53*AV54/(100-AV54)</f>
        <v>103.0506329113924</v>
      </c>
      <c r="AW55" s="7394"/>
      <c r="AX55" s="1713">
        <f>+AX53*AX54/(100-AX54)</f>
        <v>1485.3544303797469</v>
      </c>
      <c r="AY55" s="5986"/>
      <c r="AZ55" s="7984">
        <f>+AZ53*AZ54/(100-AZ54)</f>
        <v>131.32911392405063</v>
      </c>
      <c r="BA55" s="5783"/>
      <c r="BB55" s="5783">
        <f>+BB53*BB54/(100-BB54)</f>
        <v>401.82278481012656</v>
      </c>
      <c r="BC55" s="5783"/>
      <c r="BD55" s="5783">
        <f>+BD53*BD54/(100-BD54)</f>
        <v>819.29113924050637</v>
      </c>
      <c r="BE55" s="6614"/>
      <c r="BF55" s="6510">
        <f>+BF53*BF54/(100-BF54)</f>
        <v>1616.6835443037974</v>
      </c>
    </row>
    <row r="56" spans="3:58" x14ac:dyDescent="0.2">
      <c r="C56" s="7972" t="s">
        <v>97</v>
      </c>
      <c r="D56" s="1923" t="s">
        <v>170</v>
      </c>
      <c r="E56" s="5986"/>
      <c r="F56" s="7984">
        <f>+F53+F55</f>
        <v>9131.1392405063289</v>
      </c>
      <c r="G56" s="5986"/>
      <c r="H56" s="7984">
        <f>+H53+H55</f>
        <v>9655.6962025316461</v>
      </c>
      <c r="I56" s="7394"/>
      <c r="J56" s="1713">
        <f>+J53+J55</f>
        <v>18786.835443037973</v>
      </c>
      <c r="K56" s="5986"/>
      <c r="L56" s="7984">
        <f>+L53+L55</f>
        <v>10592.405063291139</v>
      </c>
      <c r="M56" s="5783"/>
      <c r="N56" s="1998">
        <f>+N53+N55</f>
        <v>29379.240506329115</v>
      </c>
      <c r="O56" s="5986"/>
      <c r="P56" s="7984">
        <f>+P53+P55</f>
        <v>13393.417721518987</v>
      </c>
      <c r="Q56" s="7394"/>
      <c r="R56" s="1713">
        <f>+R53+R55</f>
        <v>42772.6582278481</v>
      </c>
      <c r="S56" s="5986"/>
      <c r="T56" s="7984">
        <f>+T53+T55</f>
        <v>12825.316455696202</v>
      </c>
      <c r="U56" s="7394"/>
      <c r="V56" s="1713">
        <f>+V53+V55</f>
        <v>55597.974683544307</v>
      </c>
      <c r="W56" s="5986"/>
      <c r="X56" s="7984">
        <f>+X53+X55</f>
        <v>8193.4177215189866</v>
      </c>
      <c r="Y56" s="5783"/>
      <c r="Z56" s="5783">
        <f>+Z53+Z55</f>
        <v>34412.151898734177</v>
      </c>
      <c r="AA56" s="6614"/>
      <c r="AB56" s="6510">
        <f>+AB53+AB55</f>
        <v>63791.392405063292</v>
      </c>
      <c r="AC56" s="5986"/>
      <c r="AD56" s="7984">
        <f>+AD53+AD55</f>
        <v>8595.4430379746827</v>
      </c>
      <c r="AE56" s="7394"/>
      <c r="AF56" s="1713">
        <f>+AF53+AF55</f>
        <v>72386.83544303797</v>
      </c>
      <c r="AG56" s="5986"/>
      <c r="AH56" s="7984">
        <f>+AH53+AH55</f>
        <v>11738.73417721519</v>
      </c>
      <c r="AI56" s="7394"/>
      <c r="AJ56" s="1713">
        <f>+AJ53+AJ55</f>
        <v>84125.569620253169</v>
      </c>
      <c r="AK56" s="5986"/>
      <c r="AL56" s="7984">
        <f>+AL53+AL55</f>
        <v>13063.291139240506</v>
      </c>
      <c r="AM56" s="5783"/>
      <c r="AN56" s="5783">
        <f>+AN53+AN55</f>
        <v>33397.468354430377</v>
      </c>
      <c r="AO56" s="7394"/>
      <c r="AP56" s="1713">
        <f>+AP53+AP55</f>
        <v>97188.860759493677</v>
      </c>
      <c r="AQ56" s="5986"/>
      <c r="AR56" s="7984">
        <f>+AR53+AR55</f>
        <v>13395.443037974683</v>
      </c>
      <c r="AS56" s="7394"/>
      <c r="AT56" s="1713">
        <f>+AT53+AT55</f>
        <v>110584.30379746835</v>
      </c>
      <c r="AU56" s="5986"/>
      <c r="AV56" s="7984">
        <f>+AV53+AV55</f>
        <v>8244.0506329113923</v>
      </c>
      <c r="AW56" s="7394"/>
      <c r="AX56" s="1713">
        <f>+AX53+AX55</f>
        <v>118828.35443037975</v>
      </c>
      <c r="AY56" s="5986"/>
      <c r="AZ56" s="7984">
        <f>+AZ53+AZ55</f>
        <v>10506.32911392405</v>
      </c>
      <c r="BA56" s="5783"/>
      <c r="BB56" s="5783">
        <f>+BB53+BB55</f>
        <v>32145.822784810127</v>
      </c>
      <c r="BC56" s="5783"/>
      <c r="BD56" s="5783">
        <f>+BD53+BD55</f>
        <v>65543.291139240508</v>
      </c>
      <c r="BE56" s="6614"/>
      <c r="BF56" s="6510">
        <f>+BF53+BF55</f>
        <v>129334.6835443038</v>
      </c>
    </row>
    <row r="57" spans="3:58" x14ac:dyDescent="0.2">
      <c r="C57" s="1537"/>
      <c r="D57" s="1537"/>
      <c r="E57" s="1537"/>
      <c r="F57" s="1537"/>
      <c r="G57" s="1537"/>
      <c r="H57" s="1537"/>
      <c r="I57" s="1537"/>
      <c r="J57" s="1537"/>
      <c r="K57" s="1537"/>
      <c r="L57" s="1537"/>
      <c r="M57" s="1537"/>
      <c r="N57" s="1537"/>
      <c r="O57" s="1537"/>
      <c r="P57" s="1537"/>
      <c r="Q57" s="1537"/>
      <c r="R57" s="1537"/>
      <c r="S57" s="1537"/>
      <c r="T57" s="1537"/>
      <c r="U57" s="1537"/>
      <c r="V57" s="1537"/>
      <c r="W57" s="1537"/>
      <c r="X57" s="1537"/>
      <c r="Y57" s="1537"/>
      <c r="Z57" s="1537"/>
      <c r="AA57" s="1537"/>
      <c r="AB57" s="1537"/>
      <c r="AC57" s="1537"/>
      <c r="AD57" s="1537"/>
      <c r="AE57" s="1537"/>
      <c r="AF57" s="1537"/>
      <c r="AG57" s="1537"/>
      <c r="AH57" s="1537"/>
      <c r="AI57" s="1537"/>
      <c r="AJ57" s="1537"/>
      <c r="AO57" s="1537"/>
      <c r="AP57" s="1537"/>
      <c r="AQ57" s="8077"/>
      <c r="AR57" s="8077"/>
      <c r="AS57" s="1537"/>
      <c r="AT57" s="1537"/>
      <c r="AU57" s="8143"/>
      <c r="AV57" s="8143"/>
      <c r="AW57" s="1537"/>
      <c r="AX57" s="1537"/>
      <c r="BA57" s="1537"/>
      <c r="BB57" s="1537"/>
      <c r="BC57" s="1537"/>
      <c r="BD57" s="1537"/>
      <c r="BE57" s="1537"/>
      <c r="BF57" s="1537"/>
    </row>
    <row r="58" spans="3:58" x14ac:dyDescent="0.2">
      <c r="C58" s="7971" t="s">
        <v>2510</v>
      </c>
      <c r="D58" s="1923" t="s">
        <v>170</v>
      </c>
      <c r="E58" s="1660"/>
      <c r="F58" s="7984">
        <f>+SMS!E66</f>
        <v>9592.2199999999993</v>
      </c>
      <c r="G58" s="5986"/>
      <c r="H58" s="7984">
        <f>+SMS!G66</f>
        <v>8205.5</v>
      </c>
      <c r="I58" s="7394"/>
      <c r="J58" s="1713">
        <f>+SMS!I66</f>
        <v>17797.72</v>
      </c>
      <c r="K58" s="5986"/>
      <c r="L58" s="7984">
        <f>+SMS!K66</f>
        <v>9220.91</v>
      </c>
      <c r="M58" s="5783"/>
      <c r="N58" s="1998">
        <f>+SMS!M66</f>
        <v>27018.63</v>
      </c>
      <c r="O58" s="5986"/>
      <c r="P58" s="7984">
        <f>+SMS!O66</f>
        <v>10559.1</v>
      </c>
      <c r="Q58" s="7394"/>
      <c r="R58" s="1713">
        <f>+SMS!Q66</f>
        <v>37577.730000000003</v>
      </c>
      <c r="S58" s="5986"/>
      <c r="T58" s="7984">
        <f>+SMS!S66</f>
        <v>11795</v>
      </c>
      <c r="U58" s="7394"/>
      <c r="V58" s="1713">
        <f>+SMS!U66</f>
        <v>49372.73</v>
      </c>
      <c r="W58" s="5986"/>
      <c r="X58" s="7984">
        <f>+SMS!W66</f>
        <v>5742</v>
      </c>
      <c r="Y58" s="5783"/>
      <c r="Z58" s="5783">
        <f>+SMS!Y66</f>
        <v>28096.1</v>
      </c>
      <c r="AA58" s="6614"/>
      <c r="AB58" s="6510">
        <f>+SMS!AA66</f>
        <v>55114.73</v>
      </c>
      <c r="AC58" s="5986"/>
      <c r="AD58" s="7984">
        <f>+SMS!AC66</f>
        <v>8854</v>
      </c>
      <c r="AE58" s="7394"/>
      <c r="AF58" s="1713">
        <f>+SMS!AE66</f>
        <v>63968.73</v>
      </c>
      <c r="AG58" s="5986"/>
      <c r="AH58" s="7984">
        <f>+SMS!AG66</f>
        <v>11856</v>
      </c>
      <c r="AI58" s="7394"/>
      <c r="AJ58" s="1713">
        <f>+SMS!AI66</f>
        <v>75824.73000000001</v>
      </c>
      <c r="AK58" s="5986"/>
      <c r="AL58" s="7984">
        <f>+SMS!AK66</f>
        <v>12134</v>
      </c>
      <c r="AM58" s="5783"/>
      <c r="AN58" s="5783">
        <f>+SMS!AM66</f>
        <v>32844</v>
      </c>
      <c r="AO58" s="7394"/>
      <c r="AP58" s="1713">
        <f>+SMS!AO66</f>
        <v>87958.73000000001</v>
      </c>
      <c r="AQ58" s="5986"/>
      <c r="AR58" s="7984">
        <f>+SMS!AQ66</f>
        <v>15000</v>
      </c>
      <c r="AS58" s="7394"/>
      <c r="AT58" s="1713">
        <f>+SMS!AS66</f>
        <v>102958.73000000001</v>
      </c>
      <c r="AU58" s="5986"/>
      <c r="AV58" s="7984">
        <f>+SMS!AU66</f>
        <v>12199</v>
      </c>
      <c r="AW58" s="7394"/>
      <c r="AX58" s="1713">
        <f>+SMS!AW66</f>
        <v>115157.73000000001</v>
      </c>
      <c r="AY58" s="5986"/>
      <c r="AZ58" s="7984">
        <f>+SMS!AY66</f>
        <v>12615</v>
      </c>
      <c r="BA58" s="5783"/>
      <c r="BB58" s="5783">
        <f>+SMS!BA66</f>
        <v>39814</v>
      </c>
      <c r="BC58" s="5783"/>
      <c r="BD58" s="5783">
        <f>+SMS!BC66</f>
        <v>72658</v>
      </c>
      <c r="BE58" s="6614"/>
      <c r="BF58" s="6510">
        <f>+SMS!BE66</f>
        <v>127772.73000000001</v>
      </c>
    </row>
    <row r="59" spans="3:58" x14ac:dyDescent="0.2">
      <c r="C59" s="7971" t="s">
        <v>2509</v>
      </c>
      <c r="D59" s="1923" t="s">
        <v>169</v>
      </c>
      <c r="E59" s="1660"/>
      <c r="F59" s="7984">
        <f>+F14</f>
        <v>22.248003821742987</v>
      </c>
      <c r="G59" s="5986"/>
      <c r="H59" s="7984">
        <f t="shared" ref="H59:AP59" si="67">+H14</f>
        <v>22.619987086591578</v>
      </c>
      <c r="I59" s="7394"/>
      <c r="J59" s="1713">
        <f t="shared" si="67"/>
        <v>22.42935086737549</v>
      </c>
      <c r="K59" s="5986"/>
      <c r="L59" s="7984">
        <f t="shared" si="67"/>
        <v>25.778073482664297</v>
      </c>
      <c r="M59" s="5783"/>
      <c r="N59" s="1998">
        <f t="shared" si="67"/>
        <v>23.504831548707234</v>
      </c>
      <c r="O59" s="5986"/>
      <c r="P59" s="7984">
        <f t="shared" si="67"/>
        <v>25.981321536408959</v>
      </c>
      <c r="Q59" s="7394"/>
      <c r="R59" s="1713">
        <f t="shared" si="67"/>
        <v>24.130589070262598</v>
      </c>
      <c r="S59" s="5986"/>
      <c r="T59" s="7984">
        <f t="shared" si="67"/>
        <v>20.48484096968194</v>
      </c>
      <c r="U59" s="7394"/>
      <c r="V59" s="1713">
        <f t="shared" si="67"/>
        <v>23.319400184855631</v>
      </c>
      <c r="W59" s="5986"/>
      <c r="X59" s="7984">
        <f t="shared" si="67"/>
        <v>30.58835934204977</v>
      </c>
      <c r="Y59" s="5783"/>
      <c r="Z59" s="5783">
        <f t="shared" si="67"/>
        <v>24.853214231946605</v>
      </c>
      <c r="AA59" s="6614"/>
      <c r="AB59" s="6510">
        <f t="shared" si="67"/>
        <v>24.160394276164102</v>
      </c>
      <c r="AC59" s="5986"/>
      <c r="AD59" s="7984">
        <f t="shared" si="67"/>
        <v>27.32428252277024</v>
      </c>
      <c r="AE59" s="7394"/>
      <c r="AF59" s="1713">
        <f t="shared" si="67"/>
        <v>24.553738342716134</v>
      </c>
      <c r="AG59" s="5986"/>
      <c r="AH59" s="7984">
        <f t="shared" si="67"/>
        <v>29.868907076120809</v>
      </c>
      <c r="AI59" s="7394"/>
      <c r="AJ59" s="1713">
        <f t="shared" si="67"/>
        <v>25.236924910164031</v>
      </c>
      <c r="AK59" s="5986"/>
      <c r="AL59" s="7984">
        <f t="shared" si="67"/>
        <v>23.246504958776438</v>
      </c>
      <c r="AM59" s="5783"/>
      <c r="AN59" s="5783">
        <f t="shared" si="67"/>
        <v>26.539127136524193</v>
      </c>
      <c r="AO59" s="7394"/>
      <c r="AP59" s="1713">
        <f t="shared" si="67"/>
        <v>24.968587905538193</v>
      </c>
      <c r="AQ59" s="5986"/>
      <c r="AR59" s="7984">
        <f t="shared" ref="AR59" si="68">+AR14</f>
        <v>30.228248587570622</v>
      </c>
      <c r="AS59" s="7394"/>
      <c r="AT59" s="1713">
        <f t="shared" ref="AT59" si="69">+AT14</f>
        <v>25.764111538750761</v>
      </c>
      <c r="AU59" s="5986"/>
      <c r="AV59" s="7984">
        <f t="shared" ref="AV59" si="70">+AV14</f>
        <v>30.99593495934959</v>
      </c>
      <c r="AW59" s="7394"/>
      <c r="AX59" s="1713">
        <f t="shared" ref="AX59" si="71">+AX14</f>
        <v>26.384512023909227</v>
      </c>
      <c r="AY59" s="5986"/>
      <c r="AZ59" s="7984">
        <f t="shared" ref="AZ59" si="72">+AZ14</f>
        <v>26.846393897364774</v>
      </c>
      <c r="BA59" s="5783"/>
      <c r="BB59" s="5783">
        <f t="shared" ref="BB59" si="73">+BB14</f>
        <v>29.258442899640858</v>
      </c>
      <c r="BC59" s="5783"/>
      <c r="BD59" s="5783">
        <f t="shared" ref="BD59" si="74">+BD14</f>
        <v>28.186997945077525</v>
      </c>
      <c r="BE59" s="6614"/>
      <c r="BF59" s="6510">
        <f t="shared" ref="BF59" si="75">+BF14</f>
        <v>26.440885982870714</v>
      </c>
    </row>
    <row r="60" spans="3:58" x14ac:dyDescent="0.2">
      <c r="C60" s="7971" t="s">
        <v>2511</v>
      </c>
      <c r="D60" s="1923" t="s">
        <v>170</v>
      </c>
      <c r="E60" s="1660"/>
      <c r="F60" s="7984">
        <f>+F59*F58/(100-F59)</f>
        <v>2744.723707539717</v>
      </c>
      <c r="G60" s="5986"/>
      <c r="H60" s="7984">
        <f t="shared" ref="H60:AP60" si="76">+H59*H58/(100-H59)</f>
        <v>2398.6595123307993</v>
      </c>
      <c r="I60" s="7394"/>
      <c r="J60" s="1713">
        <f t="shared" si="76"/>
        <v>5146.1643157942208</v>
      </c>
      <c r="K60" s="5986"/>
      <c r="L60" s="7984">
        <f t="shared" si="76"/>
        <v>3202.5212320717123</v>
      </c>
      <c r="M60" s="5783"/>
      <c r="N60" s="1998">
        <f t="shared" si="76"/>
        <v>8302.0713554114027</v>
      </c>
      <c r="O60" s="5986"/>
      <c r="P60" s="7984">
        <f t="shared" si="76"/>
        <v>3706.3532871644052</v>
      </c>
      <c r="Q60" s="7394"/>
      <c r="R60" s="1713">
        <f t="shared" si="76"/>
        <v>11951.75696913003</v>
      </c>
      <c r="S60" s="5986"/>
      <c r="T60" s="7984">
        <f t="shared" si="76"/>
        <v>3038.6495126705654</v>
      </c>
      <c r="U60" s="7394"/>
      <c r="V60" s="1713">
        <f t="shared" si="76"/>
        <v>15014.781468381756</v>
      </c>
      <c r="W60" s="5986"/>
      <c r="X60" s="7984">
        <f t="shared" si="76"/>
        <v>2530.3876651982382</v>
      </c>
      <c r="Y60" s="5783"/>
      <c r="Z60" s="5783">
        <f t="shared" si="76"/>
        <v>9292.1924104310656</v>
      </c>
      <c r="AA60" s="6614"/>
      <c r="AB60" s="6510">
        <f t="shared" si="76"/>
        <v>17558.023865171792</v>
      </c>
      <c r="AC60" s="5986"/>
      <c r="AD60" s="7984">
        <f t="shared" si="76"/>
        <v>3328.8862615275484</v>
      </c>
      <c r="AE60" s="7394"/>
      <c r="AF60" s="1713">
        <f t="shared" si="76"/>
        <v>20818.41331874947</v>
      </c>
      <c r="AG60" s="5986"/>
      <c r="AH60" s="7984">
        <f t="shared" si="76"/>
        <v>5049.4830114633896</v>
      </c>
      <c r="AI60" s="7394"/>
      <c r="AJ60" s="1713">
        <f t="shared" si="76"/>
        <v>25595.295739829911</v>
      </c>
      <c r="AK60" s="5986"/>
      <c r="AL60" s="7984">
        <f t="shared" si="76"/>
        <v>3675.05207441426</v>
      </c>
      <c r="AM60" s="5783"/>
      <c r="AN60" s="5783">
        <f t="shared" si="76"/>
        <v>11865.515038079258</v>
      </c>
      <c r="AO60" s="7394"/>
      <c r="AP60" s="1713">
        <f t="shared" si="76"/>
        <v>29270.477800678433</v>
      </c>
      <c r="AQ60" s="5986"/>
      <c r="AR60" s="7984">
        <f t="shared" ref="AR60" si="77">+AR59*AR58/(100-AR59)</f>
        <v>6498.6720217658867</v>
      </c>
      <c r="AS60" s="7394"/>
      <c r="AT60" s="1713">
        <f t="shared" ref="AT60" si="78">+AT59*AT58/(100-AT59)</f>
        <v>35732.58512279798</v>
      </c>
      <c r="AU60" s="5986"/>
      <c r="AV60" s="7984">
        <f t="shared" ref="AV60" si="79">+AV59*AV58/(100-AV59)</f>
        <v>5479.6686303387332</v>
      </c>
      <c r="AW60" s="7394"/>
      <c r="AX60" s="1713">
        <f t="shared" ref="AX60" si="80">+AX59*AX58/(100-AX59)</f>
        <v>41273.658510800255</v>
      </c>
      <c r="AY60" s="5986"/>
      <c r="AZ60" s="7984">
        <f t="shared" ref="AZ60" si="81">+AZ59*AZ58/(100-AZ59)</f>
        <v>4629.5360824742274</v>
      </c>
      <c r="BA60" s="5783"/>
      <c r="BB60" s="5783">
        <f t="shared" ref="BB60" si="82">+BB59*BB58/(100-BB59)</f>
        <v>16466.921189672074</v>
      </c>
      <c r="BC60" s="5783"/>
      <c r="BD60" s="5783">
        <f t="shared" ref="BD60" si="83">+BD59*BD58/(100-BD59)</f>
        <v>28518.664282090969</v>
      </c>
      <c r="BE60" s="6614"/>
      <c r="BF60" s="6510">
        <f t="shared" ref="BF60" si="84">+BF59*BF58/(100-BF59)</f>
        <v>45928.016273597452</v>
      </c>
    </row>
    <row r="61" spans="3:58" x14ac:dyDescent="0.2">
      <c r="C61" s="7971" t="s">
        <v>1080</v>
      </c>
      <c r="D61" s="1923" t="s">
        <v>170</v>
      </c>
      <c r="E61" s="1660"/>
      <c r="F61" s="7984">
        <f>+F58+F60</f>
        <v>12336.943707539716</v>
      </c>
      <c r="G61" s="5986"/>
      <c r="H61" s="7984">
        <f t="shared" ref="H61:AP61" si="85">+H58+H60</f>
        <v>10604.1595123308</v>
      </c>
      <c r="I61" s="7394"/>
      <c r="J61" s="1713">
        <f t="shared" si="85"/>
        <v>22943.884315794221</v>
      </c>
      <c r="K61" s="5986"/>
      <c r="L61" s="7984">
        <f t="shared" si="85"/>
        <v>12423.431232071713</v>
      </c>
      <c r="M61" s="5783"/>
      <c r="N61" s="1998">
        <f t="shared" si="85"/>
        <v>35320.701355411402</v>
      </c>
      <c r="O61" s="5986"/>
      <c r="P61" s="7984">
        <f t="shared" si="85"/>
        <v>14265.453287164406</v>
      </c>
      <c r="Q61" s="7394"/>
      <c r="R61" s="1713">
        <f t="shared" si="85"/>
        <v>49529.486969130034</v>
      </c>
      <c r="S61" s="5986"/>
      <c r="T61" s="7984">
        <f t="shared" si="85"/>
        <v>14833.649512670565</v>
      </c>
      <c r="U61" s="7394"/>
      <c r="V61" s="1713">
        <f t="shared" si="85"/>
        <v>64387.511468381759</v>
      </c>
      <c r="W61" s="5986"/>
      <c r="X61" s="7984">
        <f t="shared" si="85"/>
        <v>8272.3876651982391</v>
      </c>
      <c r="Y61" s="5783"/>
      <c r="Z61" s="5783">
        <f t="shared" si="85"/>
        <v>37388.292410431066</v>
      </c>
      <c r="AA61" s="6614"/>
      <c r="AB61" s="6510">
        <f t="shared" si="85"/>
        <v>72672.753865171791</v>
      </c>
      <c r="AC61" s="5986"/>
      <c r="AD61" s="7984">
        <f t="shared" si="85"/>
        <v>12182.886261527548</v>
      </c>
      <c r="AE61" s="7394"/>
      <c r="AF61" s="1713">
        <f t="shared" si="85"/>
        <v>84787.143318749469</v>
      </c>
      <c r="AG61" s="5986"/>
      <c r="AH61" s="7984">
        <f t="shared" si="85"/>
        <v>16905.483011463388</v>
      </c>
      <c r="AI61" s="7394"/>
      <c r="AJ61" s="1713">
        <f t="shared" si="85"/>
        <v>101420.02573982993</v>
      </c>
      <c r="AK61" s="5986"/>
      <c r="AL61" s="7984">
        <f t="shared" si="85"/>
        <v>15809.05207441426</v>
      </c>
      <c r="AM61" s="5783"/>
      <c r="AN61" s="5783">
        <f t="shared" si="85"/>
        <v>44709.515038079262</v>
      </c>
      <c r="AO61" s="7394"/>
      <c r="AP61" s="1713">
        <f t="shared" si="85"/>
        <v>117229.20780067844</v>
      </c>
      <c r="AQ61" s="5986"/>
      <c r="AR61" s="7984">
        <f t="shared" ref="AR61" si="86">+AR58+AR60</f>
        <v>21498.672021765888</v>
      </c>
      <c r="AS61" s="7394"/>
      <c r="AT61" s="1713">
        <f t="shared" ref="AT61" si="87">+AT58+AT60</f>
        <v>138691.315122798</v>
      </c>
      <c r="AU61" s="5986"/>
      <c r="AV61" s="7984">
        <f t="shared" ref="AV61" si="88">+AV58+AV60</f>
        <v>17678.668630338732</v>
      </c>
      <c r="AW61" s="7394"/>
      <c r="AX61" s="1713">
        <f t="shared" ref="AX61" si="89">+AX58+AX60</f>
        <v>156431.38851080026</v>
      </c>
      <c r="AY61" s="5986"/>
      <c r="AZ61" s="7984">
        <f t="shared" ref="AZ61" si="90">+AZ58+AZ60</f>
        <v>17244.536082474227</v>
      </c>
      <c r="BA61" s="5783"/>
      <c r="BB61" s="5783">
        <f t="shared" ref="BB61" si="91">+BB58+BB60</f>
        <v>56280.921189672074</v>
      </c>
      <c r="BC61" s="5783"/>
      <c r="BD61" s="5783">
        <f t="shared" ref="BD61" si="92">+BD58+BD60</f>
        <v>101176.66428209096</v>
      </c>
      <c r="BE61" s="6614"/>
      <c r="BF61" s="6510">
        <f t="shared" ref="BF61" si="93">+BF58+BF60</f>
        <v>173700.74627359747</v>
      </c>
    </row>
    <row r="62" spans="3:58" x14ac:dyDescent="0.2">
      <c r="C62" s="1537"/>
      <c r="D62" s="1537"/>
      <c r="E62" s="1537"/>
      <c r="F62" s="1537"/>
      <c r="G62" s="1537"/>
      <c r="H62" s="1537"/>
      <c r="I62" s="1537"/>
      <c r="J62" s="1537"/>
      <c r="K62" s="1537"/>
      <c r="L62" s="1537"/>
      <c r="M62" s="1537"/>
      <c r="N62" s="1537"/>
      <c r="O62" s="1537"/>
      <c r="P62" s="1537"/>
      <c r="Q62" s="1537"/>
      <c r="R62" s="1537"/>
      <c r="S62" s="1537"/>
      <c r="T62" s="1537"/>
      <c r="U62" s="1537"/>
      <c r="V62" s="1537"/>
      <c r="W62" s="1537"/>
      <c r="X62" s="1537"/>
      <c r="Y62" s="1537"/>
      <c r="Z62" s="1537"/>
      <c r="AA62" s="1537"/>
      <c r="AB62" s="1537"/>
      <c r="AC62" s="1537"/>
      <c r="AD62" s="1537"/>
      <c r="AE62" s="1537"/>
      <c r="AF62" s="1537"/>
      <c r="AG62" s="1537"/>
      <c r="AH62" s="1537"/>
      <c r="AI62" s="1537"/>
      <c r="AJ62" s="1537"/>
      <c r="AO62" s="1537"/>
      <c r="AP62" s="1537"/>
      <c r="AQ62" s="8077"/>
      <c r="AR62" s="8077"/>
      <c r="AS62" s="1537"/>
      <c r="AT62" s="1537"/>
      <c r="AU62" s="8143"/>
      <c r="AV62" s="8143"/>
      <c r="AW62" s="1537"/>
      <c r="AX62" s="1537"/>
      <c r="BA62" s="1537"/>
      <c r="BB62" s="1537"/>
      <c r="BC62" s="1537"/>
      <c r="BD62" s="1537"/>
      <c r="BE62" s="1537"/>
      <c r="BF62" s="1537"/>
    </row>
    <row r="63" spans="3:58" x14ac:dyDescent="0.2">
      <c r="C63" s="7971" t="s">
        <v>2512</v>
      </c>
      <c r="D63" s="1923" t="s">
        <v>170</v>
      </c>
      <c r="E63" s="1660"/>
      <c r="F63" s="7984">
        <f>+SMS!E61</f>
        <v>2655</v>
      </c>
      <c r="G63" s="5986"/>
      <c r="H63" s="7984">
        <f>+SMS!G61</f>
        <v>3943.5</v>
      </c>
      <c r="I63" s="7394"/>
      <c r="J63" s="1713">
        <f>+SMS!I61</f>
        <v>6598.5</v>
      </c>
      <c r="K63" s="5986"/>
      <c r="L63" s="7984">
        <f>+SMS!K61</f>
        <v>3915</v>
      </c>
      <c r="M63" s="5783"/>
      <c r="N63" s="1998">
        <f>+SMS!M61</f>
        <v>10513.5</v>
      </c>
      <c r="O63" s="5986"/>
      <c r="P63" s="7984">
        <f>+SMS!O61</f>
        <v>2958</v>
      </c>
      <c r="Q63" s="7394"/>
      <c r="R63" s="1713">
        <f>+SMS!Q61</f>
        <v>13471.5</v>
      </c>
      <c r="S63" s="5986"/>
      <c r="T63" s="7984">
        <f>+SMS!S61</f>
        <v>4845</v>
      </c>
      <c r="U63" s="7394"/>
      <c r="V63" s="1713">
        <f>+SMS!U61</f>
        <v>18316.5</v>
      </c>
      <c r="W63" s="5986"/>
      <c r="X63" s="7984">
        <f>+SMS!W61</f>
        <v>2249</v>
      </c>
      <c r="Y63" s="5783"/>
      <c r="Z63" s="5783">
        <f>+SMS!Y61</f>
        <v>10052</v>
      </c>
      <c r="AA63" s="6614"/>
      <c r="AB63" s="6510">
        <f>+SMS!AA61</f>
        <v>20565.5</v>
      </c>
      <c r="AC63" s="5986"/>
      <c r="AD63" s="7984">
        <f>+SMS!AC61</f>
        <v>2297</v>
      </c>
      <c r="AE63" s="7394"/>
      <c r="AF63" s="1713">
        <f>+SMS!AE61</f>
        <v>22862.5</v>
      </c>
      <c r="AG63" s="5986"/>
      <c r="AH63" s="7984">
        <f>+SMS!AG61</f>
        <v>4133</v>
      </c>
      <c r="AI63" s="7394"/>
      <c r="AJ63" s="1713">
        <f>+SMS!AI61</f>
        <v>26995.5</v>
      </c>
      <c r="AK63" s="5986"/>
      <c r="AL63" s="7984">
        <f>+SMS!AK61</f>
        <v>4100</v>
      </c>
      <c r="AM63" s="5783"/>
      <c r="AN63" s="5783">
        <f>+SMS!AM61</f>
        <v>10530</v>
      </c>
      <c r="AO63" s="7394"/>
      <c r="AP63" s="1713">
        <f>+SMS!AO61</f>
        <v>31095.5</v>
      </c>
      <c r="AQ63" s="5986"/>
      <c r="AR63" s="7984">
        <f>+SMS!AQ61</f>
        <v>5449</v>
      </c>
      <c r="AS63" s="7394"/>
      <c r="AT63" s="1713">
        <f>+SMS!AS61</f>
        <v>36544.5</v>
      </c>
      <c r="AU63" s="5986"/>
      <c r="AV63" s="7984">
        <f>+SMS!AU61</f>
        <v>3211</v>
      </c>
      <c r="AW63" s="7394"/>
      <c r="AX63" s="1713">
        <f>+SMS!AW61</f>
        <v>39755.5</v>
      </c>
      <c r="AY63" s="5986"/>
      <c r="AZ63" s="7984">
        <f>+SMS!AY61</f>
        <v>3571</v>
      </c>
      <c r="BA63" s="5783"/>
      <c r="BB63" s="5783">
        <f>+SMS!BA61</f>
        <v>12231</v>
      </c>
      <c r="BC63" s="5783"/>
      <c r="BD63" s="5783">
        <f>+SMS!BC61</f>
        <v>22761</v>
      </c>
      <c r="BE63" s="6614"/>
      <c r="BF63" s="6510">
        <f>+SMS!BE61</f>
        <v>43326.5</v>
      </c>
    </row>
    <row r="64" spans="3:58" x14ac:dyDescent="0.2">
      <c r="C64" s="7971" t="s">
        <v>2513</v>
      </c>
      <c r="D64" s="1923" t="s">
        <v>169</v>
      </c>
      <c r="E64" s="1660"/>
      <c r="F64" s="7984">
        <f>+F28</f>
        <v>14.594594594594595</v>
      </c>
      <c r="G64" s="5986"/>
      <c r="H64" s="7984">
        <f t="shared" ref="H64:AP64" si="94">+H28</f>
        <v>12.771392081736909</v>
      </c>
      <c r="I64" s="7394"/>
      <c r="J64" s="1713">
        <f t="shared" si="94"/>
        <v>13.574660633484163</v>
      </c>
      <c r="K64" s="5986"/>
      <c r="L64" s="7984">
        <f t="shared" si="94"/>
        <v>10.810220572177332</v>
      </c>
      <c r="M64" s="5783"/>
      <c r="N64" s="1998">
        <f t="shared" si="94"/>
        <v>12.599213993989366</v>
      </c>
      <c r="O64" s="5986"/>
      <c r="P64" s="7984">
        <f t="shared" si="94"/>
        <v>12.315573770491802</v>
      </c>
      <c r="Q64" s="7394"/>
      <c r="R64" s="1713">
        <f t="shared" si="94"/>
        <v>12.521700173601388</v>
      </c>
      <c r="S64" s="5986"/>
      <c r="T64" s="7984">
        <f t="shared" si="94"/>
        <v>10.898592565860699</v>
      </c>
      <c r="U64" s="7394"/>
      <c r="V64" s="1713">
        <f t="shared" si="94"/>
        <v>12.137270823539467</v>
      </c>
      <c r="W64" s="5986"/>
      <c r="X64" s="7984">
        <f t="shared" si="94"/>
        <v>11.040532365396249</v>
      </c>
      <c r="Y64" s="5783"/>
      <c r="Z64" s="5783">
        <f t="shared" si="94"/>
        <v>11.436480186480187</v>
      </c>
      <c r="AA64" s="6614"/>
      <c r="AB64" s="6510">
        <f t="shared" si="94"/>
        <v>12.00149784684516</v>
      </c>
      <c r="AC64" s="5986"/>
      <c r="AD64" s="7984">
        <f t="shared" si="94"/>
        <v>10.578842315369261</v>
      </c>
      <c r="AE64" s="7394"/>
      <c r="AF64" s="1713">
        <f t="shared" si="94"/>
        <v>11.857561172629666</v>
      </c>
      <c r="AG64" s="5986"/>
      <c r="AH64" s="7984">
        <f t="shared" si="94"/>
        <v>7.02247191011236</v>
      </c>
      <c r="AI64" s="7394"/>
      <c r="AJ64" s="1713">
        <f t="shared" si="94"/>
        <v>11.249742518317984</v>
      </c>
      <c r="AK64" s="5986"/>
      <c r="AL64" s="7984">
        <f t="shared" si="94"/>
        <v>10.032979194333775</v>
      </c>
      <c r="AM64" s="5783"/>
      <c r="AN64" s="5783">
        <f t="shared" si="94"/>
        <v>9.0818073923363851</v>
      </c>
      <c r="AO64" s="7394"/>
      <c r="AP64" s="1713">
        <f t="shared" si="94"/>
        <v>11.106958260824394</v>
      </c>
      <c r="AQ64" s="5986"/>
      <c r="AR64" s="7984">
        <f t="shared" ref="AR64" si="95">+AR28</f>
        <v>10.824742268041238</v>
      </c>
      <c r="AS64" s="7394"/>
      <c r="AT64" s="1713">
        <f t="shared" ref="AT64" si="96">+AT28</f>
        <v>11.06989914487489</v>
      </c>
      <c r="AU64" s="5986"/>
      <c r="AV64" s="7984">
        <f t="shared" ref="AV64" si="97">+AV28</f>
        <v>12.618296529968454</v>
      </c>
      <c r="AW64" s="7394"/>
      <c r="AX64" s="1713">
        <f t="shared" ref="AX64" si="98">+AX28</f>
        <v>11.20162255893646</v>
      </c>
      <c r="AY64" s="5986"/>
      <c r="AZ64" s="7984">
        <f t="shared" ref="AZ64" si="99">+AZ28</f>
        <v>12.455885405854266</v>
      </c>
      <c r="BA64" s="5783"/>
      <c r="BB64" s="5783">
        <f t="shared" ref="BB64" si="100">+BB28</f>
        <v>11.857975335411302</v>
      </c>
      <c r="BC64" s="5783"/>
      <c r="BD64" s="5783">
        <f t="shared" ref="BD64" si="101">+BD28</f>
        <v>10.624726971454395</v>
      </c>
      <c r="BE64" s="6614"/>
      <c r="BF64" s="6510">
        <f t="shared" ref="BF64" si="102">+BF28</f>
        <v>11.315064120618111</v>
      </c>
    </row>
    <row r="65" spans="3:58" x14ac:dyDescent="0.2">
      <c r="C65" s="7971" t="s">
        <v>2511</v>
      </c>
      <c r="D65" s="1923" t="s">
        <v>170</v>
      </c>
      <c r="E65" s="1660"/>
      <c r="F65" s="7984">
        <f>+F64*F63/(100-F64)</f>
        <v>453.70253164556959</v>
      </c>
      <c r="G65" s="5986"/>
      <c r="H65" s="7984">
        <f t="shared" ref="H65" si="103">+H64*H63/(100-H64)</f>
        <v>577.37920937042452</v>
      </c>
      <c r="I65" s="7394"/>
      <c r="J65" s="1713">
        <f t="shared" ref="J65" si="104">+J64*J63/(100-J64)</f>
        <v>1036.413612565445</v>
      </c>
      <c r="K65" s="5986"/>
      <c r="L65" s="7984">
        <f t="shared" ref="L65" si="105">+L64*L63/(100-L64)</f>
        <v>474.51640548481885</v>
      </c>
      <c r="M65" s="5783"/>
      <c r="N65" s="1998">
        <f t="shared" ref="N65" si="106">+N64*N63/(100-N64)</f>
        <v>1515.5680215129607</v>
      </c>
      <c r="O65" s="5986"/>
      <c r="P65" s="7984">
        <f t="shared" ref="P65" si="107">+P64*P63/(100-P64)</f>
        <v>415.46108903949516</v>
      </c>
      <c r="Q65" s="7394"/>
      <c r="R65" s="1713">
        <f t="shared" ref="R65" si="108">+R64*R63/(100-R64)</f>
        <v>1928.3191857115421</v>
      </c>
      <c r="S65" s="5986"/>
      <c r="T65" s="7984">
        <f t="shared" ref="T65" si="109">+T64*T63/(100-T64)</f>
        <v>592.62454434993924</v>
      </c>
      <c r="U65" s="7394"/>
      <c r="V65" s="1713">
        <f t="shared" ref="V65" si="110">+V64*V63/(100-V64)</f>
        <v>2530.223259886181</v>
      </c>
      <c r="W65" s="5986"/>
      <c r="X65" s="7984">
        <f t="shared" ref="X65" si="111">+X64*X63/(100-X64)</f>
        <v>279.11764705882354</v>
      </c>
      <c r="Y65" s="5783"/>
      <c r="Z65" s="5783">
        <f t="shared" ref="Z65" si="112">+Z64*Z63/(100-Z64)</f>
        <v>1298.0457312057904</v>
      </c>
      <c r="AA65" s="6614"/>
      <c r="AB65" s="6510">
        <f t="shared" ref="AB65" si="113">+AB64*AB63/(100-AB64)</f>
        <v>2804.7841489361699</v>
      </c>
      <c r="AC65" s="5986"/>
      <c r="AD65" s="7984">
        <f t="shared" ref="AD65" si="114">+AD64*AD63/(100-AD64)</f>
        <v>271.74330357142856</v>
      </c>
      <c r="AE65" s="7394"/>
      <c r="AF65" s="1713">
        <f t="shared" ref="AF65" si="115">+AF64*AF63/(100-AF64)</f>
        <v>3075.6295822514126</v>
      </c>
      <c r="AG65" s="5986"/>
      <c r="AH65" s="7984">
        <f t="shared" ref="AH65" si="116">+AH64*AH63/(100-AH64)</f>
        <v>312.16012084592148</v>
      </c>
      <c r="AI65" s="7394"/>
      <c r="AJ65" s="1713">
        <f t="shared" ref="AJ65" si="117">+AJ64*AJ63/(100-AJ64)</f>
        <v>3421.8765417771892</v>
      </c>
      <c r="AK65" s="5986"/>
      <c r="AL65" s="7984">
        <f t="shared" ref="AL65" si="118">+AL64*AL63/(100-AL64)</f>
        <v>457.22548472092711</v>
      </c>
      <c r="AM65" s="5783"/>
      <c r="AN65" s="5783">
        <f t="shared" ref="AN65" si="119">+AN64*AN63/(100-AN64)</f>
        <v>1051.8404413732401</v>
      </c>
      <c r="AO65" s="7394"/>
      <c r="AP65" s="1713">
        <f t="shared" ref="AP65" si="120">+AP64*AP63/(100-AP64)</f>
        <v>3885.3032120652006</v>
      </c>
      <c r="AQ65" s="5986"/>
      <c r="AR65" s="7984">
        <f t="shared" ref="AR65" si="121">+AR64*AR63/(100-AR64)</f>
        <v>661.4393063583816</v>
      </c>
      <c r="AS65" s="7394"/>
      <c r="AT65" s="1713">
        <f t="shared" ref="AT65" si="122">+AT64*AT63/(100-AT64)</f>
        <v>4549.010126041775</v>
      </c>
      <c r="AU65" s="5986"/>
      <c r="AV65" s="7984">
        <f t="shared" ref="AV65" si="123">+AV64*AV63/(100-AV64)</f>
        <v>463.68231046931407</v>
      </c>
      <c r="AW65" s="7394"/>
      <c r="AX65" s="1713">
        <f t="shared" ref="AX65" si="124">+AX64*AX63/(100-AX64)</f>
        <v>5015.0252569351996</v>
      </c>
      <c r="AY65" s="5986"/>
      <c r="AZ65" s="7984">
        <f t="shared" ref="AZ65" si="125">+AZ64*AZ63/(100-AZ64)</f>
        <v>508.08631728717097</v>
      </c>
      <c r="BA65" s="5783"/>
      <c r="BB65" s="5783">
        <f t="shared" ref="BB65" si="126">+BB64*BB63/(100-BB64)</f>
        <v>1645.4681734317342</v>
      </c>
      <c r="BC65" s="5783"/>
      <c r="BD65" s="5783">
        <f t="shared" ref="BD65" si="127">+BD64*BD63/(100-BD64)</f>
        <v>2705.775349296393</v>
      </c>
      <c r="BE65" s="6614"/>
      <c r="BF65" s="6510">
        <f t="shared" ref="BF65" si="128">+BF64*BF63/(100-BF64)</f>
        <v>5527.9075387586263</v>
      </c>
    </row>
    <row r="66" spans="3:58" x14ac:dyDescent="0.2">
      <c r="C66" s="7971" t="s">
        <v>1080</v>
      </c>
      <c r="D66" s="1923" t="s">
        <v>170</v>
      </c>
      <c r="E66" s="1660"/>
      <c r="F66" s="7984">
        <f>+F63+F65</f>
        <v>3108.7025316455697</v>
      </c>
      <c r="G66" s="5986"/>
      <c r="H66" s="7984">
        <f t="shared" ref="H66" si="129">+H63+H65</f>
        <v>4520.8792093704242</v>
      </c>
      <c r="I66" s="7394"/>
      <c r="J66" s="1713">
        <f t="shared" ref="J66" si="130">+J63+J65</f>
        <v>7634.913612565445</v>
      </c>
      <c r="K66" s="5986"/>
      <c r="L66" s="7984">
        <f t="shared" ref="L66" si="131">+L63+L65</f>
        <v>4389.5164054848192</v>
      </c>
      <c r="M66" s="5783"/>
      <c r="N66" s="1998">
        <f t="shared" ref="N66" si="132">+N63+N65</f>
        <v>12029.068021512961</v>
      </c>
      <c r="O66" s="5986"/>
      <c r="P66" s="7984">
        <f t="shared" ref="P66" si="133">+P63+P65</f>
        <v>3373.4610890394952</v>
      </c>
      <c r="Q66" s="7394"/>
      <c r="R66" s="1713">
        <f t="shared" ref="R66" si="134">+R63+R65</f>
        <v>15399.819185711542</v>
      </c>
      <c r="S66" s="5986"/>
      <c r="T66" s="7984">
        <f t="shared" ref="T66" si="135">+T63+T65</f>
        <v>5437.6245443499392</v>
      </c>
      <c r="U66" s="7394"/>
      <c r="V66" s="1713">
        <f t="shared" ref="V66" si="136">+V63+V65</f>
        <v>20846.723259886181</v>
      </c>
      <c r="W66" s="5986"/>
      <c r="X66" s="7984">
        <f t="shared" ref="X66" si="137">+X63+X65</f>
        <v>2528.1176470588234</v>
      </c>
      <c r="Y66" s="5783"/>
      <c r="Z66" s="5783">
        <f t="shared" ref="Z66" si="138">+Z63+Z65</f>
        <v>11350.04573120579</v>
      </c>
      <c r="AA66" s="6614"/>
      <c r="AB66" s="6510">
        <f t="shared" ref="AB66" si="139">+AB63+AB65</f>
        <v>23370.284148936171</v>
      </c>
      <c r="AC66" s="5986"/>
      <c r="AD66" s="7984">
        <f t="shared" ref="AD66" si="140">+AD63+AD65</f>
        <v>2568.7433035714284</v>
      </c>
      <c r="AE66" s="7394"/>
      <c r="AF66" s="1713">
        <f t="shared" ref="AF66" si="141">+AF63+AF65</f>
        <v>25938.129582251411</v>
      </c>
      <c r="AG66" s="5986"/>
      <c r="AH66" s="7984">
        <f t="shared" ref="AH66" si="142">+AH63+AH65</f>
        <v>4445.1601208459215</v>
      </c>
      <c r="AI66" s="7394"/>
      <c r="AJ66" s="1713">
        <f t="shared" ref="AJ66" si="143">+AJ63+AJ65</f>
        <v>30417.37654177719</v>
      </c>
      <c r="AK66" s="5986"/>
      <c r="AL66" s="7984">
        <f t="shared" ref="AL66" si="144">+AL63+AL65</f>
        <v>4557.2254847209269</v>
      </c>
      <c r="AM66" s="5783"/>
      <c r="AN66" s="5783">
        <f t="shared" ref="AN66" si="145">+AN63+AN65</f>
        <v>11581.840441373241</v>
      </c>
      <c r="AO66" s="7394"/>
      <c r="AP66" s="1713">
        <f t="shared" ref="AP66" si="146">+AP63+AP65</f>
        <v>34980.803212065199</v>
      </c>
      <c r="AQ66" s="5986"/>
      <c r="AR66" s="7984">
        <f t="shared" ref="AR66" si="147">+AR63+AR65</f>
        <v>6110.4393063583811</v>
      </c>
      <c r="AS66" s="7394"/>
      <c r="AT66" s="1713">
        <f t="shared" ref="AT66" si="148">+AT63+AT65</f>
        <v>41093.510126041772</v>
      </c>
      <c r="AU66" s="5986"/>
      <c r="AV66" s="7984">
        <f t="shared" ref="AV66" si="149">+AV63+AV65</f>
        <v>3674.682310469314</v>
      </c>
      <c r="AW66" s="7394"/>
      <c r="AX66" s="1713">
        <f t="shared" ref="AX66" si="150">+AX63+AX65</f>
        <v>44770.525256935201</v>
      </c>
      <c r="AY66" s="5986"/>
      <c r="AZ66" s="7984">
        <f t="shared" ref="AZ66" si="151">+AZ63+AZ65</f>
        <v>4079.0863172871709</v>
      </c>
      <c r="BA66" s="5783"/>
      <c r="BB66" s="5783">
        <f t="shared" ref="BB66" si="152">+BB63+BB65</f>
        <v>13876.468173431735</v>
      </c>
      <c r="BC66" s="5783"/>
      <c r="BD66" s="5783">
        <f t="shared" ref="BD66" si="153">+BD63+BD65</f>
        <v>25466.775349296393</v>
      </c>
      <c r="BE66" s="6614"/>
      <c r="BF66" s="6510">
        <f t="shared" ref="BF66" si="154">+BF63+BF65</f>
        <v>48854.407538758627</v>
      </c>
    </row>
    <row r="67" spans="3:58" x14ac:dyDescent="0.2">
      <c r="C67" s="1537"/>
      <c r="D67" s="1537"/>
      <c r="E67" s="1537"/>
      <c r="F67" s="1537"/>
      <c r="G67" s="1537"/>
      <c r="H67" s="1537"/>
      <c r="I67" s="1537"/>
      <c r="J67" s="1537"/>
      <c r="K67" s="1537"/>
      <c r="L67" s="1537"/>
      <c r="M67" s="1537"/>
      <c r="N67" s="1537"/>
      <c r="O67" s="1537"/>
      <c r="P67" s="1537"/>
      <c r="Q67" s="1537"/>
      <c r="R67" s="1537"/>
      <c r="W67" s="7129"/>
      <c r="X67" s="7129"/>
      <c r="Y67" s="1537"/>
      <c r="Z67" s="1537"/>
      <c r="AA67" s="7129"/>
      <c r="AB67" s="7129"/>
      <c r="AC67" s="7354"/>
      <c r="AD67" s="7354"/>
      <c r="AE67" s="7354"/>
      <c r="AF67" s="7354"/>
      <c r="AG67" s="7612"/>
      <c r="AH67" s="7612"/>
      <c r="AI67" s="7612"/>
      <c r="AJ67" s="7612"/>
      <c r="AO67" s="7762"/>
      <c r="AP67" s="7762"/>
      <c r="AQ67" s="8077"/>
      <c r="AR67" s="8077"/>
      <c r="AS67" s="8094"/>
      <c r="AT67" s="8094"/>
      <c r="BA67" s="1537"/>
      <c r="BB67" s="1537"/>
      <c r="BC67" s="1537"/>
      <c r="BD67" s="1537"/>
    </row>
    <row r="68" spans="3:58" x14ac:dyDescent="0.2">
      <c r="C68" s="1537"/>
      <c r="D68" s="1537"/>
      <c r="E68" s="1537"/>
      <c r="F68" s="1537"/>
      <c r="G68" s="1537"/>
      <c r="H68" s="1537"/>
      <c r="I68" s="1537"/>
      <c r="J68" s="1537"/>
      <c r="K68" s="1537"/>
      <c r="L68" s="1537"/>
      <c r="M68" s="1537"/>
      <c r="N68" s="1537"/>
      <c r="O68" s="1537"/>
      <c r="P68" s="1537"/>
      <c r="Q68" s="1537"/>
      <c r="R68" s="1537"/>
      <c r="W68" s="7129"/>
      <c r="X68" s="7129"/>
      <c r="Y68" s="1537"/>
      <c r="Z68" s="1537"/>
      <c r="AA68" s="7129"/>
      <c r="AB68" s="7129"/>
      <c r="AC68" s="7354"/>
      <c r="AD68" s="7354"/>
      <c r="AE68" s="7354"/>
      <c r="AF68" s="7354"/>
      <c r="AG68" s="7612"/>
      <c r="AH68" s="7612"/>
      <c r="AI68" s="7612"/>
      <c r="AJ68" s="7612"/>
      <c r="AO68" s="7762"/>
      <c r="AP68" s="7762"/>
      <c r="AQ68" s="8077"/>
      <c r="AR68" s="8077"/>
      <c r="AS68" s="8094"/>
      <c r="AT68" s="8094"/>
      <c r="BA68" s="1537"/>
      <c r="BB68" s="1537"/>
      <c r="BC68" s="1537"/>
      <c r="BD68" s="1537"/>
    </row>
    <row r="69" spans="3:58" x14ac:dyDescent="0.2">
      <c r="C69" s="1537"/>
      <c r="D69" s="1537"/>
      <c r="E69" s="1537"/>
      <c r="F69" s="1537"/>
      <c r="G69" s="1537"/>
      <c r="H69" s="1537"/>
      <c r="I69" s="1537"/>
      <c r="J69" s="1537"/>
      <c r="K69" s="1537"/>
      <c r="L69" s="1537"/>
      <c r="M69" s="1537"/>
      <c r="N69" s="1537"/>
      <c r="O69" s="1537"/>
      <c r="P69" s="1537"/>
      <c r="Q69" s="1537"/>
      <c r="R69" s="1537"/>
      <c r="W69" s="7129"/>
      <c r="X69" s="7129"/>
      <c r="Y69" s="1537"/>
      <c r="Z69" s="1537"/>
      <c r="AA69" s="7129"/>
      <c r="AB69" s="7129"/>
      <c r="AC69" s="7354"/>
      <c r="AD69" s="7354"/>
      <c r="AE69" s="7354"/>
      <c r="AF69" s="7354"/>
      <c r="AG69" s="7612"/>
      <c r="AH69" s="7612"/>
      <c r="AI69" s="7612"/>
      <c r="AJ69" s="7612"/>
      <c r="AO69" s="7762"/>
      <c r="AP69" s="7762"/>
      <c r="AQ69" s="8077"/>
      <c r="AR69" s="8077"/>
      <c r="AS69" s="8094"/>
      <c r="AT69" s="8094"/>
      <c r="BA69" s="1537"/>
      <c r="BB69" s="1537"/>
      <c r="BC69" s="1537"/>
      <c r="BD69" s="1537"/>
    </row>
    <row r="70" spans="3:58" x14ac:dyDescent="0.2">
      <c r="C70" s="1537"/>
      <c r="D70" s="1537"/>
      <c r="E70" s="1537"/>
      <c r="F70" s="1537"/>
      <c r="G70" s="1537"/>
      <c r="H70" s="1537"/>
      <c r="I70" s="1537"/>
      <c r="J70" s="1537"/>
      <c r="K70" s="1537"/>
      <c r="L70" s="1537"/>
      <c r="M70" s="1537"/>
      <c r="N70" s="1537"/>
      <c r="O70" s="1537"/>
      <c r="P70" s="1537"/>
      <c r="Q70" s="1537"/>
      <c r="R70" s="1537"/>
      <c r="W70" s="7129"/>
      <c r="X70" s="7129"/>
      <c r="Y70" s="1537"/>
      <c r="Z70" s="1537"/>
      <c r="AA70" s="7129"/>
      <c r="AB70" s="7129"/>
      <c r="AC70" s="7354"/>
      <c r="AD70" s="7354"/>
      <c r="AE70" s="7354"/>
      <c r="AF70" s="7354"/>
      <c r="AG70" s="7612"/>
      <c r="AH70" s="7612"/>
      <c r="AI70" s="7612"/>
      <c r="AJ70" s="7612"/>
      <c r="AO70" s="7762"/>
      <c r="AP70" s="7762"/>
      <c r="AQ70" s="8077"/>
      <c r="AR70" s="8077"/>
      <c r="AS70" s="8094"/>
      <c r="AT70" s="8094"/>
      <c r="BA70" s="1537"/>
      <c r="BB70" s="1537"/>
      <c r="BC70" s="1537"/>
      <c r="BD70" s="1537"/>
    </row>
    <row r="71" spans="3:58" x14ac:dyDescent="0.2">
      <c r="C71" s="1537"/>
      <c r="D71" s="1537"/>
      <c r="E71" s="1537"/>
      <c r="F71" s="1537"/>
      <c r="G71" s="1537"/>
      <c r="H71" s="1537"/>
      <c r="I71" s="1537"/>
      <c r="J71" s="1537"/>
      <c r="K71" s="1537"/>
      <c r="L71" s="1537"/>
      <c r="M71" s="1537"/>
      <c r="N71" s="1537"/>
      <c r="O71" s="1537"/>
      <c r="P71" s="1537"/>
      <c r="Q71" s="1537"/>
      <c r="R71" s="1537"/>
      <c r="W71" s="7129"/>
      <c r="X71" s="7129"/>
      <c r="Y71" s="1537"/>
      <c r="Z71" s="1537"/>
      <c r="AA71" s="7129"/>
      <c r="AB71" s="7129"/>
      <c r="AC71" s="7354"/>
      <c r="AD71" s="7354"/>
      <c r="AE71" s="7354"/>
      <c r="AF71" s="7354"/>
      <c r="AG71" s="7612"/>
      <c r="AH71" s="7612"/>
      <c r="AI71" s="7612"/>
      <c r="AJ71" s="7612"/>
      <c r="AO71" s="7762"/>
      <c r="AP71" s="7762"/>
      <c r="AQ71" s="8077"/>
      <c r="AR71" s="8077"/>
      <c r="AS71" s="8094"/>
      <c r="AT71" s="8094"/>
      <c r="BA71" s="1537"/>
      <c r="BB71" s="1537"/>
      <c r="BC71" s="1537"/>
      <c r="BD71" s="1537"/>
    </row>
    <row r="72" spans="3:58" x14ac:dyDescent="0.2">
      <c r="C72" s="1537"/>
      <c r="D72" s="1537"/>
      <c r="E72" s="1537"/>
      <c r="F72" s="1537"/>
      <c r="G72" s="1537"/>
      <c r="H72" s="1537"/>
      <c r="I72" s="1537"/>
      <c r="J72" s="1537"/>
      <c r="K72" s="1537"/>
      <c r="L72" s="1537"/>
      <c r="M72" s="1537"/>
      <c r="N72" s="1537"/>
      <c r="O72" s="1537"/>
      <c r="P72" s="1537"/>
      <c r="Q72" s="1537"/>
      <c r="R72" s="1537"/>
      <c r="W72" s="7129"/>
      <c r="X72" s="7129"/>
      <c r="Y72" s="1537"/>
      <c r="Z72" s="1537"/>
      <c r="AA72" s="7129"/>
      <c r="AB72" s="7129"/>
      <c r="AC72" s="7354"/>
      <c r="AD72" s="7354"/>
      <c r="AE72" s="7354"/>
      <c r="AF72" s="7354"/>
      <c r="AG72" s="7612"/>
      <c r="AH72" s="7612"/>
      <c r="AI72" s="7612"/>
      <c r="AJ72" s="7612"/>
      <c r="AO72" s="7762"/>
      <c r="AP72" s="7762"/>
      <c r="AQ72" s="8077"/>
      <c r="AR72" s="8077"/>
      <c r="AS72" s="8094"/>
      <c r="AT72" s="8094"/>
      <c r="BA72" s="1537"/>
      <c r="BB72" s="1537"/>
      <c r="BC72" s="1537"/>
      <c r="BD72" s="1537"/>
    </row>
    <row r="73" spans="3:58" x14ac:dyDescent="0.2">
      <c r="C73" s="1537"/>
      <c r="D73" s="1537"/>
      <c r="E73" s="1537"/>
      <c r="F73" s="1537"/>
      <c r="G73" s="1537"/>
      <c r="H73" s="1537"/>
      <c r="I73" s="1537"/>
      <c r="J73" s="1537"/>
      <c r="K73" s="1537"/>
      <c r="L73" s="1537"/>
      <c r="M73" s="1537"/>
      <c r="N73" s="1537"/>
      <c r="O73" s="1537"/>
      <c r="P73" s="1537"/>
      <c r="Q73" s="1537"/>
      <c r="R73" s="1537"/>
      <c r="W73" s="7129"/>
      <c r="X73" s="7129"/>
      <c r="Y73" s="1537"/>
      <c r="Z73" s="1537"/>
      <c r="AA73" s="7129"/>
      <c r="AB73" s="7129"/>
      <c r="AC73" s="7354"/>
      <c r="AD73" s="7354"/>
      <c r="AE73" s="7354"/>
      <c r="AF73" s="7354"/>
      <c r="AG73" s="7612"/>
      <c r="AH73" s="7612"/>
      <c r="AI73" s="7612"/>
      <c r="AJ73" s="7612"/>
      <c r="AO73" s="7762"/>
      <c r="AP73" s="7762"/>
      <c r="AQ73" s="8077"/>
      <c r="AR73" s="8077"/>
      <c r="AS73" s="8094"/>
      <c r="AT73" s="8094"/>
      <c r="BA73" s="1537"/>
      <c r="BB73" s="1537"/>
      <c r="BC73" s="1537"/>
      <c r="BD73" s="1537"/>
    </row>
    <row r="74" spans="3:58" x14ac:dyDescent="0.2">
      <c r="C74" s="1537"/>
      <c r="D74" s="1537"/>
      <c r="E74" s="1537"/>
      <c r="F74" s="1537"/>
      <c r="G74" s="1537"/>
      <c r="H74" s="1537"/>
      <c r="I74" s="1537"/>
      <c r="J74" s="1537"/>
      <c r="K74" s="1537"/>
      <c r="L74" s="1537"/>
      <c r="M74" s="1537"/>
      <c r="N74" s="1537"/>
      <c r="O74" s="1537"/>
      <c r="P74" s="1537"/>
      <c r="Q74" s="1537"/>
      <c r="R74" s="1537"/>
      <c r="W74" s="7129"/>
      <c r="X74" s="7129"/>
      <c r="Y74" s="1537"/>
      <c r="Z74" s="1537"/>
      <c r="AA74" s="7129"/>
      <c r="AB74" s="7129"/>
      <c r="AC74" s="7354"/>
      <c r="AD74" s="7354"/>
      <c r="AE74" s="7354"/>
      <c r="AF74" s="7354"/>
      <c r="AG74" s="7612"/>
      <c r="AH74" s="7612"/>
      <c r="AI74" s="7612"/>
      <c r="AJ74" s="7612"/>
      <c r="AO74" s="7762"/>
      <c r="AP74" s="7762"/>
      <c r="AQ74" s="8077"/>
      <c r="AR74" s="8077"/>
      <c r="AS74" s="8094"/>
      <c r="AT74" s="8094"/>
      <c r="BA74" s="1537"/>
      <c r="BB74" s="1537"/>
      <c r="BC74" s="1537"/>
      <c r="BD74" s="1537"/>
    </row>
    <row r="75" spans="3:58" x14ac:dyDescent="0.2">
      <c r="C75" s="1537"/>
      <c r="D75" s="1537"/>
      <c r="E75" s="1537"/>
      <c r="F75" s="1537"/>
      <c r="G75" s="1537"/>
      <c r="H75" s="1537"/>
      <c r="I75" s="1537"/>
      <c r="J75" s="1537"/>
      <c r="K75" s="1537"/>
      <c r="L75" s="1537"/>
      <c r="M75" s="1537"/>
      <c r="N75" s="1537"/>
      <c r="O75" s="1537"/>
      <c r="P75" s="1537"/>
      <c r="Q75" s="1537"/>
      <c r="R75" s="1537"/>
      <c r="W75" s="7129"/>
      <c r="X75" s="7129"/>
      <c r="Y75" s="1537"/>
      <c r="Z75" s="1537"/>
      <c r="AA75" s="7129"/>
      <c r="AB75" s="7129"/>
      <c r="AC75" s="7354"/>
      <c r="AD75" s="7354"/>
      <c r="AE75" s="7354"/>
      <c r="AF75" s="7354"/>
      <c r="AG75" s="7612"/>
      <c r="AH75" s="7612"/>
      <c r="AI75" s="7612"/>
      <c r="AJ75" s="7612"/>
      <c r="AO75" s="7762"/>
      <c r="AP75" s="7762"/>
      <c r="AQ75" s="8077"/>
      <c r="AR75" s="8077"/>
      <c r="AS75" s="8094"/>
      <c r="AT75" s="8094"/>
      <c r="BA75" s="1537"/>
      <c r="BB75" s="1537"/>
      <c r="BC75" s="1537"/>
      <c r="BD75" s="1537"/>
    </row>
    <row r="76" spans="3:58" x14ac:dyDescent="0.2">
      <c r="C76" s="1537"/>
      <c r="D76" s="1537"/>
      <c r="E76" s="1537"/>
      <c r="F76" s="1537"/>
      <c r="G76" s="1537"/>
      <c r="H76" s="1537"/>
      <c r="I76" s="1537"/>
      <c r="J76" s="1537"/>
      <c r="K76" s="1537"/>
      <c r="L76" s="1537"/>
      <c r="M76" s="1537"/>
      <c r="N76" s="1537"/>
      <c r="O76" s="1537"/>
      <c r="P76" s="1537"/>
      <c r="Q76" s="1537"/>
      <c r="R76" s="1537"/>
      <c r="W76" s="7129"/>
      <c r="X76" s="7129"/>
      <c r="Y76" s="1537"/>
      <c r="Z76" s="1537"/>
      <c r="AA76" s="7129"/>
      <c r="AB76" s="7129"/>
      <c r="AC76" s="7354"/>
      <c r="AD76" s="7354"/>
      <c r="AE76" s="7354"/>
      <c r="AF76" s="7354"/>
      <c r="AG76" s="7612"/>
      <c r="AH76" s="7612"/>
      <c r="AI76" s="7612"/>
      <c r="AJ76" s="7612"/>
      <c r="AO76" s="7762"/>
      <c r="AP76" s="7762"/>
      <c r="AQ76" s="8077"/>
      <c r="AR76" s="8077"/>
      <c r="AS76" s="8094"/>
      <c r="AT76" s="8094"/>
      <c r="BA76" s="1537"/>
      <c r="BB76" s="1537"/>
      <c r="BC76" s="1537"/>
      <c r="BD76" s="1537"/>
    </row>
    <row r="77" spans="3:58" x14ac:dyDescent="0.2">
      <c r="C77" s="1537"/>
      <c r="D77" s="1537"/>
      <c r="E77" s="1537"/>
      <c r="F77" s="1537"/>
      <c r="G77" s="1537"/>
      <c r="H77" s="1537"/>
      <c r="I77" s="1537"/>
      <c r="J77" s="1537"/>
      <c r="K77" s="1537"/>
      <c r="L77" s="1537"/>
      <c r="M77" s="1537"/>
      <c r="N77" s="1537"/>
      <c r="O77" s="1537"/>
      <c r="P77" s="1537"/>
      <c r="Q77" s="1537"/>
      <c r="R77" s="1537"/>
      <c r="W77" s="7129"/>
      <c r="X77" s="7129"/>
      <c r="Y77" s="1537"/>
      <c r="Z77" s="1537"/>
      <c r="AA77" s="7129"/>
      <c r="AB77" s="7129"/>
      <c r="AC77" s="7354"/>
      <c r="AD77" s="7354"/>
      <c r="AE77" s="7354"/>
      <c r="AF77" s="7354"/>
      <c r="AG77" s="7612"/>
      <c r="AH77" s="7612"/>
      <c r="AI77" s="7612"/>
      <c r="AJ77" s="7612"/>
      <c r="AO77" s="7762"/>
      <c r="AP77" s="7762"/>
      <c r="AQ77" s="8077"/>
      <c r="AR77" s="8077"/>
      <c r="AS77" s="8094"/>
      <c r="AT77" s="8094"/>
      <c r="BA77" s="1537"/>
      <c r="BB77" s="1537"/>
      <c r="BC77" s="1537"/>
      <c r="BD77" s="1537"/>
    </row>
    <row r="78" spans="3:58" x14ac:dyDescent="0.2">
      <c r="C78" s="1537"/>
      <c r="D78" s="1537"/>
      <c r="E78" s="1537"/>
      <c r="F78" s="1537"/>
      <c r="G78" s="1537"/>
      <c r="H78" s="1537"/>
      <c r="I78" s="1537"/>
      <c r="J78" s="1537"/>
      <c r="K78" s="1537"/>
      <c r="L78" s="1537"/>
      <c r="M78" s="1537"/>
      <c r="N78" s="1537"/>
      <c r="O78" s="1537"/>
      <c r="P78" s="1537"/>
      <c r="Q78" s="1537"/>
      <c r="R78" s="1537"/>
      <c r="W78" s="7129"/>
      <c r="X78" s="7129"/>
      <c r="Y78" s="1537"/>
      <c r="Z78" s="1537"/>
      <c r="AA78" s="7129"/>
      <c r="AB78" s="7129"/>
      <c r="AC78" s="7354"/>
      <c r="AD78" s="7354"/>
      <c r="AE78" s="7354"/>
      <c r="AF78" s="7354"/>
      <c r="AG78" s="7612"/>
      <c r="AH78" s="7612"/>
      <c r="AI78" s="7612"/>
      <c r="AJ78" s="7612"/>
      <c r="AO78" s="7762"/>
      <c r="AP78" s="7762"/>
      <c r="AQ78" s="8077"/>
      <c r="AR78" s="8077"/>
      <c r="AS78" s="8094"/>
      <c r="AT78" s="8094"/>
      <c r="BA78" s="1537"/>
      <c r="BB78" s="1537"/>
      <c r="BC78" s="1537"/>
      <c r="BD78" s="1537"/>
    </row>
    <row r="79" spans="3:58" x14ac:dyDescent="0.2">
      <c r="C79" s="1537"/>
      <c r="D79" s="1537"/>
      <c r="E79" s="1537"/>
      <c r="F79" s="1537"/>
      <c r="G79" s="1537"/>
      <c r="H79" s="1537"/>
      <c r="I79" s="1537"/>
      <c r="J79" s="1537"/>
      <c r="K79" s="5782"/>
      <c r="L79" s="3443"/>
      <c r="M79" s="1537"/>
      <c r="N79" s="1537"/>
      <c r="O79" s="1537"/>
      <c r="P79" s="1537"/>
      <c r="Q79" s="1537"/>
      <c r="R79" s="1537"/>
      <c r="W79" s="7129"/>
      <c r="X79" s="7129"/>
      <c r="Y79" s="1537"/>
      <c r="Z79" s="1537"/>
      <c r="AA79" s="7129"/>
      <c r="AB79" s="7129"/>
      <c r="AC79" s="7354"/>
      <c r="AD79" s="7354"/>
      <c r="AE79" s="7354"/>
      <c r="AF79" s="7354"/>
      <c r="AG79" s="7612"/>
      <c r="AH79" s="7612"/>
      <c r="AI79" s="7612"/>
      <c r="AJ79" s="7612"/>
      <c r="AO79" s="7762"/>
      <c r="AP79" s="7762"/>
      <c r="AQ79" s="8077"/>
      <c r="AR79" s="8077"/>
      <c r="AS79" s="8094"/>
      <c r="AT79" s="8094"/>
      <c r="BA79" s="1537"/>
      <c r="BB79" s="1537"/>
      <c r="BC79" s="1537"/>
      <c r="BD79" s="1537"/>
    </row>
    <row r="80" spans="3:58" x14ac:dyDescent="0.2">
      <c r="C80" s="1537"/>
      <c r="D80" s="1537"/>
      <c r="E80" s="1537"/>
      <c r="F80" s="1537"/>
      <c r="G80" s="1537"/>
      <c r="H80" s="1537"/>
      <c r="I80" s="1537"/>
      <c r="J80" s="1537"/>
      <c r="K80" s="1537"/>
      <c r="L80" s="1537"/>
      <c r="M80" s="1537"/>
      <c r="N80" s="1537"/>
      <c r="O80" s="1537"/>
      <c r="P80" s="1537"/>
      <c r="Q80" s="1537"/>
      <c r="R80" s="1537"/>
      <c r="W80" s="7129"/>
      <c r="X80" s="7129"/>
      <c r="Y80" s="1537"/>
      <c r="Z80" s="1537"/>
      <c r="AA80" s="7129"/>
      <c r="AB80" s="7129"/>
      <c r="AC80" s="7354"/>
      <c r="AD80" s="7354"/>
      <c r="AE80" s="7354"/>
      <c r="AF80" s="7354"/>
      <c r="AG80" s="7612"/>
      <c r="AH80" s="7612"/>
      <c r="AI80" s="7612"/>
      <c r="AJ80" s="7612"/>
      <c r="AO80" s="7762"/>
      <c r="AP80" s="7762"/>
      <c r="AQ80" s="8077"/>
      <c r="AR80" s="8077"/>
      <c r="AS80" s="8094"/>
      <c r="AT80" s="8094"/>
      <c r="BA80" s="1537"/>
      <c r="BB80" s="1537"/>
      <c r="BC80" s="1537"/>
      <c r="BD80" s="1537"/>
    </row>
    <row r="81" spans="3:56" x14ac:dyDescent="0.2">
      <c r="C81" s="1537"/>
      <c r="D81" s="1537"/>
      <c r="E81" s="1537"/>
      <c r="F81" s="1537"/>
      <c r="G81" s="1537"/>
      <c r="H81" s="1537"/>
      <c r="I81" s="1537"/>
      <c r="J81" s="1537"/>
      <c r="K81" s="1537"/>
      <c r="L81" s="1537"/>
      <c r="M81" s="1537"/>
      <c r="N81" s="1537"/>
      <c r="O81" s="1537"/>
      <c r="P81" s="1537"/>
      <c r="Q81" s="1537"/>
      <c r="R81" s="1537"/>
      <c r="W81" s="7129"/>
      <c r="X81" s="7129"/>
      <c r="Y81" s="1537"/>
      <c r="Z81" s="1537"/>
      <c r="AA81" s="7129"/>
      <c r="AB81" s="7129"/>
      <c r="AC81" s="7354"/>
      <c r="AD81" s="7354"/>
      <c r="AE81" s="7354"/>
      <c r="AF81" s="7354"/>
      <c r="AG81" s="7612"/>
      <c r="AH81" s="7612"/>
      <c r="AI81" s="7612"/>
      <c r="AJ81" s="7612"/>
      <c r="AO81" s="7762"/>
      <c r="AP81" s="7762"/>
      <c r="AQ81" s="8077"/>
      <c r="AR81" s="8077"/>
      <c r="AS81" s="8094"/>
      <c r="AT81" s="8094"/>
      <c r="BA81" s="1537"/>
      <c r="BB81" s="1537"/>
      <c r="BC81" s="1537"/>
      <c r="BD81" s="1537"/>
    </row>
    <row r="82" spans="3:56" x14ac:dyDescent="0.2">
      <c r="C82" s="1537"/>
      <c r="D82" s="1537"/>
      <c r="E82" s="1537"/>
      <c r="F82" s="1537"/>
      <c r="G82" s="1537"/>
      <c r="H82" s="1537"/>
      <c r="I82" s="1537"/>
      <c r="J82" s="1537"/>
      <c r="K82" s="1537"/>
      <c r="L82" s="1537"/>
      <c r="M82" s="1537"/>
      <c r="N82" s="1537"/>
      <c r="O82" s="1537"/>
      <c r="P82" s="1537"/>
      <c r="Q82" s="1537"/>
      <c r="R82" s="1537"/>
      <c r="W82" s="7129"/>
      <c r="X82" s="7129"/>
      <c r="Y82" s="1537"/>
      <c r="Z82" s="1537"/>
      <c r="AA82" s="7129"/>
      <c r="AB82" s="7129"/>
      <c r="AC82" s="7354"/>
      <c r="AD82" s="7354"/>
      <c r="AE82" s="7354"/>
      <c r="AF82" s="7354"/>
      <c r="AG82" s="7612"/>
      <c r="AH82" s="7612"/>
      <c r="AI82" s="7612"/>
      <c r="AJ82" s="7612"/>
      <c r="AO82" s="7762"/>
      <c r="AP82" s="7762"/>
      <c r="AQ82" s="8077"/>
      <c r="AR82" s="8077"/>
      <c r="AS82" s="8094"/>
      <c r="AT82" s="8094"/>
      <c r="BA82" s="1537"/>
      <c r="BB82" s="1537"/>
      <c r="BC82" s="1537"/>
      <c r="BD82" s="1537"/>
    </row>
    <row r="83" spans="3:56" x14ac:dyDescent="0.2">
      <c r="C83" s="1537"/>
      <c r="D83" s="1537"/>
      <c r="E83" s="1537"/>
      <c r="F83" s="1537"/>
      <c r="G83" s="1537"/>
      <c r="H83" s="1537"/>
      <c r="I83" s="1537"/>
      <c r="J83" s="1537"/>
      <c r="K83" s="1537"/>
      <c r="L83" s="1537"/>
      <c r="M83" s="1537"/>
      <c r="N83" s="1537"/>
      <c r="O83" s="1537"/>
      <c r="P83" s="1537"/>
      <c r="Q83" s="1537"/>
      <c r="R83" s="1537"/>
      <c r="W83" s="7129"/>
      <c r="X83" s="7129"/>
      <c r="AA83" s="7129"/>
      <c r="AB83" s="7129"/>
      <c r="AC83" s="7354"/>
      <c r="AD83" s="7354"/>
      <c r="AE83" s="7354"/>
      <c r="AF83" s="7354"/>
      <c r="AG83" s="7612"/>
      <c r="AH83" s="7612"/>
      <c r="AI83" s="7612"/>
      <c r="AJ83" s="7612"/>
      <c r="AO83" s="7762"/>
      <c r="AP83" s="7762"/>
      <c r="AQ83" s="8077"/>
      <c r="AR83" s="8077"/>
      <c r="AS83" s="8094"/>
      <c r="AT83" s="8094"/>
    </row>
    <row r="84" spans="3:56" x14ac:dyDescent="0.2">
      <c r="C84" s="1537"/>
      <c r="D84" s="1537"/>
      <c r="E84" s="1537"/>
      <c r="F84" s="1537"/>
      <c r="G84" s="1537"/>
      <c r="H84" s="1537"/>
      <c r="I84" s="1537"/>
      <c r="J84" s="1537"/>
      <c r="K84" s="1537"/>
      <c r="L84" s="1537"/>
      <c r="M84" s="1537"/>
      <c r="N84" s="1537"/>
      <c r="O84" s="1537"/>
      <c r="P84" s="1537"/>
      <c r="Q84" s="1537"/>
      <c r="R84" s="1537"/>
      <c r="W84" s="7129"/>
      <c r="X84" s="7129"/>
      <c r="AA84" s="7129"/>
      <c r="AB84" s="7129"/>
      <c r="AC84" s="7354"/>
      <c r="AD84" s="7354"/>
      <c r="AE84" s="7354"/>
      <c r="AF84" s="7354"/>
      <c r="AG84" s="7612"/>
      <c r="AH84" s="7612"/>
      <c r="AI84" s="7612"/>
      <c r="AJ84" s="7612"/>
      <c r="AO84" s="7762"/>
      <c r="AP84" s="7762"/>
      <c r="AS84" s="8094"/>
      <c r="AT84" s="8094"/>
    </row>
    <row r="85" spans="3:56" x14ac:dyDescent="0.2">
      <c r="C85" s="1537"/>
      <c r="D85" s="1537"/>
      <c r="E85" s="1537"/>
      <c r="F85" s="1537"/>
      <c r="G85" s="1537"/>
      <c r="H85" s="1537"/>
      <c r="I85" s="1537"/>
      <c r="J85" s="1537"/>
      <c r="K85" s="1537"/>
      <c r="L85" s="1537"/>
      <c r="M85" s="1537"/>
      <c r="N85" s="1537"/>
      <c r="O85" s="1537"/>
      <c r="P85" s="1537"/>
      <c r="Q85" s="1537"/>
      <c r="R85" s="1537"/>
      <c r="W85" s="7129"/>
      <c r="X85" s="7129"/>
      <c r="AA85" s="7129"/>
      <c r="AB85" s="7129"/>
      <c r="AC85" s="7354"/>
      <c r="AD85" s="7354"/>
      <c r="AE85" s="7354"/>
      <c r="AF85" s="7354"/>
      <c r="AG85" s="7612"/>
      <c r="AH85" s="7612"/>
      <c r="AI85" s="7612"/>
      <c r="AJ85" s="7612"/>
      <c r="AO85" s="7762"/>
      <c r="AP85" s="7762"/>
      <c r="AS85" s="8094"/>
      <c r="AT85" s="8094"/>
    </row>
    <row r="86" spans="3:56" x14ac:dyDescent="0.2">
      <c r="C86" s="1537"/>
      <c r="D86" s="1537"/>
      <c r="E86" s="1537"/>
      <c r="F86" s="1537"/>
      <c r="G86" s="1537"/>
      <c r="H86" s="1537"/>
      <c r="I86" s="1537"/>
      <c r="J86" s="1537"/>
      <c r="K86" s="1537"/>
      <c r="L86" s="1537"/>
      <c r="M86" s="1537"/>
      <c r="N86" s="1537"/>
      <c r="O86" s="1537"/>
      <c r="P86" s="1537"/>
      <c r="Q86" s="1537"/>
      <c r="R86" s="1537"/>
      <c r="W86" s="7129"/>
      <c r="X86" s="7129"/>
      <c r="AA86" s="7129"/>
      <c r="AB86" s="7129"/>
      <c r="AC86" s="7354"/>
      <c r="AD86" s="7354"/>
      <c r="AE86" s="7354"/>
      <c r="AF86" s="7354"/>
      <c r="AG86" s="7612"/>
      <c r="AH86" s="7612"/>
      <c r="AI86" s="7612"/>
      <c r="AJ86" s="7612"/>
      <c r="AO86" s="7762"/>
      <c r="AP86" s="7762"/>
      <c r="AS86" s="8094"/>
      <c r="AT86" s="8094"/>
    </row>
    <row r="87" spans="3:56" x14ac:dyDescent="0.2">
      <c r="C87" s="1537"/>
      <c r="D87" s="1537"/>
      <c r="E87" s="1537"/>
      <c r="F87" s="1537"/>
      <c r="G87" s="1537"/>
      <c r="H87" s="1537"/>
      <c r="I87" s="1537"/>
      <c r="J87" s="1537"/>
      <c r="K87" s="1537"/>
      <c r="L87" s="1537"/>
      <c r="M87" s="1537"/>
      <c r="N87" s="1537"/>
      <c r="O87" s="1537"/>
      <c r="P87" s="1537"/>
      <c r="Q87" s="1537"/>
      <c r="R87" s="1537"/>
      <c r="W87" s="7129"/>
      <c r="X87" s="7129"/>
      <c r="AA87" s="7129"/>
      <c r="AB87" s="7129"/>
      <c r="AC87" s="7354"/>
      <c r="AD87" s="7354"/>
      <c r="AE87" s="7354"/>
      <c r="AF87" s="7354"/>
      <c r="AG87" s="7612"/>
      <c r="AH87" s="7612"/>
      <c r="AI87" s="7612"/>
      <c r="AJ87" s="7612"/>
      <c r="AO87" s="7762"/>
      <c r="AP87" s="7762"/>
      <c r="AS87" s="8094"/>
      <c r="AT87" s="8094"/>
    </row>
    <row r="88" spans="3:56" x14ac:dyDescent="0.2">
      <c r="C88" s="1537"/>
      <c r="D88" s="1537"/>
      <c r="E88" s="1537"/>
      <c r="F88" s="1537"/>
      <c r="G88" s="1537"/>
      <c r="H88" s="1537"/>
      <c r="I88" s="1537"/>
      <c r="J88" s="1537"/>
      <c r="K88" s="1537"/>
      <c r="L88" s="1537"/>
      <c r="M88" s="1537"/>
      <c r="N88" s="1537"/>
      <c r="O88" s="1537"/>
      <c r="P88" s="1537"/>
      <c r="Q88" s="1537"/>
      <c r="R88" s="1537"/>
      <c r="W88" s="7129"/>
      <c r="X88" s="7129"/>
      <c r="AA88" s="7129"/>
      <c r="AB88" s="7129"/>
      <c r="AG88" s="7612"/>
      <c r="AH88" s="7612"/>
      <c r="AI88" s="7612"/>
      <c r="AJ88" s="7612"/>
      <c r="AS88" s="8094"/>
      <c r="AT88" s="8094"/>
    </row>
    <row r="89" spans="3:56" x14ac:dyDescent="0.2">
      <c r="C89" s="1537"/>
      <c r="D89" s="1537"/>
      <c r="E89" s="1537"/>
      <c r="F89" s="1537"/>
      <c r="G89" s="1537"/>
      <c r="H89" s="1537"/>
      <c r="I89" s="1537"/>
      <c r="J89" s="1537"/>
      <c r="K89" s="1537"/>
      <c r="L89" s="1537"/>
      <c r="M89" s="1537"/>
      <c r="N89" s="1537"/>
      <c r="O89" s="1537"/>
      <c r="P89" s="1537"/>
      <c r="Q89" s="1537"/>
      <c r="R89" s="1537"/>
      <c r="AG89" s="7612"/>
      <c r="AH89" s="7612"/>
      <c r="AI89" s="7612"/>
      <c r="AJ89" s="7612"/>
      <c r="AS89" s="8094"/>
      <c r="AT89" s="8094"/>
    </row>
    <row r="90" spans="3:56" x14ac:dyDescent="0.2">
      <c r="C90" s="1537"/>
      <c r="D90" s="1537"/>
      <c r="E90" s="1537"/>
      <c r="F90" s="1537"/>
      <c r="G90" s="1537"/>
      <c r="H90" s="1537"/>
      <c r="I90" s="1537"/>
      <c r="J90" s="1537"/>
      <c r="K90" s="1537"/>
      <c r="L90" s="1537"/>
      <c r="M90" s="1537"/>
      <c r="N90" s="1537"/>
      <c r="O90" s="1537"/>
      <c r="P90" s="1537"/>
      <c r="Q90" s="1537"/>
      <c r="R90" s="1537"/>
      <c r="AG90" s="7612"/>
      <c r="AH90" s="7612"/>
      <c r="AI90" s="7612"/>
      <c r="AJ90" s="7612"/>
      <c r="AS90" s="8094"/>
      <c r="AT90" s="8094"/>
    </row>
    <row r="91" spans="3:56" x14ac:dyDescent="0.2">
      <c r="C91" s="1537"/>
      <c r="D91" s="1537"/>
      <c r="E91" s="1537"/>
      <c r="F91" s="1537"/>
      <c r="G91" s="1537"/>
      <c r="H91" s="1537"/>
      <c r="I91" s="1537"/>
      <c r="J91" s="1537"/>
      <c r="K91" s="1537"/>
      <c r="L91" s="1537"/>
      <c r="M91" s="1537"/>
      <c r="N91" s="1537"/>
      <c r="O91" s="1537"/>
      <c r="P91" s="1537"/>
      <c r="Q91" s="1537"/>
      <c r="R91" s="1537"/>
      <c r="AG91" s="7612"/>
      <c r="AH91" s="7612"/>
      <c r="AI91" s="7612"/>
      <c r="AJ91" s="7612"/>
      <c r="AS91" s="8094"/>
      <c r="AT91" s="8094"/>
    </row>
    <row r="92" spans="3:56" x14ac:dyDescent="0.2">
      <c r="C92" s="1537"/>
      <c r="D92" s="1537"/>
      <c r="E92" s="1537"/>
      <c r="F92" s="1537"/>
      <c r="G92" s="1537"/>
      <c r="H92" s="1537"/>
      <c r="I92" s="1537"/>
      <c r="J92" s="1537"/>
      <c r="K92" s="1537"/>
      <c r="L92" s="1537"/>
      <c r="M92" s="1537"/>
      <c r="N92" s="1537"/>
      <c r="O92" s="1537"/>
      <c r="P92" s="1537"/>
      <c r="Q92" s="1537"/>
      <c r="R92" s="1537"/>
      <c r="AG92" s="7612"/>
      <c r="AH92" s="7612"/>
      <c r="AI92" s="7612"/>
      <c r="AJ92" s="7612"/>
      <c r="AS92" s="8094"/>
      <c r="AT92" s="8094"/>
    </row>
    <row r="93" spans="3:56" x14ac:dyDescent="0.2">
      <c r="C93" s="1537"/>
      <c r="D93" s="1537"/>
      <c r="E93" s="1537"/>
      <c r="F93" s="1537"/>
      <c r="G93" s="1537"/>
      <c r="H93" s="1537"/>
      <c r="I93" s="1537"/>
      <c r="J93" s="1537"/>
      <c r="K93" s="1537"/>
      <c r="L93" s="1537"/>
      <c r="M93" s="1537"/>
      <c r="N93" s="1537"/>
      <c r="O93" s="1537"/>
      <c r="P93" s="1537"/>
      <c r="Q93" s="1537"/>
      <c r="R93" s="1537"/>
      <c r="AG93" s="7612"/>
      <c r="AH93" s="7612"/>
      <c r="AI93" s="7612"/>
      <c r="AJ93" s="7612"/>
      <c r="AS93" s="8094"/>
      <c r="AT93" s="8094"/>
    </row>
    <row r="94" spans="3:56" x14ac:dyDescent="0.2">
      <c r="C94" s="1537"/>
      <c r="D94" s="1537"/>
      <c r="E94" s="1537"/>
      <c r="F94" s="1537"/>
      <c r="G94" s="1537"/>
      <c r="H94" s="1537"/>
      <c r="I94" s="1537"/>
      <c r="J94" s="1537"/>
      <c r="K94" s="1537"/>
      <c r="L94" s="1537"/>
      <c r="M94" s="1537"/>
      <c r="N94" s="1537"/>
      <c r="O94" s="1537"/>
      <c r="P94" s="1537"/>
      <c r="Q94" s="1537"/>
      <c r="R94" s="1537"/>
      <c r="AG94" s="7612"/>
      <c r="AH94" s="7612"/>
      <c r="AI94" s="7612"/>
      <c r="AJ94" s="7612"/>
      <c r="AS94" s="8094"/>
      <c r="AT94" s="8094"/>
    </row>
    <row r="95" spans="3:56" x14ac:dyDescent="0.2">
      <c r="C95" s="1537"/>
      <c r="D95" s="1537"/>
      <c r="E95" s="1537"/>
      <c r="F95" s="1537"/>
      <c r="G95" s="1537"/>
      <c r="H95" s="1537"/>
      <c r="I95" s="1537"/>
      <c r="J95" s="1537"/>
      <c r="K95" s="1537"/>
      <c r="L95" s="1537"/>
      <c r="M95" s="1537"/>
      <c r="N95" s="1537"/>
      <c r="O95" s="1537"/>
      <c r="P95" s="1537"/>
      <c r="Q95" s="1537"/>
      <c r="R95" s="1537"/>
      <c r="AG95" s="7612"/>
      <c r="AH95" s="7612"/>
      <c r="AI95" s="7612"/>
      <c r="AJ95" s="7612"/>
      <c r="AS95" s="8094"/>
      <c r="AT95" s="8094"/>
    </row>
    <row r="96" spans="3:56" x14ac:dyDescent="0.2">
      <c r="C96" s="1537"/>
      <c r="D96" s="1537"/>
      <c r="E96" s="1537"/>
      <c r="F96" s="1537"/>
      <c r="G96" s="1537"/>
      <c r="H96" s="1537"/>
      <c r="I96" s="1537"/>
      <c r="J96" s="1537"/>
      <c r="K96" s="1537"/>
      <c r="L96" s="1537"/>
      <c r="M96" s="1537"/>
      <c r="N96" s="1537"/>
      <c r="O96" s="1537"/>
      <c r="P96" s="1537"/>
      <c r="Q96" s="1537"/>
      <c r="R96" s="1537"/>
      <c r="AG96" s="7612"/>
      <c r="AH96" s="7612"/>
      <c r="AI96" s="7612"/>
      <c r="AJ96" s="7612"/>
    </row>
    <row r="97" spans="3:36" x14ac:dyDescent="0.2">
      <c r="C97" s="1537"/>
      <c r="D97" s="1537"/>
      <c r="E97" s="1537"/>
      <c r="F97" s="1537"/>
      <c r="G97" s="1537"/>
      <c r="H97" s="1537"/>
      <c r="I97" s="1537"/>
      <c r="J97" s="1537"/>
      <c r="K97" s="1537"/>
      <c r="L97" s="1537"/>
      <c r="M97" s="1537"/>
      <c r="N97" s="1537"/>
      <c r="O97" s="1537"/>
      <c r="P97" s="1537"/>
      <c r="Q97" s="1537"/>
      <c r="R97" s="1537"/>
      <c r="AG97" s="7612"/>
      <c r="AH97" s="7612"/>
      <c r="AI97" s="7612"/>
      <c r="AJ97" s="7612"/>
    </row>
    <row r="98" spans="3:36" x14ac:dyDescent="0.2">
      <c r="C98" s="1537"/>
      <c r="D98" s="1537"/>
      <c r="E98" s="1537"/>
      <c r="F98" s="1537"/>
      <c r="G98" s="1537"/>
      <c r="H98" s="1537"/>
      <c r="I98" s="1537"/>
      <c r="J98" s="1537"/>
      <c r="K98" s="1537"/>
      <c r="L98" s="1537"/>
      <c r="M98" s="1537"/>
      <c r="N98" s="1537"/>
      <c r="O98" s="1537"/>
      <c r="P98" s="1537"/>
      <c r="Q98" s="1537"/>
      <c r="R98" s="1537"/>
    </row>
    <row r="99" spans="3:36" x14ac:dyDescent="0.2">
      <c r="C99" s="1537"/>
      <c r="D99" s="1537"/>
      <c r="E99" s="1537"/>
      <c r="F99" s="1537"/>
      <c r="G99" s="1537"/>
      <c r="H99" s="1537"/>
      <c r="I99" s="1537"/>
      <c r="J99" s="1537"/>
      <c r="K99" s="1537"/>
      <c r="L99" s="1537"/>
      <c r="M99" s="1537"/>
      <c r="N99" s="1537"/>
      <c r="O99" s="1537"/>
      <c r="P99" s="1537"/>
      <c r="Q99" s="1537"/>
      <c r="R99" s="1537"/>
    </row>
    <row r="100" spans="3:36" x14ac:dyDescent="0.2">
      <c r="C100" s="1537"/>
      <c r="D100" s="1537"/>
      <c r="E100" s="1537"/>
      <c r="F100" s="1537"/>
      <c r="G100" s="1537"/>
      <c r="H100" s="1537"/>
      <c r="I100" s="1537"/>
      <c r="J100" s="1537"/>
      <c r="K100" s="1537"/>
      <c r="L100" s="1537"/>
      <c r="M100" s="1537"/>
      <c r="N100" s="1537"/>
      <c r="O100" s="1537"/>
      <c r="P100" s="1537"/>
      <c r="Q100" s="1537"/>
      <c r="R100" s="1537"/>
    </row>
    <row r="101" spans="3:36" x14ac:dyDescent="0.2">
      <c r="C101" s="1537"/>
      <c r="D101" s="1537"/>
      <c r="E101" s="1537"/>
      <c r="F101" s="1537"/>
      <c r="G101" s="1537"/>
      <c r="H101" s="1537"/>
      <c r="I101" s="1537"/>
      <c r="J101" s="1537"/>
      <c r="K101" s="1537"/>
      <c r="L101" s="1537"/>
      <c r="M101" s="1537"/>
      <c r="N101" s="1537"/>
      <c r="O101" s="1537"/>
      <c r="P101" s="1537"/>
      <c r="Q101" s="1537"/>
      <c r="R101" s="1537"/>
    </row>
    <row r="102" spans="3:36" x14ac:dyDescent="0.2">
      <c r="C102" s="1537"/>
      <c r="D102" s="1537"/>
      <c r="E102" s="1537"/>
      <c r="F102" s="1537"/>
      <c r="G102" s="1537"/>
      <c r="H102" s="1537"/>
      <c r="I102" s="1537"/>
      <c r="J102" s="1537"/>
      <c r="K102" s="1537"/>
      <c r="L102" s="1537"/>
      <c r="M102" s="1537"/>
      <c r="N102" s="1537"/>
      <c r="O102" s="1537"/>
      <c r="P102" s="1537"/>
      <c r="Q102" s="1537"/>
      <c r="R102" s="1537"/>
    </row>
    <row r="103" spans="3:36" x14ac:dyDescent="0.2">
      <c r="C103" s="1537"/>
      <c r="D103" s="1537"/>
      <c r="E103" s="1537"/>
      <c r="F103" s="1537"/>
      <c r="G103" s="1537"/>
      <c r="H103" s="1537"/>
      <c r="I103" s="1537"/>
      <c r="J103" s="1537"/>
      <c r="K103" s="1537"/>
      <c r="L103" s="1537"/>
      <c r="M103" s="1537"/>
      <c r="N103" s="1537"/>
      <c r="O103" s="1537"/>
      <c r="P103" s="1537"/>
      <c r="Q103" s="1537"/>
      <c r="R103" s="1537"/>
    </row>
    <row r="104" spans="3:36" x14ac:dyDescent="0.2">
      <c r="C104" s="1537"/>
      <c r="D104" s="1537"/>
      <c r="E104" s="1537"/>
      <c r="F104" s="1537"/>
      <c r="G104" s="1537"/>
      <c r="H104" s="1537"/>
      <c r="I104" s="1537"/>
      <c r="J104" s="1537"/>
      <c r="K104" s="1537"/>
      <c r="L104" s="1537"/>
      <c r="M104" s="1537"/>
      <c r="N104" s="1537"/>
      <c r="O104" s="1537"/>
      <c r="P104" s="1537"/>
      <c r="Q104" s="1537"/>
      <c r="R104" s="1537"/>
    </row>
    <row r="105" spans="3:36" x14ac:dyDescent="0.2">
      <c r="C105" s="1537"/>
      <c r="D105" s="1537"/>
      <c r="E105" s="1537"/>
      <c r="F105" s="1537"/>
      <c r="G105" s="1537"/>
      <c r="H105" s="1537"/>
      <c r="I105" s="1537"/>
      <c r="J105" s="1537"/>
      <c r="K105" s="1537"/>
      <c r="L105" s="1537"/>
      <c r="M105" s="1537"/>
      <c r="N105" s="1537"/>
      <c r="O105" s="1537"/>
      <c r="P105" s="1537"/>
      <c r="Q105" s="1537"/>
      <c r="R105" s="1537"/>
    </row>
    <row r="106" spans="3:36" x14ac:dyDescent="0.2">
      <c r="C106" s="1537"/>
      <c r="D106" s="1537"/>
      <c r="E106" s="1537"/>
      <c r="F106" s="1537"/>
      <c r="G106" s="1537"/>
      <c r="H106" s="1537"/>
      <c r="I106" s="1537"/>
      <c r="J106" s="1537"/>
      <c r="K106" s="1537"/>
      <c r="L106" s="1537"/>
      <c r="M106" s="1537"/>
      <c r="N106" s="1537"/>
      <c r="O106" s="1537"/>
      <c r="P106" s="1537"/>
      <c r="Q106" s="1537"/>
      <c r="R106" s="1537"/>
    </row>
  </sheetData>
  <mergeCells count="87">
    <mergeCell ref="AY4:AZ4"/>
    <mergeCell ref="AY15:AY19"/>
    <mergeCell ref="AY29:AY31"/>
    <mergeCell ref="BA4:BB4"/>
    <mergeCell ref="BE4:BF4"/>
    <mergeCell ref="BA15:BA19"/>
    <mergeCell ref="BE15:BE19"/>
    <mergeCell ref="BA29:BA31"/>
    <mergeCell ref="BE29:BE31"/>
    <mergeCell ref="BC15:BC19"/>
    <mergeCell ref="BC29:BC31"/>
    <mergeCell ref="BC4:BD4"/>
    <mergeCell ref="AS4:AT4"/>
    <mergeCell ref="AS15:AS19"/>
    <mergeCell ref="AS29:AS31"/>
    <mergeCell ref="AG4:AH4"/>
    <mergeCell ref="AI4:AJ4"/>
    <mergeCell ref="AG15:AG19"/>
    <mergeCell ref="AI15:AI19"/>
    <mergeCell ref="AG29:AG31"/>
    <mergeCell ref="AI29:AI31"/>
    <mergeCell ref="AQ4:AR4"/>
    <mergeCell ref="AQ15:AQ19"/>
    <mergeCell ref="AQ29:AQ31"/>
    <mergeCell ref="AK29:AK31"/>
    <mergeCell ref="AM29:AM31"/>
    <mergeCell ref="AO29:AO31"/>
    <mergeCell ref="AK4:AL4"/>
    <mergeCell ref="AC4:AD4"/>
    <mergeCell ref="AE4:AF4"/>
    <mergeCell ref="AC15:AC19"/>
    <mergeCell ref="AE15:AE19"/>
    <mergeCell ref="AC29:AC31"/>
    <mergeCell ref="AE29:AE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M4:AN4"/>
    <mergeCell ref="AO4:AP4"/>
    <mergeCell ref="AK15:AK19"/>
    <mergeCell ref="AM15:AM19"/>
    <mergeCell ref="AO15:AO19"/>
    <mergeCell ref="AU4:AV4"/>
    <mergeCell ref="AW4:AX4"/>
    <mergeCell ref="AU15:AU19"/>
    <mergeCell ref="AW15:AW19"/>
    <mergeCell ref="AU29:AU31"/>
    <mergeCell ref="AW29:AW31"/>
  </mergeCells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00FF"/>
    <pageSetUpPr fitToPage="1"/>
  </sheetPr>
  <dimension ref="C2:BF17"/>
  <sheetViews>
    <sheetView topLeftCell="A27" zoomScale="84" zoomScaleNormal="84" workbookViewId="0">
      <pane xSplit="3" topLeftCell="AS1" activePane="topRight" state="frozen"/>
      <selection pane="topRight" activeCell="AK44" sqref="AK44"/>
    </sheetView>
  </sheetViews>
  <sheetFormatPr baseColWidth="10" defaultColWidth="8.83203125" defaultRowHeight="15" x14ac:dyDescent="0.2"/>
  <cols>
    <col min="3" max="3" width="53.1640625" customWidth="1"/>
    <col min="4" max="4" width="19.5" customWidth="1"/>
    <col min="7" max="60" width="9.1640625" customWidth="1"/>
  </cols>
  <sheetData>
    <row r="2" spans="3:58" ht="23" x14ac:dyDescent="0.2">
      <c r="C2" s="2857" t="s">
        <v>1790</v>
      </c>
    </row>
    <row r="3" spans="3:58" ht="15.75" customHeight="1" thickBot="1" x14ac:dyDescent="0.25">
      <c r="C3" s="2858"/>
    </row>
    <row r="4" spans="3:58" ht="16" thickBot="1" x14ac:dyDescent="0.25">
      <c r="C4" s="8821" t="s">
        <v>1326</v>
      </c>
      <c r="D4" s="9115" t="s">
        <v>658</v>
      </c>
      <c r="E4" s="8579" t="s">
        <v>1859</v>
      </c>
      <c r="F4" s="8609"/>
      <c r="G4" s="8579" t="s">
        <v>1862</v>
      </c>
      <c r="H4" s="8579"/>
      <c r="I4" s="8605" t="s">
        <v>52</v>
      </c>
      <c r="J4" s="8606"/>
      <c r="K4" s="8648" t="s">
        <v>1863</v>
      </c>
      <c r="L4" s="8649"/>
      <c r="M4" s="8650" t="s">
        <v>605</v>
      </c>
      <c r="N4" s="8556"/>
      <c r="O4" s="8579" t="s">
        <v>1864</v>
      </c>
      <c r="P4" s="8579"/>
      <c r="Q4" s="8605" t="s">
        <v>62</v>
      </c>
      <c r="R4" s="8606"/>
      <c r="S4" s="8579" t="s">
        <v>2160</v>
      </c>
      <c r="T4" s="8579"/>
      <c r="U4" s="8605" t="s">
        <v>64</v>
      </c>
      <c r="V4" s="8606"/>
      <c r="W4" s="8579" t="s">
        <v>2227</v>
      </c>
      <c r="X4" s="8579"/>
      <c r="Y4" s="8555" t="s">
        <v>606</v>
      </c>
      <c r="Z4" s="8556"/>
      <c r="AA4" s="9113" t="s">
        <v>1131</v>
      </c>
      <c r="AB4" s="9114"/>
      <c r="AC4" s="8579" t="s">
        <v>2265</v>
      </c>
      <c r="AD4" s="8579"/>
      <c r="AE4" s="8605" t="s">
        <v>101</v>
      </c>
      <c r="AF4" s="8606"/>
      <c r="AG4" s="8579" t="s">
        <v>2423</v>
      </c>
      <c r="AH4" s="8579"/>
      <c r="AI4" s="8605" t="s">
        <v>105</v>
      </c>
      <c r="AJ4" s="8606"/>
      <c r="AK4" s="8579" t="s">
        <v>2449</v>
      </c>
      <c r="AL4" s="8579"/>
      <c r="AM4" s="8555" t="s">
        <v>607</v>
      </c>
      <c r="AN4" s="8556"/>
      <c r="AO4" s="8605" t="s">
        <v>108</v>
      </c>
      <c r="AP4" s="8606"/>
      <c r="AQ4" s="8579" t="s">
        <v>2533</v>
      </c>
      <c r="AR4" s="8579"/>
      <c r="AS4" s="8605" t="s">
        <v>110</v>
      </c>
      <c r="AT4" s="8606"/>
      <c r="AU4" s="8579" t="s">
        <v>2577</v>
      </c>
      <c r="AV4" s="8579"/>
      <c r="AW4" s="8605" t="s">
        <v>113</v>
      </c>
      <c r="AX4" s="8606"/>
      <c r="AY4" s="8579" t="s">
        <v>1629</v>
      </c>
      <c r="AZ4" s="8579"/>
      <c r="BA4" s="8555" t="s">
        <v>608</v>
      </c>
      <c r="BB4" s="8556"/>
      <c r="BC4" s="9113" t="s">
        <v>1219</v>
      </c>
      <c r="BD4" s="9114"/>
      <c r="BE4" s="8605" t="s">
        <v>1865</v>
      </c>
      <c r="BF4" s="8606"/>
    </row>
    <row r="5" spans="3:58" ht="16" thickBot="1" x14ac:dyDescent="0.25">
      <c r="C5" s="8822"/>
      <c r="D5" s="9116"/>
      <c r="E5" s="1830" t="s">
        <v>659</v>
      </c>
      <c r="F5" s="2698" t="s">
        <v>660</v>
      </c>
      <c r="G5" s="1830" t="s">
        <v>659</v>
      </c>
      <c r="H5" s="1539" t="s">
        <v>660</v>
      </c>
      <c r="I5" s="2336" t="s">
        <v>659</v>
      </c>
      <c r="J5" s="1701" t="s">
        <v>660</v>
      </c>
      <c r="K5" s="1831" t="s">
        <v>659</v>
      </c>
      <c r="L5" s="1538" t="s">
        <v>660</v>
      </c>
      <c r="M5" s="2314" t="s">
        <v>659</v>
      </c>
      <c r="N5" s="1996" t="s">
        <v>660</v>
      </c>
      <c r="O5" s="1830" t="s">
        <v>659</v>
      </c>
      <c r="P5" s="1539" t="s">
        <v>660</v>
      </c>
      <c r="Q5" s="2336" t="s">
        <v>659</v>
      </c>
      <c r="R5" s="1701" t="s">
        <v>660</v>
      </c>
      <c r="S5" s="1830" t="s">
        <v>659</v>
      </c>
      <c r="T5" s="1539" t="s">
        <v>660</v>
      </c>
      <c r="U5" s="2336" t="s">
        <v>659</v>
      </c>
      <c r="V5" s="1701" t="s">
        <v>660</v>
      </c>
      <c r="W5" s="1830" t="s">
        <v>659</v>
      </c>
      <c r="X5" s="1539" t="s">
        <v>660</v>
      </c>
      <c r="Y5" s="2253" t="s">
        <v>659</v>
      </c>
      <c r="Z5" s="1996" t="s">
        <v>660</v>
      </c>
      <c r="AA5" s="2261" t="s">
        <v>659</v>
      </c>
      <c r="AB5" s="2239" t="s">
        <v>660</v>
      </c>
      <c r="AC5" s="1830" t="s">
        <v>659</v>
      </c>
      <c r="AD5" s="1539" t="s">
        <v>660</v>
      </c>
      <c r="AE5" s="2336" t="s">
        <v>659</v>
      </c>
      <c r="AF5" s="1701" t="s">
        <v>660</v>
      </c>
      <c r="AG5" s="1830" t="s">
        <v>659</v>
      </c>
      <c r="AH5" s="1539" t="s">
        <v>660</v>
      </c>
      <c r="AI5" s="2336" t="s">
        <v>659</v>
      </c>
      <c r="AJ5" s="1701" t="s">
        <v>660</v>
      </c>
      <c r="AK5" s="1830" t="s">
        <v>659</v>
      </c>
      <c r="AL5" s="1539" t="s">
        <v>660</v>
      </c>
      <c r="AM5" s="2253" t="s">
        <v>659</v>
      </c>
      <c r="AN5" s="1996" t="s">
        <v>660</v>
      </c>
      <c r="AO5" s="2336" t="s">
        <v>659</v>
      </c>
      <c r="AP5" s="1701" t="s">
        <v>660</v>
      </c>
      <c r="AQ5" s="1830" t="s">
        <v>659</v>
      </c>
      <c r="AR5" s="1539" t="s">
        <v>660</v>
      </c>
      <c r="AS5" s="2336" t="s">
        <v>659</v>
      </c>
      <c r="AT5" s="1701" t="s">
        <v>660</v>
      </c>
      <c r="AU5" s="1830" t="s">
        <v>659</v>
      </c>
      <c r="AV5" s="1539" t="s">
        <v>660</v>
      </c>
      <c r="AW5" s="2336" t="s">
        <v>659</v>
      </c>
      <c r="AX5" s="1701" t="s">
        <v>660</v>
      </c>
      <c r="AY5" s="1830" t="s">
        <v>659</v>
      </c>
      <c r="AZ5" s="1539" t="s">
        <v>660</v>
      </c>
      <c r="BA5" s="2253" t="s">
        <v>659</v>
      </c>
      <c r="BB5" s="1996" t="s">
        <v>660</v>
      </c>
      <c r="BC5" s="2261" t="s">
        <v>659</v>
      </c>
      <c r="BD5" s="2239" t="s">
        <v>660</v>
      </c>
      <c r="BE5" s="2336" t="s">
        <v>659</v>
      </c>
      <c r="BF5" s="1701" t="s">
        <v>660</v>
      </c>
    </row>
    <row r="6" spans="3:58" x14ac:dyDescent="0.2">
      <c r="C6" s="1552" t="s">
        <v>33</v>
      </c>
      <c r="D6" s="1554" t="s">
        <v>170</v>
      </c>
      <c r="E6" s="3223">
        <v>83</v>
      </c>
      <c r="F6" s="3400">
        <v>49.57</v>
      </c>
      <c r="G6" s="2704">
        <v>84</v>
      </c>
      <c r="H6" s="3400">
        <v>63.12</v>
      </c>
      <c r="I6" s="1729">
        <f>+E6+G6</f>
        <v>167</v>
      </c>
      <c r="J6" s="1704">
        <f>+F6+H6</f>
        <v>112.69</v>
      </c>
      <c r="K6" s="2704">
        <v>83</v>
      </c>
      <c r="L6" s="3400">
        <v>65</v>
      </c>
      <c r="M6" s="2001">
        <f>+I6+K6</f>
        <v>250</v>
      </c>
      <c r="N6" s="2006">
        <f>+J6+L6</f>
        <v>177.69</v>
      </c>
      <c r="O6" s="2704">
        <v>84</v>
      </c>
      <c r="P6" s="3400">
        <v>92.52</v>
      </c>
      <c r="Q6" s="1729">
        <f>+M6+O6</f>
        <v>334</v>
      </c>
      <c r="R6" s="1704">
        <f>+N6+P6</f>
        <v>270.20999999999998</v>
      </c>
      <c r="S6" s="2704">
        <v>84</v>
      </c>
      <c r="T6" s="3400">
        <v>65.59</v>
      </c>
      <c r="U6" s="1729">
        <f>+Q6+S6</f>
        <v>418</v>
      </c>
      <c r="V6" s="1704">
        <f>+R6+T6</f>
        <v>335.79999999999995</v>
      </c>
      <c r="W6" s="2704">
        <v>83</v>
      </c>
      <c r="X6" s="3400">
        <v>79.042000000000002</v>
      </c>
      <c r="Y6" s="2001">
        <f>+O6+S6+W6</f>
        <v>251</v>
      </c>
      <c r="Z6" s="2006">
        <f>+P6+T6+X6</f>
        <v>237.15200000000002</v>
      </c>
      <c r="AA6" s="2241">
        <f>+U6+W6</f>
        <v>501</v>
      </c>
      <c r="AB6" s="2242">
        <f>+V6+X6</f>
        <v>414.84199999999998</v>
      </c>
      <c r="AC6" s="3223">
        <v>84</v>
      </c>
      <c r="AD6" s="3400">
        <v>109.84</v>
      </c>
      <c r="AE6" s="1729">
        <f>+AA6+AC6</f>
        <v>585</v>
      </c>
      <c r="AF6" s="1704">
        <f>+AB6+AD6</f>
        <v>524.68200000000002</v>
      </c>
      <c r="AG6" s="2704">
        <v>83</v>
      </c>
      <c r="AH6" s="3400">
        <v>85.47</v>
      </c>
      <c r="AI6" s="1729">
        <f>+AE6+AG6</f>
        <v>668</v>
      </c>
      <c r="AJ6" s="1704">
        <f>+AF6+AH6</f>
        <v>610.15200000000004</v>
      </c>
      <c r="AK6" s="2704">
        <v>84</v>
      </c>
      <c r="AL6" s="3400">
        <v>112.49</v>
      </c>
      <c r="AM6" s="2001">
        <f>+AC6+AG6+AK6</f>
        <v>251</v>
      </c>
      <c r="AN6" s="2006">
        <f>+AD6+AH6+AL6</f>
        <v>307.8</v>
      </c>
      <c r="AO6" s="1729">
        <f>+AI6+AK6</f>
        <v>752</v>
      </c>
      <c r="AP6" s="1704">
        <f>+AJ6+AL6</f>
        <v>722.64200000000005</v>
      </c>
      <c r="AQ6" s="2798">
        <v>84</v>
      </c>
      <c r="AR6" s="3400">
        <v>85.83</v>
      </c>
      <c r="AS6" s="1709">
        <f>+AO6+AQ6</f>
        <v>836</v>
      </c>
      <c r="AT6" s="2079">
        <f>+AP6+AR6</f>
        <v>808.47200000000009</v>
      </c>
      <c r="AU6" s="2798">
        <v>84</v>
      </c>
      <c r="AV6" s="3400">
        <v>124.61</v>
      </c>
      <c r="AW6" s="2791">
        <f>+AS6+AU6</f>
        <v>920</v>
      </c>
      <c r="AX6" s="2079">
        <f>+AT6+AV6</f>
        <v>933.08200000000011</v>
      </c>
      <c r="AY6" s="2798">
        <v>84</v>
      </c>
      <c r="AZ6" s="5139">
        <v>115.02</v>
      </c>
      <c r="BA6" s="2018">
        <f>+AQ6+AU6+AY6</f>
        <v>252</v>
      </c>
      <c r="BB6" s="2899">
        <f>+AR6+AV6+AZ6</f>
        <v>325.45999999999998</v>
      </c>
      <c r="BC6" s="3196">
        <f>+AM6+BA6</f>
        <v>503</v>
      </c>
      <c r="BD6" s="3197">
        <f>+BB6+AN6</f>
        <v>633.26</v>
      </c>
      <c r="BE6" s="3200">
        <f>+AW6+AY6</f>
        <v>1004</v>
      </c>
      <c r="BF6" s="3201">
        <f>+AX6+AZ6</f>
        <v>1048.1020000000001</v>
      </c>
    </row>
    <row r="7" spans="3:58" x14ac:dyDescent="0.2">
      <c r="C7" s="1543" t="s">
        <v>1327</v>
      </c>
      <c r="D7" s="1545" t="s">
        <v>170</v>
      </c>
      <c r="E7" s="4811">
        <v>150</v>
      </c>
      <c r="F7" s="3395">
        <v>68.16</v>
      </c>
      <c r="G7" s="7779">
        <v>150</v>
      </c>
      <c r="H7" s="3395">
        <v>95</v>
      </c>
      <c r="I7" s="7369">
        <f>+E7+G7</f>
        <v>300</v>
      </c>
      <c r="J7" s="1713">
        <f t="shared" ref="J7:J8" si="0">+F7+H7</f>
        <v>163.16</v>
      </c>
      <c r="K7" s="7779">
        <v>150</v>
      </c>
      <c r="L7" s="3395">
        <v>83.66</v>
      </c>
      <c r="M7" s="2396">
        <f>+I7+K7</f>
        <v>450</v>
      </c>
      <c r="N7" s="1998">
        <f t="shared" ref="N7:N8" si="1">+J7+L7</f>
        <v>246.82</v>
      </c>
      <c r="O7" s="7779">
        <v>150</v>
      </c>
      <c r="P7" s="3395">
        <v>134.35</v>
      </c>
      <c r="Q7" s="7369">
        <f>+M7+O7</f>
        <v>600</v>
      </c>
      <c r="R7" s="1713">
        <f t="shared" ref="R7:R8" si="2">+N7+P7</f>
        <v>381.16999999999996</v>
      </c>
      <c r="S7" s="7779">
        <v>150</v>
      </c>
      <c r="T7" s="3395">
        <v>120.5</v>
      </c>
      <c r="U7" s="7369">
        <f>+Q7+S7</f>
        <v>750</v>
      </c>
      <c r="V7" s="1713">
        <f t="shared" ref="V7:V8" si="3">+R7+T7</f>
        <v>501.66999999999996</v>
      </c>
      <c r="W7" s="7779">
        <v>150</v>
      </c>
      <c r="X7" s="3395">
        <v>114.63</v>
      </c>
      <c r="Y7" s="2002">
        <f t="shared" ref="Y7:Y8" si="4">+O7+S7+W7</f>
        <v>450</v>
      </c>
      <c r="Z7" s="1998">
        <f t="shared" ref="Z7:Z8" si="5">+P7+T7+X7</f>
        <v>369.48</v>
      </c>
      <c r="AA7" s="2247">
        <f t="shared" ref="AA7:AA8" si="6">+U7+W7</f>
        <v>900</v>
      </c>
      <c r="AB7" s="2240">
        <f t="shared" ref="AB7:AB8" si="7">+V7+X7</f>
        <v>616.29999999999995</v>
      </c>
      <c r="AC7" s="4811">
        <v>150</v>
      </c>
      <c r="AD7" s="3395">
        <v>138.28</v>
      </c>
      <c r="AE7" s="7369">
        <f>+AA7+AC7</f>
        <v>1050</v>
      </c>
      <c r="AF7" s="1713">
        <f t="shared" ref="AF7:AF8" si="8">+AB7+AD7</f>
        <v>754.57999999999993</v>
      </c>
      <c r="AG7" s="7779">
        <v>150</v>
      </c>
      <c r="AH7" s="3395">
        <v>134.53</v>
      </c>
      <c r="AI7" s="7369">
        <f>+AE7+AG7</f>
        <v>1200</v>
      </c>
      <c r="AJ7" s="1713">
        <f t="shared" ref="AJ7:AJ8" si="9">+AF7+AH7</f>
        <v>889.1099999999999</v>
      </c>
      <c r="AK7" s="7779">
        <v>150</v>
      </c>
      <c r="AL7" s="3395">
        <v>121.75</v>
      </c>
      <c r="AM7" s="2002">
        <f t="shared" ref="AM7:AM8" si="10">+AC7+AG7+AK7</f>
        <v>450</v>
      </c>
      <c r="AN7" s="1998">
        <f t="shared" ref="AN7:AN8" si="11">+AD7+AH7+AL7</f>
        <v>394.56</v>
      </c>
      <c r="AO7" s="1712">
        <f t="shared" ref="AO7:AO8" si="12">+AI7+AK7</f>
        <v>1350</v>
      </c>
      <c r="AP7" s="1713">
        <f t="shared" ref="AP7:AP8" si="13">+AJ7+AL7</f>
        <v>1010.8599999999999</v>
      </c>
      <c r="AQ7" s="2706">
        <v>150</v>
      </c>
      <c r="AR7" s="3395">
        <v>144.02000000000001</v>
      </c>
      <c r="AS7" s="1716">
        <f>+AO7+AQ7</f>
        <v>1500</v>
      </c>
      <c r="AT7" s="1718">
        <f t="shared" ref="AT7:AT8" si="14">+AP7+AR7</f>
        <v>1154.8799999999999</v>
      </c>
      <c r="AU7" s="2706">
        <v>150</v>
      </c>
      <c r="AV7" s="3395">
        <v>147.41</v>
      </c>
      <c r="AW7" s="2793">
        <f>+AS7+AU7</f>
        <v>1650</v>
      </c>
      <c r="AX7" s="1718">
        <f t="shared" ref="AX7:AX8" si="15">+AT7+AV7</f>
        <v>1302.29</v>
      </c>
      <c r="AY7" s="2706">
        <v>150</v>
      </c>
      <c r="AZ7" s="3275">
        <v>148.54</v>
      </c>
      <c r="BA7" s="2024">
        <f t="shared" ref="BA7:BA8" si="16">+AQ7+AU7+AY7</f>
        <v>450</v>
      </c>
      <c r="BB7" s="2467">
        <f t="shared" ref="BB7:BB8" si="17">+AR7+AV7+AZ7</f>
        <v>439.97</v>
      </c>
      <c r="BC7" s="3198">
        <f t="shared" ref="BC7:BC8" si="18">+AM7+BA7</f>
        <v>900</v>
      </c>
      <c r="BD7" s="3199">
        <f t="shared" ref="BD7:BD8" si="19">+BB7+AN7</f>
        <v>834.53</v>
      </c>
      <c r="BE7" s="3194">
        <f t="shared" ref="BE7:BE8" si="20">+AW7+AY7</f>
        <v>1800</v>
      </c>
      <c r="BF7" s="3202">
        <f t="shared" ref="BF7:BF8" si="21">+AX7+AZ7</f>
        <v>1450.83</v>
      </c>
    </row>
    <row r="8" spans="3:58" ht="16" thickBot="1" x14ac:dyDescent="0.25">
      <c r="C8" s="1555" t="s">
        <v>34</v>
      </c>
      <c r="D8" s="1577" t="s">
        <v>170</v>
      </c>
      <c r="E8" s="3226">
        <v>8</v>
      </c>
      <c r="F8" s="3742">
        <v>6.56</v>
      </c>
      <c r="G8" s="2830">
        <v>9</v>
      </c>
      <c r="H8" s="3742">
        <v>6.58</v>
      </c>
      <c r="I8" s="1732">
        <f>+E8+G8</f>
        <v>17</v>
      </c>
      <c r="J8" s="1829">
        <f t="shared" si="0"/>
        <v>13.14</v>
      </c>
      <c r="K8" s="2830">
        <v>8</v>
      </c>
      <c r="L8" s="3742">
        <v>8.81</v>
      </c>
      <c r="M8" s="3446">
        <f>+I8+K8</f>
        <v>25</v>
      </c>
      <c r="N8" s="2022">
        <f t="shared" si="1"/>
        <v>21.950000000000003</v>
      </c>
      <c r="O8" s="2830">
        <v>9</v>
      </c>
      <c r="P8" s="3742">
        <v>9.92</v>
      </c>
      <c r="Q8" s="1732">
        <f>+M8+O8</f>
        <v>34</v>
      </c>
      <c r="R8" s="1829">
        <f t="shared" si="2"/>
        <v>31.870000000000005</v>
      </c>
      <c r="S8" s="2830">
        <v>9</v>
      </c>
      <c r="T8" s="3742">
        <v>6.99</v>
      </c>
      <c r="U8" s="1732">
        <f>+Q8+S8</f>
        <v>43</v>
      </c>
      <c r="V8" s="1829">
        <f t="shared" si="3"/>
        <v>38.860000000000007</v>
      </c>
      <c r="W8" s="2830">
        <v>8</v>
      </c>
      <c r="X8" s="3742">
        <v>6.85</v>
      </c>
      <c r="Y8" s="2004">
        <f t="shared" si="4"/>
        <v>26</v>
      </c>
      <c r="Z8" s="2007">
        <f t="shared" si="5"/>
        <v>23.759999999999998</v>
      </c>
      <c r="AA8" s="3792">
        <f t="shared" si="6"/>
        <v>51</v>
      </c>
      <c r="AB8" s="2243">
        <f t="shared" si="7"/>
        <v>45.710000000000008</v>
      </c>
      <c r="AC8" s="6362">
        <v>9</v>
      </c>
      <c r="AD8" s="3742">
        <v>5.56</v>
      </c>
      <c r="AE8" s="1732">
        <f>+AA8+AC8</f>
        <v>60</v>
      </c>
      <c r="AF8" s="1829">
        <f t="shared" si="8"/>
        <v>51.27000000000001</v>
      </c>
      <c r="AG8" s="2830">
        <v>8</v>
      </c>
      <c r="AH8" s="3742">
        <v>4.67</v>
      </c>
      <c r="AI8" s="1732">
        <f>+AE8+AG8</f>
        <v>68</v>
      </c>
      <c r="AJ8" s="1829">
        <f t="shared" si="9"/>
        <v>55.940000000000012</v>
      </c>
      <c r="AK8" s="2830">
        <v>9</v>
      </c>
      <c r="AL8" s="3742">
        <v>6.4</v>
      </c>
      <c r="AM8" s="2004">
        <f t="shared" si="10"/>
        <v>26</v>
      </c>
      <c r="AN8" s="2007">
        <f t="shared" si="11"/>
        <v>16.630000000000003</v>
      </c>
      <c r="AO8" s="7806">
        <f t="shared" si="12"/>
        <v>77</v>
      </c>
      <c r="AP8" s="1731">
        <f t="shared" si="13"/>
        <v>62.340000000000011</v>
      </c>
      <c r="AQ8" s="3014">
        <v>9</v>
      </c>
      <c r="AR8" s="3742">
        <v>5.0199999999999996</v>
      </c>
      <c r="AS8" s="2859">
        <f>+AO8+AQ8</f>
        <v>86</v>
      </c>
      <c r="AT8" s="2860">
        <f t="shared" si="14"/>
        <v>67.360000000000014</v>
      </c>
      <c r="AU8" s="3014">
        <v>9</v>
      </c>
      <c r="AV8" s="3742">
        <v>7.22</v>
      </c>
      <c r="AW8" s="2981">
        <f>+AS8+AU8</f>
        <v>95</v>
      </c>
      <c r="AX8" s="2860">
        <f t="shared" si="15"/>
        <v>74.580000000000013</v>
      </c>
      <c r="AY8" s="3203">
        <v>9</v>
      </c>
      <c r="AZ8" s="3372">
        <v>5.8</v>
      </c>
      <c r="BA8" s="2025">
        <f t="shared" si="16"/>
        <v>27</v>
      </c>
      <c r="BB8" s="2026">
        <f t="shared" si="17"/>
        <v>18.04</v>
      </c>
      <c r="BC8" s="2244">
        <f t="shared" si="18"/>
        <v>53</v>
      </c>
      <c r="BD8" s="2245">
        <f t="shared" si="19"/>
        <v>34.67</v>
      </c>
      <c r="BE8" s="2793">
        <f t="shared" si="20"/>
        <v>104</v>
      </c>
      <c r="BF8" s="1707">
        <f t="shared" si="21"/>
        <v>80.38000000000001</v>
      </c>
    </row>
    <row r="13" spans="3:58" x14ac:dyDescent="0.2">
      <c r="K13" s="2965"/>
      <c r="L13" s="2966"/>
    </row>
    <row r="14" spans="3:58" x14ac:dyDescent="0.2">
      <c r="K14" s="2965"/>
      <c r="L14" s="2967"/>
    </row>
    <row r="15" spans="3:58" x14ac:dyDescent="0.2">
      <c r="K15" s="2965"/>
      <c r="L15" s="2966"/>
    </row>
    <row r="17" spans="3:3" x14ac:dyDescent="0.2">
      <c r="C17" s="1699"/>
    </row>
  </sheetData>
  <mergeCells count="29">
    <mergeCell ref="AY4:AZ4"/>
    <mergeCell ref="BE4:BF4"/>
    <mergeCell ref="BA4:BB4"/>
    <mergeCell ref="BC4:BD4"/>
    <mergeCell ref="AM4:AN4"/>
    <mergeCell ref="AO4:AP4"/>
    <mergeCell ref="AU4:AV4"/>
    <mergeCell ref="AW4:AX4"/>
    <mergeCell ref="AQ4:AR4"/>
    <mergeCell ref="AS4:AT4"/>
    <mergeCell ref="C4:C5"/>
    <mergeCell ref="D4:D5"/>
    <mergeCell ref="E4:F4"/>
    <mergeCell ref="G4:H4"/>
    <mergeCell ref="I4:J4"/>
    <mergeCell ref="O4:P4"/>
    <mergeCell ref="Q4:R4"/>
    <mergeCell ref="K4:L4"/>
    <mergeCell ref="M4:N4"/>
    <mergeCell ref="AK4:AL4"/>
    <mergeCell ref="S4:T4"/>
    <mergeCell ref="U4:V4"/>
    <mergeCell ref="AG4:AH4"/>
    <mergeCell ref="AI4:AJ4"/>
    <mergeCell ref="AC4:AD4"/>
    <mergeCell ref="AE4:AF4"/>
    <mergeCell ref="W4:X4"/>
    <mergeCell ref="Y4:Z4"/>
    <mergeCell ref="AA4:AB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19</vt:i4>
      </vt:variant>
    </vt:vector>
  </HeadingPairs>
  <TitlesOfParts>
    <vt:vector size="47" baseType="lpstr">
      <vt:lpstr>2019-20 MASTER</vt:lpstr>
      <vt:lpstr>Maj Prod Summ</vt:lpstr>
      <vt:lpstr>Maj Desp Summ</vt:lpstr>
      <vt:lpstr>Maj Techno Summ</vt:lpstr>
      <vt:lpstr>DETAIL DESP  </vt:lpstr>
      <vt:lpstr>secondary sales</vt:lpstr>
      <vt:lpstr>COKE OVENS</vt:lpstr>
      <vt:lpstr>SINTER</vt:lpstr>
      <vt:lpstr>Sheet1</vt:lpstr>
      <vt:lpstr>RMHP</vt:lpstr>
      <vt:lpstr>Raw material consumptio</vt:lpstr>
      <vt:lpstr>B-FCE</vt:lpstr>
      <vt:lpstr>SMS</vt:lpstr>
      <vt:lpstr>billets</vt:lpstr>
      <vt:lpstr>GRD SUMM RCL 150X150 </vt:lpstr>
      <vt:lpstr>saleable steel 150X150  (2)</vt:lpstr>
      <vt:lpstr>GRD SUMM RCL CASTER 3</vt:lpstr>
      <vt:lpstr>WRM</vt:lpstr>
      <vt:lpstr>BM</vt:lpstr>
      <vt:lpstr>USM</vt:lpstr>
      <vt:lpstr>PBS</vt:lpstr>
      <vt:lpstr>POWER DISTRIBUTION</vt:lpstr>
      <vt:lpstr>EMD</vt:lpstr>
      <vt:lpstr>scrap</vt:lpstr>
      <vt:lpstr>ECD</vt:lpstr>
      <vt:lpstr>OXY PL</vt:lpstr>
      <vt:lpstr>LDCP</vt:lpstr>
      <vt:lpstr>SHOPS</vt:lpstr>
      <vt:lpstr>'2019-20 MASTER'!Print_Area</vt:lpstr>
      <vt:lpstr>'B-FCE'!Print_Area</vt:lpstr>
      <vt:lpstr>BM!Print_Area</vt:lpstr>
      <vt:lpstr>'DETAIL DESP  '!Print_Area</vt:lpstr>
      <vt:lpstr>ECD!Print_Area</vt:lpstr>
      <vt:lpstr>EMD!Print_Area</vt:lpstr>
      <vt:lpstr>LDCP!Print_Area</vt:lpstr>
      <vt:lpstr>'Maj Desp Summ'!Print_Area</vt:lpstr>
      <vt:lpstr>'Maj Prod Summ'!Print_Area</vt:lpstr>
      <vt:lpstr>'Maj Techno Summ'!Print_Area</vt:lpstr>
      <vt:lpstr>'OXY PL'!Print_Area</vt:lpstr>
      <vt:lpstr>PBS!Print_Area</vt:lpstr>
      <vt:lpstr>'POWER DISTRIBUTION'!Print_Area</vt:lpstr>
      <vt:lpstr>'Raw material consumptio'!Print_Area</vt:lpstr>
      <vt:lpstr>SHOPS!Print_Area</vt:lpstr>
      <vt:lpstr>SINTER!Print_Area</vt:lpstr>
      <vt:lpstr>SMS!Print_Area</vt:lpstr>
      <vt:lpstr>USM!Print_Area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2021-04-16T04:19:38Z</dcterms:modified>
</cp:coreProperties>
</file>